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7.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8.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9.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hidePivotFieldList="1" defaultThemeVersion="166925"/>
  <mc:AlternateContent xmlns:mc="http://schemas.openxmlformats.org/markup-compatibility/2006">
    <mc:Choice Requires="x15">
      <x15ac:absPath xmlns:x15ac="http://schemas.microsoft.com/office/spreadsheetml/2010/11/ac" url="https://ethinkenergy.sharepoint.com/sites/LIFE-Support-DHC/Freigegebene Dokumente/General/WPs/WP3 - Supporting DHC frontrunner cases/Work/DC waste heat ExcelTool/"/>
    </mc:Choice>
  </mc:AlternateContent>
  <xr:revisionPtr revIDLastSave="2" documentId="8_{9CD1C029-2E80-461C-8EB5-B7376EC44D1C}" xr6:coauthVersionLast="47" xr6:coauthVersionMax="47" xr10:uidLastSave="{CA1C6741-4F80-4C92-874E-FBAAAC60862B}"/>
  <bookViews>
    <workbookView xWindow="-120" yWindow="-120" windowWidth="57840" windowHeight="31920" tabRatio="848" activeTab="9" xr2:uid="{00000000-000D-0000-FFFF-FFFF00000000}"/>
  </bookViews>
  <sheets>
    <sheet name="Info" sheetId="14" r:id="rId1"/>
    <sheet name="Content" sheetId="18" r:id="rId2"/>
    <sheet name="Project Setting" sheetId="10" r:id="rId3"/>
    <sheet name="Grid Costs" sheetId="11" r:id="rId4"/>
    <sheet name="Definition of Typical Day" sheetId="4" r:id="rId5"/>
    <sheet name="Definition of Typical Year" sheetId="19" r:id="rId6"/>
    <sheet name="Main Results - IRR DC Operator" sheetId="24" r:id="rId7"/>
    <sheet name="Main Results Extended" sheetId="33" r:id="rId8"/>
    <sheet name="Calculation Break-Even" sheetId="15" r:id="rId9"/>
    <sheet name="Operation at Typical Day" sheetId="21" r:id="rId10"/>
    <sheet name="Calculation of Typical Day" sheetId="3" r:id="rId11"/>
    <sheet name="Calculation of Typical Year" sheetId="13" r:id="rId12"/>
    <sheet name="Calculation IRR" sheetId="30" r:id="rId13"/>
    <sheet name="Additional Information" sheetId="22" r:id="rId14"/>
    <sheet name="TechKatalogGWPA" sheetId="17" r:id="rId15"/>
  </sheets>
  <definedNames>
    <definedName name="_xlnm._FilterDatabase" localSheetId="10" hidden="1">'Calculation of Typical Day'!$A$20:$AL$500</definedName>
    <definedName name="_xlnm._FilterDatabase" localSheetId="4" hidden="1">'Definition of Typical Day'!$B$31:$D$261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10" l="1"/>
  <c r="F21" i="33"/>
  <c r="T10" i="33" s="1"/>
  <c r="S10" i="33" s="1"/>
  <c r="E20" i="15"/>
  <c r="F17" i="10"/>
  <c r="B151" i="22"/>
  <c r="B150" i="22"/>
  <c r="B149" i="22"/>
  <c r="B148" i="22"/>
  <c r="B147" i="22"/>
  <c r="B146" i="22"/>
  <c r="B133" i="22"/>
  <c r="B132" i="22"/>
  <c r="B131" i="22"/>
  <c r="B130" i="22"/>
  <c r="B124" i="22"/>
  <c r="B120" i="22"/>
  <c r="B118" i="22"/>
  <c r="B117" i="22"/>
  <c r="B116" i="22"/>
  <c r="B114" i="22"/>
  <c r="B113" i="22"/>
  <c r="B112" i="22"/>
  <c r="B111" i="22"/>
  <c r="B110" i="22"/>
  <c r="B107" i="22"/>
  <c r="B104" i="22"/>
  <c r="B102" i="22"/>
  <c r="B101" i="22"/>
  <c r="B100" i="22"/>
  <c r="B99" i="22"/>
  <c r="B98" i="22"/>
  <c r="B97" i="22"/>
  <c r="B96" i="22"/>
  <c r="B95" i="22"/>
  <c r="B92" i="22"/>
  <c r="B91" i="22"/>
  <c r="B90" i="22"/>
  <c r="B88" i="22"/>
  <c r="B87" i="22"/>
  <c r="B86" i="22"/>
  <c r="B85" i="22"/>
  <c r="B84" i="22"/>
  <c r="B81" i="22"/>
  <c r="B80" i="22"/>
  <c r="B79" i="22"/>
  <c r="B78" i="22"/>
  <c r="B77" i="22"/>
  <c r="B75" i="22"/>
  <c r="B74" i="22"/>
  <c r="B73" i="22"/>
  <c r="B71" i="22"/>
  <c r="B70" i="22"/>
  <c r="B69" i="22"/>
  <c r="B67" i="22"/>
  <c r="B66" i="22"/>
  <c r="B64" i="22"/>
  <c r="B63" i="22"/>
  <c r="B62" i="22"/>
  <c r="B61" i="22"/>
  <c r="B60" i="22"/>
  <c r="B59" i="22"/>
  <c r="B58" i="22"/>
  <c r="B57" i="22"/>
  <c r="B56" i="22"/>
  <c r="B55" i="22"/>
  <c r="B54" i="22"/>
  <c r="B52" i="22"/>
  <c r="B51" i="22"/>
  <c r="B49" i="22"/>
  <c r="B48" i="22"/>
  <c r="B47" i="22"/>
  <c r="B46" i="22"/>
  <c r="B45" i="22"/>
  <c r="B44" i="22"/>
  <c r="B43" i="22"/>
  <c r="B42" i="22"/>
  <c r="B41" i="22"/>
  <c r="B40" i="22"/>
  <c r="B39" i="22"/>
  <c r="B38" i="22"/>
  <c r="B37" i="22"/>
  <c r="B36" i="22"/>
  <c r="B35" i="22"/>
  <c r="B34" i="22"/>
  <c r="B33" i="22"/>
  <c r="B32" i="22"/>
  <c r="B31" i="22"/>
  <c r="B29" i="22"/>
  <c r="B28" i="22"/>
  <c r="B27" i="22"/>
  <c r="B26" i="22"/>
  <c r="B25" i="22"/>
  <c r="B24" i="22"/>
  <c r="B23" i="22"/>
  <c r="B22" i="22"/>
  <c r="B21" i="22"/>
  <c r="B20" i="22"/>
  <c r="B19" i="22"/>
  <c r="B18" i="22"/>
  <c r="B17" i="22"/>
  <c r="B16" i="22"/>
  <c r="B15" i="22"/>
  <c r="B14" i="22"/>
  <c r="D38" i="30"/>
  <c r="D37" i="30"/>
  <c r="D34" i="30"/>
  <c r="D33" i="30"/>
  <c r="C30" i="30"/>
  <c r="D22" i="30"/>
  <c r="D19" i="30"/>
  <c r="D18" i="30"/>
  <c r="D17" i="30"/>
  <c r="D32" i="30" s="1"/>
  <c r="C15" i="30"/>
  <c r="C90" i="13"/>
  <c r="C76" i="13"/>
  <c r="C75" i="13"/>
  <c r="C74" i="13"/>
  <c r="C73" i="13"/>
  <c r="C72" i="13"/>
  <c r="C71" i="13"/>
  <c r="B71" i="13"/>
  <c r="J70" i="13"/>
  <c r="I70" i="13"/>
  <c r="H70" i="13"/>
  <c r="G70" i="13"/>
  <c r="F70" i="13"/>
  <c r="E70" i="13"/>
  <c r="D70" i="13"/>
  <c r="C70" i="13"/>
  <c r="J69" i="13"/>
  <c r="I69" i="13"/>
  <c r="H69" i="13"/>
  <c r="G69" i="13"/>
  <c r="F69" i="13"/>
  <c r="E69" i="13"/>
  <c r="J68" i="13"/>
  <c r="I68" i="13"/>
  <c r="H68" i="13"/>
  <c r="G68" i="13"/>
  <c r="F68" i="13"/>
  <c r="E68" i="13"/>
  <c r="C62" i="13"/>
  <c r="C48" i="13"/>
  <c r="C47" i="13"/>
  <c r="C46" i="13"/>
  <c r="C45" i="13"/>
  <c r="C44" i="13"/>
  <c r="C43" i="13"/>
  <c r="B43" i="13"/>
  <c r="R42" i="13"/>
  <c r="Q42" i="13"/>
  <c r="P42" i="13"/>
  <c r="O42" i="13"/>
  <c r="N42" i="13"/>
  <c r="M42" i="13"/>
  <c r="H42" i="13"/>
  <c r="G42" i="13"/>
  <c r="F42" i="13"/>
  <c r="E42" i="13"/>
  <c r="D42" i="13"/>
  <c r="C42" i="13"/>
  <c r="C36" i="13"/>
  <c r="AU23" i="13"/>
  <c r="BC22" i="13"/>
  <c r="C22" i="13"/>
  <c r="C21" i="13"/>
  <c r="C20" i="13"/>
  <c r="C19" i="13"/>
  <c r="AY18" i="13"/>
  <c r="C18" i="13"/>
  <c r="AY17" i="13"/>
  <c r="C17" i="13"/>
  <c r="B17" i="13"/>
  <c r="AU16" i="13"/>
  <c r="V16" i="13"/>
  <c r="U16" i="13"/>
  <c r="T16" i="13"/>
  <c r="R16" i="13"/>
  <c r="Q16" i="13"/>
  <c r="P16" i="13"/>
  <c r="O16" i="13"/>
  <c r="N16" i="13"/>
  <c r="M16" i="13"/>
  <c r="L16" i="13"/>
  <c r="K16" i="13"/>
  <c r="J16" i="13"/>
  <c r="I16" i="13"/>
  <c r="F16" i="13"/>
  <c r="E16" i="13"/>
  <c r="D16" i="13"/>
  <c r="C16" i="13"/>
  <c r="BG15" i="13"/>
  <c r="BC15" i="13"/>
  <c r="AY15" i="13"/>
  <c r="CM502" i="3"/>
  <c r="CL502" i="3"/>
  <c r="CK502" i="3"/>
  <c r="CJ502" i="3"/>
  <c r="CI502" i="3"/>
  <c r="CH502" i="3"/>
  <c r="CE502" i="3"/>
  <c r="CB502" i="3"/>
  <c r="CA502" i="3"/>
  <c r="BZ502" i="3"/>
  <c r="BY502" i="3"/>
  <c r="BX502" i="3"/>
  <c r="BW502" i="3"/>
  <c r="BV502" i="3"/>
  <c r="BU502" i="3"/>
  <c r="BT502" i="3"/>
  <c r="BS502" i="3"/>
  <c r="BR502" i="3"/>
  <c r="BQ502" i="3"/>
  <c r="BP502" i="3"/>
  <c r="BO502" i="3"/>
  <c r="BN502" i="3"/>
  <c r="BL502" i="3"/>
  <c r="BK502" i="3"/>
  <c r="BJ502" i="3"/>
  <c r="BI502" i="3"/>
  <c r="BH502" i="3"/>
  <c r="BG502" i="3"/>
  <c r="BF502" i="3"/>
  <c r="BE502" i="3"/>
  <c r="BD502" i="3"/>
  <c r="BC502" i="3"/>
  <c r="BB502" i="3"/>
  <c r="BA502" i="3"/>
  <c r="AZ502" i="3"/>
  <c r="AX502" i="3"/>
  <c r="AW502" i="3"/>
  <c r="AV502" i="3"/>
  <c r="AU502" i="3"/>
  <c r="AS502" i="3"/>
  <c r="AR502" i="3"/>
  <c r="AQ502" i="3"/>
  <c r="AP502" i="3"/>
  <c r="AN502" i="3"/>
  <c r="AM502" i="3"/>
  <c r="AL502" i="3"/>
  <c r="AK502" i="3"/>
  <c r="AJ502" i="3"/>
  <c r="AI502" i="3"/>
  <c r="AH502" i="3"/>
  <c r="AG502" i="3"/>
  <c r="AF502" i="3"/>
  <c r="AE502" i="3"/>
  <c r="AD502" i="3"/>
  <c r="AC502" i="3"/>
  <c r="AB502" i="3"/>
  <c r="AA502" i="3"/>
  <c r="Z502" i="3"/>
  <c r="Y502" i="3"/>
  <c r="X502" i="3"/>
  <c r="W502" i="3"/>
  <c r="V502" i="3"/>
  <c r="U502" i="3"/>
  <c r="T502" i="3"/>
  <c r="S502" i="3"/>
  <c r="R502" i="3"/>
  <c r="Q502" i="3"/>
  <c r="P502" i="3"/>
  <c r="O502" i="3"/>
  <c r="N502" i="3"/>
  <c r="M502" i="3"/>
  <c r="L502" i="3"/>
  <c r="K502" i="3"/>
  <c r="J502" i="3"/>
  <c r="I502" i="3"/>
  <c r="H502" i="3"/>
  <c r="G502" i="3"/>
  <c r="F502" i="3"/>
  <c r="E502" i="3"/>
  <c r="D502" i="3"/>
  <c r="C502" i="3"/>
  <c r="A502" i="3"/>
  <c r="AV500" i="3"/>
  <c r="AU500" i="3"/>
  <c r="X500" i="3"/>
  <c r="S500" i="3"/>
  <c r="N500" i="3"/>
  <c r="K500" i="3"/>
  <c r="AV499" i="3"/>
  <c r="AU499" i="3"/>
  <c r="X499" i="3"/>
  <c r="S499" i="3"/>
  <c r="N499" i="3"/>
  <c r="K499" i="3"/>
  <c r="AV498" i="3"/>
  <c r="AU498" i="3"/>
  <c r="X498" i="3"/>
  <c r="S498" i="3"/>
  <c r="N498" i="3"/>
  <c r="K498" i="3"/>
  <c r="AV497" i="3"/>
  <c r="AU497" i="3"/>
  <c r="X497" i="3"/>
  <c r="S497" i="3"/>
  <c r="N497" i="3"/>
  <c r="K497" i="3"/>
  <c r="AV496" i="3"/>
  <c r="AU496" i="3"/>
  <c r="X496" i="3"/>
  <c r="S496" i="3"/>
  <c r="N496" i="3"/>
  <c r="K496" i="3"/>
  <c r="AV495" i="3"/>
  <c r="AU495" i="3"/>
  <c r="X495" i="3"/>
  <c r="S495" i="3"/>
  <c r="N495" i="3"/>
  <c r="K495" i="3"/>
  <c r="AV494" i="3"/>
  <c r="AU494" i="3"/>
  <c r="X494" i="3"/>
  <c r="S494" i="3"/>
  <c r="N494" i="3"/>
  <c r="K494" i="3"/>
  <c r="AV493" i="3"/>
  <c r="AU493" i="3"/>
  <c r="X493" i="3"/>
  <c r="S493" i="3"/>
  <c r="N493" i="3"/>
  <c r="K493" i="3"/>
  <c r="AV492" i="3"/>
  <c r="AU492" i="3"/>
  <c r="X492" i="3"/>
  <c r="S492" i="3"/>
  <c r="N492" i="3"/>
  <c r="K492" i="3"/>
  <c r="AV491" i="3"/>
  <c r="AU491" i="3"/>
  <c r="X491" i="3"/>
  <c r="S491" i="3"/>
  <c r="N491" i="3"/>
  <c r="K491" i="3"/>
  <c r="AV490" i="3"/>
  <c r="AU490" i="3"/>
  <c r="X490" i="3"/>
  <c r="S490" i="3"/>
  <c r="N490" i="3"/>
  <c r="K490" i="3"/>
  <c r="AV489" i="3"/>
  <c r="AU489" i="3"/>
  <c r="X489" i="3"/>
  <c r="S489" i="3"/>
  <c r="N489" i="3"/>
  <c r="K489" i="3"/>
  <c r="AV488" i="3"/>
  <c r="AU488" i="3"/>
  <c r="X488" i="3"/>
  <c r="S488" i="3"/>
  <c r="N488" i="3"/>
  <c r="K488" i="3"/>
  <c r="AV487" i="3"/>
  <c r="AU487" i="3"/>
  <c r="X487" i="3"/>
  <c r="S487" i="3"/>
  <c r="N487" i="3"/>
  <c r="K487" i="3"/>
  <c r="AV486" i="3"/>
  <c r="AU486" i="3"/>
  <c r="X486" i="3"/>
  <c r="S486" i="3"/>
  <c r="N486" i="3"/>
  <c r="K486" i="3"/>
  <c r="AV485" i="3"/>
  <c r="AU485" i="3"/>
  <c r="X485" i="3"/>
  <c r="S485" i="3"/>
  <c r="N485" i="3"/>
  <c r="K485" i="3"/>
  <c r="AV484" i="3"/>
  <c r="AU484" i="3"/>
  <c r="X484" i="3"/>
  <c r="S484" i="3"/>
  <c r="N484" i="3"/>
  <c r="K484" i="3"/>
  <c r="AV483" i="3"/>
  <c r="AU483" i="3"/>
  <c r="X483" i="3"/>
  <c r="S483" i="3"/>
  <c r="N483" i="3"/>
  <c r="K483" i="3"/>
  <c r="AV482" i="3"/>
  <c r="AU482" i="3"/>
  <c r="X482" i="3"/>
  <c r="S482" i="3"/>
  <c r="N482" i="3"/>
  <c r="K482" i="3"/>
  <c r="AV481" i="3"/>
  <c r="AU481" i="3"/>
  <c r="X481" i="3"/>
  <c r="S481" i="3"/>
  <c r="N481" i="3"/>
  <c r="K481" i="3"/>
  <c r="AV480" i="3"/>
  <c r="AU480" i="3"/>
  <c r="AV479" i="3"/>
  <c r="AU479" i="3"/>
  <c r="AV478" i="3"/>
  <c r="AU478" i="3"/>
  <c r="AV477" i="3"/>
  <c r="AU477" i="3"/>
  <c r="AV476" i="3"/>
  <c r="AU476" i="3"/>
  <c r="AV475" i="3"/>
  <c r="AU475" i="3"/>
  <c r="AV474" i="3"/>
  <c r="AU474" i="3"/>
  <c r="AV473" i="3"/>
  <c r="AU473" i="3"/>
  <c r="AV472" i="3"/>
  <c r="AU472" i="3"/>
  <c r="X472" i="3"/>
  <c r="S472" i="3"/>
  <c r="N472" i="3"/>
  <c r="K472" i="3"/>
  <c r="AV471" i="3"/>
  <c r="AU471" i="3"/>
  <c r="X471" i="3"/>
  <c r="S471" i="3"/>
  <c r="N471" i="3"/>
  <c r="K471" i="3"/>
  <c r="AV470" i="3"/>
  <c r="AU470" i="3"/>
  <c r="X470" i="3"/>
  <c r="S470" i="3"/>
  <c r="N470" i="3"/>
  <c r="K470" i="3"/>
  <c r="AV469" i="3"/>
  <c r="AU469" i="3"/>
  <c r="X469" i="3"/>
  <c r="S469" i="3"/>
  <c r="N469" i="3"/>
  <c r="K469" i="3"/>
  <c r="AV468" i="3"/>
  <c r="AU468" i="3"/>
  <c r="X468" i="3"/>
  <c r="S468" i="3"/>
  <c r="N468" i="3"/>
  <c r="K468" i="3"/>
  <c r="AV467" i="3"/>
  <c r="AU467" i="3"/>
  <c r="X467" i="3"/>
  <c r="S467" i="3"/>
  <c r="N467" i="3"/>
  <c r="K467" i="3"/>
  <c r="AV466" i="3"/>
  <c r="AU466" i="3"/>
  <c r="X466" i="3"/>
  <c r="S466" i="3"/>
  <c r="N466" i="3"/>
  <c r="K466" i="3"/>
  <c r="AV465" i="3"/>
  <c r="AU465" i="3"/>
  <c r="X465" i="3"/>
  <c r="S465" i="3"/>
  <c r="N465" i="3"/>
  <c r="K465" i="3"/>
  <c r="AV464" i="3"/>
  <c r="AU464" i="3"/>
  <c r="X464" i="3"/>
  <c r="S464" i="3"/>
  <c r="N464" i="3"/>
  <c r="K464" i="3"/>
  <c r="AV463" i="3"/>
  <c r="AU463" i="3"/>
  <c r="X463" i="3"/>
  <c r="S463" i="3"/>
  <c r="N463" i="3"/>
  <c r="K463" i="3"/>
  <c r="AV462" i="3"/>
  <c r="AU462" i="3"/>
  <c r="X462" i="3"/>
  <c r="S462" i="3"/>
  <c r="N462" i="3"/>
  <c r="K462" i="3"/>
  <c r="AV461" i="3"/>
  <c r="AU461" i="3"/>
  <c r="X461" i="3"/>
  <c r="S461" i="3"/>
  <c r="N461" i="3"/>
  <c r="K461" i="3"/>
  <c r="AV460" i="3"/>
  <c r="AU460" i="3"/>
  <c r="X460" i="3"/>
  <c r="S460" i="3"/>
  <c r="N460" i="3"/>
  <c r="K460" i="3"/>
  <c r="AV459" i="3"/>
  <c r="AU459" i="3"/>
  <c r="X459" i="3"/>
  <c r="S459" i="3"/>
  <c r="N459" i="3"/>
  <c r="K459" i="3"/>
  <c r="AV458" i="3"/>
  <c r="AU458" i="3"/>
  <c r="X458" i="3"/>
  <c r="S458" i="3"/>
  <c r="N458" i="3"/>
  <c r="K458" i="3"/>
  <c r="AV457" i="3"/>
  <c r="AU457" i="3"/>
  <c r="X457" i="3"/>
  <c r="S457" i="3"/>
  <c r="N457" i="3"/>
  <c r="K457" i="3"/>
  <c r="AV456" i="3"/>
  <c r="AU456" i="3"/>
  <c r="X456" i="3"/>
  <c r="S456" i="3"/>
  <c r="N456" i="3"/>
  <c r="K456" i="3"/>
  <c r="AV455" i="3"/>
  <c r="AU455" i="3"/>
  <c r="X455" i="3"/>
  <c r="S455" i="3"/>
  <c r="N455" i="3"/>
  <c r="K455" i="3"/>
  <c r="AV454" i="3"/>
  <c r="AU454" i="3"/>
  <c r="X454" i="3"/>
  <c r="S454" i="3"/>
  <c r="N454" i="3"/>
  <c r="K454" i="3"/>
  <c r="AV453" i="3"/>
  <c r="AU453" i="3"/>
  <c r="X453" i="3"/>
  <c r="S453" i="3"/>
  <c r="N453" i="3"/>
  <c r="K453" i="3"/>
  <c r="AV452" i="3"/>
  <c r="AU452" i="3"/>
  <c r="X452" i="3"/>
  <c r="S452" i="3"/>
  <c r="N452" i="3"/>
  <c r="K452" i="3"/>
  <c r="AV451" i="3"/>
  <c r="AU451" i="3"/>
  <c r="X451" i="3"/>
  <c r="S451" i="3"/>
  <c r="N451" i="3"/>
  <c r="K451" i="3"/>
  <c r="AV450" i="3"/>
  <c r="AU450" i="3"/>
  <c r="X450" i="3"/>
  <c r="S450" i="3"/>
  <c r="N450" i="3"/>
  <c r="K450" i="3"/>
  <c r="AV449" i="3"/>
  <c r="AU449" i="3"/>
  <c r="X449" i="3"/>
  <c r="S449" i="3"/>
  <c r="N449" i="3"/>
  <c r="K449" i="3"/>
  <c r="AV448" i="3"/>
  <c r="AU448" i="3"/>
  <c r="X448" i="3"/>
  <c r="S448" i="3"/>
  <c r="N448" i="3"/>
  <c r="K448" i="3"/>
  <c r="AV447" i="3"/>
  <c r="AU447" i="3"/>
  <c r="X447" i="3"/>
  <c r="S447" i="3"/>
  <c r="N447" i="3"/>
  <c r="K447" i="3"/>
  <c r="AV446" i="3"/>
  <c r="AU446" i="3"/>
  <c r="X446" i="3"/>
  <c r="S446" i="3"/>
  <c r="N446" i="3"/>
  <c r="K446" i="3"/>
  <c r="AV445" i="3"/>
  <c r="AU445" i="3"/>
  <c r="X445" i="3"/>
  <c r="S445" i="3"/>
  <c r="N445" i="3"/>
  <c r="K445" i="3"/>
  <c r="AV444" i="3"/>
  <c r="AU444" i="3"/>
  <c r="X444" i="3"/>
  <c r="S444" i="3"/>
  <c r="N444" i="3"/>
  <c r="K444" i="3"/>
  <c r="AV443" i="3"/>
  <c r="AU443" i="3"/>
  <c r="X443" i="3"/>
  <c r="S443" i="3"/>
  <c r="N443" i="3"/>
  <c r="K443" i="3"/>
  <c r="AV442" i="3"/>
  <c r="AU442" i="3"/>
  <c r="X442" i="3"/>
  <c r="S442" i="3"/>
  <c r="N442" i="3"/>
  <c r="K442" i="3"/>
  <c r="AV441" i="3"/>
  <c r="AU441" i="3"/>
  <c r="X441" i="3"/>
  <c r="S441" i="3"/>
  <c r="N441" i="3"/>
  <c r="K441" i="3"/>
  <c r="AV440" i="3"/>
  <c r="AU440" i="3"/>
  <c r="X440" i="3"/>
  <c r="S440" i="3"/>
  <c r="N440" i="3"/>
  <c r="K440" i="3"/>
  <c r="AV439" i="3"/>
  <c r="AU439" i="3"/>
  <c r="X439" i="3"/>
  <c r="S439" i="3"/>
  <c r="N439" i="3"/>
  <c r="K439" i="3"/>
  <c r="AV438" i="3"/>
  <c r="AU438" i="3"/>
  <c r="X438" i="3"/>
  <c r="S438" i="3"/>
  <c r="N438" i="3"/>
  <c r="K438" i="3"/>
  <c r="AV437" i="3"/>
  <c r="AU437" i="3"/>
  <c r="X437" i="3"/>
  <c r="S437" i="3"/>
  <c r="N437" i="3"/>
  <c r="K437" i="3"/>
  <c r="AV436" i="3"/>
  <c r="AU436" i="3"/>
  <c r="X436" i="3"/>
  <c r="S436" i="3"/>
  <c r="N436" i="3"/>
  <c r="K436" i="3"/>
  <c r="AV435" i="3"/>
  <c r="AU435" i="3"/>
  <c r="X435" i="3"/>
  <c r="S435" i="3"/>
  <c r="N435" i="3"/>
  <c r="K435" i="3"/>
  <c r="AV434" i="3"/>
  <c r="AU434" i="3"/>
  <c r="AV433" i="3"/>
  <c r="AU433" i="3"/>
  <c r="AV432" i="3"/>
  <c r="AU432" i="3"/>
  <c r="AV431" i="3"/>
  <c r="AU431" i="3"/>
  <c r="AV430" i="3"/>
  <c r="AU430" i="3"/>
  <c r="AV429" i="3"/>
  <c r="AU429" i="3"/>
  <c r="AV428" i="3"/>
  <c r="AU428" i="3"/>
  <c r="X428" i="3"/>
  <c r="S428" i="3"/>
  <c r="N428" i="3"/>
  <c r="K428" i="3"/>
  <c r="AV427" i="3"/>
  <c r="AU427" i="3"/>
  <c r="X427" i="3"/>
  <c r="S427" i="3"/>
  <c r="N427" i="3"/>
  <c r="K427" i="3"/>
  <c r="AV426" i="3"/>
  <c r="AU426" i="3"/>
  <c r="X426" i="3"/>
  <c r="S426" i="3"/>
  <c r="N426" i="3"/>
  <c r="K426" i="3"/>
  <c r="AV425" i="3"/>
  <c r="AU425" i="3"/>
  <c r="X425" i="3"/>
  <c r="S425" i="3"/>
  <c r="N425" i="3"/>
  <c r="K425" i="3"/>
  <c r="AV424" i="3"/>
  <c r="AU424" i="3"/>
  <c r="X424" i="3"/>
  <c r="S424" i="3"/>
  <c r="N424" i="3"/>
  <c r="K424" i="3"/>
  <c r="AV423" i="3"/>
  <c r="AU423" i="3"/>
  <c r="X423" i="3"/>
  <c r="S423" i="3"/>
  <c r="N423" i="3"/>
  <c r="K423" i="3"/>
  <c r="AV422" i="3"/>
  <c r="AU422" i="3"/>
  <c r="X422" i="3"/>
  <c r="S422" i="3"/>
  <c r="N422" i="3"/>
  <c r="K422" i="3"/>
  <c r="AV421" i="3"/>
  <c r="AU421" i="3"/>
  <c r="X421" i="3"/>
  <c r="S421" i="3"/>
  <c r="N421" i="3"/>
  <c r="K421" i="3"/>
  <c r="AV420" i="3"/>
  <c r="AU420" i="3"/>
  <c r="X420" i="3"/>
  <c r="S420" i="3"/>
  <c r="N420" i="3"/>
  <c r="K420" i="3"/>
  <c r="AV419" i="3"/>
  <c r="AU419" i="3"/>
  <c r="X419" i="3"/>
  <c r="S419" i="3"/>
  <c r="N419" i="3"/>
  <c r="K419" i="3"/>
  <c r="AV418" i="3"/>
  <c r="AU418" i="3"/>
  <c r="X418" i="3"/>
  <c r="S418" i="3"/>
  <c r="N418" i="3"/>
  <c r="K418" i="3"/>
  <c r="AV417" i="3"/>
  <c r="AU417" i="3"/>
  <c r="X417" i="3"/>
  <c r="S417" i="3"/>
  <c r="N417" i="3"/>
  <c r="K417" i="3"/>
  <c r="AV416" i="3"/>
  <c r="AU416" i="3"/>
  <c r="X416" i="3"/>
  <c r="S416" i="3"/>
  <c r="N416" i="3"/>
  <c r="K416" i="3"/>
  <c r="AV415" i="3"/>
  <c r="AU415" i="3"/>
  <c r="X415" i="3"/>
  <c r="S415" i="3"/>
  <c r="N415" i="3"/>
  <c r="K415" i="3"/>
  <c r="AV414" i="3"/>
  <c r="AU414" i="3"/>
  <c r="X414" i="3"/>
  <c r="S414" i="3"/>
  <c r="N414" i="3"/>
  <c r="K414" i="3"/>
  <c r="AV413" i="3"/>
  <c r="AU413" i="3"/>
  <c r="X413" i="3"/>
  <c r="S413" i="3"/>
  <c r="N413" i="3"/>
  <c r="K413" i="3"/>
  <c r="AV412" i="3"/>
  <c r="AU412" i="3"/>
  <c r="X412" i="3"/>
  <c r="S412" i="3"/>
  <c r="N412" i="3"/>
  <c r="K412" i="3"/>
  <c r="AV411" i="3"/>
  <c r="AU411" i="3"/>
  <c r="X411" i="3"/>
  <c r="S411" i="3"/>
  <c r="N411" i="3"/>
  <c r="K411" i="3"/>
  <c r="AV410" i="3"/>
  <c r="AU410" i="3"/>
  <c r="X410" i="3"/>
  <c r="S410" i="3"/>
  <c r="N410" i="3"/>
  <c r="K410" i="3"/>
  <c r="AV409" i="3"/>
  <c r="AU409" i="3"/>
  <c r="X409" i="3"/>
  <c r="S409" i="3"/>
  <c r="N409" i="3"/>
  <c r="K409" i="3"/>
  <c r="AV408" i="3"/>
  <c r="AU408" i="3"/>
  <c r="X408" i="3"/>
  <c r="S408" i="3"/>
  <c r="N408" i="3"/>
  <c r="K408" i="3"/>
  <c r="AV407" i="3"/>
  <c r="AU407" i="3"/>
  <c r="X407" i="3"/>
  <c r="S407" i="3"/>
  <c r="N407" i="3"/>
  <c r="K407" i="3"/>
  <c r="AV406" i="3"/>
  <c r="AU406" i="3"/>
  <c r="X406" i="3"/>
  <c r="S406" i="3"/>
  <c r="N406" i="3"/>
  <c r="K406" i="3"/>
  <c r="AV405" i="3"/>
  <c r="AU405" i="3"/>
  <c r="X405" i="3"/>
  <c r="S405" i="3"/>
  <c r="N405" i="3"/>
  <c r="K405" i="3"/>
  <c r="AV404" i="3"/>
  <c r="AU404" i="3"/>
  <c r="X404" i="3"/>
  <c r="S404" i="3"/>
  <c r="N404" i="3"/>
  <c r="K404" i="3"/>
  <c r="AV403" i="3"/>
  <c r="AU403" i="3"/>
  <c r="X403" i="3"/>
  <c r="S403" i="3"/>
  <c r="N403" i="3"/>
  <c r="K403" i="3"/>
  <c r="AV402" i="3"/>
  <c r="AU402" i="3"/>
  <c r="X402" i="3"/>
  <c r="S402" i="3"/>
  <c r="N402" i="3"/>
  <c r="K402" i="3"/>
  <c r="AV401" i="3"/>
  <c r="AU401" i="3"/>
  <c r="X401" i="3"/>
  <c r="S401" i="3"/>
  <c r="N401" i="3"/>
  <c r="K401" i="3"/>
  <c r="AV400" i="3"/>
  <c r="AU400" i="3"/>
  <c r="X400" i="3"/>
  <c r="S400" i="3"/>
  <c r="N400" i="3"/>
  <c r="K400" i="3"/>
  <c r="AV399" i="3"/>
  <c r="AU399" i="3"/>
  <c r="X399" i="3"/>
  <c r="S399" i="3"/>
  <c r="N399" i="3"/>
  <c r="K399" i="3"/>
  <c r="AV398" i="3"/>
  <c r="AU398" i="3"/>
  <c r="X398" i="3"/>
  <c r="S398" i="3"/>
  <c r="N398" i="3"/>
  <c r="K398" i="3"/>
  <c r="AV397" i="3"/>
  <c r="AU397" i="3"/>
  <c r="X397" i="3"/>
  <c r="S397" i="3"/>
  <c r="N397" i="3"/>
  <c r="K397" i="3"/>
  <c r="AV396" i="3"/>
  <c r="AU396" i="3"/>
  <c r="X396" i="3"/>
  <c r="S396" i="3"/>
  <c r="N396" i="3"/>
  <c r="K396" i="3"/>
  <c r="AV395" i="3"/>
  <c r="AU395" i="3"/>
  <c r="X395" i="3"/>
  <c r="S395" i="3"/>
  <c r="N395" i="3"/>
  <c r="K395" i="3"/>
  <c r="AV394" i="3"/>
  <c r="AU394" i="3"/>
  <c r="X394" i="3"/>
  <c r="S394" i="3"/>
  <c r="N394" i="3"/>
  <c r="K394" i="3"/>
  <c r="AV393" i="3"/>
  <c r="AU393" i="3"/>
  <c r="X393" i="3"/>
  <c r="S393" i="3"/>
  <c r="N393" i="3"/>
  <c r="K393" i="3"/>
  <c r="AV392" i="3"/>
  <c r="AU392" i="3"/>
  <c r="X392" i="3"/>
  <c r="S392" i="3"/>
  <c r="N392" i="3"/>
  <c r="K392" i="3"/>
  <c r="AV391" i="3"/>
  <c r="AU391" i="3"/>
  <c r="X391" i="3"/>
  <c r="S391" i="3"/>
  <c r="N391" i="3"/>
  <c r="K391" i="3"/>
  <c r="AV390" i="3"/>
  <c r="AU390" i="3"/>
  <c r="X390" i="3"/>
  <c r="S390" i="3"/>
  <c r="N390" i="3"/>
  <c r="K390" i="3"/>
  <c r="AV389" i="3"/>
  <c r="AU389" i="3"/>
  <c r="AV388" i="3"/>
  <c r="AU388" i="3"/>
  <c r="AV387" i="3"/>
  <c r="AU387" i="3"/>
  <c r="AV386" i="3"/>
  <c r="AU386" i="3"/>
  <c r="AV385" i="3"/>
  <c r="AU385" i="3"/>
  <c r="AV384" i="3"/>
  <c r="AU384" i="3"/>
  <c r="AV383" i="3"/>
  <c r="AU383" i="3"/>
  <c r="AV382" i="3"/>
  <c r="AU382" i="3"/>
  <c r="X382" i="3"/>
  <c r="S382" i="3"/>
  <c r="N382" i="3"/>
  <c r="K382" i="3"/>
  <c r="AV381" i="3"/>
  <c r="AU381" i="3"/>
  <c r="X381" i="3"/>
  <c r="S381" i="3"/>
  <c r="N381" i="3"/>
  <c r="K381" i="3"/>
  <c r="AV380" i="3"/>
  <c r="AU380" i="3"/>
  <c r="X380" i="3"/>
  <c r="S380" i="3"/>
  <c r="N380" i="3"/>
  <c r="K380" i="3"/>
  <c r="AV379" i="3"/>
  <c r="AU379" i="3"/>
  <c r="X379" i="3"/>
  <c r="S379" i="3"/>
  <c r="N379" i="3"/>
  <c r="K379" i="3"/>
  <c r="AV378" i="3"/>
  <c r="AU378" i="3"/>
  <c r="X378" i="3"/>
  <c r="S378" i="3"/>
  <c r="N378" i="3"/>
  <c r="K378" i="3"/>
  <c r="AV377" i="3"/>
  <c r="AU377" i="3"/>
  <c r="X377" i="3"/>
  <c r="S377" i="3"/>
  <c r="N377" i="3"/>
  <c r="K377" i="3"/>
  <c r="AV376" i="3"/>
  <c r="AU376" i="3"/>
  <c r="X376" i="3"/>
  <c r="S376" i="3"/>
  <c r="N376" i="3"/>
  <c r="K376" i="3"/>
  <c r="AV375" i="3"/>
  <c r="AU375" i="3"/>
  <c r="X375" i="3"/>
  <c r="S375" i="3"/>
  <c r="N375" i="3"/>
  <c r="K375" i="3"/>
  <c r="AV374" i="3"/>
  <c r="AU374" i="3"/>
  <c r="X374" i="3"/>
  <c r="S374" i="3"/>
  <c r="N374" i="3"/>
  <c r="K374" i="3"/>
  <c r="AV373" i="3"/>
  <c r="AU373" i="3"/>
  <c r="X373" i="3"/>
  <c r="S373" i="3"/>
  <c r="N373" i="3"/>
  <c r="K373" i="3"/>
  <c r="AV372" i="3"/>
  <c r="AU372" i="3"/>
  <c r="X372" i="3"/>
  <c r="S372" i="3"/>
  <c r="N372" i="3"/>
  <c r="K372" i="3"/>
  <c r="AV371" i="3"/>
  <c r="AU371" i="3"/>
  <c r="X371" i="3"/>
  <c r="S371" i="3"/>
  <c r="N371" i="3"/>
  <c r="K371" i="3"/>
  <c r="AV370" i="3"/>
  <c r="AU370" i="3"/>
  <c r="X370" i="3"/>
  <c r="S370" i="3"/>
  <c r="N370" i="3"/>
  <c r="K370" i="3"/>
  <c r="AV369" i="3"/>
  <c r="AU369" i="3"/>
  <c r="X369" i="3"/>
  <c r="S369" i="3"/>
  <c r="N369" i="3"/>
  <c r="K369" i="3"/>
  <c r="AV368" i="3"/>
  <c r="AU368" i="3"/>
  <c r="X368" i="3"/>
  <c r="S368" i="3"/>
  <c r="N368" i="3"/>
  <c r="K368" i="3"/>
  <c r="AV367" i="3"/>
  <c r="AU367" i="3"/>
  <c r="X367" i="3"/>
  <c r="S367" i="3"/>
  <c r="N367" i="3"/>
  <c r="K367" i="3"/>
  <c r="AV366" i="3"/>
  <c r="AU366" i="3"/>
  <c r="X366" i="3"/>
  <c r="S366" i="3"/>
  <c r="N366" i="3"/>
  <c r="K366" i="3"/>
  <c r="AV365" i="3"/>
  <c r="AU365" i="3"/>
  <c r="X365" i="3"/>
  <c r="S365" i="3"/>
  <c r="N365" i="3"/>
  <c r="K365" i="3"/>
  <c r="AV364" i="3"/>
  <c r="AU364" i="3"/>
  <c r="X364" i="3"/>
  <c r="S364" i="3"/>
  <c r="N364" i="3"/>
  <c r="K364" i="3"/>
  <c r="AV363" i="3"/>
  <c r="AU363" i="3"/>
  <c r="X363" i="3"/>
  <c r="S363" i="3"/>
  <c r="N363" i="3"/>
  <c r="K363" i="3"/>
  <c r="AV362" i="3"/>
  <c r="AU362" i="3"/>
  <c r="X362" i="3"/>
  <c r="S362" i="3"/>
  <c r="N362" i="3"/>
  <c r="K362" i="3"/>
  <c r="AV361" i="3"/>
  <c r="AU361" i="3"/>
  <c r="X361" i="3"/>
  <c r="S361" i="3"/>
  <c r="N361" i="3"/>
  <c r="K361" i="3"/>
  <c r="AV360" i="3"/>
  <c r="AU360" i="3"/>
  <c r="X360" i="3"/>
  <c r="S360" i="3"/>
  <c r="N360" i="3"/>
  <c r="K360" i="3"/>
  <c r="AV359" i="3"/>
  <c r="AU359" i="3"/>
  <c r="X359" i="3"/>
  <c r="S359" i="3"/>
  <c r="N359" i="3"/>
  <c r="K359" i="3"/>
  <c r="AV358" i="3"/>
  <c r="AU358" i="3"/>
  <c r="X358" i="3"/>
  <c r="S358" i="3"/>
  <c r="N358" i="3"/>
  <c r="K358" i="3"/>
  <c r="AV357" i="3"/>
  <c r="AU357" i="3"/>
  <c r="X357" i="3"/>
  <c r="S357" i="3"/>
  <c r="N357" i="3"/>
  <c r="K357" i="3"/>
  <c r="AV356" i="3"/>
  <c r="AU356" i="3"/>
  <c r="X356" i="3"/>
  <c r="S356" i="3"/>
  <c r="N356" i="3"/>
  <c r="K356" i="3"/>
  <c r="AV355" i="3"/>
  <c r="AU355" i="3"/>
  <c r="X355" i="3"/>
  <c r="S355" i="3"/>
  <c r="N355" i="3"/>
  <c r="K355" i="3"/>
  <c r="AV354" i="3"/>
  <c r="AU354" i="3"/>
  <c r="X354" i="3"/>
  <c r="S354" i="3"/>
  <c r="N354" i="3"/>
  <c r="K354" i="3"/>
  <c r="AV353" i="3"/>
  <c r="AU353" i="3"/>
  <c r="X353" i="3"/>
  <c r="S353" i="3"/>
  <c r="N353" i="3"/>
  <c r="K353" i="3"/>
  <c r="AV352" i="3"/>
  <c r="AU352" i="3"/>
  <c r="X352" i="3"/>
  <c r="S352" i="3"/>
  <c r="N352" i="3"/>
  <c r="K352" i="3"/>
  <c r="AV351" i="3"/>
  <c r="AU351" i="3"/>
  <c r="X351" i="3"/>
  <c r="S351" i="3"/>
  <c r="N351" i="3"/>
  <c r="K351" i="3"/>
  <c r="AV350" i="3"/>
  <c r="AU350" i="3"/>
  <c r="X350" i="3"/>
  <c r="S350" i="3"/>
  <c r="N350" i="3"/>
  <c r="K350" i="3"/>
  <c r="AV349" i="3"/>
  <c r="AU349" i="3"/>
  <c r="X349" i="3"/>
  <c r="S349" i="3"/>
  <c r="N349" i="3"/>
  <c r="K349" i="3"/>
  <c r="AV348" i="3"/>
  <c r="AU348" i="3"/>
  <c r="X348" i="3"/>
  <c r="S348" i="3"/>
  <c r="N348" i="3"/>
  <c r="K348" i="3"/>
  <c r="AV347" i="3"/>
  <c r="AU347" i="3"/>
  <c r="X347" i="3"/>
  <c r="S347" i="3"/>
  <c r="N347" i="3"/>
  <c r="K347" i="3"/>
  <c r="AV346" i="3"/>
  <c r="AU346" i="3"/>
  <c r="X346" i="3"/>
  <c r="S346" i="3"/>
  <c r="N346" i="3"/>
  <c r="K346" i="3"/>
  <c r="AV345" i="3"/>
  <c r="AU345" i="3"/>
  <c r="X345" i="3"/>
  <c r="S345" i="3"/>
  <c r="N345" i="3"/>
  <c r="K345" i="3"/>
  <c r="AV344" i="3"/>
  <c r="AU344" i="3"/>
  <c r="X344" i="3"/>
  <c r="S344" i="3"/>
  <c r="N344" i="3"/>
  <c r="K344" i="3"/>
  <c r="AV343" i="3"/>
  <c r="AU343" i="3"/>
  <c r="AV342" i="3"/>
  <c r="AU342" i="3"/>
  <c r="AV341" i="3"/>
  <c r="AU341" i="3"/>
  <c r="AV340" i="3"/>
  <c r="AU340" i="3"/>
  <c r="AV339" i="3"/>
  <c r="AU339" i="3"/>
  <c r="AV338" i="3"/>
  <c r="AU338" i="3"/>
  <c r="AV337" i="3"/>
  <c r="AU337" i="3"/>
  <c r="AV336" i="3"/>
  <c r="AU336" i="3"/>
  <c r="X336" i="3"/>
  <c r="S336" i="3"/>
  <c r="N336" i="3"/>
  <c r="K336" i="3"/>
  <c r="AV335" i="3"/>
  <c r="AU335" i="3"/>
  <c r="X335" i="3"/>
  <c r="S335" i="3"/>
  <c r="N335" i="3"/>
  <c r="K335" i="3"/>
  <c r="AV334" i="3"/>
  <c r="AU334" i="3"/>
  <c r="X334" i="3"/>
  <c r="S334" i="3"/>
  <c r="N334" i="3"/>
  <c r="K334" i="3"/>
  <c r="AV333" i="3"/>
  <c r="AU333" i="3"/>
  <c r="X333" i="3"/>
  <c r="S333" i="3"/>
  <c r="N333" i="3"/>
  <c r="K333" i="3"/>
  <c r="AV332" i="3"/>
  <c r="AU332" i="3"/>
  <c r="X332" i="3"/>
  <c r="S332" i="3"/>
  <c r="N332" i="3"/>
  <c r="K332" i="3"/>
  <c r="AV331" i="3"/>
  <c r="AU331" i="3"/>
  <c r="X331" i="3"/>
  <c r="S331" i="3"/>
  <c r="N331" i="3"/>
  <c r="K331" i="3"/>
  <c r="AV330" i="3"/>
  <c r="AU330" i="3"/>
  <c r="X330" i="3"/>
  <c r="S330" i="3"/>
  <c r="N330" i="3"/>
  <c r="K330" i="3"/>
  <c r="AV329" i="3"/>
  <c r="AU329" i="3"/>
  <c r="X329" i="3"/>
  <c r="S329" i="3"/>
  <c r="N329" i="3"/>
  <c r="K329" i="3"/>
  <c r="AV328" i="3"/>
  <c r="AU328" i="3"/>
  <c r="X328" i="3"/>
  <c r="S328" i="3"/>
  <c r="N328" i="3"/>
  <c r="K328" i="3"/>
  <c r="AV327" i="3"/>
  <c r="AU327" i="3"/>
  <c r="X327" i="3"/>
  <c r="S327" i="3"/>
  <c r="N327" i="3"/>
  <c r="K327" i="3"/>
  <c r="AV326" i="3"/>
  <c r="AU326" i="3"/>
  <c r="X326" i="3"/>
  <c r="S326" i="3"/>
  <c r="N326" i="3"/>
  <c r="K326" i="3"/>
  <c r="AV325" i="3"/>
  <c r="AU325" i="3"/>
  <c r="X325" i="3"/>
  <c r="S325" i="3"/>
  <c r="N325" i="3"/>
  <c r="K325" i="3"/>
  <c r="AV324" i="3"/>
  <c r="AU324" i="3"/>
  <c r="X324" i="3"/>
  <c r="S324" i="3"/>
  <c r="N324" i="3"/>
  <c r="K324" i="3"/>
  <c r="AV323" i="3"/>
  <c r="AU323" i="3"/>
  <c r="X323" i="3"/>
  <c r="S323" i="3"/>
  <c r="N323" i="3"/>
  <c r="K323" i="3"/>
  <c r="AV322" i="3"/>
  <c r="AU322" i="3"/>
  <c r="X322" i="3"/>
  <c r="S322" i="3"/>
  <c r="N322" i="3"/>
  <c r="K322" i="3"/>
  <c r="AV321" i="3"/>
  <c r="AU321" i="3"/>
  <c r="X321" i="3"/>
  <c r="S321" i="3"/>
  <c r="N321" i="3"/>
  <c r="K321" i="3"/>
  <c r="AV320" i="3"/>
  <c r="AU320" i="3"/>
  <c r="X320" i="3"/>
  <c r="S320" i="3"/>
  <c r="N320" i="3"/>
  <c r="K320" i="3"/>
  <c r="AV319" i="3"/>
  <c r="AU319" i="3"/>
  <c r="X319" i="3"/>
  <c r="S319" i="3"/>
  <c r="N319" i="3"/>
  <c r="K319" i="3"/>
  <c r="AV318" i="3"/>
  <c r="AU318" i="3"/>
  <c r="X318" i="3"/>
  <c r="S318" i="3"/>
  <c r="N318" i="3"/>
  <c r="K318" i="3"/>
  <c r="AV317" i="3"/>
  <c r="AU317" i="3"/>
  <c r="X317" i="3"/>
  <c r="S317" i="3"/>
  <c r="N317" i="3"/>
  <c r="K317" i="3"/>
  <c r="AV316" i="3"/>
  <c r="AU316" i="3"/>
  <c r="X316" i="3"/>
  <c r="S316" i="3"/>
  <c r="N316" i="3"/>
  <c r="K316" i="3"/>
  <c r="AV315" i="3"/>
  <c r="AU315" i="3"/>
  <c r="X315" i="3"/>
  <c r="S315" i="3"/>
  <c r="N315" i="3"/>
  <c r="K315" i="3"/>
  <c r="AV314" i="3"/>
  <c r="AU314" i="3"/>
  <c r="X314" i="3"/>
  <c r="S314" i="3"/>
  <c r="N314" i="3"/>
  <c r="K314" i="3"/>
  <c r="AV313" i="3"/>
  <c r="AU313" i="3"/>
  <c r="X313" i="3"/>
  <c r="S313" i="3"/>
  <c r="N313" i="3"/>
  <c r="K313" i="3"/>
  <c r="AV312" i="3"/>
  <c r="AU312" i="3"/>
  <c r="X312" i="3"/>
  <c r="S312" i="3"/>
  <c r="N312" i="3"/>
  <c r="K312" i="3"/>
  <c r="AV311" i="3"/>
  <c r="AU311" i="3"/>
  <c r="X311" i="3"/>
  <c r="S311" i="3"/>
  <c r="N311" i="3"/>
  <c r="K311" i="3"/>
  <c r="AV310" i="3"/>
  <c r="AU310" i="3"/>
  <c r="X310" i="3"/>
  <c r="S310" i="3"/>
  <c r="N310" i="3"/>
  <c r="K310" i="3"/>
  <c r="AV309" i="3"/>
  <c r="AU309" i="3"/>
  <c r="X309" i="3"/>
  <c r="S309" i="3"/>
  <c r="N309" i="3"/>
  <c r="K309" i="3"/>
  <c r="AV308" i="3"/>
  <c r="AU308" i="3"/>
  <c r="X308" i="3"/>
  <c r="S308" i="3"/>
  <c r="N308" i="3"/>
  <c r="K308" i="3"/>
  <c r="AV307" i="3"/>
  <c r="AU307" i="3"/>
  <c r="X307" i="3"/>
  <c r="S307" i="3"/>
  <c r="N307" i="3"/>
  <c r="K307" i="3"/>
  <c r="AV306" i="3"/>
  <c r="AU306" i="3"/>
  <c r="X306" i="3"/>
  <c r="S306" i="3"/>
  <c r="N306" i="3"/>
  <c r="K306" i="3"/>
  <c r="AV305" i="3"/>
  <c r="AU305" i="3"/>
  <c r="X305" i="3"/>
  <c r="S305" i="3"/>
  <c r="N305" i="3"/>
  <c r="K305" i="3"/>
  <c r="AV304" i="3"/>
  <c r="AU304" i="3"/>
  <c r="X304" i="3"/>
  <c r="S304" i="3"/>
  <c r="N304" i="3"/>
  <c r="K304" i="3"/>
  <c r="AV303" i="3"/>
  <c r="AU303" i="3"/>
  <c r="X303" i="3"/>
  <c r="S303" i="3"/>
  <c r="N303" i="3"/>
  <c r="K303" i="3"/>
  <c r="AV302" i="3"/>
  <c r="AU302" i="3"/>
  <c r="X302" i="3"/>
  <c r="S302" i="3"/>
  <c r="N302" i="3"/>
  <c r="K302" i="3"/>
  <c r="AV301" i="3"/>
  <c r="AU301" i="3"/>
  <c r="X301" i="3"/>
  <c r="S301" i="3"/>
  <c r="N301" i="3"/>
  <c r="K301" i="3"/>
  <c r="AV300" i="3"/>
  <c r="AU300" i="3"/>
  <c r="X300" i="3"/>
  <c r="S300" i="3"/>
  <c r="N300" i="3"/>
  <c r="K300" i="3"/>
  <c r="AV299" i="3"/>
  <c r="AU299" i="3"/>
  <c r="X299" i="3"/>
  <c r="S299" i="3"/>
  <c r="N299" i="3"/>
  <c r="K299" i="3"/>
  <c r="AV298" i="3"/>
  <c r="AU298" i="3"/>
  <c r="X298" i="3"/>
  <c r="S298" i="3"/>
  <c r="N298" i="3"/>
  <c r="K298" i="3"/>
  <c r="AV297" i="3"/>
  <c r="AU297" i="3"/>
  <c r="AV296" i="3"/>
  <c r="AU296" i="3"/>
  <c r="AV295" i="3"/>
  <c r="AU295" i="3"/>
  <c r="AV294" i="3"/>
  <c r="AU294" i="3"/>
  <c r="AV293" i="3"/>
  <c r="AU293" i="3"/>
  <c r="AV292" i="3"/>
  <c r="AU292" i="3"/>
  <c r="AV291" i="3"/>
  <c r="AU291" i="3"/>
  <c r="AV290" i="3"/>
  <c r="AU290" i="3"/>
  <c r="X290" i="3"/>
  <c r="S290" i="3"/>
  <c r="N290" i="3"/>
  <c r="K290" i="3"/>
  <c r="AV289" i="3"/>
  <c r="AU289" i="3"/>
  <c r="X289" i="3"/>
  <c r="S289" i="3"/>
  <c r="N289" i="3"/>
  <c r="K289" i="3"/>
  <c r="AV288" i="3"/>
  <c r="AU288" i="3"/>
  <c r="X288" i="3"/>
  <c r="S288" i="3"/>
  <c r="N288" i="3"/>
  <c r="K288" i="3"/>
  <c r="AV287" i="3"/>
  <c r="AU287" i="3"/>
  <c r="X287" i="3"/>
  <c r="S287" i="3"/>
  <c r="N287" i="3"/>
  <c r="K287" i="3"/>
  <c r="AV286" i="3"/>
  <c r="AU286" i="3"/>
  <c r="X286" i="3"/>
  <c r="S286" i="3"/>
  <c r="N286" i="3"/>
  <c r="K286" i="3"/>
  <c r="AV285" i="3"/>
  <c r="AU285" i="3"/>
  <c r="X285" i="3"/>
  <c r="S285" i="3"/>
  <c r="N285" i="3"/>
  <c r="K285" i="3"/>
  <c r="AV284" i="3"/>
  <c r="AU284" i="3"/>
  <c r="X284" i="3"/>
  <c r="S284" i="3"/>
  <c r="N284" i="3"/>
  <c r="K284" i="3"/>
  <c r="AV283" i="3"/>
  <c r="AU283" i="3"/>
  <c r="X283" i="3"/>
  <c r="S283" i="3"/>
  <c r="N283" i="3"/>
  <c r="K283" i="3"/>
  <c r="AV282" i="3"/>
  <c r="AU282" i="3"/>
  <c r="X282" i="3"/>
  <c r="S282" i="3"/>
  <c r="N282" i="3"/>
  <c r="K282" i="3"/>
  <c r="AV281" i="3"/>
  <c r="AU281" i="3"/>
  <c r="X281" i="3"/>
  <c r="S281" i="3"/>
  <c r="N281" i="3"/>
  <c r="K281" i="3"/>
  <c r="AV280" i="3"/>
  <c r="AU280" i="3"/>
  <c r="X280" i="3"/>
  <c r="S280" i="3"/>
  <c r="N280" i="3"/>
  <c r="K280" i="3"/>
  <c r="AV279" i="3"/>
  <c r="AU279" i="3"/>
  <c r="X279" i="3"/>
  <c r="S279" i="3"/>
  <c r="N279" i="3"/>
  <c r="K279" i="3"/>
  <c r="AV278" i="3"/>
  <c r="AU278" i="3"/>
  <c r="X278" i="3"/>
  <c r="S278" i="3"/>
  <c r="N278" i="3"/>
  <c r="K278" i="3"/>
  <c r="AV277" i="3"/>
  <c r="AU277" i="3"/>
  <c r="X277" i="3"/>
  <c r="S277" i="3"/>
  <c r="N277" i="3"/>
  <c r="K277" i="3"/>
  <c r="AV276" i="3"/>
  <c r="AU276" i="3"/>
  <c r="X276" i="3"/>
  <c r="S276" i="3"/>
  <c r="N276" i="3"/>
  <c r="K276" i="3"/>
  <c r="AV275" i="3"/>
  <c r="AU275" i="3"/>
  <c r="X275" i="3"/>
  <c r="S275" i="3"/>
  <c r="N275" i="3"/>
  <c r="K275" i="3"/>
  <c r="AV274" i="3"/>
  <c r="AU274" i="3"/>
  <c r="X274" i="3"/>
  <c r="S274" i="3"/>
  <c r="N274" i="3"/>
  <c r="K274" i="3"/>
  <c r="AV273" i="3"/>
  <c r="AU273" i="3"/>
  <c r="X273" i="3"/>
  <c r="S273" i="3"/>
  <c r="N273" i="3"/>
  <c r="K273" i="3"/>
  <c r="AV272" i="3"/>
  <c r="AU272" i="3"/>
  <c r="X272" i="3"/>
  <c r="S272" i="3"/>
  <c r="N272" i="3"/>
  <c r="K272" i="3"/>
  <c r="AV271" i="3"/>
  <c r="AU271" i="3"/>
  <c r="X271" i="3"/>
  <c r="S271" i="3"/>
  <c r="N271" i="3"/>
  <c r="K271" i="3"/>
  <c r="AV270" i="3"/>
  <c r="AU270" i="3"/>
  <c r="X270" i="3"/>
  <c r="S270" i="3"/>
  <c r="N270" i="3"/>
  <c r="K270" i="3"/>
  <c r="AV269" i="3"/>
  <c r="AU269" i="3"/>
  <c r="X269" i="3"/>
  <c r="S269" i="3"/>
  <c r="N269" i="3"/>
  <c r="K269" i="3"/>
  <c r="AV268" i="3"/>
  <c r="AU268" i="3"/>
  <c r="X268" i="3"/>
  <c r="S268" i="3"/>
  <c r="N268" i="3"/>
  <c r="K268" i="3"/>
  <c r="AV267" i="3"/>
  <c r="AU267" i="3"/>
  <c r="X267" i="3"/>
  <c r="S267" i="3"/>
  <c r="N267" i="3"/>
  <c r="K267" i="3"/>
  <c r="AV266" i="3"/>
  <c r="AU266" i="3"/>
  <c r="X266" i="3"/>
  <c r="S266" i="3"/>
  <c r="N266" i="3"/>
  <c r="K266" i="3"/>
  <c r="AV265" i="3"/>
  <c r="AU265" i="3"/>
  <c r="X265" i="3"/>
  <c r="S265" i="3"/>
  <c r="N265" i="3"/>
  <c r="K265" i="3"/>
  <c r="AV264" i="3"/>
  <c r="AU264" i="3"/>
  <c r="X264" i="3"/>
  <c r="S264" i="3"/>
  <c r="N264" i="3"/>
  <c r="K264" i="3"/>
  <c r="AV263" i="3"/>
  <c r="AU263" i="3"/>
  <c r="X263" i="3"/>
  <c r="S263" i="3"/>
  <c r="N263" i="3"/>
  <c r="K263" i="3"/>
  <c r="AV262" i="3"/>
  <c r="AU262" i="3"/>
  <c r="X262" i="3"/>
  <c r="S262" i="3"/>
  <c r="N262" i="3"/>
  <c r="K262" i="3"/>
  <c r="AV261" i="3"/>
  <c r="AU261" i="3"/>
  <c r="X261" i="3"/>
  <c r="S261" i="3"/>
  <c r="N261" i="3"/>
  <c r="K261" i="3"/>
  <c r="AV260" i="3"/>
  <c r="AU260" i="3"/>
  <c r="X260" i="3"/>
  <c r="S260" i="3"/>
  <c r="N260" i="3"/>
  <c r="K260" i="3"/>
  <c r="AV259" i="3"/>
  <c r="AU259" i="3"/>
  <c r="X259" i="3"/>
  <c r="S259" i="3"/>
  <c r="N259" i="3"/>
  <c r="K259" i="3"/>
  <c r="AV258" i="3"/>
  <c r="AU258" i="3"/>
  <c r="X258" i="3"/>
  <c r="S258" i="3"/>
  <c r="N258" i="3"/>
  <c r="K258" i="3"/>
  <c r="AV257" i="3"/>
  <c r="AU257" i="3"/>
  <c r="X257" i="3"/>
  <c r="S257" i="3"/>
  <c r="N257" i="3"/>
  <c r="K257" i="3"/>
  <c r="AV256" i="3"/>
  <c r="AU256" i="3"/>
  <c r="X256" i="3"/>
  <c r="S256" i="3"/>
  <c r="N256" i="3"/>
  <c r="K256" i="3"/>
  <c r="AV255" i="3"/>
  <c r="AU255" i="3"/>
  <c r="X255" i="3"/>
  <c r="S255" i="3"/>
  <c r="N255" i="3"/>
  <c r="K255" i="3"/>
  <c r="AV254" i="3"/>
  <c r="AU254" i="3"/>
  <c r="X254" i="3"/>
  <c r="S254" i="3"/>
  <c r="N254" i="3"/>
  <c r="K254" i="3"/>
  <c r="AV253" i="3"/>
  <c r="AU253" i="3"/>
  <c r="X253" i="3"/>
  <c r="S253" i="3"/>
  <c r="N253" i="3"/>
  <c r="K253" i="3"/>
  <c r="AV252" i="3"/>
  <c r="AU252" i="3"/>
  <c r="AV251" i="3"/>
  <c r="AU251" i="3"/>
  <c r="AV250" i="3"/>
  <c r="AU250" i="3"/>
  <c r="AV249" i="3"/>
  <c r="AU249" i="3"/>
  <c r="AV248" i="3"/>
  <c r="AU248" i="3"/>
  <c r="AV247" i="3"/>
  <c r="AU247" i="3"/>
  <c r="AV246" i="3"/>
  <c r="AU246" i="3"/>
  <c r="AV245" i="3"/>
  <c r="AU245" i="3"/>
  <c r="AV244" i="3"/>
  <c r="AU244" i="3"/>
  <c r="AV243" i="3"/>
  <c r="AU243" i="3"/>
  <c r="AV242" i="3"/>
  <c r="AU242" i="3"/>
  <c r="S242" i="3"/>
  <c r="N242" i="3"/>
  <c r="K242" i="3"/>
  <c r="AV241" i="3"/>
  <c r="AU241" i="3"/>
  <c r="X241" i="3"/>
  <c r="S241" i="3"/>
  <c r="N241" i="3"/>
  <c r="K241" i="3"/>
  <c r="AV240" i="3"/>
  <c r="AU240" i="3"/>
  <c r="X240" i="3"/>
  <c r="S240" i="3"/>
  <c r="N240" i="3"/>
  <c r="K240" i="3"/>
  <c r="AV239" i="3"/>
  <c r="AU239" i="3"/>
  <c r="X239" i="3"/>
  <c r="S239" i="3"/>
  <c r="N239" i="3"/>
  <c r="K239" i="3"/>
  <c r="AV238" i="3"/>
  <c r="AU238" i="3"/>
  <c r="X238" i="3"/>
  <c r="S238" i="3"/>
  <c r="N238" i="3"/>
  <c r="K238" i="3"/>
  <c r="AV237" i="3"/>
  <c r="AU237" i="3"/>
  <c r="X237" i="3"/>
  <c r="S237" i="3"/>
  <c r="N237" i="3"/>
  <c r="K237" i="3"/>
  <c r="AV236" i="3"/>
  <c r="AU236" i="3"/>
  <c r="X236" i="3"/>
  <c r="S236" i="3"/>
  <c r="N236" i="3"/>
  <c r="K236" i="3"/>
  <c r="AV235" i="3"/>
  <c r="AU235" i="3"/>
  <c r="X235" i="3"/>
  <c r="S235" i="3"/>
  <c r="N235" i="3"/>
  <c r="K235" i="3"/>
  <c r="AV234" i="3"/>
  <c r="AU234" i="3"/>
  <c r="X234" i="3"/>
  <c r="S234" i="3"/>
  <c r="N234" i="3"/>
  <c r="K234" i="3"/>
  <c r="AV233" i="3"/>
  <c r="AU233" i="3"/>
  <c r="X233" i="3"/>
  <c r="S233" i="3"/>
  <c r="N233" i="3"/>
  <c r="K233" i="3"/>
  <c r="AV232" i="3"/>
  <c r="AU232" i="3"/>
  <c r="X232" i="3"/>
  <c r="S232" i="3"/>
  <c r="N232" i="3"/>
  <c r="K232" i="3"/>
  <c r="AV231" i="3"/>
  <c r="AU231" i="3"/>
  <c r="X231" i="3"/>
  <c r="S231" i="3"/>
  <c r="N231" i="3"/>
  <c r="K231" i="3"/>
  <c r="AV230" i="3"/>
  <c r="AU230" i="3"/>
  <c r="X230" i="3"/>
  <c r="S230" i="3"/>
  <c r="N230" i="3"/>
  <c r="K230" i="3"/>
  <c r="AV229" i="3"/>
  <c r="AU229" i="3"/>
  <c r="X229" i="3"/>
  <c r="S229" i="3"/>
  <c r="N229" i="3"/>
  <c r="K229" i="3"/>
  <c r="AV228" i="3"/>
  <c r="AU228" i="3"/>
  <c r="X228" i="3"/>
  <c r="S228" i="3"/>
  <c r="N228" i="3"/>
  <c r="K228" i="3"/>
  <c r="AV227" i="3"/>
  <c r="AU227" i="3"/>
  <c r="X227" i="3"/>
  <c r="S227" i="3"/>
  <c r="N227" i="3"/>
  <c r="K227" i="3"/>
  <c r="AV226" i="3"/>
  <c r="AU226" i="3"/>
  <c r="X226" i="3"/>
  <c r="S226" i="3"/>
  <c r="N226" i="3"/>
  <c r="K226" i="3"/>
  <c r="AV225" i="3"/>
  <c r="AU225" i="3"/>
  <c r="X225" i="3"/>
  <c r="S225" i="3"/>
  <c r="N225" i="3"/>
  <c r="K225" i="3"/>
  <c r="AV224" i="3"/>
  <c r="AU224" i="3"/>
  <c r="X224" i="3"/>
  <c r="S224" i="3"/>
  <c r="N224" i="3"/>
  <c r="K224" i="3"/>
  <c r="AV223" i="3"/>
  <c r="AU223" i="3"/>
  <c r="X223" i="3"/>
  <c r="S223" i="3"/>
  <c r="N223" i="3"/>
  <c r="K223" i="3"/>
  <c r="AV222" i="3"/>
  <c r="AU222" i="3"/>
  <c r="X222" i="3"/>
  <c r="S222" i="3"/>
  <c r="N222" i="3"/>
  <c r="K222" i="3"/>
  <c r="AV221" i="3"/>
  <c r="AU221" i="3"/>
  <c r="X221" i="3"/>
  <c r="S221" i="3"/>
  <c r="N221" i="3"/>
  <c r="K221" i="3"/>
  <c r="AV220" i="3"/>
  <c r="AU220" i="3"/>
  <c r="X220" i="3"/>
  <c r="S220" i="3"/>
  <c r="N220" i="3"/>
  <c r="K220" i="3"/>
  <c r="AV219" i="3"/>
  <c r="AU219" i="3"/>
  <c r="X219" i="3"/>
  <c r="S219" i="3"/>
  <c r="N219" i="3"/>
  <c r="K219" i="3"/>
  <c r="AV218" i="3"/>
  <c r="AU218" i="3"/>
  <c r="X218" i="3"/>
  <c r="S218" i="3"/>
  <c r="N218" i="3"/>
  <c r="K218" i="3"/>
  <c r="AV217" i="3"/>
  <c r="AU217" i="3"/>
  <c r="X217" i="3"/>
  <c r="S217" i="3"/>
  <c r="N217" i="3"/>
  <c r="K217" i="3"/>
  <c r="AV216" i="3"/>
  <c r="AU216" i="3"/>
  <c r="X216" i="3"/>
  <c r="S216" i="3"/>
  <c r="N216" i="3"/>
  <c r="K216" i="3"/>
  <c r="AV215" i="3"/>
  <c r="AU215" i="3"/>
  <c r="X215" i="3"/>
  <c r="S215" i="3"/>
  <c r="N215" i="3"/>
  <c r="K215" i="3"/>
  <c r="AV214" i="3"/>
  <c r="AU214" i="3"/>
  <c r="X214" i="3"/>
  <c r="S214" i="3"/>
  <c r="N214" i="3"/>
  <c r="K214" i="3"/>
  <c r="AV213" i="3"/>
  <c r="AU213" i="3"/>
  <c r="X213" i="3"/>
  <c r="S213" i="3"/>
  <c r="N213" i="3"/>
  <c r="K213" i="3"/>
  <c r="AV212" i="3"/>
  <c r="AU212" i="3"/>
  <c r="X212" i="3"/>
  <c r="S212" i="3"/>
  <c r="N212" i="3"/>
  <c r="K212" i="3"/>
  <c r="AV211" i="3"/>
  <c r="AU211" i="3"/>
  <c r="X211" i="3"/>
  <c r="S211" i="3"/>
  <c r="N211" i="3"/>
  <c r="K211" i="3"/>
  <c r="AV210" i="3"/>
  <c r="AU210" i="3"/>
  <c r="X210" i="3"/>
  <c r="S210" i="3"/>
  <c r="N210" i="3"/>
  <c r="K210" i="3"/>
  <c r="AV209" i="3"/>
  <c r="AU209" i="3"/>
  <c r="X209" i="3"/>
  <c r="S209" i="3"/>
  <c r="N209" i="3"/>
  <c r="K209" i="3"/>
  <c r="AV208" i="3"/>
  <c r="AU208" i="3"/>
  <c r="X208" i="3"/>
  <c r="S208" i="3"/>
  <c r="N208" i="3"/>
  <c r="K208" i="3"/>
  <c r="AV207" i="3"/>
  <c r="AU207" i="3"/>
  <c r="X207" i="3"/>
  <c r="S207" i="3"/>
  <c r="N207" i="3"/>
  <c r="K207" i="3"/>
  <c r="AV206" i="3"/>
  <c r="AU206" i="3"/>
  <c r="AV205" i="3"/>
  <c r="AU205" i="3"/>
  <c r="AV204" i="3"/>
  <c r="AU204" i="3"/>
  <c r="AV203" i="3"/>
  <c r="AU203" i="3"/>
  <c r="AV202" i="3"/>
  <c r="AU202" i="3"/>
  <c r="AV201" i="3"/>
  <c r="AU201" i="3"/>
  <c r="AV200" i="3"/>
  <c r="AU200" i="3"/>
  <c r="AV199" i="3"/>
  <c r="AU199" i="3"/>
  <c r="AV198" i="3"/>
  <c r="AU198" i="3"/>
  <c r="X198" i="3"/>
  <c r="S198" i="3"/>
  <c r="N198" i="3"/>
  <c r="K198" i="3"/>
  <c r="AV197" i="3"/>
  <c r="AU197" i="3"/>
  <c r="X197" i="3"/>
  <c r="S197" i="3"/>
  <c r="N197" i="3"/>
  <c r="K197" i="3"/>
  <c r="AV196" i="3"/>
  <c r="AU196" i="3"/>
  <c r="X196" i="3"/>
  <c r="S196" i="3"/>
  <c r="N196" i="3"/>
  <c r="K196" i="3"/>
  <c r="AV195" i="3"/>
  <c r="AU195" i="3"/>
  <c r="X195" i="3"/>
  <c r="S195" i="3"/>
  <c r="N195" i="3"/>
  <c r="K195" i="3"/>
  <c r="AV194" i="3"/>
  <c r="AU194" i="3"/>
  <c r="X194" i="3"/>
  <c r="S194" i="3"/>
  <c r="N194" i="3"/>
  <c r="K194" i="3"/>
  <c r="AV193" i="3"/>
  <c r="AU193" i="3"/>
  <c r="X193" i="3"/>
  <c r="S193" i="3"/>
  <c r="N193" i="3"/>
  <c r="K193" i="3"/>
  <c r="AV192" i="3"/>
  <c r="AU192" i="3"/>
  <c r="X192" i="3"/>
  <c r="S192" i="3"/>
  <c r="N192" i="3"/>
  <c r="K192" i="3"/>
  <c r="AV191" i="3"/>
  <c r="AU191" i="3"/>
  <c r="X191" i="3"/>
  <c r="S191" i="3"/>
  <c r="N191" i="3"/>
  <c r="K191" i="3"/>
  <c r="AV190" i="3"/>
  <c r="AU190" i="3"/>
  <c r="X190" i="3"/>
  <c r="S190" i="3"/>
  <c r="N190" i="3"/>
  <c r="K190" i="3"/>
  <c r="AX189" i="3"/>
  <c r="AV189" i="3"/>
  <c r="AU189" i="3"/>
  <c r="X189" i="3"/>
  <c r="S189" i="3"/>
  <c r="N189" i="3"/>
  <c r="K189" i="3"/>
  <c r="AV188" i="3"/>
  <c r="AU188" i="3"/>
  <c r="X188" i="3"/>
  <c r="S188" i="3"/>
  <c r="N188" i="3"/>
  <c r="K188" i="3"/>
  <c r="AV187" i="3"/>
  <c r="AU187" i="3"/>
  <c r="X187" i="3"/>
  <c r="S187" i="3"/>
  <c r="N187" i="3"/>
  <c r="K187" i="3"/>
  <c r="AV186" i="3"/>
  <c r="AU186" i="3"/>
  <c r="X186" i="3"/>
  <c r="S186" i="3"/>
  <c r="N186" i="3"/>
  <c r="K186" i="3"/>
  <c r="AV185" i="3"/>
  <c r="AU185" i="3"/>
  <c r="X185" i="3"/>
  <c r="S185" i="3"/>
  <c r="N185" i="3"/>
  <c r="K185" i="3"/>
  <c r="AV184" i="3"/>
  <c r="AU184" i="3"/>
  <c r="X184" i="3"/>
  <c r="S184" i="3"/>
  <c r="N184" i="3"/>
  <c r="K184" i="3"/>
  <c r="AV183" i="3"/>
  <c r="AU183" i="3"/>
  <c r="X183" i="3"/>
  <c r="S183" i="3"/>
  <c r="N183" i="3"/>
  <c r="K183" i="3"/>
  <c r="AV182" i="3"/>
  <c r="AU182" i="3"/>
  <c r="X182" i="3"/>
  <c r="S182" i="3"/>
  <c r="N182" i="3"/>
  <c r="K182" i="3"/>
  <c r="AV181" i="3"/>
  <c r="AU181" i="3"/>
  <c r="X181" i="3"/>
  <c r="S181" i="3"/>
  <c r="N181" i="3"/>
  <c r="K181" i="3"/>
  <c r="AV180" i="3"/>
  <c r="AU180" i="3"/>
  <c r="X180" i="3"/>
  <c r="S180" i="3"/>
  <c r="N180" i="3"/>
  <c r="K180" i="3"/>
  <c r="AV179" i="3"/>
  <c r="AU179" i="3"/>
  <c r="X179" i="3"/>
  <c r="S179" i="3"/>
  <c r="N179" i="3"/>
  <c r="K179" i="3"/>
  <c r="AV178" i="3"/>
  <c r="AU178" i="3"/>
  <c r="X178" i="3"/>
  <c r="S178" i="3"/>
  <c r="N178" i="3"/>
  <c r="K178" i="3"/>
  <c r="AV177" i="3"/>
  <c r="AU177" i="3"/>
  <c r="X177" i="3"/>
  <c r="S177" i="3"/>
  <c r="N177" i="3"/>
  <c r="K177" i="3"/>
  <c r="AV176" i="3"/>
  <c r="AU176" i="3"/>
  <c r="X176" i="3"/>
  <c r="S176" i="3"/>
  <c r="N176" i="3"/>
  <c r="K176" i="3"/>
  <c r="AV175" i="3"/>
  <c r="AU175" i="3"/>
  <c r="X175" i="3"/>
  <c r="S175" i="3"/>
  <c r="N175" i="3"/>
  <c r="K175" i="3"/>
  <c r="AV174" i="3"/>
  <c r="AU174" i="3"/>
  <c r="X174" i="3"/>
  <c r="S174" i="3"/>
  <c r="N174" i="3"/>
  <c r="K174" i="3"/>
  <c r="AV173" i="3"/>
  <c r="AU173" i="3"/>
  <c r="X173" i="3"/>
  <c r="S173" i="3"/>
  <c r="N173" i="3"/>
  <c r="K173" i="3"/>
  <c r="AV172" i="3"/>
  <c r="AU172" i="3"/>
  <c r="X172" i="3"/>
  <c r="S172" i="3"/>
  <c r="N172" i="3"/>
  <c r="K172" i="3"/>
  <c r="AV171" i="3"/>
  <c r="AU171" i="3"/>
  <c r="X171" i="3"/>
  <c r="S171" i="3"/>
  <c r="N171" i="3"/>
  <c r="K171" i="3"/>
  <c r="AV170" i="3"/>
  <c r="AU170" i="3"/>
  <c r="X170" i="3"/>
  <c r="S170" i="3"/>
  <c r="N170" i="3"/>
  <c r="K170" i="3"/>
  <c r="AV169" i="3"/>
  <c r="AU169" i="3"/>
  <c r="X169" i="3"/>
  <c r="S169" i="3"/>
  <c r="N169" i="3"/>
  <c r="K169" i="3"/>
  <c r="AV168" i="3"/>
  <c r="AU168" i="3"/>
  <c r="X168" i="3"/>
  <c r="S168" i="3"/>
  <c r="N168" i="3"/>
  <c r="K168" i="3"/>
  <c r="AV167" i="3"/>
  <c r="AU167" i="3"/>
  <c r="X167" i="3"/>
  <c r="S167" i="3"/>
  <c r="N167" i="3"/>
  <c r="K167" i="3"/>
  <c r="AV166" i="3"/>
  <c r="AU166" i="3"/>
  <c r="X166" i="3"/>
  <c r="S166" i="3"/>
  <c r="N166" i="3"/>
  <c r="K166" i="3"/>
  <c r="AV165" i="3"/>
  <c r="AU165" i="3"/>
  <c r="X165" i="3"/>
  <c r="S165" i="3"/>
  <c r="N165" i="3"/>
  <c r="K165" i="3"/>
  <c r="AV164" i="3"/>
  <c r="AU164" i="3"/>
  <c r="X164" i="3"/>
  <c r="S164" i="3"/>
  <c r="N164" i="3"/>
  <c r="K164" i="3"/>
  <c r="AV163" i="3"/>
  <c r="AU163" i="3"/>
  <c r="X163" i="3"/>
  <c r="S163" i="3"/>
  <c r="N163" i="3"/>
  <c r="K163" i="3"/>
  <c r="AV162" i="3"/>
  <c r="AU162" i="3"/>
  <c r="X162" i="3"/>
  <c r="S162" i="3"/>
  <c r="N162" i="3"/>
  <c r="K162" i="3"/>
  <c r="AV161" i="3"/>
  <c r="AU161" i="3"/>
  <c r="X161" i="3"/>
  <c r="S161" i="3"/>
  <c r="N161" i="3"/>
  <c r="K161" i="3"/>
  <c r="AV160" i="3"/>
  <c r="AU160" i="3"/>
  <c r="AV159" i="3"/>
  <c r="AU159" i="3"/>
  <c r="AV158" i="3"/>
  <c r="AU158" i="3"/>
  <c r="AV157" i="3"/>
  <c r="AU157" i="3"/>
  <c r="AV156" i="3"/>
  <c r="AU156" i="3"/>
  <c r="AV155" i="3"/>
  <c r="AU155" i="3"/>
  <c r="AV154" i="3"/>
  <c r="AU154" i="3"/>
  <c r="AV153" i="3"/>
  <c r="AU153" i="3"/>
  <c r="X153" i="3"/>
  <c r="S153" i="3"/>
  <c r="N153" i="3"/>
  <c r="K153" i="3"/>
  <c r="AV152" i="3"/>
  <c r="AU152" i="3"/>
  <c r="X152" i="3"/>
  <c r="S152" i="3"/>
  <c r="N152" i="3"/>
  <c r="K152" i="3"/>
  <c r="AV151" i="3"/>
  <c r="AU151" i="3"/>
  <c r="X151" i="3"/>
  <c r="S151" i="3"/>
  <c r="N151" i="3"/>
  <c r="K151" i="3"/>
  <c r="AV150" i="3"/>
  <c r="AU150" i="3"/>
  <c r="X150" i="3"/>
  <c r="S150" i="3"/>
  <c r="N150" i="3"/>
  <c r="K150" i="3"/>
  <c r="AV149" i="3"/>
  <c r="AU149" i="3"/>
  <c r="X149" i="3"/>
  <c r="S149" i="3"/>
  <c r="N149" i="3"/>
  <c r="K149" i="3"/>
  <c r="AV148" i="3"/>
  <c r="AU148" i="3"/>
  <c r="X148" i="3"/>
  <c r="S148" i="3"/>
  <c r="N148" i="3"/>
  <c r="K148" i="3"/>
  <c r="AV147" i="3"/>
  <c r="AU147" i="3"/>
  <c r="X147" i="3"/>
  <c r="S147" i="3"/>
  <c r="N147" i="3"/>
  <c r="K147" i="3"/>
  <c r="AV146" i="3"/>
  <c r="AU146" i="3"/>
  <c r="X146" i="3"/>
  <c r="S146" i="3"/>
  <c r="N146" i="3"/>
  <c r="K146" i="3"/>
  <c r="AV145" i="3"/>
  <c r="AU145" i="3"/>
  <c r="X145" i="3"/>
  <c r="S145" i="3"/>
  <c r="N145" i="3"/>
  <c r="K145" i="3"/>
  <c r="AV144" i="3"/>
  <c r="AU144" i="3"/>
  <c r="X144" i="3"/>
  <c r="S144" i="3"/>
  <c r="N144" i="3"/>
  <c r="K144" i="3"/>
  <c r="AV143" i="3"/>
  <c r="AU143" i="3"/>
  <c r="X143" i="3"/>
  <c r="S143" i="3"/>
  <c r="N143" i="3"/>
  <c r="K143" i="3"/>
  <c r="AV142" i="3"/>
  <c r="AU142" i="3"/>
  <c r="X142" i="3"/>
  <c r="S142" i="3"/>
  <c r="N142" i="3"/>
  <c r="K142" i="3"/>
  <c r="AV141" i="3"/>
  <c r="AU141" i="3"/>
  <c r="X141" i="3"/>
  <c r="S141" i="3"/>
  <c r="N141" i="3"/>
  <c r="K141" i="3"/>
  <c r="AV140" i="3"/>
  <c r="AU140" i="3"/>
  <c r="X140" i="3"/>
  <c r="S140" i="3"/>
  <c r="N140" i="3"/>
  <c r="K140" i="3"/>
  <c r="AV139" i="3"/>
  <c r="AU139" i="3"/>
  <c r="X139" i="3"/>
  <c r="S139" i="3"/>
  <c r="N139" i="3"/>
  <c r="K139" i="3"/>
  <c r="AV138" i="3"/>
  <c r="AU138" i="3"/>
  <c r="X138" i="3"/>
  <c r="S138" i="3"/>
  <c r="N138" i="3"/>
  <c r="K138" i="3"/>
  <c r="AV137" i="3"/>
  <c r="AU137" i="3"/>
  <c r="X137" i="3"/>
  <c r="S137" i="3"/>
  <c r="N137" i="3"/>
  <c r="K137" i="3"/>
  <c r="AV136" i="3"/>
  <c r="AU136" i="3"/>
  <c r="X136" i="3"/>
  <c r="S136" i="3"/>
  <c r="N136" i="3"/>
  <c r="K136" i="3"/>
  <c r="AV135" i="3"/>
  <c r="AU135" i="3"/>
  <c r="X135" i="3"/>
  <c r="S135" i="3"/>
  <c r="N135" i="3"/>
  <c r="K135" i="3"/>
  <c r="AV134" i="3"/>
  <c r="AU134" i="3"/>
  <c r="X134" i="3"/>
  <c r="S134" i="3"/>
  <c r="N134" i="3"/>
  <c r="K134" i="3"/>
  <c r="AV133" i="3"/>
  <c r="AU133" i="3"/>
  <c r="X133" i="3"/>
  <c r="S133" i="3"/>
  <c r="N133" i="3"/>
  <c r="K133" i="3"/>
  <c r="AV132" i="3"/>
  <c r="AU132" i="3"/>
  <c r="X132" i="3"/>
  <c r="S132" i="3"/>
  <c r="N132" i="3"/>
  <c r="K132" i="3"/>
  <c r="AV131" i="3"/>
  <c r="AU131" i="3"/>
  <c r="X131" i="3"/>
  <c r="S131" i="3"/>
  <c r="N131" i="3"/>
  <c r="K131" i="3"/>
  <c r="AV130" i="3"/>
  <c r="AU130" i="3"/>
  <c r="X130" i="3"/>
  <c r="S130" i="3"/>
  <c r="N130" i="3"/>
  <c r="K130" i="3"/>
  <c r="AV129" i="3"/>
  <c r="AU129" i="3"/>
  <c r="X129" i="3"/>
  <c r="S129" i="3"/>
  <c r="N129" i="3"/>
  <c r="K129" i="3"/>
  <c r="AV128" i="3"/>
  <c r="AU128" i="3"/>
  <c r="X128" i="3"/>
  <c r="S128" i="3"/>
  <c r="N128" i="3"/>
  <c r="K128" i="3"/>
  <c r="AV127" i="3"/>
  <c r="AU127" i="3"/>
  <c r="X127" i="3"/>
  <c r="S127" i="3"/>
  <c r="N127" i="3"/>
  <c r="K127" i="3"/>
  <c r="AV126" i="3"/>
  <c r="AU126" i="3"/>
  <c r="X126" i="3"/>
  <c r="S126" i="3"/>
  <c r="N126" i="3"/>
  <c r="K126" i="3"/>
  <c r="AV125" i="3"/>
  <c r="AU125" i="3"/>
  <c r="X125" i="3"/>
  <c r="S125" i="3"/>
  <c r="N125" i="3"/>
  <c r="K125" i="3"/>
  <c r="AV124" i="3"/>
  <c r="AU124" i="3"/>
  <c r="X124" i="3"/>
  <c r="S124" i="3"/>
  <c r="N124" i="3"/>
  <c r="K124" i="3"/>
  <c r="AV123" i="3"/>
  <c r="AU123" i="3"/>
  <c r="X123" i="3"/>
  <c r="S123" i="3"/>
  <c r="N123" i="3"/>
  <c r="K123" i="3"/>
  <c r="AV122" i="3"/>
  <c r="AU122" i="3"/>
  <c r="X122" i="3"/>
  <c r="S122" i="3"/>
  <c r="N122" i="3"/>
  <c r="K122" i="3"/>
  <c r="AV121" i="3"/>
  <c r="AU121" i="3"/>
  <c r="X121" i="3"/>
  <c r="S121" i="3"/>
  <c r="N121" i="3"/>
  <c r="K121" i="3"/>
  <c r="AV120" i="3"/>
  <c r="AU120" i="3"/>
  <c r="X120" i="3"/>
  <c r="S120" i="3"/>
  <c r="N120" i="3"/>
  <c r="K120" i="3"/>
  <c r="AV119" i="3"/>
  <c r="AU119" i="3"/>
  <c r="X119" i="3"/>
  <c r="S119" i="3"/>
  <c r="N119" i="3"/>
  <c r="K119" i="3"/>
  <c r="AV118" i="3"/>
  <c r="AU118" i="3"/>
  <c r="X118" i="3"/>
  <c r="S118" i="3"/>
  <c r="N118" i="3"/>
  <c r="K118" i="3"/>
  <c r="AV117" i="3"/>
  <c r="AU117" i="3"/>
  <c r="X117" i="3"/>
  <c r="S117" i="3"/>
  <c r="N117" i="3"/>
  <c r="K117" i="3"/>
  <c r="AV116" i="3"/>
  <c r="AU116" i="3"/>
  <c r="X116" i="3"/>
  <c r="S116" i="3"/>
  <c r="N116" i="3"/>
  <c r="K116" i="3"/>
  <c r="C116" i="3"/>
  <c r="A116" i="3"/>
  <c r="AV115" i="3"/>
  <c r="AU115" i="3"/>
  <c r="AV114" i="3"/>
  <c r="AU114" i="3"/>
  <c r="AV113" i="3"/>
  <c r="AU113" i="3"/>
  <c r="AV112" i="3"/>
  <c r="AU112" i="3"/>
  <c r="AV111" i="3"/>
  <c r="AU111" i="3"/>
  <c r="AV110" i="3"/>
  <c r="AU110" i="3"/>
  <c r="AV109" i="3"/>
  <c r="AU109" i="3"/>
  <c r="AV108" i="3"/>
  <c r="AU108" i="3"/>
  <c r="X108" i="3"/>
  <c r="S108" i="3"/>
  <c r="N108" i="3"/>
  <c r="K108" i="3"/>
  <c r="AV107" i="3"/>
  <c r="AU107" i="3"/>
  <c r="X107" i="3"/>
  <c r="S107" i="3"/>
  <c r="N107" i="3"/>
  <c r="K107" i="3"/>
  <c r="AV106" i="3"/>
  <c r="AU106" i="3"/>
  <c r="X106" i="3"/>
  <c r="S106" i="3"/>
  <c r="N106" i="3"/>
  <c r="K106" i="3"/>
  <c r="AV105" i="3"/>
  <c r="AU105" i="3"/>
  <c r="X105" i="3"/>
  <c r="S105" i="3"/>
  <c r="N105" i="3"/>
  <c r="K105" i="3"/>
  <c r="AV104" i="3"/>
  <c r="AU104" i="3"/>
  <c r="X104" i="3"/>
  <c r="S104" i="3"/>
  <c r="N104" i="3"/>
  <c r="K104" i="3"/>
  <c r="AV103" i="3"/>
  <c r="AU103" i="3"/>
  <c r="X103" i="3"/>
  <c r="S103" i="3"/>
  <c r="N103" i="3"/>
  <c r="K103" i="3"/>
  <c r="AV102" i="3"/>
  <c r="AU102" i="3"/>
  <c r="X102" i="3"/>
  <c r="S102" i="3"/>
  <c r="N102" i="3"/>
  <c r="K102" i="3"/>
  <c r="AV101" i="3"/>
  <c r="AU101" i="3"/>
  <c r="X101" i="3"/>
  <c r="S101" i="3"/>
  <c r="N101" i="3"/>
  <c r="K101" i="3"/>
  <c r="AV100" i="3"/>
  <c r="AU100" i="3"/>
  <c r="X100" i="3"/>
  <c r="S100" i="3"/>
  <c r="N100" i="3"/>
  <c r="K100" i="3"/>
  <c r="AV99" i="3"/>
  <c r="AU99" i="3"/>
  <c r="X99" i="3"/>
  <c r="S99" i="3"/>
  <c r="N99" i="3"/>
  <c r="K99" i="3"/>
  <c r="AV98" i="3"/>
  <c r="AU98" i="3"/>
  <c r="X98" i="3"/>
  <c r="S98" i="3"/>
  <c r="N98" i="3"/>
  <c r="K98" i="3"/>
  <c r="AV97" i="3"/>
  <c r="AU97" i="3"/>
  <c r="X97" i="3"/>
  <c r="S97" i="3"/>
  <c r="N97" i="3"/>
  <c r="K97" i="3"/>
  <c r="AV96" i="3"/>
  <c r="AU96" i="3"/>
  <c r="X96" i="3"/>
  <c r="S96" i="3"/>
  <c r="N96" i="3"/>
  <c r="K96" i="3"/>
  <c r="AV95" i="3"/>
  <c r="AU95" i="3"/>
  <c r="X95" i="3"/>
  <c r="S95" i="3"/>
  <c r="N95" i="3"/>
  <c r="K95" i="3"/>
  <c r="AV94" i="3"/>
  <c r="AU94" i="3"/>
  <c r="X94" i="3"/>
  <c r="S94" i="3"/>
  <c r="N94" i="3"/>
  <c r="K94" i="3"/>
  <c r="AV93" i="3"/>
  <c r="AU93" i="3"/>
  <c r="X93" i="3"/>
  <c r="S93" i="3"/>
  <c r="N93" i="3"/>
  <c r="K93" i="3"/>
  <c r="AV92" i="3"/>
  <c r="AU92" i="3"/>
  <c r="X92" i="3"/>
  <c r="S92" i="3"/>
  <c r="N92" i="3"/>
  <c r="K92" i="3"/>
  <c r="C92" i="3"/>
  <c r="CD92" i="3" s="1"/>
  <c r="A92" i="3"/>
  <c r="AV91" i="3"/>
  <c r="AU91" i="3"/>
  <c r="X91" i="3"/>
  <c r="S91" i="3"/>
  <c r="N91" i="3"/>
  <c r="K91" i="3"/>
  <c r="C91" i="3"/>
  <c r="A91" i="3"/>
  <c r="AV90" i="3"/>
  <c r="AU90" i="3"/>
  <c r="X90" i="3"/>
  <c r="S90" i="3"/>
  <c r="N90" i="3"/>
  <c r="K90" i="3"/>
  <c r="C90" i="3"/>
  <c r="A90" i="3"/>
  <c r="AV89" i="3"/>
  <c r="AU89" i="3"/>
  <c r="X89" i="3"/>
  <c r="S89" i="3"/>
  <c r="N89" i="3"/>
  <c r="K89" i="3"/>
  <c r="C89" i="3"/>
  <c r="A89" i="3"/>
  <c r="AV88" i="3"/>
  <c r="AU88" i="3"/>
  <c r="X88" i="3"/>
  <c r="S88" i="3"/>
  <c r="N88" i="3"/>
  <c r="K88" i="3"/>
  <c r="C88" i="3"/>
  <c r="A88" i="3"/>
  <c r="AV87" i="3"/>
  <c r="AU87" i="3"/>
  <c r="X87" i="3"/>
  <c r="S87" i="3"/>
  <c r="N87" i="3"/>
  <c r="K87" i="3"/>
  <c r="C87" i="3"/>
  <c r="A87" i="3"/>
  <c r="AV86" i="3"/>
  <c r="AU86" i="3"/>
  <c r="X86" i="3"/>
  <c r="S86" i="3"/>
  <c r="N86" i="3"/>
  <c r="K86" i="3"/>
  <c r="C86" i="3"/>
  <c r="A86" i="3"/>
  <c r="AV85" i="3"/>
  <c r="AU85" i="3"/>
  <c r="X85" i="3"/>
  <c r="S85" i="3"/>
  <c r="N85" i="3"/>
  <c r="K85" i="3"/>
  <c r="C85" i="3"/>
  <c r="A85" i="3"/>
  <c r="AV84" i="3"/>
  <c r="AU84" i="3"/>
  <c r="X84" i="3"/>
  <c r="S84" i="3"/>
  <c r="N84" i="3"/>
  <c r="K84" i="3"/>
  <c r="C84" i="3"/>
  <c r="A84" i="3"/>
  <c r="AV83" i="3"/>
  <c r="AU83" i="3"/>
  <c r="X83" i="3"/>
  <c r="S83" i="3"/>
  <c r="N83" i="3"/>
  <c r="K83" i="3"/>
  <c r="C83" i="3"/>
  <c r="A83" i="3"/>
  <c r="AV82" i="3"/>
  <c r="AU82" i="3"/>
  <c r="X82" i="3"/>
  <c r="S82" i="3"/>
  <c r="N82" i="3"/>
  <c r="K82" i="3"/>
  <c r="C82" i="3"/>
  <c r="A82" i="3"/>
  <c r="AV81" i="3"/>
  <c r="AU81" i="3"/>
  <c r="X81" i="3"/>
  <c r="S81" i="3"/>
  <c r="N81" i="3"/>
  <c r="K81" i="3"/>
  <c r="C81" i="3"/>
  <c r="A81" i="3"/>
  <c r="AV80" i="3"/>
  <c r="AU80" i="3"/>
  <c r="X80" i="3"/>
  <c r="S80" i="3"/>
  <c r="N80" i="3"/>
  <c r="K80" i="3"/>
  <c r="C80" i="3"/>
  <c r="A80" i="3"/>
  <c r="AV79" i="3"/>
  <c r="AU79" i="3"/>
  <c r="X79" i="3"/>
  <c r="S79" i="3"/>
  <c r="N79" i="3"/>
  <c r="K79" i="3"/>
  <c r="C79" i="3"/>
  <c r="A79" i="3"/>
  <c r="AV78" i="3"/>
  <c r="AU78" i="3"/>
  <c r="X78" i="3"/>
  <c r="S78" i="3"/>
  <c r="N78" i="3"/>
  <c r="K78" i="3"/>
  <c r="C78" i="3"/>
  <c r="A78" i="3"/>
  <c r="AV77" i="3"/>
  <c r="AU77" i="3"/>
  <c r="X77" i="3"/>
  <c r="S77" i="3"/>
  <c r="N77" i="3"/>
  <c r="K77" i="3"/>
  <c r="AV76" i="3"/>
  <c r="AU76" i="3"/>
  <c r="X76" i="3"/>
  <c r="S76" i="3"/>
  <c r="N76" i="3"/>
  <c r="K76" i="3"/>
  <c r="AV75" i="3"/>
  <c r="AU75" i="3"/>
  <c r="X75" i="3"/>
  <c r="S75" i="3"/>
  <c r="N75" i="3"/>
  <c r="K75" i="3"/>
  <c r="AV74" i="3"/>
  <c r="AU74" i="3"/>
  <c r="X74" i="3"/>
  <c r="S74" i="3"/>
  <c r="N74" i="3"/>
  <c r="K74" i="3"/>
  <c r="AV73" i="3"/>
  <c r="AU73" i="3"/>
  <c r="X73" i="3"/>
  <c r="S73" i="3"/>
  <c r="N73" i="3"/>
  <c r="K73" i="3"/>
  <c r="AV72" i="3"/>
  <c r="AU72" i="3"/>
  <c r="X72" i="3"/>
  <c r="S72" i="3"/>
  <c r="N72" i="3"/>
  <c r="K72" i="3"/>
  <c r="AV71" i="3"/>
  <c r="AU71" i="3"/>
  <c r="X71" i="3"/>
  <c r="S71" i="3"/>
  <c r="N71" i="3"/>
  <c r="K71" i="3"/>
  <c r="AV70" i="3"/>
  <c r="AU70" i="3"/>
  <c r="X70" i="3"/>
  <c r="S70" i="3"/>
  <c r="N70" i="3"/>
  <c r="K70" i="3"/>
  <c r="AV69" i="3"/>
  <c r="AU69" i="3"/>
  <c r="AV68" i="3"/>
  <c r="AU68" i="3"/>
  <c r="C68" i="3"/>
  <c r="CD68" i="3" s="1"/>
  <c r="A68" i="3"/>
  <c r="AV67" i="3"/>
  <c r="AU67" i="3"/>
  <c r="C67" i="3"/>
  <c r="CD67" i="3" s="1"/>
  <c r="A67" i="3"/>
  <c r="AV66" i="3"/>
  <c r="AU66" i="3"/>
  <c r="C66" i="3"/>
  <c r="CD66" i="3" s="1"/>
  <c r="A66" i="3"/>
  <c r="AV65" i="3"/>
  <c r="AU65" i="3"/>
  <c r="C65" i="3"/>
  <c r="CD65" i="3" s="1"/>
  <c r="A65" i="3"/>
  <c r="AV64" i="3"/>
  <c r="AU64" i="3"/>
  <c r="C64" i="3"/>
  <c r="CD64" i="3" s="1"/>
  <c r="A64" i="3"/>
  <c r="AV63" i="3"/>
  <c r="AU63" i="3"/>
  <c r="C63" i="3"/>
  <c r="CD63" i="3" s="1"/>
  <c r="A63" i="3"/>
  <c r="AV62" i="3"/>
  <c r="AU62" i="3"/>
  <c r="C62" i="3"/>
  <c r="CD62" i="3" s="1"/>
  <c r="A62" i="3"/>
  <c r="AV61" i="3"/>
  <c r="AU61" i="3"/>
  <c r="X61" i="3"/>
  <c r="S61" i="3"/>
  <c r="N61" i="3"/>
  <c r="K61" i="3"/>
  <c r="C61" i="3"/>
  <c r="CD61" i="3" s="1"/>
  <c r="A61" i="3"/>
  <c r="AV60" i="3"/>
  <c r="AU60" i="3"/>
  <c r="X60" i="3"/>
  <c r="S60" i="3"/>
  <c r="N60" i="3"/>
  <c r="K60" i="3"/>
  <c r="C60" i="3"/>
  <c r="CD60" i="3" s="1"/>
  <c r="A60" i="3"/>
  <c r="AV59" i="3"/>
  <c r="AU59" i="3"/>
  <c r="X59" i="3"/>
  <c r="S59" i="3"/>
  <c r="N59" i="3"/>
  <c r="K59" i="3"/>
  <c r="C59" i="3"/>
  <c r="CD59" i="3" s="1"/>
  <c r="A59" i="3"/>
  <c r="AV58" i="3"/>
  <c r="AU58" i="3"/>
  <c r="X58" i="3"/>
  <c r="S58" i="3"/>
  <c r="N58" i="3"/>
  <c r="K58" i="3"/>
  <c r="C58" i="3"/>
  <c r="CD58" i="3" s="1"/>
  <c r="A58" i="3"/>
  <c r="AV57" i="3"/>
  <c r="AU57" i="3"/>
  <c r="X57" i="3"/>
  <c r="S57" i="3"/>
  <c r="N57" i="3"/>
  <c r="K57" i="3"/>
  <c r="C57" i="3"/>
  <c r="CD57" i="3" s="1"/>
  <c r="A57" i="3"/>
  <c r="AV56" i="3"/>
  <c r="AU56" i="3"/>
  <c r="X56" i="3"/>
  <c r="S56" i="3"/>
  <c r="N56" i="3"/>
  <c r="K56" i="3"/>
  <c r="C56" i="3"/>
  <c r="CD56" i="3" s="1"/>
  <c r="A56" i="3"/>
  <c r="AV55" i="3"/>
  <c r="AU55" i="3"/>
  <c r="X55" i="3"/>
  <c r="S55" i="3"/>
  <c r="N55" i="3"/>
  <c r="K55" i="3"/>
  <c r="C55" i="3"/>
  <c r="CD55" i="3" s="1"/>
  <c r="A55" i="3"/>
  <c r="AV54" i="3"/>
  <c r="AU54" i="3"/>
  <c r="X54" i="3"/>
  <c r="S54" i="3"/>
  <c r="N54" i="3"/>
  <c r="K54" i="3"/>
  <c r="C54" i="3"/>
  <c r="CD54" i="3" s="1"/>
  <c r="A54" i="3"/>
  <c r="AV53" i="3"/>
  <c r="AU53" i="3"/>
  <c r="X53" i="3"/>
  <c r="S53" i="3"/>
  <c r="N53" i="3"/>
  <c r="K53" i="3"/>
  <c r="C53" i="3"/>
  <c r="A53" i="3"/>
  <c r="AV52" i="3"/>
  <c r="AU52" i="3"/>
  <c r="X52" i="3"/>
  <c r="S52" i="3"/>
  <c r="N52" i="3"/>
  <c r="K52" i="3"/>
  <c r="C52" i="3"/>
  <c r="A52" i="3"/>
  <c r="AV51" i="3"/>
  <c r="AU51" i="3"/>
  <c r="X51" i="3"/>
  <c r="S51" i="3"/>
  <c r="N51" i="3"/>
  <c r="K51" i="3"/>
  <c r="C51" i="3"/>
  <c r="A51" i="3"/>
  <c r="AV50" i="3"/>
  <c r="AU50" i="3"/>
  <c r="X50" i="3"/>
  <c r="S50" i="3"/>
  <c r="N50" i="3"/>
  <c r="K50" i="3"/>
  <c r="C50" i="3"/>
  <c r="A50" i="3"/>
  <c r="AV49" i="3"/>
  <c r="AU49" i="3"/>
  <c r="X49" i="3"/>
  <c r="S49" i="3"/>
  <c r="N49" i="3"/>
  <c r="K49" i="3"/>
  <c r="C49" i="3"/>
  <c r="A49" i="3"/>
  <c r="AV48" i="3"/>
  <c r="AU48" i="3"/>
  <c r="X48" i="3"/>
  <c r="S48" i="3"/>
  <c r="N48" i="3"/>
  <c r="K48" i="3"/>
  <c r="C48" i="3"/>
  <c r="A48" i="3"/>
  <c r="AV47" i="3"/>
  <c r="AU47" i="3"/>
  <c r="X47" i="3"/>
  <c r="S47" i="3"/>
  <c r="N47" i="3"/>
  <c r="K47" i="3"/>
  <c r="D47" i="3"/>
  <c r="C47" i="3"/>
  <c r="A47" i="3"/>
  <c r="AV46" i="3"/>
  <c r="AU46" i="3"/>
  <c r="X46" i="3"/>
  <c r="S46" i="3"/>
  <c r="N46" i="3"/>
  <c r="K46" i="3"/>
  <c r="D46" i="3"/>
  <c r="C46" i="3"/>
  <c r="A46" i="3"/>
  <c r="AV45" i="3"/>
  <c r="AU45" i="3"/>
  <c r="X45" i="3"/>
  <c r="S45" i="3"/>
  <c r="N45" i="3"/>
  <c r="K45" i="3"/>
  <c r="D45" i="3"/>
  <c r="C45" i="3"/>
  <c r="A45" i="3"/>
  <c r="CD44" i="3"/>
  <c r="CC44" i="3"/>
  <c r="AV44" i="3"/>
  <c r="AU44" i="3"/>
  <c r="X44" i="3"/>
  <c r="S44" i="3"/>
  <c r="N44" i="3"/>
  <c r="K44" i="3"/>
  <c r="E44" i="3"/>
  <c r="D44" i="3"/>
  <c r="B44" i="3" a="1"/>
  <c r="CD43" i="3"/>
  <c r="CC43" i="3"/>
  <c r="AV43" i="3"/>
  <c r="AU43" i="3"/>
  <c r="X43" i="3"/>
  <c r="S43" i="3"/>
  <c r="N43" i="3"/>
  <c r="K43" i="3"/>
  <c r="E43" i="3"/>
  <c r="D43" i="3"/>
  <c r="B43" i="3" a="1"/>
  <c r="CD42" i="3"/>
  <c r="CC42" i="3"/>
  <c r="AV42" i="3"/>
  <c r="AU42" i="3"/>
  <c r="X42" i="3"/>
  <c r="S42" i="3"/>
  <c r="N42" i="3"/>
  <c r="K42" i="3"/>
  <c r="E42" i="3"/>
  <c r="D42" i="3"/>
  <c r="B42" i="3" a="1"/>
  <c r="CD41" i="3"/>
  <c r="CC41" i="3"/>
  <c r="AV41" i="3"/>
  <c r="AU41" i="3"/>
  <c r="X41" i="3"/>
  <c r="S41" i="3"/>
  <c r="N41" i="3"/>
  <c r="K41" i="3"/>
  <c r="E41" i="3"/>
  <c r="D41" i="3"/>
  <c r="B41" i="3" a="1"/>
  <c r="CD40" i="3"/>
  <c r="CC40" i="3"/>
  <c r="AV40" i="3"/>
  <c r="AU40" i="3"/>
  <c r="X40" i="3"/>
  <c r="S40" i="3"/>
  <c r="N40" i="3"/>
  <c r="K40" i="3"/>
  <c r="E40" i="3"/>
  <c r="D40" i="3"/>
  <c r="B40" i="3" a="1"/>
  <c r="CD39" i="3"/>
  <c r="CC39" i="3"/>
  <c r="AV39" i="3"/>
  <c r="AU39" i="3"/>
  <c r="X39" i="3"/>
  <c r="S39" i="3"/>
  <c r="N39" i="3"/>
  <c r="K39" i="3"/>
  <c r="E39" i="3"/>
  <c r="D39" i="3"/>
  <c r="B39" i="3" a="1"/>
  <c r="CD38" i="3"/>
  <c r="CC38" i="3"/>
  <c r="AV38" i="3"/>
  <c r="AU38" i="3"/>
  <c r="X38" i="3"/>
  <c r="S38" i="3"/>
  <c r="N38" i="3"/>
  <c r="K38" i="3"/>
  <c r="E38" i="3"/>
  <c r="D38" i="3"/>
  <c r="B38" i="3" a="1"/>
  <c r="CD37" i="3"/>
  <c r="CC37" i="3"/>
  <c r="AV37" i="3"/>
  <c r="AU37" i="3"/>
  <c r="X37" i="3"/>
  <c r="S37" i="3"/>
  <c r="N37" i="3"/>
  <c r="K37" i="3"/>
  <c r="E37" i="3"/>
  <c r="D37" i="3"/>
  <c r="B37" i="3" a="1"/>
  <c r="CD36" i="3"/>
  <c r="CC36" i="3"/>
  <c r="AV36" i="3"/>
  <c r="AU36" i="3"/>
  <c r="X36" i="3"/>
  <c r="S36" i="3"/>
  <c r="N36" i="3"/>
  <c r="K36" i="3"/>
  <c r="E36" i="3"/>
  <c r="D36" i="3"/>
  <c r="B36" i="3" a="1"/>
  <c r="CD35" i="3"/>
  <c r="CC35" i="3"/>
  <c r="AV35" i="3"/>
  <c r="AU35" i="3"/>
  <c r="X35" i="3"/>
  <c r="S35" i="3"/>
  <c r="N35" i="3"/>
  <c r="K35" i="3"/>
  <c r="E35" i="3"/>
  <c r="D35" i="3"/>
  <c r="B35" i="3" a="1"/>
  <c r="CD34" i="3"/>
  <c r="CC34" i="3"/>
  <c r="AV34" i="3"/>
  <c r="AU34" i="3"/>
  <c r="X34" i="3"/>
  <c r="S34" i="3"/>
  <c r="N34" i="3"/>
  <c r="K34" i="3"/>
  <c r="E34" i="3"/>
  <c r="D34" i="3"/>
  <c r="B34" i="3" a="1"/>
  <c r="CD33" i="3"/>
  <c r="CC33" i="3"/>
  <c r="AV33" i="3"/>
  <c r="AU33" i="3"/>
  <c r="X33" i="3"/>
  <c r="S33" i="3"/>
  <c r="N33" i="3"/>
  <c r="K33" i="3"/>
  <c r="E33" i="3"/>
  <c r="D33" i="3"/>
  <c r="B33" i="3" a="1"/>
  <c r="CD32" i="3"/>
  <c r="CC32" i="3"/>
  <c r="AV32" i="3"/>
  <c r="AU32" i="3"/>
  <c r="X32" i="3"/>
  <c r="S32" i="3"/>
  <c r="N32" i="3"/>
  <c r="K32" i="3"/>
  <c r="E32" i="3"/>
  <c r="D32" i="3"/>
  <c r="B32" i="3" a="1"/>
  <c r="CD31" i="3"/>
  <c r="CC31" i="3"/>
  <c r="AV31" i="3"/>
  <c r="AU31" i="3"/>
  <c r="X31" i="3"/>
  <c r="S31" i="3"/>
  <c r="N31" i="3"/>
  <c r="K31" i="3"/>
  <c r="E31" i="3"/>
  <c r="D31" i="3"/>
  <c r="B31" i="3" a="1"/>
  <c r="CD30" i="3"/>
  <c r="CC30" i="3"/>
  <c r="AV30" i="3"/>
  <c r="AU30" i="3"/>
  <c r="X30" i="3"/>
  <c r="S30" i="3"/>
  <c r="N30" i="3"/>
  <c r="K30" i="3"/>
  <c r="E30" i="3"/>
  <c r="D30" i="3"/>
  <c r="B30" i="3" a="1"/>
  <c r="CD29" i="3"/>
  <c r="CC29" i="3"/>
  <c r="AV29" i="3"/>
  <c r="AU29" i="3"/>
  <c r="X29" i="3"/>
  <c r="S29" i="3"/>
  <c r="N29" i="3"/>
  <c r="K29" i="3"/>
  <c r="E29" i="3"/>
  <c r="D29" i="3"/>
  <c r="B29" i="3" a="1"/>
  <c r="CD28" i="3"/>
  <c r="CC28" i="3"/>
  <c r="AV28" i="3"/>
  <c r="AU28" i="3"/>
  <c r="X28" i="3"/>
  <c r="S28" i="3"/>
  <c r="N28" i="3"/>
  <c r="K28" i="3"/>
  <c r="E28" i="3"/>
  <c r="D28" i="3"/>
  <c r="B28" i="3" a="1"/>
  <c r="CD27" i="3"/>
  <c r="CC27" i="3"/>
  <c r="AV27" i="3"/>
  <c r="AU27" i="3"/>
  <c r="X27" i="3"/>
  <c r="S27" i="3"/>
  <c r="N27" i="3"/>
  <c r="K27" i="3"/>
  <c r="E27" i="3"/>
  <c r="D27" i="3"/>
  <c r="B27" i="3" a="1"/>
  <c r="CD26" i="3"/>
  <c r="CC26" i="3"/>
  <c r="AV26" i="3"/>
  <c r="AX26" i="3" s="1"/>
  <c r="AU26" i="3"/>
  <c r="X26" i="3"/>
  <c r="S26" i="3"/>
  <c r="N26" i="3"/>
  <c r="K26" i="3"/>
  <c r="E26" i="3"/>
  <c r="D26" i="3"/>
  <c r="B26" i="3" a="1"/>
  <c r="CD25" i="3"/>
  <c r="CC25" i="3"/>
  <c r="AV25" i="3"/>
  <c r="AU25" i="3"/>
  <c r="X25" i="3"/>
  <c r="S25" i="3"/>
  <c r="N25" i="3"/>
  <c r="K25" i="3"/>
  <c r="E25" i="3"/>
  <c r="D25" i="3"/>
  <c r="B25" i="3" a="1"/>
  <c r="CD24" i="3"/>
  <c r="CC24" i="3"/>
  <c r="AV24" i="3"/>
  <c r="AU24" i="3"/>
  <c r="X24" i="3"/>
  <c r="S24" i="3"/>
  <c r="N24" i="3"/>
  <c r="K24" i="3"/>
  <c r="E24" i="3"/>
  <c r="D24" i="3"/>
  <c r="B24" i="3" a="1"/>
  <c r="CE23" i="3" a="1"/>
  <c r="CD23" i="3"/>
  <c r="CC23" i="3"/>
  <c r="BX23" i="3" a="1"/>
  <c r="AV23" i="3"/>
  <c r="AU23" i="3"/>
  <c r="E23" i="3"/>
  <c r="G23" i="3" s="1" a="1"/>
  <c r="D23" i="3"/>
  <c r="CD22" i="3"/>
  <c r="CC22" i="3"/>
  <c r="AV22" i="3"/>
  <c r="AU22" i="3"/>
  <c r="E22" i="3"/>
  <c r="G22" i="3" s="1" a="1"/>
  <c r="D22" i="3"/>
  <c r="CD21" i="3"/>
  <c r="CC21" i="3"/>
  <c r="AV21" i="3"/>
  <c r="AU21" i="3"/>
  <c r="E21" i="3"/>
  <c r="G21" i="3" s="1" a="1"/>
  <c r="D21" i="3"/>
  <c r="CT20" i="3"/>
  <c r="CS20" i="3"/>
  <c r="CR20" i="3"/>
  <c r="CQ20" i="3"/>
  <c r="CP20" i="3"/>
  <c r="CO20" i="3"/>
  <c r="CM20" i="3"/>
  <c r="CL20" i="3"/>
  <c r="CK20" i="3"/>
  <c r="CJ20" i="3"/>
  <c r="CI20" i="3"/>
  <c r="CH20" i="3"/>
  <c r="CE20" i="3"/>
  <c r="CB20" i="3"/>
  <c r="CA20" i="3"/>
  <c r="BZ20" i="3"/>
  <c r="BY20" i="3"/>
  <c r="BX20" i="3"/>
  <c r="BW20" i="3"/>
  <c r="BV20" i="3"/>
  <c r="BU20" i="3"/>
  <c r="BT20" i="3"/>
  <c r="BS20" i="3"/>
  <c r="BR20" i="3"/>
  <c r="BQ20" i="3"/>
  <c r="BP20" i="3"/>
  <c r="BO20" i="3"/>
  <c r="BN20" i="3"/>
  <c r="BL20" i="3"/>
  <c r="BK20" i="3"/>
  <c r="BJ20" i="3"/>
  <c r="BI20" i="3"/>
  <c r="BH20" i="3"/>
  <c r="BG20" i="3"/>
  <c r="BF20" i="3"/>
  <c r="BE20" i="3"/>
  <c r="BD20" i="3"/>
  <c r="BC20" i="3"/>
  <c r="BB20" i="3"/>
  <c r="BA20" i="3"/>
  <c r="AZ20" i="3"/>
  <c r="AX20" i="3"/>
  <c r="AW20" i="3"/>
  <c r="AV20" i="3"/>
  <c r="AU20" i="3"/>
  <c r="AS20" i="3"/>
  <c r="AR20" i="3"/>
  <c r="AQ20" i="3"/>
  <c r="AP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L20" i="3"/>
  <c r="K20" i="3"/>
  <c r="J20" i="3"/>
  <c r="I20" i="3"/>
  <c r="H20" i="3"/>
  <c r="C20" i="3"/>
  <c r="B20" i="3"/>
  <c r="A20" i="3"/>
  <c r="BC17" i="3"/>
  <c r="BA17" i="3"/>
  <c r="AZ17" i="3"/>
  <c r="Y17" i="3"/>
  <c r="V17" i="3"/>
  <c r="U17" i="3"/>
  <c r="T17" i="3"/>
  <c r="CE16" i="3"/>
  <c r="BW16" i="3"/>
  <c r="BR16" i="3"/>
  <c r="BQ16" i="3"/>
  <c r="BG16" i="3"/>
  <c r="BB16" i="3"/>
  <c r="AR16" i="3"/>
  <c r="AN16" i="3"/>
  <c r="AM16" i="3"/>
  <c r="AL16" i="3"/>
  <c r="AF16" i="3"/>
  <c r="AD16" i="3"/>
  <c r="Y16" i="3"/>
  <c r="X16" i="3"/>
  <c r="V16" i="3"/>
  <c r="U16" i="3"/>
  <c r="T16" i="3"/>
  <c r="S16" i="3"/>
  <c r="R16" i="3"/>
  <c r="N16" i="3"/>
  <c r="K16" i="3"/>
  <c r="J16" i="3"/>
  <c r="B16" i="3"/>
  <c r="CD13" i="3"/>
  <c r="CD20" i="3" s="1"/>
  <c r="CD502" i="3" s="1"/>
  <c r="CC13" i="3"/>
  <c r="CC20" i="3" s="1"/>
  <c r="CC502" i="3" s="1"/>
  <c r="J88" i="21"/>
  <c r="I88" i="21"/>
  <c r="H88" i="21"/>
  <c r="G88" i="21"/>
  <c r="F88" i="21"/>
  <c r="E88" i="21"/>
  <c r="F57" i="21"/>
  <c r="E57" i="21"/>
  <c r="J26" i="21"/>
  <c r="I26" i="21"/>
  <c r="H26" i="21"/>
  <c r="G26" i="21"/>
  <c r="F26" i="21"/>
  <c r="E26" i="21"/>
  <c r="E18" i="15"/>
  <c r="E17" i="15"/>
  <c r="I44" i="33"/>
  <c r="B44" i="33"/>
  <c r="L31" i="33"/>
  <c r="F31" i="33"/>
  <c r="E31" i="33"/>
  <c r="E32" i="33" s="1"/>
  <c r="F27" i="33"/>
  <c r="L26" i="33"/>
  <c r="F26" i="33"/>
  <c r="L25" i="33"/>
  <c r="K25" i="33"/>
  <c r="F25" i="33"/>
  <c r="E25" i="33"/>
  <c r="F22" i="33"/>
  <c r="T11" i="33"/>
  <c r="U11" i="33" s="1"/>
  <c r="U10" i="33"/>
  <c r="C21" i="33" s="1"/>
  <c r="S7" i="33"/>
  <c r="T6" i="33"/>
  <c r="S6" i="33"/>
  <c r="T5" i="33"/>
  <c r="S5" i="33"/>
  <c r="T4" i="33"/>
  <c r="S4" i="33"/>
  <c r="B39" i="24"/>
  <c r="O26" i="24"/>
  <c r="N26" i="24" s="1"/>
  <c r="E26" i="24"/>
  <c r="E27" i="24" s="1"/>
  <c r="O22" i="24"/>
  <c r="N22" i="24" s="1"/>
  <c r="O21" i="24"/>
  <c r="N21" i="24"/>
  <c r="O20" i="24"/>
  <c r="N20" i="24" s="1"/>
  <c r="K20" i="24"/>
  <c r="E20" i="24"/>
  <c r="O17" i="24"/>
  <c r="N17" i="24" s="1"/>
  <c r="O16" i="24"/>
  <c r="N16" i="24" s="1"/>
  <c r="T15" i="24"/>
  <c r="O15" i="24"/>
  <c r="N15" i="24" s="1"/>
  <c r="U14" i="24"/>
  <c r="T14" i="24"/>
  <c r="S12" i="24"/>
  <c r="S11" i="24"/>
  <c r="U7" i="24"/>
  <c r="U5" i="24"/>
  <c r="U4" i="24"/>
  <c r="T4" i="24"/>
  <c r="S4" i="24"/>
  <c r="AM39" i="19"/>
  <c r="AL39" i="19"/>
  <c r="AK39" i="19"/>
  <c r="AJ39" i="19"/>
  <c r="AF39" i="19"/>
  <c r="AO39" i="19" s="1"/>
  <c r="AE39" i="19"/>
  <c r="AD39" i="19"/>
  <c r="AC39" i="19"/>
  <c r="AB39" i="19"/>
  <c r="AA39" i="19"/>
  <c r="Z39" i="19"/>
  <c r="Y39" i="19"/>
  <c r="X39" i="19"/>
  <c r="W39" i="19"/>
  <c r="AN39" i="19" s="1"/>
  <c r="U39" i="19"/>
  <c r="T39" i="19"/>
  <c r="S39" i="19"/>
  <c r="R39" i="19"/>
  <c r="Q39" i="19"/>
  <c r="P39" i="19"/>
  <c r="O39" i="19"/>
  <c r="N39" i="19"/>
  <c r="M39" i="19"/>
  <c r="L39" i="19"/>
  <c r="K39" i="19"/>
  <c r="J39" i="19"/>
  <c r="I39" i="19"/>
  <c r="H39" i="19"/>
  <c r="G39" i="19"/>
  <c r="C35" i="19"/>
  <c r="F23" i="19"/>
  <c r="D24" i="13" s="1"/>
  <c r="C21" i="19"/>
  <c r="D20" i="19"/>
  <c r="F20" i="19" s="1"/>
  <c r="D21" i="13" s="1"/>
  <c r="C20" i="19"/>
  <c r="C19" i="19"/>
  <c r="D18" i="19"/>
  <c r="C18" i="19"/>
  <c r="F17" i="19"/>
  <c r="D18" i="13" s="1"/>
  <c r="C17" i="19"/>
  <c r="F16" i="19"/>
  <c r="C16" i="19"/>
  <c r="B16" i="19"/>
  <c r="X321" i="4"/>
  <c r="J321" i="4"/>
  <c r="I321" i="4"/>
  <c r="H321" i="4"/>
  <c r="G321" i="4"/>
  <c r="F321" i="4"/>
  <c r="E321" i="4"/>
  <c r="X320" i="4"/>
  <c r="W320" i="4"/>
  <c r="V320" i="4"/>
  <c r="U320" i="4"/>
  <c r="T320" i="4"/>
  <c r="S320" i="4"/>
  <c r="R320" i="4"/>
  <c r="Q320" i="4"/>
  <c r="P320" i="4"/>
  <c r="O320" i="4"/>
  <c r="N320" i="4"/>
  <c r="M320" i="4"/>
  <c r="L320" i="4"/>
  <c r="K320" i="4"/>
  <c r="J320" i="4"/>
  <c r="I320" i="4"/>
  <c r="H320" i="4"/>
  <c r="G320" i="4"/>
  <c r="F320" i="4"/>
  <c r="E320" i="4"/>
  <c r="AB319" i="4"/>
  <c r="AA319" i="4" s="1"/>
  <c r="AB318" i="4"/>
  <c r="AA318" i="4" s="1"/>
  <c r="AB317" i="4"/>
  <c r="AA317" i="4" s="1"/>
  <c r="AB316" i="4"/>
  <c r="AA316" i="4" s="1"/>
  <c r="AB315" i="4"/>
  <c r="AA315" i="4" s="1"/>
  <c r="AB314" i="4"/>
  <c r="AA314" i="4" s="1"/>
  <c r="AB313" i="4"/>
  <c r="AA313" i="4" s="1"/>
  <c r="AB312" i="4"/>
  <c r="AA312" i="4" s="1"/>
  <c r="AB311" i="4"/>
  <c r="AA311" i="4" s="1"/>
  <c r="AB310" i="4"/>
  <c r="AA310" i="4" s="1"/>
  <c r="AB309" i="4"/>
  <c r="AA309" i="4" s="1"/>
  <c r="AB308" i="4"/>
  <c r="AA308" i="4" s="1"/>
  <c r="AB307" i="4"/>
  <c r="AA307" i="4" s="1"/>
  <c r="AB306" i="4"/>
  <c r="AA306" i="4" s="1"/>
  <c r="AB305" i="4"/>
  <c r="AA305" i="4" s="1"/>
  <c r="AB304" i="4"/>
  <c r="AA304" i="4" s="1"/>
  <c r="AB303" i="4"/>
  <c r="AA303" i="4" s="1"/>
  <c r="AB302" i="4"/>
  <c r="AA302" i="4" s="1"/>
  <c r="AB301" i="4"/>
  <c r="AA301" i="4" s="1"/>
  <c r="AB300" i="4"/>
  <c r="AA300" i="4" s="1"/>
  <c r="AB299" i="4"/>
  <c r="AA299" i="4" s="1"/>
  <c r="AB298" i="4"/>
  <c r="AA298" i="4" s="1"/>
  <c r="AB297" i="4"/>
  <c r="AA297" i="4" s="1"/>
  <c r="AB296" i="4"/>
  <c r="AA296" i="4" s="1"/>
  <c r="C293" i="4"/>
  <c r="X291" i="4"/>
  <c r="W291" i="4"/>
  <c r="V291" i="4"/>
  <c r="U291" i="4"/>
  <c r="T291" i="4"/>
  <c r="S291" i="4"/>
  <c r="R291" i="4"/>
  <c r="Q291" i="4"/>
  <c r="P291" i="4"/>
  <c r="O291" i="4"/>
  <c r="N291" i="4"/>
  <c r="M291" i="4"/>
  <c r="L291" i="4"/>
  <c r="K291" i="4"/>
  <c r="I290" i="4"/>
  <c r="H290" i="4"/>
  <c r="G290" i="4"/>
  <c r="F290" i="4"/>
  <c r="E290" i="4"/>
  <c r="I289" i="4"/>
  <c r="H289" i="4"/>
  <c r="G289" i="4"/>
  <c r="F289" i="4"/>
  <c r="E289" i="4"/>
  <c r="I288" i="4"/>
  <c r="H288" i="4"/>
  <c r="G288" i="4"/>
  <c r="F288" i="4"/>
  <c r="E288" i="4"/>
  <c r="I287" i="4"/>
  <c r="H287" i="4"/>
  <c r="G287" i="4"/>
  <c r="F287" i="4"/>
  <c r="E287" i="4"/>
  <c r="I286" i="4"/>
  <c r="H286" i="4"/>
  <c r="G286" i="4"/>
  <c r="F286" i="4"/>
  <c r="E286" i="4"/>
  <c r="I285" i="4"/>
  <c r="H285" i="4"/>
  <c r="G285" i="4"/>
  <c r="F285" i="4"/>
  <c r="E285" i="4"/>
  <c r="I284" i="4"/>
  <c r="H284" i="4"/>
  <c r="G284" i="4"/>
  <c r="F284" i="4"/>
  <c r="E284" i="4"/>
  <c r="I283" i="4"/>
  <c r="H283" i="4"/>
  <c r="G283" i="4"/>
  <c r="F283" i="4"/>
  <c r="E283" i="4"/>
  <c r="I282" i="4"/>
  <c r="H282" i="4"/>
  <c r="G282" i="4"/>
  <c r="F282" i="4"/>
  <c r="E282" i="4"/>
  <c r="I281" i="4"/>
  <c r="H281" i="4"/>
  <c r="G281" i="4"/>
  <c r="F281" i="4"/>
  <c r="E281" i="4"/>
  <c r="I280" i="4"/>
  <c r="H280" i="4"/>
  <c r="G280" i="4"/>
  <c r="F280" i="4"/>
  <c r="E280" i="4"/>
  <c r="I279" i="4"/>
  <c r="H279" i="4"/>
  <c r="G279" i="4"/>
  <c r="F279" i="4"/>
  <c r="E279" i="4"/>
  <c r="I278" i="4"/>
  <c r="H278" i="4"/>
  <c r="G278" i="4"/>
  <c r="F278" i="4"/>
  <c r="E278" i="4"/>
  <c r="I277" i="4"/>
  <c r="H277" i="4"/>
  <c r="G277" i="4"/>
  <c r="F277" i="4"/>
  <c r="E277" i="4"/>
  <c r="I276" i="4"/>
  <c r="H276" i="4"/>
  <c r="G276" i="4"/>
  <c r="F276" i="4"/>
  <c r="E276" i="4"/>
  <c r="I275" i="4"/>
  <c r="H275" i="4"/>
  <c r="G275" i="4"/>
  <c r="F275" i="4"/>
  <c r="E275" i="4"/>
  <c r="I274" i="4"/>
  <c r="H274" i="4"/>
  <c r="G274" i="4"/>
  <c r="F274" i="4"/>
  <c r="E274" i="4"/>
  <c r="I273" i="4"/>
  <c r="H273" i="4"/>
  <c r="G273" i="4"/>
  <c r="F273" i="4"/>
  <c r="E273" i="4"/>
  <c r="I272" i="4"/>
  <c r="H272" i="4"/>
  <c r="G272" i="4"/>
  <c r="F272" i="4"/>
  <c r="E272" i="4"/>
  <c r="I271" i="4"/>
  <c r="H271" i="4"/>
  <c r="G271" i="4"/>
  <c r="F271" i="4"/>
  <c r="E271" i="4"/>
  <c r="I270" i="4"/>
  <c r="H270" i="4"/>
  <c r="G270" i="4"/>
  <c r="F270" i="4"/>
  <c r="E270" i="4"/>
  <c r="I269" i="4"/>
  <c r="H269" i="4"/>
  <c r="G269" i="4"/>
  <c r="F269" i="4"/>
  <c r="E269" i="4"/>
  <c r="I268" i="4"/>
  <c r="H268" i="4"/>
  <c r="G268" i="4"/>
  <c r="F268" i="4"/>
  <c r="E268" i="4"/>
  <c r="I267" i="4"/>
  <c r="I291" i="4" s="1"/>
  <c r="H267" i="4"/>
  <c r="H291" i="4" s="1"/>
  <c r="G267" i="4"/>
  <c r="G291" i="4" s="1"/>
  <c r="F267" i="4"/>
  <c r="F291" i="4" s="1"/>
  <c r="E267" i="4"/>
  <c r="E291" i="4" s="1"/>
  <c r="C264" i="4"/>
  <c r="X262" i="4"/>
  <c r="W262" i="4"/>
  <c r="V262" i="4"/>
  <c r="U262" i="4"/>
  <c r="T262" i="4"/>
  <c r="S262" i="4"/>
  <c r="R262" i="4"/>
  <c r="Q262" i="4"/>
  <c r="P262" i="4"/>
  <c r="O262" i="4"/>
  <c r="N262" i="4"/>
  <c r="M262" i="4"/>
  <c r="L262" i="4"/>
  <c r="K262" i="4"/>
  <c r="I262" i="4"/>
  <c r="H262" i="4"/>
  <c r="G262" i="4"/>
  <c r="F262" i="4"/>
  <c r="E262" i="4"/>
  <c r="J261" i="4"/>
  <c r="J260" i="4"/>
  <c r="J259" i="4"/>
  <c r="J258" i="4"/>
  <c r="J257" i="4"/>
  <c r="J256" i="4"/>
  <c r="J255" i="4"/>
  <c r="J254" i="4"/>
  <c r="J253" i="4"/>
  <c r="J252" i="4"/>
  <c r="J251" i="4"/>
  <c r="J250" i="4"/>
  <c r="J249" i="4"/>
  <c r="J248" i="4"/>
  <c r="J247" i="4"/>
  <c r="J246" i="4"/>
  <c r="J245" i="4"/>
  <c r="J244" i="4"/>
  <c r="J243" i="4"/>
  <c r="J242" i="4"/>
  <c r="J241" i="4"/>
  <c r="J240" i="4"/>
  <c r="J239" i="4"/>
  <c r="J238" i="4"/>
  <c r="C235" i="4"/>
  <c r="X233" i="4"/>
  <c r="W233" i="4"/>
  <c r="V233" i="4"/>
  <c r="U233" i="4"/>
  <c r="T233" i="4"/>
  <c r="S233" i="4"/>
  <c r="R233" i="4"/>
  <c r="Q233" i="4"/>
  <c r="P233" i="4"/>
  <c r="O233" i="4"/>
  <c r="N233" i="4"/>
  <c r="M233" i="4"/>
  <c r="L233" i="4"/>
  <c r="K233" i="4"/>
  <c r="I233" i="4"/>
  <c r="H233" i="4"/>
  <c r="G233" i="4"/>
  <c r="F233" i="4"/>
  <c r="E233" i="4"/>
  <c r="J232" i="4"/>
  <c r="AB232" i="4" s="1"/>
  <c r="AA232" i="4" s="1"/>
  <c r="J231" i="4"/>
  <c r="AB231" i="4" s="1"/>
  <c r="AA231" i="4" s="1"/>
  <c r="J230" i="4"/>
  <c r="AB230" i="4" s="1"/>
  <c r="AA230" i="4" s="1"/>
  <c r="J229" i="4"/>
  <c r="AB229" i="4" s="1"/>
  <c r="AA229" i="4" s="1"/>
  <c r="J228" i="4"/>
  <c r="AB228" i="4" s="1"/>
  <c r="AA228" i="4" s="1"/>
  <c r="J227" i="4"/>
  <c r="AB227" i="4" s="1"/>
  <c r="AA227" i="4" s="1"/>
  <c r="J226" i="4"/>
  <c r="AB226" i="4" s="1"/>
  <c r="AA226" i="4" s="1"/>
  <c r="J225" i="4"/>
  <c r="AB225" i="4" s="1"/>
  <c r="AA225" i="4" s="1"/>
  <c r="J224" i="4"/>
  <c r="AB224" i="4" s="1"/>
  <c r="AA224" i="4" s="1"/>
  <c r="J223" i="4"/>
  <c r="AB223" i="4" s="1"/>
  <c r="AA223" i="4" s="1"/>
  <c r="J222" i="4"/>
  <c r="AB222" i="4" s="1"/>
  <c r="AA222" i="4" s="1"/>
  <c r="J221" i="4"/>
  <c r="AB221" i="4" s="1"/>
  <c r="AA221" i="4" s="1"/>
  <c r="J220" i="4"/>
  <c r="AB220" i="4" s="1"/>
  <c r="AA220" i="4" s="1"/>
  <c r="J219" i="4"/>
  <c r="AB219" i="4" s="1"/>
  <c r="AA219" i="4" s="1"/>
  <c r="AB218" i="4"/>
  <c r="AA218" i="4" s="1"/>
  <c r="J218" i="4"/>
  <c r="J217" i="4"/>
  <c r="AB217" i="4" s="1"/>
  <c r="AA217" i="4" s="1"/>
  <c r="J216" i="4"/>
  <c r="AB216" i="4" s="1"/>
  <c r="AA216" i="4" s="1"/>
  <c r="J215" i="4"/>
  <c r="AB215" i="4" s="1"/>
  <c r="AA215" i="4" s="1"/>
  <c r="J214" i="4"/>
  <c r="AB214" i="4" s="1"/>
  <c r="AA214" i="4" s="1"/>
  <c r="AB213" i="4"/>
  <c r="AA213" i="4" s="1"/>
  <c r="J213" i="4"/>
  <c r="J212" i="4"/>
  <c r="AB212" i="4" s="1"/>
  <c r="AA212" i="4" s="1"/>
  <c r="J211" i="4"/>
  <c r="AB211" i="4" s="1"/>
  <c r="AA211" i="4" s="1"/>
  <c r="AB210" i="4"/>
  <c r="AA210" i="4" s="1"/>
  <c r="J210" i="4"/>
  <c r="J209" i="4"/>
  <c r="C206" i="4"/>
  <c r="X204" i="4"/>
  <c r="W204" i="4"/>
  <c r="V204" i="4"/>
  <c r="U204" i="4"/>
  <c r="T204" i="4"/>
  <c r="S204" i="4"/>
  <c r="R204" i="4"/>
  <c r="Q204" i="4"/>
  <c r="P204" i="4"/>
  <c r="O204" i="4"/>
  <c r="N204" i="4"/>
  <c r="M204" i="4"/>
  <c r="L204" i="4"/>
  <c r="K204" i="4"/>
  <c r="J204" i="4"/>
  <c r="I204" i="4"/>
  <c r="G204" i="4"/>
  <c r="F204" i="4"/>
  <c r="E204" i="4"/>
  <c r="H181" i="4"/>
  <c r="AB180" i="4"/>
  <c r="AA180" i="4" s="1"/>
  <c r="C177" i="4"/>
  <c r="X175" i="4"/>
  <c r="W175" i="4"/>
  <c r="V175" i="4"/>
  <c r="U175" i="4"/>
  <c r="T175" i="4"/>
  <c r="S175" i="4"/>
  <c r="R175" i="4"/>
  <c r="Q175" i="4"/>
  <c r="P175" i="4"/>
  <c r="O175" i="4"/>
  <c r="N175" i="4"/>
  <c r="M175" i="4"/>
  <c r="L175" i="4"/>
  <c r="K175" i="4"/>
  <c r="J175" i="4"/>
  <c r="I175" i="4"/>
  <c r="H175" i="4"/>
  <c r="G175" i="4"/>
  <c r="F175" i="4"/>
  <c r="E175" i="4"/>
  <c r="AB174" i="4"/>
  <c r="AA174" i="4" s="1"/>
  <c r="AB173" i="4"/>
  <c r="AA173" i="4" s="1"/>
  <c r="AB172" i="4"/>
  <c r="AA172" i="4" s="1"/>
  <c r="AB171" i="4"/>
  <c r="AA171" i="4" s="1"/>
  <c r="AB170" i="4"/>
  <c r="AA170" i="4" s="1"/>
  <c r="AB169" i="4"/>
  <c r="AA169" i="4" s="1"/>
  <c r="AB168" i="4"/>
  <c r="AA168" i="4" s="1"/>
  <c r="AB167" i="4"/>
  <c r="AA167" i="4" s="1"/>
  <c r="AB166" i="4"/>
  <c r="AA166" i="4" s="1"/>
  <c r="AB165" i="4"/>
  <c r="AA165" i="4" s="1"/>
  <c r="AB164" i="4"/>
  <c r="AA164" i="4" s="1"/>
  <c r="AB163" i="4"/>
  <c r="AA163" i="4" s="1"/>
  <c r="AB162" i="4"/>
  <c r="AA162" i="4" s="1"/>
  <c r="AB161" i="4"/>
  <c r="AA161" i="4" s="1"/>
  <c r="AB160" i="4"/>
  <c r="AA160" i="4" s="1"/>
  <c r="AB159" i="4"/>
  <c r="AA159" i="4" s="1"/>
  <c r="AB158" i="4"/>
  <c r="AA158" i="4" s="1"/>
  <c r="AB157" i="4"/>
  <c r="AA157" i="4" s="1"/>
  <c r="AB156" i="4"/>
  <c r="AA156" i="4" s="1"/>
  <c r="AB155" i="4"/>
  <c r="AA155" i="4" s="1"/>
  <c r="AB154" i="4"/>
  <c r="AA154" i="4" s="1"/>
  <c r="AB153" i="4"/>
  <c r="AA153" i="4" s="1"/>
  <c r="AB152" i="4"/>
  <c r="AA152" i="4" s="1"/>
  <c r="AB151" i="4"/>
  <c r="AA151" i="4" s="1"/>
  <c r="C148" i="4"/>
  <c r="X146" i="4"/>
  <c r="W146" i="4"/>
  <c r="V146" i="4"/>
  <c r="U146" i="4"/>
  <c r="T146" i="4"/>
  <c r="S146" i="4"/>
  <c r="R146" i="4"/>
  <c r="Q146" i="4"/>
  <c r="P146" i="4"/>
  <c r="O146" i="4"/>
  <c r="N146" i="4"/>
  <c r="M146" i="4"/>
  <c r="L146" i="4"/>
  <c r="K146" i="4"/>
  <c r="H146" i="4"/>
  <c r="F146" i="4"/>
  <c r="E146" i="4"/>
  <c r="J145" i="4"/>
  <c r="AB145" i="4" s="1"/>
  <c r="AA145" i="4" s="1"/>
  <c r="I145" i="4"/>
  <c r="G145" i="4"/>
  <c r="J144" i="4"/>
  <c r="AB144" i="4" s="1"/>
  <c r="AA144" i="4" s="1"/>
  <c r="I144" i="4"/>
  <c r="G144" i="4"/>
  <c r="J143" i="4"/>
  <c r="AB143" i="4" s="1"/>
  <c r="AA143" i="4" s="1"/>
  <c r="I143" i="4"/>
  <c r="G143" i="4"/>
  <c r="J142" i="4"/>
  <c r="AB142" i="4" s="1"/>
  <c r="AA142" i="4" s="1"/>
  <c r="I142" i="4"/>
  <c r="G142" i="4"/>
  <c r="J141" i="4"/>
  <c r="AB141" i="4" s="1"/>
  <c r="AA141" i="4" s="1"/>
  <c r="I141" i="4"/>
  <c r="G141" i="4"/>
  <c r="J140" i="4"/>
  <c r="AB140" i="4" s="1"/>
  <c r="AA140" i="4" s="1"/>
  <c r="I140" i="4"/>
  <c r="G140" i="4"/>
  <c r="J139" i="4"/>
  <c r="AB139" i="4" s="1"/>
  <c r="AA139" i="4" s="1"/>
  <c r="I139" i="4"/>
  <c r="G139" i="4"/>
  <c r="J138" i="4"/>
  <c r="AB138" i="4" s="1"/>
  <c r="AA138" i="4" s="1"/>
  <c r="I138" i="4"/>
  <c r="G138" i="4"/>
  <c r="J137" i="4"/>
  <c r="AB137" i="4" s="1"/>
  <c r="AA137" i="4" s="1"/>
  <c r="I137" i="4"/>
  <c r="G137" i="4"/>
  <c r="J136" i="4"/>
  <c r="AB136" i="4" s="1"/>
  <c r="AA136" i="4" s="1"/>
  <c r="I136" i="4"/>
  <c r="G136" i="4"/>
  <c r="J135" i="4"/>
  <c r="AB135" i="4" s="1"/>
  <c r="AA135" i="4" s="1"/>
  <c r="I135" i="4"/>
  <c r="G135" i="4"/>
  <c r="J134" i="4"/>
  <c r="AB134" i="4" s="1"/>
  <c r="AA134" i="4" s="1"/>
  <c r="I134" i="4"/>
  <c r="G134" i="4"/>
  <c r="J133" i="4"/>
  <c r="AB133" i="4" s="1"/>
  <c r="AA133" i="4" s="1"/>
  <c r="I133" i="4"/>
  <c r="G133" i="4"/>
  <c r="J132" i="4"/>
  <c r="AB132" i="4" s="1"/>
  <c r="AA132" i="4" s="1"/>
  <c r="I132" i="4"/>
  <c r="G132" i="4"/>
  <c r="J131" i="4"/>
  <c r="AB131" i="4" s="1"/>
  <c r="AA131" i="4" s="1"/>
  <c r="I131" i="4"/>
  <c r="G131" i="4"/>
  <c r="J130" i="4"/>
  <c r="AB130" i="4" s="1"/>
  <c r="AA130" i="4" s="1"/>
  <c r="I130" i="4"/>
  <c r="G130" i="4"/>
  <c r="J129" i="4"/>
  <c r="AB129" i="4" s="1"/>
  <c r="AA129" i="4" s="1"/>
  <c r="I129" i="4"/>
  <c r="G129" i="4"/>
  <c r="J128" i="4"/>
  <c r="AB128" i="4" s="1"/>
  <c r="AA128" i="4" s="1"/>
  <c r="I128" i="4"/>
  <c r="G128" i="4"/>
  <c r="J127" i="4"/>
  <c r="AB127" i="4" s="1"/>
  <c r="AA127" i="4" s="1"/>
  <c r="I127" i="4"/>
  <c r="G127" i="4"/>
  <c r="J126" i="4"/>
  <c r="AB126" i="4" s="1"/>
  <c r="AA126" i="4" s="1"/>
  <c r="I126" i="4"/>
  <c r="G126" i="4"/>
  <c r="J125" i="4"/>
  <c r="AB125" i="4" s="1"/>
  <c r="AA125" i="4" s="1"/>
  <c r="I125" i="4"/>
  <c r="G125" i="4"/>
  <c r="J124" i="4"/>
  <c r="AB124" i="4" s="1"/>
  <c r="AA124" i="4" s="1"/>
  <c r="I124" i="4"/>
  <c r="G124" i="4"/>
  <c r="J123" i="4"/>
  <c r="AB123" i="4" s="1"/>
  <c r="AA123" i="4" s="1"/>
  <c r="I123" i="4"/>
  <c r="G123" i="4"/>
  <c r="J122" i="4"/>
  <c r="I122" i="4"/>
  <c r="I146" i="4" s="1"/>
  <c r="G122" i="4"/>
  <c r="G146" i="4" s="1"/>
  <c r="C119" i="4"/>
  <c r="X117" i="4"/>
  <c r="W117" i="4"/>
  <c r="V117" i="4"/>
  <c r="U117" i="4"/>
  <c r="T117" i="4"/>
  <c r="S117" i="4"/>
  <c r="R117" i="4"/>
  <c r="Q117" i="4"/>
  <c r="P117" i="4"/>
  <c r="O117" i="4"/>
  <c r="N117" i="4"/>
  <c r="M117" i="4"/>
  <c r="L117" i="4"/>
  <c r="K117" i="4"/>
  <c r="J117" i="4"/>
  <c r="I117" i="4"/>
  <c r="H117" i="4"/>
  <c r="G117" i="4"/>
  <c r="F117" i="4"/>
  <c r="E117" i="4"/>
  <c r="AB116" i="4"/>
  <c r="AA116" i="4" s="1"/>
  <c r="AB115" i="4"/>
  <c r="AA115" i="4" s="1"/>
  <c r="AB114" i="4"/>
  <c r="AA114" i="4" s="1"/>
  <c r="AB113" i="4"/>
  <c r="AA113" i="4" s="1"/>
  <c r="AB112" i="4"/>
  <c r="AA112" i="4" s="1"/>
  <c r="AB111" i="4"/>
  <c r="AA111" i="4" s="1"/>
  <c r="AB110" i="4"/>
  <c r="AA110" i="4" s="1"/>
  <c r="AB109" i="4"/>
  <c r="AA109" i="4" s="1"/>
  <c r="AB108" i="4"/>
  <c r="AA108" i="4" s="1"/>
  <c r="AB107" i="4"/>
  <c r="AA107" i="4" s="1"/>
  <c r="AB106" i="4"/>
  <c r="AA106" i="4" s="1"/>
  <c r="AB105" i="4"/>
  <c r="AA105" i="4" s="1"/>
  <c r="AB104" i="4"/>
  <c r="AA104" i="4" s="1"/>
  <c r="AB103" i="4"/>
  <c r="AA103" i="4" s="1"/>
  <c r="AB102" i="4"/>
  <c r="AA102" i="4" s="1"/>
  <c r="AB101" i="4"/>
  <c r="AA101" i="4" s="1"/>
  <c r="AB100" i="4"/>
  <c r="AA100" i="4" s="1"/>
  <c r="AB99" i="4"/>
  <c r="AA99" i="4" s="1"/>
  <c r="AB98" i="4"/>
  <c r="AA98" i="4" s="1"/>
  <c r="AB97" i="4"/>
  <c r="AA97" i="4" s="1"/>
  <c r="AB96" i="4"/>
  <c r="AA96" i="4" s="1"/>
  <c r="AB95" i="4"/>
  <c r="AA95" i="4" s="1"/>
  <c r="AB94" i="4"/>
  <c r="AA94" i="4" s="1"/>
  <c r="AB93" i="4"/>
  <c r="AA93" i="4" s="1"/>
  <c r="C89" i="4"/>
  <c r="X88" i="4"/>
  <c r="W88" i="4"/>
  <c r="V88" i="4"/>
  <c r="U88" i="4"/>
  <c r="T88" i="4"/>
  <c r="S88" i="4"/>
  <c r="R88" i="4"/>
  <c r="Q88" i="4"/>
  <c r="P88" i="4"/>
  <c r="O88" i="4"/>
  <c r="N88" i="4"/>
  <c r="M88" i="4"/>
  <c r="L88" i="4"/>
  <c r="K88" i="4"/>
  <c r="J88" i="4"/>
  <c r="I88" i="4"/>
  <c r="H88" i="4"/>
  <c r="G88" i="4"/>
  <c r="F88" i="4"/>
  <c r="E88" i="4"/>
  <c r="AB87" i="4"/>
  <c r="AA87" i="4" s="1"/>
  <c r="AB86" i="4"/>
  <c r="AA86" i="4" s="1"/>
  <c r="AB85" i="4"/>
  <c r="AA85" i="4" s="1"/>
  <c r="AB84" i="4"/>
  <c r="AA84" i="4" s="1"/>
  <c r="AB83" i="4"/>
  <c r="AA83" i="4" s="1"/>
  <c r="AB82" i="4"/>
  <c r="AA82" i="4" s="1"/>
  <c r="AB81" i="4"/>
  <c r="AA81" i="4" s="1"/>
  <c r="AB80" i="4"/>
  <c r="AA80" i="4" s="1"/>
  <c r="AB79" i="4"/>
  <c r="AA79" i="4" s="1"/>
  <c r="AB78" i="4"/>
  <c r="AA78" i="4" s="1"/>
  <c r="AB77" i="4"/>
  <c r="AA77" i="4" s="1"/>
  <c r="AB76" i="4"/>
  <c r="AA76" i="4" s="1"/>
  <c r="AB75" i="4"/>
  <c r="AA75" i="4" s="1"/>
  <c r="AB74" i="4"/>
  <c r="AA74" i="4" s="1"/>
  <c r="AB73" i="4"/>
  <c r="AA73" i="4" s="1"/>
  <c r="AB72" i="4"/>
  <c r="AA72" i="4" s="1"/>
  <c r="AB71" i="4"/>
  <c r="AA71" i="4" s="1"/>
  <c r="AB70" i="4"/>
  <c r="AA70" i="4" s="1"/>
  <c r="AB69" i="4"/>
  <c r="AA69" i="4" s="1"/>
  <c r="AB68" i="4"/>
  <c r="AA68" i="4" s="1"/>
  <c r="AB67" i="4"/>
  <c r="AA67" i="4" s="1"/>
  <c r="AB66" i="4"/>
  <c r="AA66" i="4" s="1"/>
  <c r="AB65" i="4"/>
  <c r="AA65" i="4" s="1"/>
  <c r="AB64" i="4"/>
  <c r="AA64" i="4" s="1"/>
  <c r="C61" i="4"/>
  <c r="X59" i="4"/>
  <c r="W59" i="4"/>
  <c r="V59" i="4"/>
  <c r="U59" i="4"/>
  <c r="T59" i="4"/>
  <c r="S59" i="4"/>
  <c r="R59" i="4"/>
  <c r="Q59" i="4"/>
  <c r="P59" i="4"/>
  <c r="O59" i="4"/>
  <c r="N59" i="4"/>
  <c r="M59" i="4"/>
  <c r="L59" i="4"/>
  <c r="K59" i="4"/>
  <c r="J59" i="4"/>
  <c r="I58" i="4"/>
  <c r="AB58" i="4" s="1"/>
  <c r="AA58" i="4" s="1"/>
  <c r="H58" i="4"/>
  <c r="G58" i="4"/>
  <c r="F58" i="4"/>
  <c r="E58" i="4"/>
  <c r="I57" i="4"/>
  <c r="AB57" i="4" s="1"/>
  <c r="AA57" i="4" s="1"/>
  <c r="H57" i="4"/>
  <c r="G57" i="4"/>
  <c r="F57" i="4"/>
  <c r="E57" i="4"/>
  <c r="I56" i="4"/>
  <c r="AB56" i="4" s="1"/>
  <c r="AA56" i="4" s="1"/>
  <c r="H56" i="4"/>
  <c r="G56" i="4"/>
  <c r="F56" i="4"/>
  <c r="E56" i="4"/>
  <c r="I55" i="4"/>
  <c r="AB55" i="4" s="1"/>
  <c r="AA55" i="4" s="1"/>
  <c r="H55" i="4"/>
  <c r="G55" i="4"/>
  <c r="F55" i="4"/>
  <c r="E55" i="4"/>
  <c r="I54" i="4"/>
  <c r="H54" i="4"/>
  <c r="G54" i="4"/>
  <c r="AB54" i="4" s="1"/>
  <c r="AA54" i="4" s="1"/>
  <c r="F54" i="4"/>
  <c r="E54" i="4"/>
  <c r="I53" i="4"/>
  <c r="AB53" i="4" s="1"/>
  <c r="AA53" i="4" s="1"/>
  <c r="H53" i="4"/>
  <c r="G53" i="4"/>
  <c r="F53" i="4"/>
  <c r="E53" i="4"/>
  <c r="I52" i="4"/>
  <c r="AB52" i="4" s="1"/>
  <c r="AA52" i="4" s="1"/>
  <c r="H52" i="4"/>
  <c r="G52" i="4"/>
  <c r="F52" i="4"/>
  <c r="E52" i="4"/>
  <c r="I51" i="4"/>
  <c r="AB51" i="4" s="1"/>
  <c r="AA51" i="4" s="1"/>
  <c r="H51" i="4"/>
  <c r="G51" i="4"/>
  <c r="F51" i="4"/>
  <c r="E51" i="4"/>
  <c r="I50" i="4"/>
  <c r="AB50" i="4" s="1"/>
  <c r="AA50" i="4" s="1"/>
  <c r="H50" i="4"/>
  <c r="G50" i="4"/>
  <c r="F50" i="4"/>
  <c r="E50" i="4"/>
  <c r="I49" i="4"/>
  <c r="AB49" i="4" s="1"/>
  <c r="AA49" i="4" s="1"/>
  <c r="H49" i="4"/>
  <c r="G49" i="4"/>
  <c r="F49" i="4"/>
  <c r="E49" i="4"/>
  <c r="I48" i="4"/>
  <c r="AB48" i="4" s="1"/>
  <c r="AA48" i="4" s="1"/>
  <c r="H48" i="4"/>
  <c r="G48" i="4"/>
  <c r="F48" i="4"/>
  <c r="E48" i="4"/>
  <c r="I47" i="4"/>
  <c r="AB47" i="4" s="1"/>
  <c r="AA47" i="4" s="1"/>
  <c r="H47" i="4"/>
  <c r="G47" i="4"/>
  <c r="F47" i="4"/>
  <c r="E47" i="4"/>
  <c r="I46" i="4"/>
  <c r="AB46" i="4" s="1"/>
  <c r="AA46" i="4" s="1"/>
  <c r="H46" i="4"/>
  <c r="G46" i="4"/>
  <c r="F46" i="4"/>
  <c r="E46" i="4"/>
  <c r="I45" i="4"/>
  <c r="AB45" i="4" s="1"/>
  <c r="AA45" i="4" s="1"/>
  <c r="H45" i="4"/>
  <c r="G45" i="4"/>
  <c r="F45" i="4"/>
  <c r="E45" i="4"/>
  <c r="I44" i="4"/>
  <c r="AB44" i="4" s="1"/>
  <c r="AA44" i="4" s="1"/>
  <c r="H44" i="4"/>
  <c r="G44" i="4"/>
  <c r="F44" i="4"/>
  <c r="E44" i="4"/>
  <c r="I43" i="4"/>
  <c r="H43" i="4"/>
  <c r="AB43" i="4" s="1"/>
  <c r="AA43" i="4" s="1"/>
  <c r="G43" i="4"/>
  <c r="F43" i="4"/>
  <c r="E43" i="4"/>
  <c r="I42" i="4"/>
  <c r="AB42" i="4" s="1"/>
  <c r="AA42" i="4" s="1"/>
  <c r="H42" i="4"/>
  <c r="G42" i="4"/>
  <c r="F42" i="4"/>
  <c r="E42" i="4"/>
  <c r="I41" i="4"/>
  <c r="AB41" i="4" s="1"/>
  <c r="AA41" i="4" s="1"/>
  <c r="H41" i="4"/>
  <c r="G41" i="4"/>
  <c r="F41" i="4"/>
  <c r="E41" i="4"/>
  <c r="I40" i="4"/>
  <c r="AB40" i="4" s="1"/>
  <c r="AA40" i="4" s="1"/>
  <c r="H40" i="4"/>
  <c r="G40" i="4"/>
  <c r="F40" i="4"/>
  <c r="E40" i="4"/>
  <c r="I39" i="4"/>
  <c r="AB39" i="4" s="1"/>
  <c r="AA39" i="4" s="1"/>
  <c r="H39" i="4"/>
  <c r="G39" i="4"/>
  <c r="F39" i="4"/>
  <c r="E39" i="4"/>
  <c r="I38" i="4"/>
  <c r="AB38" i="4" s="1"/>
  <c r="AA38" i="4" s="1"/>
  <c r="H38" i="4"/>
  <c r="G38" i="4"/>
  <c r="F38" i="4"/>
  <c r="E38" i="4"/>
  <c r="I37" i="4"/>
  <c r="AB37" i="4" s="1"/>
  <c r="AA37" i="4" s="1"/>
  <c r="H37" i="4"/>
  <c r="G37" i="4"/>
  <c r="F37" i="4"/>
  <c r="E37" i="4"/>
  <c r="I36" i="4"/>
  <c r="AB36" i="4" s="1"/>
  <c r="AA36" i="4" s="1"/>
  <c r="H36" i="4"/>
  <c r="G36" i="4"/>
  <c r="F36" i="4"/>
  <c r="E36" i="4"/>
  <c r="E59" i="4" s="1"/>
  <c r="I35" i="4"/>
  <c r="I59" i="4" s="1"/>
  <c r="H35" i="4"/>
  <c r="G35" i="4"/>
  <c r="G59" i="4" s="1"/>
  <c r="F35" i="4"/>
  <c r="B33" i="4"/>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C32" i="4"/>
  <c r="C33" i="4" s="1"/>
  <c r="AB27" i="4"/>
  <c r="AA27" i="4" s="1"/>
  <c r="Y27" i="4"/>
  <c r="Y26" i="4"/>
  <c r="Y23" i="4"/>
  <c r="Y22" i="4"/>
  <c r="Y21" i="4"/>
  <c r="Y20" i="4"/>
  <c r="Y19" i="4"/>
  <c r="Y18" i="4"/>
  <c r="Y17" i="4"/>
  <c r="F13" i="4"/>
  <c r="B50" i="11"/>
  <c r="B30" i="11"/>
  <c r="Y25" i="11"/>
  <c r="AJ25" i="11" s="1"/>
  <c r="AI25" i="11" s="1"/>
  <c r="X25" i="11"/>
  <c r="W25" i="11"/>
  <c r="V25" i="11"/>
  <c r="U25" i="11"/>
  <c r="T25" i="11"/>
  <c r="S25" i="11"/>
  <c r="R25" i="11"/>
  <c r="Q25" i="11"/>
  <c r="P25" i="11"/>
  <c r="O25" i="11"/>
  <c r="N25" i="11"/>
  <c r="M25" i="11"/>
  <c r="L25" i="11"/>
  <c r="K25" i="11"/>
  <c r="J25" i="11"/>
  <c r="I25" i="11"/>
  <c r="H25" i="11"/>
  <c r="G25" i="11"/>
  <c r="F25" i="11"/>
  <c r="E25" i="11"/>
  <c r="D25" i="11"/>
  <c r="AJ24" i="11"/>
  <c r="AI24" i="11" s="1"/>
  <c r="AE24" i="11"/>
  <c r="AE25" i="11" s="1"/>
  <c r="F106" i="10" s="1"/>
  <c r="AJ22" i="11"/>
  <c r="AI22" i="11" s="1"/>
  <c r="Y19" i="11"/>
  <c r="AJ19" i="11" s="1"/>
  <c r="AI19" i="11" s="1"/>
  <c r="X19" i="11"/>
  <c r="W19" i="11"/>
  <c r="V19" i="11"/>
  <c r="U19" i="11"/>
  <c r="T19" i="11"/>
  <c r="S19" i="11"/>
  <c r="R19" i="11"/>
  <c r="Q19" i="11"/>
  <c r="P19" i="11"/>
  <c r="O19" i="11"/>
  <c r="N19" i="11"/>
  <c r="M19" i="11"/>
  <c r="L19" i="11"/>
  <c r="K19" i="11"/>
  <c r="J19" i="11"/>
  <c r="I19" i="11"/>
  <c r="H19" i="11"/>
  <c r="G19" i="11"/>
  <c r="F19" i="11"/>
  <c r="E19" i="11"/>
  <c r="D19" i="11"/>
  <c r="AA18" i="11"/>
  <c r="Y18" i="11"/>
  <c r="AJ18" i="11" s="1"/>
  <c r="AI18" i="11" s="1"/>
  <c r="X18" i="11"/>
  <c r="W18" i="11"/>
  <c r="V18" i="11"/>
  <c r="U18" i="11"/>
  <c r="T18" i="11"/>
  <c r="S18" i="11"/>
  <c r="R18" i="11"/>
  <c r="Q18" i="11"/>
  <c r="P18" i="11"/>
  <c r="O18" i="11"/>
  <c r="N18" i="11"/>
  <c r="M18" i="11"/>
  <c r="L18" i="11"/>
  <c r="K18" i="11"/>
  <c r="J18" i="11"/>
  <c r="I18" i="11"/>
  <c r="H18" i="11"/>
  <c r="G18" i="11"/>
  <c r="F18" i="11"/>
  <c r="E18" i="11"/>
  <c r="D18" i="11"/>
  <c r="AE18" i="11" s="1"/>
  <c r="AJ17" i="11"/>
  <c r="AI17" i="11" s="1"/>
  <c r="AE17" i="11"/>
  <c r="AJ16" i="11"/>
  <c r="AI16" i="11" s="1"/>
  <c r="AE16" i="11"/>
  <c r="AJ15" i="11"/>
  <c r="AI15" i="11" s="1"/>
  <c r="AE15" i="11"/>
  <c r="AE19" i="11" s="1"/>
  <c r="F73" i="10" s="1"/>
  <c r="AJ13" i="11"/>
  <c r="AI13" i="11" s="1"/>
  <c r="F162" i="10"/>
  <c r="F163" i="10" s="1"/>
  <c r="F164" i="10" s="1"/>
  <c r="F165" i="10" s="1"/>
  <c r="F156" i="10"/>
  <c r="F157" i="10" s="1"/>
  <c r="F158" i="10" s="1"/>
  <c r="F159" i="10" s="1"/>
  <c r="N154" i="10"/>
  <c r="M154" i="10"/>
  <c r="E145" i="10"/>
  <c r="E144" i="10"/>
  <c r="E143" i="10"/>
  <c r="D140" i="10"/>
  <c r="N139" i="10"/>
  <c r="M139" i="10" s="1"/>
  <c r="G139" i="10"/>
  <c r="F139" i="10"/>
  <c r="N138" i="10"/>
  <c r="M138" i="10" s="1"/>
  <c r="G138" i="10"/>
  <c r="F138" i="10"/>
  <c r="N137" i="10"/>
  <c r="M137" i="10" s="1"/>
  <c r="G137" i="10"/>
  <c r="G140" i="10" s="1"/>
  <c r="F137" i="10"/>
  <c r="N132" i="10"/>
  <c r="M132" i="10" s="1"/>
  <c r="N131" i="10"/>
  <c r="M131" i="10" s="1"/>
  <c r="F128" i="10"/>
  <c r="N126" i="10"/>
  <c r="M126" i="10" s="1"/>
  <c r="F124" i="10"/>
  <c r="N124" i="10" s="1"/>
  <c r="M124" i="10" s="1"/>
  <c r="N123" i="10"/>
  <c r="M123" i="10" s="1"/>
  <c r="N122" i="10"/>
  <c r="M122" i="10" s="1"/>
  <c r="N121" i="10"/>
  <c r="M121" i="10" s="1"/>
  <c r="N120" i="10"/>
  <c r="M120" i="10" s="1"/>
  <c r="N117" i="10"/>
  <c r="M117" i="10" s="1"/>
  <c r="N115" i="10"/>
  <c r="M115" i="10" s="1"/>
  <c r="N114" i="10"/>
  <c r="M114" i="10" s="1"/>
  <c r="G114" i="10"/>
  <c r="BD22" i="13" s="1"/>
  <c r="G112" i="10"/>
  <c r="BH16" i="13" s="1"/>
  <c r="F112" i="10"/>
  <c r="N111" i="10"/>
  <c r="M111" i="10" s="1"/>
  <c r="G111" i="10"/>
  <c r="BH22" i="13" s="1"/>
  <c r="N110" i="10"/>
  <c r="M110" i="10" s="1"/>
  <c r="G110" i="10"/>
  <c r="BH15" i="13" s="1"/>
  <c r="G109" i="10"/>
  <c r="BD17" i="13" s="1"/>
  <c r="N108" i="10"/>
  <c r="M108" i="10" s="1"/>
  <c r="H108" i="10"/>
  <c r="G106" i="10"/>
  <c r="BD16" i="13" s="1"/>
  <c r="N105" i="10"/>
  <c r="M105" i="10" s="1"/>
  <c r="G105" i="10"/>
  <c r="BD15" i="13" s="1"/>
  <c r="F100" i="10"/>
  <c r="N98" i="10"/>
  <c r="M98" i="10" s="1"/>
  <c r="F96" i="10"/>
  <c r="N96" i="10" s="1"/>
  <c r="M96" i="10" s="1"/>
  <c r="N95" i="10"/>
  <c r="M95" i="10" s="1"/>
  <c r="N94" i="10"/>
  <c r="M94" i="10" s="1"/>
  <c r="N93" i="10"/>
  <c r="M93" i="10" s="1"/>
  <c r="N92" i="10"/>
  <c r="M92" i="10" s="1"/>
  <c r="N89" i="10"/>
  <c r="M89" i="10" s="1"/>
  <c r="N88" i="10"/>
  <c r="M88" i="10" s="1"/>
  <c r="H88" i="10"/>
  <c r="N87" i="10"/>
  <c r="M87" i="10" s="1"/>
  <c r="H87" i="10"/>
  <c r="N85" i="10"/>
  <c r="M85" i="10" s="1"/>
  <c r="N84" i="10"/>
  <c r="M84" i="10" s="1"/>
  <c r="H84" i="10"/>
  <c r="N83" i="10"/>
  <c r="M83" i="10" s="1"/>
  <c r="H83" i="10"/>
  <c r="N81" i="10"/>
  <c r="M81" i="10" s="1"/>
  <c r="N80" i="10"/>
  <c r="M80" i="10" s="1"/>
  <c r="N79" i="10"/>
  <c r="M79" i="10"/>
  <c r="N75" i="10"/>
  <c r="M75" i="10" s="1"/>
  <c r="N72" i="10"/>
  <c r="M72" i="10" s="1"/>
  <c r="N70" i="10"/>
  <c r="M70" i="10" s="1"/>
  <c r="N68" i="10"/>
  <c r="M68" i="10" s="1"/>
  <c r="F67" i="10"/>
  <c r="N66" i="10"/>
  <c r="M66" i="10" s="1"/>
  <c r="N65" i="10"/>
  <c r="M65" i="10" s="1"/>
  <c r="N63" i="10"/>
  <c r="M63" i="10" s="1"/>
  <c r="F62" i="10"/>
  <c r="F61" i="10"/>
  <c r="N60" i="10"/>
  <c r="M60" i="10" s="1"/>
  <c r="F59" i="10"/>
  <c r="N59" i="10" s="1"/>
  <c r="M59" i="10" s="1"/>
  <c r="N58" i="10"/>
  <c r="M58" i="10" s="1"/>
  <c r="N56" i="10"/>
  <c r="M56" i="10" s="1"/>
  <c r="H56" i="10"/>
  <c r="N55" i="10"/>
  <c r="M55" i="10" s="1"/>
  <c r="H55" i="10"/>
  <c r="F50" i="10"/>
  <c r="N49" i="10"/>
  <c r="M49" i="10"/>
  <c r="N48" i="10"/>
  <c r="M48" i="10" s="1"/>
  <c r="H48" i="10"/>
  <c r="H47" i="10"/>
  <c r="F47" i="10"/>
  <c r="N46" i="10"/>
  <c r="M46" i="10"/>
  <c r="N45" i="10"/>
  <c r="M45" i="10"/>
  <c r="H45" i="10"/>
  <c r="N41" i="10"/>
  <c r="M41" i="10"/>
  <c r="F40" i="10"/>
  <c r="N39" i="10"/>
  <c r="M39" i="10" s="1"/>
  <c r="N38" i="10"/>
  <c r="M38" i="10" s="1"/>
  <c r="F37" i="10"/>
  <c r="N37" i="10" s="1"/>
  <c r="M37" i="10" s="1"/>
  <c r="N36" i="10"/>
  <c r="M36" i="10" s="1"/>
  <c r="N35" i="10"/>
  <c r="M35" i="10" s="1"/>
  <c r="H35" i="10"/>
  <c r="N33" i="10"/>
  <c r="M33" i="10"/>
  <c r="F32" i="10"/>
  <c r="N31" i="10"/>
  <c r="M31" i="10" s="1"/>
  <c r="N29" i="10"/>
  <c r="M29" i="10" s="1"/>
  <c r="N28" i="10"/>
  <c r="M28" i="10" s="1"/>
  <c r="H28" i="10"/>
  <c r="N27" i="10"/>
  <c r="M27" i="10" s="1"/>
  <c r="H27" i="10"/>
  <c r="N26" i="10"/>
  <c r="M26" i="10" s="1"/>
  <c r="H26" i="10"/>
  <c r="N25" i="10"/>
  <c r="M25" i="10" s="1"/>
  <c r="N24" i="10"/>
  <c r="M24" i="10" s="1"/>
  <c r="N23" i="10"/>
  <c r="M23" i="10" s="1"/>
  <c r="N22" i="10"/>
  <c r="M22" i="10" s="1"/>
  <c r="N21" i="10"/>
  <c r="M21" i="10" s="1"/>
  <c r="N20" i="10"/>
  <c r="M20" i="10" s="1"/>
  <c r="N19" i="10"/>
  <c r="M19" i="10" s="1"/>
  <c r="N18" i="10"/>
  <c r="M18" i="10" s="1"/>
  <c r="N17" i="10"/>
  <c r="M17" i="10" s="1"/>
  <c r="N16" i="10"/>
  <c r="M16" i="10" s="1"/>
  <c r="H16" i="10"/>
  <c r="N15" i="10"/>
  <c r="M15" i="10" s="1"/>
  <c r="N14" i="10"/>
  <c r="M14" i="10" s="1"/>
  <c r="F44" i="10" l="1"/>
  <c r="N43" i="10"/>
  <c r="M43" i="10" s="1"/>
  <c r="AU504" i="3"/>
  <c r="AE34" i="30"/>
  <c r="AE33" i="30"/>
  <c r="AD33" i="30"/>
  <c r="AC33" i="30"/>
  <c r="AE38" i="30"/>
  <c r="AD38" i="30"/>
  <c r="AC38" i="30"/>
  <c r="AB38" i="30"/>
  <c r="AA38" i="30"/>
  <c r="Z38" i="30"/>
  <c r="Y38" i="30"/>
  <c r="X38" i="30"/>
  <c r="W38" i="30"/>
  <c r="V38" i="30"/>
  <c r="AE37" i="30"/>
  <c r="AD37" i="30"/>
  <c r="AC37" i="30"/>
  <c r="AB37" i="30"/>
  <c r="AA37" i="30"/>
  <c r="Z37" i="30"/>
  <c r="Y37" i="30"/>
  <c r="X37" i="30"/>
  <c r="W37" i="30"/>
  <c r="V37" i="30"/>
  <c r="AE35" i="30"/>
  <c r="AE39" i="30" s="1"/>
  <c r="AD35" i="30"/>
  <c r="AD39" i="30" s="1"/>
  <c r="AC35" i="30"/>
  <c r="AC39" i="30" s="1"/>
  <c r="AB35" i="30"/>
  <c r="AB39" i="30" s="1"/>
  <c r="AA35" i="30"/>
  <c r="AA39" i="30" s="1"/>
  <c r="Z35" i="30"/>
  <c r="Z39" i="30" s="1"/>
  <c r="Y35" i="30"/>
  <c r="Y39" i="30" s="1"/>
  <c r="X35" i="30"/>
  <c r="X39" i="30" s="1"/>
  <c r="W35" i="30"/>
  <c r="W39" i="30" s="1"/>
  <c r="V35" i="30"/>
  <c r="V39" i="30" s="1"/>
  <c r="AB33" i="30"/>
  <c r="AD34" i="30"/>
  <c r="AC34" i="30"/>
  <c r="AB34" i="30"/>
  <c r="AA34" i="30"/>
  <c r="Z34" i="30"/>
  <c r="Y34" i="30"/>
  <c r="X34" i="30"/>
  <c r="W34" i="30"/>
  <c r="V34" i="30"/>
  <c r="AA33" i="30"/>
  <c r="Z33" i="30"/>
  <c r="Y33" i="30"/>
  <c r="X33" i="30"/>
  <c r="W33" i="30"/>
  <c r="V33" i="30"/>
  <c r="X20" i="30"/>
  <c r="AE22" i="30"/>
  <c r="AD22" i="30"/>
  <c r="AC22" i="30"/>
  <c r="AB22" i="30"/>
  <c r="AA22" i="30"/>
  <c r="Z22" i="30"/>
  <c r="Y22" i="30"/>
  <c r="X22" i="30"/>
  <c r="W22" i="30"/>
  <c r="V22" i="30"/>
  <c r="AE20" i="30"/>
  <c r="AE23" i="30" s="1"/>
  <c r="AD20" i="30"/>
  <c r="AD23" i="30" s="1"/>
  <c r="AC20" i="30"/>
  <c r="AC23" i="30" s="1"/>
  <c r="AB20" i="30"/>
  <c r="AB23" i="30" s="1"/>
  <c r="AA20" i="30"/>
  <c r="AA23" i="30" s="1"/>
  <c r="Z20" i="30"/>
  <c r="Z23" i="30" s="1"/>
  <c r="Y20" i="30"/>
  <c r="Y23" i="30" s="1"/>
  <c r="W20" i="30"/>
  <c r="W23" i="30" s="1"/>
  <c r="V20" i="30"/>
  <c r="V23" i="30" s="1"/>
  <c r="AE19" i="30"/>
  <c r="AD19" i="30"/>
  <c r="AC19" i="30"/>
  <c r="AB19" i="30"/>
  <c r="AA19" i="30"/>
  <c r="Z19" i="30"/>
  <c r="Y19" i="30"/>
  <c r="X19" i="30"/>
  <c r="W19" i="30"/>
  <c r="V19" i="30"/>
  <c r="AE18" i="30"/>
  <c r="AD18" i="30"/>
  <c r="AC18" i="30"/>
  <c r="AB18" i="30"/>
  <c r="AA18" i="30"/>
  <c r="Z18" i="30"/>
  <c r="Y18" i="30"/>
  <c r="X18" i="30"/>
  <c r="W18" i="30"/>
  <c r="V18" i="30"/>
  <c r="BL22" i="13"/>
  <c r="AU31" i="13"/>
  <c r="BC23" i="13"/>
  <c r="AY24" i="13"/>
  <c r="BP15" i="13"/>
  <c r="BL15" i="13"/>
  <c r="AX500" i="3"/>
  <c r="AX499" i="3"/>
  <c r="AX498" i="3"/>
  <c r="AX497" i="3"/>
  <c r="AX496" i="3"/>
  <c r="AX495" i="3"/>
  <c r="AX494" i="3"/>
  <c r="AX493" i="3"/>
  <c r="AX492" i="3"/>
  <c r="AX491" i="3"/>
  <c r="AX490" i="3"/>
  <c r="AX489" i="3"/>
  <c r="AX488" i="3"/>
  <c r="AX487" i="3"/>
  <c r="AX486" i="3"/>
  <c r="AX485" i="3"/>
  <c r="AX484" i="3"/>
  <c r="AX483" i="3"/>
  <c r="AX482" i="3"/>
  <c r="AX481" i="3"/>
  <c r="AX480" i="3"/>
  <c r="AX479" i="3"/>
  <c r="AX478" i="3"/>
  <c r="AX477" i="3"/>
  <c r="AX476" i="3"/>
  <c r="AX475" i="3"/>
  <c r="AX474" i="3"/>
  <c r="AX473" i="3"/>
  <c r="AX472" i="3"/>
  <c r="AX471" i="3"/>
  <c r="AX470" i="3"/>
  <c r="AX469" i="3"/>
  <c r="AX468" i="3"/>
  <c r="AX467" i="3"/>
  <c r="AX466" i="3"/>
  <c r="AX465" i="3"/>
  <c r="AX464" i="3"/>
  <c r="AX463" i="3"/>
  <c r="AX462" i="3"/>
  <c r="AX461" i="3"/>
  <c r="AX460" i="3"/>
  <c r="AX459" i="3"/>
  <c r="AX458" i="3"/>
  <c r="AX457" i="3"/>
  <c r="AX456" i="3"/>
  <c r="AX455" i="3"/>
  <c r="AX454" i="3"/>
  <c r="AX453" i="3"/>
  <c r="AX452" i="3"/>
  <c r="AX451" i="3"/>
  <c r="AX450" i="3"/>
  <c r="AX449" i="3"/>
  <c r="AX448" i="3"/>
  <c r="AX447" i="3"/>
  <c r="AX446" i="3"/>
  <c r="AX445" i="3"/>
  <c r="AX444" i="3"/>
  <c r="AX443" i="3"/>
  <c r="AX442" i="3"/>
  <c r="AX441" i="3"/>
  <c r="AX440" i="3"/>
  <c r="AX439" i="3"/>
  <c r="AX438" i="3"/>
  <c r="AX437" i="3"/>
  <c r="AX436" i="3"/>
  <c r="AX435" i="3"/>
  <c r="AX434" i="3"/>
  <c r="AX433" i="3"/>
  <c r="AX432" i="3"/>
  <c r="AX431" i="3"/>
  <c r="AX430" i="3"/>
  <c r="AX429" i="3"/>
  <c r="AX428" i="3"/>
  <c r="AX427" i="3"/>
  <c r="AX426" i="3"/>
  <c r="AX425" i="3"/>
  <c r="AX424" i="3"/>
  <c r="AX423" i="3"/>
  <c r="AX422" i="3"/>
  <c r="AX421" i="3"/>
  <c r="AX420" i="3"/>
  <c r="AX419" i="3"/>
  <c r="AX418" i="3"/>
  <c r="AX417" i="3"/>
  <c r="AX416" i="3"/>
  <c r="AX415" i="3"/>
  <c r="AX414" i="3"/>
  <c r="AX413" i="3"/>
  <c r="AX412" i="3"/>
  <c r="AX411" i="3"/>
  <c r="AX410" i="3"/>
  <c r="AX409" i="3"/>
  <c r="AX408" i="3"/>
  <c r="AX407" i="3"/>
  <c r="AX406" i="3"/>
  <c r="AX405" i="3"/>
  <c r="AX404" i="3"/>
  <c r="AX403" i="3"/>
  <c r="AX402" i="3"/>
  <c r="AX401" i="3"/>
  <c r="AX400" i="3"/>
  <c r="AX399" i="3"/>
  <c r="AX398" i="3"/>
  <c r="AX397" i="3"/>
  <c r="AX396" i="3"/>
  <c r="AX395" i="3"/>
  <c r="AX394" i="3"/>
  <c r="AX393" i="3"/>
  <c r="AX392" i="3"/>
  <c r="AX391" i="3"/>
  <c r="AX390" i="3"/>
  <c r="AX389" i="3"/>
  <c r="AX388" i="3"/>
  <c r="AX387" i="3"/>
  <c r="AX386" i="3"/>
  <c r="AX385" i="3"/>
  <c r="AX384" i="3"/>
  <c r="AX383" i="3"/>
  <c r="AX382" i="3"/>
  <c r="AX381" i="3"/>
  <c r="AX380" i="3"/>
  <c r="AX379" i="3"/>
  <c r="AX378" i="3"/>
  <c r="AX377" i="3"/>
  <c r="AX376" i="3"/>
  <c r="AX375" i="3"/>
  <c r="AX374" i="3"/>
  <c r="AX373" i="3"/>
  <c r="AX372" i="3"/>
  <c r="AX371" i="3"/>
  <c r="AX370" i="3"/>
  <c r="AX369" i="3"/>
  <c r="AX368" i="3"/>
  <c r="AX367" i="3"/>
  <c r="AX366" i="3"/>
  <c r="AX365" i="3"/>
  <c r="AX364" i="3"/>
  <c r="AX363" i="3"/>
  <c r="AX362" i="3"/>
  <c r="AX361" i="3"/>
  <c r="AX360" i="3"/>
  <c r="AX359" i="3"/>
  <c r="AX358" i="3"/>
  <c r="AX357" i="3"/>
  <c r="AX356" i="3"/>
  <c r="AX355" i="3"/>
  <c r="AX354" i="3"/>
  <c r="AX353" i="3"/>
  <c r="AX352" i="3"/>
  <c r="AX351" i="3"/>
  <c r="AX350" i="3"/>
  <c r="AX349" i="3"/>
  <c r="AX348" i="3"/>
  <c r="AX347" i="3"/>
  <c r="AX346" i="3"/>
  <c r="AX345" i="3"/>
  <c r="AX344" i="3"/>
  <c r="AX343" i="3"/>
  <c r="AX342" i="3"/>
  <c r="AX341" i="3"/>
  <c r="AX340" i="3"/>
  <c r="AX339" i="3"/>
  <c r="AX338" i="3"/>
  <c r="AX337" i="3"/>
  <c r="AX336" i="3"/>
  <c r="AX335" i="3"/>
  <c r="AX334" i="3"/>
  <c r="AX333" i="3"/>
  <c r="AX332" i="3"/>
  <c r="AX331" i="3"/>
  <c r="AX330" i="3"/>
  <c r="AX329" i="3"/>
  <c r="AX328" i="3"/>
  <c r="AX327" i="3"/>
  <c r="AX326" i="3"/>
  <c r="AX325" i="3"/>
  <c r="AX324" i="3"/>
  <c r="AX323" i="3"/>
  <c r="AX322" i="3"/>
  <c r="AX321" i="3"/>
  <c r="AX320" i="3"/>
  <c r="AX319" i="3"/>
  <c r="AX318" i="3"/>
  <c r="AX317" i="3"/>
  <c r="AX316" i="3"/>
  <c r="AX315" i="3"/>
  <c r="AX314" i="3"/>
  <c r="AX313" i="3"/>
  <c r="AX312" i="3"/>
  <c r="AX311" i="3"/>
  <c r="AX310" i="3"/>
  <c r="AX309" i="3"/>
  <c r="AX308" i="3"/>
  <c r="AX307" i="3"/>
  <c r="AX306" i="3"/>
  <c r="AX305" i="3"/>
  <c r="AX304" i="3"/>
  <c r="AX303" i="3"/>
  <c r="AX302" i="3"/>
  <c r="AX301" i="3"/>
  <c r="AX300" i="3"/>
  <c r="AX299" i="3"/>
  <c r="AX298" i="3"/>
  <c r="AX297" i="3"/>
  <c r="AX296" i="3"/>
  <c r="AX295" i="3"/>
  <c r="AX294" i="3"/>
  <c r="AX293" i="3"/>
  <c r="AX292" i="3"/>
  <c r="AX291" i="3"/>
  <c r="AX290" i="3"/>
  <c r="AX289" i="3"/>
  <c r="AX288" i="3"/>
  <c r="AX287" i="3"/>
  <c r="AX286" i="3"/>
  <c r="AX285" i="3"/>
  <c r="AX284" i="3"/>
  <c r="AX283" i="3"/>
  <c r="AX282" i="3"/>
  <c r="AX281" i="3"/>
  <c r="AX280" i="3"/>
  <c r="AX279" i="3"/>
  <c r="AX278" i="3"/>
  <c r="AX277" i="3"/>
  <c r="AX276" i="3"/>
  <c r="AX275" i="3"/>
  <c r="AX274" i="3"/>
  <c r="AX273" i="3"/>
  <c r="AX272" i="3"/>
  <c r="AX271" i="3"/>
  <c r="AX270" i="3"/>
  <c r="AX269" i="3"/>
  <c r="AX268" i="3"/>
  <c r="AX267" i="3"/>
  <c r="AX266" i="3"/>
  <c r="AX265" i="3"/>
  <c r="AX264" i="3"/>
  <c r="AX263" i="3"/>
  <c r="AX262" i="3"/>
  <c r="AX261" i="3"/>
  <c r="AX260" i="3"/>
  <c r="AX259" i="3"/>
  <c r="AX258" i="3"/>
  <c r="AX257" i="3"/>
  <c r="AX256" i="3"/>
  <c r="AX255" i="3"/>
  <c r="AX254" i="3"/>
  <c r="AX253" i="3"/>
  <c r="AX252" i="3"/>
  <c r="AX251" i="3"/>
  <c r="AX250" i="3"/>
  <c r="AX249" i="3"/>
  <c r="AX248" i="3"/>
  <c r="AX247" i="3"/>
  <c r="AX246" i="3"/>
  <c r="AX245" i="3"/>
  <c r="AX244" i="3"/>
  <c r="AX243" i="3"/>
  <c r="AX242" i="3"/>
  <c r="AX241" i="3"/>
  <c r="AX240" i="3"/>
  <c r="AX239" i="3"/>
  <c r="AX238" i="3"/>
  <c r="AX237" i="3"/>
  <c r="AX236" i="3"/>
  <c r="AX235" i="3"/>
  <c r="AX234" i="3"/>
  <c r="AX233" i="3"/>
  <c r="AX232" i="3"/>
  <c r="AX231" i="3"/>
  <c r="AX230" i="3"/>
  <c r="AX229" i="3"/>
  <c r="AX228" i="3"/>
  <c r="AX227" i="3"/>
  <c r="AX226" i="3"/>
  <c r="AX225" i="3"/>
  <c r="AX224" i="3"/>
  <c r="AX223" i="3"/>
  <c r="AX222" i="3"/>
  <c r="AX221" i="3"/>
  <c r="AX220" i="3"/>
  <c r="AX219" i="3"/>
  <c r="AX218" i="3"/>
  <c r="AX217" i="3"/>
  <c r="AX216" i="3"/>
  <c r="AX215" i="3"/>
  <c r="AX214" i="3"/>
  <c r="AX213" i="3"/>
  <c r="AX212" i="3"/>
  <c r="AX211" i="3"/>
  <c r="AX210" i="3"/>
  <c r="AX209" i="3"/>
  <c r="AX208" i="3"/>
  <c r="AX207" i="3"/>
  <c r="AX206" i="3"/>
  <c r="AX205" i="3"/>
  <c r="AX204" i="3"/>
  <c r="AX203" i="3"/>
  <c r="AX202" i="3"/>
  <c r="AX201" i="3"/>
  <c r="AX200" i="3"/>
  <c r="AX199" i="3"/>
  <c r="AX198" i="3"/>
  <c r="AX197" i="3"/>
  <c r="AX196" i="3"/>
  <c r="AX195" i="3"/>
  <c r="AX194" i="3"/>
  <c r="AX193" i="3"/>
  <c r="AX192" i="3"/>
  <c r="AX191" i="3"/>
  <c r="AX190" i="3"/>
  <c r="AX188" i="3"/>
  <c r="AX187" i="3"/>
  <c r="AX186" i="3"/>
  <c r="AX185" i="3"/>
  <c r="AX184" i="3"/>
  <c r="AX183" i="3"/>
  <c r="AX182" i="3"/>
  <c r="AX181" i="3"/>
  <c r="AX180" i="3"/>
  <c r="AX179" i="3"/>
  <c r="AX178" i="3"/>
  <c r="AX177" i="3"/>
  <c r="AX176" i="3"/>
  <c r="AX175" i="3"/>
  <c r="AX174" i="3"/>
  <c r="AX173" i="3"/>
  <c r="AX172" i="3"/>
  <c r="AX171" i="3"/>
  <c r="AX170" i="3"/>
  <c r="AX169" i="3"/>
  <c r="AX168" i="3"/>
  <c r="AX167" i="3"/>
  <c r="AX166" i="3"/>
  <c r="AX165" i="3"/>
  <c r="AX164" i="3"/>
  <c r="AX163" i="3"/>
  <c r="AX162" i="3"/>
  <c r="AX161" i="3"/>
  <c r="AX160" i="3"/>
  <c r="AX159" i="3"/>
  <c r="AX158" i="3"/>
  <c r="AX157" i="3"/>
  <c r="AX156" i="3"/>
  <c r="AX155" i="3"/>
  <c r="AX154" i="3"/>
  <c r="AX153" i="3"/>
  <c r="AX152" i="3"/>
  <c r="AX151" i="3"/>
  <c r="AX150" i="3"/>
  <c r="AX149" i="3"/>
  <c r="AX148" i="3"/>
  <c r="AX147" i="3"/>
  <c r="AX146" i="3"/>
  <c r="AX145" i="3"/>
  <c r="AX144" i="3"/>
  <c r="AX143" i="3"/>
  <c r="AX142" i="3"/>
  <c r="AX141" i="3"/>
  <c r="AX140" i="3"/>
  <c r="AX139" i="3"/>
  <c r="AX138" i="3"/>
  <c r="AX137" i="3"/>
  <c r="AX136" i="3"/>
  <c r="AX135" i="3"/>
  <c r="AX134" i="3"/>
  <c r="AX133" i="3"/>
  <c r="AX132" i="3"/>
  <c r="AX131" i="3"/>
  <c r="AX130" i="3"/>
  <c r="AX129" i="3"/>
  <c r="AX128" i="3"/>
  <c r="AX127" i="3"/>
  <c r="AX126" i="3"/>
  <c r="AX125" i="3"/>
  <c r="AX124" i="3"/>
  <c r="AX123" i="3"/>
  <c r="AX122" i="3"/>
  <c r="AX121" i="3"/>
  <c r="AX120" i="3"/>
  <c r="AX119" i="3"/>
  <c r="AX118" i="3"/>
  <c r="AX117" i="3"/>
  <c r="AX116" i="3"/>
  <c r="C140" i="3"/>
  <c r="CD116" i="3"/>
  <c r="E116" i="3"/>
  <c r="A140" i="3"/>
  <c r="CC116" i="3"/>
  <c r="AX115" i="3"/>
  <c r="AX114" i="3"/>
  <c r="AX113" i="3"/>
  <c r="AX112" i="3"/>
  <c r="AX111" i="3"/>
  <c r="AX110" i="3"/>
  <c r="AX109" i="3"/>
  <c r="AX108" i="3"/>
  <c r="AX107" i="3"/>
  <c r="AX106" i="3"/>
  <c r="AX105" i="3"/>
  <c r="AX104" i="3"/>
  <c r="AX103" i="3"/>
  <c r="AX102" i="3"/>
  <c r="AX101" i="3"/>
  <c r="AX100" i="3"/>
  <c r="AX99" i="3"/>
  <c r="AX98" i="3"/>
  <c r="AX97" i="3"/>
  <c r="AX96" i="3"/>
  <c r="AX95" i="3"/>
  <c r="AX94" i="3"/>
  <c r="AX93" i="3"/>
  <c r="AX92" i="3"/>
  <c r="CC92" i="3"/>
  <c r="E92" i="3"/>
  <c r="AX91" i="3"/>
  <c r="CD91" i="3"/>
  <c r="C115" i="3"/>
  <c r="CC91" i="3"/>
  <c r="A115" i="3"/>
  <c r="E91" i="3"/>
  <c r="AX90" i="3"/>
  <c r="CD90" i="3"/>
  <c r="C114" i="3"/>
  <c r="CC90" i="3"/>
  <c r="A114" i="3"/>
  <c r="E90" i="3"/>
  <c r="AX89" i="3"/>
  <c r="C113" i="3"/>
  <c r="CD89" i="3"/>
  <c r="CC89" i="3"/>
  <c r="E89" i="3"/>
  <c r="A113" i="3"/>
  <c r="AX88" i="3"/>
  <c r="C112" i="3"/>
  <c r="CD88" i="3"/>
  <c r="CC88" i="3"/>
  <c r="E88" i="3"/>
  <c r="A112" i="3"/>
  <c r="AX87" i="3"/>
  <c r="C111" i="3"/>
  <c r="CD87" i="3"/>
  <c r="A111" i="3"/>
  <c r="CC87" i="3"/>
  <c r="E87" i="3"/>
  <c r="AX86" i="3"/>
  <c r="CD86" i="3"/>
  <c r="C110" i="3"/>
  <c r="CC86" i="3"/>
  <c r="E86" i="3"/>
  <c r="A110" i="3"/>
  <c r="AX85" i="3"/>
  <c r="C109" i="3"/>
  <c r="CD85" i="3"/>
  <c r="E85" i="3"/>
  <c r="CC85" i="3"/>
  <c r="A109" i="3"/>
  <c r="AX84" i="3"/>
  <c r="C108" i="3"/>
  <c r="CD84" i="3"/>
  <c r="A108" i="3"/>
  <c r="E84" i="3"/>
  <c r="CC84" i="3"/>
  <c r="AX83" i="3"/>
  <c r="CD83" i="3"/>
  <c r="C107" i="3"/>
  <c r="A107" i="3"/>
  <c r="CC83" i="3"/>
  <c r="E83" i="3"/>
  <c r="AX82" i="3"/>
  <c r="C106" i="3"/>
  <c r="CD82" i="3"/>
  <c r="E82" i="3"/>
  <c r="CC82" i="3"/>
  <c r="A106" i="3"/>
  <c r="AX81" i="3"/>
  <c r="CD81" i="3"/>
  <c r="C105" i="3"/>
  <c r="A105" i="3"/>
  <c r="CC81" i="3"/>
  <c r="E81" i="3"/>
  <c r="AX80" i="3"/>
  <c r="C104" i="3"/>
  <c r="CD80" i="3"/>
  <c r="A104" i="3"/>
  <c r="E80" i="3"/>
  <c r="CC80" i="3"/>
  <c r="AX79" i="3"/>
  <c r="C103" i="3"/>
  <c r="CD79" i="3"/>
  <c r="E79" i="3"/>
  <c r="A103" i="3"/>
  <c r="CC79" i="3"/>
  <c r="AX78" i="3"/>
  <c r="C102" i="3"/>
  <c r="CD78" i="3"/>
  <c r="A102" i="3"/>
  <c r="E78" i="3"/>
  <c r="CC78" i="3"/>
  <c r="AX77" i="3"/>
  <c r="AX76" i="3"/>
  <c r="AX75" i="3"/>
  <c r="AX74" i="3"/>
  <c r="AX73" i="3"/>
  <c r="AX72" i="3"/>
  <c r="AX71" i="3"/>
  <c r="AX70" i="3"/>
  <c r="AX69" i="3"/>
  <c r="AX68" i="3"/>
  <c r="CC68" i="3"/>
  <c r="E68" i="3"/>
  <c r="AX67" i="3"/>
  <c r="CC67" i="3"/>
  <c r="E67" i="3"/>
  <c r="AX66" i="3"/>
  <c r="E66" i="3"/>
  <c r="CC66" i="3"/>
  <c r="AX65" i="3"/>
  <c r="CC65" i="3"/>
  <c r="E65" i="3"/>
  <c r="AX64" i="3"/>
  <c r="E64" i="3"/>
  <c r="CC64" i="3"/>
  <c r="AX63" i="3"/>
  <c r="CC63" i="3"/>
  <c r="E63" i="3"/>
  <c r="AX62" i="3"/>
  <c r="CC62" i="3"/>
  <c r="E62" i="3"/>
  <c r="AX61" i="3"/>
  <c r="CC61" i="3"/>
  <c r="E61" i="3"/>
  <c r="AX60" i="3"/>
  <c r="E60" i="3"/>
  <c r="CC60" i="3"/>
  <c r="AX59" i="3"/>
  <c r="E59" i="3"/>
  <c r="CC59" i="3"/>
  <c r="AX58" i="3"/>
  <c r="CC58" i="3"/>
  <c r="E58" i="3"/>
  <c r="AX57" i="3"/>
  <c r="E57" i="3"/>
  <c r="CC57" i="3"/>
  <c r="AX56" i="3"/>
  <c r="E56" i="3"/>
  <c r="CC56" i="3"/>
  <c r="AX55" i="3"/>
  <c r="CC55" i="3"/>
  <c r="E55" i="3"/>
  <c r="AX54" i="3"/>
  <c r="E54" i="3"/>
  <c r="CC54" i="3"/>
  <c r="AX53" i="3"/>
  <c r="CD53" i="3"/>
  <c r="C77" i="3"/>
  <c r="CC53" i="3"/>
  <c r="E53" i="3"/>
  <c r="A77" i="3"/>
  <c r="AX52" i="3"/>
  <c r="CD52" i="3"/>
  <c r="C76" i="3"/>
  <c r="CC52" i="3"/>
  <c r="E52" i="3"/>
  <c r="A76" i="3"/>
  <c r="AX51" i="3"/>
  <c r="CD51" i="3"/>
  <c r="C75" i="3"/>
  <c r="CC51" i="3"/>
  <c r="A75" i="3"/>
  <c r="E51" i="3"/>
  <c r="AX50" i="3"/>
  <c r="C74" i="3"/>
  <c r="CD50" i="3"/>
  <c r="A74" i="3"/>
  <c r="E50" i="3"/>
  <c r="CC50" i="3"/>
  <c r="AX49" i="3"/>
  <c r="CD49" i="3"/>
  <c r="C73" i="3"/>
  <c r="CC49" i="3"/>
  <c r="A73" i="3"/>
  <c r="E49" i="3"/>
  <c r="AX48" i="3"/>
  <c r="CD48" i="3"/>
  <c r="C72" i="3"/>
  <c r="CC48" i="3"/>
  <c r="A72" i="3"/>
  <c r="E48" i="3"/>
  <c r="AX47" i="3"/>
  <c r="D71" i="3"/>
  <c r="F47" i="3" a="1"/>
  <c r="C71" i="3"/>
  <c r="CD47" i="3"/>
  <c r="CC47" i="3"/>
  <c r="A71" i="3"/>
  <c r="E47" i="3"/>
  <c r="AX46" i="3"/>
  <c r="D70" i="3"/>
  <c r="F46" i="3" a="1"/>
  <c r="C70" i="3"/>
  <c r="CD46" i="3"/>
  <c r="CC46" i="3"/>
  <c r="E46" i="3"/>
  <c r="A70" i="3"/>
  <c r="AX45" i="3"/>
  <c r="F45" i="3" a="1"/>
  <c r="D69" i="3"/>
  <c r="C69" i="3"/>
  <c r="CD45" i="3"/>
  <c r="A69" i="3"/>
  <c r="E45" i="3"/>
  <c r="CC45" i="3"/>
  <c r="AX44" i="3"/>
  <c r="CE44" i="3" a="1"/>
  <c r="G44" i="3" a="1"/>
  <c r="BB44" i="3" a="1"/>
  <c r="BD44" i="3" a="1"/>
  <c r="BX44" i="3" a="1"/>
  <c r="P44" i="3" a="1"/>
  <c r="Q44" i="3" s="1"/>
  <c r="V44" i="3" s="1"/>
  <c r="I44" i="3" a="1"/>
  <c r="J44" i="3" s="1"/>
  <c r="T44" i="3" s="1"/>
  <c r="F44" i="3" a="1"/>
  <c r="H44" i="3" a="1"/>
  <c r="AW44" i="3" s="1"/>
  <c r="L44" i="3" a="1"/>
  <c r="M44" i="3" a="1"/>
  <c r="O44" i="3" s="1"/>
  <c r="AZ44" i="3" a="1"/>
  <c r="BA44" i="3" a="1"/>
  <c r="BC44" i="3" a="1"/>
  <c r="D68" i="3"/>
  <c r="AX43" i="3"/>
  <c r="BB43" i="3" a="1"/>
  <c r="CE43" i="3" a="1"/>
  <c r="G43" i="3" a="1"/>
  <c r="P43" i="3" a="1"/>
  <c r="Q43" i="3" s="1"/>
  <c r="V43" i="3" s="1"/>
  <c r="D67" i="3"/>
  <c r="BC43" i="3" a="1"/>
  <c r="BD43" i="3" a="1"/>
  <c r="BX43" i="3" a="1"/>
  <c r="F43" i="3" a="1"/>
  <c r="H43" i="3" a="1"/>
  <c r="AW43" i="3" s="1"/>
  <c r="L43" i="3" a="1"/>
  <c r="I43" i="3" a="1"/>
  <c r="J43" i="3" s="1"/>
  <c r="T43" i="3" s="1"/>
  <c r="M43" i="3" a="1"/>
  <c r="O43" i="3" s="1"/>
  <c r="BA43" i="3" a="1"/>
  <c r="AZ43" i="3" a="1"/>
  <c r="AX42" i="3"/>
  <c r="BB42" i="3" a="1"/>
  <c r="G42" i="3" a="1"/>
  <c r="CE42" i="3" a="1"/>
  <c r="D66" i="3"/>
  <c r="F42" i="3" a="1"/>
  <c r="H42" i="3" a="1"/>
  <c r="AW42" i="3" s="1"/>
  <c r="M42" i="3" a="1"/>
  <c r="O42" i="3" s="1"/>
  <c r="P42" i="3" a="1"/>
  <c r="Q42" i="3" s="1"/>
  <c r="V42" i="3" s="1"/>
  <c r="BA42" i="3" a="1"/>
  <c r="BD42" i="3" a="1"/>
  <c r="BX42" i="3" a="1"/>
  <c r="I42" i="3" a="1"/>
  <c r="J42" i="3" s="1"/>
  <c r="T42" i="3" s="1"/>
  <c r="L42" i="3" a="1"/>
  <c r="AZ42" i="3" a="1"/>
  <c r="BC42" i="3" a="1"/>
  <c r="AX41" i="3"/>
  <c r="G41" i="3" a="1"/>
  <c r="CE41" i="3" a="1"/>
  <c r="BB41" i="3" a="1"/>
  <c r="BX41" i="3" a="1"/>
  <c r="BA41" i="3" a="1"/>
  <c r="AZ41" i="3" a="1"/>
  <c r="BD41" i="3" a="1"/>
  <c r="F41" i="3" a="1"/>
  <c r="D65" i="3"/>
  <c r="H41" i="3" a="1"/>
  <c r="AW41" i="3" s="1"/>
  <c r="M41" i="3" a="1"/>
  <c r="O41" i="3" s="1"/>
  <c r="I41" i="3" a="1"/>
  <c r="J41" i="3" s="1"/>
  <c r="T41" i="3" s="1"/>
  <c r="L41" i="3" a="1"/>
  <c r="P41" i="3" a="1"/>
  <c r="Q41" i="3" s="1"/>
  <c r="V41" i="3" s="1"/>
  <c r="BC41" i="3" a="1"/>
  <c r="AX40" i="3"/>
  <c r="G40" i="3" a="1"/>
  <c r="BB40" i="3" a="1"/>
  <c r="CE40" i="3" a="1"/>
  <c r="BC40" i="3" a="1"/>
  <c r="BX40" i="3" a="1"/>
  <c r="I40" i="3" a="1"/>
  <c r="J40" i="3" s="1"/>
  <c r="T40" i="3" s="1"/>
  <c r="L40" i="3" a="1"/>
  <c r="D64" i="3"/>
  <c r="M40" i="3" a="1"/>
  <c r="O40" i="3" s="1"/>
  <c r="BD40" i="3" a="1"/>
  <c r="AZ40" i="3" a="1"/>
  <c r="BA40" i="3" a="1"/>
  <c r="P40" i="3" a="1"/>
  <c r="Q40" i="3" s="1"/>
  <c r="V40" i="3" s="1"/>
  <c r="H40" i="3" a="1"/>
  <c r="AW40" i="3" s="1"/>
  <c r="F40" i="3" a="1"/>
  <c r="AX39" i="3"/>
  <c r="G39" i="3" a="1"/>
  <c r="CE39" i="3" a="1"/>
  <c r="BB39" i="3" a="1"/>
  <c r="M39" i="3" a="1"/>
  <c r="O39" i="3" s="1"/>
  <c r="BC39" i="3" a="1"/>
  <c r="P39" i="3" a="1"/>
  <c r="Q39" i="3" s="1"/>
  <c r="V39" i="3" s="1"/>
  <c r="BA39" i="3" a="1"/>
  <c r="F39" i="3" a="1"/>
  <c r="H39" i="3" a="1"/>
  <c r="AW39" i="3" s="1"/>
  <c r="D63" i="3"/>
  <c r="L39" i="3" a="1"/>
  <c r="I39" i="3" a="1"/>
  <c r="J39" i="3" s="1"/>
  <c r="T39" i="3" s="1"/>
  <c r="BX39" i="3" a="1"/>
  <c r="BD39" i="3" a="1"/>
  <c r="AZ39" i="3" a="1"/>
  <c r="AX38" i="3"/>
  <c r="G38" i="3" a="1"/>
  <c r="BB38" i="3" a="1"/>
  <c r="CE38" i="3" a="1"/>
  <c r="BA38" i="3" a="1"/>
  <c r="BC38" i="3" a="1"/>
  <c r="BD38" i="3" a="1"/>
  <c r="M38" i="3" a="1"/>
  <c r="O38" i="3" s="1"/>
  <c r="D62" i="3"/>
  <c r="P38" i="3" a="1"/>
  <c r="Q38" i="3" s="1"/>
  <c r="V38" i="3" s="1"/>
  <c r="L38" i="3" a="1"/>
  <c r="H38" i="3" a="1"/>
  <c r="AW38" i="3" s="1"/>
  <c r="I38" i="3" a="1"/>
  <c r="J38" i="3" s="1"/>
  <c r="T38" i="3" s="1"/>
  <c r="F38" i="3" a="1"/>
  <c r="AZ38" i="3" a="1"/>
  <c r="BX38" i="3" a="1"/>
  <c r="AX37" i="3"/>
  <c r="BB37" i="3" a="1"/>
  <c r="G37" i="3" a="1"/>
  <c r="CE37" i="3" a="1"/>
  <c r="P37" i="3" a="1"/>
  <c r="Q37" i="3" s="1"/>
  <c r="V37" i="3" s="1"/>
  <c r="BD37" i="3" a="1"/>
  <c r="BX37" i="3" a="1"/>
  <c r="D61" i="3"/>
  <c r="L37" i="3" a="1"/>
  <c r="AZ37" i="3" a="1"/>
  <c r="BC37" i="3" a="1"/>
  <c r="M37" i="3" a="1"/>
  <c r="O37" i="3" s="1"/>
  <c r="I37" i="3" a="1"/>
  <c r="J37" i="3" s="1"/>
  <c r="T37" i="3" s="1"/>
  <c r="BA37" i="3" a="1"/>
  <c r="F37" i="3" a="1"/>
  <c r="H37" i="3" a="1"/>
  <c r="AW37" i="3" s="1"/>
  <c r="AX36" i="3"/>
  <c r="G36" i="3" a="1"/>
  <c r="CE36" i="3" a="1"/>
  <c r="BB36" i="3" a="1"/>
  <c r="M36" i="3" a="1"/>
  <c r="O36" i="3" s="1"/>
  <c r="BA36" i="3" a="1"/>
  <c r="BD36" i="3" a="1"/>
  <c r="L36" i="3" a="1"/>
  <c r="BX36" i="3" a="1"/>
  <c r="BC36" i="3" a="1"/>
  <c r="I36" i="3" a="1"/>
  <c r="J36" i="3" s="1"/>
  <c r="T36" i="3" s="1"/>
  <c r="AZ36" i="3" a="1"/>
  <c r="F36" i="3" a="1"/>
  <c r="H36" i="3" a="1"/>
  <c r="AW36" i="3" s="1"/>
  <c r="D60" i="3"/>
  <c r="P36" i="3" a="1"/>
  <c r="Q36" i="3" s="1"/>
  <c r="V36" i="3" s="1"/>
  <c r="AX35" i="3"/>
  <c r="G35" i="3" a="1"/>
  <c r="BB35" i="3" a="1"/>
  <c r="CE35" i="3" a="1"/>
  <c r="I35" i="3" a="1"/>
  <c r="J35" i="3" s="1"/>
  <c r="T35" i="3" s="1"/>
  <c r="D59" i="3"/>
  <c r="F35" i="3" a="1"/>
  <c r="H35" i="3" a="1"/>
  <c r="AW35" i="3" s="1"/>
  <c r="BA35" i="3" a="1"/>
  <c r="BD35" i="3" a="1"/>
  <c r="BX35" i="3" a="1"/>
  <c r="BC35" i="3" a="1"/>
  <c r="AZ35" i="3" a="1"/>
  <c r="P35" i="3" a="1"/>
  <c r="Q35" i="3" s="1"/>
  <c r="V35" i="3" s="1"/>
  <c r="M35" i="3" a="1"/>
  <c r="O35" i="3" s="1"/>
  <c r="L35" i="3" a="1"/>
  <c r="AX34" i="3"/>
  <c r="G34" i="3" a="1"/>
  <c r="BB34" i="3" a="1"/>
  <c r="CE34" i="3" a="1"/>
  <c r="P34" i="3" a="1"/>
  <c r="Q34" i="3" s="1"/>
  <c r="V34" i="3" s="1"/>
  <c r="H34" i="3" a="1"/>
  <c r="AW34" i="3" s="1"/>
  <c r="F34" i="3" a="1"/>
  <c r="BX34" i="3" a="1"/>
  <c r="BD34" i="3" a="1"/>
  <c r="AZ34" i="3" a="1"/>
  <c r="BC34" i="3" a="1"/>
  <c r="BA34" i="3" a="1"/>
  <c r="I34" i="3" a="1"/>
  <c r="J34" i="3" s="1"/>
  <c r="T34" i="3" s="1"/>
  <c r="D58" i="3"/>
  <c r="L34" i="3" a="1"/>
  <c r="M34" i="3" a="1"/>
  <c r="O34" i="3" s="1"/>
  <c r="AX33" i="3"/>
  <c r="CE33" i="3" a="1"/>
  <c r="BB33" i="3" a="1"/>
  <c r="G33" i="3" a="1"/>
  <c r="AZ33" i="3" a="1"/>
  <c r="BC33" i="3" a="1"/>
  <c r="BD33" i="3" a="1"/>
  <c r="L33" i="3" a="1"/>
  <c r="BX33" i="3" a="1"/>
  <c r="H33" i="3" a="1"/>
  <c r="AW33" i="3" s="1"/>
  <c r="F33" i="3" a="1"/>
  <c r="P33" i="3" a="1"/>
  <c r="Q33" i="3" s="1"/>
  <c r="V33" i="3" s="1"/>
  <c r="M33" i="3" a="1"/>
  <c r="O33" i="3" s="1"/>
  <c r="I33" i="3" a="1"/>
  <c r="J33" i="3" s="1"/>
  <c r="T33" i="3" s="1"/>
  <c r="BA33" i="3" a="1"/>
  <c r="D57" i="3"/>
  <c r="AX32" i="3"/>
  <c r="G32" i="3" a="1"/>
  <c r="CE32" i="3" a="1"/>
  <c r="BB32" i="3" a="1"/>
  <c r="H32" i="3" a="1"/>
  <c r="AW32" i="3" s="1"/>
  <c r="BA32" i="3" a="1"/>
  <c r="M32" i="3" a="1"/>
  <c r="O32" i="3" s="1"/>
  <c r="BX32" i="3" a="1"/>
  <c r="BD32" i="3" a="1"/>
  <c r="AZ32" i="3" a="1"/>
  <c r="BC32" i="3" a="1"/>
  <c r="D56" i="3"/>
  <c r="P32" i="3" a="1"/>
  <c r="Q32" i="3" s="1"/>
  <c r="V32" i="3" s="1"/>
  <c r="L32" i="3" a="1"/>
  <c r="I32" i="3" a="1"/>
  <c r="J32" i="3" s="1"/>
  <c r="T32" i="3" s="1"/>
  <c r="F32" i="3" a="1"/>
  <c r="AX31" i="3"/>
  <c r="G31" i="3" a="1"/>
  <c r="BB31" i="3" a="1"/>
  <c r="CE31" i="3" a="1"/>
  <c r="P31" i="3" a="1"/>
  <c r="Q31" i="3" s="1"/>
  <c r="V31" i="3" s="1"/>
  <c r="M31" i="3" a="1"/>
  <c r="O31" i="3" s="1"/>
  <c r="I31" i="3" a="1"/>
  <c r="J31" i="3" s="1"/>
  <c r="T31" i="3" s="1"/>
  <c r="BC31" i="3" a="1"/>
  <c r="BD31" i="3" a="1"/>
  <c r="AZ31" i="3" a="1"/>
  <c r="D55" i="3"/>
  <c r="L31" i="3" a="1"/>
  <c r="F31" i="3" a="1"/>
  <c r="BA31" i="3" a="1"/>
  <c r="BX31" i="3" a="1"/>
  <c r="H31" i="3" a="1"/>
  <c r="AW31" i="3" s="1"/>
  <c r="AX30" i="3"/>
  <c r="BB30" i="3" a="1"/>
  <c r="G30" i="3" a="1"/>
  <c r="CE30" i="3" a="1"/>
  <c r="M30" i="3" a="1"/>
  <c r="O30" i="3" s="1"/>
  <c r="P30" i="3" a="1"/>
  <c r="Q30" i="3" s="1"/>
  <c r="V30" i="3" s="1"/>
  <c r="AZ30" i="3" a="1"/>
  <c r="BD30" i="3" a="1"/>
  <c r="BX30" i="3" a="1"/>
  <c r="D54" i="3"/>
  <c r="BC30" i="3" a="1"/>
  <c r="BA30" i="3" a="1"/>
  <c r="L30" i="3" a="1"/>
  <c r="H30" i="3" a="1"/>
  <c r="AW30" i="3" s="1"/>
  <c r="F30" i="3" a="1"/>
  <c r="I30" i="3" a="1"/>
  <c r="J30" i="3" s="1"/>
  <c r="T30" i="3" s="1"/>
  <c r="AX29" i="3"/>
  <c r="BB29" i="3" a="1"/>
  <c r="G29" i="3" a="1"/>
  <c r="CE29" i="3" a="1"/>
  <c r="BD29" i="3" a="1"/>
  <c r="BA29" i="3" a="1"/>
  <c r="H29" i="3" a="1"/>
  <c r="AW29" i="3" s="1"/>
  <c r="P29" i="3" a="1"/>
  <c r="Q29" i="3" s="1"/>
  <c r="V29" i="3" s="1"/>
  <c r="D53" i="3"/>
  <c r="L29" i="3" a="1"/>
  <c r="BX29" i="3" a="1"/>
  <c r="BC29" i="3" a="1"/>
  <c r="AZ29" i="3" a="1"/>
  <c r="M29" i="3" a="1"/>
  <c r="O29" i="3" s="1"/>
  <c r="I29" i="3" a="1"/>
  <c r="J29" i="3" s="1"/>
  <c r="T29" i="3" s="1"/>
  <c r="F29" i="3" a="1"/>
  <c r="AX28" i="3"/>
  <c r="BB28" i="3" a="1"/>
  <c r="CE28" i="3" a="1"/>
  <c r="G28" i="3" a="1"/>
  <c r="D52" i="3"/>
  <c r="P28" i="3" a="1"/>
  <c r="Q28" i="3" s="1"/>
  <c r="V28" i="3" s="1"/>
  <c r="H28" i="3" a="1"/>
  <c r="AW28" i="3" s="1"/>
  <c r="I28" i="3" a="1"/>
  <c r="J28" i="3" s="1"/>
  <c r="T28" i="3" s="1"/>
  <c r="M28" i="3" a="1"/>
  <c r="O28" i="3" s="1"/>
  <c r="L28" i="3" a="1"/>
  <c r="F28" i="3" a="1"/>
  <c r="BA28" i="3" a="1"/>
  <c r="BX28" i="3" a="1"/>
  <c r="BD28" i="3" a="1"/>
  <c r="AZ28" i="3" a="1"/>
  <c r="BC28" i="3" a="1"/>
  <c r="AX27" i="3"/>
  <c r="G27" i="3" a="1"/>
  <c r="BB27" i="3" a="1"/>
  <c r="CE27" i="3" a="1"/>
  <c r="BD27" i="3" a="1"/>
  <c r="L27" i="3" a="1"/>
  <c r="BX27" i="3" a="1"/>
  <c r="BC27" i="3" a="1"/>
  <c r="BA27" i="3" a="1"/>
  <c r="P27" i="3" a="1"/>
  <c r="Q27" i="3" s="1"/>
  <c r="V27" i="3" s="1"/>
  <c r="M27" i="3" a="1"/>
  <c r="O27" i="3" s="1"/>
  <c r="H27" i="3" a="1"/>
  <c r="AW27" i="3" s="1"/>
  <c r="F27" i="3" a="1"/>
  <c r="D51" i="3"/>
  <c r="AZ27" i="3" a="1"/>
  <c r="I27" i="3" a="1"/>
  <c r="J27" i="3" s="1"/>
  <c r="T27" i="3" s="1"/>
  <c r="BB26" i="3" a="1"/>
  <c r="G26" i="3" a="1"/>
  <c r="CE26" i="3" a="1"/>
  <c r="F26" i="3" a="1"/>
  <c r="BD26" i="3" a="1"/>
  <c r="BC26" i="3" a="1"/>
  <c r="BX26" i="3" a="1"/>
  <c r="H26" i="3" a="1"/>
  <c r="I26" i="3" a="1"/>
  <c r="J26" i="3" s="1"/>
  <c r="T26" i="3" s="1"/>
  <c r="L26" i="3" a="1"/>
  <c r="AZ26" i="3" a="1"/>
  <c r="M26" i="3" a="1"/>
  <c r="O26" i="3" s="1"/>
  <c r="P26" i="3" a="1"/>
  <c r="Q26" i="3" s="1"/>
  <c r="V26" i="3" s="1"/>
  <c r="D50" i="3"/>
  <c r="BA26" i="3" a="1"/>
  <c r="AX25" i="3"/>
  <c r="CE25" i="3" a="1"/>
  <c r="BB25" i="3" a="1"/>
  <c r="G25" i="3" a="1"/>
  <c r="P25" i="3" a="1"/>
  <c r="Q25" i="3" s="1"/>
  <c r="V25" i="3" s="1"/>
  <c r="M25" i="3" a="1"/>
  <c r="O25" i="3" s="1"/>
  <c r="L25" i="3" a="1"/>
  <c r="I25" i="3" a="1"/>
  <c r="J25" i="3" s="1"/>
  <c r="T25" i="3" s="1"/>
  <c r="BX25" i="3" a="1"/>
  <c r="BD25" i="3" a="1"/>
  <c r="BC25" i="3" a="1"/>
  <c r="D49" i="3"/>
  <c r="BA25" i="3" a="1"/>
  <c r="H25" i="3" a="1"/>
  <c r="AW25" i="3" s="1"/>
  <c r="AZ25" i="3" a="1"/>
  <c r="F25" i="3" a="1"/>
  <c r="AV504" i="3"/>
  <c r="AX24" i="3"/>
  <c r="BB24" i="3" a="1"/>
  <c r="CE24" i="3" a="1"/>
  <c r="G24" i="3" a="1"/>
  <c r="I24" i="3" a="1"/>
  <c r="J24" i="3" s="1"/>
  <c r="T24" i="3" s="1"/>
  <c r="F24" i="3" a="1"/>
  <c r="D48" i="3"/>
  <c r="L24" i="3" a="1"/>
  <c r="BD24" i="3" a="1"/>
  <c r="P24" i="3" a="1"/>
  <c r="Q24" i="3" s="1"/>
  <c r="V24" i="3" s="1"/>
  <c r="BX24" i="3" a="1"/>
  <c r="M24" i="3" a="1"/>
  <c r="O24" i="3" s="1"/>
  <c r="BA24" i="3" a="1"/>
  <c r="BC24" i="3" a="1"/>
  <c r="H24" i="3" a="1"/>
  <c r="AW24" i="3" s="1"/>
  <c r="AZ24" i="3" a="1"/>
  <c r="AX23" i="3"/>
  <c r="BD23" i="3" a="1"/>
  <c r="M23" i="3" a="1"/>
  <c r="P23" i="3" a="1"/>
  <c r="Q23" i="3" s="1"/>
  <c r="V23" i="3" s="1"/>
  <c r="I23" i="3" a="1"/>
  <c r="J23" i="3" s="1"/>
  <c r="T23" i="3" s="1"/>
  <c r="F23" i="3" a="1"/>
  <c r="H23" i="3" a="1"/>
  <c r="AW23" i="3" s="1"/>
  <c r="L23" i="3" a="1"/>
  <c r="AZ23" i="3" a="1"/>
  <c r="BA23" i="3" a="1"/>
  <c r="BC23" i="3" a="1"/>
  <c r="AX22" i="3"/>
  <c r="BC22" i="3" a="1"/>
  <c r="I22" i="3" a="1"/>
  <c r="J22" i="3" s="1"/>
  <c r="T22" i="3" s="1"/>
  <c r="L22" i="3" a="1"/>
  <c r="M22" i="3" a="1"/>
  <c r="P22" i="3" a="1"/>
  <c r="Q22" i="3" s="1"/>
  <c r="V22" i="3" s="1"/>
  <c r="BD22" i="3" a="1"/>
  <c r="AZ22" i="3" a="1"/>
  <c r="BA22" i="3" a="1"/>
  <c r="F22" i="3" a="1"/>
  <c r="H22" i="3" a="1"/>
  <c r="AW22" i="3" s="1"/>
  <c r="BX22" i="3" a="1"/>
  <c r="AX21" i="3"/>
  <c r="AZ21" i="3" a="1"/>
  <c r="BA21" i="3" a="1"/>
  <c r="BC21" i="3" a="1"/>
  <c r="BD21" i="3" a="1"/>
  <c r="BX21" i="3" a="1"/>
  <c r="F21" i="3" a="1"/>
  <c r="P21" i="3" a="1"/>
  <c r="M21" i="3" a="1"/>
  <c r="L21" i="3" a="1"/>
  <c r="I21" i="3" a="1"/>
  <c r="H21" i="3" a="1"/>
  <c r="CE21" i="3" a="1"/>
  <c r="CE22" i="3" a="1"/>
  <c r="BB22" i="3" a="1"/>
  <c r="BB21" i="3" a="1"/>
  <c r="BB23" i="3" a="1"/>
  <c r="X206" i="3"/>
  <c r="X203" i="3"/>
  <c r="X249" i="3"/>
  <c r="X479" i="3"/>
  <c r="X474" i="3"/>
  <c r="X113" i="3"/>
  <c r="X202" i="3"/>
  <c r="X292" i="3"/>
  <c r="X62" i="3"/>
  <c r="X201" i="3"/>
  <c r="X294" i="3"/>
  <c r="X114" i="3"/>
  <c r="X295" i="3"/>
  <c r="X291" i="3"/>
  <c r="X66" i="3"/>
  <c r="X296" i="3"/>
  <c r="X109" i="3"/>
  <c r="X63" i="3"/>
  <c r="X478" i="3"/>
  <c r="X244" i="3"/>
  <c r="X248" i="3"/>
  <c r="X252" i="3"/>
  <c r="X246" i="3"/>
  <c r="X204" i="3"/>
  <c r="X245" i="3"/>
  <c r="X199" i="3"/>
  <c r="X156" i="3"/>
  <c r="X251" i="3"/>
  <c r="X21" i="3"/>
  <c r="X64" i="3"/>
  <c r="X477" i="3"/>
  <c r="X155" i="3"/>
  <c r="X154" i="3"/>
  <c r="X247" i="3"/>
  <c r="X158" i="3"/>
  <c r="X250" i="3"/>
  <c r="X68" i="3"/>
  <c r="X67" i="3"/>
  <c r="X475" i="3"/>
  <c r="X111" i="3"/>
  <c r="X65" i="3"/>
  <c r="X476" i="3"/>
  <c r="X69" i="3"/>
  <c r="X200" i="3"/>
  <c r="X243" i="3"/>
  <c r="X297" i="3"/>
  <c r="X242" i="3"/>
  <c r="X159" i="3"/>
  <c r="X473" i="3"/>
  <c r="X434" i="3"/>
  <c r="X433" i="3"/>
  <c r="X337" i="3"/>
  <c r="X432" i="3"/>
  <c r="X22" i="3"/>
  <c r="X115" i="3"/>
  <c r="X338" i="3"/>
  <c r="X23" i="3"/>
  <c r="X431" i="3"/>
  <c r="X430" i="3"/>
  <c r="X339" i="3"/>
  <c r="X160" i="3"/>
  <c r="X429" i="3"/>
  <c r="X340" i="3"/>
  <c r="X205" i="3"/>
  <c r="X389" i="3"/>
  <c r="X341" i="3"/>
  <c r="X110" i="3"/>
  <c r="X388" i="3"/>
  <c r="X157" i="3"/>
  <c r="X342" i="3"/>
  <c r="X293" i="3"/>
  <c r="X387" i="3"/>
  <c r="X343" i="3"/>
  <c r="X480" i="3"/>
  <c r="X386" i="3"/>
  <c r="X385" i="3"/>
  <c r="X383" i="3"/>
  <c r="X112" i="3"/>
  <c r="X384" i="3"/>
  <c r="S159" i="3"/>
  <c r="S291" i="3"/>
  <c r="S201" i="3"/>
  <c r="S244" i="3"/>
  <c r="S114" i="3"/>
  <c r="S292" i="3"/>
  <c r="S206" i="3"/>
  <c r="S480" i="3"/>
  <c r="S200" i="3"/>
  <c r="S294" i="3"/>
  <c r="S205" i="3"/>
  <c r="S115" i="3"/>
  <c r="S113" i="3"/>
  <c r="S479" i="3"/>
  <c r="S478" i="3"/>
  <c r="S199" i="3"/>
  <c r="S155" i="3"/>
  <c r="S477" i="3"/>
  <c r="S476" i="3"/>
  <c r="S342" i="3"/>
  <c r="S204" i="3"/>
  <c r="S388" i="3"/>
  <c r="S475" i="3"/>
  <c r="S474" i="3"/>
  <c r="S473" i="3"/>
  <c r="S337" i="3"/>
  <c r="S62" i="3"/>
  <c r="S23" i="3"/>
  <c r="S69" i="3"/>
  <c r="S387" i="3"/>
  <c r="S251" i="3"/>
  <c r="S112" i="3"/>
  <c r="S434" i="3"/>
  <c r="S156" i="3"/>
  <c r="S432" i="3"/>
  <c r="S431" i="3"/>
  <c r="S430" i="3"/>
  <c r="S250" i="3"/>
  <c r="S243" i="3"/>
  <c r="S433" i="3"/>
  <c r="S386" i="3"/>
  <c r="S429" i="3"/>
  <c r="S389" i="3"/>
  <c r="S252" i="3"/>
  <c r="S154" i="3"/>
  <c r="S385" i="3"/>
  <c r="S67" i="3"/>
  <c r="S341" i="3"/>
  <c r="S63" i="3"/>
  <c r="S249" i="3"/>
  <c r="S111" i="3"/>
  <c r="S338" i="3"/>
  <c r="S295" i="3"/>
  <c r="S157" i="3"/>
  <c r="S248" i="3"/>
  <c r="S110" i="3"/>
  <c r="S384" i="3"/>
  <c r="S296" i="3"/>
  <c r="S297" i="3"/>
  <c r="S247" i="3"/>
  <c r="S21" i="3"/>
  <c r="S383" i="3"/>
  <c r="S68" i="3"/>
  <c r="S22" i="3"/>
  <c r="S65" i="3"/>
  <c r="S109" i="3"/>
  <c r="S66" i="3"/>
  <c r="S203" i="3"/>
  <c r="S64" i="3"/>
  <c r="S340" i="3"/>
  <c r="S158" i="3"/>
  <c r="S245" i="3"/>
  <c r="S246" i="3"/>
  <c r="S160" i="3"/>
  <c r="S293" i="3"/>
  <c r="S202" i="3"/>
  <c r="S339" i="3"/>
  <c r="S343" i="3"/>
  <c r="N386" i="3"/>
  <c r="N292" i="3"/>
  <c r="N206" i="3"/>
  <c r="N248" i="3"/>
  <c r="N113" i="3"/>
  <c r="N296" i="3"/>
  <c r="N69" i="3"/>
  <c r="N205" i="3"/>
  <c r="N249" i="3"/>
  <c r="N204" i="3"/>
  <c r="N247" i="3"/>
  <c r="N388" i="3"/>
  <c r="N244" i="3"/>
  <c r="N160" i="3"/>
  <c r="N112" i="3"/>
  <c r="N156" i="3"/>
  <c r="N154" i="3"/>
  <c r="N387" i="3"/>
  <c r="N343" i="3"/>
  <c r="N202" i="3"/>
  <c r="N68" i="3"/>
  <c r="N385" i="3"/>
  <c r="N159" i="3"/>
  <c r="N115" i="3"/>
  <c r="N111" i="3"/>
  <c r="N245" i="3"/>
  <c r="N340" i="3"/>
  <c r="N22" i="3"/>
  <c r="N384" i="3"/>
  <c r="N246" i="3"/>
  <c r="N155" i="3"/>
  <c r="N383" i="3"/>
  <c r="N252" i="3"/>
  <c r="N64" i="3"/>
  <c r="N293" i="3"/>
  <c r="N297" i="3"/>
  <c r="N203" i="3"/>
  <c r="N157" i="3"/>
  <c r="N295" i="3"/>
  <c r="N63" i="3"/>
  <c r="N65" i="3"/>
  <c r="N67" i="3"/>
  <c r="N21" i="3"/>
  <c r="N294" i="3"/>
  <c r="N338" i="3"/>
  <c r="N291" i="3"/>
  <c r="N475" i="3"/>
  <c r="N389" i="3"/>
  <c r="N429" i="3"/>
  <c r="N250" i="3"/>
  <c r="N430" i="3"/>
  <c r="N66" i="3"/>
  <c r="N431" i="3"/>
  <c r="N432" i="3"/>
  <c r="N243" i="3"/>
  <c r="N251" i="3"/>
  <c r="N433" i="3"/>
  <c r="N109" i="3"/>
  <c r="N434" i="3"/>
  <c r="N341" i="3"/>
  <c r="N23" i="3"/>
  <c r="N473" i="3"/>
  <c r="N62" i="3"/>
  <c r="N474" i="3"/>
  <c r="N110" i="3"/>
  <c r="N476" i="3"/>
  <c r="N339" i="3"/>
  <c r="N477" i="3"/>
  <c r="N199" i="3"/>
  <c r="N478" i="3"/>
  <c r="N158" i="3"/>
  <c r="N479" i="3"/>
  <c r="N200" i="3"/>
  <c r="N480" i="3"/>
  <c r="N342" i="3"/>
  <c r="N201" i="3"/>
  <c r="N337" i="3"/>
  <c r="N114" i="3"/>
  <c r="K157" i="3"/>
  <c r="K65" i="3"/>
  <c r="K206" i="3"/>
  <c r="K113" i="3"/>
  <c r="K294" i="3"/>
  <c r="K205" i="3"/>
  <c r="K67" i="3"/>
  <c r="K295" i="3"/>
  <c r="K204" i="3"/>
  <c r="K388" i="3"/>
  <c r="K154" i="3"/>
  <c r="K112" i="3"/>
  <c r="K291" i="3"/>
  <c r="K387" i="3"/>
  <c r="K63" i="3"/>
  <c r="K389" i="3"/>
  <c r="K386" i="3"/>
  <c r="K338" i="3"/>
  <c r="K250" i="3"/>
  <c r="K429" i="3"/>
  <c r="K385" i="3"/>
  <c r="K341" i="3"/>
  <c r="K111" i="3"/>
  <c r="K430" i="3"/>
  <c r="K158" i="3"/>
  <c r="K155" i="3"/>
  <c r="K251" i="3"/>
  <c r="K431" i="3"/>
  <c r="K384" i="3"/>
  <c r="K243" i="3"/>
  <c r="K23" i="3"/>
  <c r="K432" i="3"/>
  <c r="K383" i="3"/>
  <c r="K293" i="3"/>
  <c r="K343" i="3"/>
  <c r="K433" i="3"/>
  <c r="K203" i="3"/>
  <c r="K115" i="3"/>
  <c r="K292" i="3"/>
  <c r="K434" i="3"/>
  <c r="K202" i="3"/>
  <c r="K69" i="3"/>
  <c r="K244" i="3"/>
  <c r="K473" i="3"/>
  <c r="K337" i="3"/>
  <c r="K340" i="3"/>
  <c r="K160" i="3"/>
  <c r="K474" i="3"/>
  <c r="K245" i="3"/>
  <c r="K247" i="3"/>
  <c r="K62" i="3"/>
  <c r="K475" i="3"/>
  <c r="K110" i="3"/>
  <c r="K252" i="3"/>
  <c r="K476" i="3"/>
  <c r="K156" i="3"/>
  <c r="K64" i="3"/>
  <c r="K199" i="3"/>
  <c r="K477" i="3"/>
  <c r="K109" i="3"/>
  <c r="K66" i="3"/>
  <c r="K246" i="3"/>
  <c r="K478" i="3"/>
  <c r="K68" i="3"/>
  <c r="K339" i="3"/>
  <c r="K200" i="3"/>
  <c r="K479" i="3"/>
  <c r="K22" i="3"/>
  <c r="K342" i="3"/>
  <c r="K248" i="3"/>
  <c r="K480" i="3"/>
  <c r="K297" i="3"/>
  <c r="K159" i="3"/>
  <c r="K201" i="3"/>
  <c r="K21" i="3"/>
  <c r="K296" i="3"/>
  <c r="K249" i="3"/>
  <c r="K114" i="3"/>
  <c r="B21" i="3" a="1"/>
  <c r="B22" i="3" a="1"/>
  <c r="B23" i="3" a="1"/>
  <c r="C20" i="33"/>
  <c r="S11" i="33"/>
  <c r="U15" i="24"/>
  <c r="S14" i="24"/>
  <c r="C16" i="24"/>
  <c r="D50" i="13"/>
  <c r="D78" i="13"/>
  <c r="D47" i="13"/>
  <c r="D75" i="13"/>
  <c r="F30" i="19"/>
  <c r="D31" i="13" s="1"/>
  <c r="F24" i="19"/>
  <c r="D25" i="13" s="1"/>
  <c r="F21" i="19"/>
  <c r="D22" i="13" s="1"/>
  <c r="F25" i="19"/>
  <c r="D26" i="13" s="1"/>
  <c r="F27" i="19"/>
  <c r="D28" i="13" s="1"/>
  <c r="F19" i="19"/>
  <c r="D20" i="13" s="1"/>
  <c r="F31" i="19"/>
  <c r="D32" i="13" s="1"/>
  <c r="F28" i="19"/>
  <c r="D29" i="13" s="1"/>
  <c r="D36" i="19"/>
  <c r="F33" i="19"/>
  <c r="D34" i="13" s="1"/>
  <c r="F34" i="19"/>
  <c r="D35" i="13" s="1"/>
  <c r="F35" i="19"/>
  <c r="D36" i="13" s="1"/>
  <c r="F18" i="19"/>
  <c r="D19" i="13" s="1"/>
  <c r="F22" i="19"/>
  <c r="D23" i="13" s="1"/>
  <c r="F26" i="19"/>
  <c r="D27" i="13" s="1"/>
  <c r="F32" i="19"/>
  <c r="D33" i="13" s="1"/>
  <c r="F29" i="19"/>
  <c r="D30" i="13" s="1"/>
  <c r="D44" i="13"/>
  <c r="D72" i="13"/>
  <c r="D17" i="13"/>
  <c r="F36" i="19"/>
  <c r="C294" i="4"/>
  <c r="C295" i="4" s="1"/>
  <c r="C296" i="4" s="1"/>
  <c r="C297" i="4" s="1"/>
  <c r="C298" i="4" s="1"/>
  <c r="C299" i="4" s="1"/>
  <c r="C300" i="4" s="1"/>
  <c r="C301" i="4" s="1"/>
  <c r="C302" i="4" s="1"/>
  <c r="C303" i="4" s="1"/>
  <c r="C304" i="4" s="1"/>
  <c r="C305" i="4" s="1"/>
  <c r="C306" i="4" s="1"/>
  <c r="C307" i="4" s="1"/>
  <c r="C308" i="4" s="1"/>
  <c r="C309" i="4" s="1"/>
  <c r="C310" i="4" s="1"/>
  <c r="C311" i="4" s="1"/>
  <c r="C312" i="4" s="1"/>
  <c r="C313" i="4" s="1"/>
  <c r="C314" i="4" s="1"/>
  <c r="C315" i="4" s="1"/>
  <c r="C316" i="4" s="1"/>
  <c r="C317" i="4" s="1"/>
  <c r="C318" i="4" s="1"/>
  <c r="C319" i="4" s="1"/>
  <c r="B143" i="22"/>
  <c r="C265" i="4"/>
  <c r="C266" i="4" s="1"/>
  <c r="C267" i="4" s="1"/>
  <c r="C268" i="4" s="1"/>
  <c r="C269" i="4" s="1"/>
  <c r="C270" i="4" s="1"/>
  <c r="C271" i="4" s="1"/>
  <c r="C272" i="4" s="1"/>
  <c r="C273" i="4" s="1"/>
  <c r="C274" i="4" s="1"/>
  <c r="C275" i="4" s="1"/>
  <c r="C276" i="4" s="1"/>
  <c r="C277" i="4" s="1"/>
  <c r="C278" i="4" s="1"/>
  <c r="C279" i="4" s="1"/>
  <c r="C280" i="4" s="1"/>
  <c r="C281" i="4" s="1"/>
  <c r="C282" i="4" s="1"/>
  <c r="C283" i="4" s="1"/>
  <c r="C284" i="4" s="1"/>
  <c r="C285" i="4" s="1"/>
  <c r="C286" i="4" s="1"/>
  <c r="C287" i="4" s="1"/>
  <c r="C288" i="4" s="1"/>
  <c r="C289" i="4" s="1"/>
  <c r="C290" i="4" s="1"/>
  <c r="B142" i="22"/>
  <c r="AB261" i="4"/>
  <c r="AA261" i="4" s="1"/>
  <c r="J290" i="4"/>
  <c r="AB290" i="4" s="1"/>
  <c r="AA290" i="4" s="1"/>
  <c r="AB260" i="4"/>
  <c r="AA260" i="4" s="1"/>
  <c r="J289" i="4"/>
  <c r="AB289" i="4" s="1"/>
  <c r="AA289" i="4" s="1"/>
  <c r="J288" i="4"/>
  <c r="AB288" i="4" s="1"/>
  <c r="AA288" i="4" s="1"/>
  <c r="AB259" i="4"/>
  <c r="AA259" i="4" s="1"/>
  <c r="AB258" i="4"/>
  <c r="AA258" i="4" s="1"/>
  <c r="J287" i="4"/>
  <c r="AB287" i="4" s="1"/>
  <c r="AA287" i="4" s="1"/>
  <c r="J286" i="4"/>
  <c r="AB286" i="4" s="1"/>
  <c r="AA286" i="4" s="1"/>
  <c r="AB257" i="4"/>
  <c r="AA257" i="4" s="1"/>
  <c r="AB256" i="4"/>
  <c r="AA256" i="4" s="1"/>
  <c r="J285" i="4"/>
  <c r="AB285" i="4" s="1"/>
  <c r="AA285" i="4" s="1"/>
  <c r="AB255" i="4"/>
  <c r="AA255" i="4" s="1"/>
  <c r="J284" i="4"/>
  <c r="AB284" i="4" s="1"/>
  <c r="AA284" i="4" s="1"/>
  <c r="J283" i="4"/>
  <c r="AB283" i="4" s="1"/>
  <c r="AA283" i="4" s="1"/>
  <c r="AB254" i="4"/>
  <c r="AA254" i="4" s="1"/>
  <c r="AB253" i="4"/>
  <c r="AA253" i="4" s="1"/>
  <c r="J282" i="4"/>
  <c r="AB282" i="4" s="1"/>
  <c r="AA282" i="4" s="1"/>
  <c r="AB252" i="4"/>
  <c r="AA252" i="4" s="1"/>
  <c r="J281" i="4"/>
  <c r="AB281" i="4" s="1"/>
  <c r="AA281" i="4" s="1"/>
  <c r="AB251" i="4"/>
  <c r="AA251" i="4" s="1"/>
  <c r="J280" i="4"/>
  <c r="AB280" i="4" s="1"/>
  <c r="AA280" i="4" s="1"/>
  <c r="J279" i="4"/>
  <c r="AB279" i="4" s="1"/>
  <c r="AA279" i="4" s="1"/>
  <c r="AB250" i="4"/>
  <c r="AA250" i="4" s="1"/>
  <c r="J278" i="4"/>
  <c r="AB278" i="4" s="1"/>
  <c r="AA278" i="4" s="1"/>
  <c r="AB249" i="4"/>
  <c r="AA249" i="4" s="1"/>
  <c r="J277" i="4"/>
  <c r="AB277" i="4" s="1"/>
  <c r="AA277" i="4" s="1"/>
  <c r="AB248" i="4"/>
  <c r="AA248" i="4" s="1"/>
  <c r="AB247" i="4"/>
  <c r="AA247" i="4" s="1"/>
  <c r="J276" i="4"/>
  <c r="AB276" i="4" s="1"/>
  <c r="AA276" i="4" s="1"/>
  <c r="J275" i="4"/>
  <c r="AB275" i="4" s="1"/>
  <c r="AA275" i="4" s="1"/>
  <c r="AB246" i="4"/>
  <c r="AA246" i="4" s="1"/>
  <c r="AB245" i="4"/>
  <c r="AA245" i="4" s="1"/>
  <c r="J274" i="4"/>
  <c r="AB274" i="4" s="1"/>
  <c r="AA274" i="4" s="1"/>
  <c r="J273" i="4"/>
  <c r="AB273" i="4" s="1"/>
  <c r="AA273" i="4" s="1"/>
  <c r="AB244" i="4"/>
  <c r="AA244" i="4" s="1"/>
  <c r="AB243" i="4"/>
  <c r="AA243" i="4" s="1"/>
  <c r="J272" i="4"/>
  <c r="AB272" i="4" s="1"/>
  <c r="AA272" i="4" s="1"/>
  <c r="J271" i="4"/>
  <c r="AB271" i="4" s="1"/>
  <c r="AA271" i="4" s="1"/>
  <c r="AB242" i="4"/>
  <c r="AA242" i="4" s="1"/>
  <c r="J270" i="4"/>
  <c r="AB270" i="4" s="1"/>
  <c r="AA270" i="4" s="1"/>
  <c r="AB241" i="4"/>
  <c r="AA241" i="4" s="1"/>
  <c r="J269" i="4"/>
  <c r="AB269" i="4" s="1"/>
  <c r="AA269" i="4" s="1"/>
  <c r="AB240" i="4"/>
  <c r="AA240" i="4" s="1"/>
  <c r="J268" i="4"/>
  <c r="AB268" i="4" s="1"/>
  <c r="AA268" i="4" s="1"/>
  <c r="AB239" i="4"/>
  <c r="AA239" i="4" s="1"/>
  <c r="J262" i="4"/>
  <c r="J267" i="4"/>
  <c r="AB238" i="4"/>
  <c r="AA238" i="4" s="1"/>
  <c r="B141" i="22"/>
  <c r="C236" i="4"/>
  <c r="C237" i="4" s="1"/>
  <c r="C238" i="4" s="1"/>
  <c r="C239" i="4" s="1"/>
  <c r="C240" i="4" s="1"/>
  <c r="C241" i="4" s="1"/>
  <c r="C242" i="4" s="1"/>
  <c r="C243" i="4" s="1"/>
  <c r="C244" i="4" s="1"/>
  <c r="C245" i="4" s="1"/>
  <c r="C246" i="4" s="1"/>
  <c r="C247" i="4" s="1"/>
  <c r="C248" i="4" s="1"/>
  <c r="C249" i="4" s="1"/>
  <c r="C250" i="4" s="1"/>
  <c r="C251" i="4" s="1"/>
  <c r="C252" i="4" s="1"/>
  <c r="C253" i="4" s="1"/>
  <c r="C254" i="4" s="1"/>
  <c r="C255" i="4" s="1"/>
  <c r="C256" i="4" s="1"/>
  <c r="C257" i="4" s="1"/>
  <c r="C258" i="4" s="1"/>
  <c r="C259" i="4" s="1"/>
  <c r="C260" i="4" s="1"/>
  <c r="C261" i="4" s="1"/>
  <c r="AB209" i="4"/>
  <c r="AA209" i="4" s="1"/>
  <c r="J233" i="4"/>
  <c r="B140" i="22"/>
  <c r="C207" i="4"/>
  <c r="C208" i="4" s="1"/>
  <c r="C209" i="4" s="1"/>
  <c r="C210" i="4" s="1"/>
  <c r="C211" i="4" s="1"/>
  <c r="C212" i="4" s="1"/>
  <c r="C213" i="4" s="1"/>
  <c r="C214" i="4" s="1"/>
  <c r="C215" i="4" s="1"/>
  <c r="C216" i="4" s="1"/>
  <c r="C217" i="4" s="1"/>
  <c r="C218" i="4" s="1"/>
  <c r="C219" i="4" s="1"/>
  <c r="C220" i="4" s="1"/>
  <c r="C221" i="4" s="1"/>
  <c r="C222" i="4" s="1"/>
  <c r="C223" i="4" s="1"/>
  <c r="C224" i="4" s="1"/>
  <c r="C225" i="4" s="1"/>
  <c r="C226" i="4" s="1"/>
  <c r="C227" i="4" s="1"/>
  <c r="C228" i="4" s="1"/>
  <c r="C229" i="4" s="1"/>
  <c r="C230" i="4" s="1"/>
  <c r="C231" i="4" s="1"/>
  <c r="C232" i="4" s="1"/>
  <c r="H182" i="4"/>
  <c r="AB181" i="4"/>
  <c r="AA181" i="4" s="1"/>
  <c r="B139" i="22"/>
  <c r="C178" i="4"/>
  <c r="C179" i="4" s="1"/>
  <c r="C180" i="4" s="1"/>
  <c r="C181" i="4" s="1"/>
  <c r="C182" i="4" s="1"/>
  <c r="C183" i="4" s="1"/>
  <c r="C184" i="4" s="1"/>
  <c r="C185" i="4" s="1"/>
  <c r="C186" i="4" s="1"/>
  <c r="C187" i="4" s="1"/>
  <c r="C188" i="4" s="1"/>
  <c r="C189" i="4" s="1"/>
  <c r="C190" i="4" s="1"/>
  <c r="C191" i="4" s="1"/>
  <c r="C192" i="4" s="1"/>
  <c r="C193" i="4" s="1"/>
  <c r="C194" i="4" s="1"/>
  <c r="C195" i="4" s="1"/>
  <c r="C196" i="4" s="1"/>
  <c r="C197" i="4" s="1"/>
  <c r="C198" i="4" s="1"/>
  <c r="C199" i="4" s="1"/>
  <c r="C200" i="4" s="1"/>
  <c r="C201" i="4" s="1"/>
  <c r="C202" i="4" s="1"/>
  <c r="C203" i="4" s="1"/>
  <c r="B138" i="22"/>
  <c r="C149" i="4"/>
  <c r="C150" i="4" s="1"/>
  <c r="C151" i="4" s="1"/>
  <c r="C152" i="4" s="1"/>
  <c r="C153" i="4" s="1"/>
  <c r="C154" i="4" s="1"/>
  <c r="C155" i="4" s="1"/>
  <c r="C156" i="4" s="1"/>
  <c r="C157" i="4" s="1"/>
  <c r="C158" i="4" s="1"/>
  <c r="C159" i="4" s="1"/>
  <c r="C160" i="4" s="1"/>
  <c r="C161" i="4" s="1"/>
  <c r="C162" i="4" s="1"/>
  <c r="C163" i="4" s="1"/>
  <c r="C164" i="4" s="1"/>
  <c r="C165" i="4" s="1"/>
  <c r="C166" i="4" s="1"/>
  <c r="C167" i="4" s="1"/>
  <c r="C168" i="4" s="1"/>
  <c r="C169" i="4" s="1"/>
  <c r="C170" i="4" s="1"/>
  <c r="C171" i="4" s="1"/>
  <c r="C172" i="4" s="1"/>
  <c r="C173" i="4" s="1"/>
  <c r="C174" i="4" s="1"/>
  <c r="AB122" i="4"/>
  <c r="AA122" i="4" s="1"/>
  <c r="J146" i="4"/>
  <c r="B137" i="22"/>
  <c r="C120" i="4"/>
  <c r="C121" i="4" s="1"/>
  <c r="C122" i="4" s="1"/>
  <c r="C123" i="4" s="1"/>
  <c r="C124" i="4" s="1"/>
  <c r="C125" i="4" s="1"/>
  <c r="C126" i="4" s="1"/>
  <c r="C127" i="4" s="1"/>
  <c r="C128" i="4" s="1"/>
  <c r="C129" i="4" s="1"/>
  <c r="C130" i="4" s="1"/>
  <c r="C131" i="4" s="1"/>
  <c r="C132" i="4" s="1"/>
  <c r="C133" i="4" s="1"/>
  <c r="C134" i="4" s="1"/>
  <c r="C135" i="4" s="1"/>
  <c r="C136" i="4" s="1"/>
  <c r="C137" i="4" s="1"/>
  <c r="C138" i="4" s="1"/>
  <c r="C139" i="4" s="1"/>
  <c r="C140" i="4" s="1"/>
  <c r="C141" i="4" s="1"/>
  <c r="C142" i="4" s="1"/>
  <c r="C143" i="4" s="1"/>
  <c r="C144" i="4" s="1"/>
  <c r="C145" i="4" s="1"/>
  <c r="B136" i="22"/>
  <c r="C91" i="4"/>
  <c r="C92" i="4" s="1"/>
  <c r="C93" i="4" s="1"/>
  <c r="C94" i="4" s="1"/>
  <c r="C95" i="4" s="1"/>
  <c r="C96" i="4" s="1"/>
  <c r="C97" i="4" s="1"/>
  <c r="C98" i="4" s="1"/>
  <c r="C99" i="4" s="1"/>
  <c r="C100" i="4" s="1"/>
  <c r="C101" i="4" s="1"/>
  <c r="C102" i="4" s="1"/>
  <c r="C103" i="4" s="1"/>
  <c r="C104" i="4" s="1"/>
  <c r="C105" i="4" s="1"/>
  <c r="C106" i="4" s="1"/>
  <c r="C107" i="4" s="1"/>
  <c r="C108" i="4" s="1"/>
  <c r="C109" i="4" s="1"/>
  <c r="C110" i="4" s="1"/>
  <c r="C111" i="4" s="1"/>
  <c r="C112" i="4" s="1"/>
  <c r="C113" i="4" s="1"/>
  <c r="C114" i="4" s="1"/>
  <c r="C115" i="4" s="1"/>
  <c r="C116" i="4" s="1"/>
  <c r="B135" i="22"/>
  <c r="C62" i="4"/>
  <c r="C63" i="4" s="1"/>
  <c r="C64" i="4" s="1"/>
  <c r="C65" i="4" s="1"/>
  <c r="C66" i="4" s="1"/>
  <c r="C67" i="4" s="1"/>
  <c r="C68" i="4" s="1"/>
  <c r="C69" i="4" s="1"/>
  <c r="C70" i="4" s="1"/>
  <c r="C71" i="4" s="1"/>
  <c r="C72" i="4" s="1"/>
  <c r="C73" i="4" s="1"/>
  <c r="C74" i="4" s="1"/>
  <c r="C75" i="4" s="1"/>
  <c r="C76" i="4" s="1"/>
  <c r="C77" i="4" s="1"/>
  <c r="C78" i="4" s="1"/>
  <c r="C79" i="4" s="1"/>
  <c r="C80" i="4" s="1"/>
  <c r="C81" i="4" s="1"/>
  <c r="C82" i="4" s="1"/>
  <c r="C83" i="4" s="1"/>
  <c r="C84" i="4" s="1"/>
  <c r="C85" i="4" s="1"/>
  <c r="C86" i="4" s="1"/>
  <c r="C87" i="4" s="1"/>
  <c r="H59" i="4"/>
  <c r="AB35" i="4"/>
  <c r="AA35" i="4" s="1"/>
  <c r="S3" i="33"/>
  <c r="F59" i="4"/>
  <c r="S3" i="24"/>
  <c r="B61" i="4"/>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59" i="4"/>
  <c r="B60" i="4" s="1"/>
  <c r="C34" i="4"/>
  <c r="C35" i="4" s="1"/>
  <c r="C36" i="4" s="1"/>
  <c r="C37" i="4" s="1"/>
  <c r="C38" i="4" s="1"/>
  <c r="C39" i="4" s="1"/>
  <c r="C40" i="4" s="1"/>
  <c r="C41" i="4" s="1"/>
  <c r="C42" i="4" s="1"/>
  <c r="C43" i="4" s="1"/>
  <c r="C44" i="4" s="1"/>
  <c r="C45" i="4" s="1"/>
  <c r="C46" i="4" s="1"/>
  <c r="C47" i="4" s="1"/>
  <c r="C48" i="4" s="1"/>
  <c r="C49" i="4" s="1"/>
  <c r="C50" i="4" s="1"/>
  <c r="C51" i="4" s="1"/>
  <c r="C52" i="4" s="1"/>
  <c r="C53" i="4" s="1"/>
  <c r="C54" i="4" s="1"/>
  <c r="C55" i="4" s="1"/>
  <c r="C56" i="4" s="1"/>
  <c r="C57" i="4" s="1"/>
  <c r="C58" i="4" s="1"/>
  <c r="B134" i="22"/>
  <c r="B18" i="13"/>
  <c r="B72" i="13"/>
  <c r="B17" i="19"/>
  <c r="G13" i="4"/>
  <c r="B44" i="13"/>
  <c r="E24" i="21"/>
  <c r="N106" i="10"/>
  <c r="M106" i="10" s="1"/>
  <c r="BC16" i="13"/>
  <c r="BL16" i="13" s="1"/>
  <c r="C49" i="15" s="1"/>
  <c r="E26" i="33"/>
  <c r="F107" i="10"/>
  <c r="E21" i="24"/>
  <c r="N73" i="10"/>
  <c r="M73" i="10" s="1"/>
  <c r="AU18" i="13"/>
  <c r="C7" i="15" s="1"/>
  <c r="F129" i="10"/>
  <c r="N128" i="10"/>
  <c r="M128" i="10" s="1"/>
  <c r="AP16" i="3"/>
  <c r="N112" i="10"/>
  <c r="M112" i="10" s="1"/>
  <c r="T13" i="24"/>
  <c r="S13" i="24" s="1"/>
  <c r="T9" i="33"/>
  <c r="S9" i="33" s="1"/>
  <c r="AU26" i="13"/>
  <c r="AU27" i="13"/>
  <c r="C9" i="15" s="1"/>
  <c r="D26" i="30"/>
  <c r="N100" i="10"/>
  <c r="M100" i="10" s="1"/>
  <c r="F101" i="10"/>
  <c r="N67" i="10"/>
  <c r="M67" i="10" s="1"/>
  <c r="AY21" i="13"/>
  <c r="N62" i="10"/>
  <c r="M62" i="10" s="1"/>
  <c r="F64" i="10"/>
  <c r="N64" i="10" s="1"/>
  <c r="M64" i="10" s="1"/>
  <c r="AY16" i="13"/>
  <c r="AU17" i="13"/>
  <c r="N61" i="10"/>
  <c r="M61" i="10" s="1"/>
  <c r="BE16" i="3"/>
  <c r="H51" i="10"/>
  <c r="N50" i="10"/>
  <c r="M50" i="10" s="1"/>
  <c r="AY48" i="13"/>
  <c r="N47" i="10"/>
  <c r="M47" i="10" s="1"/>
  <c r="AY20" i="13"/>
  <c r="N40" i="10"/>
  <c r="M40" i="10" s="1"/>
  <c r="AU15" i="13"/>
  <c r="F34" i="10"/>
  <c r="N32" i="10"/>
  <c r="M32" i="10" s="1"/>
  <c r="N44" i="10" l="1"/>
  <c r="M44" i="10" s="1"/>
  <c r="D52" i="10"/>
  <c r="AU22" i="13"/>
  <c r="AU24" i="13" s="1"/>
  <c r="C10" i="15" s="1"/>
  <c r="E10" i="15" s="1"/>
  <c r="BL23" i="13"/>
  <c r="C50" i="15"/>
  <c r="E50" i="15" s="1"/>
  <c r="E53" i="15"/>
  <c r="CD140" i="3"/>
  <c r="C164" i="3"/>
  <c r="G116" i="3" a="1"/>
  <c r="BB116" i="3" a="1"/>
  <c r="CE116" i="3" a="1"/>
  <c r="B116" i="3" a="1"/>
  <c r="E140" i="3"/>
  <c r="CC140" i="3"/>
  <c r="A164" i="3"/>
  <c r="G92" i="3" a="1"/>
  <c r="BB92" i="3" a="1"/>
  <c r="CE92" i="3" a="1"/>
  <c r="B92" i="3" a="1"/>
  <c r="CD115" i="3"/>
  <c r="C139" i="3"/>
  <c r="E115" i="3"/>
  <c r="CC115" i="3"/>
  <c r="A139" i="3"/>
  <c r="G91" i="3" a="1"/>
  <c r="BB91" i="3" a="1"/>
  <c r="CE91" i="3" a="1"/>
  <c r="B91" i="3" a="1"/>
  <c r="CD114" i="3"/>
  <c r="C138" i="3"/>
  <c r="E114" i="3"/>
  <c r="CC114" i="3"/>
  <c r="A138" i="3"/>
  <c r="G90" i="3" a="1"/>
  <c r="BB90" i="3" a="1"/>
  <c r="CE90" i="3" a="1"/>
  <c r="B90" i="3" a="1"/>
  <c r="CD113" i="3"/>
  <c r="C137" i="3"/>
  <c r="G89" i="3" a="1"/>
  <c r="BB89" i="3" a="1"/>
  <c r="CE89" i="3" a="1"/>
  <c r="B89" i="3" a="1"/>
  <c r="E113" i="3"/>
  <c r="CC113" i="3"/>
  <c r="A137" i="3"/>
  <c r="CD112" i="3"/>
  <c r="C136" i="3"/>
  <c r="G88" i="3" a="1"/>
  <c r="BB88" i="3" a="1"/>
  <c r="CE88" i="3" a="1"/>
  <c r="B88" i="3" a="1"/>
  <c r="E112" i="3"/>
  <c r="CC112" i="3"/>
  <c r="A136" i="3"/>
  <c r="CD111" i="3"/>
  <c r="C135" i="3"/>
  <c r="E111" i="3"/>
  <c r="CC111" i="3"/>
  <c r="A135" i="3"/>
  <c r="G87" i="3" a="1"/>
  <c r="BB87" i="3" a="1"/>
  <c r="CE87" i="3" a="1"/>
  <c r="B87" i="3" a="1"/>
  <c r="CD110" i="3"/>
  <c r="C134" i="3"/>
  <c r="G86" i="3" a="1"/>
  <c r="BB86" i="3" a="1"/>
  <c r="CE86" i="3" a="1"/>
  <c r="B86" i="3" a="1"/>
  <c r="E110" i="3"/>
  <c r="CC110" i="3"/>
  <c r="A134" i="3"/>
  <c r="CD109" i="3"/>
  <c r="C133" i="3"/>
  <c r="G85" i="3" a="1"/>
  <c r="BB85" i="3" a="1"/>
  <c r="CE85" i="3" a="1"/>
  <c r="B85" i="3" a="1"/>
  <c r="E109" i="3"/>
  <c r="CC109" i="3"/>
  <c r="A133" i="3"/>
  <c r="CD108" i="3"/>
  <c r="C132" i="3"/>
  <c r="E108" i="3"/>
  <c r="CC108" i="3"/>
  <c r="A132" i="3"/>
  <c r="G84" i="3" a="1"/>
  <c r="BB84" i="3" a="1"/>
  <c r="CE84" i="3" a="1"/>
  <c r="B84" i="3" a="1"/>
  <c r="CD107" i="3"/>
  <c r="C131" i="3"/>
  <c r="E107" i="3"/>
  <c r="CC107" i="3"/>
  <c r="A131" i="3"/>
  <c r="G83" i="3" a="1"/>
  <c r="BB83" i="3" a="1"/>
  <c r="CE83" i="3" a="1"/>
  <c r="B83" i="3" a="1"/>
  <c r="CD106" i="3"/>
  <c r="C130" i="3"/>
  <c r="G82" i="3" a="1"/>
  <c r="BB82" i="3" a="1"/>
  <c r="CE82" i="3" a="1"/>
  <c r="B82" i="3" a="1"/>
  <c r="E106" i="3"/>
  <c r="CC106" i="3"/>
  <c r="A130" i="3"/>
  <c r="CD105" i="3"/>
  <c r="C129" i="3"/>
  <c r="E105" i="3"/>
  <c r="CC105" i="3"/>
  <c r="A129" i="3"/>
  <c r="G81" i="3" a="1"/>
  <c r="BB81" i="3" a="1"/>
  <c r="CE81" i="3" a="1"/>
  <c r="B81" i="3" a="1"/>
  <c r="CD104" i="3"/>
  <c r="C128" i="3"/>
  <c r="E104" i="3"/>
  <c r="CC104" i="3"/>
  <c r="A128" i="3"/>
  <c r="G80" i="3" a="1"/>
  <c r="BB80" i="3" a="1"/>
  <c r="CE80" i="3" a="1"/>
  <c r="B80" i="3" a="1"/>
  <c r="CD103" i="3"/>
  <c r="C127" i="3"/>
  <c r="G79" i="3" a="1"/>
  <c r="BB79" i="3" a="1"/>
  <c r="CE79" i="3" a="1"/>
  <c r="B79" i="3" a="1"/>
  <c r="E103" i="3"/>
  <c r="CC103" i="3"/>
  <c r="A127" i="3"/>
  <c r="CD102" i="3"/>
  <c r="C126" i="3"/>
  <c r="E102" i="3"/>
  <c r="CC102" i="3"/>
  <c r="A126" i="3"/>
  <c r="G78" i="3" a="1"/>
  <c r="BB78" i="3" a="1"/>
  <c r="CE78" i="3" a="1"/>
  <c r="B78" i="3" a="1"/>
  <c r="G61" i="3" a="1"/>
  <c r="BB61" i="3" a="1"/>
  <c r="CE61" i="3" a="1"/>
  <c r="B61" i="3" a="1"/>
  <c r="G60" i="3" a="1"/>
  <c r="BB60" i="3" a="1"/>
  <c r="CE60" i="3" a="1"/>
  <c r="B60" i="3" a="1"/>
  <c r="G59" i="3" a="1"/>
  <c r="BB59" i="3" a="1"/>
  <c r="CE59" i="3" a="1"/>
  <c r="B59" i="3" a="1"/>
  <c r="G58" i="3" a="1"/>
  <c r="BB58" i="3" a="1"/>
  <c r="CE58" i="3" a="1"/>
  <c r="B58" i="3" a="1"/>
  <c r="G57" i="3" a="1"/>
  <c r="BB57" i="3" a="1"/>
  <c r="CE57" i="3" a="1"/>
  <c r="B57" i="3" a="1"/>
  <c r="G56" i="3" a="1"/>
  <c r="BB56" i="3" a="1"/>
  <c r="CE56" i="3" a="1"/>
  <c r="B56" i="3" a="1"/>
  <c r="G55" i="3" a="1"/>
  <c r="BB55" i="3" a="1"/>
  <c r="CE55" i="3" a="1"/>
  <c r="B55" i="3" a="1"/>
  <c r="G54" i="3" a="1"/>
  <c r="BB54" i="3" a="1"/>
  <c r="CE54" i="3" a="1"/>
  <c r="B54" i="3" a="1"/>
  <c r="CD77" i="3"/>
  <c r="C101" i="3"/>
  <c r="G53" i="3" a="1"/>
  <c r="BB53" i="3" a="1"/>
  <c r="CE53" i="3" a="1"/>
  <c r="B53" i="3" a="1"/>
  <c r="E77" i="3"/>
  <c r="CC77" i="3"/>
  <c r="A101" i="3"/>
  <c r="CD76" i="3"/>
  <c r="C100" i="3"/>
  <c r="G52" i="3" a="1"/>
  <c r="BB52" i="3" a="1"/>
  <c r="CE52" i="3" a="1"/>
  <c r="B52" i="3" a="1"/>
  <c r="E76" i="3"/>
  <c r="CC76" i="3"/>
  <c r="A100" i="3"/>
  <c r="CD75" i="3"/>
  <c r="C99" i="3"/>
  <c r="E75" i="3"/>
  <c r="CC75" i="3"/>
  <c r="A99" i="3"/>
  <c r="G51" i="3" a="1"/>
  <c r="BB51" i="3" a="1"/>
  <c r="CE51" i="3" a="1"/>
  <c r="B51" i="3" a="1"/>
  <c r="CD74" i="3"/>
  <c r="C98" i="3"/>
  <c r="E74" i="3"/>
  <c r="CC74" i="3"/>
  <c r="A98" i="3"/>
  <c r="G50" i="3" a="1"/>
  <c r="BB50" i="3" a="1"/>
  <c r="CE50" i="3" a="1"/>
  <c r="B50" i="3" a="1"/>
  <c r="CD73" i="3"/>
  <c r="C97" i="3"/>
  <c r="E73" i="3"/>
  <c r="CC73" i="3"/>
  <c r="A97" i="3"/>
  <c r="G49" i="3" a="1"/>
  <c r="BB49" i="3" a="1"/>
  <c r="CE49" i="3" a="1"/>
  <c r="B49" i="3" a="1"/>
  <c r="CD72" i="3"/>
  <c r="C96" i="3"/>
  <c r="E72" i="3"/>
  <c r="CC72" i="3"/>
  <c r="A96" i="3"/>
  <c r="G48" i="3" a="1"/>
  <c r="BB48" i="3" a="1"/>
  <c r="CE48" i="3" a="1"/>
  <c r="B48" i="3" a="1"/>
  <c r="F71" i="3" a="1"/>
  <c r="D95" i="3"/>
  <c r="CD71" i="3"/>
  <c r="C95" i="3"/>
  <c r="E71" i="3"/>
  <c r="CC71" i="3"/>
  <c r="A95" i="3"/>
  <c r="G47" i="3" a="1"/>
  <c r="BB47" i="3" a="1"/>
  <c r="CE47" i="3" a="1"/>
  <c r="B47" i="3" a="1"/>
  <c r="F70" i="3" a="1"/>
  <c r="D94" i="3"/>
  <c r="CD70" i="3"/>
  <c r="C94" i="3"/>
  <c r="G46" i="3" a="1"/>
  <c r="BB46" i="3" a="1"/>
  <c r="CE46" i="3" a="1"/>
  <c r="B46" i="3" a="1"/>
  <c r="E70" i="3"/>
  <c r="CC70" i="3"/>
  <c r="A94" i="3"/>
  <c r="F69" i="3" a="1"/>
  <c r="H69" i="3" a="1"/>
  <c r="I69" i="3" a="1"/>
  <c r="L69" i="3" a="1"/>
  <c r="M69" i="3" a="1"/>
  <c r="P69" i="3" a="1"/>
  <c r="D93" i="3"/>
  <c r="CD69" i="3"/>
  <c r="C93" i="3"/>
  <c r="E69" i="3"/>
  <c r="CC69" i="3"/>
  <c r="A93" i="3"/>
  <c r="G45" i="3" a="1"/>
  <c r="BB45" i="3" a="1"/>
  <c r="CE45" i="3" a="1"/>
  <c r="B45" i="3" a="1"/>
  <c r="CH44" i="3"/>
  <c r="CQ44" i="3"/>
  <c r="CI44" i="3"/>
  <c r="CP44" i="3"/>
  <c r="R44" i="3"/>
  <c r="AB44" i="3" s="1"/>
  <c r="F68" i="3" a="1"/>
  <c r="H68" i="3" a="1"/>
  <c r="I68" i="3" a="1"/>
  <c r="J68" i="3" s="1"/>
  <c r="T68" i="3" s="1"/>
  <c r="L68" i="3" a="1"/>
  <c r="M68" i="3" a="1"/>
  <c r="O68" i="3" s="1"/>
  <c r="P68" i="3" a="1"/>
  <c r="Q68" i="3" s="1"/>
  <c r="V68" i="3" s="1"/>
  <c r="AZ68" i="3" a="1"/>
  <c r="BA68" i="3" a="1"/>
  <c r="BC68" i="3" a="1"/>
  <c r="BD68" i="3" a="1"/>
  <c r="BX68" i="3" a="1"/>
  <c r="D92" i="3"/>
  <c r="F67" i="3" a="1"/>
  <c r="H67" i="3" a="1"/>
  <c r="I67" i="3" a="1"/>
  <c r="J67" i="3" s="1"/>
  <c r="T67" i="3" s="1"/>
  <c r="L67" i="3" a="1"/>
  <c r="M67" i="3" a="1"/>
  <c r="O67" i="3" s="1"/>
  <c r="P67" i="3" a="1"/>
  <c r="Q67" i="3" s="1"/>
  <c r="V67" i="3" s="1"/>
  <c r="AZ67" i="3" a="1"/>
  <c r="BA67" i="3" a="1"/>
  <c r="BC67" i="3" a="1"/>
  <c r="BD67" i="3" a="1"/>
  <c r="BX67" i="3" a="1"/>
  <c r="D91" i="3"/>
  <c r="CQ43" i="3"/>
  <c r="CH43" i="3"/>
  <c r="CI43" i="3"/>
  <c r="CP43" i="3"/>
  <c r="R43" i="3"/>
  <c r="AB43" i="3" s="1"/>
  <c r="F66" i="3" a="1"/>
  <c r="H66" i="3" a="1"/>
  <c r="I66" i="3" a="1"/>
  <c r="J66" i="3" s="1"/>
  <c r="T66" i="3" s="1"/>
  <c r="L66" i="3" a="1"/>
  <c r="M66" i="3" a="1"/>
  <c r="O66" i="3" s="1"/>
  <c r="P66" i="3" a="1"/>
  <c r="Q66" i="3" s="1"/>
  <c r="V66" i="3" s="1"/>
  <c r="AZ66" i="3" a="1"/>
  <c r="BA66" i="3" a="1"/>
  <c r="BC66" i="3" a="1"/>
  <c r="BD66" i="3" a="1"/>
  <c r="BX66" i="3" a="1"/>
  <c r="D90" i="3"/>
  <c r="CH42" i="3"/>
  <c r="CQ42" i="3"/>
  <c r="R42" i="3"/>
  <c r="AB42" i="3" s="1"/>
  <c r="CI42" i="3"/>
  <c r="CP42" i="3"/>
  <c r="F65" i="3" a="1"/>
  <c r="H65" i="3" a="1"/>
  <c r="I65" i="3" a="1"/>
  <c r="J65" i="3" s="1"/>
  <c r="T65" i="3" s="1"/>
  <c r="L65" i="3" a="1"/>
  <c r="M65" i="3" a="1"/>
  <c r="O65" i="3" s="1"/>
  <c r="P65" i="3" a="1"/>
  <c r="Q65" i="3" s="1"/>
  <c r="V65" i="3" s="1"/>
  <c r="AZ65" i="3" a="1"/>
  <c r="BA65" i="3" a="1"/>
  <c r="BC65" i="3" a="1"/>
  <c r="BD65" i="3" a="1"/>
  <c r="BX65" i="3" a="1"/>
  <c r="D89" i="3"/>
  <c r="CH41" i="3"/>
  <c r="CQ41" i="3"/>
  <c r="R41" i="3"/>
  <c r="AB41" i="3" s="1"/>
  <c r="CI41" i="3"/>
  <c r="CP41" i="3"/>
  <c r="CI40" i="3"/>
  <c r="CP40" i="3"/>
  <c r="F64" i="3" a="1"/>
  <c r="H64" i="3" a="1"/>
  <c r="I64" i="3" a="1"/>
  <c r="J64" i="3" s="1"/>
  <c r="T64" i="3" s="1"/>
  <c r="L64" i="3" a="1"/>
  <c r="M64" i="3" a="1"/>
  <c r="O64" i="3" s="1"/>
  <c r="P64" i="3" a="1"/>
  <c r="Q64" i="3" s="1"/>
  <c r="V64" i="3" s="1"/>
  <c r="AZ64" i="3" a="1"/>
  <c r="BA64" i="3" a="1"/>
  <c r="BC64" i="3" a="1"/>
  <c r="BD64" i="3" a="1"/>
  <c r="BX64" i="3" a="1"/>
  <c r="D88" i="3"/>
  <c r="R40" i="3"/>
  <c r="AB40" i="3" s="1"/>
  <c r="CH40" i="3"/>
  <c r="CQ40" i="3"/>
  <c r="R39" i="3"/>
  <c r="AB39" i="3" s="1"/>
  <c r="CH39" i="3"/>
  <c r="CQ39" i="3"/>
  <c r="F63" i="3" a="1"/>
  <c r="H63" i="3" a="1"/>
  <c r="I63" i="3" a="1"/>
  <c r="J63" i="3" s="1"/>
  <c r="T63" i="3" s="1"/>
  <c r="L63" i="3" a="1"/>
  <c r="M63" i="3" a="1"/>
  <c r="O63" i="3" s="1"/>
  <c r="P63" i="3" a="1"/>
  <c r="Q63" i="3" s="1"/>
  <c r="V63" i="3" s="1"/>
  <c r="AZ63" i="3" a="1"/>
  <c r="BA63" i="3" a="1"/>
  <c r="BC63" i="3" a="1"/>
  <c r="BD63" i="3" a="1"/>
  <c r="BX63" i="3" a="1"/>
  <c r="D87" i="3"/>
  <c r="CI39" i="3"/>
  <c r="CP39" i="3"/>
  <c r="R38" i="3"/>
  <c r="AB38" i="3" s="1"/>
  <c r="F62" i="3" a="1"/>
  <c r="H62" i="3" a="1"/>
  <c r="I62" i="3" a="1"/>
  <c r="J62" i="3" s="1"/>
  <c r="T62" i="3" s="1"/>
  <c r="L62" i="3" a="1"/>
  <c r="M62" i="3" a="1"/>
  <c r="O62" i="3" s="1"/>
  <c r="P62" i="3" a="1"/>
  <c r="Q62" i="3" s="1"/>
  <c r="V62" i="3" s="1"/>
  <c r="AZ62" i="3" a="1"/>
  <c r="BA62" i="3" a="1"/>
  <c r="BC62" i="3" a="1"/>
  <c r="BD62" i="3" a="1"/>
  <c r="BX62" i="3" a="1"/>
  <c r="D86" i="3"/>
  <c r="CP38" i="3"/>
  <c r="CI38" i="3"/>
  <c r="CH38" i="3"/>
  <c r="CQ38" i="3"/>
  <c r="F61" i="3" a="1"/>
  <c r="H61" i="3" a="1"/>
  <c r="I61" i="3" a="1"/>
  <c r="J61" i="3" s="1"/>
  <c r="T61" i="3" s="1"/>
  <c r="L61" i="3" a="1"/>
  <c r="M61" i="3" a="1"/>
  <c r="O61" i="3" s="1"/>
  <c r="P61" i="3" a="1"/>
  <c r="Q61" i="3" s="1"/>
  <c r="V61" i="3" s="1"/>
  <c r="AZ61" i="3" a="1"/>
  <c r="BA61" i="3" a="1"/>
  <c r="BC61" i="3" a="1"/>
  <c r="BD61" i="3" a="1"/>
  <c r="BX61" i="3" a="1"/>
  <c r="D85" i="3"/>
  <c r="CI37" i="3"/>
  <c r="CP37" i="3"/>
  <c r="R37" i="3"/>
  <c r="AB37" i="3" s="1"/>
  <c r="CH37" i="3"/>
  <c r="CQ37" i="3"/>
  <c r="R36" i="3"/>
  <c r="AB36" i="3" s="1"/>
  <c r="CI36" i="3"/>
  <c r="CP36" i="3"/>
  <c r="CH36" i="3"/>
  <c r="CQ36" i="3"/>
  <c r="F60" i="3" a="1"/>
  <c r="H60" i="3" a="1"/>
  <c r="I60" i="3" a="1"/>
  <c r="J60" i="3" s="1"/>
  <c r="T60" i="3" s="1"/>
  <c r="L60" i="3" a="1"/>
  <c r="M60" i="3" a="1"/>
  <c r="O60" i="3" s="1"/>
  <c r="P60" i="3" a="1"/>
  <c r="Q60" i="3" s="1"/>
  <c r="V60" i="3" s="1"/>
  <c r="AZ60" i="3" a="1"/>
  <c r="BA60" i="3" a="1"/>
  <c r="BC60" i="3" a="1"/>
  <c r="BD60" i="3" a="1"/>
  <c r="BX60" i="3" a="1"/>
  <c r="D84" i="3"/>
  <c r="F59" i="3" a="1"/>
  <c r="H59" i="3" a="1"/>
  <c r="I59" i="3" a="1"/>
  <c r="J59" i="3" s="1"/>
  <c r="T59" i="3" s="1"/>
  <c r="L59" i="3" a="1"/>
  <c r="M59" i="3" a="1"/>
  <c r="O59" i="3" s="1"/>
  <c r="P59" i="3" a="1"/>
  <c r="Q59" i="3" s="1"/>
  <c r="V59" i="3" s="1"/>
  <c r="AZ59" i="3" a="1"/>
  <c r="BA59" i="3" a="1"/>
  <c r="BC59" i="3" a="1"/>
  <c r="BD59" i="3" a="1"/>
  <c r="BX59" i="3" a="1"/>
  <c r="D83" i="3"/>
  <c r="CQ35" i="3"/>
  <c r="CH35" i="3"/>
  <c r="R35" i="3"/>
  <c r="AB35" i="3" s="1"/>
  <c r="CP35" i="3"/>
  <c r="CI35" i="3"/>
  <c r="CQ34" i="3"/>
  <c r="CH34" i="3"/>
  <c r="F58" i="3" a="1"/>
  <c r="H58" i="3" a="1"/>
  <c r="I58" i="3" a="1"/>
  <c r="J58" i="3" s="1"/>
  <c r="T58" i="3" s="1"/>
  <c r="L58" i="3" a="1"/>
  <c r="M58" i="3" a="1"/>
  <c r="O58" i="3" s="1"/>
  <c r="P58" i="3" a="1"/>
  <c r="Q58" i="3" s="1"/>
  <c r="V58" i="3" s="1"/>
  <c r="AZ58" i="3" a="1"/>
  <c r="BA58" i="3" a="1"/>
  <c r="BC58" i="3" a="1"/>
  <c r="BD58" i="3" a="1"/>
  <c r="BX58" i="3" a="1"/>
  <c r="D82" i="3"/>
  <c r="CI34" i="3"/>
  <c r="CP34" i="3"/>
  <c r="R34" i="3"/>
  <c r="AB34" i="3" s="1"/>
  <c r="CI33" i="3"/>
  <c r="CP33" i="3"/>
  <c r="CH33" i="3"/>
  <c r="CQ33" i="3"/>
  <c r="R33" i="3"/>
  <c r="AB33" i="3" s="1"/>
  <c r="F57" i="3" a="1"/>
  <c r="H57" i="3" a="1"/>
  <c r="I57" i="3" a="1"/>
  <c r="J57" i="3" s="1"/>
  <c r="T57" i="3" s="1"/>
  <c r="L57" i="3" a="1"/>
  <c r="M57" i="3" a="1"/>
  <c r="O57" i="3" s="1"/>
  <c r="P57" i="3" a="1"/>
  <c r="Q57" i="3" s="1"/>
  <c r="V57" i="3" s="1"/>
  <c r="AZ57" i="3" a="1"/>
  <c r="BA57" i="3" a="1"/>
  <c r="BC57" i="3" a="1"/>
  <c r="BD57" i="3" a="1"/>
  <c r="BX57" i="3" a="1"/>
  <c r="D81" i="3"/>
  <c r="CH32" i="3"/>
  <c r="CQ32" i="3"/>
  <c r="R32" i="3"/>
  <c r="AB32" i="3" s="1"/>
  <c r="F56" i="3" a="1"/>
  <c r="H56" i="3" a="1"/>
  <c r="I56" i="3" a="1"/>
  <c r="J56" i="3" s="1"/>
  <c r="T56" i="3" s="1"/>
  <c r="L56" i="3" a="1"/>
  <c r="M56" i="3" a="1"/>
  <c r="O56" i="3" s="1"/>
  <c r="P56" i="3" a="1"/>
  <c r="Q56" i="3" s="1"/>
  <c r="V56" i="3" s="1"/>
  <c r="AZ56" i="3" a="1"/>
  <c r="BA56" i="3" a="1"/>
  <c r="BC56" i="3" a="1"/>
  <c r="BD56" i="3" a="1"/>
  <c r="BX56" i="3" a="1"/>
  <c r="D80" i="3"/>
  <c r="CI32" i="3"/>
  <c r="CP32" i="3"/>
  <c r="R31" i="3"/>
  <c r="AB31" i="3" s="1"/>
  <c r="F55" i="3" a="1"/>
  <c r="H55" i="3" a="1"/>
  <c r="I55" i="3" a="1"/>
  <c r="J55" i="3" s="1"/>
  <c r="T55" i="3" s="1"/>
  <c r="L55" i="3" a="1"/>
  <c r="M55" i="3" a="1"/>
  <c r="O55" i="3" s="1"/>
  <c r="P55" i="3" a="1"/>
  <c r="Q55" i="3" s="1"/>
  <c r="V55" i="3" s="1"/>
  <c r="AZ55" i="3" a="1"/>
  <c r="BA55" i="3" a="1"/>
  <c r="BC55" i="3" a="1"/>
  <c r="BD55" i="3" a="1"/>
  <c r="BX55" i="3" a="1"/>
  <c r="D79" i="3"/>
  <c r="CI31" i="3"/>
  <c r="CP31" i="3"/>
  <c r="CQ31" i="3"/>
  <c r="CH31" i="3"/>
  <c r="R30" i="3"/>
  <c r="AB30" i="3" s="1"/>
  <c r="F54" i="3" a="1"/>
  <c r="H54" i="3" a="1"/>
  <c r="I54" i="3" a="1"/>
  <c r="J54" i="3" s="1"/>
  <c r="T54" i="3" s="1"/>
  <c r="L54" i="3" a="1"/>
  <c r="M54" i="3" a="1"/>
  <c r="O54" i="3" s="1"/>
  <c r="P54" i="3" a="1"/>
  <c r="Q54" i="3" s="1"/>
  <c r="V54" i="3" s="1"/>
  <c r="AZ54" i="3" a="1"/>
  <c r="BA54" i="3" a="1"/>
  <c r="BC54" i="3" a="1"/>
  <c r="BD54" i="3" a="1"/>
  <c r="BX54" i="3" a="1"/>
  <c r="D78" i="3"/>
  <c r="CI30" i="3"/>
  <c r="CP30" i="3"/>
  <c r="CQ30" i="3"/>
  <c r="CH30" i="3"/>
  <c r="CH29" i="3"/>
  <c r="CQ29" i="3"/>
  <c r="F53" i="3" a="1"/>
  <c r="H53" i="3" a="1"/>
  <c r="I53" i="3" a="1"/>
  <c r="J53" i="3" s="1"/>
  <c r="T53" i="3" s="1"/>
  <c r="L53" i="3" a="1"/>
  <c r="M53" i="3" a="1"/>
  <c r="O53" i="3" s="1"/>
  <c r="P53" i="3" a="1"/>
  <c r="Q53" i="3" s="1"/>
  <c r="V53" i="3" s="1"/>
  <c r="AZ53" i="3" a="1"/>
  <c r="BA53" i="3" a="1"/>
  <c r="BC53" i="3" a="1"/>
  <c r="BD53" i="3" a="1"/>
  <c r="D77" i="3"/>
  <c r="BX53" i="3" a="1"/>
  <c r="CI29" i="3"/>
  <c r="CP29" i="3"/>
  <c r="R29" i="3"/>
  <c r="AB29" i="3" s="1"/>
  <c r="F52" i="3" a="1"/>
  <c r="H52" i="3" a="1"/>
  <c r="I52" i="3" a="1"/>
  <c r="J52" i="3" s="1"/>
  <c r="T52" i="3" s="1"/>
  <c r="L52" i="3" a="1"/>
  <c r="M52" i="3" a="1"/>
  <c r="O52" i="3" s="1"/>
  <c r="P52" i="3" a="1"/>
  <c r="Q52" i="3" s="1"/>
  <c r="V52" i="3" s="1"/>
  <c r="AZ52" i="3" a="1"/>
  <c r="BA52" i="3" a="1"/>
  <c r="BC52" i="3" a="1"/>
  <c r="BD52" i="3" a="1"/>
  <c r="BX52" i="3" a="1"/>
  <c r="D76" i="3"/>
  <c r="CH28" i="3"/>
  <c r="CQ28" i="3"/>
  <c r="R28" i="3"/>
  <c r="AB28" i="3" s="1"/>
  <c r="CI28" i="3"/>
  <c r="CP28" i="3"/>
  <c r="CP27" i="3"/>
  <c r="CI27" i="3"/>
  <c r="R27" i="3"/>
  <c r="AB27" i="3" s="1"/>
  <c r="CQ27" i="3"/>
  <c r="CH27" i="3"/>
  <c r="F51" i="3" a="1"/>
  <c r="H51" i="3" a="1"/>
  <c r="I51" i="3" a="1"/>
  <c r="J51" i="3" s="1"/>
  <c r="T51" i="3" s="1"/>
  <c r="L51" i="3" a="1"/>
  <c r="M51" i="3" a="1"/>
  <c r="O51" i="3" s="1"/>
  <c r="P51" i="3" a="1"/>
  <c r="Q51" i="3" s="1"/>
  <c r="V51" i="3" s="1"/>
  <c r="AZ51" i="3" a="1"/>
  <c r="BA51" i="3" a="1"/>
  <c r="BC51" i="3" a="1"/>
  <c r="BD51" i="3" a="1"/>
  <c r="BX51" i="3" a="1"/>
  <c r="D75" i="3"/>
  <c r="AW26" i="3"/>
  <c r="CH26" i="3"/>
  <c r="CQ26" i="3"/>
  <c r="CI26" i="3"/>
  <c r="CP26" i="3"/>
  <c r="R26" i="3"/>
  <c r="AB26" i="3" s="1"/>
  <c r="F50" i="3" a="1"/>
  <c r="H50" i="3" a="1"/>
  <c r="I50" i="3" a="1"/>
  <c r="J50" i="3" s="1"/>
  <c r="T50" i="3" s="1"/>
  <c r="L50" i="3" a="1"/>
  <c r="M50" i="3" a="1"/>
  <c r="O50" i="3" s="1"/>
  <c r="P50" i="3" a="1"/>
  <c r="Q50" i="3" s="1"/>
  <c r="V50" i="3" s="1"/>
  <c r="AZ50" i="3" a="1"/>
  <c r="BA50" i="3" a="1"/>
  <c r="BC50" i="3" a="1"/>
  <c r="BD50" i="3" a="1"/>
  <c r="BX50" i="3" a="1"/>
  <c r="D74" i="3"/>
  <c r="R25" i="3"/>
  <c r="AB25" i="3" s="1"/>
  <c r="CI25" i="3"/>
  <c r="CP25" i="3"/>
  <c r="F49" i="3" a="1"/>
  <c r="H49" i="3" a="1"/>
  <c r="I49" i="3" a="1"/>
  <c r="J49" i="3" s="1"/>
  <c r="T49" i="3" s="1"/>
  <c r="L49" i="3" a="1"/>
  <c r="M49" i="3" a="1"/>
  <c r="O49" i="3" s="1"/>
  <c r="P49" i="3" a="1"/>
  <c r="Q49" i="3" s="1"/>
  <c r="V49" i="3" s="1"/>
  <c r="AZ49" i="3" a="1"/>
  <c r="BA49" i="3" a="1"/>
  <c r="BC49" i="3" a="1"/>
  <c r="BD49" i="3" a="1"/>
  <c r="BX49" i="3" a="1"/>
  <c r="D73" i="3"/>
  <c r="CH25" i="3"/>
  <c r="CQ25" i="3"/>
  <c r="F48" i="3" a="1"/>
  <c r="H48" i="3" a="1"/>
  <c r="I48" i="3" a="1"/>
  <c r="J48" i="3" s="1"/>
  <c r="T48" i="3" s="1"/>
  <c r="L48" i="3" a="1"/>
  <c r="M48" i="3" a="1"/>
  <c r="O48" i="3" s="1"/>
  <c r="P48" i="3" a="1"/>
  <c r="Q48" i="3" s="1"/>
  <c r="V48" i="3" s="1"/>
  <c r="AZ48" i="3" a="1"/>
  <c r="BA48" i="3" a="1"/>
  <c r="BC48" i="3" a="1"/>
  <c r="BD48" i="3" a="1"/>
  <c r="BX48" i="3" a="1"/>
  <c r="D72" i="3"/>
  <c r="CI24" i="3"/>
  <c r="CP24" i="3"/>
  <c r="R24" i="3"/>
  <c r="AB24" i="3" s="1"/>
  <c r="CH24" i="3"/>
  <c r="CQ24" i="3"/>
  <c r="CH23" i="3"/>
  <c r="CQ23" i="3"/>
  <c r="CI23" i="3"/>
  <c r="CP23" i="3"/>
  <c r="CI22" i="3"/>
  <c r="CP22" i="3"/>
  <c r="CH22" i="3"/>
  <c r="CQ22" i="3"/>
  <c r="AX504" i="3"/>
  <c r="Q21" i="3"/>
  <c r="CI21" i="3"/>
  <c r="CP21" i="3"/>
  <c r="J21" i="3"/>
  <c r="CH21" i="3"/>
  <c r="CQ21" i="3"/>
  <c r="X504" i="3"/>
  <c r="S504" i="3"/>
  <c r="O21" i="3"/>
  <c r="N504" i="3"/>
  <c r="C15" i="24"/>
  <c r="S15" i="24"/>
  <c r="D57" i="13"/>
  <c r="D85" i="13"/>
  <c r="D51" i="13"/>
  <c r="D79" i="13"/>
  <c r="D48" i="13"/>
  <c r="D76" i="13"/>
  <c r="D52" i="13"/>
  <c r="D80" i="13"/>
  <c r="D54" i="13"/>
  <c r="D82" i="13"/>
  <c r="D46" i="13"/>
  <c r="D74" i="13"/>
  <c r="D58" i="13"/>
  <c r="D86" i="13"/>
  <c r="D55" i="13"/>
  <c r="D83" i="13"/>
  <c r="D60" i="13"/>
  <c r="D88" i="13"/>
  <c r="D61" i="13"/>
  <c r="D89" i="13"/>
  <c r="D62" i="13"/>
  <c r="D90" i="13"/>
  <c r="D45" i="13"/>
  <c r="D73" i="13"/>
  <c r="D49" i="13"/>
  <c r="D77" i="13"/>
  <c r="D53" i="13"/>
  <c r="D81" i="13"/>
  <c r="D59" i="13"/>
  <c r="D87" i="13"/>
  <c r="D56" i="13"/>
  <c r="D84" i="13"/>
  <c r="D37" i="13"/>
  <c r="D43" i="13"/>
  <c r="D63" i="13" s="1"/>
  <c r="D71" i="13"/>
  <c r="AB267" i="4"/>
  <c r="AA267" i="4" s="1"/>
  <c r="J291" i="4"/>
  <c r="AB182" i="4"/>
  <c r="AA182" i="4" s="1"/>
  <c r="H183" i="4"/>
  <c r="B88" i="4"/>
  <c r="B89" i="4" s="1"/>
  <c r="B90" i="4"/>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8" i="19"/>
  <c r="H13" i="4"/>
  <c r="B19" i="13"/>
  <c r="B45" i="13"/>
  <c r="B73" i="13"/>
  <c r="E55" i="21"/>
  <c r="E86" i="21"/>
  <c r="N107" i="10"/>
  <c r="M107" i="10" s="1"/>
  <c r="F109" i="10"/>
  <c r="BL31" i="13"/>
  <c r="N129" i="10"/>
  <c r="M129" i="10" s="1"/>
  <c r="AP21" i="3"/>
  <c r="AP22" i="3"/>
  <c r="AQ22" i="3" s="1"/>
  <c r="AP23" i="3"/>
  <c r="AQ23" i="3" s="1"/>
  <c r="AP54" i="3"/>
  <c r="AP55" i="3"/>
  <c r="AP56" i="3"/>
  <c r="AP57" i="3"/>
  <c r="AP58" i="3"/>
  <c r="AP59" i="3"/>
  <c r="AP60" i="3"/>
  <c r="AP61" i="3"/>
  <c r="AP62" i="3"/>
  <c r="AP63" i="3"/>
  <c r="AP64" i="3"/>
  <c r="AP65" i="3"/>
  <c r="AP66" i="3"/>
  <c r="AP67" i="3"/>
  <c r="AP68" i="3"/>
  <c r="AP69" i="3"/>
  <c r="AP31" i="3"/>
  <c r="AQ31" i="3" s="1"/>
  <c r="AP36" i="3"/>
  <c r="AQ36" i="3" s="1"/>
  <c r="AP37" i="3"/>
  <c r="AQ37" i="3" s="1"/>
  <c r="AP38" i="3"/>
  <c r="AQ38" i="3" s="1"/>
  <c r="AP40" i="3"/>
  <c r="AQ40" i="3" s="1"/>
  <c r="AP41" i="3"/>
  <c r="AQ41" i="3" s="1"/>
  <c r="AP42" i="3"/>
  <c r="AQ42" i="3" s="1"/>
  <c r="AP44" i="3"/>
  <c r="AQ44" i="3" s="1"/>
  <c r="AP45" i="3"/>
  <c r="AP46" i="3"/>
  <c r="AP47" i="3"/>
  <c r="AP48" i="3"/>
  <c r="AP49" i="3"/>
  <c r="AP50" i="3"/>
  <c r="AP51" i="3"/>
  <c r="AP52" i="3"/>
  <c r="AP53"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P107" i="3"/>
  <c r="AP108" i="3"/>
  <c r="AP109" i="3"/>
  <c r="AP110" i="3"/>
  <c r="AP111" i="3"/>
  <c r="AP112" i="3"/>
  <c r="AP113" i="3"/>
  <c r="AP114" i="3"/>
  <c r="AP24" i="3"/>
  <c r="AQ24" i="3" s="1"/>
  <c r="AP25" i="3"/>
  <c r="AQ25" i="3" s="1"/>
  <c r="AP26" i="3"/>
  <c r="AQ26" i="3" s="1"/>
  <c r="AP27" i="3"/>
  <c r="AQ27" i="3" s="1"/>
  <c r="AP28" i="3"/>
  <c r="AQ28" i="3" s="1"/>
  <c r="AP29" i="3"/>
  <c r="AQ29" i="3" s="1"/>
  <c r="AP30" i="3"/>
  <c r="AQ30" i="3" s="1"/>
  <c r="AP32" i="3"/>
  <c r="AQ32" i="3" s="1"/>
  <c r="AP33" i="3"/>
  <c r="AQ33" i="3" s="1"/>
  <c r="AP34" i="3"/>
  <c r="AQ34" i="3" s="1"/>
  <c r="AP35" i="3"/>
  <c r="AQ35" i="3" s="1"/>
  <c r="AP39" i="3"/>
  <c r="AQ39" i="3" s="1"/>
  <c r="AP43" i="3"/>
  <c r="AQ43" i="3" s="1"/>
  <c r="AP115" i="3"/>
  <c r="AP116" i="3"/>
  <c r="AP117" i="3"/>
  <c r="AP118" i="3"/>
  <c r="AP119" i="3"/>
  <c r="AP120" i="3"/>
  <c r="AP121" i="3"/>
  <c r="AP122" i="3"/>
  <c r="AP123" i="3"/>
  <c r="AP124" i="3"/>
  <c r="AP125" i="3"/>
  <c r="AP126" i="3"/>
  <c r="AP127" i="3"/>
  <c r="AP128" i="3"/>
  <c r="AP129" i="3"/>
  <c r="AP130" i="3"/>
  <c r="AP131" i="3"/>
  <c r="AP132" i="3"/>
  <c r="AP133" i="3"/>
  <c r="AP134" i="3"/>
  <c r="AP135" i="3"/>
  <c r="AP136" i="3"/>
  <c r="AP137" i="3"/>
  <c r="AP138" i="3"/>
  <c r="AP139" i="3"/>
  <c r="AP140" i="3"/>
  <c r="AP141" i="3"/>
  <c r="AP142" i="3"/>
  <c r="AP143" i="3"/>
  <c r="AP144" i="3"/>
  <c r="AP145" i="3"/>
  <c r="AP146" i="3"/>
  <c r="AP147" i="3"/>
  <c r="AP148" i="3"/>
  <c r="AP149" i="3"/>
  <c r="AP150" i="3"/>
  <c r="AP151" i="3"/>
  <c r="AP152" i="3"/>
  <c r="AP153" i="3"/>
  <c r="AP154" i="3"/>
  <c r="AP155" i="3"/>
  <c r="AP156" i="3"/>
  <c r="AP157" i="3"/>
  <c r="AP158" i="3"/>
  <c r="AP159" i="3"/>
  <c r="AP160" i="3"/>
  <c r="AP199" i="3"/>
  <c r="AP200" i="3"/>
  <c r="AP201" i="3"/>
  <c r="AP202" i="3"/>
  <c r="AP203" i="3"/>
  <c r="AP204" i="3"/>
  <c r="AP205" i="3"/>
  <c r="AP206" i="3"/>
  <c r="AP161" i="3"/>
  <c r="AP162" i="3"/>
  <c r="AP168" i="3"/>
  <c r="AP178" i="3"/>
  <c r="AP179" i="3"/>
  <c r="AP180" i="3"/>
  <c r="AP181" i="3"/>
  <c r="AP188" i="3"/>
  <c r="AP197" i="3"/>
  <c r="AP198" i="3"/>
  <c r="AP210" i="3"/>
  <c r="AP212" i="3"/>
  <c r="AP213" i="3"/>
  <c r="AP214" i="3"/>
  <c r="AP215" i="3"/>
  <c r="AP216" i="3"/>
  <c r="AP217" i="3"/>
  <c r="AP218" i="3"/>
  <c r="AP219" i="3"/>
  <c r="AP220" i="3"/>
  <c r="AP221" i="3"/>
  <c r="AP222" i="3"/>
  <c r="AP223" i="3"/>
  <c r="AP224" i="3"/>
  <c r="AP225" i="3"/>
  <c r="AP226" i="3"/>
  <c r="AP227" i="3"/>
  <c r="AP228" i="3"/>
  <c r="AP229" i="3"/>
  <c r="AP230" i="3"/>
  <c r="AP231" i="3"/>
  <c r="AP232" i="3"/>
  <c r="AP233" i="3"/>
  <c r="AP234" i="3"/>
  <c r="AP235" i="3"/>
  <c r="AP236" i="3"/>
  <c r="AP237" i="3"/>
  <c r="AP238" i="3"/>
  <c r="AP239" i="3"/>
  <c r="AP240" i="3"/>
  <c r="AP241" i="3"/>
  <c r="AP242" i="3"/>
  <c r="AP243" i="3"/>
  <c r="AP244" i="3"/>
  <c r="AP245" i="3"/>
  <c r="AP246" i="3"/>
  <c r="AP247" i="3"/>
  <c r="AP248" i="3"/>
  <c r="AP249" i="3"/>
  <c r="AP250" i="3"/>
  <c r="AP251" i="3"/>
  <c r="AP163" i="3"/>
  <c r="AP172" i="3"/>
  <c r="AP177" i="3"/>
  <c r="AP183" i="3"/>
  <c r="AP186" i="3"/>
  <c r="AP187" i="3"/>
  <c r="AP189" i="3"/>
  <c r="AP194" i="3"/>
  <c r="AP195" i="3"/>
  <c r="AP196" i="3"/>
  <c r="AP253" i="3"/>
  <c r="AP255" i="3"/>
  <c r="AP256" i="3"/>
  <c r="AP257" i="3"/>
  <c r="AP258" i="3"/>
  <c r="AP259" i="3"/>
  <c r="AP260" i="3"/>
  <c r="AP261" i="3"/>
  <c r="AP262" i="3"/>
  <c r="AP263" i="3"/>
  <c r="AP264" i="3"/>
  <c r="AP265" i="3"/>
  <c r="AP266" i="3"/>
  <c r="AP267" i="3"/>
  <c r="AP268" i="3"/>
  <c r="AP269" i="3"/>
  <c r="AP270" i="3"/>
  <c r="AP271" i="3"/>
  <c r="AP272" i="3"/>
  <c r="AP273" i="3"/>
  <c r="AP274" i="3"/>
  <c r="AP275" i="3"/>
  <c r="AP276" i="3"/>
  <c r="AP277" i="3"/>
  <c r="AP278" i="3"/>
  <c r="AP279" i="3"/>
  <c r="AP280" i="3"/>
  <c r="AP281" i="3"/>
  <c r="AP282" i="3"/>
  <c r="AP283" i="3"/>
  <c r="AP284" i="3"/>
  <c r="AP285" i="3"/>
  <c r="AP286" i="3"/>
  <c r="AP287" i="3"/>
  <c r="AP288" i="3"/>
  <c r="AP289" i="3"/>
  <c r="AP290" i="3"/>
  <c r="AP291" i="3"/>
  <c r="AP292" i="3"/>
  <c r="AP293" i="3"/>
  <c r="AP294" i="3"/>
  <c r="AP295" i="3"/>
  <c r="AP296" i="3"/>
  <c r="AP297" i="3"/>
  <c r="AP176" i="3"/>
  <c r="AP182" i="3"/>
  <c r="AP184" i="3"/>
  <c r="AP193" i="3"/>
  <c r="AP207" i="3"/>
  <c r="AP211" i="3"/>
  <c r="AP252" i="3"/>
  <c r="AP254" i="3"/>
  <c r="AP301" i="3"/>
  <c r="AP302" i="3"/>
  <c r="AP303" i="3"/>
  <c r="AP304" i="3"/>
  <c r="AP305" i="3"/>
  <c r="AP306" i="3"/>
  <c r="AP307" i="3"/>
  <c r="AP308" i="3"/>
  <c r="AP309" i="3"/>
  <c r="AP310" i="3"/>
  <c r="AP311" i="3"/>
  <c r="AP312" i="3"/>
  <c r="AP313" i="3"/>
  <c r="AP314" i="3"/>
  <c r="AP315" i="3"/>
  <c r="AP316" i="3"/>
  <c r="AP317" i="3"/>
  <c r="AP318" i="3"/>
  <c r="AP319" i="3"/>
  <c r="AP320" i="3"/>
  <c r="AP321" i="3"/>
  <c r="AP322" i="3"/>
  <c r="AP323" i="3"/>
  <c r="AP324" i="3"/>
  <c r="AP325" i="3"/>
  <c r="AP326" i="3"/>
  <c r="AP327" i="3"/>
  <c r="AP328" i="3"/>
  <c r="AP329" i="3"/>
  <c r="AP330" i="3"/>
  <c r="AP331" i="3"/>
  <c r="AP332" i="3"/>
  <c r="AP333" i="3"/>
  <c r="AP334" i="3"/>
  <c r="AP335" i="3"/>
  <c r="AP336" i="3"/>
  <c r="AP337" i="3"/>
  <c r="AP338" i="3"/>
  <c r="AP339" i="3"/>
  <c r="AP340" i="3"/>
  <c r="AP341" i="3"/>
  <c r="AP342" i="3"/>
  <c r="AP343" i="3"/>
  <c r="AP165" i="3"/>
  <c r="AP166" i="3"/>
  <c r="AP167" i="3"/>
  <c r="AP169" i="3"/>
  <c r="AP171" i="3"/>
  <c r="AP173" i="3"/>
  <c r="AP175" i="3"/>
  <c r="AP185" i="3"/>
  <c r="AP190" i="3"/>
  <c r="AP208" i="3"/>
  <c r="AP209" i="3"/>
  <c r="AP298" i="3"/>
  <c r="AP299" i="3"/>
  <c r="AP300" i="3"/>
  <c r="AP344" i="3"/>
  <c r="AP345" i="3"/>
  <c r="AP346" i="3"/>
  <c r="AP347" i="3"/>
  <c r="AP348" i="3"/>
  <c r="AP349" i="3"/>
  <c r="AP350" i="3"/>
  <c r="AP351" i="3"/>
  <c r="AP352" i="3"/>
  <c r="AP353" i="3"/>
  <c r="AP354" i="3"/>
  <c r="AP355" i="3"/>
  <c r="AP356" i="3"/>
  <c r="AP357" i="3"/>
  <c r="AP358" i="3"/>
  <c r="AP359" i="3"/>
  <c r="AP360" i="3"/>
  <c r="AP361" i="3"/>
  <c r="AP362" i="3"/>
  <c r="AP363" i="3"/>
  <c r="AP364" i="3"/>
  <c r="AP365" i="3"/>
  <c r="AP366" i="3"/>
  <c r="AP367" i="3"/>
  <c r="AP368" i="3"/>
  <c r="AP369" i="3"/>
  <c r="AP370" i="3"/>
  <c r="AP371" i="3"/>
  <c r="AP372" i="3"/>
  <c r="AP373" i="3"/>
  <c r="AP374" i="3"/>
  <c r="AP375" i="3"/>
  <c r="AP376" i="3"/>
  <c r="AP377" i="3"/>
  <c r="AP378" i="3"/>
  <c r="AP379" i="3"/>
  <c r="AP380" i="3"/>
  <c r="AP381" i="3"/>
  <c r="AP382" i="3"/>
  <c r="AP383" i="3"/>
  <c r="AP384" i="3"/>
  <c r="AP385" i="3"/>
  <c r="AP386" i="3"/>
  <c r="AP387" i="3"/>
  <c r="AP388" i="3"/>
  <c r="AP174" i="3"/>
  <c r="AP191" i="3"/>
  <c r="AP192" i="3"/>
  <c r="AP389" i="3"/>
  <c r="AP390" i="3"/>
  <c r="AP391" i="3"/>
  <c r="AP392" i="3"/>
  <c r="AP393" i="3"/>
  <c r="AP394" i="3"/>
  <c r="AP395" i="3"/>
  <c r="AP396" i="3"/>
  <c r="AP397" i="3"/>
  <c r="AP398" i="3"/>
  <c r="AP399" i="3"/>
  <c r="AP400" i="3"/>
  <c r="AP401" i="3"/>
  <c r="AP402" i="3"/>
  <c r="AP403" i="3"/>
  <c r="AP404" i="3"/>
  <c r="AP405" i="3"/>
  <c r="AP406" i="3"/>
  <c r="AP407" i="3"/>
  <c r="AP408" i="3"/>
  <c r="AP409" i="3"/>
  <c r="AP410" i="3"/>
  <c r="AP411" i="3"/>
  <c r="AP412" i="3"/>
  <c r="AP413" i="3"/>
  <c r="AP414" i="3"/>
  <c r="AP415" i="3"/>
  <c r="AP416" i="3"/>
  <c r="AP417" i="3"/>
  <c r="AP418" i="3"/>
  <c r="AP419" i="3"/>
  <c r="AP420" i="3"/>
  <c r="AP421" i="3"/>
  <c r="AP422" i="3"/>
  <c r="AP423" i="3"/>
  <c r="AP424" i="3"/>
  <c r="AP425" i="3"/>
  <c r="AP426" i="3"/>
  <c r="AP427" i="3"/>
  <c r="AP428" i="3"/>
  <c r="AP429" i="3"/>
  <c r="AP430" i="3"/>
  <c r="AP431" i="3"/>
  <c r="AP432" i="3"/>
  <c r="AP433" i="3"/>
  <c r="AP434" i="3"/>
  <c r="AP164" i="3"/>
  <c r="AP170" i="3"/>
  <c r="AP437" i="3"/>
  <c r="AP439" i="3"/>
  <c r="AP440" i="3"/>
  <c r="AP441" i="3"/>
  <c r="AP442" i="3"/>
  <c r="AP443" i="3"/>
  <c r="AP444" i="3"/>
  <c r="AP445" i="3"/>
  <c r="AP446" i="3"/>
  <c r="AP447" i="3"/>
  <c r="AP448" i="3"/>
  <c r="AP449" i="3"/>
  <c r="AP450" i="3"/>
  <c r="AP451" i="3"/>
  <c r="AP452" i="3"/>
  <c r="AP453" i="3"/>
  <c r="AP454" i="3"/>
  <c r="AP455" i="3"/>
  <c r="AP456" i="3"/>
  <c r="AP457" i="3"/>
  <c r="AP458" i="3"/>
  <c r="AP459" i="3"/>
  <c r="AP460" i="3"/>
  <c r="AP461" i="3"/>
  <c r="AP462" i="3"/>
  <c r="AP463" i="3"/>
  <c r="AP464" i="3"/>
  <c r="AP465" i="3"/>
  <c r="AP466" i="3"/>
  <c r="AP467" i="3"/>
  <c r="AP468" i="3"/>
  <c r="AP469" i="3"/>
  <c r="AP470" i="3"/>
  <c r="AP471" i="3"/>
  <c r="AP472" i="3"/>
  <c r="AP473" i="3"/>
  <c r="AP474" i="3"/>
  <c r="AP475" i="3"/>
  <c r="AP476" i="3"/>
  <c r="AP477" i="3"/>
  <c r="AP478" i="3"/>
  <c r="AP479" i="3"/>
  <c r="AP480" i="3"/>
  <c r="AP435" i="3"/>
  <c r="AP436" i="3"/>
  <c r="AP438" i="3"/>
  <c r="AP481" i="3"/>
  <c r="AP482" i="3"/>
  <c r="AP483" i="3"/>
  <c r="AP484" i="3"/>
  <c r="AP485" i="3"/>
  <c r="AP486" i="3"/>
  <c r="AP487" i="3"/>
  <c r="AP488" i="3"/>
  <c r="AP489" i="3"/>
  <c r="AP490" i="3"/>
  <c r="AP491" i="3"/>
  <c r="AP492" i="3"/>
  <c r="AP493" i="3"/>
  <c r="AP494" i="3"/>
  <c r="AP495" i="3"/>
  <c r="AP496" i="3"/>
  <c r="AP497" i="3"/>
  <c r="AP498" i="3"/>
  <c r="AP499" i="3"/>
  <c r="AP500" i="3"/>
  <c r="AU28" i="13"/>
  <c r="C8" i="15"/>
  <c r="E8" i="15" s="1"/>
  <c r="V19" i="24"/>
  <c r="N101" i="10"/>
  <c r="M101" i="10" s="1"/>
  <c r="AU35" i="13"/>
  <c r="E16" i="15"/>
  <c r="BE21" i="3"/>
  <c r="BE22" i="3"/>
  <c r="BE23" i="3"/>
  <c r="BE54" i="3"/>
  <c r="BE55" i="3"/>
  <c r="BE56" i="3"/>
  <c r="BE57" i="3"/>
  <c r="BE58" i="3"/>
  <c r="BE59" i="3"/>
  <c r="BE60" i="3"/>
  <c r="BE61" i="3"/>
  <c r="BE62" i="3"/>
  <c r="BE63" i="3"/>
  <c r="BE64" i="3"/>
  <c r="BE65" i="3"/>
  <c r="BE66" i="3"/>
  <c r="BE67" i="3"/>
  <c r="BE68" i="3"/>
  <c r="BE69" i="3"/>
  <c r="BE26" i="3"/>
  <c r="BE30" i="3"/>
  <c r="BE31" i="3"/>
  <c r="BE33" i="3"/>
  <c r="BE34" i="3"/>
  <c r="BE36" i="3"/>
  <c r="BE41" i="3"/>
  <c r="BE44" i="3"/>
  <c r="BE45" i="3"/>
  <c r="BE46" i="3"/>
  <c r="BE47" i="3"/>
  <c r="BE48" i="3"/>
  <c r="BE49" i="3"/>
  <c r="BE50" i="3"/>
  <c r="BE51" i="3"/>
  <c r="BE52" i="3"/>
  <c r="BE53" i="3"/>
  <c r="BE70" i="3"/>
  <c r="BE71" i="3"/>
  <c r="BE72" i="3"/>
  <c r="BE73" i="3"/>
  <c r="BE74" i="3"/>
  <c r="BE75" i="3"/>
  <c r="BE76" i="3"/>
  <c r="BE77" i="3"/>
  <c r="BE78" i="3"/>
  <c r="BE79" i="3"/>
  <c r="BE80" i="3"/>
  <c r="BE81" i="3"/>
  <c r="BE82" i="3"/>
  <c r="BE83" i="3"/>
  <c r="BE84" i="3"/>
  <c r="BE85" i="3"/>
  <c r="BE86" i="3"/>
  <c r="BE87" i="3"/>
  <c r="BE88" i="3"/>
  <c r="BE89" i="3"/>
  <c r="BE90" i="3"/>
  <c r="BE91" i="3"/>
  <c r="BE92" i="3"/>
  <c r="BE93" i="3"/>
  <c r="BE94" i="3"/>
  <c r="BE95" i="3"/>
  <c r="BE96" i="3"/>
  <c r="BE97" i="3"/>
  <c r="BE98" i="3"/>
  <c r="BE99" i="3"/>
  <c r="BE100" i="3"/>
  <c r="BE101" i="3"/>
  <c r="BE102" i="3"/>
  <c r="BE103" i="3"/>
  <c r="BE104" i="3"/>
  <c r="BE105" i="3"/>
  <c r="BE106" i="3"/>
  <c r="BE107" i="3"/>
  <c r="BE108" i="3"/>
  <c r="BE109" i="3"/>
  <c r="BE110" i="3"/>
  <c r="BE111" i="3"/>
  <c r="BE112" i="3"/>
  <c r="BE113" i="3"/>
  <c r="BE114" i="3"/>
  <c r="BE24" i="3"/>
  <c r="BE25" i="3"/>
  <c r="BE27" i="3"/>
  <c r="BE28" i="3"/>
  <c r="BE29" i="3"/>
  <c r="BE32" i="3"/>
  <c r="BE35" i="3"/>
  <c r="BE37" i="3"/>
  <c r="BE38" i="3"/>
  <c r="BE39" i="3"/>
  <c r="BE40" i="3"/>
  <c r="BE42" i="3"/>
  <c r="BE43" i="3"/>
  <c r="BE115" i="3"/>
  <c r="BE116" i="3"/>
  <c r="BE117" i="3"/>
  <c r="BE118" i="3"/>
  <c r="BE119" i="3"/>
  <c r="BE120" i="3"/>
  <c r="BE121" i="3"/>
  <c r="BE122" i="3"/>
  <c r="BE123" i="3"/>
  <c r="BE124" i="3"/>
  <c r="BE125" i="3"/>
  <c r="BE126" i="3"/>
  <c r="BE127" i="3"/>
  <c r="BE128" i="3"/>
  <c r="BE129" i="3"/>
  <c r="BE130" i="3"/>
  <c r="BE131" i="3"/>
  <c r="BE132" i="3"/>
  <c r="BE133" i="3"/>
  <c r="BE134" i="3"/>
  <c r="BE135" i="3"/>
  <c r="BE136" i="3"/>
  <c r="BE137" i="3"/>
  <c r="BE138" i="3"/>
  <c r="BE139" i="3"/>
  <c r="BE140" i="3"/>
  <c r="BE141" i="3"/>
  <c r="BE142" i="3"/>
  <c r="BE143" i="3"/>
  <c r="BE144" i="3"/>
  <c r="BE145" i="3"/>
  <c r="BE146" i="3"/>
  <c r="BE147" i="3"/>
  <c r="BE148" i="3"/>
  <c r="BE149" i="3"/>
  <c r="BE150" i="3"/>
  <c r="BE151" i="3"/>
  <c r="BE152" i="3"/>
  <c r="BE153" i="3"/>
  <c r="BE154" i="3"/>
  <c r="BE155" i="3"/>
  <c r="BE156" i="3"/>
  <c r="BE157" i="3"/>
  <c r="BE158" i="3"/>
  <c r="BE159" i="3"/>
  <c r="BE160" i="3"/>
  <c r="BE199" i="3"/>
  <c r="BE200" i="3"/>
  <c r="BE201" i="3"/>
  <c r="BE202" i="3"/>
  <c r="BE203" i="3"/>
  <c r="BE204" i="3"/>
  <c r="BE205" i="3"/>
  <c r="BE206" i="3"/>
  <c r="BE161" i="3"/>
  <c r="BE166" i="3"/>
  <c r="BE168" i="3"/>
  <c r="BE175" i="3"/>
  <c r="BE191" i="3"/>
  <c r="BE194" i="3"/>
  <c r="BE195" i="3"/>
  <c r="BE212" i="3"/>
  <c r="BE213" i="3"/>
  <c r="BE214" i="3"/>
  <c r="BE215" i="3"/>
  <c r="BE216" i="3"/>
  <c r="BE217" i="3"/>
  <c r="BE218" i="3"/>
  <c r="BE219" i="3"/>
  <c r="BE220" i="3"/>
  <c r="BE221" i="3"/>
  <c r="BE222" i="3"/>
  <c r="BE223" i="3"/>
  <c r="BE224" i="3"/>
  <c r="BE225" i="3"/>
  <c r="BE226" i="3"/>
  <c r="BE227" i="3"/>
  <c r="BE228" i="3"/>
  <c r="BE229" i="3"/>
  <c r="BE230" i="3"/>
  <c r="BE231" i="3"/>
  <c r="BE232" i="3"/>
  <c r="BE233" i="3"/>
  <c r="BE234" i="3"/>
  <c r="BE235" i="3"/>
  <c r="BE236" i="3"/>
  <c r="BE237" i="3"/>
  <c r="BE238" i="3"/>
  <c r="BE239" i="3"/>
  <c r="BE240" i="3"/>
  <c r="BE241" i="3"/>
  <c r="BE242" i="3"/>
  <c r="BE243" i="3"/>
  <c r="BE244" i="3"/>
  <c r="BE245" i="3"/>
  <c r="BE246" i="3"/>
  <c r="BE247" i="3"/>
  <c r="BE248" i="3"/>
  <c r="BE249" i="3"/>
  <c r="BE250" i="3"/>
  <c r="BE251" i="3"/>
  <c r="BE171" i="3"/>
  <c r="BE174" i="3"/>
  <c r="BE176" i="3"/>
  <c r="BE177" i="3"/>
  <c r="BE181" i="3"/>
  <c r="BE190" i="3"/>
  <c r="BE192" i="3"/>
  <c r="BE208" i="3"/>
  <c r="BE210" i="3"/>
  <c r="BE252" i="3"/>
  <c r="BE253" i="3"/>
  <c r="BE255" i="3"/>
  <c r="BE256" i="3"/>
  <c r="BE257" i="3"/>
  <c r="BE258" i="3"/>
  <c r="BE259" i="3"/>
  <c r="BE260" i="3"/>
  <c r="BE261" i="3"/>
  <c r="BE262" i="3"/>
  <c r="BE263" i="3"/>
  <c r="BE264" i="3"/>
  <c r="BE265" i="3"/>
  <c r="BE266" i="3"/>
  <c r="BE267" i="3"/>
  <c r="BE268" i="3"/>
  <c r="BE269" i="3"/>
  <c r="BE270" i="3"/>
  <c r="BE271" i="3"/>
  <c r="BE272" i="3"/>
  <c r="BE273" i="3"/>
  <c r="BE274" i="3"/>
  <c r="BE275" i="3"/>
  <c r="BE276" i="3"/>
  <c r="BE277" i="3"/>
  <c r="BE278" i="3"/>
  <c r="BE279" i="3"/>
  <c r="BE280" i="3"/>
  <c r="BE281" i="3"/>
  <c r="BE282" i="3"/>
  <c r="BE283" i="3"/>
  <c r="BE284" i="3"/>
  <c r="BE285" i="3"/>
  <c r="BE286" i="3"/>
  <c r="BE287" i="3"/>
  <c r="BE288" i="3"/>
  <c r="BE289" i="3"/>
  <c r="BE290" i="3"/>
  <c r="BE291" i="3"/>
  <c r="BE292" i="3"/>
  <c r="BE293" i="3"/>
  <c r="BE294" i="3"/>
  <c r="BE295" i="3"/>
  <c r="BE296" i="3"/>
  <c r="BE297" i="3"/>
  <c r="BE173" i="3"/>
  <c r="BE183" i="3"/>
  <c r="BE185" i="3"/>
  <c r="BE188" i="3"/>
  <c r="BE189" i="3"/>
  <c r="BE211" i="3"/>
  <c r="BE301" i="3"/>
  <c r="BE302" i="3"/>
  <c r="BE303" i="3"/>
  <c r="BE304" i="3"/>
  <c r="BE305" i="3"/>
  <c r="BE306" i="3"/>
  <c r="BE307" i="3"/>
  <c r="BE308" i="3"/>
  <c r="BE309" i="3"/>
  <c r="BE310" i="3"/>
  <c r="BE311" i="3"/>
  <c r="BE312" i="3"/>
  <c r="BE313" i="3"/>
  <c r="BE314" i="3"/>
  <c r="BE315" i="3"/>
  <c r="BE316" i="3"/>
  <c r="BE317" i="3"/>
  <c r="BE318" i="3"/>
  <c r="BE319" i="3"/>
  <c r="BE320" i="3"/>
  <c r="BE321" i="3"/>
  <c r="BE322" i="3"/>
  <c r="BE323" i="3"/>
  <c r="BE324" i="3"/>
  <c r="BE325" i="3"/>
  <c r="BE326" i="3"/>
  <c r="BE327" i="3"/>
  <c r="BE328" i="3"/>
  <c r="BE329" i="3"/>
  <c r="BE330" i="3"/>
  <c r="BE331" i="3"/>
  <c r="BE332" i="3"/>
  <c r="BE333" i="3"/>
  <c r="BE334" i="3"/>
  <c r="BE335" i="3"/>
  <c r="BE336" i="3"/>
  <c r="BE337" i="3"/>
  <c r="BE338" i="3"/>
  <c r="BE339" i="3"/>
  <c r="BE340" i="3"/>
  <c r="BE341" i="3"/>
  <c r="BE342" i="3"/>
  <c r="BE343" i="3"/>
  <c r="BE162" i="3"/>
  <c r="BE163" i="3"/>
  <c r="BE167" i="3"/>
  <c r="BE169" i="3"/>
  <c r="BE170" i="3"/>
  <c r="BE172" i="3"/>
  <c r="BE178" i="3"/>
  <c r="BE179" i="3"/>
  <c r="BE180" i="3"/>
  <c r="BE182" i="3"/>
  <c r="BE184" i="3"/>
  <c r="BE186" i="3"/>
  <c r="BE196" i="3"/>
  <c r="BE198" i="3"/>
  <c r="BE209" i="3"/>
  <c r="BE254" i="3"/>
  <c r="BE298" i="3"/>
  <c r="BE299" i="3"/>
  <c r="BE300" i="3"/>
  <c r="BE344" i="3"/>
  <c r="BE345" i="3"/>
  <c r="BE346" i="3"/>
  <c r="BE347" i="3"/>
  <c r="BE348" i="3"/>
  <c r="BE349" i="3"/>
  <c r="BE350" i="3"/>
  <c r="BE351" i="3"/>
  <c r="BE352" i="3"/>
  <c r="BE353" i="3"/>
  <c r="BE354" i="3"/>
  <c r="BE355" i="3"/>
  <c r="BE356" i="3"/>
  <c r="BE357" i="3"/>
  <c r="BE358" i="3"/>
  <c r="BE359" i="3"/>
  <c r="BE360" i="3"/>
  <c r="BE361" i="3"/>
  <c r="BE362" i="3"/>
  <c r="BE363" i="3"/>
  <c r="BE364" i="3"/>
  <c r="BE365" i="3"/>
  <c r="BE366" i="3"/>
  <c r="BE367" i="3"/>
  <c r="BE368" i="3"/>
  <c r="BE369" i="3"/>
  <c r="BE370" i="3"/>
  <c r="BE371" i="3"/>
  <c r="BE372" i="3"/>
  <c r="BE373" i="3"/>
  <c r="BE374" i="3"/>
  <c r="BE375" i="3"/>
  <c r="BE376" i="3"/>
  <c r="BE377" i="3"/>
  <c r="BE378" i="3"/>
  <c r="BE379" i="3"/>
  <c r="BE380" i="3"/>
  <c r="BE381" i="3"/>
  <c r="BE382" i="3"/>
  <c r="BE383" i="3"/>
  <c r="BE384" i="3"/>
  <c r="BE385" i="3"/>
  <c r="BE386" i="3"/>
  <c r="BE387" i="3"/>
  <c r="BE388" i="3"/>
  <c r="BE164" i="3"/>
  <c r="BE187" i="3"/>
  <c r="BE193" i="3"/>
  <c r="BE197" i="3"/>
  <c r="BE207" i="3"/>
  <c r="BE389" i="3"/>
  <c r="BE390" i="3"/>
  <c r="BE391" i="3"/>
  <c r="BE392" i="3"/>
  <c r="BE393" i="3"/>
  <c r="BE394" i="3"/>
  <c r="BE395" i="3"/>
  <c r="BE396" i="3"/>
  <c r="BE397" i="3"/>
  <c r="BE398" i="3"/>
  <c r="BE399" i="3"/>
  <c r="BE400" i="3"/>
  <c r="BE401" i="3"/>
  <c r="BE402" i="3"/>
  <c r="BE403" i="3"/>
  <c r="BE404" i="3"/>
  <c r="BE405" i="3"/>
  <c r="BE406" i="3"/>
  <c r="BE407" i="3"/>
  <c r="BE408" i="3"/>
  <c r="BE409" i="3"/>
  <c r="BE410" i="3"/>
  <c r="BE411" i="3"/>
  <c r="BE412" i="3"/>
  <c r="BE413" i="3"/>
  <c r="BE414" i="3"/>
  <c r="BE415" i="3"/>
  <c r="BE416" i="3"/>
  <c r="BE417" i="3"/>
  <c r="BE418" i="3"/>
  <c r="BE419" i="3"/>
  <c r="BE420" i="3"/>
  <c r="BE421" i="3"/>
  <c r="BE422" i="3"/>
  <c r="BE423" i="3"/>
  <c r="BE424" i="3"/>
  <c r="BE425" i="3"/>
  <c r="BE426" i="3"/>
  <c r="BE427" i="3"/>
  <c r="BE428" i="3"/>
  <c r="BE429" i="3"/>
  <c r="BE430" i="3"/>
  <c r="BE431" i="3"/>
  <c r="BE432" i="3"/>
  <c r="BE433" i="3"/>
  <c r="BE434" i="3"/>
  <c r="BE437" i="3"/>
  <c r="BE438" i="3"/>
  <c r="BE440" i="3"/>
  <c r="BE441" i="3"/>
  <c r="BE442" i="3"/>
  <c r="BE443" i="3"/>
  <c r="BE444" i="3"/>
  <c r="BE445" i="3"/>
  <c r="BE446" i="3"/>
  <c r="BE447" i="3"/>
  <c r="BE448" i="3"/>
  <c r="BE449" i="3"/>
  <c r="BE450" i="3"/>
  <c r="BE451" i="3"/>
  <c r="BE452" i="3"/>
  <c r="BE453" i="3"/>
  <c r="BE454" i="3"/>
  <c r="BE455" i="3"/>
  <c r="BE456" i="3"/>
  <c r="BE457" i="3"/>
  <c r="BE458" i="3"/>
  <c r="BE459" i="3"/>
  <c r="BE460" i="3"/>
  <c r="BE461" i="3"/>
  <c r="BE462" i="3"/>
  <c r="BE463" i="3"/>
  <c r="BE464" i="3"/>
  <c r="BE465" i="3"/>
  <c r="BE466" i="3"/>
  <c r="BE467" i="3"/>
  <c r="BE468" i="3"/>
  <c r="BE469" i="3"/>
  <c r="BE470" i="3"/>
  <c r="BE471" i="3"/>
  <c r="BE472" i="3"/>
  <c r="BE473" i="3"/>
  <c r="BE474" i="3"/>
  <c r="BE475" i="3"/>
  <c r="BE476" i="3"/>
  <c r="BE477" i="3"/>
  <c r="BE478" i="3"/>
  <c r="BE479" i="3"/>
  <c r="BE165" i="3"/>
  <c r="BE435" i="3"/>
  <c r="BE436" i="3"/>
  <c r="BE439" i="3"/>
  <c r="BE480" i="3"/>
  <c r="BE481" i="3"/>
  <c r="BE482" i="3"/>
  <c r="BE483" i="3"/>
  <c r="BE484" i="3"/>
  <c r="BE485" i="3"/>
  <c r="BE486" i="3"/>
  <c r="BE487" i="3"/>
  <c r="BE488" i="3"/>
  <c r="BE489" i="3"/>
  <c r="BE490" i="3"/>
  <c r="BE491" i="3"/>
  <c r="BE492" i="3"/>
  <c r="BE493" i="3"/>
  <c r="BE494" i="3"/>
  <c r="BE495" i="3"/>
  <c r="BE496" i="3"/>
  <c r="BE497" i="3"/>
  <c r="BE498" i="3"/>
  <c r="BE499" i="3"/>
  <c r="BE500" i="3"/>
  <c r="E19" i="15"/>
  <c r="X23" i="30"/>
  <c r="E7" i="15"/>
  <c r="O22" i="3"/>
  <c r="O23" i="3"/>
  <c r="K504" i="3"/>
  <c r="E49" i="15"/>
  <c r="E9" i="15"/>
  <c r="G68" i="3" a="1"/>
  <c r="BB68" i="3" a="1"/>
  <c r="CE68" i="3" a="1"/>
  <c r="B68" i="3" a="1"/>
  <c r="G67" i="3" a="1"/>
  <c r="B67" i="3" a="1"/>
  <c r="CE67" i="3" a="1"/>
  <c r="BB67" i="3" a="1"/>
  <c r="G66" i="3" a="1"/>
  <c r="BB66" i="3" a="1"/>
  <c r="CE66" i="3" a="1"/>
  <c r="B66" i="3" a="1"/>
  <c r="G65" i="3" a="1"/>
  <c r="CE65" i="3" a="1"/>
  <c r="BB65" i="3" a="1"/>
  <c r="B65" i="3" a="1"/>
  <c r="G64" i="3" a="1"/>
  <c r="CE64" i="3" a="1"/>
  <c r="BB64" i="3" a="1"/>
  <c r="B64" i="3" a="1"/>
  <c r="G63" i="3" a="1"/>
  <c r="BB63" i="3" a="1"/>
  <c r="CE63" i="3" a="1"/>
  <c r="B63" i="3" a="1"/>
  <c r="G62" i="3" a="1"/>
  <c r="CE62" i="3" a="1"/>
  <c r="BB62" i="3" a="1"/>
  <c r="B62" i="3" a="1"/>
  <c r="P47" i="3" a="1"/>
  <c r="Q47" i="3" s="1"/>
  <c r="V47" i="3" s="1"/>
  <c r="BA47" i="3" a="1"/>
  <c r="H47" i="3" a="1"/>
  <c r="I47" i="3" a="1"/>
  <c r="J47" i="3" s="1"/>
  <c r="T47" i="3" s="1"/>
  <c r="BC47" i="3" a="1"/>
  <c r="BD47" i="3" a="1"/>
  <c r="BX47" i="3" a="1"/>
  <c r="L47" i="3" a="1"/>
  <c r="M47" i="3" a="1"/>
  <c r="O47" i="3" s="1"/>
  <c r="AZ47" i="3" a="1"/>
  <c r="H46" i="3" a="1"/>
  <c r="BX46" i="3" a="1"/>
  <c r="BA46" i="3" a="1"/>
  <c r="P46" i="3" a="1"/>
  <c r="Q46" i="3" s="1"/>
  <c r="V46" i="3" s="1"/>
  <c r="AZ46" i="3" a="1"/>
  <c r="I46" i="3" a="1"/>
  <c r="J46" i="3" s="1"/>
  <c r="T46" i="3" s="1"/>
  <c r="BC46" i="3" a="1"/>
  <c r="L46" i="3" a="1"/>
  <c r="M46" i="3" a="1"/>
  <c r="O46" i="3" s="1"/>
  <c r="BD46" i="3" a="1"/>
  <c r="L45" i="3" a="1"/>
  <c r="AZ45" i="3" a="1"/>
  <c r="BX45" i="3" a="1"/>
  <c r="BD45" i="3" a="1"/>
  <c r="BC45" i="3" a="1"/>
  <c r="BA45" i="3" a="1"/>
  <c r="M45" i="3" a="1"/>
  <c r="P45" i="3" a="1"/>
  <c r="I45" i="3" a="1"/>
  <c r="H45" i="3" a="1"/>
  <c r="AW21" i="3"/>
  <c r="N34" i="10"/>
  <c r="M34" i="10" s="1"/>
  <c r="F76" i="10"/>
  <c r="CD164" i="3" l="1"/>
  <c r="C188" i="3"/>
  <c r="G140" i="3" a="1"/>
  <c r="BB140" i="3" a="1"/>
  <c r="CE140" i="3" a="1"/>
  <c r="B140" i="3" a="1"/>
  <c r="CC164" i="3"/>
  <c r="A188" i="3"/>
  <c r="E164" i="3"/>
  <c r="CD139" i="3"/>
  <c r="C163" i="3"/>
  <c r="B115" i="3" a="1"/>
  <c r="G115" i="3" a="1"/>
  <c r="BB115" i="3" a="1"/>
  <c r="CE115" i="3" a="1"/>
  <c r="E139" i="3"/>
  <c r="CC139" i="3"/>
  <c r="A163" i="3"/>
  <c r="CD138" i="3"/>
  <c r="C162" i="3"/>
  <c r="B114" i="3" a="1"/>
  <c r="BB114" i="3" a="1"/>
  <c r="CE114" i="3" a="1"/>
  <c r="G114" i="3" a="1"/>
  <c r="E138" i="3"/>
  <c r="CC138" i="3"/>
  <c r="A162" i="3"/>
  <c r="CD137" i="3"/>
  <c r="C161" i="3"/>
  <c r="B113" i="3" a="1"/>
  <c r="BB113" i="3" a="1"/>
  <c r="CE113" i="3" a="1"/>
  <c r="G113" i="3" a="1"/>
  <c r="E137" i="3"/>
  <c r="CC137" i="3"/>
  <c r="A161" i="3"/>
  <c r="CD136" i="3"/>
  <c r="C160" i="3"/>
  <c r="B112" i="3" a="1"/>
  <c r="BB112" i="3" a="1"/>
  <c r="CE112" i="3" a="1"/>
  <c r="G112" i="3" a="1"/>
  <c r="E136" i="3"/>
  <c r="CC136" i="3"/>
  <c r="A160" i="3"/>
  <c r="CD135" i="3"/>
  <c r="C159" i="3"/>
  <c r="B111" i="3" a="1"/>
  <c r="BB111" i="3" a="1"/>
  <c r="CE111" i="3" a="1"/>
  <c r="G111" i="3" a="1"/>
  <c r="E135" i="3"/>
  <c r="CC135" i="3"/>
  <c r="A159" i="3"/>
  <c r="CD134" i="3"/>
  <c r="C158" i="3"/>
  <c r="B110" i="3" a="1"/>
  <c r="BB110" i="3" a="1"/>
  <c r="CE110" i="3" a="1"/>
  <c r="G110" i="3" a="1"/>
  <c r="E134" i="3"/>
  <c r="CC134" i="3"/>
  <c r="A158" i="3"/>
  <c r="CD133" i="3"/>
  <c r="C157" i="3"/>
  <c r="B109" i="3" a="1"/>
  <c r="BB109" i="3" a="1"/>
  <c r="CE109" i="3" a="1"/>
  <c r="G109" i="3" a="1"/>
  <c r="E133" i="3"/>
  <c r="CC133" i="3"/>
  <c r="A157" i="3"/>
  <c r="CD132" i="3"/>
  <c r="C156" i="3"/>
  <c r="G108" i="3" a="1"/>
  <c r="BB108" i="3" a="1"/>
  <c r="CE108" i="3" a="1"/>
  <c r="B108" i="3" a="1"/>
  <c r="E132" i="3"/>
  <c r="CC132" i="3"/>
  <c r="A156" i="3"/>
  <c r="CD131" i="3"/>
  <c r="C155" i="3"/>
  <c r="G107" i="3" a="1"/>
  <c r="BB107" i="3" a="1"/>
  <c r="CE107" i="3" a="1"/>
  <c r="B107" i="3" a="1"/>
  <c r="E131" i="3"/>
  <c r="CC131" i="3"/>
  <c r="A155" i="3"/>
  <c r="CD130" i="3"/>
  <c r="C154" i="3"/>
  <c r="G106" i="3" a="1"/>
  <c r="BB106" i="3" a="1"/>
  <c r="CE106" i="3" a="1"/>
  <c r="B106" i="3" a="1"/>
  <c r="E130" i="3"/>
  <c r="CC130" i="3"/>
  <c r="A154" i="3"/>
  <c r="CD129" i="3"/>
  <c r="C153" i="3"/>
  <c r="G105" i="3" a="1"/>
  <c r="BB105" i="3" a="1"/>
  <c r="CE105" i="3" a="1"/>
  <c r="B105" i="3" a="1"/>
  <c r="E129" i="3"/>
  <c r="CC129" i="3"/>
  <c r="A153" i="3"/>
  <c r="CD128" i="3"/>
  <c r="C152" i="3"/>
  <c r="G104" i="3" a="1"/>
  <c r="BB104" i="3" a="1"/>
  <c r="CE104" i="3" a="1"/>
  <c r="B104" i="3" a="1"/>
  <c r="E128" i="3"/>
  <c r="CC128" i="3"/>
  <c r="A152" i="3"/>
  <c r="CD127" i="3"/>
  <c r="C151" i="3"/>
  <c r="G103" i="3" a="1"/>
  <c r="BB103" i="3" a="1"/>
  <c r="CE103" i="3" a="1"/>
  <c r="B103" i="3" a="1"/>
  <c r="E127" i="3"/>
  <c r="CC127" i="3"/>
  <c r="A151" i="3"/>
  <c r="CD126" i="3"/>
  <c r="C150" i="3"/>
  <c r="G102" i="3" a="1"/>
  <c r="BB102" i="3" a="1"/>
  <c r="CE102" i="3" a="1"/>
  <c r="B102" i="3" a="1"/>
  <c r="E126" i="3"/>
  <c r="CC126" i="3"/>
  <c r="A150" i="3"/>
  <c r="CD101" i="3"/>
  <c r="C125" i="3"/>
  <c r="G77" i="3" a="1"/>
  <c r="BB77" i="3" a="1"/>
  <c r="CE77" i="3" a="1"/>
  <c r="B77" i="3" a="1"/>
  <c r="E101" i="3"/>
  <c r="CC101" i="3"/>
  <c r="A125" i="3"/>
  <c r="CD100" i="3"/>
  <c r="C124" i="3"/>
  <c r="G76" i="3" a="1"/>
  <c r="BB76" i="3" a="1"/>
  <c r="CE76" i="3" a="1"/>
  <c r="B76" i="3" a="1"/>
  <c r="E100" i="3"/>
  <c r="CC100" i="3"/>
  <c r="A124" i="3"/>
  <c r="CD99" i="3"/>
  <c r="C123" i="3"/>
  <c r="G75" i="3" a="1"/>
  <c r="BB75" i="3" a="1"/>
  <c r="CE75" i="3" a="1"/>
  <c r="B75" i="3" a="1"/>
  <c r="E99" i="3"/>
  <c r="CC99" i="3"/>
  <c r="A123" i="3"/>
  <c r="CD98" i="3"/>
  <c r="C122" i="3"/>
  <c r="G74" i="3" a="1"/>
  <c r="BB74" i="3" a="1"/>
  <c r="CE74" i="3" a="1"/>
  <c r="B74" i="3" a="1"/>
  <c r="E98" i="3"/>
  <c r="CC98" i="3"/>
  <c r="A122" i="3"/>
  <c r="CD97" i="3"/>
  <c r="C121" i="3"/>
  <c r="G73" i="3" a="1"/>
  <c r="BB73" i="3" a="1"/>
  <c r="CE73" i="3" a="1"/>
  <c r="B73" i="3" a="1"/>
  <c r="E97" i="3"/>
  <c r="CC97" i="3"/>
  <c r="A121" i="3"/>
  <c r="CD96" i="3"/>
  <c r="C120" i="3"/>
  <c r="G72" i="3" a="1"/>
  <c r="BB72" i="3" a="1"/>
  <c r="CE72" i="3" a="1"/>
  <c r="B72" i="3" a="1"/>
  <c r="E96" i="3"/>
  <c r="CC96" i="3"/>
  <c r="A120" i="3"/>
  <c r="F95" i="3" a="1"/>
  <c r="D119" i="3"/>
  <c r="CD95" i="3"/>
  <c r="C119" i="3"/>
  <c r="G71" i="3" a="1"/>
  <c r="BB71" i="3" a="1"/>
  <c r="CE71" i="3" a="1"/>
  <c r="B71" i="3" a="1"/>
  <c r="E95" i="3"/>
  <c r="CC95" i="3"/>
  <c r="A119" i="3"/>
  <c r="F94" i="3" a="1"/>
  <c r="D118" i="3"/>
  <c r="CD94" i="3"/>
  <c r="C118" i="3"/>
  <c r="G70" i="3" a="1"/>
  <c r="BB70" i="3" a="1"/>
  <c r="CE70" i="3" a="1"/>
  <c r="B70" i="3" a="1"/>
  <c r="E94" i="3"/>
  <c r="CC94" i="3"/>
  <c r="A118" i="3"/>
  <c r="AW69" i="3"/>
  <c r="CH69" i="3"/>
  <c r="CQ69" i="3"/>
  <c r="J69" i="3"/>
  <c r="CI69" i="3"/>
  <c r="CP69" i="3"/>
  <c r="O69" i="3"/>
  <c r="Q69" i="3"/>
  <c r="F93" i="3" a="1"/>
  <c r="H93" i="3" a="1"/>
  <c r="I93" i="3" a="1"/>
  <c r="J93" i="3" s="1"/>
  <c r="T93" i="3" s="1"/>
  <c r="L93" i="3" a="1"/>
  <c r="M93" i="3" a="1"/>
  <c r="O93" i="3" s="1"/>
  <c r="P93" i="3" a="1"/>
  <c r="Q93" i="3" s="1"/>
  <c r="V93" i="3" s="1"/>
  <c r="AZ93" i="3" a="1"/>
  <c r="BA93" i="3" a="1"/>
  <c r="BC93" i="3" a="1"/>
  <c r="BD93" i="3" a="1"/>
  <c r="BX93" i="3" a="1"/>
  <c r="D117" i="3"/>
  <c r="CD93" i="3"/>
  <c r="C117" i="3"/>
  <c r="B69" i="3" a="1"/>
  <c r="BB69" i="3" a="1"/>
  <c r="G69" i="3" a="1"/>
  <c r="CE69" i="3" a="1"/>
  <c r="E93" i="3"/>
  <c r="CC93" i="3"/>
  <c r="A117" i="3"/>
  <c r="Y44" i="3"/>
  <c r="U44" i="3"/>
  <c r="W44" i="3" s="1"/>
  <c r="AW68" i="3"/>
  <c r="CH68" i="3"/>
  <c r="CQ68" i="3"/>
  <c r="CI68" i="3"/>
  <c r="CP68" i="3"/>
  <c r="R68" i="3"/>
  <c r="AB68" i="3" s="1"/>
  <c r="F92" i="3" a="1"/>
  <c r="H92" i="3" a="1"/>
  <c r="I92" i="3" a="1"/>
  <c r="L92" i="3" a="1"/>
  <c r="M92" i="3" a="1"/>
  <c r="P92" i="3" a="1"/>
  <c r="AZ92" i="3" a="1"/>
  <c r="BA92" i="3" a="1"/>
  <c r="BC92" i="3" a="1"/>
  <c r="BD92" i="3" a="1"/>
  <c r="BX92" i="3" a="1"/>
  <c r="D116" i="3"/>
  <c r="AW67" i="3"/>
  <c r="CH67" i="3"/>
  <c r="CQ67" i="3"/>
  <c r="CI67" i="3"/>
  <c r="CP67" i="3"/>
  <c r="R67" i="3"/>
  <c r="AB67" i="3" s="1"/>
  <c r="F91" i="3" a="1"/>
  <c r="H91" i="3" a="1"/>
  <c r="I91" i="3" a="1"/>
  <c r="L91" i="3" a="1"/>
  <c r="M91" i="3" a="1"/>
  <c r="P91" i="3" a="1"/>
  <c r="AZ91" i="3" a="1"/>
  <c r="BA91" i="3" a="1"/>
  <c r="BC91" i="3" a="1"/>
  <c r="BD91" i="3" a="1"/>
  <c r="BX91" i="3" a="1"/>
  <c r="D115" i="3"/>
  <c r="Y43" i="3"/>
  <c r="U43" i="3"/>
  <c r="W43" i="3" s="1"/>
  <c r="AW66" i="3"/>
  <c r="CH66" i="3"/>
  <c r="CQ66" i="3"/>
  <c r="CI66" i="3"/>
  <c r="CP66" i="3"/>
  <c r="R66" i="3"/>
  <c r="AB66" i="3" s="1"/>
  <c r="F90" i="3" a="1"/>
  <c r="H90" i="3" a="1"/>
  <c r="I90" i="3" a="1"/>
  <c r="L90" i="3" a="1"/>
  <c r="M90" i="3" a="1"/>
  <c r="P90" i="3" a="1"/>
  <c r="AZ90" i="3" a="1"/>
  <c r="BA90" i="3" a="1"/>
  <c r="BC90" i="3" a="1"/>
  <c r="BD90" i="3" a="1"/>
  <c r="BX90" i="3" a="1"/>
  <c r="D114" i="3"/>
  <c r="Y42" i="3"/>
  <c r="U42" i="3"/>
  <c r="W42" i="3" s="1"/>
  <c r="AW65" i="3"/>
  <c r="CH65" i="3"/>
  <c r="CQ65" i="3"/>
  <c r="CI65" i="3"/>
  <c r="CP65" i="3"/>
  <c r="R65" i="3"/>
  <c r="AB65" i="3" s="1"/>
  <c r="F89" i="3" a="1"/>
  <c r="H89" i="3" a="1"/>
  <c r="I89" i="3" a="1"/>
  <c r="L89" i="3" a="1"/>
  <c r="M89" i="3" a="1"/>
  <c r="P89" i="3" a="1"/>
  <c r="AZ89" i="3" a="1"/>
  <c r="BA89" i="3" a="1"/>
  <c r="BC89" i="3" a="1"/>
  <c r="BD89" i="3" a="1"/>
  <c r="BX89" i="3" a="1"/>
  <c r="D113" i="3"/>
  <c r="Y41" i="3"/>
  <c r="U41" i="3"/>
  <c r="W41" i="3" s="1"/>
  <c r="AW64" i="3"/>
  <c r="CH64" i="3"/>
  <c r="CQ64" i="3"/>
  <c r="CI64" i="3"/>
  <c r="CP64" i="3"/>
  <c r="R64" i="3"/>
  <c r="AB64" i="3" s="1"/>
  <c r="F88" i="3" a="1"/>
  <c r="H88" i="3" a="1"/>
  <c r="I88" i="3" a="1"/>
  <c r="L88" i="3" a="1"/>
  <c r="M88" i="3" a="1"/>
  <c r="P88" i="3" a="1"/>
  <c r="AZ88" i="3" a="1"/>
  <c r="BA88" i="3" a="1"/>
  <c r="BC88" i="3" a="1"/>
  <c r="BD88" i="3" a="1"/>
  <c r="BX88" i="3" a="1"/>
  <c r="D112" i="3"/>
  <c r="Y40" i="3"/>
  <c r="U40" i="3"/>
  <c r="W40" i="3" s="1"/>
  <c r="Y39" i="3"/>
  <c r="U39" i="3"/>
  <c r="W39" i="3" s="1"/>
  <c r="AW63" i="3"/>
  <c r="CH63" i="3"/>
  <c r="CQ63" i="3"/>
  <c r="CI63" i="3"/>
  <c r="CP63" i="3"/>
  <c r="R63" i="3"/>
  <c r="AB63" i="3" s="1"/>
  <c r="F87" i="3" a="1"/>
  <c r="H87" i="3" a="1"/>
  <c r="I87" i="3" a="1"/>
  <c r="L87" i="3" a="1"/>
  <c r="M87" i="3" a="1"/>
  <c r="P87" i="3" a="1"/>
  <c r="AZ87" i="3" a="1"/>
  <c r="BA87" i="3" a="1"/>
  <c r="BC87" i="3" a="1"/>
  <c r="BD87" i="3" a="1"/>
  <c r="BX87" i="3" a="1"/>
  <c r="D111" i="3"/>
  <c r="Y38" i="3"/>
  <c r="U38" i="3"/>
  <c r="W38" i="3" s="1"/>
  <c r="AW62" i="3"/>
  <c r="CH62" i="3"/>
  <c r="CQ62" i="3"/>
  <c r="CI62" i="3"/>
  <c r="CP62" i="3"/>
  <c r="R62" i="3"/>
  <c r="AB62" i="3" s="1"/>
  <c r="F86" i="3" a="1"/>
  <c r="H86" i="3" a="1"/>
  <c r="I86" i="3" a="1"/>
  <c r="L86" i="3" a="1"/>
  <c r="M86" i="3" a="1"/>
  <c r="P86" i="3" a="1"/>
  <c r="AZ86" i="3" a="1"/>
  <c r="BA86" i="3" a="1"/>
  <c r="BC86" i="3" a="1"/>
  <c r="BD86" i="3" a="1"/>
  <c r="BX86" i="3" a="1"/>
  <c r="D110" i="3"/>
  <c r="AW61" i="3"/>
  <c r="CH61" i="3"/>
  <c r="CQ61" i="3"/>
  <c r="CI61" i="3"/>
  <c r="CP61" i="3"/>
  <c r="R61" i="3"/>
  <c r="AB61" i="3" s="1"/>
  <c r="F85" i="3" a="1"/>
  <c r="H85" i="3" a="1"/>
  <c r="I85" i="3" a="1"/>
  <c r="L85" i="3" a="1"/>
  <c r="M85" i="3" a="1"/>
  <c r="P85" i="3" a="1"/>
  <c r="AZ85" i="3" a="1"/>
  <c r="BA85" i="3" a="1"/>
  <c r="BC85" i="3" a="1"/>
  <c r="BD85" i="3" a="1"/>
  <c r="BX85" i="3" a="1"/>
  <c r="D109" i="3"/>
  <c r="Y37" i="3"/>
  <c r="U37" i="3"/>
  <c r="W37" i="3" s="1"/>
  <c r="Y36" i="3"/>
  <c r="U36" i="3"/>
  <c r="W36" i="3" s="1"/>
  <c r="AW60" i="3"/>
  <c r="CH60" i="3"/>
  <c r="CQ60" i="3"/>
  <c r="CI60" i="3"/>
  <c r="CP60" i="3"/>
  <c r="R60" i="3"/>
  <c r="AB60" i="3" s="1"/>
  <c r="F84" i="3" a="1"/>
  <c r="H84" i="3" a="1"/>
  <c r="I84" i="3" a="1"/>
  <c r="L84" i="3" a="1"/>
  <c r="M84" i="3" a="1"/>
  <c r="P84" i="3" a="1"/>
  <c r="AZ84" i="3" a="1"/>
  <c r="BA84" i="3" a="1"/>
  <c r="BC84" i="3" a="1"/>
  <c r="BD84" i="3" a="1"/>
  <c r="BX84" i="3" a="1"/>
  <c r="D108" i="3"/>
  <c r="AW59" i="3"/>
  <c r="CH59" i="3"/>
  <c r="CQ59" i="3"/>
  <c r="CI59" i="3"/>
  <c r="CP59" i="3"/>
  <c r="R59" i="3"/>
  <c r="AB59" i="3" s="1"/>
  <c r="F83" i="3" a="1"/>
  <c r="H83" i="3" a="1"/>
  <c r="I83" i="3" a="1"/>
  <c r="L83" i="3" a="1"/>
  <c r="M83" i="3" a="1"/>
  <c r="P83" i="3" a="1"/>
  <c r="AZ83" i="3" a="1"/>
  <c r="BA83" i="3" a="1"/>
  <c r="BC83" i="3" a="1"/>
  <c r="BD83" i="3" a="1"/>
  <c r="BX83" i="3" a="1"/>
  <c r="D107" i="3"/>
  <c r="Y35" i="3"/>
  <c r="U35" i="3"/>
  <c r="W35" i="3" s="1"/>
  <c r="AW58" i="3"/>
  <c r="CH58" i="3"/>
  <c r="CQ58" i="3"/>
  <c r="CI58" i="3"/>
  <c r="CP58" i="3"/>
  <c r="R58" i="3"/>
  <c r="AB58" i="3" s="1"/>
  <c r="F82" i="3" a="1"/>
  <c r="H82" i="3" a="1"/>
  <c r="I82" i="3" a="1"/>
  <c r="L82" i="3" a="1"/>
  <c r="M82" i="3" a="1"/>
  <c r="P82" i="3" a="1"/>
  <c r="AZ82" i="3" a="1"/>
  <c r="BA82" i="3" a="1"/>
  <c r="BC82" i="3" a="1"/>
  <c r="BD82" i="3" a="1"/>
  <c r="BX82" i="3" a="1"/>
  <c r="D106" i="3"/>
  <c r="Y34" i="3"/>
  <c r="U34" i="3"/>
  <c r="W34" i="3" s="1"/>
  <c r="Y33" i="3"/>
  <c r="U33" i="3"/>
  <c r="W33" i="3" s="1"/>
  <c r="AW57" i="3"/>
  <c r="CH57" i="3"/>
  <c r="CQ57" i="3"/>
  <c r="CI57" i="3"/>
  <c r="CP57" i="3"/>
  <c r="R57" i="3"/>
  <c r="AB57" i="3" s="1"/>
  <c r="F81" i="3" a="1"/>
  <c r="H81" i="3" a="1"/>
  <c r="I81" i="3" a="1"/>
  <c r="L81" i="3" a="1"/>
  <c r="M81" i="3" a="1"/>
  <c r="P81" i="3" a="1"/>
  <c r="AZ81" i="3" a="1"/>
  <c r="BA81" i="3" a="1"/>
  <c r="BC81" i="3" a="1"/>
  <c r="BD81" i="3" a="1"/>
  <c r="BX81" i="3" a="1"/>
  <c r="D105" i="3"/>
  <c r="Y32" i="3"/>
  <c r="U32" i="3"/>
  <c r="W32" i="3" s="1"/>
  <c r="AW56" i="3"/>
  <c r="CH56" i="3"/>
  <c r="CQ56" i="3"/>
  <c r="CI56" i="3"/>
  <c r="CP56" i="3"/>
  <c r="R56" i="3"/>
  <c r="AB56" i="3" s="1"/>
  <c r="F80" i="3" a="1"/>
  <c r="H80" i="3" a="1"/>
  <c r="I80" i="3" a="1"/>
  <c r="L80" i="3" a="1"/>
  <c r="M80" i="3" a="1"/>
  <c r="P80" i="3" a="1"/>
  <c r="AZ80" i="3" a="1"/>
  <c r="BA80" i="3" a="1"/>
  <c r="BC80" i="3" a="1"/>
  <c r="BD80" i="3" a="1"/>
  <c r="BX80" i="3" a="1"/>
  <c r="D104" i="3"/>
  <c r="Y31" i="3"/>
  <c r="U31" i="3"/>
  <c r="W31" i="3" s="1"/>
  <c r="AW55" i="3"/>
  <c r="CH55" i="3"/>
  <c r="CQ55" i="3"/>
  <c r="CI55" i="3"/>
  <c r="CP55" i="3"/>
  <c r="R55" i="3"/>
  <c r="AB55" i="3" s="1"/>
  <c r="F79" i="3" a="1"/>
  <c r="H79" i="3" a="1"/>
  <c r="I79" i="3" a="1"/>
  <c r="L79" i="3" a="1"/>
  <c r="M79" i="3" a="1"/>
  <c r="P79" i="3" a="1"/>
  <c r="AZ79" i="3" a="1"/>
  <c r="BA79" i="3" a="1"/>
  <c r="BC79" i="3" a="1"/>
  <c r="BD79" i="3" a="1"/>
  <c r="BX79" i="3" a="1"/>
  <c r="D103" i="3"/>
  <c r="Y30" i="3"/>
  <c r="U30" i="3"/>
  <c r="W30" i="3" s="1"/>
  <c r="AW54" i="3"/>
  <c r="CH54" i="3"/>
  <c r="CQ54" i="3"/>
  <c r="CI54" i="3"/>
  <c r="CP54" i="3"/>
  <c r="R54" i="3"/>
  <c r="AB54" i="3" s="1"/>
  <c r="F78" i="3" a="1"/>
  <c r="H78" i="3" a="1"/>
  <c r="I78" i="3" a="1"/>
  <c r="L78" i="3" a="1"/>
  <c r="M78" i="3" a="1"/>
  <c r="P78" i="3" a="1"/>
  <c r="AZ78" i="3" a="1"/>
  <c r="BA78" i="3" a="1"/>
  <c r="BC78" i="3" a="1"/>
  <c r="BD78" i="3" a="1"/>
  <c r="BX78" i="3" a="1"/>
  <c r="D102" i="3"/>
  <c r="AW53" i="3"/>
  <c r="CH53" i="3"/>
  <c r="CQ53" i="3"/>
  <c r="CI53" i="3"/>
  <c r="CP53" i="3"/>
  <c r="R53" i="3"/>
  <c r="AB53" i="3" s="1"/>
  <c r="F77" i="3" a="1"/>
  <c r="H77" i="3" a="1"/>
  <c r="I77" i="3" a="1"/>
  <c r="L77" i="3" a="1"/>
  <c r="M77" i="3" a="1"/>
  <c r="P77" i="3" a="1"/>
  <c r="AZ77" i="3" a="1"/>
  <c r="BA77" i="3" a="1"/>
  <c r="BC77" i="3" a="1"/>
  <c r="BD77" i="3" a="1"/>
  <c r="BX77" i="3" a="1"/>
  <c r="D101" i="3"/>
  <c r="Y29" i="3"/>
  <c r="U29" i="3"/>
  <c r="W29" i="3" s="1"/>
  <c r="AW52" i="3"/>
  <c r="CH52" i="3"/>
  <c r="CQ52" i="3"/>
  <c r="CI52" i="3"/>
  <c r="CP52" i="3"/>
  <c r="R52" i="3"/>
  <c r="AB52" i="3" s="1"/>
  <c r="F76" i="3" a="1"/>
  <c r="H76" i="3" a="1"/>
  <c r="I76" i="3" a="1"/>
  <c r="L76" i="3" a="1"/>
  <c r="M76" i="3" a="1"/>
  <c r="P76" i="3" a="1"/>
  <c r="AZ76" i="3" a="1"/>
  <c r="BA76" i="3" a="1"/>
  <c r="BC76" i="3" a="1"/>
  <c r="BD76" i="3" a="1"/>
  <c r="BX76" i="3" a="1"/>
  <c r="D100" i="3"/>
  <c r="Y28" i="3"/>
  <c r="U28" i="3"/>
  <c r="W28" i="3" s="1"/>
  <c r="Y27" i="3"/>
  <c r="U27" i="3"/>
  <c r="W27" i="3" s="1"/>
  <c r="AW51" i="3"/>
  <c r="CH51" i="3"/>
  <c r="CQ51" i="3"/>
  <c r="CI51" i="3"/>
  <c r="CP51" i="3"/>
  <c r="R51" i="3"/>
  <c r="AB51" i="3" s="1"/>
  <c r="F75" i="3" a="1"/>
  <c r="H75" i="3" a="1"/>
  <c r="I75" i="3" a="1"/>
  <c r="L75" i="3" a="1"/>
  <c r="M75" i="3" a="1"/>
  <c r="P75" i="3" a="1"/>
  <c r="AZ75" i="3" a="1"/>
  <c r="BA75" i="3" a="1"/>
  <c r="BC75" i="3" a="1"/>
  <c r="BD75" i="3" a="1"/>
  <c r="BX75" i="3" a="1"/>
  <c r="D99" i="3"/>
  <c r="Y26" i="3"/>
  <c r="U26" i="3"/>
  <c r="W26" i="3" s="1"/>
  <c r="AW50" i="3"/>
  <c r="CH50" i="3"/>
  <c r="CQ50" i="3"/>
  <c r="CI50" i="3"/>
  <c r="CP50" i="3"/>
  <c r="R50" i="3"/>
  <c r="AB50" i="3" s="1"/>
  <c r="F74" i="3" a="1"/>
  <c r="H74" i="3" a="1"/>
  <c r="I74" i="3" a="1"/>
  <c r="L74" i="3" a="1"/>
  <c r="M74" i="3" a="1"/>
  <c r="P74" i="3" a="1"/>
  <c r="AZ74" i="3" a="1"/>
  <c r="BA74" i="3" a="1"/>
  <c r="BC74" i="3" a="1"/>
  <c r="BD74" i="3" a="1"/>
  <c r="BX74" i="3" a="1"/>
  <c r="D98" i="3"/>
  <c r="Y25" i="3"/>
  <c r="U25" i="3"/>
  <c r="W25" i="3" s="1"/>
  <c r="AW49" i="3"/>
  <c r="CH49" i="3"/>
  <c r="CQ49" i="3"/>
  <c r="CI49" i="3"/>
  <c r="CP49" i="3"/>
  <c r="R49" i="3"/>
  <c r="AB49" i="3" s="1"/>
  <c r="F73" i="3" a="1"/>
  <c r="H73" i="3" a="1"/>
  <c r="I73" i="3" a="1"/>
  <c r="L73" i="3" a="1"/>
  <c r="M73" i="3" a="1"/>
  <c r="P73" i="3" a="1"/>
  <c r="AZ73" i="3" a="1"/>
  <c r="BA73" i="3" a="1"/>
  <c r="BC73" i="3" a="1"/>
  <c r="BD73" i="3" a="1"/>
  <c r="BX73" i="3" a="1"/>
  <c r="D97" i="3"/>
  <c r="AW48" i="3"/>
  <c r="CH48" i="3"/>
  <c r="CQ48" i="3"/>
  <c r="CI48" i="3"/>
  <c r="CP48" i="3"/>
  <c r="R48" i="3"/>
  <c r="AB48" i="3" s="1"/>
  <c r="F72" i="3" a="1"/>
  <c r="H72" i="3" a="1"/>
  <c r="I72" i="3" a="1"/>
  <c r="L72" i="3" a="1"/>
  <c r="M72" i="3" a="1"/>
  <c r="P72" i="3" a="1"/>
  <c r="AZ72" i="3" a="1"/>
  <c r="BA72" i="3" a="1"/>
  <c r="BC72" i="3" a="1"/>
  <c r="BD72" i="3" a="1"/>
  <c r="BX72" i="3" a="1"/>
  <c r="D96" i="3"/>
  <c r="Y24" i="3"/>
  <c r="U24" i="3"/>
  <c r="W24" i="3" s="1"/>
  <c r="V21" i="3"/>
  <c r="T21" i="3"/>
  <c r="R21" i="3"/>
  <c r="AB21" i="3" s="1"/>
  <c r="D91" i="13"/>
  <c r="AB183" i="4"/>
  <c r="AA183" i="4" s="1"/>
  <c r="H184" i="4"/>
  <c r="B117" i="4"/>
  <c r="B118" i="4" s="1"/>
  <c r="B119" i="4"/>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20" i="13"/>
  <c r="B46" i="13"/>
  <c r="B74" i="13"/>
  <c r="I13" i="4"/>
  <c r="B19" i="19"/>
  <c r="E22" i="24"/>
  <c r="E23" i="24" s="1"/>
  <c r="N109" i="10"/>
  <c r="M109" i="10" s="1"/>
  <c r="E27" i="33"/>
  <c r="E28" i="33" s="1"/>
  <c r="BC17" i="13"/>
  <c r="AQ21" i="3"/>
  <c r="AP504" i="3"/>
  <c r="BE504" i="3"/>
  <c r="R22" i="3"/>
  <c r="AB22" i="3" s="1"/>
  <c r="R23" i="3"/>
  <c r="AB23" i="3" s="1"/>
  <c r="CQ47" i="3"/>
  <c r="CH47" i="3"/>
  <c r="AW47" i="3"/>
  <c r="CP47" i="3"/>
  <c r="CI47" i="3"/>
  <c r="R47" i="3"/>
  <c r="AB47" i="3" s="1"/>
  <c r="CQ46" i="3"/>
  <c r="CH46" i="3"/>
  <c r="AW46" i="3"/>
  <c r="CP46" i="3"/>
  <c r="CI46" i="3"/>
  <c r="R46" i="3"/>
  <c r="AB46" i="3" s="1"/>
  <c r="CP45" i="3"/>
  <c r="CI45" i="3"/>
  <c r="CQ45" i="3"/>
  <c r="CH45" i="3"/>
  <c r="AW45" i="3"/>
  <c r="F77" i="10"/>
  <c r="N76" i="10"/>
  <c r="M76" i="10" s="1"/>
  <c r="AQ54" i="3"/>
  <c r="AQ55" i="3"/>
  <c r="AQ56" i="3"/>
  <c r="AQ57" i="3"/>
  <c r="AQ58" i="3"/>
  <c r="AQ59" i="3"/>
  <c r="AQ60" i="3"/>
  <c r="AQ61" i="3"/>
  <c r="AQ62" i="3"/>
  <c r="AQ63" i="3"/>
  <c r="AQ64" i="3"/>
  <c r="AQ65" i="3"/>
  <c r="AQ66" i="3"/>
  <c r="AQ67" i="3"/>
  <c r="AQ68" i="3"/>
  <c r="AQ69" i="3"/>
  <c r="AQ45" i="3"/>
  <c r="AQ46" i="3"/>
  <c r="AQ47" i="3"/>
  <c r="AQ48" i="3"/>
  <c r="AQ49" i="3"/>
  <c r="AQ50" i="3"/>
  <c r="AQ51" i="3"/>
  <c r="AQ52" i="3"/>
  <c r="AQ53" i="3"/>
  <c r="H71" i="3" a="1"/>
  <c r="I71" i="3" a="1"/>
  <c r="L71" i="3" a="1"/>
  <c r="M71" i="3" a="1"/>
  <c r="P71" i="3" a="1"/>
  <c r="AZ71" i="3" a="1"/>
  <c r="BA71" i="3" a="1"/>
  <c r="BC71" i="3" a="1"/>
  <c r="BD71" i="3" a="1"/>
  <c r="BX71" i="3" a="1"/>
  <c r="H70" i="3" a="1"/>
  <c r="I70" i="3" a="1"/>
  <c r="L70" i="3" a="1"/>
  <c r="M70" i="3" a="1"/>
  <c r="P70" i="3" a="1"/>
  <c r="AZ70" i="3" a="1"/>
  <c r="BA70" i="3" a="1"/>
  <c r="BC70" i="3" a="1"/>
  <c r="BD70" i="3" a="1"/>
  <c r="BX70" i="3" a="1"/>
  <c r="BA69" i="3" a="1"/>
  <c r="BC69" i="3" a="1"/>
  <c r="BD69" i="3" a="1"/>
  <c r="BX69" i="3" a="1"/>
  <c r="AZ69" i="3" a="1"/>
  <c r="O45" i="3"/>
  <c r="Q45" i="3"/>
  <c r="J45" i="3"/>
  <c r="Z33" i="3" l="1"/>
  <c r="AC33" i="3" s="1"/>
  <c r="AD33" i="3" s="1"/>
  <c r="Z29" i="3"/>
  <c r="AC29" i="3" s="1"/>
  <c r="AD29" i="3" s="1"/>
  <c r="Z30" i="3"/>
  <c r="AC30" i="3" s="1"/>
  <c r="AD30" i="3" s="1"/>
  <c r="Z41" i="3"/>
  <c r="AC41" i="3" s="1"/>
  <c r="AD41" i="3" s="1"/>
  <c r="Z32" i="3"/>
  <c r="AC32" i="3" s="1"/>
  <c r="AD32" i="3" s="1"/>
  <c r="Z26" i="3"/>
  <c r="AC26" i="3" s="1"/>
  <c r="AD26" i="3" s="1"/>
  <c r="Z35" i="3"/>
  <c r="AC35" i="3" s="1"/>
  <c r="AD35" i="3" s="1"/>
  <c r="Z24" i="3"/>
  <c r="AC24" i="3" s="1"/>
  <c r="AD24" i="3" s="1"/>
  <c r="Z28" i="3"/>
  <c r="AC28" i="3" s="1"/>
  <c r="AD28" i="3" s="1"/>
  <c r="Z34" i="3"/>
  <c r="AC34" i="3" s="1"/>
  <c r="AD34" i="3" s="1"/>
  <c r="Z31" i="3"/>
  <c r="AC31" i="3" s="1"/>
  <c r="AD31" i="3" s="1"/>
  <c r="Z25" i="3"/>
  <c r="AC25" i="3" s="1"/>
  <c r="AD25" i="3" s="1"/>
  <c r="Z38" i="3"/>
  <c r="AC38" i="3" s="1"/>
  <c r="AD38" i="3" s="1"/>
  <c r="Z27" i="3"/>
  <c r="AC27" i="3" s="1"/>
  <c r="AD27" i="3" s="1"/>
  <c r="Z44" i="3"/>
  <c r="AC44" i="3" s="1"/>
  <c r="AD44" i="3" s="1"/>
  <c r="Z37" i="3"/>
  <c r="AC37" i="3" s="1"/>
  <c r="AD37" i="3" s="1"/>
  <c r="Z42" i="3"/>
  <c r="AC42" i="3" s="1"/>
  <c r="AD42" i="3" s="1"/>
  <c r="Z43" i="3"/>
  <c r="AC43" i="3" s="1"/>
  <c r="AD43" i="3" s="1"/>
  <c r="Z40" i="3"/>
  <c r="AC40" i="3" s="1"/>
  <c r="AD40" i="3" s="1"/>
  <c r="Z36" i="3"/>
  <c r="AC36" i="3" s="1"/>
  <c r="AD36" i="3" s="1"/>
  <c r="Z39" i="3"/>
  <c r="AC39" i="3" s="1"/>
  <c r="AD39" i="3" s="1"/>
  <c r="C212" i="3"/>
  <c r="CD188" i="3"/>
  <c r="E188" i="3"/>
  <c r="CC188" i="3"/>
  <c r="A212" i="3"/>
  <c r="G164" i="3" a="1"/>
  <c r="B164" i="3" a="1"/>
  <c r="BB164" i="3" a="1"/>
  <c r="CE164" i="3" a="1"/>
  <c r="CD163" i="3"/>
  <c r="C187" i="3"/>
  <c r="G139" i="3" a="1"/>
  <c r="BB139" i="3" a="1"/>
  <c r="CE139" i="3" a="1"/>
  <c r="B139" i="3" a="1"/>
  <c r="CC163" i="3"/>
  <c r="A187" i="3"/>
  <c r="E163" i="3"/>
  <c r="C186" i="3"/>
  <c r="CD162" i="3"/>
  <c r="G138" i="3" a="1"/>
  <c r="BB138" i="3" a="1"/>
  <c r="CE138" i="3" a="1"/>
  <c r="B138" i="3" a="1"/>
  <c r="A186" i="3"/>
  <c r="E162" i="3"/>
  <c r="CC162" i="3"/>
  <c r="C185" i="3"/>
  <c r="CD161" i="3"/>
  <c r="G137" i="3" a="1"/>
  <c r="BB137" i="3" a="1"/>
  <c r="CE137" i="3" a="1"/>
  <c r="B137" i="3" a="1"/>
  <c r="E161" i="3"/>
  <c r="CC161" i="3"/>
  <c r="A185" i="3"/>
  <c r="CD160" i="3"/>
  <c r="C184" i="3"/>
  <c r="G136" i="3" a="1"/>
  <c r="BB136" i="3" a="1"/>
  <c r="CE136" i="3" a="1"/>
  <c r="B136" i="3" a="1"/>
  <c r="E160" i="3"/>
  <c r="CC160" i="3"/>
  <c r="A184" i="3"/>
  <c r="CD159" i="3"/>
  <c r="C183" i="3"/>
  <c r="G135" i="3" a="1"/>
  <c r="BB135" i="3" a="1"/>
  <c r="CE135" i="3" a="1"/>
  <c r="B135" i="3" a="1"/>
  <c r="E159" i="3"/>
  <c r="CC159" i="3"/>
  <c r="A183" i="3"/>
  <c r="CD158" i="3"/>
  <c r="C182" i="3"/>
  <c r="G134" i="3" a="1"/>
  <c r="BB134" i="3" a="1"/>
  <c r="CE134" i="3" a="1"/>
  <c r="B134" i="3" a="1"/>
  <c r="E158" i="3"/>
  <c r="CC158" i="3"/>
  <c r="A182" i="3"/>
  <c r="CD157" i="3"/>
  <c r="C181" i="3"/>
  <c r="G133" i="3" a="1"/>
  <c r="BB133" i="3" a="1"/>
  <c r="CE133" i="3" a="1"/>
  <c r="B133" i="3" a="1"/>
  <c r="E157" i="3"/>
  <c r="CC157" i="3"/>
  <c r="A181" i="3"/>
  <c r="CD156" i="3"/>
  <c r="C180" i="3"/>
  <c r="G132" i="3" a="1"/>
  <c r="BB132" i="3" a="1"/>
  <c r="CE132" i="3" a="1"/>
  <c r="B132" i="3" a="1"/>
  <c r="E156" i="3"/>
  <c r="CC156" i="3"/>
  <c r="A180" i="3"/>
  <c r="CD155" i="3"/>
  <c r="C179" i="3"/>
  <c r="G131" i="3" a="1"/>
  <c r="BB131" i="3" a="1"/>
  <c r="CE131" i="3" a="1"/>
  <c r="B131" i="3" a="1"/>
  <c r="E155" i="3"/>
  <c r="CC155" i="3"/>
  <c r="A179" i="3"/>
  <c r="CD154" i="3"/>
  <c r="C178" i="3"/>
  <c r="G130" i="3" a="1"/>
  <c r="BB130" i="3" a="1"/>
  <c r="CE130" i="3" a="1"/>
  <c r="B130" i="3" a="1"/>
  <c r="E154" i="3"/>
  <c r="CC154" i="3"/>
  <c r="A178" i="3"/>
  <c r="CD153" i="3"/>
  <c r="C177" i="3"/>
  <c r="G129" i="3" a="1"/>
  <c r="BB129" i="3" a="1"/>
  <c r="CE129" i="3" a="1"/>
  <c r="B129" i="3" a="1"/>
  <c r="E153" i="3"/>
  <c r="CC153" i="3"/>
  <c r="A177" i="3"/>
  <c r="CD152" i="3"/>
  <c r="C176" i="3"/>
  <c r="G128" i="3" a="1"/>
  <c r="BB128" i="3" a="1"/>
  <c r="CE128" i="3" a="1"/>
  <c r="B128" i="3" a="1"/>
  <c r="E152" i="3"/>
  <c r="CC152" i="3"/>
  <c r="A176" i="3"/>
  <c r="CD151" i="3"/>
  <c r="C175" i="3"/>
  <c r="G127" i="3" a="1"/>
  <c r="BB127" i="3" a="1"/>
  <c r="CE127" i="3" a="1"/>
  <c r="B127" i="3" a="1"/>
  <c r="E151" i="3"/>
  <c r="CC151" i="3"/>
  <c r="A175" i="3"/>
  <c r="CD150" i="3"/>
  <c r="C174" i="3"/>
  <c r="G126" i="3" a="1"/>
  <c r="BB126" i="3" a="1"/>
  <c r="CE126" i="3" a="1"/>
  <c r="B126" i="3" a="1"/>
  <c r="E150" i="3"/>
  <c r="CC150" i="3"/>
  <c r="A174" i="3"/>
  <c r="CD125" i="3"/>
  <c r="C149" i="3"/>
  <c r="G101" i="3" a="1"/>
  <c r="BB101" i="3" a="1"/>
  <c r="CE101" i="3" a="1"/>
  <c r="B101" i="3" a="1"/>
  <c r="E125" i="3"/>
  <c r="CC125" i="3"/>
  <c r="A149" i="3"/>
  <c r="CD124" i="3"/>
  <c r="C148" i="3"/>
  <c r="G100" i="3" a="1"/>
  <c r="BB100" i="3" a="1"/>
  <c r="CE100" i="3" a="1"/>
  <c r="B100" i="3" a="1"/>
  <c r="E124" i="3"/>
  <c r="CC124" i="3"/>
  <c r="A148" i="3"/>
  <c r="CD123" i="3"/>
  <c r="C147" i="3"/>
  <c r="G99" i="3" a="1"/>
  <c r="BB99" i="3" a="1"/>
  <c r="CE99" i="3" a="1"/>
  <c r="B99" i="3" a="1"/>
  <c r="E123" i="3"/>
  <c r="CC123" i="3"/>
  <c r="A147" i="3"/>
  <c r="CD122" i="3"/>
  <c r="C146" i="3"/>
  <c r="G98" i="3" a="1"/>
  <c r="BB98" i="3" a="1"/>
  <c r="CE98" i="3" a="1"/>
  <c r="B98" i="3" a="1"/>
  <c r="E122" i="3"/>
  <c r="CC122" i="3"/>
  <c r="A146" i="3"/>
  <c r="CD121" i="3"/>
  <c r="C145" i="3"/>
  <c r="G97" i="3" a="1"/>
  <c r="BB97" i="3" a="1"/>
  <c r="CE97" i="3" a="1"/>
  <c r="B97" i="3" a="1"/>
  <c r="E121" i="3"/>
  <c r="CC121" i="3"/>
  <c r="A145" i="3"/>
  <c r="CD120" i="3"/>
  <c r="C144" i="3"/>
  <c r="G96" i="3" a="1"/>
  <c r="BB96" i="3" a="1"/>
  <c r="CE96" i="3" a="1"/>
  <c r="B96" i="3" a="1"/>
  <c r="E120" i="3"/>
  <c r="CC120" i="3"/>
  <c r="A144" i="3"/>
  <c r="F119" i="3" a="1"/>
  <c r="D143" i="3"/>
  <c r="CD119" i="3"/>
  <c r="C143" i="3"/>
  <c r="G95" i="3" a="1"/>
  <c r="BB95" i="3" a="1"/>
  <c r="CE95" i="3" a="1"/>
  <c r="B95" i="3" a="1"/>
  <c r="E119" i="3"/>
  <c r="CC119" i="3"/>
  <c r="A143" i="3"/>
  <c r="F118" i="3" a="1"/>
  <c r="D142" i="3"/>
  <c r="CD118" i="3"/>
  <c r="C142" i="3"/>
  <c r="G94" i="3" a="1"/>
  <c r="BB94" i="3" a="1"/>
  <c r="CE94" i="3" a="1"/>
  <c r="B94" i="3" a="1"/>
  <c r="E118" i="3"/>
  <c r="CC118" i="3"/>
  <c r="A142" i="3"/>
  <c r="T69" i="3"/>
  <c r="R69" i="3"/>
  <c r="AB69" i="3" s="1"/>
  <c r="V69" i="3"/>
  <c r="AQ93" i="3"/>
  <c r="AW93" i="3"/>
  <c r="CH93" i="3"/>
  <c r="CQ93" i="3"/>
  <c r="CI93" i="3"/>
  <c r="CP93" i="3"/>
  <c r="R93" i="3"/>
  <c r="AB93" i="3" s="1"/>
  <c r="F117" i="3" a="1"/>
  <c r="D141" i="3"/>
  <c r="CD117" i="3"/>
  <c r="C141" i="3"/>
  <c r="G93" i="3" a="1"/>
  <c r="BB93" i="3" a="1"/>
  <c r="CE93" i="3" a="1"/>
  <c r="B93" i="3" a="1"/>
  <c r="E117" i="3"/>
  <c r="CC117" i="3"/>
  <c r="A141" i="3"/>
  <c r="Y68" i="3"/>
  <c r="U68" i="3"/>
  <c r="W68" i="3" s="1"/>
  <c r="AQ92" i="3"/>
  <c r="AW92" i="3"/>
  <c r="CH92" i="3"/>
  <c r="CQ92" i="3"/>
  <c r="J92" i="3"/>
  <c r="CI92" i="3"/>
  <c r="CP92" i="3"/>
  <c r="O92" i="3"/>
  <c r="Q92" i="3"/>
  <c r="F116" i="3" a="1"/>
  <c r="H116" i="3" a="1"/>
  <c r="I116" i="3" a="1"/>
  <c r="J116" i="3" s="1"/>
  <c r="T116" i="3" s="1"/>
  <c r="L116" i="3" a="1"/>
  <c r="M116" i="3" a="1"/>
  <c r="O116" i="3" s="1"/>
  <c r="P116" i="3" a="1"/>
  <c r="Q116" i="3" s="1"/>
  <c r="V116" i="3" s="1"/>
  <c r="AZ116" i="3" a="1"/>
  <c r="BA116" i="3" a="1"/>
  <c r="BC116" i="3" a="1"/>
  <c r="BD116" i="3" a="1"/>
  <c r="D140" i="3"/>
  <c r="Y67" i="3"/>
  <c r="U67" i="3"/>
  <c r="W67" i="3" s="1"/>
  <c r="AQ91" i="3"/>
  <c r="AW91" i="3"/>
  <c r="CH91" i="3"/>
  <c r="CQ91" i="3"/>
  <c r="J91" i="3"/>
  <c r="CI91" i="3"/>
  <c r="CP91" i="3"/>
  <c r="O91" i="3"/>
  <c r="Q91" i="3"/>
  <c r="F115" i="3" a="1"/>
  <c r="H115" i="3" a="1"/>
  <c r="I115" i="3" a="1"/>
  <c r="J115" i="3" s="1"/>
  <c r="T115" i="3" s="1"/>
  <c r="L115" i="3" a="1"/>
  <c r="M115" i="3" a="1"/>
  <c r="O115" i="3" s="1"/>
  <c r="P115" i="3" a="1"/>
  <c r="Q115" i="3" s="1"/>
  <c r="V115" i="3" s="1"/>
  <c r="AZ115" i="3" a="1"/>
  <c r="BA115" i="3" a="1"/>
  <c r="BC115" i="3" a="1"/>
  <c r="BD115" i="3" a="1"/>
  <c r="D139" i="3"/>
  <c r="Y66" i="3"/>
  <c r="U66" i="3"/>
  <c r="W66" i="3" s="1"/>
  <c r="AQ90" i="3"/>
  <c r="AW90" i="3"/>
  <c r="CH90" i="3"/>
  <c r="CQ90" i="3"/>
  <c r="J90" i="3"/>
  <c r="CI90" i="3"/>
  <c r="CP90" i="3"/>
  <c r="O90" i="3"/>
  <c r="Q90" i="3"/>
  <c r="F114" i="3" a="1"/>
  <c r="H114" i="3" a="1"/>
  <c r="I114" i="3" a="1"/>
  <c r="J114" i="3" s="1"/>
  <c r="T114" i="3" s="1"/>
  <c r="L114" i="3" a="1"/>
  <c r="M114" i="3" a="1"/>
  <c r="O114" i="3" s="1"/>
  <c r="P114" i="3" a="1"/>
  <c r="Q114" i="3" s="1"/>
  <c r="V114" i="3" s="1"/>
  <c r="AZ114" i="3" a="1"/>
  <c r="BA114" i="3" a="1"/>
  <c r="BC114" i="3" a="1"/>
  <c r="BD114" i="3" a="1"/>
  <c r="D138" i="3"/>
  <c r="Y65" i="3"/>
  <c r="U65" i="3"/>
  <c r="W65" i="3" s="1"/>
  <c r="AQ89" i="3"/>
  <c r="AW89" i="3"/>
  <c r="CH89" i="3"/>
  <c r="CQ89" i="3"/>
  <c r="J89" i="3"/>
  <c r="CI89" i="3"/>
  <c r="CP89" i="3"/>
  <c r="O89" i="3"/>
  <c r="Q89" i="3"/>
  <c r="F113" i="3" a="1"/>
  <c r="H113" i="3" a="1"/>
  <c r="I113" i="3" a="1"/>
  <c r="J113" i="3" s="1"/>
  <c r="T113" i="3" s="1"/>
  <c r="L113" i="3" a="1"/>
  <c r="M113" i="3" a="1"/>
  <c r="O113" i="3" s="1"/>
  <c r="P113" i="3" a="1"/>
  <c r="Q113" i="3" s="1"/>
  <c r="V113" i="3" s="1"/>
  <c r="AZ113" i="3" a="1"/>
  <c r="BA113" i="3" a="1"/>
  <c r="BC113" i="3" a="1"/>
  <c r="BD113" i="3" a="1"/>
  <c r="D137" i="3"/>
  <c r="Y64" i="3"/>
  <c r="U64" i="3"/>
  <c r="W64" i="3" s="1"/>
  <c r="AQ88" i="3"/>
  <c r="AW88" i="3"/>
  <c r="CH88" i="3"/>
  <c r="CQ88" i="3"/>
  <c r="J88" i="3"/>
  <c r="CI88" i="3"/>
  <c r="CP88" i="3"/>
  <c r="O88" i="3"/>
  <c r="Q88" i="3"/>
  <c r="F112" i="3" a="1"/>
  <c r="H112" i="3" a="1"/>
  <c r="I112" i="3" a="1"/>
  <c r="J112" i="3" s="1"/>
  <c r="T112" i="3" s="1"/>
  <c r="L112" i="3" a="1"/>
  <c r="M112" i="3" a="1"/>
  <c r="O112" i="3" s="1"/>
  <c r="P112" i="3" a="1"/>
  <c r="Q112" i="3" s="1"/>
  <c r="V112" i="3" s="1"/>
  <c r="AZ112" i="3" a="1"/>
  <c r="BA112" i="3" a="1"/>
  <c r="BC112" i="3" a="1"/>
  <c r="BD112" i="3" a="1"/>
  <c r="D136" i="3"/>
  <c r="Y63" i="3"/>
  <c r="U63" i="3"/>
  <c r="W63" i="3" s="1"/>
  <c r="AQ87" i="3"/>
  <c r="AW87" i="3"/>
  <c r="CH87" i="3"/>
  <c r="CQ87" i="3"/>
  <c r="J87" i="3"/>
  <c r="CI87" i="3"/>
  <c r="CP87" i="3"/>
  <c r="O87" i="3"/>
  <c r="Q87" i="3"/>
  <c r="F111" i="3" a="1"/>
  <c r="H111" i="3" a="1"/>
  <c r="I111" i="3" a="1"/>
  <c r="J111" i="3" s="1"/>
  <c r="T111" i="3" s="1"/>
  <c r="L111" i="3" a="1"/>
  <c r="M111" i="3" a="1"/>
  <c r="O111" i="3" s="1"/>
  <c r="P111" i="3" a="1"/>
  <c r="Q111" i="3" s="1"/>
  <c r="V111" i="3" s="1"/>
  <c r="AZ111" i="3" a="1"/>
  <c r="BA111" i="3" a="1"/>
  <c r="BC111" i="3" a="1"/>
  <c r="BD111" i="3" a="1"/>
  <c r="D135" i="3"/>
  <c r="Y62" i="3"/>
  <c r="U62" i="3"/>
  <c r="W62" i="3" s="1"/>
  <c r="AQ86" i="3"/>
  <c r="AW86" i="3"/>
  <c r="CH86" i="3"/>
  <c r="CQ86" i="3"/>
  <c r="J86" i="3"/>
  <c r="CI86" i="3"/>
  <c r="CP86" i="3"/>
  <c r="O86" i="3"/>
  <c r="Q86" i="3"/>
  <c r="F110" i="3" a="1"/>
  <c r="H110" i="3" a="1"/>
  <c r="I110" i="3" a="1"/>
  <c r="J110" i="3" s="1"/>
  <c r="T110" i="3" s="1"/>
  <c r="L110" i="3" a="1"/>
  <c r="M110" i="3" a="1"/>
  <c r="O110" i="3" s="1"/>
  <c r="P110" i="3" a="1"/>
  <c r="Q110" i="3" s="1"/>
  <c r="V110" i="3" s="1"/>
  <c r="AZ110" i="3" a="1"/>
  <c r="BA110" i="3" a="1"/>
  <c r="BC110" i="3" a="1"/>
  <c r="BD110" i="3" a="1"/>
  <c r="D134" i="3"/>
  <c r="Y61" i="3"/>
  <c r="U61" i="3"/>
  <c r="W61" i="3" s="1"/>
  <c r="AQ85" i="3"/>
  <c r="AW85" i="3"/>
  <c r="CH85" i="3"/>
  <c r="CQ85" i="3"/>
  <c r="J85" i="3"/>
  <c r="CI85" i="3"/>
  <c r="CP85" i="3"/>
  <c r="O85" i="3"/>
  <c r="Q85" i="3"/>
  <c r="F109" i="3" a="1"/>
  <c r="H109" i="3" a="1"/>
  <c r="I109" i="3" a="1"/>
  <c r="J109" i="3" s="1"/>
  <c r="T109" i="3" s="1"/>
  <c r="L109" i="3" a="1"/>
  <c r="M109" i="3" a="1"/>
  <c r="O109" i="3" s="1"/>
  <c r="P109" i="3" a="1"/>
  <c r="Q109" i="3" s="1"/>
  <c r="V109" i="3" s="1"/>
  <c r="AZ109" i="3" a="1"/>
  <c r="BA109" i="3" a="1"/>
  <c r="BC109" i="3" a="1"/>
  <c r="BD109" i="3" a="1"/>
  <c r="D133" i="3"/>
  <c r="Y60" i="3"/>
  <c r="U60" i="3"/>
  <c r="W60" i="3" s="1"/>
  <c r="AQ84" i="3"/>
  <c r="AW84" i="3"/>
  <c r="CH84" i="3"/>
  <c r="CQ84" i="3"/>
  <c r="J84" i="3"/>
  <c r="CI84" i="3"/>
  <c r="CP84" i="3"/>
  <c r="O84" i="3"/>
  <c r="Q84" i="3"/>
  <c r="F108" i="3" a="1"/>
  <c r="H108" i="3" a="1"/>
  <c r="I108" i="3" a="1"/>
  <c r="J108" i="3" s="1"/>
  <c r="T108" i="3" s="1"/>
  <c r="L108" i="3" a="1"/>
  <c r="M108" i="3" a="1"/>
  <c r="O108" i="3" s="1"/>
  <c r="P108" i="3" a="1"/>
  <c r="Q108" i="3" s="1"/>
  <c r="V108" i="3" s="1"/>
  <c r="AZ108" i="3" a="1"/>
  <c r="BA108" i="3" a="1"/>
  <c r="BC108" i="3" a="1"/>
  <c r="BD108" i="3" a="1"/>
  <c r="D132" i="3"/>
  <c r="Y59" i="3"/>
  <c r="U59" i="3"/>
  <c r="W59" i="3" s="1"/>
  <c r="AQ83" i="3"/>
  <c r="AW83" i="3"/>
  <c r="CH83" i="3"/>
  <c r="CQ83" i="3"/>
  <c r="J83" i="3"/>
  <c r="CI83" i="3"/>
  <c r="CP83" i="3"/>
  <c r="O83" i="3"/>
  <c r="Q83" i="3"/>
  <c r="F107" i="3" a="1"/>
  <c r="H107" i="3" a="1"/>
  <c r="I107" i="3" a="1"/>
  <c r="J107" i="3" s="1"/>
  <c r="T107" i="3" s="1"/>
  <c r="L107" i="3" a="1"/>
  <c r="M107" i="3" a="1"/>
  <c r="O107" i="3" s="1"/>
  <c r="P107" i="3" a="1"/>
  <c r="Q107" i="3" s="1"/>
  <c r="V107" i="3" s="1"/>
  <c r="AZ107" i="3" a="1"/>
  <c r="BA107" i="3" a="1"/>
  <c r="BC107" i="3" a="1"/>
  <c r="BD107" i="3" a="1"/>
  <c r="D131" i="3"/>
  <c r="Y58" i="3"/>
  <c r="U58" i="3"/>
  <c r="W58" i="3" s="1"/>
  <c r="AQ82" i="3"/>
  <c r="AW82" i="3"/>
  <c r="CH82" i="3"/>
  <c r="CQ82" i="3"/>
  <c r="J82" i="3"/>
  <c r="CI82" i="3"/>
  <c r="CP82" i="3"/>
  <c r="O82" i="3"/>
  <c r="Q82" i="3"/>
  <c r="F106" i="3" a="1"/>
  <c r="H106" i="3" a="1"/>
  <c r="I106" i="3" a="1"/>
  <c r="J106" i="3" s="1"/>
  <c r="T106" i="3" s="1"/>
  <c r="L106" i="3" a="1"/>
  <c r="M106" i="3" a="1"/>
  <c r="O106" i="3" s="1"/>
  <c r="P106" i="3" a="1"/>
  <c r="Q106" i="3" s="1"/>
  <c r="V106" i="3" s="1"/>
  <c r="AZ106" i="3" a="1"/>
  <c r="BA106" i="3" a="1"/>
  <c r="BC106" i="3" a="1"/>
  <c r="BD106" i="3" a="1"/>
  <c r="D130" i="3"/>
  <c r="Y57" i="3"/>
  <c r="U57" i="3"/>
  <c r="W57" i="3" s="1"/>
  <c r="AQ81" i="3"/>
  <c r="AW81" i="3"/>
  <c r="CH81" i="3"/>
  <c r="CQ81" i="3"/>
  <c r="J81" i="3"/>
  <c r="CI81" i="3"/>
  <c r="CP81" i="3"/>
  <c r="O81" i="3"/>
  <c r="Q81" i="3"/>
  <c r="F105" i="3" a="1"/>
  <c r="H105" i="3" a="1"/>
  <c r="I105" i="3" a="1"/>
  <c r="J105" i="3" s="1"/>
  <c r="T105" i="3" s="1"/>
  <c r="L105" i="3" a="1"/>
  <c r="M105" i="3" a="1"/>
  <c r="O105" i="3" s="1"/>
  <c r="P105" i="3" a="1"/>
  <c r="Q105" i="3" s="1"/>
  <c r="V105" i="3" s="1"/>
  <c r="AZ105" i="3" a="1"/>
  <c r="BA105" i="3" a="1"/>
  <c r="BC105" i="3" a="1"/>
  <c r="BD105" i="3" a="1"/>
  <c r="D129" i="3"/>
  <c r="Y56" i="3"/>
  <c r="U56" i="3"/>
  <c r="W56" i="3" s="1"/>
  <c r="AQ80" i="3"/>
  <c r="AW80" i="3"/>
  <c r="CH80" i="3"/>
  <c r="CQ80" i="3"/>
  <c r="J80" i="3"/>
  <c r="CI80" i="3"/>
  <c r="CP80" i="3"/>
  <c r="O80" i="3"/>
  <c r="Q80" i="3"/>
  <c r="F104" i="3" a="1"/>
  <c r="H104" i="3" a="1"/>
  <c r="I104" i="3" a="1"/>
  <c r="J104" i="3" s="1"/>
  <c r="T104" i="3" s="1"/>
  <c r="L104" i="3" a="1"/>
  <c r="M104" i="3" a="1"/>
  <c r="O104" i="3" s="1"/>
  <c r="P104" i="3" a="1"/>
  <c r="Q104" i="3" s="1"/>
  <c r="V104" i="3" s="1"/>
  <c r="AZ104" i="3" a="1"/>
  <c r="BA104" i="3" a="1"/>
  <c r="BC104" i="3" a="1"/>
  <c r="BD104" i="3" a="1"/>
  <c r="D128" i="3"/>
  <c r="Y55" i="3"/>
  <c r="U55" i="3"/>
  <c r="W55" i="3" s="1"/>
  <c r="AQ79" i="3"/>
  <c r="AW79" i="3"/>
  <c r="CH79" i="3"/>
  <c r="CQ79" i="3"/>
  <c r="J79" i="3"/>
  <c r="CI79" i="3"/>
  <c r="CP79" i="3"/>
  <c r="O79" i="3"/>
  <c r="Q79" i="3"/>
  <c r="F103" i="3" a="1"/>
  <c r="H103" i="3" a="1"/>
  <c r="I103" i="3" a="1"/>
  <c r="J103" i="3" s="1"/>
  <c r="T103" i="3" s="1"/>
  <c r="L103" i="3" a="1"/>
  <c r="M103" i="3" a="1"/>
  <c r="O103" i="3" s="1"/>
  <c r="P103" i="3" a="1"/>
  <c r="Q103" i="3" s="1"/>
  <c r="V103" i="3" s="1"/>
  <c r="AZ103" i="3" a="1"/>
  <c r="BA103" i="3" a="1"/>
  <c r="BC103" i="3" a="1"/>
  <c r="BD103" i="3" a="1"/>
  <c r="D127" i="3"/>
  <c r="Y54" i="3"/>
  <c r="U54" i="3"/>
  <c r="W54" i="3" s="1"/>
  <c r="AQ78" i="3"/>
  <c r="AW78" i="3"/>
  <c r="CH78" i="3"/>
  <c r="CQ78" i="3"/>
  <c r="J78" i="3"/>
  <c r="CI78" i="3"/>
  <c r="CP78" i="3"/>
  <c r="O78" i="3"/>
  <c r="Q78" i="3"/>
  <c r="F102" i="3" a="1"/>
  <c r="H102" i="3" a="1"/>
  <c r="I102" i="3" a="1"/>
  <c r="J102" i="3" s="1"/>
  <c r="T102" i="3" s="1"/>
  <c r="L102" i="3" a="1"/>
  <c r="M102" i="3" a="1"/>
  <c r="O102" i="3" s="1"/>
  <c r="P102" i="3" a="1"/>
  <c r="Q102" i="3" s="1"/>
  <c r="V102" i="3" s="1"/>
  <c r="AZ102" i="3" a="1"/>
  <c r="BA102" i="3" a="1"/>
  <c r="BC102" i="3" a="1"/>
  <c r="BD102" i="3" a="1"/>
  <c r="D126" i="3"/>
  <c r="Y53" i="3"/>
  <c r="U53" i="3"/>
  <c r="W53" i="3" s="1"/>
  <c r="AQ77" i="3"/>
  <c r="AW77" i="3"/>
  <c r="CH77" i="3"/>
  <c r="CQ77" i="3"/>
  <c r="J77" i="3"/>
  <c r="CI77" i="3"/>
  <c r="CP77" i="3"/>
  <c r="O77" i="3"/>
  <c r="Q77" i="3"/>
  <c r="F101" i="3" a="1"/>
  <c r="H101" i="3" a="1"/>
  <c r="I101" i="3" a="1"/>
  <c r="J101" i="3" s="1"/>
  <c r="T101" i="3" s="1"/>
  <c r="L101" i="3" a="1"/>
  <c r="M101" i="3" a="1"/>
  <c r="O101" i="3" s="1"/>
  <c r="P101" i="3" a="1"/>
  <c r="Q101" i="3" s="1"/>
  <c r="V101" i="3" s="1"/>
  <c r="AZ101" i="3" a="1"/>
  <c r="BA101" i="3" a="1"/>
  <c r="BC101" i="3" a="1"/>
  <c r="BD101" i="3" a="1"/>
  <c r="D125" i="3"/>
  <c r="Y52" i="3"/>
  <c r="U52" i="3"/>
  <c r="W52" i="3" s="1"/>
  <c r="AQ76" i="3"/>
  <c r="AW76" i="3"/>
  <c r="CH76" i="3"/>
  <c r="CQ76" i="3"/>
  <c r="J76" i="3"/>
  <c r="CI76" i="3"/>
  <c r="CP76" i="3"/>
  <c r="O76" i="3"/>
  <c r="Q76" i="3"/>
  <c r="F100" i="3" a="1"/>
  <c r="H100" i="3" a="1"/>
  <c r="I100" i="3" a="1"/>
  <c r="J100" i="3" s="1"/>
  <c r="T100" i="3" s="1"/>
  <c r="L100" i="3" a="1"/>
  <c r="M100" i="3" a="1"/>
  <c r="O100" i="3" s="1"/>
  <c r="P100" i="3" a="1"/>
  <c r="Q100" i="3" s="1"/>
  <c r="V100" i="3" s="1"/>
  <c r="AZ100" i="3" a="1"/>
  <c r="BA100" i="3" a="1"/>
  <c r="BC100" i="3" a="1"/>
  <c r="BD100" i="3" a="1"/>
  <c r="D124" i="3"/>
  <c r="Y51" i="3"/>
  <c r="U51" i="3"/>
  <c r="W51" i="3" s="1"/>
  <c r="AQ75" i="3"/>
  <c r="AW75" i="3"/>
  <c r="CH75" i="3"/>
  <c r="CQ75" i="3"/>
  <c r="J75" i="3"/>
  <c r="CI75" i="3"/>
  <c r="CP75" i="3"/>
  <c r="O75" i="3"/>
  <c r="Q75" i="3"/>
  <c r="F99" i="3" a="1"/>
  <c r="H99" i="3" a="1"/>
  <c r="I99" i="3" a="1"/>
  <c r="J99" i="3" s="1"/>
  <c r="T99" i="3" s="1"/>
  <c r="L99" i="3" a="1"/>
  <c r="M99" i="3" a="1"/>
  <c r="O99" i="3" s="1"/>
  <c r="P99" i="3" a="1"/>
  <c r="Q99" i="3" s="1"/>
  <c r="V99" i="3" s="1"/>
  <c r="AZ99" i="3" a="1"/>
  <c r="BA99" i="3" a="1"/>
  <c r="BC99" i="3" a="1"/>
  <c r="BD99" i="3" a="1"/>
  <c r="D123" i="3"/>
  <c r="Y50" i="3"/>
  <c r="U50" i="3"/>
  <c r="W50" i="3" s="1"/>
  <c r="AQ74" i="3"/>
  <c r="AW74" i="3"/>
  <c r="CH74" i="3"/>
  <c r="CQ74" i="3"/>
  <c r="J74" i="3"/>
  <c r="CI74" i="3"/>
  <c r="CP74" i="3"/>
  <c r="O74" i="3"/>
  <c r="Q74" i="3"/>
  <c r="F98" i="3" a="1"/>
  <c r="H98" i="3" a="1"/>
  <c r="I98" i="3" a="1"/>
  <c r="J98" i="3" s="1"/>
  <c r="T98" i="3" s="1"/>
  <c r="L98" i="3" a="1"/>
  <c r="M98" i="3" a="1"/>
  <c r="O98" i="3" s="1"/>
  <c r="P98" i="3" a="1"/>
  <c r="Q98" i="3" s="1"/>
  <c r="V98" i="3" s="1"/>
  <c r="AZ98" i="3" a="1"/>
  <c r="BA98" i="3" a="1"/>
  <c r="BC98" i="3" a="1"/>
  <c r="BD98" i="3" a="1"/>
  <c r="BX98" i="3" a="1"/>
  <c r="D122" i="3"/>
  <c r="Y49" i="3"/>
  <c r="U49" i="3"/>
  <c r="W49" i="3" s="1"/>
  <c r="AQ73" i="3"/>
  <c r="AW73" i="3"/>
  <c r="CH73" i="3"/>
  <c r="CQ73" i="3"/>
  <c r="J73" i="3"/>
  <c r="CI73" i="3"/>
  <c r="CP73" i="3"/>
  <c r="O73" i="3"/>
  <c r="Q73" i="3"/>
  <c r="F97" i="3" a="1"/>
  <c r="H97" i="3" a="1"/>
  <c r="I97" i="3" a="1"/>
  <c r="J97" i="3" s="1"/>
  <c r="T97" i="3" s="1"/>
  <c r="L97" i="3" a="1"/>
  <c r="M97" i="3" a="1"/>
  <c r="O97" i="3" s="1"/>
  <c r="P97" i="3" a="1"/>
  <c r="Q97" i="3" s="1"/>
  <c r="V97" i="3" s="1"/>
  <c r="AZ97" i="3" a="1"/>
  <c r="BA97" i="3" a="1"/>
  <c r="BC97" i="3" a="1"/>
  <c r="BD97" i="3" a="1"/>
  <c r="BX97" i="3" a="1"/>
  <c r="D121" i="3"/>
  <c r="Y48" i="3"/>
  <c r="U48" i="3"/>
  <c r="W48" i="3" s="1"/>
  <c r="AQ72" i="3"/>
  <c r="AW72" i="3"/>
  <c r="CH72" i="3"/>
  <c r="CQ72" i="3"/>
  <c r="J72" i="3"/>
  <c r="CI72" i="3"/>
  <c r="CP72" i="3"/>
  <c r="O72" i="3"/>
  <c r="Q72" i="3"/>
  <c r="F96" i="3" a="1"/>
  <c r="H96" i="3" a="1"/>
  <c r="I96" i="3" a="1"/>
  <c r="J96" i="3" s="1"/>
  <c r="T96" i="3" s="1"/>
  <c r="L96" i="3" a="1"/>
  <c r="M96" i="3" a="1"/>
  <c r="O96" i="3" s="1"/>
  <c r="P96" i="3" a="1"/>
  <c r="Q96" i="3" s="1"/>
  <c r="V96" i="3" s="1"/>
  <c r="AZ96" i="3" a="1"/>
  <c r="BA96" i="3" a="1"/>
  <c r="BC96" i="3" a="1"/>
  <c r="BD96" i="3" a="1"/>
  <c r="BX96" i="3" a="1"/>
  <c r="D120" i="3"/>
  <c r="Y21" i="3"/>
  <c r="U21" i="3"/>
  <c r="W21" i="3" s="1"/>
  <c r="H185" i="4"/>
  <c r="AB184" i="4"/>
  <c r="AA184" i="4" s="1"/>
  <c r="B148" i="4"/>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73" i="4" s="1"/>
  <c r="B174" i="4" s="1"/>
  <c r="B146" i="4"/>
  <c r="B147" i="4" s="1"/>
  <c r="J13" i="4"/>
  <c r="B21" i="13"/>
  <c r="B47" i="13"/>
  <c r="B75" i="13"/>
  <c r="B20" i="19"/>
  <c r="AU30" i="13"/>
  <c r="AU32" i="13" s="1"/>
  <c r="BC18" i="13"/>
  <c r="BL17" i="13"/>
  <c r="Y22" i="3"/>
  <c r="U22" i="3"/>
  <c r="W22" i="3" s="1"/>
  <c r="Y23" i="3"/>
  <c r="U23" i="3"/>
  <c r="W23" i="3" s="1"/>
  <c r="Y47" i="3"/>
  <c r="U47" i="3"/>
  <c r="W47" i="3" s="1"/>
  <c r="Y46" i="3"/>
  <c r="U46" i="3"/>
  <c r="W46" i="3" s="1"/>
  <c r="N77" i="10"/>
  <c r="M77" i="10" s="1"/>
  <c r="AU19" i="13"/>
  <c r="CQ71" i="3"/>
  <c r="CH71" i="3"/>
  <c r="AW71" i="3"/>
  <c r="AQ71" i="3"/>
  <c r="J71" i="3"/>
  <c r="CP71" i="3"/>
  <c r="CI71" i="3"/>
  <c r="O71" i="3"/>
  <c r="Q71" i="3"/>
  <c r="CQ70" i="3"/>
  <c r="CH70" i="3"/>
  <c r="AW70" i="3"/>
  <c r="AQ70" i="3"/>
  <c r="J70" i="3"/>
  <c r="CP70" i="3"/>
  <c r="CI70" i="3"/>
  <c r="O70" i="3"/>
  <c r="Q70" i="3"/>
  <c r="R45" i="3"/>
  <c r="V45" i="3"/>
  <c r="T45" i="3"/>
  <c r="H95" i="3" a="1"/>
  <c r="I95" i="3" a="1"/>
  <c r="J95" i="3" s="1"/>
  <c r="T95" i="3" s="1"/>
  <c r="L95" i="3" a="1"/>
  <c r="M95" i="3" a="1"/>
  <c r="O95" i="3" s="1"/>
  <c r="P95" i="3" a="1"/>
  <c r="Q95" i="3" s="1"/>
  <c r="V95" i="3" s="1"/>
  <c r="AZ95" i="3" a="1"/>
  <c r="BA95" i="3" a="1"/>
  <c r="BC95" i="3" a="1"/>
  <c r="BD95" i="3" a="1"/>
  <c r="BX95" i="3" a="1"/>
  <c r="H94" i="3" a="1"/>
  <c r="I94" i="3" a="1"/>
  <c r="L94" i="3" a="1"/>
  <c r="M94" i="3" a="1"/>
  <c r="P94" i="3" a="1"/>
  <c r="AZ94" i="3" a="1"/>
  <c r="BA94" i="3" a="1"/>
  <c r="BC94" i="3" a="1"/>
  <c r="BD94" i="3" a="1"/>
  <c r="BX94" i="3" a="1"/>
  <c r="Z57" i="3" l="1"/>
  <c r="AC57" i="3" s="1"/>
  <c r="AD57" i="3" s="1"/>
  <c r="CR29" i="3"/>
  <c r="BR29" i="3"/>
  <c r="AA29" i="3"/>
  <c r="AE29" i="3" s="1"/>
  <c r="AF29" i="3" s="1"/>
  <c r="AG29" i="3" s="1"/>
  <c r="AH29" i="3" s="1"/>
  <c r="CR33" i="3"/>
  <c r="AA33" i="3"/>
  <c r="AE33" i="3" s="1"/>
  <c r="AF33" i="3" s="1"/>
  <c r="AG33" i="3" s="1"/>
  <c r="AH33" i="3" s="1"/>
  <c r="BR33" i="3"/>
  <c r="CR30" i="3"/>
  <c r="BR30" i="3"/>
  <c r="AA30" i="3"/>
  <c r="AE30" i="3" s="1"/>
  <c r="AF30" i="3" s="1"/>
  <c r="AG30" i="3" s="1"/>
  <c r="AH30" i="3" s="1"/>
  <c r="CR41" i="3"/>
  <c r="BR41" i="3"/>
  <c r="AA41" i="3"/>
  <c r="AE41" i="3" s="1"/>
  <c r="AF41" i="3" s="1"/>
  <c r="AG41" i="3" s="1"/>
  <c r="AH41" i="3" s="1"/>
  <c r="Z48" i="3"/>
  <c r="AC48" i="3" s="1"/>
  <c r="AD48" i="3" s="1"/>
  <c r="Z22" i="3"/>
  <c r="AC22" i="3" s="1"/>
  <c r="AD22" i="3" s="1"/>
  <c r="CR32" i="3"/>
  <c r="AA32" i="3"/>
  <c r="AE32" i="3" s="1"/>
  <c r="AF32" i="3" s="1"/>
  <c r="AG32" i="3" s="1"/>
  <c r="AH32" i="3" s="1"/>
  <c r="BR32" i="3"/>
  <c r="CR26" i="3"/>
  <c r="BR26" i="3"/>
  <c r="AA26" i="3"/>
  <c r="AE26" i="3" s="1"/>
  <c r="AF26" i="3" s="1"/>
  <c r="AG26" i="3" s="1"/>
  <c r="AH26" i="3" s="1"/>
  <c r="CR35" i="3"/>
  <c r="AA35" i="3"/>
  <c r="AE35" i="3" s="1"/>
  <c r="AF35" i="3" s="1"/>
  <c r="AG35" i="3" s="1"/>
  <c r="AH35" i="3" s="1"/>
  <c r="BR35" i="3"/>
  <c r="CR24" i="3"/>
  <c r="BR24" i="3"/>
  <c r="AA24" i="3"/>
  <c r="AE24" i="3" s="1"/>
  <c r="AF24" i="3" s="1"/>
  <c r="AG24" i="3" s="1"/>
  <c r="AH24" i="3" s="1"/>
  <c r="CR28" i="3"/>
  <c r="AA28" i="3"/>
  <c r="AE28" i="3" s="1"/>
  <c r="AF28" i="3" s="1"/>
  <c r="AG28" i="3" s="1"/>
  <c r="AH28" i="3" s="1"/>
  <c r="BR28" i="3"/>
  <c r="CR34" i="3"/>
  <c r="BR34" i="3"/>
  <c r="AA34" i="3"/>
  <c r="AE34" i="3" s="1"/>
  <c r="AF34" i="3" s="1"/>
  <c r="AG34" i="3" s="1"/>
  <c r="AH34" i="3" s="1"/>
  <c r="CR31" i="3"/>
  <c r="BR31" i="3"/>
  <c r="AA31" i="3"/>
  <c r="AE31" i="3" s="1"/>
  <c r="AF31" i="3" s="1"/>
  <c r="AG31" i="3" s="1"/>
  <c r="AH31" i="3" s="1"/>
  <c r="CR25" i="3"/>
  <c r="BR25" i="3"/>
  <c r="AA25" i="3"/>
  <c r="AE25" i="3" s="1"/>
  <c r="AF25" i="3" s="1"/>
  <c r="AG25" i="3" s="1"/>
  <c r="AH25" i="3" s="1"/>
  <c r="Z63" i="3"/>
  <c r="AC63" i="3" s="1"/>
  <c r="AD63" i="3" s="1"/>
  <c r="Z67" i="3"/>
  <c r="AC67" i="3" s="1"/>
  <c r="AD67" i="3" s="1"/>
  <c r="Z53" i="3"/>
  <c r="AC53" i="3" s="1"/>
  <c r="AD53" i="3" s="1"/>
  <c r="Z60" i="3"/>
  <c r="AC60" i="3" s="1"/>
  <c r="AD60" i="3" s="1"/>
  <c r="Z56" i="3"/>
  <c r="AC56" i="3" s="1"/>
  <c r="AD56" i="3" s="1"/>
  <c r="Z58" i="3"/>
  <c r="AC58" i="3" s="1"/>
  <c r="AD58" i="3" s="1"/>
  <c r="Z68" i="3"/>
  <c r="AC68" i="3" s="1"/>
  <c r="AD68" i="3" s="1"/>
  <c r="Z46" i="3"/>
  <c r="AC46" i="3" s="1"/>
  <c r="AD46" i="3" s="1"/>
  <c r="Z52" i="3"/>
  <c r="AC52" i="3" s="1"/>
  <c r="AD52" i="3" s="1"/>
  <c r="CR38" i="3"/>
  <c r="BR38" i="3"/>
  <c r="AA38" i="3"/>
  <c r="AE38" i="3" s="1"/>
  <c r="AF38" i="3" s="1"/>
  <c r="AG38" i="3" s="1"/>
  <c r="AH38" i="3" s="1"/>
  <c r="CR27" i="3"/>
  <c r="BR27" i="3"/>
  <c r="AA27" i="3"/>
  <c r="AE27" i="3" s="1"/>
  <c r="AF27" i="3" s="1"/>
  <c r="AG27" i="3" s="1"/>
  <c r="AH27" i="3" s="1"/>
  <c r="Z23" i="3"/>
  <c r="AC23" i="3" s="1"/>
  <c r="AD23" i="3" s="1"/>
  <c r="CR37" i="3"/>
  <c r="BR37" i="3"/>
  <c r="AA37" i="3"/>
  <c r="AE37" i="3" s="1"/>
  <c r="AF37" i="3" s="1"/>
  <c r="AG37" i="3" s="1"/>
  <c r="AH37" i="3" s="1"/>
  <c r="Z55" i="3"/>
  <c r="AC55" i="3" s="1"/>
  <c r="AD55" i="3" s="1"/>
  <c r="Z54" i="3"/>
  <c r="AC54" i="3" s="1"/>
  <c r="AD54" i="3" s="1"/>
  <c r="Z59" i="3"/>
  <c r="AC59" i="3" s="1"/>
  <c r="AD59" i="3" s="1"/>
  <c r="Z64" i="3"/>
  <c r="AC64" i="3" s="1"/>
  <c r="AD64" i="3" s="1"/>
  <c r="CR44" i="3"/>
  <c r="BR44" i="3"/>
  <c r="AA44" i="3"/>
  <c r="AE44" i="3" s="1"/>
  <c r="Z49" i="3"/>
  <c r="AC49" i="3" s="1"/>
  <c r="AD49" i="3" s="1"/>
  <c r="CR42" i="3"/>
  <c r="BR42" i="3"/>
  <c r="AA42" i="3"/>
  <c r="AE42" i="3" s="1"/>
  <c r="AF42" i="3" s="1"/>
  <c r="AG42" i="3" s="1"/>
  <c r="AH42" i="3" s="1"/>
  <c r="CR43" i="3"/>
  <c r="BR43" i="3"/>
  <c r="AA43" i="3"/>
  <c r="AE43" i="3" s="1"/>
  <c r="AF43" i="3" s="1"/>
  <c r="AG43" i="3" s="1"/>
  <c r="AH43" i="3" s="1"/>
  <c r="CR40" i="3"/>
  <c r="AA40" i="3"/>
  <c r="AE40" i="3" s="1"/>
  <c r="AF40" i="3" s="1"/>
  <c r="AG40" i="3" s="1"/>
  <c r="AH40" i="3" s="1"/>
  <c r="BR40" i="3"/>
  <c r="Z62" i="3"/>
  <c r="AC62" i="3" s="1"/>
  <c r="AD62" i="3" s="1"/>
  <c r="Z51" i="3"/>
  <c r="AC51" i="3" s="1"/>
  <c r="AD51" i="3" s="1"/>
  <c r="Z66" i="3"/>
  <c r="AC66" i="3" s="1"/>
  <c r="AD66" i="3" s="1"/>
  <c r="Z65" i="3"/>
  <c r="AC65" i="3" s="1"/>
  <c r="AD65" i="3" s="1"/>
  <c r="Z61" i="3"/>
  <c r="AC61" i="3" s="1"/>
  <c r="AD61" i="3" s="1"/>
  <c r="CR36" i="3"/>
  <c r="AA36" i="3"/>
  <c r="AE36" i="3" s="1"/>
  <c r="AF36" i="3" s="1"/>
  <c r="AG36" i="3" s="1"/>
  <c r="AH36" i="3" s="1"/>
  <c r="BR36" i="3"/>
  <c r="CR39" i="3"/>
  <c r="AA39" i="3"/>
  <c r="AE39" i="3" s="1"/>
  <c r="AF39" i="3" s="1"/>
  <c r="AG39" i="3" s="1"/>
  <c r="AH39" i="3" s="1"/>
  <c r="BR39" i="3"/>
  <c r="Z50" i="3"/>
  <c r="AC50" i="3" s="1"/>
  <c r="AD50" i="3" s="1"/>
  <c r="CD212" i="3"/>
  <c r="C236" i="3"/>
  <c r="G188" i="3" a="1"/>
  <c r="BB188" i="3" a="1"/>
  <c r="E212" i="3"/>
  <c r="CC212" i="3"/>
  <c r="A236" i="3"/>
  <c r="C211" i="3"/>
  <c r="CD187" i="3"/>
  <c r="A211" i="3"/>
  <c r="CC187" i="3"/>
  <c r="E187" i="3"/>
  <c r="G163" i="3" a="1"/>
  <c r="BB163" i="3" a="1"/>
  <c r="CE163" i="3" a="1"/>
  <c r="B163" i="3" a="1"/>
  <c r="C210" i="3"/>
  <c r="CD186" i="3"/>
  <c r="A210" i="3"/>
  <c r="E186" i="3"/>
  <c r="CC186" i="3"/>
  <c r="BB162" i="3" a="1"/>
  <c r="CE162" i="3" a="1"/>
  <c r="G162" i="3" a="1"/>
  <c r="B162" i="3" a="1"/>
  <c r="C209" i="3"/>
  <c r="CD185" i="3"/>
  <c r="B161" i="3" a="1"/>
  <c r="G161" i="3" a="1"/>
  <c r="BB161" i="3" a="1"/>
  <c r="CE161" i="3" a="1"/>
  <c r="E185" i="3"/>
  <c r="CC185" i="3"/>
  <c r="A209" i="3"/>
  <c r="CD184" i="3"/>
  <c r="C208" i="3"/>
  <c r="B160" i="3" a="1"/>
  <c r="BB160" i="3" a="1"/>
  <c r="CE160" i="3" a="1"/>
  <c r="G160" i="3" a="1"/>
  <c r="CC184" i="3"/>
  <c r="A208" i="3"/>
  <c r="E184" i="3"/>
  <c r="CD183" i="3"/>
  <c r="C207" i="3"/>
  <c r="B159" i="3" a="1"/>
  <c r="BB159" i="3" a="1"/>
  <c r="CE159" i="3" a="1"/>
  <c r="G159" i="3" a="1"/>
  <c r="E183" i="3"/>
  <c r="A207" i="3"/>
  <c r="CC183" i="3"/>
  <c r="C206" i="3"/>
  <c r="CD182" i="3"/>
  <c r="B158" i="3" a="1"/>
  <c r="BB158" i="3" a="1"/>
  <c r="CE158" i="3" a="1"/>
  <c r="G158" i="3" a="1"/>
  <c r="A206" i="3"/>
  <c r="E182" i="3"/>
  <c r="CC182" i="3"/>
  <c r="C205" i="3"/>
  <c r="CD181" i="3"/>
  <c r="B157" i="3" a="1"/>
  <c r="BB157" i="3" a="1"/>
  <c r="CE157" i="3" a="1"/>
  <c r="G157" i="3" a="1"/>
  <c r="E181" i="3"/>
  <c r="CC181" i="3"/>
  <c r="A205" i="3"/>
  <c r="C204" i="3"/>
  <c r="CD180" i="3"/>
  <c r="B156" i="3" a="1"/>
  <c r="BB156" i="3" a="1"/>
  <c r="CE156" i="3" a="1"/>
  <c r="G156" i="3" a="1"/>
  <c r="E180" i="3"/>
  <c r="CC180" i="3"/>
  <c r="A204" i="3"/>
  <c r="C203" i="3"/>
  <c r="CD179" i="3"/>
  <c r="B155" i="3" a="1"/>
  <c r="BB155" i="3" a="1"/>
  <c r="CE155" i="3" a="1"/>
  <c r="G155" i="3" a="1"/>
  <c r="E179" i="3"/>
  <c r="A203" i="3"/>
  <c r="CC179" i="3"/>
  <c r="CD178" i="3"/>
  <c r="C202" i="3"/>
  <c r="B154" i="3" a="1"/>
  <c r="BB154" i="3" a="1"/>
  <c r="CE154" i="3" a="1"/>
  <c r="G154" i="3" a="1"/>
  <c r="E178" i="3"/>
  <c r="CC178" i="3"/>
  <c r="A202" i="3"/>
  <c r="CD177" i="3"/>
  <c r="C201" i="3"/>
  <c r="BB153" i="3" a="1"/>
  <c r="CE153" i="3" a="1"/>
  <c r="G153" i="3" a="1"/>
  <c r="B153" i="3" a="1"/>
  <c r="CC177" i="3"/>
  <c r="E177" i="3"/>
  <c r="A201" i="3"/>
  <c r="CD176" i="3"/>
  <c r="C200" i="3"/>
  <c r="G152" i="3" a="1"/>
  <c r="BB152" i="3" a="1"/>
  <c r="CE152" i="3" a="1"/>
  <c r="B152" i="3" a="1"/>
  <c r="E176" i="3"/>
  <c r="A200" i="3"/>
  <c r="CC176" i="3"/>
  <c r="CD175" i="3"/>
  <c r="C199" i="3"/>
  <c r="G151" i="3" a="1"/>
  <c r="BB151" i="3" a="1"/>
  <c r="CE151" i="3" a="1"/>
  <c r="B151" i="3" a="1"/>
  <c r="E175" i="3"/>
  <c r="A199" i="3"/>
  <c r="CC175" i="3"/>
  <c r="CD174" i="3"/>
  <c r="C198" i="3"/>
  <c r="G150" i="3" a="1"/>
  <c r="BB150" i="3" a="1"/>
  <c r="CE150" i="3" a="1"/>
  <c r="B150" i="3" a="1"/>
  <c r="A198" i="3"/>
  <c r="E174" i="3"/>
  <c r="CC174" i="3"/>
  <c r="CD149" i="3"/>
  <c r="C173" i="3"/>
  <c r="G125" i="3" a="1"/>
  <c r="BB125" i="3" a="1"/>
  <c r="CE125" i="3" a="1"/>
  <c r="B125" i="3" a="1"/>
  <c r="E149" i="3"/>
  <c r="CC149" i="3"/>
  <c r="A173" i="3"/>
  <c r="CD148" i="3"/>
  <c r="C172" i="3"/>
  <c r="G124" i="3" a="1"/>
  <c r="BB124" i="3" a="1"/>
  <c r="CE124" i="3" a="1"/>
  <c r="B124" i="3" a="1"/>
  <c r="E148" i="3"/>
  <c r="CC148" i="3"/>
  <c r="A172" i="3"/>
  <c r="CD147" i="3"/>
  <c r="C171" i="3"/>
  <c r="G123" i="3" a="1"/>
  <c r="BB123" i="3" a="1"/>
  <c r="CE123" i="3" a="1"/>
  <c r="B123" i="3" a="1"/>
  <c r="E147" i="3"/>
  <c r="CC147" i="3"/>
  <c r="A171" i="3"/>
  <c r="CD146" i="3"/>
  <c r="C170" i="3"/>
  <c r="G122" i="3" a="1"/>
  <c r="BB122" i="3" a="1"/>
  <c r="CE122" i="3" a="1"/>
  <c r="B122" i="3" a="1"/>
  <c r="E146" i="3"/>
  <c r="CC146" i="3"/>
  <c r="A170" i="3"/>
  <c r="CD145" i="3"/>
  <c r="C169" i="3"/>
  <c r="G121" i="3" a="1"/>
  <c r="BB121" i="3" a="1"/>
  <c r="CE121" i="3" a="1"/>
  <c r="B121" i="3" a="1"/>
  <c r="E145" i="3"/>
  <c r="CC145" i="3"/>
  <c r="A169" i="3"/>
  <c r="CD144" i="3"/>
  <c r="C168" i="3"/>
  <c r="G120" i="3" a="1"/>
  <c r="BB120" i="3" a="1"/>
  <c r="CE120" i="3" a="1"/>
  <c r="B120" i="3" a="1"/>
  <c r="E144" i="3"/>
  <c r="CC144" i="3"/>
  <c r="A168" i="3"/>
  <c r="F143" i="3" a="1"/>
  <c r="D167" i="3"/>
  <c r="CD143" i="3"/>
  <c r="C167" i="3"/>
  <c r="G119" i="3" a="1"/>
  <c r="BB119" i="3" a="1"/>
  <c r="CE119" i="3" a="1"/>
  <c r="B119" i="3" a="1"/>
  <c r="E143" i="3"/>
  <c r="CC143" i="3"/>
  <c r="A167" i="3"/>
  <c r="F142" i="3" a="1"/>
  <c r="D166" i="3"/>
  <c r="CD142" i="3"/>
  <c r="C166" i="3"/>
  <c r="G118" i="3" a="1"/>
  <c r="BB118" i="3" a="1"/>
  <c r="CE118" i="3" a="1"/>
  <c r="B118" i="3" a="1"/>
  <c r="E142" i="3"/>
  <c r="CC142" i="3"/>
  <c r="A166" i="3"/>
  <c r="Y69" i="3"/>
  <c r="U69" i="3"/>
  <c r="W69" i="3" s="1"/>
  <c r="Y93" i="3"/>
  <c r="U93" i="3"/>
  <c r="W93" i="3" s="1"/>
  <c r="F141" i="3" a="1"/>
  <c r="D165" i="3"/>
  <c r="CD141" i="3"/>
  <c r="C165" i="3"/>
  <c r="G117" i="3" a="1"/>
  <c r="BB117" i="3" a="1"/>
  <c r="CE117" i="3" a="1"/>
  <c r="B117" i="3" a="1"/>
  <c r="E141" i="3"/>
  <c r="CC141" i="3"/>
  <c r="A165" i="3"/>
  <c r="T92" i="3"/>
  <c r="R92" i="3"/>
  <c r="AB92" i="3" s="1"/>
  <c r="V92" i="3"/>
  <c r="AQ116" i="3"/>
  <c r="AW116" i="3"/>
  <c r="CH116" i="3"/>
  <c r="CQ116" i="3"/>
  <c r="CI116" i="3"/>
  <c r="CP116" i="3"/>
  <c r="R116" i="3"/>
  <c r="AB116" i="3" s="1"/>
  <c r="F140" i="3" a="1"/>
  <c r="H140" i="3" a="1"/>
  <c r="I140" i="3" a="1"/>
  <c r="J140" i="3" s="1"/>
  <c r="T140" i="3" s="1"/>
  <c r="L140" i="3" a="1"/>
  <c r="M140" i="3" a="1"/>
  <c r="O140" i="3" s="1"/>
  <c r="P140" i="3" a="1"/>
  <c r="Q140" i="3" s="1"/>
  <c r="V140" i="3" s="1"/>
  <c r="AZ140" i="3" a="1"/>
  <c r="BA140" i="3" a="1"/>
  <c r="BC140" i="3" a="1"/>
  <c r="BD140" i="3" a="1"/>
  <c r="BX140" i="3" a="1"/>
  <c r="D164" i="3"/>
  <c r="T91" i="3"/>
  <c r="R91" i="3"/>
  <c r="AB91" i="3" s="1"/>
  <c r="V91" i="3"/>
  <c r="AQ115" i="3"/>
  <c r="AW115" i="3"/>
  <c r="CH115" i="3"/>
  <c r="CQ115" i="3"/>
  <c r="CI115" i="3"/>
  <c r="CP115" i="3"/>
  <c r="R115" i="3"/>
  <c r="AB115" i="3" s="1"/>
  <c r="F139" i="3" a="1"/>
  <c r="H139" i="3" a="1"/>
  <c r="I139" i="3" a="1"/>
  <c r="J139" i="3" s="1"/>
  <c r="T139" i="3" s="1"/>
  <c r="L139" i="3" a="1"/>
  <c r="M139" i="3" a="1"/>
  <c r="O139" i="3" s="1"/>
  <c r="P139" i="3" a="1"/>
  <c r="Q139" i="3" s="1"/>
  <c r="V139" i="3" s="1"/>
  <c r="AZ139" i="3" a="1"/>
  <c r="BA139" i="3" a="1"/>
  <c r="BC139" i="3" a="1"/>
  <c r="BD139" i="3" a="1"/>
  <c r="BX139" i="3" a="1"/>
  <c r="D163" i="3"/>
  <c r="T90" i="3"/>
  <c r="R90" i="3"/>
  <c r="AB90" i="3" s="1"/>
  <c r="V90" i="3"/>
  <c r="AQ114" i="3"/>
  <c r="AW114" i="3"/>
  <c r="CH114" i="3"/>
  <c r="CQ114" i="3"/>
  <c r="CI114" i="3"/>
  <c r="CP114" i="3"/>
  <c r="R114" i="3"/>
  <c r="AB114" i="3" s="1"/>
  <c r="F138" i="3" a="1"/>
  <c r="H138" i="3" a="1"/>
  <c r="I138" i="3" a="1"/>
  <c r="J138" i="3" s="1"/>
  <c r="T138" i="3" s="1"/>
  <c r="L138" i="3" a="1"/>
  <c r="M138" i="3" a="1"/>
  <c r="O138" i="3" s="1"/>
  <c r="P138" i="3" a="1"/>
  <c r="Q138" i="3" s="1"/>
  <c r="V138" i="3" s="1"/>
  <c r="AZ138" i="3" a="1"/>
  <c r="BA138" i="3" a="1"/>
  <c r="BC138" i="3" a="1"/>
  <c r="BD138" i="3" a="1"/>
  <c r="BX138" i="3" a="1"/>
  <c r="D162" i="3"/>
  <c r="T89" i="3"/>
  <c r="R89" i="3"/>
  <c r="AB89" i="3" s="1"/>
  <c r="V89" i="3"/>
  <c r="AQ113" i="3"/>
  <c r="AW113" i="3"/>
  <c r="CH113" i="3"/>
  <c r="CQ113" i="3"/>
  <c r="CI113" i="3"/>
  <c r="CP113" i="3"/>
  <c r="R113" i="3"/>
  <c r="AB113" i="3" s="1"/>
  <c r="F137" i="3" a="1"/>
  <c r="H137" i="3" a="1"/>
  <c r="I137" i="3" a="1"/>
  <c r="J137" i="3" s="1"/>
  <c r="T137" i="3" s="1"/>
  <c r="L137" i="3" a="1"/>
  <c r="M137" i="3" a="1"/>
  <c r="O137" i="3" s="1"/>
  <c r="P137" i="3" a="1"/>
  <c r="Q137" i="3" s="1"/>
  <c r="V137" i="3" s="1"/>
  <c r="AZ137" i="3" a="1"/>
  <c r="BA137" i="3" a="1"/>
  <c r="BC137" i="3" a="1"/>
  <c r="BD137" i="3" a="1"/>
  <c r="BX137" i="3" a="1"/>
  <c r="D161" i="3"/>
  <c r="T88" i="3"/>
  <c r="R88" i="3"/>
  <c r="AB88" i="3" s="1"/>
  <c r="V88" i="3"/>
  <c r="AQ112" i="3"/>
  <c r="AW112" i="3"/>
  <c r="CH112" i="3"/>
  <c r="CQ112" i="3"/>
  <c r="CI112" i="3"/>
  <c r="CP112" i="3"/>
  <c r="R112" i="3"/>
  <c r="AB112" i="3" s="1"/>
  <c r="F136" i="3" a="1"/>
  <c r="H136" i="3" a="1"/>
  <c r="I136" i="3" a="1"/>
  <c r="J136" i="3" s="1"/>
  <c r="T136" i="3" s="1"/>
  <c r="L136" i="3" a="1"/>
  <c r="M136" i="3" a="1"/>
  <c r="O136" i="3" s="1"/>
  <c r="P136" i="3" a="1"/>
  <c r="Q136" i="3" s="1"/>
  <c r="V136" i="3" s="1"/>
  <c r="AZ136" i="3" a="1"/>
  <c r="BA136" i="3" a="1"/>
  <c r="BC136" i="3" a="1"/>
  <c r="BD136" i="3" a="1"/>
  <c r="BX136" i="3" a="1"/>
  <c r="D160" i="3"/>
  <c r="T87" i="3"/>
  <c r="R87" i="3"/>
  <c r="AB87" i="3" s="1"/>
  <c r="V87" i="3"/>
  <c r="AQ111" i="3"/>
  <c r="AW111" i="3"/>
  <c r="CH111" i="3"/>
  <c r="CQ111" i="3"/>
  <c r="CI111" i="3"/>
  <c r="CP111" i="3"/>
  <c r="R111" i="3"/>
  <c r="AB111" i="3" s="1"/>
  <c r="F135" i="3" a="1"/>
  <c r="H135" i="3" a="1"/>
  <c r="I135" i="3" a="1"/>
  <c r="J135" i="3" s="1"/>
  <c r="T135" i="3" s="1"/>
  <c r="L135" i="3" a="1"/>
  <c r="M135" i="3" a="1"/>
  <c r="O135" i="3" s="1"/>
  <c r="P135" i="3" a="1"/>
  <c r="Q135" i="3" s="1"/>
  <c r="V135" i="3" s="1"/>
  <c r="AZ135" i="3" a="1"/>
  <c r="BA135" i="3" a="1"/>
  <c r="BC135" i="3" a="1"/>
  <c r="BD135" i="3" a="1"/>
  <c r="BX135" i="3" a="1"/>
  <c r="D159" i="3"/>
  <c r="T86" i="3"/>
  <c r="R86" i="3"/>
  <c r="AB86" i="3" s="1"/>
  <c r="V86" i="3"/>
  <c r="AQ110" i="3"/>
  <c r="AW110" i="3"/>
  <c r="CH110" i="3"/>
  <c r="CQ110" i="3"/>
  <c r="CI110" i="3"/>
  <c r="CP110" i="3"/>
  <c r="R110" i="3"/>
  <c r="AB110" i="3" s="1"/>
  <c r="F134" i="3" a="1"/>
  <c r="H134" i="3" a="1"/>
  <c r="I134" i="3" a="1"/>
  <c r="J134" i="3" s="1"/>
  <c r="T134" i="3" s="1"/>
  <c r="L134" i="3" a="1"/>
  <c r="M134" i="3" a="1"/>
  <c r="O134" i="3" s="1"/>
  <c r="P134" i="3" a="1"/>
  <c r="Q134" i="3" s="1"/>
  <c r="V134" i="3" s="1"/>
  <c r="AZ134" i="3" a="1"/>
  <c r="BA134" i="3" a="1"/>
  <c r="BC134" i="3" a="1"/>
  <c r="BD134" i="3" a="1"/>
  <c r="BX134" i="3" a="1"/>
  <c r="D158" i="3"/>
  <c r="T85" i="3"/>
  <c r="R85" i="3"/>
  <c r="AB85" i="3" s="1"/>
  <c r="V85" i="3"/>
  <c r="AQ109" i="3"/>
  <c r="AW109" i="3"/>
  <c r="CH109" i="3"/>
  <c r="CQ109" i="3"/>
  <c r="CI109" i="3"/>
  <c r="CP109" i="3"/>
  <c r="R109" i="3"/>
  <c r="AB109" i="3" s="1"/>
  <c r="F133" i="3" a="1"/>
  <c r="H133" i="3" a="1"/>
  <c r="I133" i="3" a="1"/>
  <c r="J133" i="3" s="1"/>
  <c r="T133" i="3" s="1"/>
  <c r="L133" i="3" a="1"/>
  <c r="M133" i="3" a="1"/>
  <c r="O133" i="3" s="1"/>
  <c r="P133" i="3" a="1"/>
  <c r="Q133" i="3" s="1"/>
  <c r="V133" i="3" s="1"/>
  <c r="AZ133" i="3" a="1"/>
  <c r="BA133" i="3" a="1"/>
  <c r="BC133" i="3" a="1"/>
  <c r="BD133" i="3" a="1"/>
  <c r="BX133" i="3" a="1"/>
  <c r="D157" i="3"/>
  <c r="T84" i="3"/>
  <c r="R84" i="3"/>
  <c r="AB84" i="3" s="1"/>
  <c r="V84" i="3"/>
  <c r="AQ108" i="3"/>
  <c r="AW108" i="3"/>
  <c r="CH108" i="3"/>
  <c r="CQ108" i="3"/>
  <c r="CI108" i="3"/>
  <c r="CP108" i="3"/>
  <c r="R108" i="3"/>
  <c r="AB108" i="3" s="1"/>
  <c r="F132" i="3" a="1"/>
  <c r="H132" i="3" a="1"/>
  <c r="I132" i="3" a="1"/>
  <c r="J132" i="3" s="1"/>
  <c r="T132" i="3" s="1"/>
  <c r="L132" i="3" a="1"/>
  <c r="M132" i="3" a="1"/>
  <c r="O132" i="3" s="1"/>
  <c r="P132" i="3" a="1"/>
  <c r="Q132" i="3" s="1"/>
  <c r="V132" i="3" s="1"/>
  <c r="AZ132" i="3" a="1"/>
  <c r="BA132" i="3" a="1"/>
  <c r="BC132" i="3" a="1"/>
  <c r="BD132" i="3" a="1"/>
  <c r="BX132" i="3" a="1"/>
  <c r="D156" i="3"/>
  <c r="T83" i="3"/>
  <c r="R83" i="3"/>
  <c r="AB83" i="3" s="1"/>
  <c r="V83" i="3"/>
  <c r="AQ107" i="3"/>
  <c r="AW107" i="3"/>
  <c r="CH107" i="3"/>
  <c r="CQ107" i="3"/>
  <c r="CI107" i="3"/>
  <c r="CP107" i="3"/>
  <c r="R107" i="3"/>
  <c r="AB107" i="3" s="1"/>
  <c r="F131" i="3" a="1"/>
  <c r="H131" i="3" a="1"/>
  <c r="I131" i="3" a="1"/>
  <c r="J131" i="3" s="1"/>
  <c r="T131" i="3" s="1"/>
  <c r="L131" i="3" a="1"/>
  <c r="M131" i="3" a="1"/>
  <c r="O131" i="3" s="1"/>
  <c r="P131" i="3" a="1"/>
  <c r="Q131" i="3" s="1"/>
  <c r="V131" i="3" s="1"/>
  <c r="AZ131" i="3" a="1"/>
  <c r="BA131" i="3" a="1"/>
  <c r="BC131" i="3" a="1"/>
  <c r="BD131" i="3" a="1"/>
  <c r="BX131" i="3" a="1"/>
  <c r="D155" i="3"/>
  <c r="T82" i="3"/>
  <c r="R82" i="3"/>
  <c r="AB82" i="3" s="1"/>
  <c r="V82" i="3"/>
  <c r="AQ106" i="3"/>
  <c r="AW106" i="3"/>
  <c r="CH106" i="3"/>
  <c r="CQ106" i="3"/>
  <c r="CI106" i="3"/>
  <c r="CP106" i="3"/>
  <c r="R106" i="3"/>
  <c r="AB106" i="3" s="1"/>
  <c r="F130" i="3" a="1"/>
  <c r="H130" i="3" a="1"/>
  <c r="I130" i="3" a="1"/>
  <c r="J130" i="3" s="1"/>
  <c r="T130" i="3" s="1"/>
  <c r="L130" i="3" a="1"/>
  <c r="M130" i="3" a="1"/>
  <c r="O130" i="3" s="1"/>
  <c r="P130" i="3" a="1"/>
  <c r="Q130" i="3" s="1"/>
  <c r="V130" i="3" s="1"/>
  <c r="AZ130" i="3" a="1"/>
  <c r="BA130" i="3" a="1"/>
  <c r="BC130" i="3" a="1"/>
  <c r="BD130" i="3" a="1"/>
  <c r="BX130" i="3" a="1"/>
  <c r="D154" i="3"/>
  <c r="T81" i="3"/>
  <c r="R81" i="3"/>
  <c r="AB81" i="3" s="1"/>
  <c r="V81" i="3"/>
  <c r="AQ105" i="3"/>
  <c r="AW105" i="3"/>
  <c r="CH105" i="3"/>
  <c r="CQ105" i="3"/>
  <c r="CI105" i="3"/>
  <c r="CP105" i="3"/>
  <c r="R105" i="3"/>
  <c r="AB105" i="3" s="1"/>
  <c r="F129" i="3" a="1"/>
  <c r="H129" i="3" a="1"/>
  <c r="I129" i="3" a="1"/>
  <c r="J129" i="3" s="1"/>
  <c r="T129" i="3" s="1"/>
  <c r="L129" i="3" a="1"/>
  <c r="M129" i="3" a="1"/>
  <c r="O129" i="3" s="1"/>
  <c r="P129" i="3" a="1"/>
  <c r="Q129" i="3" s="1"/>
  <c r="V129" i="3" s="1"/>
  <c r="AZ129" i="3" a="1"/>
  <c r="BA129" i="3" a="1"/>
  <c r="BC129" i="3" a="1"/>
  <c r="BD129" i="3" a="1"/>
  <c r="BX129" i="3" a="1"/>
  <c r="D153" i="3"/>
  <c r="T80" i="3"/>
  <c r="R80" i="3"/>
  <c r="AB80" i="3" s="1"/>
  <c r="V80" i="3"/>
  <c r="AQ104" i="3"/>
  <c r="AW104" i="3"/>
  <c r="CH104" i="3"/>
  <c r="CQ104" i="3"/>
  <c r="CI104" i="3"/>
  <c r="CP104" i="3"/>
  <c r="R104" i="3"/>
  <c r="AB104" i="3" s="1"/>
  <c r="F128" i="3" a="1"/>
  <c r="H128" i="3" a="1"/>
  <c r="I128" i="3" a="1"/>
  <c r="J128" i="3" s="1"/>
  <c r="T128" i="3" s="1"/>
  <c r="L128" i="3" a="1"/>
  <c r="M128" i="3" a="1"/>
  <c r="O128" i="3" s="1"/>
  <c r="P128" i="3" a="1"/>
  <c r="Q128" i="3" s="1"/>
  <c r="V128" i="3" s="1"/>
  <c r="AZ128" i="3" a="1"/>
  <c r="BA128" i="3" a="1"/>
  <c r="BC128" i="3" a="1"/>
  <c r="BD128" i="3" a="1"/>
  <c r="BX128" i="3" a="1"/>
  <c r="D152" i="3"/>
  <c r="T79" i="3"/>
  <c r="R79" i="3"/>
  <c r="AB79" i="3" s="1"/>
  <c r="V79" i="3"/>
  <c r="AQ103" i="3"/>
  <c r="AW103" i="3"/>
  <c r="CH103" i="3"/>
  <c r="CQ103" i="3"/>
  <c r="CI103" i="3"/>
  <c r="CP103" i="3"/>
  <c r="R103" i="3"/>
  <c r="AB103" i="3" s="1"/>
  <c r="F127" i="3" a="1"/>
  <c r="H127" i="3" a="1"/>
  <c r="I127" i="3" a="1"/>
  <c r="J127" i="3" s="1"/>
  <c r="T127" i="3" s="1"/>
  <c r="L127" i="3" a="1"/>
  <c r="M127" i="3" a="1"/>
  <c r="O127" i="3" s="1"/>
  <c r="P127" i="3" a="1"/>
  <c r="Q127" i="3" s="1"/>
  <c r="V127" i="3" s="1"/>
  <c r="AZ127" i="3" a="1"/>
  <c r="BA127" i="3" a="1"/>
  <c r="BC127" i="3" a="1"/>
  <c r="BD127" i="3" a="1"/>
  <c r="BX127" i="3" a="1"/>
  <c r="D151" i="3"/>
  <c r="T78" i="3"/>
  <c r="R78" i="3"/>
  <c r="AB78" i="3" s="1"/>
  <c r="V78" i="3"/>
  <c r="AQ102" i="3"/>
  <c r="AW102" i="3"/>
  <c r="CH102" i="3"/>
  <c r="CQ102" i="3"/>
  <c r="CI102" i="3"/>
  <c r="CP102" i="3"/>
  <c r="R102" i="3"/>
  <c r="AB102" i="3" s="1"/>
  <c r="F126" i="3" a="1"/>
  <c r="H126" i="3" a="1"/>
  <c r="I126" i="3" a="1"/>
  <c r="J126" i="3" s="1"/>
  <c r="T126" i="3" s="1"/>
  <c r="L126" i="3" a="1"/>
  <c r="M126" i="3" a="1"/>
  <c r="O126" i="3" s="1"/>
  <c r="P126" i="3" a="1"/>
  <c r="Q126" i="3" s="1"/>
  <c r="V126" i="3" s="1"/>
  <c r="AZ126" i="3" a="1"/>
  <c r="BA126" i="3" a="1"/>
  <c r="BC126" i="3" a="1"/>
  <c r="BD126" i="3" a="1"/>
  <c r="BX126" i="3" a="1"/>
  <c r="D150" i="3"/>
  <c r="T77" i="3"/>
  <c r="R77" i="3"/>
  <c r="AB77" i="3" s="1"/>
  <c r="V77" i="3"/>
  <c r="AQ101" i="3"/>
  <c r="AW101" i="3"/>
  <c r="CH101" i="3"/>
  <c r="CQ101" i="3"/>
  <c r="CI101" i="3"/>
  <c r="CP101" i="3"/>
  <c r="R101" i="3"/>
  <c r="AB101" i="3" s="1"/>
  <c r="F125" i="3" a="1"/>
  <c r="H125" i="3" a="1"/>
  <c r="I125" i="3" a="1"/>
  <c r="J125" i="3" s="1"/>
  <c r="T125" i="3" s="1"/>
  <c r="L125" i="3" a="1"/>
  <c r="M125" i="3" a="1"/>
  <c r="O125" i="3" s="1"/>
  <c r="P125" i="3" a="1"/>
  <c r="Q125" i="3" s="1"/>
  <c r="V125" i="3" s="1"/>
  <c r="AZ125" i="3" a="1"/>
  <c r="BA125" i="3" a="1"/>
  <c r="BC125" i="3" a="1"/>
  <c r="BD125" i="3" a="1"/>
  <c r="BX125" i="3" a="1"/>
  <c r="D149" i="3"/>
  <c r="T76" i="3"/>
  <c r="R76" i="3"/>
  <c r="AB76" i="3" s="1"/>
  <c r="V76" i="3"/>
  <c r="AQ100" i="3"/>
  <c r="AW100" i="3"/>
  <c r="CH100" i="3"/>
  <c r="CQ100" i="3"/>
  <c r="CI100" i="3"/>
  <c r="CP100" i="3"/>
  <c r="R100" i="3"/>
  <c r="AB100" i="3" s="1"/>
  <c r="F124" i="3" a="1"/>
  <c r="H124" i="3" a="1"/>
  <c r="I124" i="3" a="1"/>
  <c r="J124" i="3" s="1"/>
  <c r="T124" i="3" s="1"/>
  <c r="L124" i="3" a="1"/>
  <c r="M124" i="3" a="1"/>
  <c r="O124" i="3" s="1"/>
  <c r="P124" i="3" a="1"/>
  <c r="Q124" i="3" s="1"/>
  <c r="V124" i="3" s="1"/>
  <c r="AZ124" i="3" a="1"/>
  <c r="BA124" i="3" a="1"/>
  <c r="BC124" i="3" a="1"/>
  <c r="BD124" i="3" a="1"/>
  <c r="BX124" i="3" a="1"/>
  <c r="D148" i="3"/>
  <c r="T75" i="3"/>
  <c r="R75" i="3"/>
  <c r="AB75" i="3" s="1"/>
  <c r="V75" i="3"/>
  <c r="AQ99" i="3"/>
  <c r="AW99" i="3"/>
  <c r="CH99" i="3"/>
  <c r="CQ99" i="3"/>
  <c r="CI99" i="3"/>
  <c r="CP99" i="3"/>
  <c r="R99" i="3"/>
  <c r="AB99" i="3" s="1"/>
  <c r="F123" i="3" a="1"/>
  <c r="H123" i="3" a="1"/>
  <c r="I123" i="3" a="1"/>
  <c r="J123" i="3" s="1"/>
  <c r="T123" i="3" s="1"/>
  <c r="L123" i="3" a="1"/>
  <c r="M123" i="3" a="1"/>
  <c r="O123" i="3" s="1"/>
  <c r="P123" i="3" a="1"/>
  <c r="Q123" i="3" s="1"/>
  <c r="V123" i="3" s="1"/>
  <c r="AZ123" i="3" a="1"/>
  <c r="BA123" i="3" a="1"/>
  <c r="BC123" i="3" a="1"/>
  <c r="BD123" i="3" a="1"/>
  <c r="BX123" i="3" a="1"/>
  <c r="D147" i="3"/>
  <c r="T74" i="3"/>
  <c r="R74" i="3"/>
  <c r="AB74" i="3" s="1"/>
  <c r="V74" i="3"/>
  <c r="AQ98" i="3"/>
  <c r="AW98" i="3"/>
  <c r="CH98" i="3"/>
  <c r="CQ98" i="3"/>
  <c r="CI98" i="3"/>
  <c r="CP98" i="3"/>
  <c r="R98" i="3"/>
  <c r="AB98" i="3" s="1"/>
  <c r="F122" i="3" a="1"/>
  <c r="H122" i="3" a="1"/>
  <c r="I122" i="3" a="1"/>
  <c r="J122" i="3" s="1"/>
  <c r="T122" i="3" s="1"/>
  <c r="L122" i="3" a="1"/>
  <c r="M122" i="3" a="1"/>
  <c r="O122" i="3" s="1"/>
  <c r="P122" i="3" a="1"/>
  <c r="Q122" i="3" s="1"/>
  <c r="V122" i="3" s="1"/>
  <c r="AZ122" i="3" a="1"/>
  <c r="BA122" i="3" a="1"/>
  <c r="BC122" i="3" a="1"/>
  <c r="BD122" i="3" a="1"/>
  <c r="BX122" i="3" a="1"/>
  <c r="D146" i="3"/>
  <c r="T73" i="3"/>
  <c r="R73" i="3"/>
  <c r="AB73" i="3" s="1"/>
  <c r="V73" i="3"/>
  <c r="AQ97" i="3"/>
  <c r="AW97" i="3"/>
  <c r="CH97" i="3"/>
  <c r="CQ97" i="3"/>
  <c r="CI97" i="3"/>
  <c r="CP97" i="3"/>
  <c r="R97" i="3"/>
  <c r="AB97" i="3" s="1"/>
  <c r="F121" i="3" a="1"/>
  <c r="H121" i="3" a="1"/>
  <c r="I121" i="3" a="1"/>
  <c r="J121" i="3" s="1"/>
  <c r="T121" i="3" s="1"/>
  <c r="L121" i="3" a="1"/>
  <c r="M121" i="3" a="1"/>
  <c r="O121" i="3" s="1"/>
  <c r="P121" i="3" a="1"/>
  <c r="Q121" i="3" s="1"/>
  <c r="V121" i="3" s="1"/>
  <c r="AZ121" i="3" a="1"/>
  <c r="BA121" i="3" a="1"/>
  <c r="BC121" i="3" a="1"/>
  <c r="BD121" i="3" a="1"/>
  <c r="BX121" i="3" a="1"/>
  <c r="D145" i="3"/>
  <c r="T72" i="3"/>
  <c r="R72" i="3"/>
  <c r="AB72" i="3" s="1"/>
  <c r="V72" i="3"/>
  <c r="AQ96" i="3"/>
  <c r="AW96" i="3"/>
  <c r="CH96" i="3"/>
  <c r="CQ96" i="3"/>
  <c r="CI96" i="3"/>
  <c r="CP96" i="3"/>
  <c r="R96" i="3"/>
  <c r="AB96" i="3" s="1"/>
  <c r="F120" i="3" a="1"/>
  <c r="H120" i="3" a="1"/>
  <c r="I120" i="3" a="1"/>
  <c r="J120" i="3" s="1"/>
  <c r="T120" i="3" s="1"/>
  <c r="L120" i="3" a="1"/>
  <c r="M120" i="3" a="1"/>
  <c r="O120" i="3" s="1"/>
  <c r="P120" i="3" a="1"/>
  <c r="Q120" i="3" s="1"/>
  <c r="V120" i="3" s="1"/>
  <c r="AZ120" i="3" a="1"/>
  <c r="BA120" i="3" a="1"/>
  <c r="BC120" i="3" a="1"/>
  <c r="BD120" i="3" a="1"/>
  <c r="BX120" i="3" a="1"/>
  <c r="D144" i="3"/>
  <c r="Z21" i="3"/>
  <c r="H186" i="4"/>
  <c r="AB185" i="4"/>
  <c r="AA185" i="4" s="1"/>
  <c r="B175" i="4"/>
  <c r="B176" i="4" s="1"/>
  <c r="B177" i="4"/>
  <c r="B178" i="4" s="1"/>
  <c r="B179" i="4" s="1"/>
  <c r="B180" i="4" s="1"/>
  <c r="B181" i="4" s="1"/>
  <c r="B182" i="4" s="1"/>
  <c r="B183" i="4" s="1"/>
  <c r="B184" i="4" s="1"/>
  <c r="B185" i="4" s="1"/>
  <c r="B186" i="4" s="1"/>
  <c r="B187" i="4" s="1"/>
  <c r="B188" i="4" s="1"/>
  <c r="B189" i="4" s="1"/>
  <c r="B190" i="4" s="1"/>
  <c r="B191" i="4" s="1"/>
  <c r="B192" i="4" s="1"/>
  <c r="B193" i="4" s="1"/>
  <c r="B194" i="4" s="1"/>
  <c r="B195" i="4" s="1"/>
  <c r="B196" i="4" s="1"/>
  <c r="B197" i="4" s="1"/>
  <c r="B198" i="4" s="1"/>
  <c r="B199" i="4" s="1"/>
  <c r="B200" i="4" s="1"/>
  <c r="B201" i="4" s="1"/>
  <c r="B202" i="4" s="1"/>
  <c r="K13" i="4"/>
  <c r="B21" i="19"/>
  <c r="B22" i="13"/>
  <c r="B48" i="13"/>
  <c r="B76" i="13"/>
  <c r="T66" i="24"/>
  <c r="S66" i="24" s="1"/>
  <c r="T54" i="24"/>
  <c r="C11" i="15"/>
  <c r="E11" i="15" s="1"/>
  <c r="J30" i="24"/>
  <c r="T99" i="33"/>
  <c r="K35" i="33"/>
  <c r="T95" i="33"/>
  <c r="S95" i="33" s="1"/>
  <c r="T50" i="24"/>
  <c r="C48" i="15"/>
  <c r="BL18" i="13"/>
  <c r="C6" i="15"/>
  <c r="AU20" i="13"/>
  <c r="AU34" i="13" s="1"/>
  <c r="AU36" i="13" s="1"/>
  <c r="T71" i="3"/>
  <c r="R71" i="3"/>
  <c r="AB71" i="3" s="1"/>
  <c r="V71" i="3"/>
  <c r="T70" i="3"/>
  <c r="R70" i="3"/>
  <c r="AB70" i="3" s="1"/>
  <c r="V70" i="3"/>
  <c r="Y45" i="3"/>
  <c r="U45" i="3"/>
  <c r="W45" i="3" s="1"/>
  <c r="CQ95" i="3"/>
  <c r="CH95" i="3"/>
  <c r="AW95" i="3"/>
  <c r="AQ95" i="3"/>
  <c r="CP95" i="3"/>
  <c r="CI95" i="3"/>
  <c r="R95" i="3"/>
  <c r="AB95" i="3" s="1"/>
  <c r="CQ94" i="3"/>
  <c r="CH94" i="3"/>
  <c r="AW94" i="3"/>
  <c r="AQ94" i="3"/>
  <c r="CP94" i="3"/>
  <c r="CI94" i="3"/>
  <c r="Z47" i="3"/>
  <c r="AC47" i="3" s="1"/>
  <c r="AD47" i="3" s="1"/>
  <c r="BX119" i="3" a="1"/>
  <c r="H119" i="3" a="1"/>
  <c r="I119" i="3" a="1"/>
  <c r="J119" i="3" s="1"/>
  <c r="T119" i="3" s="1"/>
  <c r="L119" i="3" a="1"/>
  <c r="M119" i="3" a="1"/>
  <c r="O119" i="3" s="1"/>
  <c r="P119" i="3" a="1"/>
  <c r="Q119" i="3" s="1"/>
  <c r="V119" i="3" s="1"/>
  <c r="AZ119" i="3" a="1"/>
  <c r="BA119" i="3" a="1"/>
  <c r="BC119" i="3" a="1"/>
  <c r="BD119" i="3" a="1"/>
  <c r="H118" i="3" a="1"/>
  <c r="I118" i="3" a="1"/>
  <c r="J118" i="3" s="1"/>
  <c r="T118" i="3" s="1"/>
  <c r="L118" i="3" a="1"/>
  <c r="M118" i="3" a="1"/>
  <c r="O118" i="3" s="1"/>
  <c r="P118" i="3" a="1"/>
  <c r="Q118" i="3" s="1"/>
  <c r="V118" i="3" s="1"/>
  <c r="AZ118" i="3" a="1"/>
  <c r="BA118" i="3" a="1"/>
  <c r="BC118" i="3" a="1"/>
  <c r="BD118" i="3" a="1"/>
  <c r="BX118" i="3" a="1"/>
  <c r="H117" i="3" a="1"/>
  <c r="M117" i="3" a="1"/>
  <c r="BA117" i="3" a="1"/>
  <c r="BD117" i="3" a="1"/>
  <c r="I117" i="3" a="1"/>
  <c r="L117" i="3" a="1"/>
  <c r="P117" i="3" a="1"/>
  <c r="BX117" i="3" a="1"/>
  <c r="AZ117" i="3" a="1"/>
  <c r="BC117" i="3" a="1"/>
  <c r="AB45" i="3"/>
  <c r="J94" i="3"/>
  <c r="O94" i="3"/>
  <c r="Q94" i="3"/>
  <c r="CR57" i="3" l="1"/>
  <c r="BR57" i="3"/>
  <c r="AA57" i="3"/>
  <c r="AE57" i="3" s="1"/>
  <c r="AF57" i="3" s="1"/>
  <c r="AG57" i="3" s="1"/>
  <c r="AH57" i="3" s="1"/>
  <c r="CR48" i="3"/>
  <c r="BR48" i="3"/>
  <c r="AA48" i="3"/>
  <c r="AE48" i="3" s="1"/>
  <c r="AF48" i="3" s="1"/>
  <c r="AG48" i="3" s="1"/>
  <c r="AH48" i="3" s="1"/>
  <c r="CR22" i="3"/>
  <c r="BR22" i="3"/>
  <c r="AA22" i="3"/>
  <c r="AE22" i="3" s="1"/>
  <c r="AF22" i="3" s="1"/>
  <c r="AG22" i="3" s="1"/>
  <c r="AH22" i="3" s="1"/>
  <c r="CR63" i="3"/>
  <c r="BR63" i="3"/>
  <c r="AA63" i="3"/>
  <c r="AE63" i="3" s="1"/>
  <c r="AF63" i="3" s="1"/>
  <c r="AG63" i="3" s="1"/>
  <c r="AH63" i="3" s="1"/>
  <c r="CR67" i="3"/>
  <c r="BR67" i="3"/>
  <c r="AA67" i="3"/>
  <c r="AE67" i="3" s="1"/>
  <c r="AF67" i="3" s="1"/>
  <c r="AG67" i="3" s="1"/>
  <c r="AH67" i="3" s="1"/>
  <c r="CR53" i="3"/>
  <c r="AA53" i="3"/>
  <c r="AE53" i="3" s="1"/>
  <c r="AF53" i="3" s="1"/>
  <c r="AG53" i="3" s="1"/>
  <c r="AH53" i="3" s="1"/>
  <c r="BR53" i="3"/>
  <c r="CR60" i="3"/>
  <c r="BR60" i="3"/>
  <c r="AA60" i="3"/>
  <c r="AE60" i="3" s="1"/>
  <c r="AF60" i="3" s="1"/>
  <c r="AG60" i="3" s="1"/>
  <c r="AH60" i="3" s="1"/>
  <c r="CR56" i="3"/>
  <c r="BR56" i="3"/>
  <c r="AA56" i="3"/>
  <c r="AE56" i="3" s="1"/>
  <c r="AF56" i="3" s="1"/>
  <c r="AG56" i="3" s="1"/>
  <c r="AH56" i="3" s="1"/>
  <c r="CR58" i="3"/>
  <c r="BR58" i="3"/>
  <c r="AA58" i="3"/>
  <c r="AE58" i="3" s="1"/>
  <c r="AF58" i="3" s="1"/>
  <c r="AG58" i="3" s="1"/>
  <c r="AH58" i="3" s="1"/>
  <c r="CR46" i="3"/>
  <c r="BR46" i="3"/>
  <c r="AA46" i="3"/>
  <c r="AE46" i="3" s="1"/>
  <c r="AF46" i="3" s="1"/>
  <c r="AG46" i="3" s="1"/>
  <c r="AH46" i="3" s="1"/>
  <c r="CR68" i="3"/>
  <c r="BR68" i="3"/>
  <c r="AA68" i="3"/>
  <c r="AE68" i="3" s="1"/>
  <c r="AF68" i="3" s="1"/>
  <c r="AG68" i="3" s="1"/>
  <c r="AH68" i="3" s="1"/>
  <c r="CR52" i="3"/>
  <c r="AA52" i="3"/>
  <c r="AE52" i="3" s="1"/>
  <c r="AF52" i="3" s="1"/>
  <c r="AG52" i="3" s="1"/>
  <c r="AH52" i="3" s="1"/>
  <c r="BR52" i="3"/>
  <c r="CR23" i="3"/>
  <c r="BR23" i="3"/>
  <c r="AA23" i="3"/>
  <c r="AE23" i="3" s="1"/>
  <c r="AF23" i="3" s="1"/>
  <c r="AG23" i="3" s="1"/>
  <c r="AH23" i="3" s="1"/>
  <c r="CR55" i="3"/>
  <c r="BR55" i="3"/>
  <c r="AA55" i="3"/>
  <c r="AE55" i="3" s="1"/>
  <c r="AF55" i="3" s="1"/>
  <c r="AG55" i="3" s="1"/>
  <c r="AH55" i="3" s="1"/>
  <c r="CR54" i="3"/>
  <c r="BR54" i="3"/>
  <c r="AA54" i="3"/>
  <c r="AE54" i="3" s="1"/>
  <c r="AF54" i="3" s="1"/>
  <c r="AG54" i="3" s="1"/>
  <c r="AH54" i="3" s="1"/>
  <c r="AF44" i="3"/>
  <c r="AG44" i="3" s="1"/>
  <c r="AH44" i="3" s="1"/>
  <c r="CR59" i="3"/>
  <c r="BR59" i="3"/>
  <c r="AA59" i="3"/>
  <c r="AE59" i="3" s="1"/>
  <c r="AF59" i="3" s="1"/>
  <c r="AG59" i="3" s="1"/>
  <c r="AH59" i="3" s="1"/>
  <c r="CR64" i="3"/>
  <c r="BR64" i="3"/>
  <c r="AA64" i="3"/>
  <c r="AE64" i="3" s="1"/>
  <c r="AF64" i="3" s="1"/>
  <c r="AG64" i="3" s="1"/>
  <c r="AH64" i="3" s="1"/>
  <c r="CR49" i="3"/>
  <c r="AA49" i="3"/>
  <c r="AE49" i="3" s="1"/>
  <c r="AF49" i="3" s="1"/>
  <c r="AG49" i="3" s="1"/>
  <c r="AH49" i="3" s="1"/>
  <c r="BR49" i="3"/>
  <c r="CR66" i="3"/>
  <c r="BR66" i="3"/>
  <c r="AA66" i="3"/>
  <c r="AE66" i="3" s="1"/>
  <c r="AF66" i="3" s="1"/>
  <c r="AG66" i="3" s="1"/>
  <c r="AH66" i="3" s="1"/>
  <c r="CR65" i="3"/>
  <c r="BR65" i="3"/>
  <c r="AA65" i="3"/>
  <c r="AE65" i="3" s="1"/>
  <c r="AF65" i="3" s="1"/>
  <c r="AG65" i="3" s="1"/>
  <c r="AH65" i="3" s="1"/>
  <c r="CR61" i="3"/>
  <c r="BR61" i="3"/>
  <c r="AA61" i="3"/>
  <c r="AE61" i="3" s="1"/>
  <c r="AF61" i="3" s="1"/>
  <c r="AG61" i="3" s="1"/>
  <c r="AH61" i="3" s="1"/>
  <c r="CR62" i="3"/>
  <c r="BR62" i="3"/>
  <c r="AA62" i="3"/>
  <c r="AE62" i="3" s="1"/>
  <c r="Z93" i="3"/>
  <c r="AC93" i="3" s="1"/>
  <c r="AD93" i="3" s="1"/>
  <c r="CR51" i="3"/>
  <c r="BR51" i="3"/>
  <c r="AA51" i="3"/>
  <c r="AE51" i="3" s="1"/>
  <c r="AF51" i="3" s="1"/>
  <c r="AG51" i="3" s="1"/>
  <c r="AH51" i="3" s="1"/>
  <c r="CR50" i="3"/>
  <c r="BR50" i="3"/>
  <c r="AA50" i="3"/>
  <c r="AE50" i="3" s="1"/>
  <c r="AF50" i="3" s="1"/>
  <c r="AG50" i="3" s="1"/>
  <c r="AH50" i="3" s="1"/>
  <c r="CD236" i="3"/>
  <c r="C260" i="3"/>
  <c r="G212" i="3" a="1"/>
  <c r="BB212" i="3" a="1"/>
  <c r="E236" i="3"/>
  <c r="CC236" i="3"/>
  <c r="A260" i="3"/>
  <c r="C235" i="3"/>
  <c r="CD211" i="3"/>
  <c r="E211" i="3"/>
  <c r="CC211" i="3"/>
  <c r="A235" i="3"/>
  <c r="BB187" i="3" a="1"/>
  <c r="G187" i="3" a="1"/>
  <c r="CE187" i="3" a="1"/>
  <c r="B187" i="3" a="1"/>
  <c r="CD210" i="3"/>
  <c r="C234" i="3"/>
  <c r="CC210" i="3"/>
  <c r="E210" i="3"/>
  <c r="A234" i="3"/>
  <c r="G186" i="3" a="1"/>
  <c r="BB186" i="3" a="1"/>
  <c r="B186" i="3" a="1"/>
  <c r="CE186" i="3" a="1"/>
  <c r="CD209" i="3"/>
  <c r="C233" i="3"/>
  <c r="BB185" i="3" a="1"/>
  <c r="G185" i="3" a="1"/>
  <c r="CE185" i="3" a="1"/>
  <c r="B185" i="3" a="1"/>
  <c r="CC209" i="3"/>
  <c r="E209" i="3"/>
  <c r="A233" i="3"/>
  <c r="CD208" i="3"/>
  <c r="C232" i="3"/>
  <c r="E208" i="3"/>
  <c r="CC208" i="3"/>
  <c r="A232" i="3"/>
  <c r="BB184" i="3" a="1"/>
  <c r="CE184" i="3" a="1"/>
  <c r="G184" i="3" a="1"/>
  <c r="B184" i="3" a="1"/>
  <c r="C231" i="3"/>
  <c r="CD207" i="3"/>
  <c r="CE183" i="3" a="1"/>
  <c r="G183" i="3" a="1"/>
  <c r="B183" i="3" a="1"/>
  <c r="BB183" i="3" a="1"/>
  <c r="A231" i="3"/>
  <c r="E207" i="3"/>
  <c r="CC207" i="3"/>
  <c r="C230" i="3"/>
  <c r="CD206" i="3"/>
  <c r="E206" i="3"/>
  <c r="A230" i="3"/>
  <c r="CC206" i="3"/>
  <c r="G182" i="3" a="1"/>
  <c r="CE182" i="3" a="1"/>
  <c r="BB182" i="3" a="1"/>
  <c r="B182" i="3" a="1"/>
  <c r="CD205" i="3"/>
  <c r="C229" i="3"/>
  <c r="G181" i="3" a="1"/>
  <c r="B181" i="3" a="1"/>
  <c r="CE181" i="3" a="1"/>
  <c r="BB181" i="3" a="1"/>
  <c r="E205" i="3"/>
  <c r="CC205" i="3"/>
  <c r="A229" i="3"/>
  <c r="CD204" i="3"/>
  <c r="C228" i="3"/>
  <c r="BB180" i="3" a="1"/>
  <c r="G180" i="3" a="1"/>
  <c r="CE180" i="3" a="1"/>
  <c r="B180" i="3" a="1"/>
  <c r="E204" i="3"/>
  <c r="CC204" i="3"/>
  <c r="A228" i="3"/>
  <c r="CD203" i="3"/>
  <c r="C227" i="3"/>
  <c r="G179" i="3" a="1"/>
  <c r="CE179" i="3" a="1"/>
  <c r="B179" i="3" a="1"/>
  <c r="BB179" i="3" a="1"/>
  <c r="E203" i="3"/>
  <c r="CC203" i="3"/>
  <c r="A227" i="3"/>
  <c r="CD202" i="3"/>
  <c r="C226" i="3"/>
  <c r="G178" i="3" a="1"/>
  <c r="BB178" i="3" a="1"/>
  <c r="CE178" i="3" a="1"/>
  <c r="B178" i="3" a="1"/>
  <c r="E202" i="3"/>
  <c r="CC202" i="3"/>
  <c r="A226" i="3"/>
  <c r="CD201" i="3"/>
  <c r="C225" i="3"/>
  <c r="B177" i="3" a="1"/>
  <c r="G177" i="3" a="1"/>
  <c r="CE177" i="3" a="1"/>
  <c r="BB177" i="3" a="1"/>
  <c r="E201" i="3"/>
  <c r="CC201" i="3"/>
  <c r="A225" i="3"/>
  <c r="CD200" i="3"/>
  <c r="C224" i="3"/>
  <c r="B176" i="3" a="1"/>
  <c r="G176" i="3" a="1"/>
  <c r="CE176" i="3" a="1"/>
  <c r="BB176" i="3" a="1"/>
  <c r="E200" i="3"/>
  <c r="CC200" i="3"/>
  <c r="A224" i="3"/>
  <c r="CD199" i="3"/>
  <c r="C223" i="3"/>
  <c r="G175" i="3" a="1"/>
  <c r="B175" i="3" a="1"/>
  <c r="BB175" i="3" a="1"/>
  <c r="CE175" i="3" a="1"/>
  <c r="E199" i="3"/>
  <c r="CC199" i="3"/>
  <c r="A223" i="3"/>
  <c r="C222" i="3"/>
  <c r="CD198" i="3"/>
  <c r="E198" i="3"/>
  <c r="CC198" i="3"/>
  <c r="A222" i="3"/>
  <c r="CE174" i="3" a="1"/>
  <c r="B174" i="3" a="1"/>
  <c r="G174" i="3" a="1"/>
  <c r="BB174" i="3" a="1"/>
  <c r="C197" i="3"/>
  <c r="CD173" i="3"/>
  <c r="G149" i="3" a="1"/>
  <c r="BB149" i="3" a="1"/>
  <c r="CE149" i="3" a="1"/>
  <c r="B149" i="3" a="1"/>
  <c r="A197" i="3"/>
  <c r="CC173" i="3"/>
  <c r="E173" i="3"/>
  <c r="C196" i="3"/>
  <c r="CD172" i="3"/>
  <c r="G148" i="3" a="1"/>
  <c r="BB148" i="3" a="1"/>
  <c r="CE148" i="3" a="1"/>
  <c r="B148" i="3" a="1"/>
  <c r="E172" i="3"/>
  <c r="A196" i="3"/>
  <c r="CC172" i="3"/>
  <c r="C195" i="3"/>
  <c r="CD171" i="3"/>
  <c r="G147" i="3" a="1"/>
  <c r="BB147" i="3" a="1"/>
  <c r="CE147" i="3" a="1"/>
  <c r="B147" i="3" a="1"/>
  <c r="E171" i="3"/>
  <c r="CC171" i="3"/>
  <c r="A195" i="3"/>
  <c r="CD170" i="3"/>
  <c r="C194" i="3"/>
  <c r="G146" i="3" a="1"/>
  <c r="BB146" i="3" a="1"/>
  <c r="CE146" i="3" a="1"/>
  <c r="B146" i="3" a="1"/>
  <c r="E170" i="3"/>
  <c r="A194" i="3"/>
  <c r="CC170" i="3"/>
  <c r="CD169" i="3"/>
  <c r="C193" i="3"/>
  <c r="G145" i="3" a="1"/>
  <c r="BB145" i="3" a="1"/>
  <c r="CE145" i="3" a="1"/>
  <c r="B145" i="3" a="1"/>
  <c r="CC169" i="3"/>
  <c r="E169" i="3"/>
  <c r="A193" i="3"/>
  <c r="C192" i="3"/>
  <c r="CD168" i="3"/>
  <c r="G144" i="3" a="1"/>
  <c r="BB144" i="3" a="1"/>
  <c r="CE144" i="3" a="1"/>
  <c r="B144" i="3" a="1"/>
  <c r="CC168" i="3"/>
  <c r="E168" i="3"/>
  <c r="A192" i="3"/>
  <c r="F167" i="3" a="1"/>
  <c r="D191" i="3"/>
  <c r="CD167" i="3"/>
  <c r="C191" i="3"/>
  <c r="G143" i="3" a="1"/>
  <c r="BB143" i="3" a="1"/>
  <c r="CE143" i="3" a="1"/>
  <c r="B143" i="3" a="1"/>
  <c r="E167" i="3"/>
  <c r="CC167" i="3"/>
  <c r="A191" i="3"/>
  <c r="F166" i="3" a="1"/>
  <c r="D190" i="3"/>
  <c r="C190" i="3"/>
  <c r="CD166" i="3"/>
  <c r="G142" i="3" a="1"/>
  <c r="BB142" i="3" a="1"/>
  <c r="CE142" i="3" a="1"/>
  <c r="B142" i="3" a="1"/>
  <c r="CC166" i="3"/>
  <c r="E166" i="3"/>
  <c r="A190" i="3"/>
  <c r="Z69" i="3"/>
  <c r="AC69" i="3" s="1"/>
  <c r="AD69" i="3" s="1"/>
  <c r="AA69" i="3" s="1"/>
  <c r="AE69" i="3" s="1"/>
  <c r="D189" i="3"/>
  <c r="F165" i="3" a="1"/>
  <c r="C189" i="3"/>
  <c r="CD165" i="3"/>
  <c r="G141" i="3" a="1"/>
  <c r="BB141" i="3" a="1"/>
  <c r="CE141" i="3" a="1"/>
  <c r="B141" i="3" a="1"/>
  <c r="A189" i="3"/>
  <c r="E165" i="3"/>
  <c r="CC165" i="3"/>
  <c r="Y92" i="3"/>
  <c r="U92" i="3"/>
  <c r="W92" i="3" s="1"/>
  <c r="Y116" i="3"/>
  <c r="U116" i="3"/>
  <c r="W116" i="3" s="1"/>
  <c r="AQ140" i="3"/>
  <c r="AW140" i="3"/>
  <c r="CH140" i="3"/>
  <c r="CQ140" i="3"/>
  <c r="CI140" i="3"/>
  <c r="CP140" i="3"/>
  <c r="R140" i="3"/>
  <c r="AB140" i="3" s="1"/>
  <c r="F164" i="3" a="1"/>
  <c r="AZ164" i="3" a="1"/>
  <c r="BD164" i="3" a="1"/>
  <c r="D188" i="3"/>
  <c r="I164" i="3" a="1"/>
  <c r="J164" i="3" s="1"/>
  <c r="T164" i="3" s="1"/>
  <c r="M164" i="3" a="1"/>
  <c r="O164" i="3" s="1"/>
  <c r="P164" i="3" a="1"/>
  <c r="Q164" i="3" s="1"/>
  <c r="V164" i="3" s="1"/>
  <c r="BX164" i="3" a="1"/>
  <c r="H164" i="3" a="1"/>
  <c r="L164" i="3" a="1"/>
  <c r="BA164" i="3" a="1"/>
  <c r="BC164" i="3" a="1"/>
  <c r="Y91" i="3"/>
  <c r="U91" i="3"/>
  <c r="W91" i="3" s="1"/>
  <c r="Y115" i="3"/>
  <c r="U115" i="3"/>
  <c r="W115" i="3" s="1"/>
  <c r="AQ139" i="3"/>
  <c r="AW139" i="3"/>
  <c r="CH139" i="3"/>
  <c r="CQ139" i="3"/>
  <c r="CI139" i="3"/>
  <c r="CP139" i="3"/>
  <c r="R139" i="3"/>
  <c r="AB139" i="3" s="1"/>
  <c r="H163" i="3" a="1"/>
  <c r="M163" i="3" a="1"/>
  <c r="O163" i="3" s="1"/>
  <c r="AZ163" i="3" a="1"/>
  <c r="F163" i="3" a="1"/>
  <c r="I163" i="3" a="1"/>
  <c r="J163" i="3" s="1"/>
  <c r="T163" i="3" s="1"/>
  <c r="D187" i="3"/>
  <c r="L163" i="3" a="1"/>
  <c r="P163" i="3" a="1"/>
  <c r="Q163" i="3" s="1"/>
  <c r="V163" i="3" s="1"/>
  <c r="BA163" i="3" a="1"/>
  <c r="BC163" i="3" a="1"/>
  <c r="BD163" i="3" a="1"/>
  <c r="BX163" i="3" a="1"/>
  <c r="CB43" i="3"/>
  <c r="AI43" i="3"/>
  <c r="BQ43" i="3"/>
  <c r="Y90" i="3"/>
  <c r="U90" i="3"/>
  <c r="W90" i="3" s="1"/>
  <c r="Y114" i="3"/>
  <c r="U114" i="3"/>
  <c r="W114" i="3" s="1"/>
  <c r="AQ138" i="3"/>
  <c r="AW138" i="3"/>
  <c r="CH138" i="3"/>
  <c r="CQ138" i="3"/>
  <c r="CI138" i="3"/>
  <c r="CP138" i="3"/>
  <c r="R138" i="3"/>
  <c r="AB138" i="3" s="1"/>
  <c r="BD162" i="3" a="1"/>
  <c r="H162" i="3" a="1"/>
  <c r="BA162" i="3" a="1"/>
  <c r="F162" i="3" a="1"/>
  <c r="D186" i="3"/>
  <c r="AZ162" i="3" a="1"/>
  <c r="BX162" i="3" a="1"/>
  <c r="I162" i="3" a="1"/>
  <c r="J162" i="3" s="1"/>
  <c r="T162" i="3" s="1"/>
  <c r="L162" i="3" a="1"/>
  <c r="M162" i="3" a="1"/>
  <c r="O162" i="3" s="1"/>
  <c r="BC162" i="3" a="1"/>
  <c r="P162" i="3" a="1"/>
  <c r="Q162" i="3" s="1"/>
  <c r="V162" i="3" s="1"/>
  <c r="CB42" i="3"/>
  <c r="BQ42" i="3"/>
  <c r="AI42" i="3"/>
  <c r="Y89" i="3"/>
  <c r="U89" i="3"/>
  <c r="W89" i="3" s="1"/>
  <c r="Y113" i="3"/>
  <c r="U113" i="3"/>
  <c r="W113" i="3" s="1"/>
  <c r="AQ137" i="3"/>
  <c r="AW137" i="3"/>
  <c r="CH137" i="3"/>
  <c r="CQ137" i="3"/>
  <c r="CI137" i="3"/>
  <c r="CP137" i="3"/>
  <c r="R137" i="3"/>
  <c r="AB137" i="3" s="1"/>
  <c r="F161" i="3" a="1"/>
  <c r="H161" i="3" a="1"/>
  <c r="M161" i="3" a="1"/>
  <c r="O161" i="3" s="1"/>
  <c r="BX161" i="3" a="1"/>
  <c r="D185" i="3"/>
  <c r="I161" i="3" a="1"/>
  <c r="J161" i="3" s="1"/>
  <c r="T161" i="3" s="1"/>
  <c r="L161" i="3" a="1"/>
  <c r="P161" i="3" a="1"/>
  <c r="Q161" i="3" s="1"/>
  <c r="V161" i="3" s="1"/>
  <c r="AZ161" i="3" a="1"/>
  <c r="BD161" i="3" a="1"/>
  <c r="BC161" i="3" a="1"/>
  <c r="BA161" i="3" a="1"/>
  <c r="CB41" i="3"/>
  <c r="AI41" i="3"/>
  <c r="BQ41" i="3"/>
  <c r="Y88" i="3"/>
  <c r="U88" i="3"/>
  <c r="W88" i="3" s="1"/>
  <c r="Y112" i="3"/>
  <c r="U112" i="3"/>
  <c r="W112" i="3" s="1"/>
  <c r="AQ136" i="3"/>
  <c r="AW136" i="3"/>
  <c r="CH136" i="3"/>
  <c r="CQ136" i="3"/>
  <c r="CI136" i="3"/>
  <c r="CP136" i="3"/>
  <c r="R136" i="3"/>
  <c r="AB136" i="3" s="1"/>
  <c r="F160" i="3" a="1"/>
  <c r="H160" i="3" a="1"/>
  <c r="I160" i="3" a="1"/>
  <c r="J160" i="3" s="1"/>
  <c r="T160" i="3" s="1"/>
  <c r="L160" i="3" a="1"/>
  <c r="M160" i="3" a="1"/>
  <c r="O160" i="3" s="1"/>
  <c r="P160" i="3" a="1"/>
  <c r="Q160" i="3" s="1"/>
  <c r="V160" i="3" s="1"/>
  <c r="AZ160" i="3" a="1"/>
  <c r="BA160" i="3" a="1"/>
  <c r="BC160" i="3" a="1"/>
  <c r="BD160" i="3" a="1"/>
  <c r="BX160" i="3" a="1"/>
  <c r="D184" i="3"/>
  <c r="CB40" i="3"/>
  <c r="AI40" i="3"/>
  <c r="BQ40" i="3"/>
  <c r="CB39" i="3"/>
  <c r="AI39" i="3"/>
  <c r="BQ39" i="3"/>
  <c r="Y87" i="3"/>
  <c r="U87" i="3"/>
  <c r="W87" i="3" s="1"/>
  <c r="Y111" i="3"/>
  <c r="U111" i="3"/>
  <c r="W111" i="3" s="1"/>
  <c r="AQ135" i="3"/>
  <c r="AW135" i="3"/>
  <c r="CH135" i="3"/>
  <c r="CQ135" i="3"/>
  <c r="CI135" i="3"/>
  <c r="CP135" i="3"/>
  <c r="R135" i="3"/>
  <c r="AB135" i="3" s="1"/>
  <c r="F159" i="3" a="1"/>
  <c r="H159" i="3" a="1"/>
  <c r="I159" i="3" a="1"/>
  <c r="J159" i="3" s="1"/>
  <c r="T159" i="3" s="1"/>
  <c r="L159" i="3" a="1"/>
  <c r="M159" i="3" a="1"/>
  <c r="O159" i="3" s="1"/>
  <c r="P159" i="3" a="1"/>
  <c r="Q159" i="3" s="1"/>
  <c r="V159" i="3" s="1"/>
  <c r="AZ159" i="3" a="1"/>
  <c r="BA159" i="3" a="1"/>
  <c r="BC159" i="3" a="1"/>
  <c r="BD159" i="3" a="1"/>
  <c r="BX159" i="3" a="1"/>
  <c r="D183" i="3"/>
  <c r="CB38" i="3"/>
  <c r="BQ38" i="3"/>
  <c r="AI38" i="3"/>
  <c r="Y86" i="3"/>
  <c r="U86" i="3"/>
  <c r="W86" i="3" s="1"/>
  <c r="Y110" i="3"/>
  <c r="U110" i="3"/>
  <c r="W110" i="3" s="1"/>
  <c r="AQ134" i="3"/>
  <c r="AW134" i="3"/>
  <c r="CH134" i="3"/>
  <c r="CQ134" i="3"/>
  <c r="CI134" i="3"/>
  <c r="CP134" i="3"/>
  <c r="R134" i="3"/>
  <c r="AB134" i="3" s="1"/>
  <c r="F158" i="3" a="1"/>
  <c r="H158" i="3" a="1"/>
  <c r="I158" i="3" a="1"/>
  <c r="J158" i="3" s="1"/>
  <c r="T158" i="3" s="1"/>
  <c r="L158" i="3" a="1"/>
  <c r="M158" i="3" a="1"/>
  <c r="O158" i="3" s="1"/>
  <c r="P158" i="3" a="1"/>
  <c r="Q158" i="3" s="1"/>
  <c r="V158" i="3" s="1"/>
  <c r="AZ158" i="3" a="1"/>
  <c r="BA158" i="3" a="1"/>
  <c r="BC158" i="3" a="1"/>
  <c r="BD158" i="3" a="1"/>
  <c r="BX158" i="3" a="1"/>
  <c r="D182" i="3"/>
  <c r="Y85" i="3"/>
  <c r="U85" i="3"/>
  <c r="W85" i="3" s="1"/>
  <c r="Y109" i="3"/>
  <c r="U109" i="3"/>
  <c r="W109" i="3" s="1"/>
  <c r="Z109" i="3" s="1"/>
  <c r="AC109" i="3" s="1"/>
  <c r="AD109" i="3" s="1"/>
  <c r="CR109" i="3" s="1"/>
  <c r="AQ133" i="3"/>
  <c r="AW133" i="3"/>
  <c r="CH133" i="3"/>
  <c r="CQ133" i="3"/>
  <c r="CI133" i="3"/>
  <c r="CP133" i="3"/>
  <c r="R133" i="3"/>
  <c r="AB133" i="3" s="1"/>
  <c r="F157" i="3" a="1"/>
  <c r="H157" i="3" a="1"/>
  <c r="I157" i="3" a="1"/>
  <c r="J157" i="3" s="1"/>
  <c r="T157" i="3" s="1"/>
  <c r="L157" i="3" a="1"/>
  <c r="M157" i="3" a="1"/>
  <c r="O157" i="3" s="1"/>
  <c r="P157" i="3" a="1"/>
  <c r="Q157" i="3" s="1"/>
  <c r="V157" i="3" s="1"/>
  <c r="AZ157" i="3" a="1"/>
  <c r="BA157" i="3" a="1"/>
  <c r="BC157" i="3" a="1"/>
  <c r="BD157" i="3" a="1"/>
  <c r="BX157" i="3" a="1"/>
  <c r="D181" i="3"/>
  <c r="CB37" i="3"/>
  <c r="BQ37" i="3"/>
  <c r="AI37" i="3"/>
  <c r="CB36" i="3"/>
  <c r="AI36" i="3"/>
  <c r="BQ36" i="3"/>
  <c r="Y84" i="3"/>
  <c r="U84" i="3"/>
  <c r="W84" i="3" s="1"/>
  <c r="Y108" i="3"/>
  <c r="U108" i="3"/>
  <c r="W108" i="3" s="1"/>
  <c r="AQ132" i="3"/>
  <c r="AW132" i="3"/>
  <c r="CH132" i="3"/>
  <c r="CQ132" i="3"/>
  <c r="CI132" i="3"/>
  <c r="CP132" i="3"/>
  <c r="R132" i="3"/>
  <c r="AB132" i="3" s="1"/>
  <c r="F156" i="3" a="1"/>
  <c r="H156" i="3" a="1"/>
  <c r="I156" i="3" a="1"/>
  <c r="J156" i="3" s="1"/>
  <c r="T156" i="3" s="1"/>
  <c r="L156" i="3" a="1"/>
  <c r="M156" i="3" a="1"/>
  <c r="O156" i="3" s="1"/>
  <c r="P156" i="3" a="1"/>
  <c r="Q156" i="3" s="1"/>
  <c r="V156" i="3" s="1"/>
  <c r="AZ156" i="3" a="1"/>
  <c r="BA156" i="3" a="1"/>
  <c r="BC156" i="3" a="1"/>
  <c r="BD156" i="3" a="1"/>
  <c r="BX156" i="3" a="1"/>
  <c r="D180" i="3"/>
  <c r="Y83" i="3"/>
  <c r="U83" i="3"/>
  <c r="W83" i="3" s="1"/>
  <c r="Y107" i="3"/>
  <c r="U107" i="3"/>
  <c r="W107" i="3" s="1"/>
  <c r="AQ131" i="3"/>
  <c r="AW131" i="3"/>
  <c r="CH131" i="3"/>
  <c r="CQ131" i="3"/>
  <c r="CI131" i="3"/>
  <c r="CP131" i="3"/>
  <c r="R131" i="3"/>
  <c r="AB131" i="3" s="1"/>
  <c r="F155" i="3" a="1"/>
  <c r="H155" i="3" a="1"/>
  <c r="I155" i="3" a="1"/>
  <c r="J155" i="3" s="1"/>
  <c r="T155" i="3" s="1"/>
  <c r="L155" i="3" a="1"/>
  <c r="M155" i="3" a="1"/>
  <c r="O155" i="3" s="1"/>
  <c r="P155" i="3" a="1"/>
  <c r="Q155" i="3" s="1"/>
  <c r="V155" i="3" s="1"/>
  <c r="AZ155" i="3" a="1"/>
  <c r="BA155" i="3" a="1"/>
  <c r="BC155" i="3" a="1"/>
  <c r="BD155" i="3" a="1"/>
  <c r="BX155" i="3" a="1"/>
  <c r="D179" i="3"/>
  <c r="CB35" i="3"/>
  <c r="BQ35" i="3"/>
  <c r="AI35" i="3"/>
  <c r="Y82" i="3"/>
  <c r="U82" i="3"/>
  <c r="W82" i="3" s="1"/>
  <c r="Y106" i="3"/>
  <c r="U106" i="3"/>
  <c r="W106" i="3" s="1"/>
  <c r="AQ130" i="3"/>
  <c r="AW130" i="3"/>
  <c r="CH130" i="3"/>
  <c r="CQ130" i="3"/>
  <c r="CI130" i="3"/>
  <c r="CP130" i="3"/>
  <c r="R130" i="3"/>
  <c r="AB130" i="3" s="1"/>
  <c r="F154" i="3" a="1"/>
  <c r="H154" i="3" a="1"/>
  <c r="I154" i="3" a="1"/>
  <c r="J154" i="3" s="1"/>
  <c r="T154" i="3" s="1"/>
  <c r="L154" i="3" a="1"/>
  <c r="M154" i="3" a="1"/>
  <c r="O154" i="3" s="1"/>
  <c r="P154" i="3" a="1"/>
  <c r="Q154" i="3" s="1"/>
  <c r="V154" i="3" s="1"/>
  <c r="AZ154" i="3" a="1"/>
  <c r="BA154" i="3" a="1"/>
  <c r="BC154" i="3" a="1"/>
  <c r="BD154" i="3" a="1"/>
  <c r="BX154" i="3" a="1"/>
  <c r="D178" i="3"/>
  <c r="CB34" i="3"/>
  <c r="BQ34" i="3"/>
  <c r="AI34" i="3"/>
  <c r="CB33" i="3"/>
  <c r="BQ33" i="3"/>
  <c r="AI33" i="3"/>
  <c r="Y81" i="3"/>
  <c r="U81" i="3"/>
  <c r="W81" i="3" s="1"/>
  <c r="Y105" i="3"/>
  <c r="U105" i="3"/>
  <c r="W105" i="3" s="1"/>
  <c r="AQ129" i="3"/>
  <c r="AW129" i="3"/>
  <c r="CH129" i="3"/>
  <c r="CQ129" i="3"/>
  <c r="CI129" i="3"/>
  <c r="CP129" i="3"/>
  <c r="R129" i="3"/>
  <c r="AB129" i="3" s="1"/>
  <c r="F153" i="3" a="1"/>
  <c r="H153" i="3" a="1"/>
  <c r="I153" i="3" a="1"/>
  <c r="J153" i="3" s="1"/>
  <c r="T153" i="3" s="1"/>
  <c r="L153" i="3" a="1"/>
  <c r="M153" i="3" a="1"/>
  <c r="O153" i="3" s="1"/>
  <c r="P153" i="3" a="1"/>
  <c r="Q153" i="3" s="1"/>
  <c r="V153" i="3" s="1"/>
  <c r="AZ153" i="3" a="1"/>
  <c r="BA153" i="3" a="1"/>
  <c r="BC153" i="3" a="1"/>
  <c r="BD153" i="3" a="1"/>
  <c r="BX153" i="3" a="1"/>
  <c r="D177" i="3"/>
  <c r="CB32" i="3"/>
  <c r="AI32" i="3"/>
  <c r="BQ32" i="3"/>
  <c r="Y80" i="3"/>
  <c r="U80" i="3"/>
  <c r="W80" i="3" s="1"/>
  <c r="Y104" i="3"/>
  <c r="U104" i="3"/>
  <c r="W104" i="3" s="1"/>
  <c r="AQ128" i="3"/>
  <c r="AW128" i="3"/>
  <c r="CH128" i="3"/>
  <c r="CQ128" i="3"/>
  <c r="CI128" i="3"/>
  <c r="CP128" i="3"/>
  <c r="R128" i="3"/>
  <c r="AB128" i="3" s="1"/>
  <c r="F152" i="3" a="1"/>
  <c r="H152" i="3" a="1"/>
  <c r="I152" i="3" a="1"/>
  <c r="J152" i="3" s="1"/>
  <c r="T152" i="3" s="1"/>
  <c r="L152" i="3" a="1"/>
  <c r="M152" i="3" a="1"/>
  <c r="O152" i="3" s="1"/>
  <c r="P152" i="3" a="1"/>
  <c r="Q152" i="3" s="1"/>
  <c r="V152" i="3" s="1"/>
  <c r="AZ152" i="3" a="1"/>
  <c r="BA152" i="3" a="1"/>
  <c r="BC152" i="3" a="1"/>
  <c r="BD152" i="3" a="1"/>
  <c r="BX152" i="3" a="1"/>
  <c r="D176" i="3"/>
  <c r="CB31" i="3"/>
  <c r="BQ31" i="3"/>
  <c r="AI31" i="3"/>
  <c r="Y79" i="3"/>
  <c r="U79" i="3"/>
  <c r="W79" i="3" s="1"/>
  <c r="Y103" i="3"/>
  <c r="U103" i="3"/>
  <c r="W103" i="3" s="1"/>
  <c r="AQ127" i="3"/>
  <c r="AW127" i="3"/>
  <c r="CH127" i="3"/>
  <c r="CQ127" i="3"/>
  <c r="CI127" i="3"/>
  <c r="CP127" i="3"/>
  <c r="R127" i="3"/>
  <c r="AB127" i="3" s="1"/>
  <c r="F151" i="3" a="1"/>
  <c r="H151" i="3" a="1"/>
  <c r="I151" i="3" a="1"/>
  <c r="J151" i="3" s="1"/>
  <c r="T151" i="3" s="1"/>
  <c r="L151" i="3" a="1"/>
  <c r="M151" i="3" a="1"/>
  <c r="O151" i="3" s="1"/>
  <c r="P151" i="3" a="1"/>
  <c r="Q151" i="3" s="1"/>
  <c r="V151" i="3" s="1"/>
  <c r="AZ151" i="3" a="1"/>
  <c r="BA151" i="3" a="1"/>
  <c r="BC151" i="3" a="1"/>
  <c r="BD151" i="3" a="1"/>
  <c r="BX151" i="3" a="1"/>
  <c r="D175" i="3"/>
  <c r="CB30" i="3"/>
  <c r="AI30" i="3"/>
  <c r="BQ30" i="3"/>
  <c r="Y78" i="3"/>
  <c r="U78" i="3"/>
  <c r="W78" i="3" s="1"/>
  <c r="Y102" i="3"/>
  <c r="U102" i="3"/>
  <c r="W102" i="3" s="1"/>
  <c r="AQ126" i="3"/>
  <c r="AW126" i="3"/>
  <c r="CH126" i="3"/>
  <c r="CQ126" i="3"/>
  <c r="CI126" i="3"/>
  <c r="CP126" i="3"/>
  <c r="R126" i="3"/>
  <c r="AB126" i="3" s="1"/>
  <c r="F150" i="3" a="1"/>
  <c r="H150" i="3" a="1"/>
  <c r="I150" i="3" a="1"/>
  <c r="J150" i="3" s="1"/>
  <c r="T150" i="3" s="1"/>
  <c r="L150" i="3" a="1"/>
  <c r="M150" i="3" a="1"/>
  <c r="O150" i="3" s="1"/>
  <c r="P150" i="3" a="1"/>
  <c r="Q150" i="3" s="1"/>
  <c r="V150" i="3" s="1"/>
  <c r="AZ150" i="3" a="1"/>
  <c r="BA150" i="3" a="1"/>
  <c r="BC150" i="3" a="1"/>
  <c r="BD150" i="3" a="1"/>
  <c r="BX150" i="3" a="1"/>
  <c r="D174" i="3"/>
  <c r="Y77" i="3"/>
  <c r="U77" i="3"/>
  <c r="W77" i="3" s="1"/>
  <c r="Y101" i="3"/>
  <c r="U101" i="3"/>
  <c r="W101" i="3" s="1"/>
  <c r="AQ125" i="3"/>
  <c r="AW125" i="3"/>
  <c r="CH125" i="3"/>
  <c r="CQ125" i="3"/>
  <c r="CI125" i="3"/>
  <c r="CP125" i="3"/>
  <c r="R125" i="3"/>
  <c r="AB125" i="3" s="1"/>
  <c r="F149" i="3" a="1"/>
  <c r="H149" i="3" a="1"/>
  <c r="I149" i="3" a="1"/>
  <c r="J149" i="3" s="1"/>
  <c r="T149" i="3" s="1"/>
  <c r="L149" i="3" a="1"/>
  <c r="M149" i="3" a="1"/>
  <c r="O149" i="3" s="1"/>
  <c r="P149" i="3" a="1"/>
  <c r="Q149" i="3" s="1"/>
  <c r="V149" i="3" s="1"/>
  <c r="AZ149" i="3" a="1"/>
  <c r="BA149" i="3" a="1"/>
  <c r="BC149" i="3" a="1"/>
  <c r="BD149" i="3" a="1"/>
  <c r="BX149" i="3" a="1"/>
  <c r="D173" i="3"/>
  <c r="CB29" i="3"/>
  <c r="BQ29" i="3"/>
  <c r="AI29" i="3"/>
  <c r="Y76" i="3"/>
  <c r="U76" i="3"/>
  <c r="W76" i="3" s="1"/>
  <c r="Y100" i="3"/>
  <c r="U100" i="3"/>
  <c r="W100" i="3" s="1"/>
  <c r="AQ124" i="3"/>
  <c r="AW124" i="3"/>
  <c r="CH124" i="3"/>
  <c r="CQ124" i="3"/>
  <c r="CI124" i="3"/>
  <c r="CP124" i="3"/>
  <c r="R124" i="3"/>
  <c r="AB124" i="3" s="1"/>
  <c r="F148" i="3" a="1"/>
  <c r="H148" i="3" a="1"/>
  <c r="I148" i="3" a="1"/>
  <c r="J148" i="3" s="1"/>
  <c r="T148" i="3" s="1"/>
  <c r="L148" i="3" a="1"/>
  <c r="M148" i="3" a="1"/>
  <c r="O148" i="3" s="1"/>
  <c r="P148" i="3" a="1"/>
  <c r="Q148" i="3" s="1"/>
  <c r="V148" i="3" s="1"/>
  <c r="AZ148" i="3" a="1"/>
  <c r="BA148" i="3" a="1"/>
  <c r="BC148" i="3" a="1"/>
  <c r="BD148" i="3" a="1"/>
  <c r="BX148" i="3" a="1"/>
  <c r="D172" i="3"/>
  <c r="CB28" i="3"/>
  <c r="BQ28" i="3"/>
  <c r="AI28" i="3"/>
  <c r="CB27" i="3"/>
  <c r="BQ27" i="3"/>
  <c r="AI27" i="3"/>
  <c r="Y75" i="3"/>
  <c r="U75" i="3"/>
  <c r="W75" i="3" s="1"/>
  <c r="Y99" i="3"/>
  <c r="U99" i="3"/>
  <c r="W99" i="3" s="1"/>
  <c r="AQ123" i="3"/>
  <c r="AW123" i="3"/>
  <c r="CH123" i="3"/>
  <c r="CQ123" i="3"/>
  <c r="CI123" i="3"/>
  <c r="CP123" i="3"/>
  <c r="R123" i="3"/>
  <c r="AB123" i="3" s="1"/>
  <c r="F147" i="3" a="1"/>
  <c r="H147" i="3" a="1"/>
  <c r="I147" i="3" a="1"/>
  <c r="J147" i="3" s="1"/>
  <c r="T147" i="3" s="1"/>
  <c r="L147" i="3" a="1"/>
  <c r="M147" i="3" a="1"/>
  <c r="O147" i="3" s="1"/>
  <c r="P147" i="3" a="1"/>
  <c r="Q147" i="3" s="1"/>
  <c r="V147" i="3" s="1"/>
  <c r="AZ147" i="3" a="1"/>
  <c r="BA147" i="3" a="1"/>
  <c r="BC147" i="3" a="1"/>
  <c r="BD147" i="3" a="1"/>
  <c r="BX147" i="3" a="1"/>
  <c r="D171" i="3"/>
  <c r="CB26" i="3"/>
  <c r="AI26" i="3"/>
  <c r="BQ26" i="3"/>
  <c r="Y74" i="3"/>
  <c r="U74" i="3"/>
  <c r="W74" i="3" s="1"/>
  <c r="Y98" i="3"/>
  <c r="U98" i="3"/>
  <c r="W98" i="3" s="1"/>
  <c r="AQ122" i="3"/>
  <c r="AW122" i="3"/>
  <c r="CH122" i="3"/>
  <c r="CQ122" i="3"/>
  <c r="CI122" i="3"/>
  <c r="CP122" i="3"/>
  <c r="R122" i="3"/>
  <c r="AB122" i="3" s="1"/>
  <c r="F146" i="3" a="1"/>
  <c r="H146" i="3" a="1"/>
  <c r="I146" i="3" a="1"/>
  <c r="J146" i="3" s="1"/>
  <c r="T146" i="3" s="1"/>
  <c r="L146" i="3" a="1"/>
  <c r="M146" i="3" a="1"/>
  <c r="O146" i="3" s="1"/>
  <c r="P146" i="3" a="1"/>
  <c r="Q146" i="3" s="1"/>
  <c r="V146" i="3" s="1"/>
  <c r="AZ146" i="3" a="1"/>
  <c r="BA146" i="3" a="1"/>
  <c r="BC146" i="3" a="1"/>
  <c r="BD146" i="3" a="1"/>
  <c r="BX146" i="3" a="1"/>
  <c r="D170" i="3"/>
  <c r="CB25" i="3"/>
  <c r="AI25" i="3"/>
  <c r="BQ25" i="3"/>
  <c r="Y73" i="3"/>
  <c r="U73" i="3"/>
  <c r="W73" i="3" s="1"/>
  <c r="Y97" i="3"/>
  <c r="U97" i="3"/>
  <c r="W97" i="3" s="1"/>
  <c r="AQ121" i="3"/>
  <c r="AW121" i="3"/>
  <c r="CH121" i="3"/>
  <c r="CQ121" i="3"/>
  <c r="CI121" i="3"/>
  <c r="CP121" i="3"/>
  <c r="R121" i="3"/>
  <c r="AB121" i="3" s="1"/>
  <c r="F145" i="3" a="1"/>
  <c r="H145" i="3" a="1"/>
  <c r="I145" i="3" a="1"/>
  <c r="J145" i="3" s="1"/>
  <c r="T145" i="3" s="1"/>
  <c r="L145" i="3" a="1"/>
  <c r="M145" i="3" a="1"/>
  <c r="O145" i="3" s="1"/>
  <c r="P145" i="3" a="1"/>
  <c r="Q145" i="3" s="1"/>
  <c r="V145" i="3" s="1"/>
  <c r="AZ145" i="3" a="1"/>
  <c r="BA145" i="3" a="1"/>
  <c r="BC145" i="3" a="1"/>
  <c r="BD145" i="3" a="1"/>
  <c r="BX145" i="3" a="1"/>
  <c r="D169" i="3"/>
  <c r="Y72" i="3"/>
  <c r="U72" i="3"/>
  <c r="W72" i="3" s="1"/>
  <c r="Y96" i="3"/>
  <c r="U96" i="3"/>
  <c r="W96" i="3" s="1"/>
  <c r="AQ120" i="3"/>
  <c r="AW120" i="3"/>
  <c r="CH120" i="3"/>
  <c r="CQ120" i="3"/>
  <c r="CI120" i="3"/>
  <c r="CP120" i="3"/>
  <c r="R120" i="3"/>
  <c r="AB120" i="3" s="1"/>
  <c r="F144" i="3" a="1"/>
  <c r="H144" i="3" a="1"/>
  <c r="I144" i="3" a="1"/>
  <c r="J144" i="3" s="1"/>
  <c r="T144" i="3" s="1"/>
  <c r="L144" i="3" a="1"/>
  <c r="M144" i="3" a="1"/>
  <c r="O144" i="3" s="1"/>
  <c r="P144" i="3" a="1"/>
  <c r="Q144" i="3" s="1"/>
  <c r="V144" i="3" s="1"/>
  <c r="AZ144" i="3" a="1"/>
  <c r="BA144" i="3" a="1"/>
  <c r="BC144" i="3" a="1"/>
  <c r="BD144" i="3" a="1"/>
  <c r="BX144" i="3" a="1"/>
  <c r="D168" i="3"/>
  <c r="CB24" i="3"/>
  <c r="AI24" i="3"/>
  <c r="BQ24" i="3"/>
  <c r="AC21" i="3"/>
  <c r="BX99" i="3" a="1"/>
  <c r="AB186" i="4"/>
  <c r="AA186" i="4" s="1"/>
  <c r="H187" i="4"/>
  <c r="B206" i="4"/>
  <c r="B207" i="4" s="1"/>
  <c r="B208" i="4" s="1"/>
  <c r="B209" i="4" s="1"/>
  <c r="B210" i="4" s="1"/>
  <c r="B211" i="4" s="1"/>
  <c r="B212" i="4" s="1"/>
  <c r="B213" i="4" s="1"/>
  <c r="B214" i="4" s="1"/>
  <c r="B215" i="4" s="1"/>
  <c r="B216" i="4" s="1"/>
  <c r="B217" i="4" s="1"/>
  <c r="B218" i="4" s="1"/>
  <c r="B219" i="4" s="1"/>
  <c r="B220" i="4" s="1"/>
  <c r="B221" i="4" s="1"/>
  <c r="B222" i="4" s="1"/>
  <c r="B223" i="4" s="1"/>
  <c r="B224" i="4" s="1"/>
  <c r="B225" i="4" s="1"/>
  <c r="B226" i="4" s="1"/>
  <c r="B227" i="4" s="1"/>
  <c r="B228" i="4" s="1"/>
  <c r="B229" i="4" s="1"/>
  <c r="B230" i="4" s="1"/>
  <c r="B203" i="4"/>
  <c r="B204" i="4" s="1"/>
  <c r="B205" i="4" s="1"/>
  <c r="B23" i="13"/>
  <c r="B49" i="13"/>
  <c r="B77" i="13"/>
  <c r="B22" i="19"/>
  <c r="L13" i="4"/>
  <c r="K14" i="4"/>
  <c r="U54" i="24"/>
  <c r="S54" i="24"/>
  <c r="S99" i="33"/>
  <c r="U99" i="33"/>
  <c r="S50" i="24"/>
  <c r="U66" i="24"/>
  <c r="E48" i="15"/>
  <c r="C51" i="15"/>
  <c r="T103" i="33"/>
  <c r="T58" i="24"/>
  <c r="T70" i="24"/>
  <c r="BL30" i="13"/>
  <c r="BL32" i="13" s="1"/>
  <c r="E6" i="15"/>
  <c r="C12" i="15"/>
  <c r="Y71" i="3"/>
  <c r="U71" i="3"/>
  <c r="W71" i="3" s="1"/>
  <c r="Y70" i="3"/>
  <c r="U70" i="3"/>
  <c r="W70" i="3" s="1"/>
  <c r="Y95" i="3"/>
  <c r="U95" i="3"/>
  <c r="W95" i="3" s="1"/>
  <c r="AA47" i="3"/>
  <c r="AE47" i="3" s="1"/>
  <c r="BR47" i="3"/>
  <c r="CR47" i="3"/>
  <c r="CQ119" i="3"/>
  <c r="CH119" i="3"/>
  <c r="AW119" i="3"/>
  <c r="AQ119" i="3"/>
  <c r="CP119" i="3"/>
  <c r="CI119" i="3"/>
  <c r="R119" i="3"/>
  <c r="AB119" i="3" s="1"/>
  <c r="CQ118" i="3"/>
  <c r="CH118" i="3"/>
  <c r="AW118" i="3"/>
  <c r="AQ118" i="3"/>
  <c r="CP118" i="3"/>
  <c r="CI118" i="3"/>
  <c r="R118" i="3"/>
  <c r="AB118" i="3" s="1"/>
  <c r="CQ117" i="3"/>
  <c r="CH117" i="3"/>
  <c r="AW117" i="3"/>
  <c r="AQ117" i="3"/>
  <c r="CP117" i="3"/>
  <c r="CI117" i="3"/>
  <c r="T94" i="3"/>
  <c r="R94" i="3"/>
  <c r="AB94" i="3" s="1"/>
  <c r="V94" i="3"/>
  <c r="H143" i="3" a="1"/>
  <c r="I143" i="3" a="1"/>
  <c r="J143" i="3" s="1"/>
  <c r="T143" i="3" s="1"/>
  <c r="L143" i="3" a="1"/>
  <c r="M143" i="3" a="1"/>
  <c r="O143" i="3" s="1"/>
  <c r="P143" i="3" a="1"/>
  <c r="Q143" i="3" s="1"/>
  <c r="V143" i="3" s="1"/>
  <c r="AZ143" i="3" a="1"/>
  <c r="BA143" i="3" a="1"/>
  <c r="BC143" i="3" a="1"/>
  <c r="BD143" i="3" a="1"/>
  <c r="BX143" i="3" a="1"/>
  <c r="M142" i="3" a="1"/>
  <c r="O142" i="3" s="1"/>
  <c r="H142" i="3" a="1"/>
  <c r="I142" i="3" a="1"/>
  <c r="J142" i="3" s="1"/>
  <c r="T142" i="3" s="1"/>
  <c r="L142" i="3" a="1"/>
  <c r="P142" i="3" a="1"/>
  <c r="Q142" i="3" s="1"/>
  <c r="V142" i="3" s="1"/>
  <c r="AZ142" i="3" a="1"/>
  <c r="BA142" i="3" a="1"/>
  <c r="BC142" i="3" a="1"/>
  <c r="BD142" i="3" a="1"/>
  <c r="BX142" i="3" a="1"/>
  <c r="P141" i="3" a="1"/>
  <c r="AZ141" i="3" a="1"/>
  <c r="BA141" i="3" a="1"/>
  <c r="BC141" i="3" a="1"/>
  <c r="BD141" i="3" a="1"/>
  <c r="BX141" i="3" a="1"/>
  <c r="H141" i="3" a="1"/>
  <c r="I141" i="3" a="1"/>
  <c r="L141" i="3" a="1"/>
  <c r="M141" i="3" a="1"/>
  <c r="Z45" i="3"/>
  <c r="AC45" i="3" s="1"/>
  <c r="AD45" i="3" s="1"/>
  <c r="CR45" i="3" s="1"/>
  <c r="O117" i="3"/>
  <c r="J117" i="3"/>
  <c r="Q117" i="3"/>
  <c r="Z100" i="3" l="1"/>
  <c r="AC100" i="3" s="1"/>
  <c r="AD100" i="3" s="1"/>
  <c r="Z115" i="3"/>
  <c r="AC115" i="3" s="1"/>
  <c r="AD115" i="3" s="1"/>
  <c r="Z114" i="3"/>
  <c r="AC114" i="3" s="1"/>
  <c r="AD114" i="3" s="1"/>
  <c r="Z106" i="3"/>
  <c r="AC106" i="3" s="1"/>
  <c r="AD106" i="3" s="1"/>
  <c r="Z95" i="3"/>
  <c r="AC95" i="3" s="1"/>
  <c r="AD95" i="3" s="1"/>
  <c r="Z112" i="3"/>
  <c r="AC112" i="3" s="1"/>
  <c r="AD112" i="3" s="1"/>
  <c r="Z101" i="3"/>
  <c r="AC101" i="3" s="1"/>
  <c r="AD101" i="3" s="1"/>
  <c r="Z98" i="3"/>
  <c r="AC98" i="3" s="1"/>
  <c r="AD98" i="3" s="1"/>
  <c r="Z105" i="3"/>
  <c r="AC105" i="3" s="1"/>
  <c r="AD105" i="3" s="1"/>
  <c r="Z104" i="3"/>
  <c r="AC104" i="3" s="1"/>
  <c r="AD104" i="3" s="1"/>
  <c r="Z110" i="3"/>
  <c r="AC110" i="3" s="1"/>
  <c r="AD110" i="3" s="1"/>
  <c r="Z99" i="3"/>
  <c r="AC99" i="3" s="1"/>
  <c r="AD99" i="3" s="1"/>
  <c r="AI44" i="3"/>
  <c r="CB44" i="3"/>
  <c r="BQ44" i="3"/>
  <c r="Z111" i="3"/>
  <c r="AC111" i="3" s="1"/>
  <c r="AD111" i="3" s="1"/>
  <c r="Z96" i="3"/>
  <c r="AC96" i="3" s="1"/>
  <c r="AD96" i="3" s="1"/>
  <c r="Z97" i="3"/>
  <c r="AC97" i="3" s="1"/>
  <c r="AD97" i="3" s="1"/>
  <c r="Z107" i="3"/>
  <c r="AC107" i="3" s="1"/>
  <c r="AD107" i="3" s="1"/>
  <c r="AF62" i="3"/>
  <c r="AG62" i="3" s="1"/>
  <c r="AH62" i="3" s="1"/>
  <c r="Z113" i="3"/>
  <c r="AC113" i="3" s="1"/>
  <c r="AD113" i="3" s="1"/>
  <c r="Z108" i="3"/>
  <c r="AC108" i="3" s="1"/>
  <c r="AD108" i="3" s="1"/>
  <c r="CR69" i="3"/>
  <c r="BR69" i="3"/>
  <c r="CR93" i="3"/>
  <c r="BR93" i="3"/>
  <c r="AA93" i="3"/>
  <c r="AE93" i="3" s="1"/>
  <c r="AF93" i="3" s="1"/>
  <c r="AG93" i="3" s="1"/>
  <c r="AH93" i="3" s="1"/>
  <c r="Z116" i="3"/>
  <c r="AC116" i="3" s="1"/>
  <c r="AD116" i="3" s="1"/>
  <c r="Z103" i="3"/>
  <c r="AC103" i="3" s="1"/>
  <c r="AD103" i="3" s="1"/>
  <c r="Z102" i="3"/>
  <c r="AC102" i="3" s="1"/>
  <c r="AD102" i="3" s="1"/>
  <c r="CD260" i="3"/>
  <c r="C284" i="3"/>
  <c r="G236" i="3" a="1"/>
  <c r="BB236" i="3" a="1"/>
  <c r="E260" i="3"/>
  <c r="CC260" i="3"/>
  <c r="A284" i="3"/>
  <c r="CD235" i="3"/>
  <c r="C259" i="3"/>
  <c r="G211" i="3" a="1"/>
  <c r="BB211" i="3" a="1"/>
  <c r="CE211" i="3" a="1"/>
  <c r="B211" i="3" a="1"/>
  <c r="E235" i="3"/>
  <c r="CC235" i="3"/>
  <c r="A259" i="3"/>
  <c r="CD234" i="3"/>
  <c r="C258" i="3"/>
  <c r="CE210" i="3" a="1"/>
  <c r="G210" i="3" a="1"/>
  <c r="BB210" i="3" a="1"/>
  <c r="B210" i="3" a="1"/>
  <c r="E234" i="3"/>
  <c r="CC234" i="3"/>
  <c r="A258" i="3"/>
  <c r="CD233" i="3"/>
  <c r="C257" i="3"/>
  <c r="CE209" i="3" a="1"/>
  <c r="G209" i="3" a="1"/>
  <c r="BB209" i="3" a="1"/>
  <c r="B209" i="3" a="1"/>
  <c r="E233" i="3"/>
  <c r="CC233" i="3"/>
  <c r="A257" i="3"/>
  <c r="CD232" i="3"/>
  <c r="C256" i="3"/>
  <c r="B208" i="3" a="1"/>
  <c r="G208" i="3" a="1"/>
  <c r="CE208" i="3" a="1"/>
  <c r="BB208" i="3" a="1"/>
  <c r="E232" i="3"/>
  <c r="CC232" i="3"/>
  <c r="A256" i="3"/>
  <c r="CD231" i="3"/>
  <c r="C255" i="3"/>
  <c r="E231" i="3"/>
  <c r="CC231" i="3"/>
  <c r="A255" i="3"/>
  <c r="B207" i="3" a="1"/>
  <c r="CE207" i="3" a="1"/>
  <c r="G207" i="3" a="1"/>
  <c r="BB207" i="3" a="1"/>
  <c r="CD230" i="3"/>
  <c r="C254" i="3"/>
  <c r="B206" i="3" a="1"/>
  <c r="BB206" i="3" a="1"/>
  <c r="G206" i="3" a="1"/>
  <c r="CE206" i="3" a="1"/>
  <c r="E230" i="3"/>
  <c r="CC230" i="3"/>
  <c r="A254" i="3"/>
  <c r="CD229" i="3"/>
  <c r="C253" i="3"/>
  <c r="B205" i="3" a="1"/>
  <c r="BB205" i="3" a="1"/>
  <c r="CE205" i="3" a="1"/>
  <c r="G205" i="3" a="1"/>
  <c r="E229" i="3"/>
  <c r="CC229" i="3"/>
  <c r="A253" i="3"/>
  <c r="CD228" i="3"/>
  <c r="C252" i="3"/>
  <c r="B204" i="3" a="1"/>
  <c r="BB204" i="3" a="1"/>
  <c r="CE204" i="3" a="1"/>
  <c r="G204" i="3" a="1"/>
  <c r="E228" i="3"/>
  <c r="CC228" i="3"/>
  <c r="A252" i="3"/>
  <c r="CD227" i="3"/>
  <c r="C251" i="3"/>
  <c r="B203" i="3" a="1"/>
  <c r="BB203" i="3" a="1"/>
  <c r="CE203" i="3" a="1"/>
  <c r="G203" i="3" a="1"/>
  <c r="E227" i="3"/>
  <c r="CC227" i="3"/>
  <c r="A251" i="3"/>
  <c r="CD226" i="3"/>
  <c r="C250" i="3"/>
  <c r="B202" i="3" a="1"/>
  <c r="BB202" i="3" a="1"/>
  <c r="CE202" i="3" a="1"/>
  <c r="G202" i="3" a="1"/>
  <c r="E226" i="3"/>
  <c r="CC226" i="3"/>
  <c r="A250" i="3"/>
  <c r="CD225" i="3"/>
  <c r="C249" i="3"/>
  <c r="B201" i="3" a="1"/>
  <c r="BB201" i="3" a="1"/>
  <c r="CE201" i="3" a="1"/>
  <c r="G201" i="3" a="1"/>
  <c r="E225" i="3"/>
  <c r="CC225" i="3"/>
  <c r="A249" i="3"/>
  <c r="CD224" i="3"/>
  <c r="C248" i="3"/>
  <c r="B200" i="3" a="1"/>
  <c r="BB200" i="3" a="1"/>
  <c r="CE200" i="3" a="1"/>
  <c r="G200" i="3" a="1"/>
  <c r="E224" i="3"/>
  <c r="CC224" i="3"/>
  <c r="A248" i="3"/>
  <c r="CD223" i="3"/>
  <c r="C247" i="3"/>
  <c r="BB199" i="3" a="1"/>
  <c r="CE199" i="3" a="1"/>
  <c r="G199" i="3" a="1"/>
  <c r="B199" i="3" a="1"/>
  <c r="E223" i="3"/>
  <c r="CC223" i="3"/>
  <c r="A247" i="3"/>
  <c r="CD222" i="3"/>
  <c r="C246" i="3"/>
  <c r="G198" i="3" a="1"/>
  <c r="BB198" i="3" a="1"/>
  <c r="CE198" i="3" a="1"/>
  <c r="B198" i="3" a="1"/>
  <c r="E222" i="3"/>
  <c r="CC222" i="3"/>
  <c r="A246" i="3"/>
  <c r="CD197" i="3"/>
  <c r="C221" i="3"/>
  <c r="A221" i="3"/>
  <c r="CC197" i="3"/>
  <c r="E197" i="3"/>
  <c r="BB173" i="3" a="1"/>
  <c r="B173" i="3" a="1"/>
  <c r="CE173" i="3" a="1"/>
  <c r="G173" i="3" a="1"/>
  <c r="C220" i="3"/>
  <c r="CD196" i="3"/>
  <c r="B172" i="3" a="1"/>
  <c r="G172" i="3" a="1"/>
  <c r="BB172" i="3" a="1"/>
  <c r="CE172" i="3" a="1"/>
  <c r="CC196" i="3"/>
  <c r="E196" i="3"/>
  <c r="A220" i="3"/>
  <c r="C219" i="3"/>
  <c r="CD195" i="3"/>
  <c r="B171" i="3" a="1"/>
  <c r="CE171" i="3" a="1"/>
  <c r="G171" i="3" a="1"/>
  <c r="BB171" i="3" a="1"/>
  <c r="E195" i="3"/>
  <c r="CC195" i="3"/>
  <c r="A219" i="3"/>
  <c r="CD194" i="3"/>
  <c r="C218" i="3"/>
  <c r="BB170" i="3" a="1"/>
  <c r="G170" i="3" a="1"/>
  <c r="B170" i="3" a="1"/>
  <c r="CE170" i="3" a="1"/>
  <c r="CC194" i="3"/>
  <c r="E194" i="3"/>
  <c r="A218" i="3"/>
  <c r="CD193" i="3"/>
  <c r="C217" i="3"/>
  <c r="B169" i="3" a="1"/>
  <c r="BB169" i="3" a="1"/>
  <c r="G169" i="3" a="1"/>
  <c r="CE169" i="3" a="1"/>
  <c r="E193" i="3"/>
  <c r="CC193" i="3"/>
  <c r="A217" i="3"/>
  <c r="CD192" i="3"/>
  <c r="C216" i="3"/>
  <c r="BB168" i="3" a="1"/>
  <c r="CE168" i="3" a="1"/>
  <c r="B168" i="3" a="1"/>
  <c r="G168" i="3" a="1"/>
  <c r="E192" i="3"/>
  <c r="A216" i="3"/>
  <c r="CC192" i="3"/>
  <c r="D215" i="3"/>
  <c r="F191" i="3" a="1"/>
  <c r="C215" i="3"/>
  <c r="CD191" i="3"/>
  <c r="CE167" i="3" a="1"/>
  <c r="G167" i="3" a="1"/>
  <c r="B167" i="3" a="1"/>
  <c r="BB167" i="3" a="1"/>
  <c r="E191" i="3"/>
  <c r="CC191" i="3"/>
  <c r="A215" i="3"/>
  <c r="F190" i="3" a="1"/>
  <c r="D214" i="3"/>
  <c r="CD190" i="3"/>
  <c r="C214" i="3"/>
  <c r="B166" i="3" a="1"/>
  <c r="BB166" i="3" a="1"/>
  <c r="CE166" i="3" a="1"/>
  <c r="G166" i="3" a="1"/>
  <c r="E190" i="3"/>
  <c r="CC190" i="3"/>
  <c r="A214" i="3"/>
  <c r="AF69" i="3"/>
  <c r="AG69" i="3" s="1"/>
  <c r="AH69" i="3" s="1"/>
  <c r="F189" i="3" a="1"/>
  <c r="D213" i="3"/>
  <c r="C213" i="3"/>
  <c r="CD189" i="3"/>
  <c r="E189" i="3"/>
  <c r="CC189" i="3"/>
  <c r="A213" i="3"/>
  <c r="G165" i="3" a="1"/>
  <c r="BB165" i="3" a="1"/>
  <c r="CE165" i="3" a="1"/>
  <c r="B165" i="3" a="1"/>
  <c r="CB68" i="3"/>
  <c r="BQ68" i="3"/>
  <c r="AI68" i="3"/>
  <c r="Z92" i="3"/>
  <c r="AC92" i="3" s="1"/>
  <c r="AD92" i="3" s="1"/>
  <c r="Y140" i="3"/>
  <c r="U140" i="3"/>
  <c r="W140" i="3" s="1"/>
  <c r="F188" i="3" a="1"/>
  <c r="I188" i="3" a="1"/>
  <c r="J188" i="3" s="1"/>
  <c r="T188" i="3" s="1"/>
  <c r="BA188" i="3" a="1"/>
  <c r="BD188" i="3" a="1"/>
  <c r="H188" i="3" a="1"/>
  <c r="BX188" i="3" a="1"/>
  <c r="M188" i="3" a="1"/>
  <c r="O188" i="3" s="1"/>
  <c r="P188" i="3" a="1"/>
  <c r="Q188" i="3" s="1"/>
  <c r="V188" i="3" s="1"/>
  <c r="BC188" i="3" a="1"/>
  <c r="L188" i="3" a="1"/>
  <c r="AZ188" i="3" a="1"/>
  <c r="D212" i="3"/>
  <c r="R164" i="3"/>
  <c r="AB164" i="3" s="1"/>
  <c r="AQ164" i="3"/>
  <c r="AW164" i="3"/>
  <c r="CH164" i="3"/>
  <c r="CQ164" i="3"/>
  <c r="CI164" i="3"/>
  <c r="CP164" i="3"/>
  <c r="CB67" i="3"/>
  <c r="BQ67" i="3"/>
  <c r="AI67" i="3"/>
  <c r="Z91" i="3"/>
  <c r="AC91" i="3" s="1"/>
  <c r="AD91" i="3" s="1"/>
  <c r="Y139" i="3"/>
  <c r="U139" i="3"/>
  <c r="W139" i="3" s="1"/>
  <c r="AQ163" i="3"/>
  <c r="AW163" i="3"/>
  <c r="CH163" i="3"/>
  <c r="CQ163" i="3"/>
  <c r="R163" i="3"/>
  <c r="AB163" i="3" s="1"/>
  <c r="AZ187" i="3" a="1"/>
  <c r="F187" i="3" a="1"/>
  <c r="L187" i="3" a="1"/>
  <c r="I187" i="3" a="1"/>
  <c r="J187" i="3" s="1"/>
  <c r="T187" i="3" s="1"/>
  <c r="H187" i="3" a="1"/>
  <c r="BA187" i="3" a="1"/>
  <c r="BD187" i="3" a="1"/>
  <c r="M187" i="3" a="1"/>
  <c r="O187" i="3" s="1"/>
  <c r="P187" i="3" a="1"/>
  <c r="Q187" i="3" s="1"/>
  <c r="V187" i="3" s="1"/>
  <c r="BC187" i="3" a="1"/>
  <c r="BX187" i="3" a="1"/>
  <c r="D211" i="3"/>
  <c r="CP163" i="3"/>
  <c r="CI163" i="3"/>
  <c r="AK43" i="3"/>
  <c r="BG43" i="3"/>
  <c r="AJ43" i="3"/>
  <c r="AL43" i="3"/>
  <c r="CB66" i="3"/>
  <c r="BQ66" i="3"/>
  <c r="AI66" i="3"/>
  <c r="Z90" i="3"/>
  <c r="AC90" i="3" s="1"/>
  <c r="AD90" i="3" s="1"/>
  <c r="Y138" i="3"/>
  <c r="U138" i="3"/>
  <c r="W138" i="3" s="1"/>
  <c r="AQ162" i="3"/>
  <c r="AW162" i="3"/>
  <c r="CH162" i="3"/>
  <c r="CQ162" i="3"/>
  <c r="L186" i="3" a="1"/>
  <c r="BD186" i="3" a="1"/>
  <c r="M186" i="3" a="1"/>
  <c r="O186" i="3" s="1"/>
  <c r="H186" i="3" a="1"/>
  <c r="D210" i="3"/>
  <c r="I186" i="3" a="1"/>
  <c r="J186" i="3" s="1"/>
  <c r="T186" i="3" s="1"/>
  <c r="AZ186" i="3" a="1"/>
  <c r="BC186" i="3" a="1"/>
  <c r="BX186" i="3" a="1"/>
  <c r="F186" i="3" a="1"/>
  <c r="P186" i="3" a="1"/>
  <c r="Q186" i="3" s="1"/>
  <c r="V186" i="3" s="1"/>
  <c r="BA186" i="3" a="1"/>
  <c r="CI162" i="3"/>
  <c r="CP162" i="3"/>
  <c r="R162" i="3"/>
  <c r="AB162" i="3" s="1"/>
  <c r="AK42" i="3"/>
  <c r="AJ42" i="3"/>
  <c r="BG42" i="3"/>
  <c r="AL42" i="3"/>
  <c r="CB65" i="3"/>
  <c r="BQ65" i="3"/>
  <c r="AI65" i="3"/>
  <c r="Z89" i="3"/>
  <c r="AC89" i="3" s="1"/>
  <c r="AD89" i="3" s="1"/>
  <c r="Y137" i="3"/>
  <c r="U137" i="3"/>
  <c r="W137" i="3" s="1"/>
  <c r="AQ161" i="3"/>
  <c r="AW161" i="3"/>
  <c r="CH161" i="3"/>
  <c r="CQ161" i="3"/>
  <c r="R161" i="3"/>
  <c r="AB161" i="3" s="1"/>
  <c r="I185" i="3" a="1"/>
  <c r="J185" i="3" s="1"/>
  <c r="T185" i="3" s="1"/>
  <c r="BD185" i="3" a="1"/>
  <c r="BX185" i="3" a="1"/>
  <c r="F185" i="3" a="1"/>
  <c r="BA185" i="3" a="1"/>
  <c r="D209" i="3"/>
  <c r="M185" i="3" a="1"/>
  <c r="O185" i="3" s="1"/>
  <c r="H185" i="3" a="1"/>
  <c r="L185" i="3" a="1"/>
  <c r="P185" i="3" a="1"/>
  <c r="Q185" i="3" s="1"/>
  <c r="V185" i="3" s="1"/>
  <c r="AZ185" i="3" a="1"/>
  <c r="BC185" i="3" a="1"/>
  <c r="CI161" i="3"/>
  <c r="CP161" i="3"/>
  <c r="AK41" i="3"/>
  <c r="AJ41" i="3"/>
  <c r="BG41" i="3"/>
  <c r="AL41" i="3"/>
  <c r="CB64" i="3"/>
  <c r="BQ64" i="3"/>
  <c r="AI64" i="3"/>
  <c r="Z88" i="3"/>
  <c r="AC88" i="3" s="1"/>
  <c r="AD88" i="3" s="1"/>
  <c r="Y136" i="3"/>
  <c r="U136" i="3"/>
  <c r="W136" i="3" s="1"/>
  <c r="AQ160" i="3"/>
  <c r="AW160" i="3"/>
  <c r="CH160" i="3"/>
  <c r="CQ160" i="3"/>
  <c r="CI160" i="3"/>
  <c r="CP160" i="3"/>
  <c r="R160" i="3"/>
  <c r="AB160" i="3" s="1"/>
  <c r="BA184" i="3" a="1"/>
  <c r="F184" i="3" a="1"/>
  <c r="L184" i="3" a="1"/>
  <c r="AZ184" i="3" a="1"/>
  <c r="I184" i="3" a="1"/>
  <c r="J184" i="3" s="1"/>
  <c r="T184" i="3" s="1"/>
  <c r="H184" i="3" a="1"/>
  <c r="M184" i="3" a="1"/>
  <c r="O184" i="3" s="1"/>
  <c r="P184" i="3" a="1"/>
  <c r="Q184" i="3" s="1"/>
  <c r="V184" i="3" s="1"/>
  <c r="BC184" i="3" a="1"/>
  <c r="D208" i="3"/>
  <c r="BD184" i="3" a="1"/>
  <c r="BX184" i="3" a="1"/>
  <c r="AK40" i="3"/>
  <c r="AJ40" i="3"/>
  <c r="BG40" i="3"/>
  <c r="AL40" i="3"/>
  <c r="AK39" i="3"/>
  <c r="AJ39" i="3"/>
  <c r="BG39" i="3"/>
  <c r="AL39" i="3"/>
  <c r="CB63" i="3"/>
  <c r="BQ63" i="3"/>
  <c r="AI63" i="3"/>
  <c r="Z87" i="3"/>
  <c r="AC87" i="3" s="1"/>
  <c r="AD87" i="3" s="1"/>
  <c r="Y135" i="3"/>
  <c r="U135" i="3"/>
  <c r="W135" i="3" s="1"/>
  <c r="AQ159" i="3"/>
  <c r="AW159" i="3"/>
  <c r="CH159" i="3"/>
  <c r="CQ159" i="3"/>
  <c r="CI159" i="3"/>
  <c r="CP159" i="3"/>
  <c r="R159" i="3"/>
  <c r="AB159" i="3" s="1"/>
  <c r="F183" i="3" a="1"/>
  <c r="BC183" i="3" a="1"/>
  <c r="M183" i="3" a="1"/>
  <c r="O183" i="3" s="1"/>
  <c r="P183" i="3" a="1"/>
  <c r="Q183" i="3" s="1"/>
  <c r="V183" i="3" s="1"/>
  <c r="L183" i="3" a="1"/>
  <c r="BA183" i="3" a="1"/>
  <c r="BD183" i="3" a="1"/>
  <c r="BX183" i="3" a="1"/>
  <c r="D207" i="3"/>
  <c r="H183" i="3" a="1"/>
  <c r="I183" i="3" a="1"/>
  <c r="J183" i="3" s="1"/>
  <c r="T183" i="3" s="1"/>
  <c r="AZ183" i="3" a="1"/>
  <c r="AK38" i="3"/>
  <c r="AJ38" i="3"/>
  <c r="BG38" i="3"/>
  <c r="AL38" i="3"/>
  <c r="Z86" i="3"/>
  <c r="AC86" i="3" s="1"/>
  <c r="AD86" i="3" s="1"/>
  <c r="Y134" i="3"/>
  <c r="U134" i="3"/>
  <c r="W134" i="3" s="1"/>
  <c r="AQ158" i="3"/>
  <c r="AW158" i="3"/>
  <c r="CH158" i="3"/>
  <c r="CQ158" i="3"/>
  <c r="CI158" i="3"/>
  <c r="CP158" i="3"/>
  <c r="R158" i="3"/>
  <c r="AB158" i="3" s="1"/>
  <c r="H182" i="3" a="1"/>
  <c r="M182" i="3" a="1"/>
  <c r="O182" i="3" s="1"/>
  <c r="BX182" i="3" a="1"/>
  <c r="AZ182" i="3" a="1"/>
  <c r="BA182" i="3" a="1"/>
  <c r="BC182" i="3" a="1"/>
  <c r="F182" i="3" a="1"/>
  <c r="I182" i="3" a="1"/>
  <c r="J182" i="3" s="1"/>
  <c r="T182" i="3" s="1"/>
  <c r="L182" i="3" a="1"/>
  <c r="P182" i="3" a="1"/>
  <c r="Q182" i="3" s="1"/>
  <c r="V182" i="3" s="1"/>
  <c r="BD182" i="3" a="1"/>
  <c r="D206" i="3"/>
  <c r="CB61" i="3"/>
  <c r="AI61" i="3"/>
  <c r="BQ61" i="3"/>
  <c r="Z85" i="3"/>
  <c r="AC85" i="3" s="1"/>
  <c r="AD85" i="3" s="1"/>
  <c r="BR109" i="3"/>
  <c r="AA109" i="3"/>
  <c r="AE109" i="3" s="1"/>
  <c r="Y133" i="3"/>
  <c r="U133" i="3"/>
  <c r="W133" i="3" s="1"/>
  <c r="AQ157" i="3"/>
  <c r="AW157" i="3"/>
  <c r="CH157" i="3"/>
  <c r="CQ157" i="3"/>
  <c r="CI157" i="3"/>
  <c r="CP157" i="3"/>
  <c r="R157" i="3"/>
  <c r="AB157" i="3" s="1"/>
  <c r="H181" i="3" a="1"/>
  <c r="M181" i="3" a="1"/>
  <c r="O181" i="3" s="1"/>
  <c r="BA181" i="3" a="1"/>
  <c r="BD181" i="3" a="1"/>
  <c r="BX181" i="3" a="1"/>
  <c r="P181" i="3" a="1"/>
  <c r="Q181" i="3" s="1"/>
  <c r="V181" i="3" s="1"/>
  <c r="L181" i="3" a="1"/>
  <c r="F181" i="3" a="1"/>
  <c r="I181" i="3" a="1"/>
  <c r="J181" i="3" s="1"/>
  <c r="T181" i="3" s="1"/>
  <c r="AZ181" i="3" a="1"/>
  <c r="BC181" i="3" a="1"/>
  <c r="D205" i="3"/>
  <c r="AK37" i="3"/>
  <c r="AJ37" i="3"/>
  <c r="BG37" i="3"/>
  <c r="AL37" i="3"/>
  <c r="AK36" i="3"/>
  <c r="AJ36" i="3"/>
  <c r="BG36" i="3"/>
  <c r="AL36" i="3"/>
  <c r="CB60" i="3"/>
  <c r="AI60" i="3"/>
  <c r="BQ60" i="3"/>
  <c r="Z84" i="3"/>
  <c r="AC84" i="3" s="1"/>
  <c r="AD84" i="3" s="1"/>
  <c r="Y132" i="3"/>
  <c r="U132" i="3"/>
  <c r="W132" i="3" s="1"/>
  <c r="AQ156" i="3"/>
  <c r="AW156" i="3"/>
  <c r="CH156" i="3"/>
  <c r="CQ156" i="3"/>
  <c r="CI156" i="3"/>
  <c r="CP156" i="3"/>
  <c r="R156" i="3"/>
  <c r="AB156" i="3" s="1"/>
  <c r="F180" i="3" a="1"/>
  <c r="P180" i="3" a="1"/>
  <c r="Q180" i="3" s="1"/>
  <c r="V180" i="3" s="1"/>
  <c r="BA180" i="3" a="1"/>
  <c r="BC180" i="3" a="1"/>
  <c r="L180" i="3" a="1"/>
  <c r="AZ180" i="3" a="1"/>
  <c r="D204" i="3"/>
  <c r="H180" i="3" a="1"/>
  <c r="I180" i="3" a="1"/>
  <c r="J180" i="3" s="1"/>
  <c r="T180" i="3" s="1"/>
  <c r="BD180" i="3" a="1"/>
  <c r="M180" i="3" a="1"/>
  <c r="O180" i="3" s="1"/>
  <c r="BX180" i="3" a="1"/>
  <c r="CB59" i="3"/>
  <c r="AI59" i="3"/>
  <c r="BQ59" i="3"/>
  <c r="Z83" i="3"/>
  <c r="AC83" i="3" s="1"/>
  <c r="AD83" i="3" s="1"/>
  <c r="Y131" i="3"/>
  <c r="U131" i="3"/>
  <c r="W131" i="3" s="1"/>
  <c r="AQ155" i="3"/>
  <c r="AW155" i="3"/>
  <c r="CH155" i="3"/>
  <c r="CQ155" i="3"/>
  <c r="CI155" i="3"/>
  <c r="CP155" i="3"/>
  <c r="R155" i="3"/>
  <c r="AB155" i="3" s="1"/>
  <c r="F179" i="3" a="1"/>
  <c r="M179" i="3" a="1"/>
  <c r="O179" i="3" s="1"/>
  <c r="P179" i="3" a="1"/>
  <c r="Q179" i="3" s="1"/>
  <c r="V179" i="3" s="1"/>
  <c r="I179" i="3" a="1"/>
  <c r="J179" i="3" s="1"/>
  <c r="T179" i="3" s="1"/>
  <c r="BA179" i="3" a="1"/>
  <c r="BC179" i="3" a="1"/>
  <c r="BX179" i="3" a="1"/>
  <c r="L179" i="3" a="1"/>
  <c r="H179" i="3" a="1"/>
  <c r="D203" i="3"/>
  <c r="AZ179" i="3" a="1"/>
  <c r="BD179" i="3" a="1"/>
  <c r="AK35" i="3"/>
  <c r="AJ35" i="3"/>
  <c r="BG35" i="3"/>
  <c r="AL35" i="3"/>
  <c r="CB58" i="3"/>
  <c r="AI58" i="3"/>
  <c r="BQ58" i="3"/>
  <c r="Z82" i="3"/>
  <c r="AC82" i="3" s="1"/>
  <c r="AD82" i="3" s="1"/>
  <c r="Y130" i="3"/>
  <c r="U130" i="3"/>
  <c r="W130" i="3" s="1"/>
  <c r="Z130" i="3" s="1"/>
  <c r="AC130" i="3" s="1"/>
  <c r="AD130" i="3" s="1"/>
  <c r="CR130" i="3" s="1"/>
  <c r="AQ154" i="3"/>
  <c r="AW154" i="3"/>
  <c r="CH154" i="3"/>
  <c r="CQ154" i="3"/>
  <c r="CI154" i="3"/>
  <c r="CP154" i="3"/>
  <c r="R154" i="3"/>
  <c r="AB154" i="3" s="1"/>
  <c r="M178" i="3" a="1"/>
  <c r="O178" i="3" s="1"/>
  <c r="I178" i="3" a="1"/>
  <c r="J178" i="3" s="1"/>
  <c r="T178" i="3" s="1"/>
  <c r="L178" i="3" a="1"/>
  <c r="BA178" i="3" a="1"/>
  <c r="BX178" i="3" a="1"/>
  <c r="BC178" i="3" a="1"/>
  <c r="D202" i="3"/>
  <c r="F178" i="3" a="1"/>
  <c r="H178" i="3" a="1"/>
  <c r="P178" i="3" a="1"/>
  <c r="Q178" i="3" s="1"/>
  <c r="V178" i="3" s="1"/>
  <c r="AZ178" i="3" a="1"/>
  <c r="BD178" i="3" a="1"/>
  <c r="AK34" i="3"/>
  <c r="BG34" i="3"/>
  <c r="AJ34" i="3"/>
  <c r="AL34" i="3"/>
  <c r="AK33" i="3"/>
  <c r="AJ33" i="3"/>
  <c r="BG33" i="3"/>
  <c r="AL33" i="3"/>
  <c r="CB57" i="3"/>
  <c r="AI57" i="3"/>
  <c r="BQ57" i="3"/>
  <c r="Z81" i="3"/>
  <c r="AC81" i="3" s="1"/>
  <c r="AD81" i="3" s="1"/>
  <c r="Y129" i="3"/>
  <c r="U129" i="3"/>
  <c r="W129" i="3" s="1"/>
  <c r="AQ153" i="3"/>
  <c r="AW153" i="3"/>
  <c r="CH153" i="3"/>
  <c r="CQ153" i="3"/>
  <c r="CI153" i="3"/>
  <c r="CP153" i="3"/>
  <c r="R153" i="3"/>
  <c r="AB153" i="3" s="1"/>
  <c r="AZ177" i="3" a="1"/>
  <c r="P177" i="3" a="1"/>
  <c r="Q177" i="3" s="1"/>
  <c r="V177" i="3" s="1"/>
  <c r="I177" i="3" a="1"/>
  <c r="J177" i="3" s="1"/>
  <c r="T177" i="3" s="1"/>
  <c r="M177" i="3" a="1"/>
  <c r="O177" i="3" s="1"/>
  <c r="BD177" i="3" a="1"/>
  <c r="BX177" i="3" a="1"/>
  <c r="L177" i="3" a="1"/>
  <c r="D201" i="3"/>
  <c r="F177" i="3" a="1"/>
  <c r="H177" i="3" a="1"/>
  <c r="BA177" i="3" a="1"/>
  <c r="BC177" i="3" a="1"/>
  <c r="AK32" i="3"/>
  <c r="AJ32" i="3"/>
  <c r="BG32" i="3"/>
  <c r="AL32" i="3"/>
  <c r="CB56" i="3"/>
  <c r="AI56" i="3"/>
  <c r="BQ56" i="3"/>
  <c r="Z80" i="3"/>
  <c r="AC80" i="3" s="1"/>
  <c r="AD80" i="3" s="1"/>
  <c r="Y128" i="3"/>
  <c r="U128" i="3"/>
  <c r="W128" i="3" s="1"/>
  <c r="AQ152" i="3"/>
  <c r="AW152" i="3"/>
  <c r="CH152" i="3"/>
  <c r="CQ152" i="3"/>
  <c r="CI152" i="3"/>
  <c r="CP152" i="3"/>
  <c r="R152" i="3"/>
  <c r="AB152" i="3" s="1"/>
  <c r="F176" i="3" a="1"/>
  <c r="I176" i="3" a="1"/>
  <c r="J176" i="3" s="1"/>
  <c r="T176" i="3" s="1"/>
  <c r="L176" i="3" a="1"/>
  <c r="BX176" i="3" a="1"/>
  <c r="P176" i="3" a="1"/>
  <c r="Q176" i="3" s="1"/>
  <c r="V176" i="3" s="1"/>
  <c r="M176" i="3" a="1"/>
  <c r="O176" i="3" s="1"/>
  <c r="BA176" i="3" a="1"/>
  <c r="BC176" i="3" a="1"/>
  <c r="H176" i="3" a="1"/>
  <c r="D200" i="3"/>
  <c r="AZ176" i="3" a="1"/>
  <c r="BD176" i="3" a="1"/>
  <c r="AK31" i="3"/>
  <c r="AJ31" i="3"/>
  <c r="BG31" i="3"/>
  <c r="AL31" i="3"/>
  <c r="CB55" i="3"/>
  <c r="AI55" i="3"/>
  <c r="BQ55" i="3"/>
  <c r="Z79" i="3"/>
  <c r="AC79" i="3" s="1"/>
  <c r="AD79" i="3" s="1"/>
  <c r="Y127" i="3"/>
  <c r="U127" i="3"/>
  <c r="W127" i="3" s="1"/>
  <c r="AQ151" i="3"/>
  <c r="AW151" i="3"/>
  <c r="CH151" i="3"/>
  <c r="CQ151" i="3"/>
  <c r="CI151" i="3"/>
  <c r="CP151" i="3"/>
  <c r="R151" i="3"/>
  <c r="AB151" i="3" s="1"/>
  <c r="M175" i="3" a="1"/>
  <c r="O175" i="3" s="1"/>
  <c r="BC175" i="3" a="1"/>
  <c r="AZ175" i="3" a="1"/>
  <c r="I175" i="3" a="1"/>
  <c r="J175" i="3" s="1"/>
  <c r="T175" i="3" s="1"/>
  <c r="P175" i="3" a="1"/>
  <c r="Q175" i="3" s="1"/>
  <c r="V175" i="3" s="1"/>
  <c r="BA175" i="3" a="1"/>
  <c r="BD175" i="3" a="1"/>
  <c r="BX175" i="3" a="1"/>
  <c r="D199" i="3"/>
  <c r="F175" i="3" a="1"/>
  <c r="H175" i="3" a="1"/>
  <c r="L175" i="3" a="1"/>
  <c r="AJ30" i="3"/>
  <c r="AK30" i="3"/>
  <c r="BG30" i="3"/>
  <c r="AL30" i="3"/>
  <c r="CB54" i="3"/>
  <c r="AI54" i="3"/>
  <c r="BQ54" i="3"/>
  <c r="Z78" i="3"/>
  <c r="AC78" i="3" s="1"/>
  <c r="AD78" i="3" s="1"/>
  <c r="Y126" i="3"/>
  <c r="U126" i="3"/>
  <c r="W126" i="3" s="1"/>
  <c r="AQ150" i="3"/>
  <c r="AW150" i="3"/>
  <c r="CH150" i="3"/>
  <c r="CQ150" i="3"/>
  <c r="CI150" i="3"/>
  <c r="CP150" i="3"/>
  <c r="R150" i="3"/>
  <c r="AB150" i="3" s="1"/>
  <c r="I174" i="3" a="1"/>
  <c r="J174" i="3" s="1"/>
  <c r="T174" i="3" s="1"/>
  <c r="L174" i="3" a="1"/>
  <c r="H174" i="3" a="1"/>
  <c r="M174" i="3" a="1"/>
  <c r="O174" i="3" s="1"/>
  <c r="P174" i="3" a="1"/>
  <c r="Q174" i="3" s="1"/>
  <c r="V174" i="3" s="1"/>
  <c r="AZ174" i="3" a="1"/>
  <c r="BC174" i="3" a="1"/>
  <c r="BA174" i="3" a="1"/>
  <c r="BD174" i="3" a="1"/>
  <c r="BX174" i="3" a="1"/>
  <c r="D198" i="3"/>
  <c r="F174" i="3" a="1"/>
  <c r="CB53" i="3"/>
  <c r="AI53" i="3"/>
  <c r="BQ53" i="3"/>
  <c r="Z77" i="3"/>
  <c r="AC77" i="3" s="1"/>
  <c r="AD77" i="3" s="1"/>
  <c r="Y125" i="3"/>
  <c r="U125" i="3"/>
  <c r="W125" i="3" s="1"/>
  <c r="AQ149" i="3"/>
  <c r="AW149" i="3"/>
  <c r="CH149" i="3"/>
  <c r="CQ149" i="3"/>
  <c r="CI149" i="3"/>
  <c r="CP149" i="3"/>
  <c r="R149" i="3"/>
  <c r="AB149" i="3" s="1"/>
  <c r="F173" i="3" a="1"/>
  <c r="I173" i="3" a="1"/>
  <c r="J173" i="3" s="1"/>
  <c r="T173" i="3" s="1"/>
  <c r="L173" i="3" a="1"/>
  <c r="AZ173" i="3" a="1"/>
  <c r="BC173" i="3" a="1"/>
  <c r="D197" i="3"/>
  <c r="M173" i="3" a="1"/>
  <c r="O173" i="3" s="1"/>
  <c r="BA173" i="3" a="1"/>
  <c r="BD173" i="3" a="1"/>
  <c r="BX173" i="3" a="1"/>
  <c r="H173" i="3" a="1"/>
  <c r="P173" i="3" a="1"/>
  <c r="Q173" i="3" s="1"/>
  <c r="V173" i="3" s="1"/>
  <c r="AK29" i="3"/>
  <c r="AJ29" i="3"/>
  <c r="BG29" i="3"/>
  <c r="AL29" i="3"/>
  <c r="CB52" i="3"/>
  <c r="AI52" i="3"/>
  <c r="BQ52" i="3"/>
  <c r="Z76" i="3"/>
  <c r="AC76" i="3" s="1"/>
  <c r="AD76" i="3" s="1"/>
  <c r="Y124" i="3"/>
  <c r="U124" i="3"/>
  <c r="W124" i="3" s="1"/>
  <c r="AQ148" i="3"/>
  <c r="AW148" i="3"/>
  <c r="CH148" i="3"/>
  <c r="CQ148" i="3"/>
  <c r="CI148" i="3"/>
  <c r="CP148" i="3"/>
  <c r="R148" i="3"/>
  <c r="AB148" i="3" s="1"/>
  <c r="M172" i="3" a="1"/>
  <c r="O172" i="3" s="1"/>
  <c r="D196" i="3"/>
  <c r="BD172" i="3" a="1"/>
  <c r="I172" i="3" a="1"/>
  <c r="J172" i="3" s="1"/>
  <c r="T172" i="3" s="1"/>
  <c r="P172" i="3" a="1"/>
  <c r="Q172" i="3" s="1"/>
  <c r="V172" i="3" s="1"/>
  <c r="AZ172" i="3" a="1"/>
  <c r="H172" i="3" a="1"/>
  <c r="BX172" i="3" a="1"/>
  <c r="F172" i="3" a="1"/>
  <c r="BA172" i="3" a="1"/>
  <c r="L172" i="3" a="1"/>
  <c r="BC172" i="3" a="1"/>
  <c r="AK28" i="3"/>
  <c r="BG28" i="3"/>
  <c r="AJ28" i="3"/>
  <c r="AL28" i="3"/>
  <c r="AK27" i="3"/>
  <c r="AJ27" i="3"/>
  <c r="BG27" i="3"/>
  <c r="AL27" i="3"/>
  <c r="CB51" i="3"/>
  <c r="AI51" i="3"/>
  <c r="BQ51" i="3"/>
  <c r="Z75" i="3"/>
  <c r="AC75" i="3" s="1"/>
  <c r="AD75" i="3" s="1"/>
  <c r="Y123" i="3"/>
  <c r="U123" i="3"/>
  <c r="W123" i="3" s="1"/>
  <c r="AQ147" i="3"/>
  <c r="AW147" i="3"/>
  <c r="CH147" i="3"/>
  <c r="CQ147" i="3"/>
  <c r="CI147" i="3"/>
  <c r="CP147" i="3"/>
  <c r="R147" i="3"/>
  <c r="AB147" i="3" s="1"/>
  <c r="I171" i="3" a="1"/>
  <c r="J171" i="3" s="1"/>
  <c r="T171" i="3" s="1"/>
  <c r="M171" i="3" a="1"/>
  <c r="O171" i="3" s="1"/>
  <c r="BA171" i="3" a="1"/>
  <c r="BC171" i="3" a="1"/>
  <c r="BX171" i="3" a="1"/>
  <c r="D195" i="3"/>
  <c r="L171" i="3" a="1"/>
  <c r="BD171" i="3" a="1"/>
  <c r="H171" i="3" a="1"/>
  <c r="P171" i="3" a="1"/>
  <c r="Q171" i="3" s="1"/>
  <c r="V171" i="3" s="1"/>
  <c r="AZ171" i="3" a="1"/>
  <c r="F171" i="3" a="1"/>
  <c r="AJ26" i="3"/>
  <c r="BG26" i="3"/>
  <c r="AK26" i="3"/>
  <c r="AL26" i="3"/>
  <c r="CB50" i="3"/>
  <c r="AI50" i="3"/>
  <c r="BQ50" i="3"/>
  <c r="Z74" i="3"/>
  <c r="AC74" i="3" s="1"/>
  <c r="AD74" i="3" s="1"/>
  <c r="Y122" i="3"/>
  <c r="U122" i="3"/>
  <c r="W122" i="3" s="1"/>
  <c r="AQ146" i="3"/>
  <c r="AW146" i="3"/>
  <c r="CH146" i="3"/>
  <c r="CQ146" i="3"/>
  <c r="CI146" i="3"/>
  <c r="CP146" i="3"/>
  <c r="R146" i="3"/>
  <c r="AB146" i="3" s="1"/>
  <c r="I170" i="3" a="1"/>
  <c r="J170" i="3" s="1"/>
  <c r="T170" i="3" s="1"/>
  <c r="L170" i="3" a="1"/>
  <c r="AZ170" i="3" a="1"/>
  <c r="BC170" i="3" a="1"/>
  <c r="D194" i="3"/>
  <c r="BD170" i="3" a="1"/>
  <c r="F170" i="3" a="1"/>
  <c r="P170" i="3" a="1"/>
  <c r="Q170" i="3" s="1"/>
  <c r="V170" i="3" s="1"/>
  <c r="H170" i="3" a="1"/>
  <c r="M170" i="3" a="1"/>
  <c r="O170" i="3" s="1"/>
  <c r="BX170" i="3" a="1"/>
  <c r="BA170" i="3" a="1"/>
  <c r="AK25" i="3"/>
  <c r="AJ25" i="3"/>
  <c r="BG25" i="3"/>
  <c r="AL25" i="3"/>
  <c r="CB49" i="3"/>
  <c r="AI49" i="3"/>
  <c r="BQ49" i="3"/>
  <c r="Z73" i="3"/>
  <c r="AC73" i="3" s="1"/>
  <c r="AD73" i="3" s="1"/>
  <c r="Y121" i="3"/>
  <c r="U121" i="3"/>
  <c r="W121" i="3" s="1"/>
  <c r="AQ145" i="3"/>
  <c r="AW145" i="3"/>
  <c r="CH145" i="3"/>
  <c r="CQ145" i="3"/>
  <c r="CI145" i="3"/>
  <c r="CP145" i="3"/>
  <c r="R145" i="3"/>
  <c r="AB145" i="3" s="1"/>
  <c r="F169" i="3" a="1"/>
  <c r="L169" i="3" a="1"/>
  <c r="P169" i="3" a="1"/>
  <c r="Q169" i="3" s="1"/>
  <c r="V169" i="3" s="1"/>
  <c r="D193" i="3"/>
  <c r="I169" i="3" a="1"/>
  <c r="J169" i="3" s="1"/>
  <c r="T169" i="3" s="1"/>
  <c r="AZ169" i="3" a="1"/>
  <c r="BD169" i="3" a="1"/>
  <c r="BX169" i="3" a="1"/>
  <c r="H169" i="3" a="1"/>
  <c r="M169" i="3" a="1"/>
  <c r="O169" i="3" s="1"/>
  <c r="BA169" i="3" a="1"/>
  <c r="BC169" i="3" a="1"/>
  <c r="CB48" i="3"/>
  <c r="AI48" i="3"/>
  <c r="BQ48" i="3"/>
  <c r="Z72" i="3"/>
  <c r="AC72" i="3" s="1"/>
  <c r="AD72" i="3" s="1"/>
  <c r="Y120" i="3"/>
  <c r="U120" i="3"/>
  <c r="W120" i="3" s="1"/>
  <c r="AQ144" i="3"/>
  <c r="AW144" i="3"/>
  <c r="CH144" i="3"/>
  <c r="CQ144" i="3"/>
  <c r="CI144" i="3"/>
  <c r="CP144" i="3"/>
  <c r="R144" i="3"/>
  <c r="AB144" i="3" s="1"/>
  <c r="BC168" i="3" a="1"/>
  <c r="H168" i="3" a="1"/>
  <c r="M168" i="3" a="1"/>
  <c r="O168" i="3" s="1"/>
  <c r="AZ168" i="3" a="1"/>
  <c r="P168" i="3" a="1"/>
  <c r="Q168" i="3" s="1"/>
  <c r="V168" i="3" s="1"/>
  <c r="BD168" i="3" a="1"/>
  <c r="BA168" i="3" a="1"/>
  <c r="F168" i="3" a="1"/>
  <c r="I168" i="3" a="1"/>
  <c r="J168" i="3" s="1"/>
  <c r="T168" i="3" s="1"/>
  <c r="L168" i="3" a="1"/>
  <c r="BX168" i="3" a="1"/>
  <c r="D192" i="3"/>
  <c r="AK24" i="3"/>
  <c r="AJ24" i="3"/>
  <c r="BG24" i="3"/>
  <c r="AL24" i="3"/>
  <c r="AD21" i="3"/>
  <c r="BX100" i="3" a="1"/>
  <c r="AB187" i="4"/>
  <c r="AA187" i="4" s="1"/>
  <c r="H188" i="4"/>
  <c r="B235" i="4"/>
  <c r="B236" i="4" s="1"/>
  <c r="B237" i="4" s="1"/>
  <c r="B238" i="4" s="1"/>
  <c r="B239" i="4" s="1"/>
  <c r="B240" i="4" s="1"/>
  <c r="B241" i="4" s="1"/>
  <c r="B242" i="4" s="1"/>
  <c r="B243" i="4" s="1"/>
  <c r="B244" i="4" s="1"/>
  <c r="B245" i="4" s="1"/>
  <c r="B246" i="4" s="1"/>
  <c r="B247" i="4" s="1"/>
  <c r="B248" i="4" s="1"/>
  <c r="B249" i="4" s="1"/>
  <c r="B250" i="4" s="1"/>
  <c r="B251" i="4" s="1"/>
  <c r="B252" i="4" s="1"/>
  <c r="B253" i="4" s="1"/>
  <c r="B254" i="4" s="1"/>
  <c r="B255" i="4" s="1"/>
  <c r="B256" i="4" s="1"/>
  <c r="B257" i="4" s="1"/>
  <c r="B258" i="4" s="1"/>
  <c r="B231" i="4"/>
  <c r="B232" i="4" s="1"/>
  <c r="B233" i="4" s="1"/>
  <c r="B234" i="4" s="1"/>
  <c r="L14" i="4"/>
  <c r="B23" i="19"/>
  <c r="B24" i="13"/>
  <c r="B50" i="13"/>
  <c r="B78" i="13"/>
  <c r="M13" i="4"/>
  <c r="CE188" i="3" a="1"/>
  <c r="B188" i="3" a="1"/>
  <c r="C22" i="19"/>
  <c r="C23" i="13"/>
  <c r="C49" i="13"/>
  <c r="C77" i="13"/>
  <c r="K321" i="4"/>
  <c r="C32" i="30"/>
  <c r="F32" i="30" s="1"/>
  <c r="F35" i="30" s="1"/>
  <c r="F39" i="30" s="1"/>
  <c r="E35" i="33"/>
  <c r="F35" i="33" s="1"/>
  <c r="S66" i="33"/>
  <c r="E30" i="24"/>
  <c r="E51" i="15"/>
  <c r="S37" i="24"/>
  <c r="S103" i="33"/>
  <c r="U103" i="33"/>
  <c r="U95" i="33" s="1"/>
  <c r="U58" i="24"/>
  <c r="U50" i="24" s="1"/>
  <c r="S58" i="24"/>
  <c r="CB22" i="3"/>
  <c r="BQ22" i="3"/>
  <c r="AI22" i="3"/>
  <c r="CB23" i="3"/>
  <c r="AI23" i="3"/>
  <c r="BQ23" i="3"/>
  <c r="CB46" i="3"/>
  <c r="AI46" i="3"/>
  <c r="BQ46" i="3"/>
  <c r="C13" i="15"/>
  <c r="E13" i="15" s="1"/>
  <c r="S67" i="33"/>
  <c r="E12" i="15"/>
  <c r="C17" i="30"/>
  <c r="F17" i="30" s="1"/>
  <c r="F20" i="30" s="1"/>
  <c r="F23" i="30" s="1"/>
  <c r="T77" i="33"/>
  <c r="S77" i="33" s="1"/>
  <c r="Z71" i="3"/>
  <c r="AC71" i="3" s="1"/>
  <c r="AD71" i="3" s="1"/>
  <c r="Z70" i="3"/>
  <c r="AF47" i="3"/>
  <c r="AG47" i="3" s="1"/>
  <c r="AH47" i="3" s="1"/>
  <c r="Y119" i="3"/>
  <c r="U119" i="3"/>
  <c r="W119" i="3" s="1"/>
  <c r="Y118" i="3"/>
  <c r="U118" i="3"/>
  <c r="W118" i="3" s="1"/>
  <c r="BR45" i="3"/>
  <c r="AA45" i="3"/>
  <c r="AE45" i="3" s="1"/>
  <c r="Y94" i="3"/>
  <c r="U94" i="3"/>
  <c r="W94" i="3" s="1"/>
  <c r="CQ143" i="3"/>
  <c r="CH143" i="3"/>
  <c r="AW143" i="3"/>
  <c r="AQ143" i="3"/>
  <c r="CP143" i="3"/>
  <c r="CI143" i="3"/>
  <c r="R143" i="3"/>
  <c r="AB143" i="3" s="1"/>
  <c r="R142" i="3"/>
  <c r="AB142" i="3" s="1"/>
  <c r="CQ142" i="3"/>
  <c r="CH142" i="3"/>
  <c r="AW142" i="3"/>
  <c r="AQ142" i="3"/>
  <c r="CP142" i="3"/>
  <c r="CI142" i="3"/>
  <c r="CQ141" i="3"/>
  <c r="CH141" i="3"/>
  <c r="AW141" i="3"/>
  <c r="AQ141" i="3"/>
  <c r="CP141" i="3"/>
  <c r="CI141" i="3"/>
  <c r="R117" i="3"/>
  <c r="T117" i="3"/>
  <c r="V117" i="3"/>
  <c r="BA167" i="3" a="1"/>
  <c r="H167" i="3" a="1"/>
  <c r="L167" i="3" a="1"/>
  <c r="BC167" i="3" a="1"/>
  <c r="I167" i="3" a="1"/>
  <c r="J167" i="3" s="1"/>
  <c r="T167" i="3" s="1"/>
  <c r="M167" i="3" a="1"/>
  <c r="O167" i="3" s="1"/>
  <c r="AZ167" i="3" a="1"/>
  <c r="BX167" i="3" a="1"/>
  <c r="P167" i="3" a="1"/>
  <c r="Q167" i="3" s="1"/>
  <c r="V167" i="3" s="1"/>
  <c r="BD167" i="3" a="1"/>
  <c r="P166" i="3" a="1"/>
  <c r="Q166" i="3" s="1"/>
  <c r="V166" i="3" s="1"/>
  <c r="M166" i="3" a="1"/>
  <c r="O166" i="3" s="1"/>
  <c r="BD166" i="3" a="1"/>
  <c r="BX166" i="3" a="1"/>
  <c r="H166" i="3" a="1"/>
  <c r="AZ166" i="3" a="1"/>
  <c r="I166" i="3" a="1"/>
  <c r="J166" i="3" s="1"/>
  <c r="T166" i="3" s="1"/>
  <c r="L166" i="3" a="1"/>
  <c r="BC166" i="3" a="1"/>
  <c r="BA166" i="3" a="1"/>
  <c r="AZ165" i="3" a="1"/>
  <c r="L165" i="3" a="1"/>
  <c r="BA165" i="3" a="1"/>
  <c r="BC165" i="3" a="1"/>
  <c r="I165" i="3" a="1"/>
  <c r="M165" i="3" a="1"/>
  <c r="H165" i="3" a="1"/>
  <c r="P165" i="3" a="1"/>
  <c r="BD165" i="3" a="1"/>
  <c r="BX165" i="3" a="1"/>
  <c r="S70" i="24"/>
  <c r="U70" i="24"/>
  <c r="Q141" i="3"/>
  <c r="J141" i="3"/>
  <c r="O141" i="3"/>
  <c r="CR100" i="3" l="1"/>
  <c r="BR100" i="3"/>
  <c r="AA100" i="3"/>
  <c r="AE100" i="3" s="1"/>
  <c r="AF100" i="3" s="1"/>
  <c r="AG100" i="3" s="1"/>
  <c r="AH100" i="3" s="1"/>
  <c r="CR115" i="3"/>
  <c r="BR115" i="3"/>
  <c r="AA115" i="3"/>
  <c r="AE115" i="3" s="1"/>
  <c r="AF115" i="3" s="1"/>
  <c r="AG115" i="3" s="1"/>
  <c r="AH115" i="3" s="1"/>
  <c r="Z133" i="3"/>
  <c r="AC133" i="3" s="1"/>
  <c r="AD133" i="3" s="1"/>
  <c r="Z119" i="3"/>
  <c r="AC119" i="3" s="1"/>
  <c r="AD119" i="3" s="1"/>
  <c r="CR114" i="3"/>
  <c r="BR114" i="3"/>
  <c r="AA114" i="3"/>
  <c r="AE114" i="3" s="1"/>
  <c r="AF114" i="3" s="1"/>
  <c r="AG114" i="3" s="1"/>
  <c r="AH114" i="3" s="1"/>
  <c r="Z132" i="3"/>
  <c r="AC132" i="3" s="1"/>
  <c r="AD132" i="3" s="1"/>
  <c r="Z124" i="3"/>
  <c r="AC124" i="3" s="1"/>
  <c r="AD124" i="3" s="1"/>
  <c r="CR106" i="3"/>
  <c r="BR106" i="3"/>
  <c r="AA106" i="3"/>
  <c r="AE106" i="3" s="1"/>
  <c r="AF106" i="3" s="1"/>
  <c r="AG106" i="3" s="1"/>
  <c r="AH106" i="3" s="1"/>
  <c r="CR112" i="3"/>
  <c r="BR112" i="3"/>
  <c r="AA112" i="3"/>
  <c r="AE112" i="3" s="1"/>
  <c r="AF112" i="3" s="1"/>
  <c r="AG112" i="3" s="1"/>
  <c r="AH112" i="3" s="1"/>
  <c r="CR98" i="3"/>
  <c r="BR98" i="3"/>
  <c r="AA98" i="3"/>
  <c r="AE98" i="3" s="1"/>
  <c r="AF98" i="3" s="1"/>
  <c r="AG98" i="3" s="1"/>
  <c r="AH98" i="3" s="1"/>
  <c r="CR95" i="3"/>
  <c r="BR95" i="3"/>
  <c r="AA95" i="3"/>
  <c r="AE95" i="3" s="1"/>
  <c r="AF95" i="3" s="1"/>
  <c r="AG95" i="3" s="1"/>
  <c r="AH95" i="3" s="1"/>
  <c r="CR101" i="3"/>
  <c r="BR101" i="3"/>
  <c r="AA101" i="3"/>
  <c r="AE101" i="3" s="1"/>
  <c r="CR105" i="3"/>
  <c r="BR105" i="3"/>
  <c r="AA105" i="3"/>
  <c r="AE105" i="3" s="1"/>
  <c r="AF105" i="3" s="1"/>
  <c r="AG105" i="3" s="1"/>
  <c r="AH105" i="3" s="1"/>
  <c r="CR104" i="3"/>
  <c r="BR104" i="3"/>
  <c r="AA104" i="3"/>
  <c r="AE104" i="3" s="1"/>
  <c r="Z126" i="3"/>
  <c r="AC126" i="3" s="1"/>
  <c r="AD126" i="3" s="1"/>
  <c r="Z125" i="3"/>
  <c r="AC125" i="3" s="1"/>
  <c r="AD125" i="3" s="1"/>
  <c r="AL44" i="3"/>
  <c r="AK44" i="3"/>
  <c r="BF44" i="3" s="1"/>
  <c r="AJ44" i="3"/>
  <c r="BG44" i="3"/>
  <c r="CR110" i="3"/>
  <c r="BR110" i="3"/>
  <c r="AA110" i="3"/>
  <c r="AE110" i="3" s="1"/>
  <c r="AF110" i="3" s="1"/>
  <c r="AG110" i="3" s="1"/>
  <c r="AH110" i="3" s="1"/>
  <c r="CR99" i="3"/>
  <c r="BR99" i="3"/>
  <c r="AA99" i="3"/>
  <c r="AE99" i="3" s="1"/>
  <c r="AF99" i="3" s="1"/>
  <c r="AG99" i="3" s="1"/>
  <c r="AH99" i="3" s="1"/>
  <c r="CR111" i="3"/>
  <c r="BR111" i="3"/>
  <c r="AA111" i="3"/>
  <c r="AE111" i="3" s="1"/>
  <c r="AF111" i="3" s="1"/>
  <c r="AG111" i="3" s="1"/>
  <c r="AH111" i="3" s="1"/>
  <c r="CR96" i="3"/>
  <c r="BR96" i="3"/>
  <c r="AA96" i="3"/>
  <c r="AE96" i="3" s="1"/>
  <c r="AF96" i="3" s="1"/>
  <c r="AG96" i="3" s="1"/>
  <c r="AH96" i="3" s="1"/>
  <c r="Z136" i="3"/>
  <c r="AC136" i="3" s="1"/>
  <c r="AD136" i="3" s="1"/>
  <c r="Z134" i="3"/>
  <c r="AC134" i="3" s="1"/>
  <c r="AD134" i="3" s="1"/>
  <c r="Z131" i="3"/>
  <c r="AC131" i="3" s="1"/>
  <c r="AD131" i="3" s="1"/>
  <c r="Z118" i="3"/>
  <c r="AC118" i="3" s="1"/>
  <c r="AD118" i="3" s="1"/>
  <c r="Z120" i="3"/>
  <c r="AC120" i="3" s="1"/>
  <c r="AD120" i="3" s="1"/>
  <c r="Z127" i="3"/>
  <c r="AC127" i="3" s="1"/>
  <c r="AD127" i="3" s="1"/>
  <c r="Z123" i="3"/>
  <c r="AC123" i="3" s="1"/>
  <c r="AD123" i="3" s="1"/>
  <c r="CR97" i="3"/>
  <c r="AA97" i="3"/>
  <c r="AE97" i="3" s="1"/>
  <c r="AF97" i="3" s="1"/>
  <c r="AG97" i="3" s="1"/>
  <c r="AH97" i="3" s="1"/>
  <c r="BR97" i="3"/>
  <c r="CR107" i="3"/>
  <c r="BR107" i="3"/>
  <c r="AA107" i="3"/>
  <c r="AE107" i="3" s="1"/>
  <c r="AF107" i="3" s="1"/>
  <c r="AG107" i="3" s="1"/>
  <c r="AH107" i="3" s="1"/>
  <c r="AI62" i="3"/>
  <c r="BQ62" i="3"/>
  <c r="CB62" i="3"/>
  <c r="CR113" i="3"/>
  <c r="BR113" i="3"/>
  <c r="AA113" i="3"/>
  <c r="AE113" i="3" s="1"/>
  <c r="AF113" i="3" s="1"/>
  <c r="AG113" i="3" s="1"/>
  <c r="AH113" i="3" s="1"/>
  <c r="CR108" i="3"/>
  <c r="BR108" i="3"/>
  <c r="AA108" i="3"/>
  <c r="AE108" i="3" s="1"/>
  <c r="CR116" i="3"/>
  <c r="BR116" i="3"/>
  <c r="AA116" i="3"/>
  <c r="AE116" i="3" s="1"/>
  <c r="Z128" i="3"/>
  <c r="AC128" i="3" s="1"/>
  <c r="AD128" i="3" s="1"/>
  <c r="Z138" i="3"/>
  <c r="AC138" i="3" s="1"/>
  <c r="AD138" i="3" s="1"/>
  <c r="Z122" i="3"/>
  <c r="AC122" i="3" s="1"/>
  <c r="AD122" i="3" s="1"/>
  <c r="Z121" i="3"/>
  <c r="AC121" i="3" s="1"/>
  <c r="AD121" i="3" s="1"/>
  <c r="Z135" i="3"/>
  <c r="AC135" i="3" s="1"/>
  <c r="AD135" i="3" s="1"/>
  <c r="Z140" i="3"/>
  <c r="AC140" i="3" s="1"/>
  <c r="AD140" i="3" s="1"/>
  <c r="Z129" i="3"/>
  <c r="AC129" i="3" s="1"/>
  <c r="AD129" i="3" s="1"/>
  <c r="CR103" i="3"/>
  <c r="BR103" i="3"/>
  <c r="AA103" i="3"/>
  <c r="AE103" i="3" s="1"/>
  <c r="CR102" i="3"/>
  <c r="BR102" i="3"/>
  <c r="AA102" i="3"/>
  <c r="AE102" i="3" s="1"/>
  <c r="Z137" i="3"/>
  <c r="AC137" i="3" s="1"/>
  <c r="AD137" i="3" s="1"/>
  <c r="CD284" i="3"/>
  <c r="C308" i="3"/>
  <c r="G260" i="3" a="1"/>
  <c r="BB260" i="3" a="1"/>
  <c r="E284" i="3"/>
  <c r="CC284" i="3"/>
  <c r="A308" i="3"/>
  <c r="CD259" i="3"/>
  <c r="C283" i="3"/>
  <c r="G235" i="3" a="1"/>
  <c r="BB235" i="3" a="1"/>
  <c r="CE235" i="3" a="1"/>
  <c r="B235" i="3" a="1"/>
  <c r="E259" i="3"/>
  <c r="CC259" i="3"/>
  <c r="A283" i="3"/>
  <c r="CD258" i="3"/>
  <c r="C282" i="3"/>
  <c r="G234" i="3" a="1"/>
  <c r="BB234" i="3" a="1"/>
  <c r="CE234" i="3" a="1"/>
  <c r="B234" i="3" a="1"/>
  <c r="E258" i="3"/>
  <c r="CC258" i="3"/>
  <c r="A282" i="3"/>
  <c r="CD257" i="3"/>
  <c r="C281" i="3"/>
  <c r="G233" i="3" a="1"/>
  <c r="BB233" i="3" a="1"/>
  <c r="CE233" i="3" a="1"/>
  <c r="B233" i="3" a="1"/>
  <c r="E257" i="3"/>
  <c r="CC257" i="3"/>
  <c r="A281" i="3"/>
  <c r="CD256" i="3"/>
  <c r="C280" i="3"/>
  <c r="G232" i="3" a="1"/>
  <c r="BB232" i="3" a="1"/>
  <c r="CE232" i="3" a="1"/>
  <c r="B232" i="3" a="1"/>
  <c r="E256" i="3"/>
  <c r="CC256" i="3"/>
  <c r="A280" i="3"/>
  <c r="CD255" i="3"/>
  <c r="C279" i="3"/>
  <c r="G231" i="3" a="1"/>
  <c r="BB231" i="3" a="1"/>
  <c r="CE231" i="3" a="1"/>
  <c r="B231" i="3" a="1"/>
  <c r="CC255" i="3"/>
  <c r="A279" i="3"/>
  <c r="E255" i="3"/>
  <c r="CD254" i="3"/>
  <c r="C278" i="3"/>
  <c r="G230" i="3" a="1"/>
  <c r="BB230" i="3" a="1"/>
  <c r="CE230" i="3" a="1"/>
  <c r="B230" i="3" a="1"/>
  <c r="E254" i="3"/>
  <c r="CC254" i="3"/>
  <c r="A278" i="3"/>
  <c r="CD253" i="3"/>
  <c r="C277" i="3"/>
  <c r="G229" i="3" a="1"/>
  <c r="BB229" i="3" a="1"/>
  <c r="CE229" i="3" a="1"/>
  <c r="B229" i="3" a="1"/>
  <c r="E253" i="3"/>
  <c r="A277" i="3"/>
  <c r="CC253" i="3"/>
  <c r="CD252" i="3"/>
  <c r="C276" i="3"/>
  <c r="G228" i="3" a="1"/>
  <c r="BB228" i="3" a="1"/>
  <c r="CE228" i="3" a="1"/>
  <c r="B228" i="3" a="1"/>
  <c r="E252" i="3"/>
  <c r="A276" i="3"/>
  <c r="CC252" i="3"/>
  <c r="CD251" i="3"/>
  <c r="C275" i="3"/>
  <c r="G227" i="3" a="1"/>
  <c r="BB227" i="3" a="1"/>
  <c r="CE227" i="3" a="1"/>
  <c r="B227" i="3" a="1"/>
  <c r="E251" i="3"/>
  <c r="CC251" i="3"/>
  <c r="A275" i="3"/>
  <c r="CD250" i="3"/>
  <c r="C274" i="3"/>
  <c r="G226" i="3" a="1"/>
  <c r="BB226" i="3" a="1"/>
  <c r="CE226" i="3" a="1"/>
  <c r="B226" i="3" a="1"/>
  <c r="E250" i="3"/>
  <c r="CC250" i="3"/>
  <c r="A274" i="3"/>
  <c r="CD249" i="3"/>
  <c r="C273" i="3"/>
  <c r="G225" i="3" a="1"/>
  <c r="BB225" i="3" a="1"/>
  <c r="CE225" i="3" a="1"/>
  <c r="B225" i="3" a="1"/>
  <c r="E249" i="3"/>
  <c r="CC249" i="3"/>
  <c r="A273" i="3"/>
  <c r="CD248" i="3"/>
  <c r="C272" i="3"/>
  <c r="G224" i="3" a="1"/>
  <c r="BB224" i="3" a="1"/>
  <c r="CE224" i="3" a="1"/>
  <c r="B224" i="3" a="1"/>
  <c r="E248" i="3"/>
  <c r="CC248" i="3"/>
  <c r="A272" i="3"/>
  <c r="CD247" i="3"/>
  <c r="C271" i="3"/>
  <c r="G223" i="3" a="1"/>
  <c r="BB223" i="3" a="1"/>
  <c r="CE223" i="3" a="1"/>
  <c r="B223" i="3" a="1"/>
  <c r="E247" i="3"/>
  <c r="CC247" i="3"/>
  <c r="A271" i="3"/>
  <c r="CD246" i="3"/>
  <c r="C270" i="3"/>
  <c r="G222" i="3" a="1"/>
  <c r="BB222" i="3" a="1"/>
  <c r="CE222" i="3" a="1"/>
  <c r="B222" i="3" a="1"/>
  <c r="E246" i="3"/>
  <c r="CC246" i="3"/>
  <c r="A270" i="3"/>
  <c r="CD221" i="3"/>
  <c r="C245" i="3"/>
  <c r="E221" i="3"/>
  <c r="CC221" i="3"/>
  <c r="A245" i="3"/>
  <c r="BB197" i="3" a="1"/>
  <c r="G197" i="3" a="1"/>
  <c r="B197" i="3" a="1"/>
  <c r="CE197" i="3" a="1"/>
  <c r="CD220" i="3"/>
  <c r="C244" i="3"/>
  <c r="CE196" i="3" a="1"/>
  <c r="G196" i="3" a="1"/>
  <c r="BB196" i="3" a="1"/>
  <c r="B196" i="3" a="1"/>
  <c r="E220" i="3"/>
  <c r="CC220" i="3"/>
  <c r="A244" i="3"/>
  <c r="CD219" i="3"/>
  <c r="C243" i="3"/>
  <c r="G195" i="3" a="1"/>
  <c r="BB195" i="3" a="1"/>
  <c r="CE195" i="3" a="1"/>
  <c r="B195" i="3" a="1"/>
  <c r="E219" i="3"/>
  <c r="CC219" i="3"/>
  <c r="A243" i="3"/>
  <c r="CD218" i="3"/>
  <c r="C242" i="3"/>
  <c r="B194" i="3" a="1"/>
  <c r="CE194" i="3" a="1"/>
  <c r="G194" i="3" a="1"/>
  <c r="BB194" i="3" a="1"/>
  <c r="E218" i="3"/>
  <c r="CC218" i="3"/>
  <c r="A242" i="3"/>
  <c r="CD217" i="3"/>
  <c r="C241" i="3"/>
  <c r="G193" i="3" a="1"/>
  <c r="CE193" i="3" a="1"/>
  <c r="BB193" i="3" a="1"/>
  <c r="B193" i="3" a="1"/>
  <c r="E217" i="3"/>
  <c r="CC217" i="3"/>
  <c r="A241" i="3"/>
  <c r="CD216" i="3"/>
  <c r="C240" i="3"/>
  <c r="CE192" i="3" a="1"/>
  <c r="G192" i="3" a="1"/>
  <c r="BB192" i="3" a="1"/>
  <c r="B192" i="3" a="1"/>
  <c r="E216" i="3"/>
  <c r="CC216" i="3"/>
  <c r="A240" i="3"/>
  <c r="F215" i="3" a="1"/>
  <c r="D239" i="3"/>
  <c r="CD215" i="3"/>
  <c r="C239" i="3"/>
  <c r="CE191" i="3" a="1"/>
  <c r="BB191" i="3" a="1"/>
  <c r="B191" i="3" a="1"/>
  <c r="G191" i="3" a="1"/>
  <c r="E215" i="3"/>
  <c r="CC215" i="3"/>
  <c r="A239" i="3"/>
  <c r="F214" i="3" a="1"/>
  <c r="D238" i="3"/>
  <c r="CD214" i="3"/>
  <c r="C238" i="3"/>
  <c r="G190" i="3" a="1"/>
  <c r="BB190" i="3" a="1"/>
  <c r="CE190" i="3" a="1"/>
  <c r="B190" i="3" a="1"/>
  <c r="E214" i="3"/>
  <c r="CC214" i="3"/>
  <c r="A238" i="3"/>
  <c r="CB69" i="3"/>
  <c r="BQ69" i="3"/>
  <c r="AI69" i="3"/>
  <c r="CB93" i="3"/>
  <c r="AI93" i="3"/>
  <c r="BQ93" i="3"/>
  <c r="F213" i="3" a="1"/>
  <c r="D237" i="3"/>
  <c r="CD213" i="3"/>
  <c r="C237" i="3"/>
  <c r="G189" i="3" a="1"/>
  <c r="CE189" i="3" a="1"/>
  <c r="BB189" i="3" a="1"/>
  <c r="B189" i="3" a="1"/>
  <c r="E213" i="3"/>
  <c r="CC213" i="3"/>
  <c r="A237" i="3"/>
  <c r="AK68" i="3"/>
  <c r="BG68" i="3"/>
  <c r="AJ68" i="3"/>
  <c r="AL68" i="3"/>
  <c r="AA92" i="3"/>
  <c r="AE92" i="3" s="1"/>
  <c r="BR92" i="3"/>
  <c r="CR92" i="3"/>
  <c r="AQ188" i="3"/>
  <c r="AW188" i="3"/>
  <c r="CH188" i="3"/>
  <c r="CQ188" i="3"/>
  <c r="R188" i="3"/>
  <c r="AB188" i="3" s="1"/>
  <c r="CP188" i="3"/>
  <c r="CI188" i="3"/>
  <c r="H212" i="3" a="1"/>
  <c r="I212" i="3" a="1"/>
  <c r="J212" i="3" s="1"/>
  <c r="T212" i="3" s="1"/>
  <c r="L212" i="3" a="1"/>
  <c r="M212" i="3" a="1"/>
  <c r="O212" i="3" s="1"/>
  <c r="P212" i="3" a="1"/>
  <c r="Q212" i="3" s="1"/>
  <c r="V212" i="3" s="1"/>
  <c r="AZ212" i="3" a="1"/>
  <c r="BA212" i="3" a="1"/>
  <c r="BC212" i="3" a="1"/>
  <c r="BD212" i="3" a="1"/>
  <c r="BX212" i="3" a="1"/>
  <c r="D236" i="3"/>
  <c r="F212" i="3" a="1"/>
  <c r="Y164" i="3"/>
  <c r="U164" i="3"/>
  <c r="W164" i="3" s="1"/>
  <c r="AK67" i="3"/>
  <c r="AJ67" i="3"/>
  <c r="BG67" i="3"/>
  <c r="AL67" i="3"/>
  <c r="AA91" i="3"/>
  <c r="AE91" i="3" s="1"/>
  <c r="BR91" i="3"/>
  <c r="CR91" i="3"/>
  <c r="Y163" i="3"/>
  <c r="U163" i="3"/>
  <c r="W163" i="3" s="1"/>
  <c r="CP187" i="3"/>
  <c r="CI187" i="3"/>
  <c r="AQ187" i="3"/>
  <c r="AW187" i="3"/>
  <c r="CH187" i="3"/>
  <c r="CQ187" i="3"/>
  <c r="R187" i="3"/>
  <c r="AB187" i="3" s="1"/>
  <c r="I211" i="3" a="1"/>
  <c r="J211" i="3" s="1"/>
  <c r="T211" i="3" s="1"/>
  <c r="L211" i="3" a="1"/>
  <c r="BC211" i="3" a="1"/>
  <c r="F211" i="3" a="1"/>
  <c r="H211" i="3" a="1"/>
  <c r="M211" i="3" a="1"/>
  <c r="O211" i="3" s="1"/>
  <c r="P211" i="3" a="1"/>
  <c r="Q211" i="3" s="1"/>
  <c r="V211" i="3" s="1"/>
  <c r="AZ211" i="3" a="1"/>
  <c r="BA211" i="3" a="1"/>
  <c r="BD211" i="3" a="1"/>
  <c r="BX211" i="3" a="1"/>
  <c r="D235" i="3"/>
  <c r="BF43" i="3"/>
  <c r="CS43" i="3"/>
  <c r="AR43" i="3"/>
  <c r="AS43" i="3" s="1"/>
  <c r="BK43" i="3"/>
  <c r="CT43" i="3"/>
  <c r="BH43" i="3"/>
  <c r="AK66" i="3"/>
  <c r="AJ66" i="3"/>
  <c r="BG66" i="3"/>
  <c r="AL66" i="3"/>
  <c r="AA90" i="3"/>
  <c r="AE90" i="3" s="1"/>
  <c r="BR90" i="3"/>
  <c r="CR90" i="3"/>
  <c r="CP186" i="3"/>
  <c r="CI186" i="3"/>
  <c r="R186" i="3"/>
  <c r="AB186" i="3" s="1"/>
  <c r="AQ186" i="3"/>
  <c r="AW186" i="3"/>
  <c r="CQ186" i="3"/>
  <c r="CH186" i="3"/>
  <c r="H210" i="3" a="1"/>
  <c r="M210" i="3" a="1"/>
  <c r="O210" i="3" s="1"/>
  <c r="P210" i="3" a="1"/>
  <c r="Q210" i="3" s="1"/>
  <c r="V210" i="3" s="1"/>
  <c r="AZ210" i="3" a="1"/>
  <c r="BD210" i="3" a="1"/>
  <c r="F210" i="3" a="1"/>
  <c r="I210" i="3" a="1"/>
  <c r="J210" i="3" s="1"/>
  <c r="T210" i="3" s="1"/>
  <c r="L210" i="3" a="1"/>
  <c r="BX210" i="3" a="1"/>
  <c r="BC210" i="3" a="1"/>
  <c r="D234" i="3"/>
  <c r="BA210" i="3" a="1"/>
  <c r="Y162" i="3"/>
  <c r="U162" i="3"/>
  <c r="W162" i="3" s="1"/>
  <c r="BF42" i="3"/>
  <c r="CS42" i="3"/>
  <c r="AR42" i="3"/>
  <c r="AS42" i="3" s="1"/>
  <c r="BK42" i="3"/>
  <c r="CT42" i="3"/>
  <c r="BH42" i="3"/>
  <c r="AK65" i="3"/>
  <c r="AJ65" i="3"/>
  <c r="BG65" i="3"/>
  <c r="AL65" i="3"/>
  <c r="AA89" i="3"/>
  <c r="AE89" i="3" s="1"/>
  <c r="BR89" i="3"/>
  <c r="CR89" i="3"/>
  <c r="Y161" i="3"/>
  <c r="U161" i="3"/>
  <c r="W161" i="3" s="1"/>
  <c r="M209" i="3" a="1"/>
  <c r="O209" i="3" s="1"/>
  <c r="BC209" i="3" a="1"/>
  <c r="L209" i="3" a="1"/>
  <c r="P209" i="3" a="1"/>
  <c r="Q209" i="3" s="1"/>
  <c r="V209" i="3" s="1"/>
  <c r="BX209" i="3" a="1"/>
  <c r="H209" i="3" a="1"/>
  <c r="I209" i="3" a="1"/>
  <c r="J209" i="3" s="1"/>
  <c r="T209" i="3" s="1"/>
  <c r="AZ209" i="3" a="1"/>
  <c r="BD209" i="3" a="1"/>
  <c r="D233" i="3"/>
  <c r="F209" i="3" a="1"/>
  <c r="BA209" i="3" a="1"/>
  <c r="R185" i="3"/>
  <c r="AB185" i="3" s="1"/>
  <c r="AQ185" i="3"/>
  <c r="AW185" i="3"/>
  <c r="CQ185" i="3"/>
  <c r="CH185" i="3"/>
  <c r="CI185" i="3"/>
  <c r="CP185" i="3"/>
  <c r="BF41" i="3"/>
  <c r="AR41" i="3"/>
  <c r="AS41" i="3" s="1"/>
  <c r="CS41" i="3"/>
  <c r="BK41" i="3"/>
  <c r="CT41" i="3"/>
  <c r="BH41" i="3"/>
  <c r="AK64" i="3"/>
  <c r="AJ64" i="3"/>
  <c r="BG64" i="3"/>
  <c r="AL64" i="3"/>
  <c r="AA88" i="3"/>
  <c r="AE88" i="3" s="1"/>
  <c r="BR88" i="3"/>
  <c r="CR88" i="3"/>
  <c r="Y160" i="3"/>
  <c r="U160" i="3"/>
  <c r="W160" i="3" s="1"/>
  <c r="CI184" i="3"/>
  <c r="CP184" i="3"/>
  <c r="AQ184" i="3"/>
  <c r="AW184" i="3"/>
  <c r="CH184" i="3"/>
  <c r="CQ184" i="3"/>
  <c r="R184" i="3"/>
  <c r="AB184" i="3" s="1"/>
  <c r="I208" i="3" a="1"/>
  <c r="J208" i="3" s="1"/>
  <c r="T208" i="3" s="1"/>
  <c r="BX208" i="3" a="1"/>
  <c r="D232" i="3"/>
  <c r="H208" i="3" a="1"/>
  <c r="M208" i="3" a="1"/>
  <c r="O208" i="3" s="1"/>
  <c r="P208" i="3" a="1"/>
  <c r="Q208" i="3" s="1"/>
  <c r="V208" i="3" s="1"/>
  <c r="BA208" i="3" a="1"/>
  <c r="BC208" i="3" a="1"/>
  <c r="F208" i="3" a="1"/>
  <c r="L208" i="3" a="1"/>
  <c r="AZ208" i="3" a="1"/>
  <c r="BD208" i="3" a="1"/>
  <c r="BF40" i="3"/>
  <c r="CS40" i="3"/>
  <c r="AR40" i="3"/>
  <c r="AS40" i="3" s="1"/>
  <c r="BK40" i="3"/>
  <c r="CT40" i="3"/>
  <c r="BH40" i="3"/>
  <c r="BF39" i="3"/>
  <c r="CS39" i="3"/>
  <c r="AR39" i="3"/>
  <c r="AS39" i="3" s="1"/>
  <c r="BK39" i="3"/>
  <c r="CT39" i="3"/>
  <c r="BH39" i="3"/>
  <c r="AK63" i="3"/>
  <c r="AJ63" i="3"/>
  <c r="BG63" i="3"/>
  <c r="AL63" i="3"/>
  <c r="AA87" i="3"/>
  <c r="AE87" i="3" s="1"/>
  <c r="BR87" i="3"/>
  <c r="CR87" i="3"/>
  <c r="Y159" i="3"/>
  <c r="U159" i="3"/>
  <c r="W159" i="3" s="1"/>
  <c r="R183" i="3"/>
  <c r="AB183" i="3" s="1"/>
  <c r="CI183" i="3"/>
  <c r="CP183" i="3"/>
  <c r="F207" i="3" a="1"/>
  <c r="BX207" i="3" a="1"/>
  <c r="BD207" i="3" a="1"/>
  <c r="H207" i="3" a="1"/>
  <c r="I207" i="3" a="1"/>
  <c r="J207" i="3" s="1"/>
  <c r="T207" i="3" s="1"/>
  <c r="L207" i="3" a="1"/>
  <c r="AZ207" i="3" a="1"/>
  <c r="M207" i="3" a="1"/>
  <c r="O207" i="3" s="1"/>
  <c r="P207" i="3" a="1"/>
  <c r="Q207" i="3" s="1"/>
  <c r="V207" i="3" s="1"/>
  <c r="BA207" i="3" a="1"/>
  <c r="BC207" i="3" a="1"/>
  <c r="D231" i="3"/>
  <c r="AQ183" i="3"/>
  <c r="AW183" i="3"/>
  <c r="CQ183" i="3"/>
  <c r="CH183" i="3"/>
  <c r="BF38" i="3"/>
  <c r="CS38" i="3"/>
  <c r="AR38" i="3"/>
  <c r="AS38" i="3" s="1"/>
  <c r="BK38" i="3"/>
  <c r="CT38" i="3"/>
  <c r="BH38" i="3"/>
  <c r="AA86" i="3"/>
  <c r="AE86" i="3" s="1"/>
  <c r="BR86" i="3"/>
  <c r="CR86" i="3"/>
  <c r="Y158" i="3"/>
  <c r="U158" i="3"/>
  <c r="W158" i="3" s="1"/>
  <c r="AQ182" i="3"/>
  <c r="AW182" i="3"/>
  <c r="CH182" i="3"/>
  <c r="CQ182" i="3"/>
  <c r="R182" i="3"/>
  <c r="AB182" i="3" s="1"/>
  <c r="CP182" i="3"/>
  <c r="CI182" i="3"/>
  <c r="F206" i="3" a="1"/>
  <c r="H206" i="3" a="1"/>
  <c r="I206" i="3" a="1"/>
  <c r="J206" i="3" s="1"/>
  <c r="T206" i="3" s="1"/>
  <c r="L206" i="3" a="1"/>
  <c r="M206" i="3" a="1"/>
  <c r="O206" i="3" s="1"/>
  <c r="P206" i="3" a="1"/>
  <c r="Q206" i="3" s="1"/>
  <c r="V206" i="3" s="1"/>
  <c r="AZ206" i="3" a="1"/>
  <c r="BA206" i="3" a="1"/>
  <c r="BC206" i="3" a="1"/>
  <c r="BD206" i="3" a="1"/>
  <c r="D230" i="3"/>
  <c r="BX206" i="3" a="1"/>
  <c r="AK61" i="3"/>
  <c r="AJ61" i="3"/>
  <c r="BG61" i="3"/>
  <c r="AL61" i="3"/>
  <c r="AA85" i="3"/>
  <c r="AE85" i="3" s="1"/>
  <c r="BR85" i="3"/>
  <c r="CR85" i="3"/>
  <c r="AF109" i="3"/>
  <c r="AG109" i="3" s="1"/>
  <c r="AH109" i="3" s="1"/>
  <c r="Y157" i="3"/>
  <c r="U157" i="3"/>
  <c r="W157" i="3" s="1"/>
  <c r="AQ181" i="3"/>
  <c r="AW181" i="3"/>
  <c r="CH181" i="3"/>
  <c r="CQ181" i="3"/>
  <c r="R181" i="3"/>
  <c r="AB181" i="3" s="1"/>
  <c r="CP181" i="3"/>
  <c r="CI181" i="3"/>
  <c r="F205" i="3" a="1"/>
  <c r="H205" i="3" a="1"/>
  <c r="I205" i="3" a="1"/>
  <c r="J205" i="3" s="1"/>
  <c r="T205" i="3" s="1"/>
  <c r="L205" i="3" a="1"/>
  <c r="M205" i="3" a="1"/>
  <c r="O205" i="3" s="1"/>
  <c r="P205" i="3" a="1"/>
  <c r="Q205" i="3" s="1"/>
  <c r="V205" i="3" s="1"/>
  <c r="AZ205" i="3" a="1"/>
  <c r="BA205" i="3" a="1"/>
  <c r="BC205" i="3" a="1"/>
  <c r="BD205" i="3" a="1"/>
  <c r="BX205" i="3" a="1"/>
  <c r="D229" i="3"/>
  <c r="BF37" i="3"/>
  <c r="CS37" i="3"/>
  <c r="AR37" i="3"/>
  <c r="AS37" i="3" s="1"/>
  <c r="BK37" i="3"/>
  <c r="CT37" i="3"/>
  <c r="BH37" i="3"/>
  <c r="BF36" i="3"/>
  <c r="CS36" i="3"/>
  <c r="AR36" i="3"/>
  <c r="AS36" i="3" s="1"/>
  <c r="BK36" i="3"/>
  <c r="CT36" i="3"/>
  <c r="BH36" i="3"/>
  <c r="AK60" i="3"/>
  <c r="AJ60" i="3"/>
  <c r="BG60" i="3"/>
  <c r="AL60" i="3"/>
  <c r="AA84" i="3"/>
  <c r="AE84" i="3" s="1"/>
  <c r="BR84" i="3"/>
  <c r="CR84" i="3"/>
  <c r="Y156" i="3"/>
  <c r="U156" i="3"/>
  <c r="W156" i="3" s="1"/>
  <c r="Z156" i="3" s="1"/>
  <c r="AC156" i="3" s="1"/>
  <c r="AD156" i="3" s="1"/>
  <c r="CR156" i="3" s="1"/>
  <c r="CP180" i="3"/>
  <c r="CI180" i="3"/>
  <c r="F204" i="3" a="1"/>
  <c r="H204" i="3" a="1"/>
  <c r="I204" i="3" a="1"/>
  <c r="J204" i="3" s="1"/>
  <c r="T204" i="3" s="1"/>
  <c r="L204" i="3" a="1"/>
  <c r="M204" i="3" a="1"/>
  <c r="O204" i="3" s="1"/>
  <c r="P204" i="3" a="1"/>
  <c r="Q204" i="3" s="1"/>
  <c r="V204" i="3" s="1"/>
  <c r="AZ204" i="3" a="1"/>
  <c r="BA204" i="3" a="1"/>
  <c r="BC204" i="3" a="1"/>
  <c r="BD204" i="3" a="1"/>
  <c r="BX204" i="3" a="1"/>
  <c r="D228" i="3"/>
  <c r="AQ180" i="3"/>
  <c r="AW180" i="3"/>
  <c r="CH180" i="3"/>
  <c r="CQ180" i="3"/>
  <c r="R180" i="3"/>
  <c r="AB180" i="3" s="1"/>
  <c r="AK59" i="3"/>
  <c r="AJ59" i="3"/>
  <c r="BG59" i="3"/>
  <c r="AL59" i="3"/>
  <c r="AA83" i="3"/>
  <c r="AE83" i="3" s="1"/>
  <c r="BR83" i="3"/>
  <c r="CR83" i="3"/>
  <c r="Y155" i="3"/>
  <c r="U155" i="3"/>
  <c r="W155" i="3" s="1"/>
  <c r="R179" i="3"/>
  <c r="AB179" i="3" s="1"/>
  <c r="CP179" i="3"/>
  <c r="CI179" i="3"/>
  <c r="AQ179" i="3"/>
  <c r="AW179" i="3"/>
  <c r="CQ179" i="3"/>
  <c r="CH179" i="3"/>
  <c r="F203" i="3" a="1"/>
  <c r="H203" i="3" a="1"/>
  <c r="I203" i="3" a="1"/>
  <c r="J203" i="3" s="1"/>
  <c r="T203" i="3" s="1"/>
  <c r="L203" i="3" a="1"/>
  <c r="M203" i="3" a="1"/>
  <c r="O203" i="3" s="1"/>
  <c r="P203" i="3" a="1"/>
  <c r="Q203" i="3" s="1"/>
  <c r="V203" i="3" s="1"/>
  <c r="AZ203" i="3" a="1"/>
  <c r="BA203" i="3" a="1"/>
  <c r="BC203" i="3" a="1"/>
  <c r="BD203" i="3" a="1"/>
  <c r="BX203" i="3" a="1"/>
  <c r="D227" i="3"/>
  <c r="BF35" i="3"/>
  <c r="CS35" i="3"/>
  <c r="AR35" i="3"/>
  <c r="AS35" i="3" s="1"/>
  <c r="BK35" i="3"/>
  <c r="CT35" i="3"/>
  <c r="BH35" i="3"/>
  <c r="AK58" i="3"/>
  <c r="AJ58" i="3"/>
  <c r="BG58" i="3"/>
  <c r="AL58" i="3"/>
  <c r="AA82" i="3"/>
  <c r="AE82" i="3" s="1"/>
  <c r="BR82" i="3"/>
  <c r="CR82" i="3"/>
  <c r="BR130" i="3"/>
  <c r="AA130" i="3"/>
  <c r="AE130" i="3" s="1"/>
  <c r="Y154" i="3"/>
  <c r="U154" i="3"/>
  <c r="W154" i="3" s="1"/>
  <c r="Z154" i="3" s="1"/>
  <c r="AC154" i="3" s="1"/>
  <c r="AD154" i="3" s="1"/>
  <c r="CR154" i="3" s="1"/>
  <c r="R178" i="3"/>
  <c r="AB178" i="3" s="1"/>
  <c r="CI178" i="3"/>
  <c r="CP178" i="3"/>
  <c r="F202" i="3" a="1"/>
  <c r="H202" i="3" a="1"/>
  <c r="I202" i="3" a="1"/>
  <c r="J202" i="3" s="1"/>
  <c r="T202" i="3" s="1"/>
  <c r="L202" i="3" a="1"/>
  <c r="M202" i="3" a="1"/>
  <c r="O202" i="3" s="1"/>
  <c r="P202" i="3" a="1"/>
  <c r="Q202" i="3" s="1"/>
  <c r="V202" i="3" s="1"/>
  <c r="AZ202" i="3" a="1"/>
  <c r="BA202" i="3" a="1"/>
  <c r="BC202" i="3" a="1"/>
  <c r="BD202" i="3" a="1"/>
  <c r="BX202" i="3" a="1"/>
  <c r="D226" i="3"/>
  <c r="AQ178" i="3"/>
  <c r="AW178" i="3"/>
  <c r="CH178" i="3"/>
  <c r="CQ178" i="3"/>
  <c r="BF34" i="3"/>
  <c r="CS34" i="3"/>
  <c r="AR34" i="3"/>
  <c r="AS34" i="3" s="1"/>
  <c r="BK34" i="3"/>
  <c r="CT34" i="3"/>
  <c r="BH34" i="3"/>
  <c r="BF33" i="3"/>
  <c r="AR33" i="3"/>
  <c r="AS33" i="3" s="1"/>
  <c r="CS33" i="3"/>
  <c r="BK33" i="3"/>
  <c r="CT33" i="3"/>
  <c r="BH33" i="3"/>
  <c r="AK57" i="3"/>
  <c r="AJ57" i="3"/>
  <c r="BG57" i="3"/>
  <c r="AL57" i="3"/>
  <c r="AA81" i="3"/>
  <c r="AE81" i="3" s="1"/>
  <c r="BR81" i="3"/>
  <c r="CR81" i="3"/>
  <c r="Y153" i="3"/>
  <c r="U153" i="3"/>
  <c r="W153" i="3" s="1"/>
  <c r="R177" i="3"/>
  <c r="AB177" i="3" s="1"/>
  <c r="CI177" i="3"/>
  <c r="CP177" i="3"/>
  <c r="F201" i="3" a="1"/>
  <c r="H201" i="3" a="1"/>
  <c r="I201" i="3" a="1"/>
  <c r="J201" i="3" s="1"/>
  <c r="T201" i="3" s="1"/>
  <c r="L201" i="3" a="1"/>
  <c r="M201" i="3" a="1"/>
  <c r="O201" i="3" s="1"/>
  <c r="P201" i="3" a="1"/>
  <c r="Q201" i="3" s="1"/>
  <c r="V201" i="3" s="1"/>
  <c r="AZ201" i="3" a="1"/>
  <c r="BA201" i="3" a="1"/>
  <c r="BC201" i="3" a="1"/>
  <c r="BD201" i="3" a="1"/>
  <c r="BX201" i="3" a="1"/>
  <c r="D225" i="3"/>
  <c r="AQ177" i="3"/>
  <c r="AW177" i="3"/>
  <c r="CQ177" i="3"/>
  <c r="CH177" i="3"/>
  <c r="BF32" i="3"/>
  <c r="CS32" i="3"/>
  <c r="AR32" i="3"/>
  <c r="AS32" i="3" s="1"/>
  <c r="BK32" i="3"/>
  <c r="CT32" i="3"/>
  <c r="BH32" i="3"/>
  <c r="AK56" i="3"/>
  <c r="AJ56" i="3"/>
  <c r="BG56" i="3"/>
  <c r="AL56" i="3"/>
  <c r="AA80" i="3"/>
  <c r="AE80" i="3" s="1"/>
  <c r="BR80" i="3"/>
  <c r="CR80" i="3"/>
  <c r="Y152" i="3"/>
  <c r="U152" i="3"/>
  <c r="W152" i="3" s="1"/>
  <c r="CI176" i="3"/>
  <c r="CP176" i="3"/>
  <c r="R176" i="3"/>
  <c r="AB176" i="3" s="1"/>
  <c r="AQ176" i="3"/>
  <c r="AW176" i="3"/>
  <c r="CH176" i="3"/>
  <c r="CQ176" i="3"/>
  <c r="F200" i="3" a="1"/>
  <c r="H200" i="3" a="1"/>
  <c r="I200" i="3" a="1"/>
  <c r="J200" i="3" s="1"/>
  <c r="T200" i="3" s="1"/>
  <c r="L200" i="3" a="1"/>
  <c r="M200" i="3" a="1"/>
  <c r="O200" i="3" s="1"/>
  <c r="P200" i="3" a="1"/>
  <c r="Q200" i="3" s="1"/>
  <c r="V200" i="3" s="1"/>
  <c r="AZ200" i="3" a="1"/>
  <c r="BA200" i="3" a="1"/>
  <c r="BC200" i="3" a="1"/>
  <c r="BD200" i="3" a="1"/>
  <c r="BX200" i="3" a="1"/>
  <c r="D224" i="3"/>
  <c r="BF31" i="3"/>
  <c r="CS31" i="3"/>
  <c r="AR31" i="3"/>
  <c r="AS31" i="3" s="1"/>
  <c r="BK31" i="3"/>
  <c r="CT31" i="3"/>
  <c r="BH31" i="3"/>
  <c r="AK55" i="3"/>
  <c r="AJ55" i="3"/>
  <c r="BG55" i="3"/>
  <c r="AL55" i="3"/>
  <c r="AA79" i="3"/>
  <c r="AE79" i="3" s="1"/>
  <c r="BR79" i="3"/>
  <c r="CR79" i="3"/>
  <c r="Y151" i="3"/>
  <c r="U151" i="3"/>
  <c r="W151" i="3" s="1"/>
  <c r="Z151" i="3" s="1"/>
  <c r="AC151" i="3" s="1"/>
  <c r="AD151" i="3" s="1"/>
  <c r="CR151" i="3" s="1"/>
  <c r="R175" i="3"/>
  <c r="AB175" i="3" s="1"/>
  <c r="F199" i="3" a="1"/>
  <c r="H199" i="3" a="1"/>
  <c r="I199" i="3" a="1"/>
  <c r="J199" i="3" s="1"/>
  <c r="T199" i="3" s="1"/>
  <c r="L199" i="3" a="1"/>
  <c r="M199" i="3" a="1"/>
  <c r="O199" i="3" s="1"/>
  <c r="P199" i="3" a="1"/>
  <c r="Q199" i="3" s="1"/>
  <c r="V199" i="3" s="1"/>
  <c r="AZ199" i="3" a="1"/>
  <c r="BA199" i="3" a="1"/>
  <c r="BC199" i="3" a="1"/>
  <c r="BD199" i="3" a="1"/>
  <c r="BX199" i="3" a="1"/>
  <c r="D223" i="3"/>
  <c r="AQ175" i="3"/>
  <c r="AW175" i="3"/>
  <c r="CH175" i="3"/>
  <c r="CQ175" i="3"/>
  <c r="CI175" i="3"/>
  <c r="CP175" i="3"/>
  <c r="AR30" i="3"/>
  <c r="AS30" i="3" s="1"/>
  <c r="CS30" i="3"/>
  <c r="BK30" i="3"/>
  <c r="BF30" i="3"/>
  <c r="CT30" i="3"/>
  <c r="BH30" i="3"/>
  <c r="AK54" i="3"/>
  <c r="AJ54" i="3"/>
  <c r="BG54" i="3"/>
  <c r="AL54" i="3"/>
  <c r="AA78" i="3"/>
  <c r="AE78" i="3" s="1"/>
  <c r="BR78" i="3"/>
  <c r="CR78" i="3"/>
  <c r="Y150" i="3"/>
  <c r="U150" i="3"/>
  <c r="W150" i="3" s="1"/>
  <c r="CP174" i="3"/>
  <c r="CI174" i="3"/>
  <c r="AQ174" i="3"/>
  <c r="AW174" i="3"/>
  <c r="CH174" i="3"/>
  <c r="CQ174" i="3"/>
  <c r="R174" i="3"/>
  <c r="AB174" i="3" s="1"/>
  <c r="H198" i="3" a="1"/>
  <c r="L198" i="3" a="1"/>
  <c r="BA198" i="3" a="1"/>
  <c r="BX198" i="3" a="1"/>
  <c r="F198" i="3" a="1"/>
  <c r="I198" i="3" a="1"/>
  <c r="J198" i="3" s="1"/>
  <c r="T198" i="3" s="1"/>
  <c r="BC198" i="3" a="1"/>
  <c r="M198" i="3" a="1"/>
  <c r="O198" i="3" s="1"/>
  <c r="BD198" i="3" a="1"/>
  <c r="D222" i="3"/>
  <c r="P198" i="3" a="1"/>
  <c r="Q198" i="3" s="1"/>
  <c r="V198" i="3" s="1"/>
  <c r="AZ198" i="3" a="1"/>
  <c r="AK53" i="3"/>
  <c r="AJ53" i="3"/>
  <c r="BG53" i="3"/>
  <c r="AL53" i="3"/>
  <c r="AA77" i="3"/>
  <c r="AE77" i="3" s="1"/>
  <c r="BR77" i="3"/>
  <c r="CR77" i="3"/>
  <c r="Y149" i="3"/>
  <c r="U149" i="3"/>
  <c r="W149" i="3" s="1"/>
  <c r="CI173" i="3"/>
  <c r="CP173" i="3"/>
  <c r="I197" i="3" a="1"/>
  <c r="J197" i="3" s="1"/>
  <c r="T197" i="3" s="1"/>
  <c r="BA197" i="3" a="1"/>
  <c r="H197" i="3" a="1"/>
  <c r="BC197" i="3" a="1"/>
  <c r="M197" i="3" a="1"/>
  <c r="O197" i="3" s="1"/>
  <c r="BX197" i="3" a="1"/>
  <c r="D221" i="3"/>
  <c r="F197" i="3" a="1"/>
  <c r="L197" i="3" a="1"/>
  <c r="AZ197" i="3" a="1"/>
  <c r="P197" i="3" a="1"/>
  <c r="Q197" i="3" s="1"/>
  <c r="V197" i="3" s="1"/>
  <c r="BD197" i="3" a="1"/>
  <c r="R173" i="3"/>
  <c r="AB173" i="3" s="1"/>
  <c r="AQ173" i="3"/>
  <c r="AW173" i="3"/>
  <c r="CQ173" i="3"/>
  <c r="CH173" i="3"/>
  <c r="BF29" i="3"/>
  <c r="CS29" i="3"/>
  <c r="AR29" i="3"/>
  <c r="AS29" i="3" s="1"/>
  <c r="BK29" i="3"/>
  <c r="CT29" i="3"/>
  <c r="BH29" i="3"/>
  <c r="AK52" i="3"/>
  <c r="AJ52" i="3"/>
  <c r="BG52" i="3"/>
  <c r="AL52" i="3"/>
  <c r="AA76" i="3"/>
  <c r="AE76" i="3" s="1"/>
  <c r="BR76" i="3"/>
  <c r="CR76" i="3"/>
  <c r="Y148" i="3"/>
  <c r="U148" i="3"/>
  <c r="W148" i="3" s="1"/>
  <c r="R172" i="3"/>
  <c r="AB172" i="3" s="1"/>
  <c r="F196" i="3" a="1"/>
  <c r="H196" i="3" a="1"/>
  <c r="L196" i="3" a="1"/>
  <c r="AZ196" i="3" a="1"/>
  <c r="I196" i="3" a="1"/>
  <c r="J196" i="3" s="1"/>
  <c r="T196" i="3" s="1"/>
  <c r="BC196" i="3" a="1"/>
  <c r="M196" i="3" a="1"/>
  <c r="O196" i="3" s="1"/>
  <c r="P196" i="3" a="1"/>
  <c r="Q196" i="3" s="1"/>
  <c r="V196" i="3" s="1"/>
  <c r="BA196" i="3" a="1"/>
  <c r="BD196" i="3" a="1"/>
  <c r="D220" i="3"/>
  <c r="BX196" i="3" a="1"/>
  <c r="AQ172" i="3"/>
  <c r="AW172" i="3"/>
  <c r="CH172" i="3"/>
  <c r="CQ172" i="3"/>
  <c r="CP172" i="3"/>
  <c r="CI172" i="3"/>
  <c r="BF28" i="3"/>
  <c r="CS28" i="3"/>
  <c r="AR28" i="3"/>
  <c r="AS28" i="3" s="1"/>
  <c r="BK28" i="3"/>
  <c r="CT28" i="3"/>
  <c r="BH28" i="3"/>
  <c r="BF27" i="3"/>
  <c r="CS27" i="3"/>
  <c r="AR27" i="3"/>
  <c r="AS27" i="3" s="1"/>
  <c r="BK27" i="3"/>
  <c r="CT27" i="3"/>
  <c r="BH27" i="3"/>
  <c r="AK51" i="3"/>
  <c r="AJ51" i="3"/>
  <c r="BG51" i="3"/>
  <c r="AL51" i="3"/>
  <c r="AA75" i="3"/>
  <c r="AE75" i="3" s="1"/>
  <c r="BR75" i="3"/>
  <c r="CR75" i="3"/>
  <c r="Y147" i="3"/>
  <c r="U147" i="3"/>
  <c r="W147" i="3" s="1"/>
  <c r="R171" i="3"/>
  <c r="AB171" i="3" s="1"/>
  <c r="H195" i="3" a="1"/>
  <c r="M195" i="3" a="1"/>
  <c r="O195" i="3" s="1"/>
  <c r="P195" i="3" a="1"/>
  <c r="Q195" i="3" s="1"/>
  <c r="V195" i="3" s="1"/>
  <c r="D219" i="3"/>
  <c r="F195" i="3" a="1"/>
  <c r="I195" i="3" a="1"/>
  <c r="J195" i="3" s="1"/>
  <c r="T195" i="3" s="1"/>
  <c r="L195" i="3" a="1"/>
  <c r="BA195" i="3" a="1"/>
  <c r="BD195" i="3" a="1"/>
  <c r="BX195" i="3" a="1"/>
  <c r="AZ195" i="3" a="1"/>
  <c r="BC195" i="3" a="1"/>
  <c r="CI171" i="3"/>
  <c r="CP171" i="3"/>
  <c r="AQ171" i="3"/>
  <c r="AW171" i="3"/>
  <c r="CH171" i="3"/>
  <c r="CQ171" i="3"/>
  <c r="CS26" i="3"/>
  <c r="AR26" i="3"/>
  <c r="AS26" i="3" s="1"/>
  <c r="BK26" i="3"/>
  <c r="BF26" i="3"/>
  <c r="CT26" i="3"/>
  <c r="BH26" i="3"/>
  <c r="AK50" i="3"/>
  <c r="AJ50" i="3"/>
  <c r="BG50" i="3"/>
  <c r="AL50" i="3"/>
  <c r="AA74" i="3"/>
  <c r="AE74" i="3" s="1"/>
  <c r="BR74" i="3"/>
  <c r="CR74" i="3"/>
  <c r="Y146" i="3"/>
  <c r="U146" i="3"/>
  <c r="W146" i="3" s="1"/>
  <c r="CI170" i="3"/>
  <c r="CP170" i="3"/>
  <c r="F194" i="3" a="1"/>
  <c r="I194" i="3" a="1"/>
  <c r="J194" i="3" s="1"/>
  <c r="T194" i="3" s="1"/>
  <c r="M194" i="3" a="1"/>
  <c r="O194" i="3" s="1"/>
  <c r="BC194" i="3" a="1"/>
  <c r="H194" i="3" a="1"/>
  <c r="L194" i="3" a="1"/>
  <c r="P194" i="3" a="1"/>
  <c r="Q194" i="3" s="1"/>
  <c r="V194" i="3" s="1"/>
  <c r="BA194" i="3" a="1"/>
  <c r="BX194" i="3" a="1"/>
  <c r="D218" i="3"/>
  <c r="AZ194" i="3" a="1"/>
  <c r="BD194" i="3" a="1"/>
  <c r="AQ170" i="3"/>
  <c r="AW170" i="3"/>
  <c r="CH170" i="3"/>
  <c r="CQ170" i="3"/>
  <c r="R170" i="3"/>
  <c r="AB170" i="3" s="1"/>
  <c r="BF25" i="3"/>
  <c r="CS25" i="3"/>
  <c r="AR25" i="3"/>
  <c r="AS25" i="3" s="1"/>
  <c r="BK25" i="3"/>
  <c r="CT25" i="3"/>
  <c r="BH25" i="3"/>
  <c r="AK49" i="3"/>
  <c r="AJ49" i="3"/>
  <c r="BG49" i="3"/>
  <c r="AL49" i="3"/>
  <c r="AA73" i="3"/>
  <c r="AE73" i="3" s="1"/>
  <c r="BR73" i="3"/>
  <c r="CR73" i="3"/>
  <c r="Y145" i="3"/>
  <c r="U145" i="3"/>
  <c r="W145" i="3" s="1"/>
  <c r="CI169" i="3"/>
  <c r="CP169" i="3"/>
  <c r="I193" i="3" a="1"/>
  <c r="J193" i="3" s="1"/>
  <c r="T193" i="3" s="1"/>
  <c r="D217" i="3"/>
  <c r="M193" i="3" a="1"/>
  <c r="O193" i="3" s="1"/>
  <c r="BA193" i="3" a="1"/>
  <c r="BX193" i="3" a="1"/>
  <c r="BC193" i="3" a="1"/>
  <c r="F193" i="3" a="1"/>
  <c r="H193" i="3" a="1"/>
  <c r="L193" i="3" a="1"/>
  <c r="P193" i="3" a="1"/>
  <c r="Q193" i="3" s="1"/>
  <c r="V193" i="3" s="1"/>
  <c r="AZ193" i="3" a="1"/>
  <c r="BD193" i="3" a="1"/>
  <c r="AQ169" i="3"/>
  <c r="AW169" i="3"/>
  <c r="CH169" i="3"/>
  <c r="CQ169" i="3"/>
  <c r="R169" i="3"/>
  <c r="AB169" i="3" s="1"/>
  <c r="BG48" i="3"/>
  <c r="AJ48" i="3"/>
  <c r="AK48" i="3"/>
  <c r="AL48" i="3"/>
  <c r="AA72" i="3"/>
  <c r="AE72" i="3" s="1"/>
  <c r="BR72" i="3"/>
  <c r="CR72" i="3"/>
  <c r="Y144" i="3"/>
  <c r="U144" i="3"/>
  <c r="W144" i="3" s="1"/>
  <c r="AQ168" i="3"/>
  <c r="AW168" i="3"/>
  <c r="CQ168" i="3"/>
  <c r="CH168" i="3"/>
  <c r="R168" i="3"/>
  <c r="AB168" i="3" s="1"/>
  <c r="CI168" i="3"/>
  <c r="CP168" i="3"/>
  <c r="H192" i="3" a="1"/>
  <c r="M192" i="3" a="1"/>
  <c r="O192" i="3" s="1"/>
  <c r="BA192" i="3" a="1"/>
  <c r="D216" i="3"/>
  <c r="F192" i="3" a="1"/>
  <c r="I192" i="3" a="1"/>
  <c r="J192" i="3" s="1"/>
  <c r="T192" i="3" s="1"/>
  <c r="L192" i="3" a="1"/>
  <c r="P192" i="3" a="1"/>
  <c r="Q192" i="3" s="1"/>
  <c r="V192" i="3" s="1"/>
  <c r="BD192" i="3" a="1"/>
  <c r="BX192" i="3" a="1"/>
  <c r="AZ192" i="3" a="1"/>
  <c r="BC192" i="3" a="1"/>
  <c r="BF24" i="3"/>
  <c r="CS24" i="3"/>
  <c r="AR24" i="3"/>
  <c r="AS24" i="3" s="1"/>
  <c r="BK24" i="3"/>
  <c r="CT24" i="3"/>
  <c r="BH24" i="3"/>
  <c r="CR21" i="3"/>
  <c r="BR21" i="3"/>
  <c r="AA21" i="3"/>
  <c r="AE21" i="3" s="1"/>
  <c r="BX101" i="3" a="1"/>
  <c r="H189" i="4"/>
  <c r="AB188" i="4"/>
  <c r="AA188" i="4" s="1"/>
  <c r="B264" i="4"/>
  <c r="B265" i="4" s="1"/>
  <c r="B266" i="4" s="1"/>
  <c r="B267" i="4" s="1"/>
  <c r="B268" i="4" s="1"/>
  <c r="B269" i="4" s="1"/>
  <c r="B270" i="4" s="1"/>
  <c r="B271" i="4" s="1"/>
  <c r="B272" i="4" s="1"/>
  <c r="B273" i="4" s="1"/>
  <c r="B274" i="4" s="1"/>
  <c r="B275" i="4" s="1"/>
  <c r="B276" i="4" s="1"/>
  <c r="B277" i="4" s="1"/>
  <c r="B278" i="4" s="1"/>
  <c r="B279" i="4" s="1"/>
  <c r="B280" i="4" s="1"/>
  <c r="B281" i="4" s="1"/>
  <c r="B282" i="4" s="1"/>
  <c r="B283" i="4" s="1"/>
  <c r="B284" i="4" s="1"/>
  <c r="B285" i="4" s="1"/>
  <c r="B286" i="4" s="1"/>
  <c r="B287" i="4" s="1"/>
  <c r="B259" i="4"/>
  <c r="B260" i="4" s="1"/>
  <c r="B261" i="4" s="1"/>
  <c r="B262" i="4" s="1"/>
  <c r="B263" i="4" s="1"/>
  <c r="B212" i="3" a="1"/>
  <c r="CE212" i="3" a="1"/>
  <c r="L321" i="4"/>
  <c r="C24" i="13"/>
  <c r="C50" i="13"/>
  <c r="C78" i="13"/>
  <c r="C23" i="19"/>
  <c r="M14" i="4"/>
  <c r="B24" i="19"/>
  <c r="N13" i="4"/>
  <c r="B25" i="13"/>
  <c r="B51" i="13"/>
  <c r="B79" i="13"/>
  <c r="G30" i="24"/>
  <c r="BG22" i="3"/>
  <c r="AJ22" i="3"/>
  <c r="AK22" i="3"/>
  <c r="AL22" i="3"/>
  <c r="AJ23" i="3"/>
  <c r="BG23" i="3"/>
  <c r="AK23" i="3"/>
  <c r="AL23" i="3"/>
  <c r="AJ46" i="3"/>
  <c r="BG46" i="3"/>
  <c r="AK46" i="3"/>
  <c r="AL46" i="3"/>
  <c r="AA71" i="3"/>
  <c r="AE71" i="3" s="1"/>
  <c r="BR71" i="3"/>
  <c r="CR71" i="3"/>
  <c r="AC70" i="3"/>
  <c r="CB47" i="3"/>
  <c r="AI47" i="3"/>
  <c r="BQ47" i="3"/>
  <c r="AF45" i="3"/>
  <c r="AG45" i="3" s="1"/>
  <c r="AH45" i="3" s="1"/>
  <c r="Z94" i="3"/>
  <c r="Y143" i="3"/>
  <c r="U143" i="3"/>
  <c r="W143" i="3" s="1"/>
  <c r="Y142" i="3"/>
  <c r="U142" i="3"/>
  <c r="W142" i="3" s="1"/>
  <c r="Y117" i="3"/>
  <c r="U117" i="3"/>
  <c r="W117" i="3" s="1"/>
  <c r="CH167" i="3"/>
  <c r="CQ167" i="3"/>
  <c r="AW167" i="3"/>
  <c r="AQ167" i="3"/>
  <c r="CP167" i="3"/>
  <c r="CI167" i="3"/>
  <c r="R167" i="3"/>
  <c r="AB167" i="3" s="1"/>
  <c r="R166" i="3"/>
  <c r="AB166" i="3" s="1"/>
  <c r="CH166" i="3"/>
  <c r="CQ166" i="3"/>
  <c r="AW166" i="3"/>
  <c r="AQ166" i="3"/>
  <c r="CP166" i="3"/>
  <c r="CI166" i="3"/>
  <c r="CP165" i="3"/>
  <c r="CI165" i="3"/>
  <c r="CQ165" i="3"/>
  <c r="CH165" i="3"/>
  <c r="AW165" i="3"/>
  <c r="AQ165" i="3"/>
  <c r="V141" i="3"/>
  <c r="T141" i="3"/>
  <c r="R141" i="3"/>
  <c r="AB141" i="3" s="1"/>
  <c r="Z139" i="3"/>
  <c r="AC139" i="3" s="1"/>
  <c r="AD139" i="3" s="1"/>
  <c r="H191" i="3" a="1"/>
  <c r="BA191" i="3" a="1"/>
  <c r="BC191" i="3" a="1"/>
  <c r="BX191" i="3" a="1"/>
  <c r="AZ191" i="3" a="1"/>
  <c r="BD191" i="3" a="1"/>
  <c r="M191" i="3" a="1"/>
  <c r="O191" i="3" s="1"/>
  <c r="I191" i="3" a="1"/>
  <c r="J191" i="3" s="1"/>
  <c r="T191" i="3" s="1"/>
  <c r="L191" i="3" a="1"/>
  <c r="P191" i="3" a="1"/>
  <c r="Q191" i="3" s="1"/>
  <c r="V191" i="3" s="1"/>
  <c r="BC190" i="3" a="1"/>
  <c r="M190" i="3" a="1"/>
  <c r="O190" i="3" s="1"/>
  <c r="I190" i="3" a="1"/>
  <c r="J190" i="3" s="1"/>
  <c r="T190" i="3" s="1"/>
  <c r="L190" i="3" a="1"/>
  <c r="P190" i="3" a="1"/>
  <c r="Q190" i="3" s="1"/>
  <c r="V190" i="3" s="1"/>
  <c r="BA190" i="3" a="1"/>
  <c r="BD190" i="3" a="1"/>
  <c r="H190" i="3" a="1"/>
  <c r="BX190" i="3" a="1"/>
  <c r="AZ190" i="3" a="1"/>
  <c r="H189" i="3" a="1"/>
  <c r="L189" i="3" a="1"/>
  <c r="P189" i="3" a="1"/>
  <c r="BC189" i="3" a="1"/>
  <c r="BX189" i="3" a="1"/>
  <c r="I189" i="3" a="1"/>
  <c r="M189" i="3" a="1"/>
  <c r="AZ189" i="3" a="1"/>
  <c r="BD189" i="3" a="1"/>
  <c r="BA189" i="3" a="1"/>
  <c r="AB117" i="3"/>
  <c r="J165" i="3"/>
  <c r="O165" i="3"/>
  <c r="Q165" i="3"/>
  <c r="CR133" i="3" l="1"/>
  <c r="BR133" i="3"/>
  <c r="AA133" i="3"/>
  <c r="AE133" i="3" s="1"/>
  <c r="AF133" i="3" s="1"/>
  <c r="AG133" i="3" s="1"/>
  <c r="AH133" i="3" s="1"/>
  <c r="Z157" i="3"/>
  <c r="AC157" i="3" s="1"/>
  <c r="AD157" i="3" s="1"/>
  <c r="Z159" i="3"/>
  <c r="AC159" i="3" s="1"/>
  <c r="AD159" i="3" s="1"/>
  <c r="Z144" i="3"/>
  <c r="AC144" i="3" s="1"/>
  <c r="AD144" i="3" s="1"/>
  <c r="Z152" i="3"/>
  <c r="AC152" i="3" s="1"/>
  <c r="AD152" i="3" s="1"/>
  <c r="CR119" i="3"/>
  <c r="BR119" i="3"/>
  <c r="AA119" i="3"/>
  <c r="AE119" i="3" s="1"/>
  <c r="AF119" i="3" s="1"/>
  <c r="AG119" i="3" s="1"/>
  <c r="AH119" i="3" s="1"/>
  <c r="CR132" i="3"/>
  <c r="BR132" i="3"/>
  <c r="AA132" i="3"/>
  <c r="AE132" i="3" s="1"/>
  <c r="AF132" i="3" s="1"/>
  <c r="AG132" i="3" s="1"/>
  <c r="AH132" i="3" s="1"/>
  <c r="CR124" i="3"/>
  <c r="BR124" i="3"/>
  <c r="AA124" i="3"/>
  <c r="AE124" i="3" s="1"/>
  <c r="AF124" i="3" s="1"/>
  <c r="AG124" i="3" s="1"/>
  <c r="AH124" i="3" s="1"/>
  <c r="Z145" i="3"/>
  <c r="AC145" i="3" s="1"/>
  <c r="AD145" i="3" s="1"/>
  <c r="Z149" i="3"/>
  <c r="AC149" i="3" s="1"/>
  <c r="AD149" i="3" s="1"/>
  <c r="Z158" i="3"/>
  <c r="AC158" i="3" s="1"/>
  <c r="AD158" i="3" s="1"/>
  <c r="Z143" i="3"/>
  <c r="AC143" i="3" s="1"/>
  <c r="AD143" i="3" s="1"/>
  <c r="AF101" i="3"/>
  <c r="AG101" i="3" s="1"/>
  <c r="AH101" i="3" s="1"/>
  <c r="AF104" i="3"/>
  <c r="AG104" i="3"/>
  <c r="AH104" i="3" s="1"/>
  <c r="CR125" i="3"/>
  <c r="BR125" i="3"/>
  <c r="AA125" i="3"/>
  <c r="AE125" i="3" s="1"/>
  <c r="AF125" i="3" s="1"/>
  <c r="AG125" i="3" s="1"/>
  <c r="AH125" i="3" s="1"/>
  <c r="Z148" i="3"/>
  <c r="AC148" i="3" s="1"/>
  <c r="AD148" i="3" s="1"/>
  <c r="CR126" i="3"/>
  <c r="BR126" i="3"/>
  <c r="AA126" i="3"/>
  <c r="AE126" i="3" s="1"/>
  <c r="AF126" i="3" s="1"/>
  <c r="AG126" i="3" s="1"/>
  <c r="AH126" i="3" s="1"/>
  <c r="CT44" i="3"/>
  <c r="BH44" i="3"/>
  <c r="BP44" i="3" s="1"/>
  <c r="BT44" i="3" s="1"/>
  <c r="CS44" i="3"/>
  <c r="BK44" i="3"/>
  <c r="BL44" i="3" s="1"/>
  <c r="BN44" i="3" s="1"/>
  <c r="AR44" i="3"/>
  <c r="AS44" i="3" s="1"/>
  <c r="Z150" i="3"/>
  <c r="AC150" i="3" s="1"/>
  <c r="AD150" i="3" s="1"/>
  <c r="Z163" i="3"/>
  <c r="AC163" i="3" s="1"/>
  <c r="AD163" i="3" s="1"/>
  <c r="Z147" i="3"/>
  <c r="AC147" i="3" s="1"/>
  <c r="AD147" i="3" s="1"/>
  <c r="Z146" i="3"/>
  <c r="AC146" i="3" s="1"/>
  <c r="AD146" i="3" s="1"/>
  <c r="Z117" i="3"/>
  <c r="AC117" i="3" s="1"/>
  <c r="AD117" i="3" s="1"/>
  <c r="CR117" i="3" s="1"/>
  <c r="CR136" i="3"/>
  <c r="BR136" i="3"/>
  <c r="AA136" i="3"/>
  <c r="AE136" i="3" s="1"/>
  <c r="CR134" i="3"/>
  <c r="BR134" i="3"/>
  <c r="AA134" i="3"/>
  <c r="AE134" i="3" s="1"/>
  <c r="AF134" i="3" s="1"/>
  <c r="AG134" i="3" s="1"/>
  <c r="AH134" i="3" s="1"/>
  <c r="CR131" i="3"/>
  <c r="BR131" i="3"/>
  <c r="AA131" i="3"/>
  <c r="AE131" i="3" s="1"/>
  <c r="AF131" i="3" s="1"/>
  <c r="AG131" i="3" s="1"/>
  <c r="AH131" i="3" s="1"/>
  <c r="CR118" i="3"/>
  <c r="AA118" i="3"/>
  <c r="AE118" i="3" s="1"/>
  <c r="AF118" i="3" s="1"/>
  <c r="AG118" i="3" s="1"/>
  <c r="AH118" i="3" s="1"/>
  <c r="BR118" i="3"/>
  <c r="CR120" i="3"/>
  <c r="AA120" i="3"/>
  <c r="AE120" i="3" s="1"/>
  <c r="AF120" i="3" s="1"/>
  <c r="AG120" i="3" s="1"/>
  <c r="AH120" i="3" s="1"/>
  <c r="BR120" i="3"/>
  <c r="CR127" i="3"/>
  <c r="BR127" i="3"/>
  <c r="AA127" i="3"/>
  <c r="AE127" i="3" s="1"/>
  <c r="AF127" i="3" s="1"/>
  <c r="AG127" i="3" s="1"/>
  <c r="AH127" i="3" s="1"/>
  <c r="Z160" i="3"/>
  <c r="AC160" i="3" s="1"/>
  <c r="AD160" i="3" s="1"/>
  <c r="CR123" i="3"/>
  <c r="BR123" i="3"/>
  <c r="AA123" i="3"/>
  <c r="AE123" i="3" s="1"/>
  <c r="AF123" i="3" s="1"/>
  <c r="AG123" i="3" s="1"/>
  <c r="AH123" i="3" s="1"/>
  <c r="AK62" i="3"/>
  <c r="BF62" i="3" s="1"/>
  <c r="AJ62" i="3"/>
  <c r="BG62" i="3"/>
  <c r="AL62" i="3"/>
  <c r="CR128" i="3"/>
  <c r="BR128" i="3"/>
  <c r="AA128" i="3"/>
  <c r="AE128" i="3" s="1"/>
  <c r="AF128" i="3" s="1"/>
  <c r="AG128" i="3" s="1"/>
  <c r="AH128" i="3" s="1"/>
  <c r="Z162" i="3"/>
  <c r="AC162" i="3" s="1"/>
  <c r="AD162" i="3" s="1"/>
  <c r="Z155" i="3"/>
  <c r="AC155" i="3" s="1"/>
  <c r="AD155" i="3" s="1"/>
  <c r="AF108" i="3"/>
  <c r="AG108" i="3" s="1"/>
  <c r="AH108" i="3" s="1"/>
  <c r="AF116" i="3"/>
  <c r="AG116" i="3" s="1"/>
  <c r="AH116" i="3" s="1"/>
  <c r="CR138" i="3"/>
  <c r="BR138" i="3"/>
  <c r="AA138" i="3"/>
  <c r="AE138" i="3" s="1"/>
  <c r="AF138" i="3" s="1"/>
  <c r="AG138" i="3" s="1"/>
  <c r="AH138" i="3" s="1"/>
  <c r="CR121" i="3"/>
  <c r="BR121" i="3"/>
  <c r="AA121" i="3"/>
  <c r="AE121" i="3" s="1"/>
  <c r="AF121" i="3" s="1"/>
  <c r="AG121" i="3" s="1"/>
  <c r="AH121" i="3" s="1"/>
  <c r="CR135" i="3"/>
  <c r="BR135" i="3"/>
  <c r="AA135" i="3"/>
  <c r="AE135" i="3" s="1"/>
  <c r="Z164" i="3"/>
  <c r="AC164" i="3" s="1"/>
  <c r="AD164" i="3" s="1"/>
  <c r="CR122" i="3"/>
  <c r="BR122" i="3"/>
  <c r="AA122" i="3"/>
  <c r="AE122" i="3" s="1"/>
  <c r="CR140" i="3"/>
  <c r="BR140" i="3"/>
  <c r="AA140" i="3"/>
  <c r="AE140" i="3" s="1"/>
  <c r="AF140" i="3" s="1"/>
  <c r="AG140" i="3" s="1"/>
  <c r="AH140" i="3" s="1"/>
  <c r="AF102" i="3"/>
  <c r="AG102" i="3" s="1"/>
  <c r="AH102" i="3" s="1"/>
  <c r="Z153" i="3"/>
  <c r="AC153" i="3" s="1"/>
  <c r="AD153" i="3" s="1"/>
  <c r="AF103" i="3"/>
  <c r="AG103" i="3" s="1"/>
  <c r="AH103" i="3" s="1"/>
  <c r="Z161" i="3"/>
  <c r="AC161" i="3" s="1"/>
  <c r="AD161" i="3" s="1"/>
  <c r="CR129" i="3"/>
  <c r="AA129" i="3"/>
  <c r="AE129" i="3" s="1"/>
  <c r="BR129" i="3"/>
  <c r="CR137" i="3"/>
  <c r="BR137" i="3"/>
  <c r="AA137" i="3"/>
  <c r="AE137" i="3" s="1"/>
  <c r="Z142" i="3"/>
  <c r="AC142" i="3" s="1"/>
  <c r="AD142" i="3" s="1"/>
  <c r="CD308" i="3"/>
  <c r="C332" i="3"/>
  <c r="G284" i="3" a="1"/>
  <c r="BB284" i="3" a="1"/>
  <c r="E308" i="3"/>
  <c r="CC308" i="3"/>
  <c r="A332" i="3"/>
  <c r="CD283" i="3"/>
  <c r="C307" i="3"/>
  <c r="G259" i="3" a="1"/>
  <c r="BB259" i="3" a="1"/>
  <c r="CE259" i="3" a="1"/>
  <c r="B259" i="3" a="1"/>
  <c r="E283" i="3"/>
  <c r="CC283" i="3"/>
  <c r="A307" i="3"/>
  <c r="CD282" i="3"/>
  <c r="C306" i="3"/>
  <c r="G258" i="3" a="1"/>
  <c r="BB258" i="3" a="1"/>
  <c r="CE258" i="3" a="1"/>
  <c r="B258" i="3" a="1"/>
  <c r="E282" i="3"/>
  <c r="CC282" i="3"/>
  <c r="A306" i="3"/>
  <c r="CD281" i="3"/>
  <c r="C305" i="3"/>
  <c r="G257" i="3" a="1"/>
  <c r="BB257" i="3" a="1"/>
  <c r="CE257" i="3" a="1"/>
  <c r="B257" i="3" a="1"/>
  <c r="E281" i="3"/>
  <c r="CC281" i="3"/>
  <c r="A305" i="3"/>
  <c r="CD280" i="3"/>
  <c r="C304" i="3"/>
  <c r="G256" i="3" a="1"/>
  <c r="BB256" i="3" a="1"/>
  <c r="CE256" i="3" a="1"/>
  <c r="B256" i="3" a="1"/>
  <c r="E280" i="3"/>
  <c r="CC280" i="3"/>
  <c r="A304" i="3"/>
  <c r="CD279" i="3"/>
  <c r="C303" i="3"/>
  <c r="E279" i="3"/>
  <c r="CC279" i="3"/>
  <c r="A303" i="3"/>
  <c r="G255" i="3" a="1"/>
  <c r="B255" i="3" a="1"/>
  <c r="BB255" i="3" a="1"/>
  <c r="CE255" i="3" a="1"/>
  <c r="CD278" i="3"/>
  <c r="C302" i="3"/>
  <c r="G254" i="3" a="1"/>
  <c r="BB254" i="3" a="1"/>
  <c r="CE254" i="3" a="1"/>
  <c r="B254" i="3" a="1"/>
  <c r="E278" i="3"/>
  <c r="CC278" i="3"/>
  <c r="A302" i="3"/>
  <c r="CD277" i="3"/>
  <c r="C301" i="3"/>
  <c r="G253" i="3" a="1"/>
  <c r="B253" i="3" a="1"/>
  <c r="BB253" i="3" a="1"/>
  <c r="CE253" i="3" a="1"/>
  <c r="E277" i="3"/>
  <c r="CC277" i="3"/>
  <c r="A301" i="3"/>
  <c r="CD276" i="3"/>
  <c r="C300" i="3"/>
  <c r="B252" i="3" a="1"/>
  <c r="G252" i="3" a="1"/>
  <c r="BB252" i="3" a="1"/>
  <c r="CE252" i="3" a="1"/>
  <c r="E276" i="3"/>
  <c r="CC276" i="3"/>
  <c r="A300" i="3"/>
  <c r="CD275" i="3"/>
  <c r="C299" i="3"/>
  <c r="B251" i="3" a="1"/>
  <c r="BB251" i="3" a="1"/>
  <c r="CE251" i="3" a="1"/>
  <c r="G251" i="3" a="1"/>
  <c r="E275" i="3"/>
  <c r="CC275" i="3"/>
  <c r="A299" i="3"/>
  <c r="CD274" i="3"/>
  <c r="C298" i="3"/>
  <c r="B250" i="3" a="1"/>
  <c r="BB250" i="3" a="1"/>
  <c r="CE250" i="3" a="1"/>
  <c r="G250" i="3" a="1"/>
  <c r="E274" i="3"/>
  <c r="CC274" i="3"/>
  <c r="A298" i="3"/>
  <c r="CD273" i="3"/>
  <c r="C297" i="3"/>
  <c r="B249" i="3" a="1"/>
  <c r="BB249" i="3" a="1"/>
  <c r="CE249" i="3" a="1"/>
  <c r="G249" i="3" a="1"/>
  <c r="E273" i="3"/>
  <c r="CC273" i="3"/>
  <c r="A297" i="3"/>
  <c r="CD272" i="3"/>
  <c r="C296" i="3"/>
  <c r="B248" i="3" a="1"/>
  <c r="BB248" i="3" a="1"/>
  <c r="CE248" i="3" a="1"/>
  <c r="G248" i="3" a="1"/>
  <c r="E272" i="3"/>
  <c r="CC272" i="3"/>
  <c r="A296" i="3"/>
  <c r="CD271" i="3"/>
  <c r="C295" i="3"/>
  <c r="B247" i="3" a="1"/>
  <c r="BB247" i="3" a="1"/>
  <c r="CE247" i="3" a="1"/>
  <c r="G247" i="3" a="1"/>
  <c r="E271" i="3"/>
  <c r="CC271" i="3"/>
  <c r="A295" i="3"/>
  <c r="CD270" i="3"/>
  <c r="C294" i="3"/>
  <c r="B246" i="3" a="1"/>
  <c r="BB246" i="3" a="1"/>
  <c r="CE246" i="3" a="1"/>
  <c r="G246" i="3" a="1"/>
  <c r="E270" i="3"/>
  <c r="CC270" i="3"/>
  <c r="A294" i="3"/>
  <c r="CD245" i="3"/>
  <c r="C269" i="3"/>
  <c r="G221" i="3" a="1"/>
  <c r="BB221" i="3" a="1"/>
  <c r="CE221" i="3" a="1"/>
  <c r="B221" i="3" a="1"/>
  <c r="E245" i="3"/>
  <c r="CC245" i="3"/>
  <c r="A269" i="3"/>
  <c r="CD244" i="3"/>
  <c r="C268" i="3"/>
  <c r="G220" i="3" a="1"/>
  <c r="BB220" i="3" a="1"/>
  <c r="CE220" i="3" a="1"/>
  <c r="B220" i="3" a="1"/>
  <c r="E244" i="3"/>
  <c r="CC244" i="3"/>
  <c r="A268" i="3"/>
  <c r="CD243" i="3"/>
  <c r="C267" i="3"/>
  <c r="G219" i="3" a="1"/>
  <c r="BB219" i="3" a="1"/>
  <c r="CE219" i="3" a="1"/>
  <c r="B219" i="3" a="1"/>
  <c r="E243" i="3"/>
  <c r="CC243" i="3"/>
  <c r="A267" i="3"/>
  <c r="CD242" i="3"/>
  <c r="C266" i="3"/>
  <c r="G218" i="3" a="1"/>
  <c r="BB218" i="3" a="1"/>
  <c r="CE218" i="3" a="1"/>
  <c r="B218" i="3" a="1"/>
  <c r="E242" i="3"/>
  <c r="CC242" i="3"/>
  <c r="A266" i="3"/>
  <c r="CD241" i="3"/>
  <c r="C265" i="3"/>
  <c r="G217" i="3" a="1"/>
  <c r="BB217" i="3" a="1"/>
  <c r="CE217" i="3" a="1"/>
  <c r="B217" i="3" a="1"/>
  <c r="E241" i="3"/>
  <c r="CC241" i="3"/>
  <c r="A265" i="3"/>
  <c r="CD240" i="3"/>
  <c r="C264" i="3"/>
  <c r="G216" i="3" a="1"/>
  <c r="BB216" i="3" a="1"/>
  <c r="CE216" i="3" a="1"/>
  <c r="B216" i="3" a="1"/>
  <c r="E240" i="3"/>
  <c r="CC240" i="3"/>
  <c r="A264" i="3"/>
  <c r="F239" i="3" a="1"/>
  <c r="D263" i="3"/>
  <c r="CD239" i="3"/>
  <c r="C263" i="3"/>
  <c r="G215" i="3" a="1"/>
  <c r="BB215" i="3" a="1"/>
  <c r="CE215" i="3" a="1"/>
  <c r="B215" i="3" a="1"/>
  <c r="E239" i="3"/>
  <c r="CC239" i="3"/>
  <c r="A263" i="3"/>
  <c r="F238" i="3" a="1"/>
  <c r="D262" i="3"/>
  <c r="CD238" i="3"/>
  <c r="C262" i="3"/>
  <c r="G214" i="3" a="1"/>
  <c r="BB214" i="3" a="1"/>
  <c r="CE214" i="3" a="1"/>
  <c r="B214" i="3" a="1"/>
  <c r="E238" i="3"/>
  <c r="CC238" i="3"/>
  <c r="A262" i="3"/>
  <c r="AK69" i="3"/>
  <c r="AJ69" i="3"/>
  <c r="BG69" i="3"/>
  <c r="AL69" i="3"/>
  <c r="AK93" i="3"/>
  <c r="AJ93" i="3"/>
  <c r="BG93" i="3"/>
  <c r="AL93" i="3"/>
  <c r="F237" i="3" a="1"/>
  <c r="D261" i="3"/>
  <c r="CD237" i="3"/>
  <c r="C261" i="3"/>
  <c r="G213" i="3" a="1"/>
  <c r="BB213" i="3" a="1"/>
  <c r="CE213" i="3" a="1"/>
  <c r="B213" i="3" a="1"/>
  <c r="E237" i="3"/>
  <c r="CC237" i="3"/>
  <c r="A261" i="3"/>
  <c r="BF68" i="3"/>
  <c r="CS68" i="3"/>
  <c r="AR68" i="3"/>
  <c r="AS68" i="3" s="1"/>
  <c r="BK68" i="3"/>
  <c r="CT68" i="3"/>
  <c r="BH68" i="3"/>
  <c r="AF92" i="3"/>
  <c r="AG92" i="3" s="1"/>
  <c r="AH92" i="3" s="1"/>
  <c r="Y188" i="3"/>
  <c r="U188" i="3"/>
  <c r="W188" i="3" s="1"/>
  <c r="AQ212" i="3"/>
  <c r="AW212" i="3"/>
  <c r="CH212" i="3"/>
  <c r="CQ212" i="3"/>
  <c r="CI212" i="3"/>
  <c r="CP212" i="3"/>
  <c r="R212" i="3"/>
  <c r="AB212" i="3" s="1"/>
  <c r="F236" i="3" a="1"/>
  <c r="H236" i="3" a="1"/>
  <c r="I236" i="3" a="1"/>
  <c r="J236" i="3" s="1"/>
  <c r="T236" i="3" s="1"/>
  <c r="L236" i="3" a="1"/>
  <c r="M236" i="3" a="1"/>
  <c r="O236" i="3" s="1"/>
  <c r="P236" i="3" a="1"/>
  <c r="Q236" i="3" s="1"/>
  <c r="V236" i="3" s="1"/>
  <c r="AZ236" i="3" a="1"/>
  <c r="BA236" i="3" a="1"/>
  <c r="BC236" i="3" a="1"/>
  <c r="BD236" i="3" a="1"/>
  <c r="BX236" i="3" a="1"/>
  <c r="D260" i="3"/>
  <c r="BF67" i="3"/>
  <c r="CS67" i="3"/>
  <c r="AR67" i="3"/>
  <c r="AS67" i="3" s="1"/>
  <c r="BK67" i="3"/>
  <c r="CT67" i="3"/>
  <c r="BH67" i="3"/>
  <c r="AF91" i="3"/>
  <c r="AG91" i="3" s="1"/>
  <c r="AH91" i="3" s="1"/>
  <c r="AI115" i="3"/>
  <c r="BQ115" i="3"/>
  <c r="Y187" i="3"/>
  <c r="U187" i="3"/>
  <c r="W187" i="3" s="1"/>
  <c r="CI211" i="3"/>
  <c r="CP211" i="3"/>
  <c r="AQ211" i="3"/>
  <c r="AW211" i="3"/>
  <c r="CQ211" i="3"/>
  <c r="CH211" i="3"/>
  <c r="R211" i="3"/>
  <c r="AB211" i="3" s="1"/>
  <c r="F235" i="3" a="1"/>
  <c r="H235" i="3" a="1"/>
  <c r="I235" i="3" a="1"/>
  <c r="J235" i="3" s="1"/>
  <c r="T235" i="3" s="1"/>
  <c r="L235" i="3" a="1"/>
  <c r="M235" i="3" a="1"/>
  <c r="O235" i="3" s="1"/>
  <c r="P235" i="3" a="1"/>
  <c r="Q235" i="3" s="1"/>
  <c r="V235" i="3" s="1"/>
  <c r="AZ235" i="3" a="1"/>
  <c r="BA235" i="3" a="1"/>
  <c r="BC235" i="3" a="1"/>
  <c r="BD235" i="3" a="1"/>
  <c r="BX235" i="3" a="1"/>
  <c r="D259" i="3"/>
  <c r="BP43" i="3"/>
  <c r="BT43" i="3" s="1"/>
  <c r="BL43" i="3"/>
  <c r="BN43" i="3" s="1"/>
  <c r="BF66" i="3"/>
  <c r="CS66" i="3"/>
  <c r="AR66" i="3"/>
  <c r="AS66" i="3" s="1"/>
  <c r="BK66" i="3"/>
  <c r="CT66" i="3"/>
  <c r="BH66" i="3"/>
  <c r="AF90" i="3"/>
  <c r="AG90" i="3" s="1"/>
  <c r="AH90" i="3" s="1"/>
  <c r="BQ114" i="3"/>
  <c r="AI114" i="3"/>
  <c r="Y186" i="3"/>
  <c r="U186" i="3"/>
  <c r="W186" i="3" s="1"/>
  <c r="AQ210" i="3"/>
  <c r="AW210" i="3"/>
  <c r="CH210" i="3"/>
  <c r="CQ210" i="3"/>
  <c r="R210" i="3"/>
  <c r="AB210" i="3" s="1"/>
  <c r="CI210" i="3"/>
  <c r="CP210" i="3"/>
  <c r="F234" i="3" a="1"/>
  <c r="H234" i="3" a="1"/>
  <c r="I234" i="3" a="1"/>
  <c r="J234" i="3" s="1"/>
  <c r="T234" i="3" s="1"/>
  <c r="L234" i="3" a="1"/>
  <c r="M234" i="3" a="1"/>
  <c r="O234" i="3" s="1"/>
  <c r="P234" i="3" a="1"/>
  <c r="Q234" i="3" s="1"/>
  <c r="V234" i="3" s="1"/>
  <c r="AZ234" i="3" a="1"/>
  <c r="BA234" i="3" a="1"/>
  <c r="BC234" i="3" a="1"/>
  <c r="BD234" i="3" a="1"/>
  <c r="BX234" i="3" a="1"/>
  <c r="D258" i="3"/>
  <c r="BP42" i="3"/>
  <c r="BT42" i="3" s="1"/>
  <c r="BL42" i="3"/>
  <c r="BN42" i="3" s="1"/>
  <c r="BF65" i="3"/>
  <c r="CS65" i="3"/>
  <c r="AR65" i="3"/>
  <c r="AS65" i="3" s="1"/>
  <c r="BK65" i="3"/>
  <c r="CT65" i="3"/>
  <c r="BH65" i="3"/>
  <c r="AF89" i="3"/>
  <c r="AG89" i="3" s="1"/>
  <c r="AH89" i="3" s="1"/>
  <c r="BQ113" i="3"/>
  <c r="AI113" i="3"/>
  <c r="R209" i="3"/>
  <c r="AB209" i="3" s="1"/>
  <c r="CP209" i="3"/>
  <c r="CI209" i="3"/>
  <c r="AQ209" i="3"/>
  <c r="AW209" i="3"/>
  <c r="CQ209" i="3"/>
  <c r="CH209" i="3"/>
  <c r="F233" i="3" a="1"/>
  <c r="H233" i="3" a="1"/>
  <c r="I233" i="3" a="1"/>
  <c r="J233" i="3" s="1"/>
  <c r="T233" i="3" s="1"/>
  <c r="L233" i="3" a="1"/>
  <c r="M233" i="3" a="1"/>
  <c r="O233" i="3" s="1"/>
  <c r="P233" i="3" a="1"/>
  <c r="Q233" i="3" s="1"/>
  <c r="V233" i="3" s="1"/>
  <c r="AZ233" i="3" a="1"/>
  <c r="BA233" i="3" a="1"/>
  <c r="BC233" i="3" a="1"/>
  <c r="BD233" i="3" a="1"/>
  <c r="BX233" i="3" a="1"/>
  <c r="D257" i="3"/>
  <c r="Y185" i="3"/>
  <c r="U185" i="3"/>
  <c r="W185" i="3" s="1"/>
  <c r="BP41" i="3"/>
  <c r="BT41" i="3" s="1"/>
  <c r="BL41" i="3"/>
  <c r="BN41" i="3" s="1"/>
  <c r="BF64" i="3"/>
  <c r="CS64" i="3"/>
  <c r="AR64" i="3"/>
  <c r="AS64" i="3" s="1"/>
  <c r="BK64" i="3"/>
  <c r="CT64" i="3"/>
  <c r="BH64" i="3"/>
  <c r="AF88" i="3"/>
  <c r="AG88" i="3" s="1"/>
  <c r="AH88" i="3" s="1"/>
  <c r="BQ112" i="3"/>
  <c r="AI112" i="3"/>
  <c r="Y184" i="3"/>
  <c r="U184" i="3"/>
  <c r="W184" i="3" s="1"/>
  <c r="F232" i="3" a="1"/>
  <c r="H232" i="3" a="1"/>
  <c r="I232" i="3" a="1"/>
  <c r="J232" i="3" s="1"/>
  <c r="T232" i="3" s="1"/>
  <c r="L232" i="3" a="1"/>
  <c r="M232" i="3" a="1"/>
  <c r="O232" i="3" s="1"/>
  <c r="P232" i="3" a="1"/>
  <c r="Q232" i="3" s="1"/>
  <c r="V232" i="3" s="1"/>
  <c r="AZ232" i="3" a="1"/>
  <c r="BA232" i="3" a="1"/>
  <c r="BC232" i="3" a="1"/>
  <c r="BD232" i="3" a="1"/>
  <c r="BX232" i="3" a="1"/>
  <c r="D256" i="3"/>
  <c r="AQ208" i="3"/>
  <c r="AW208" i="3"/>
  <c r="CH208" i="3"/>
  <c r="CQ208" i="3"/>
  <c r="R208" i="3"/>
  <c r="AB208" i="3" s="1"/>
  <c r="CI208" i="3"/>
  <c r="CP208" i="3"/>
  <c r="BP40" i="3"/>
  <c r="BT40" i="3" s="1"/>
  <c r="BL40" i="3"/>
  <c r="BN40" i="3" s="1"/>
  <c r="BP39" i="3"/>
  <c r="BT39" i="3" s="1"/>
  <c r="BL39" i="3"/>
  <c r="BN39" i="3" s="1"/>
  <c r="BF63" i="3"/>
  <c r="CS63" i="3"/>
  <c r="AR63" i="3"/>
  <c r="AS63" i="3" s="1"/>
  <c r="BK63" i="3"/>
  <c r="CT63" i="3"/>
  <c r="BH63" i="3"/>
  <c r="AF87" i="3"/>
  <c r="AG87" i="3" s="1"/>
  <c r="AH87" i="3" s="1"/>
  <c r="BQ111" i="3"/>
  <c r="AI111" i="3"/>
  <c r="Y183" i="3"/>
  <c r="U183" i="3"/>
  <c r="W183" i="3" s="1"/>
  <c r="AQ207" i="3"/>
  <c r="AW207" i="3"/>
  <c r="CH207" i="3"/>
  <c r="CQ207" i="3"/>
  <c r="CI207" i="3"/>
  <c r="CP207" i="3"/>
  <c r="R207" i="3"/>
  <c r="AB207" i="3" s="1"/>
  <c r="F231" i="3" a="1"/>
  <c r="H231" i="3" a="1"/>
  <c r="I231" i="3" a="1"/>
  <c r="J231" i="3" s="1"/>
  <c r="T231" i="3" s="1"/>
  <c r="L231" i="3" a="1"/>
  <c r="M231" i="3" a="1"/>
  <c r="O231" i="3" s="1"/>
  <c r="P231" i="3" a="1"/>
  <c r="Q231" i="3" s="1"/>
  <c r="V231" i="3" s="1"/>
  <c r="AZ231" i="3" a="1"/>
  <c r="BA231" i="3" a="1"/>
  <c r="BC231" i="3" a="1"/>
  <c r="BD231" i="3" a="1"/>
  <c r="BX231" i="3" a="1"/>
  <c r="D255" i="3"/>
  <c r="BP38" i="3"/>
  <c r="BT38" i="3" s="1"/>
  <c r="BL38" i="3"/>
  <c r="BN38" i="3" s="1"/>
  <c r="AF86" i="3"/>
  <c r="AG86" i="3" s="1"/>
  <c r="AH86" i="3" s="1"/>
  <c r="BQ110" i="3"/>
  <c r="AI110" i="3"/>
  <c r="Y182" i="3"/>
  <c r="U182" i="3"/>
  <c r="W182" i="3" s="1"/>
  <c r="AQ206" i="3"/>
  <c r="AW206" i="3"/>
  <c r="CH206" i="3"/>
  <c r="CQ206" i="3"/>
  <c r="CI206" i="3"/>
  <c r="CP206" i="3"/>
  <c r="R206" i="3"/>
  <c r="AB206" i="3" s="1"/>
  <c r="F230" i="3" a="1"/>
  <c r="H230" i="3" a="1"/>
  <c r="I230" i="3" a="1"/>
  <c r="J230" i="3" s="1"/>
  <c r="T230" i="3" s="1"/>
  <c r="L230" i="3" a="1"/>
  <c r="M230" i="3" a="1"/>
  <c r="O230" i="3" s="1"/>
  <c r="P230" i="3" a="1"/>
  <c r="Q230" i="3" s="1"/>
  <c r="V230" i="3" s="1"/>
  <c r="AZ230" i="3" a="1"/>
  <c r="BA230" i="3" a="1"/>
  <c r="BC230" i="3" a="1"/>
  <c r="BD230" i="3" a="1"/>
  <c r="BX230" i="3" a="1"/>
  <c r="D254" i="3"/>
  <c r="BF61" i="3"/>
  <c r="CS61" i="3"/>
  <c r="AR61" i="3"/>
  <c r="AS61" i="3" s="1"/>
  <c r="BK61" i="3"/>
  <c r="CT61" i="3"/>
  <c r="BH61" i="3"/>
  <c r="AF85" i="3"/>
  <c r="AG85" i="3" s="1"/>
  <c r="AH85" i="3" s="1"/>
  <c r="BQ109" i="3"/>
  <c r="AI109" i="3"/>
  <c r="Y181" i="3"/>
  <c r="U181" i="3"/>
  <c r="W181" i="3" s="1"/>
  <c r="AQ205" i="3"/>
  <c r="AW205" i="3"/>
  <c r="CH205" i="3"/>
  <c r="CQ205" i="3"/>
  <c r="CI205" i="3"/>
  <c r="CP205" i="3"/>
  <c r="R205" i="3"/>
  <c r="AB205" i="3" s="1"/>
  <c r="F229" i="3" a="1"/>
  <c r="H229" i="3" a="1"/>
  <c r="I229" i="3" a="1"/>
  <c r="J229" i="3" s="1"/>
  <c r="T229" i="3" s="1"/>
  <c r="L229" i="3" a="1"/>
  <c r="M229" i="3" a="1"/>
  <c r="O229" i="3" s="1"/>
  <c r="P229" i="3" a="1"/>
  <c r="Q229" i="3" s="1"/>
  <c r="V229" i="3" s="1"/>
  <c r="AZ229" i="3" a="1"/>
  <c r="BA229" i="3" a="1"/>
  <c r="BC229" i="3" a="1"/>
  <c r="BD229" i="3" a="1"/>
  <c r="BX229" i="3" a="1"/>
  <c r="D253" i="3"/>
  <c r="BP37" i="3"/>
  <c r="BT37" i="3" s="1"/>
  <c r="BL37" i="3"/>
  <c r="BN37" i="3" s="1"/>
  <c r="BP36" i="3"/>
  <c r="BT36" i="3" s="1"/>
  <c r="BL36" i="3"/>
  <c r="BN36" i="3" s="1"/>
  <c r="BF60" i="3"/>
  <c r="CS60" i="3"/>
  <c r="AR60" i="3"/>
  <c r="AS60" i="3" s="1"/>
  <c r="BK60" i="3"/>
  <c r="CT60" i="3"/>
  <c r="BH60" i="3"/>
  <c r="AF84" i="3"/>
  <c r="AG84" i="3" s="1"/>
  <c r="AH84" i="3" s="1"/>
  <c r="BR156" i="3"/>
  <c r="AA156" i="3"/>
  <c r="AE156" i="3" s="1"/>
  <c r="AQ204" i="3"/>
  <c r="AW204" i="3"/>
  <c r="CH204" i="3"/>
  <c r="CQ204" i="3"/>
  <c r="CI204" i="3"/>
  <c r="CP204" i="3"/>
  <c r="R204" i="3"/>
  <c r="AB204" i="3" s="1"/>
  <c r="F228" i="3" a="1"/>
  <c r="H228" i="3" a="1"/>
  <c r="I228" i="3" a="1"/>
  <c r="J228" i="3" s="1"/>
  <c r="T228" i="3" s="1"/>
  <c r="L228" i="3" a="1"/>
  <c r="M228" i="3" a="1"/>
  <c r="O228" i="3" s="1"/>
  <c r="P228" i="3" a="1"/>
  <c r="Q228" i="3" s="1"/>
  <c r="V228" i="3" s="1"/>
  <c r="AZ228" i="3" a="1"/>
  <c r="BA228" i="3" a="1"/>
  <c r="BC228" i="3" a="1"/>
  <c r="BD228" i="3" a="1"/>
  <c r="BX228" i="3" a="1"/>
  <c r="D252" i="3"/>
  <c r="Y180" i="3"/>
  <c r="U180" i="3"/>
  <c r="W180" i="3" s="1"/>
  <c r="BF59" i="3"/>
  <c r="CS59" i="3"/>
  <c r="AR59" i="3"/>
  <c r="AS59" i="3" s="1"/>
  <c r="BK59" i="3"/>
  <c r="CT59" i="3"/>
  <c r="BH59" i="3"/>
  <c r="AF83" i="3"/>
  <c r="AG83" i="3" s="1"/>
  <c r="AH83" i="3" s="1"/>
  <c r="AI107" i="3"/>
  <c r="BQ107" i="3"/>
  <c r="Y179" i="3"/>
  <c r="U179" i="3"/>
  <c r="W179" i="3" s="1"/>
  <c r="AQ203" i="3"/>
  <c r="AW203" i="3"/>
  <c r="CH203" i="3"/>
  <c r="CQ203" i="3"/>
  <c r="CI203" i="3"/>
  <c r="CP203" i="3"/>
  <c r="R203" i="3"/>
  <c r="AB203" i="3" s="1"/>
  <c r="F227" i="3" a="1"/>
  <c r="H227" i="3" a="1"/>
  <c r="I227" i="3" a="1"/>
  <c r="J227" i="3" s="1"/>
  <c r="T227" i="3" s="1"/>
  <c r="L227" i="3" a="1"/>
  <c r="M227" i="3" a="1"/>
  <c r="O227" i="3" s="1"/>
  <c r="P227" i="3" a="1"/>
  <c r="Q227" i="3" s="1"/>
  <c r="V227" i="3" s="1"/>
  <c r="AZ227" i="3" a="1"/>
  <c r="BA227" i="3" a="1"/>
  <c r="BC227" i="3" a="1"/>
  <c r="BD227" i="3" a="1"/>
  <c r="BX227" i="3" a="1"/>
  <c r="D251" i="3"/>
  <c r="BP35" i="3"/>
  <c r="BT35" i="3" s="1"/>
  <c r="BL35" i="3"/>
  <c r="BN35" i="3" s="1"/>
  <c r="BF58" i="3"/>
  <c r="CS58" i="3"/>
  <c r="AR58" i="3"/>
  <c r="AS58" i="3" s="1"/>
  <c r="BK58" i="3"/>
  <c r="CT58" i="3"/>
  <c r="BH58" i="3"/>
  <c r="AF82" i="3"/>
  <c r="AG82" i="3" s="1"/>
  <c r="AH82" i="3" s="1"/>
  <c r="AI106" i="3"/>
  <c r="BQ106" i="3"/>
  <c r="AF130" i="3"/>
  <c r="AG130" i="3" s="1"/>
  <c r="AH130" i="3" s="1"/>
  <c r="BR154" i="3"/>
  <c r="AA154" i="3"/>
  <c r="AE154" i="3" s="1"/>
  <c r="Y178" i="3"/>
  <c r="U178" i="3"/>
  <c r="W178" i="3" s="1"/>
  <c r="AQ202" i="3"/>
  <c r="AW202" i="3"/>
  <c r="CH202" i="3"/>
  <c r="CQ202" i="3"/>
  <c r="CI202" i="3"/>
  <c r="CP202" i="3"/>
  <c r="R202" i="3"/>
  <c r="AB202" i="3" s="1"/>
  <c r="F226" i="3" a="1"/>
  <c r="H226" i="3" a="1"/>
  <c r="I226" i="3" a="1"/>
  <c r="J226" i="3" s="1"/>
  <c r="T226" i="3" s="1"/>
  <c r="L226" i="3" a="1"/>
  <c r="M226" i="3" a="1"/>
  <c r="O226" i="3" s="1"/>
  <c r="P226" i="3" a="1"/>
  <c r="Q226" i="3" s="1"/>
  <c r="V226" i="3" s="1"/>
  <c r="AZ226" i="3" a="1"/>
  <c r="BA226" i="3" a="1"/>
  <c r="BC226" i="3" a="1"/>
  <c r="BD226" i="3" a="1"/>
  <c r="BX226" i="3" a="1"/>
  <c r="D250" i="3"/>
  <c r="BP34" i="3"/>
  <c r="BT34" i="3" s="1"/>
  <c r="BL34" i="3"/>
  <c r="BN34" i="3" s="1"/>
  <c r="BP33" i="3"/>
  <c r="BT33" i="3" s="1"/>
  <c r="BL33" i="3"/>
  <c r="BN33" i="3" s="1"/>
  <c r="BF57" i="3"/>
  <c r="CS57" i="3"/>
  <c r="AR57" i="3"/>
  <c r="AS57" i="3" s="1"/>
  <c r="BK57" i="3"/>
  <c r="CT57" i="3"/>
  <c r="BH57" i="3"/>
  <c r="AF81" i="3"/>
  <c r="AG81" i="3" s="1"/>
  <c r="AH81" i="3" s="1"/>
  <c r="AI105" i="3"/>
  <c r="BQ105" i="3"/>
  <c r="Y177" i="3"/>
  <c r="U177" i="3"/>
  <c r="W177" i="3" s="1"/>
  <c r="AQ201" i="3"/>
  <c r="AW201" i="3"/>
  <c r="CH201" i="3"/>
  <c r="CQ201" i="3"/>
  <c r="CI201" i="3"/>
  <c r="CP201" i="3"/>
  <c r="R201" i="3"/>
  <c r="AB201" i="3" s="1"/>
  <c r="F225" i="3" a="1"/>
  <c r="H225" i="3" a="1"/>
  <c r="I225" i="3" a="1"/>
  <c r="J225" i="3" s="1"/>
  <c r="T225" i="3" s="1"/>
  <c r="L225" i="3" a="1"/>
  <c r="M225" i="3" a="1"/>
  <c r="O225" i="3" s="1"/>
  <c r="P225" i="3" a="1"/>
  <c r="Q225" i="3" s="1"/>
  <c r="V225" i="3" s="1"/>
  <c r="AZ225" i="3" a="1"/>
  <c r="BA225" i="3" a="1"/>
  <c r="BC225" i="3" a="1"/>
  <c r="BD225" i="3" a="1"/>
  <c r="BX225" i="3" a="1"/>
  <c r="D249" i="3"/>
  <c r="BP32" i="3"/>
  <c r="BT32" i="3" s="1"/>
  <c r="BL32" i="3"/>
  <c r="BN32" i="3" s="1"/>
  <c r="BF56" i="3"/>
  <c r="CS56" i="3"/>
  <c r="AR56" i="3"/>
  <c r="AS56" i="3" s="1"/>
  <c r="BK56" i="3"/>
  <c r="CT56" i="3"/>
  <c r="BH56" i="3"/>
  <c r="AF80" i="3"/>
  <c r="AG80" i="3" s="1"/>
  <c r="AH80" i="3" s="1"/>
  <c r="Y176" i="3"/>
  <c r="U176" i="3"/>
  <c r="W176" i="3" s="1"/>
  <c r="AQ200" i="3"/>
  <c r="AW200" i="3"/>
  <c r="CH200" i="3"/>
  <c r="CQ200" i="3"/>
  <c r="CI200" i="3"/>
  <c r="CP200" i="3"/>
  <c r="R200" i="3"/>
  <c r="AB200" i="3" s="1"/>
  <c r="F224" i="3" a="1"/>
  <c r="H224" i="3" a="1"/>
  <c r="I224" i="3" a="1"/>
  <c r="J224" i="3" s="1"/>
  <c r="T224" i="3" s="1"/>
  <c r="L224" i="3" a="1"/>
  <c r="M224" i="3" a="1"/>
  <c r="O224" i="3" s="1"/>
  <c r="P224" i="3" a="1"/>
  <c r="Q224" i="3" s="1"/>
  <c r="V224" i="3" s="1"/>
  <c r="AZ224" i="3" a="1"/>
  <c r="BA224" i="3" a="1"/>
  <c r="BC224" i="3" a="1"/>
  <c r="BD224" i="3" a="1"/>
  <c r="BX224" i="3" a="1"/>
  <c r="D248" i="3"/>
  <c r="BP31" i="3"/>
  <c r="BT31" i="3" s="1"/>
  <c r="BL31" i="3"/>
  <c r="BN31" i="3" s="1"/>
  <c r="BF55" i="3"/>
  <c r="CS55" i="3"/>
  <c r="AR55" i="3"/>
  <c r="AS55" i="3" s="1"/>
  <c r="BK55" i="3"/>
  <c r="CT55" i="3"/>
  <c r="BH55" i="3"/>
  <c r="AF79" i="3"/>
  <c r="AG79" i="3" s="1"/>
  <c r="AH79" i="3" s="1"/>
  <c r="BR151" i="3"/>
  <c r="AA151" i="3"/>
  <c r="AE151" i="3" s="1"/>
  <c r="Y175" i="3"/>
  <c r="U175" i="3"/>
  <c r="W175" i="3" s="1"/>
  <c r="AQ199" i="3"/>
  <c r="AW199" i="3"/>
  <c r="CH199" i="3"/>
  <c r="CQ199" i="3"/>
  <c r="CI199" i="3"/>
  <c r="CP199" i="3"/>
  <c r="R199" i="3"/>
  <c r="AB199" i="3" s="1"/>
  <c r="F223" i="3" a="1"/>
  <c r="H223" i="3" a="1"/>
  <c r="I223" i="3" a="1"/>
  <c r="J223" i="3" s="1"/>
  <c r="T223" i="3" s="1"/>
  <c r="L223" i="3" a="1"/>
  <c r="M223" i="3" a="1"/>
  <c r="O223" i="3" s="1"/>
  <c r="P223" i="3" a="1"/>
  <c r="Q223" i="3" s="1"/>
  <c r="V223" i="3" s="1"/>
  <c r="AZ223" i="3" a="1"/>
  <c r="BA223" i="3" a="1"/>
  <c r="BC223" i="3" a="1"/>
  <c r="BD223" i="3" a="1"/>
  <c r="BX223" i="3" a="1"/>
  <c r="D247" i="3"/>
  <c r="BP30" i="3"/>
  <c r="BT30" i="3" s="1"/>
  <c r="BL30" i="3"/>
  <c r="BN30" i="3" s="1"/>
  <c r="BF54" i="3"/>
  <c r="CS54" i="3"/>
  <c r="AR54" i="3"/>
  <c r="AS54" i="3" s="1"/>
  <c r="BK54" i="3"/>
  <c r="CT54" i="3"/>
  <c r="BH54" i="3"/>
  <c r="AF78" i="3"/>
  <c r="AG78" i="3" s="1"/>
  <c r="AH78" i="3" s="1"/>
  <c r="Y174" i="3"/>
  <c r="U174" i="3"/>
  <c r="W174" i="3" s="1"/>
  <c r="AQ198" i="3"/>
  <c r="AW198" i="3"/>
  <c r="CH198" i="3"/>
  <c r="CQ198" i="3"/>
  <c r="CI198" i="3"/>
  <c r="CP198" i="3"/>
  <c r="R198" i="3"/>
  <c r="AB198" i="3" s="1"/>
  <c r="F222" i="3" a="1"/>
  <c r="H222" i="3" a="1"/>
  <c r="I222" i="3" a="1"/>
  <c r="J222" i="3" s="1"/>
  <c r="T222" i="3" s="1"/>
  <c r="L222" i="3" a="1"/>
  <c r="M222" i="3" a="1"/>
  <c r="O222" i="3" s="1"/>
  <c r="P222" i="3" a="1"/>
  <c r="Q222" i="3" s="1"/>
  <c r="V222" i="3" s="1"/>
  <c r="AZ222" i="3" a="1"/>
  <c r="BA222" i="3" a="1"/>
  <c r="BC222" i="3" a="1"/>
  <c r="BD222" i="3" a="1"/>
  <c r="BX222" i="3" a="1"/>
  <c r="D246" i="3"/>
  <c r="BF53" i="3"/>
  <c r="CS53" i="3"/>
  <c r="AR53" i="3"/>
  <c r="AS53" i="3" s="1"/>
  <c r="BK53" i="3"/>
  <c r="CT53" i="3"/>
  <c r="BH53" i="3"/>
  <c r="AF77" i="3"/>
  <c r="AG77" i="3" s="1"/>
  <c r="AH77" i="3" s="1"/>
  <c r="AQ197" i="3"/>
  <c r="AW197" i="3"/>
  <c r="CQ197" i="3"/>
  <c r="CH197" i="3"/>
  <c r="R197" i="3"/>
  <c r="AB197" i="3" s="1"/>
  <c r="F221" i="3" a="1"/>
  <c r="H221" i="3" a="1"/>
  <c r="I221" i="3" a="1"/>
  <c r="J221" i="3" s="1"/>
  <c r="T221" i="3" s="1"/>
  <c r="L221" i="3" a="1"/>
  <c r="M221" i="3" a="1"/>
  <c r="O221" i="3" s="1"/>
  <c r="P221" i="3" a="1"/>
  <c r="Q221" i="3" s="1"/>
  <c r="V221" i="3" s="1"/>
  <c r="AZ221" i="3" a="1"/>
  <c r="BA221" i="3" a="1"/>
  <c r="BC221" i="3" a="1"/>
  <c r="BD221" i="3" a="1"/>
  <c r="BX221" i="3" a="1"/>
  <c r="D245" i="3"/>
  <c r="CI197" i="3"/>
  <c r="CP197" i="3"/>
  <c r="Y173" i="3"/>
  <c r="U173" i="3"/>
  <c r="W173" i="3" s="1"/>
  <c r="BP29" i="3"/>
  <c r="BT29" i="3" s="1"/>
  <c r="BL29" i="3"/>
  <c r="BN29" i="3" s="1"/>
  <c r="BF52" i="3"/>
  <c r="CS52" i="3"/>
  <c r="AR52" i="3"/>
  <c r="AS52" i="3" s="1"/>
  <c r="BK52" i="3"/>
  <c r="CT52" i="3"/>
  <c r="BH52" i="3"/>
  <c r="AF76" i="3"/>
  <c r="AG76" i="3" s="1"/>
  <c r="AH76" i="3" s="1"/>
  <c r="CB100" i="3"/>
  <c r="AI100" i="3"/>
  <c r="BQ100" i="3"/>
  <c r="Y172" i="3"/>
  <c r="U172" i="3"/>
  <c r="W172" i="3" s="1"/>
  <c r="AQ196" i="3"/>
  <c r="AW196" i="3"/>
  <c r="CH196" i="3"/>
  <c r="CQ196" i="3"/>
  <c r="CI196" i="3"/>
  <c r="CP196" i="3"/>
  <c r="R196" i="3"/>
  <c r="AB196" i="3" s="1"/>
  <c r="F220" i="3" a="1"/>
  <c r="H220" i="3" a="1"/>
  <c r="I220" i="3" a="1"/>
  <c r="J220" i="3" s="1"/>
  <c r="T220" i="3" s="1"/>
  <c r="L220" i="3" a="1"/>
  <c r="M220" i="3" a="1"/>
  <c r="O220" i="3" s="1"/>
  <c r="P220" i="3" a="1"/>
  <c r="Q220" i="3" s="1"/>
  <c r="V220" i="3" s="1"/>
  <c r="AZ220" i="3" a="1"/>
  <c r="BA220" i="3" a="1"/>
  <c r="BC220" i="3" a="1"/>
  <c r="BD220" i="3" a="1"/>
  <c r="BX220" i="3" a="1"/>
  <c r="D244" i="3"/>
  <c r="BP28" i="3"/>
  <c r="BT28" i="3" s="1"/>
  <c r="BL28" i="3"/>
  <c r="BN28" i="3" s="1"/>
  <c r="BP27" i="3"/>
  <c r="BT27" i="3" s="1"/>
  <c r="BL27" i="3"/>
  <c r="BN27" i="3" s="1"/>
  <c r="BF51" i="3"/>
  <c r="CS51" i="3"/>
  <c r="AR51" i="3"/>
  <c r="AS51" i="3" s="1"/>
  <c r="BK51" i="3"/>
  <c r="CT51" i="3"/>
  <c r="BH51" i="3"/>
  <c r="AF75" i="3"/>
  <c r="AG75" i="3" s="1"/>
  <c r="AH75" i="3" s="1"/>
  <c r="CB99" i="3"/>
  <c r="AI99" i="3"/>
  <c r="BQ99" i="3"/>
  <c r="Y171" i="3"/>
  <c r="U171" i="3"/>
  <c r="W171" i="3" s="1"/>
  <c r="AQ195" i="3"/>
  <c r="AW195" i="3"/>
  <c r="CH195" i="3"/>
  <c r="CQ195" i="3"/>
  <c r="R195" i="3"/>
  <c r="AB195" i="3" s="1"/>
  <c r="F219" i="3" a="1"/>
  <c r="H219" i="3" a="1"/>
  <c r="I219" i="3" a="1"/>
  <c r="J219" i="3" s="1"/>
  <c r="T219" i="3" s="1"/>
  <c r="L219" i="3" a="1"/>
  <c r="M219" i="3" a="1"/>
  <c r="O219" i="3" s="1"/>
  <c r="P219" i="3" a="1"/>
  <c r="Q219" i="3" s="1"/>
  <c r="V219" i="3" s="1"/>
  <c r="AZ219" i="3" a="1"/>
  <c r="BA219" i="3" a="1"/>
  <c r="BC219" i="3" a="1"/>
  <c r="BD219" i="3" a="1"/>
  <c r="BX219" i="3" a="1"/>
  <c r="D243" i="3"/>
  <c r="CP195" i="3"/>
  <c r="CI195" i="3"/>
  <c r="BL26" i="3"/>
  <c r="BN26" i="3" s="1"/>
  <c r="BP26" i="3"/>
  <c r="BT26" i="3" s="1"/>
  <c r="BF50" i="3"/>
  <c r="CS50" i="3"/>
  <c r="AR50" i="3"/>
  <c r="AS50" i="3" s="1"/>
  <c r="BK50" i="3"/>
  <c r="CT50" i="3"/>
  <c r="BH50" i="3"/>
  <c r="AF74" i="3"/>
  <c r="AG74" i="3" s="1"/>
  <c r="AH74" i="3" s="1"/>
  <c r="CB98" i="3"/>
  <c r="AI98" i="3"/>
  <c r="BQ98" i="3"/>
  <c r="R194" i="3"/>
  <c r="AB194" i="3" s="1"/>
  <c r="AQ194" i="3"/>
  <c r="AW194" i="3"/>
  <c r="CQ194" i="3"/>
  <c r="CH194" i="3"/>
  <c r="CI194" i="3"/>
  <c r="CP194" i="3"/>
  <c r="F218" i="3" a="1"/>
  <c r="H218" i="3" a="1"/>
  <c r="I218" i="3" a="1"/>
  <c r="J218" i="3" s="1"/>
  <c r="T218" i="3" s="1"/>
  <c r="L218" i="3" a="1"/>
  <c r="M218" i="3" a="1"/>
  <c r="O218" i="3" s="1"/>
  <c r="P218" i="3" a="1"/>
  <c r="Q218" i="3" s="1"/>
  <c r="V218" i="3" s="1"/>
  <c r="AZ218" i="3" a="1"/>
  <c r="BA218" i="3" a="1"/>
  <c r="BC218" i="3" a="1"/>
  <c r="BD218" i="3" a="1"/>
  <c r="BX218" i="3" a="1"/>
  <c r="D242" i="3"/>
  <c r="Y170" i="3"/>
  <c r="U170" i="3"/>
  <c r="W170" i="3" s="1"/>
  <c r="BP25" i="3"/>
  <c r="BT25" i="3" s="1"/>
  <c r="BL25" i="3"/>
  <c r="BN25" i="3" s="1"/>
  <c r="BF49" i="3"/>
  <c r="CS49" i="3"/>
  <c r="AR49" i="3"/>
  <c r="AS49" i="3" s="1"/>
  <c r="BK49" i="3"/>
  <c r="CT49" i="3"/>
  <c r="BH49" i="3"/>
  <c r="AF73" i="3"/>
  <c r="AG73" i="3" s="1"/>
  <c r="AH73" i="3" s="1"/>
  <c r="CB97" i="3"/>
  <c r="AI97" i="3"/>
  <c r="BQ97" i="3"/>
  <c r="F217" i="3" a="1"/>
  <c r="H217" i="3" a="1"/>
  <c r="I217" i="3" a="1"/>
  <c r="J217" i="3" s="1"/>
  <c r="T217" i="3" s="1"/>
  <c r="L217" i="3" a="1"/>
  <c r="M217" i="3" a="1"/>
  <c r="O217" i="3" s="1"/>
  <c r="P217" i="3" a="1"/>
  <c r="Q217" i="3" s="1"/>
  <c r="V217" i="3" s="1"/>
  <c r="AZ217" i="3" a="1"/>
  <c r="BA217" i="3" a="1"/>
  <c r="BC217" i="3" a="1"/>
  <c r="BD217" i="3" a="1"/>
  <c r="BX217" i="3" a="1"/>
  <c r="D241" i="3"/>
  <c r="R193" i="3"/>
  <c r="AB193" i="3" s="1"/>
  <c r="AQ193" i="3"/>
  <c r="AW193" i="3"/>
  <c r="CQ193" i="3"/>
  <c r="CH193" i="3"/>
  <c r="CI193" i="3"/>
  <c r="CP193" i="3"/>
  <c r="Y169" i="3"/>
  <c r="U169" i="3"/>
  <c r="W169" i="3" s="1"/>
  <c r="CS48" i="3"/>
  <c r="AR48" i="3"/>
  <c r="AS48" i="3" s="1"/>
  <c r="BK48" i="3"/>
  <c r="BF48" i="3"/>
  <c r="CT48" i="3"/>
  <c r="BH48" i="3"/>
  <c r="AF72" i="3"/>
  <c r="AG72" i="3" s="1"/>
  <c r="AH72" i="3" s="1"/>
  <c r="CB96" i="3"/>
  <c r="AI96" i="3"/>
  <c r="BQ96" i="3"/>
  <c r="Y168" i="3"/>
  <c r="U168" i="3"/>
  <c r="W168" i="3" s="1"/>
  <c r="AQ192" i="3"/>
  <c r="AW192" i="3"/>
  <c r="CH192" i="3"/>
  <c r="CQ192" i="3"/>
  <c r="R192" i="3"/>
  <c r="AB192" i="3" s="1"/>
  <c r="F216" i="3" a="1"/>
  <c r="H216" i="3" a="1"/>
  <c r="I216" i="3" a="1"/>
  <c r="J216" i="3" s="1"/>
  <c r="T216" i="3" s="1"/>
  <c r="L216" i="3" a="1"/>
  <c r="M216" i="3" a="1"/>
  <c r="O216" i="3" s="1"/>
  <c r="P216" i="3" a="1"/>
  <c r="Q216" i="3" s="1"/>
  <c r="V216" i="3" s="1"/>
  <c r="AZ216" i="3" a="1"/>
  <c r="BA216" i="3" a="1"/>
  <c r="BC216" i="3" a="1"/>
  <c r="BD216" i="3" a="1"/>
  <c r="BX216" i="3" a="1"/>
  <c r="D240" i="3"/>
  <c r="CI192" i="3"/>
  <c r="CP192" i="3"/>
  <c r="BP24" i="3"/>
  <c r="BT24" i="3" s="1"/>
  <c r="BL24" i="3"/>
  <c r="BN24" i="3" s="1"/>
  <c r="AF21" i="3"/>
  <c r="AG21" i="3" s="1"/>
  <c r="BX102" i="3" a="1"/>
  <c r="AB189" i="4"/>
  <c r="AA189" i="4" s="1"/>
  <c r="H190" i="4"/>
  <c r="B288" i="4"/>
  <c r="B289" i="4" s="1"/>
  <c r="B290" i="4" s="1"/>
  <c r="B291" i="4" s="1"/>
  <c r="B292" i="4" s="1"/>
  <c r="B293" i="4"/>
  <c r="B294" i="4" s="1"/>
  <c r="B295" i="4" s="1"/>
  <c r="B296" i="4" s="1"/>
  <c r="B297" i="4" s="1"/>
  <c r="B298" i="4" s="1"/>
  <c r="B299" i="4" s="1"/>
  <c r="B300" i="4" s="1"/>
  <c r="B301" i="4" s="1"/>
  <c r="B302" i="4" s="1"/>
  <c r="B303" i="4" s="1"/>
  <c r="B304" i="4" s="1"/>
  <c r="B305" i="4" s="1"/>
  <c r="B306" i="4" s="1"/>
  <c r="B307" i="4" s="1"/>
  <c r="B308" i="4" s="1"/>
  <c r="B309" i="4" s="1"/>
  <c r="B310" i="4" s="1"/>
  <c r="B311" i="4" s="1"/>
  <c r="B312" i="4" s="1"/>
  <c r="B313" i="4" s="1"/>
  <c r="B314" i="4" s="1"/>
  <c r="B315" i="4" s="1"/>
  <c r="B316" i="4" s="1"/>
  <c r="B317" i="4" s="1"/>
  <c r="B318" i="4" s="1"/>
  <c r="B319" i="4" s="1"/>
  <c r="B320" i="4" s="1"/>
  <c r="B236" i="3" a="1"/>
  <c r="CE236" i="3" a="1"/>
  <c r="M321" i="4"/>
  <c r="C24" i="19"/>
  <c r="C25" i="13"/>
  <c r="C51" i="13"/>
  <c r="C79" i="13"/>
  <c r="N14" i="4"/>
  <c r="B26" i="13"/>
  <c r="B52" i="13"/>
  <c r="B80" i="13"/>
  <c r="O13" i="4"/>
  <c r="B25" i="19"/>
  <c r="CS22" i="3"/>
  <c r="AR22" i="3"/>
  <c r="AS22" i="3" s="1"/>
  <c r="BK22" i="3"/>
  <c r="BF22" i="3"/>
  <c r="CT22" i="3"/>
  <c r="BH22" i="3"/>
  <c r="CS23" i="3"/>
  <c r="AR23" i="3"/>
  <c r="AS23" i="3" s="1"/>
  <c r="BK23" i="3"/>
  <c r="BF23" i="3"/>
  <c r="CT23" i="3"/>
  <c r="BH23" i="3"/>
  <c r="CS46" i="3"/>
  <c r="AR46" i="3"/>
  <c r="AS46" i="3" s="1"/>
  <c r="BK46" i="3"/>
  <c r="BF46" i="3"/>
  <c r="CT46" i="3"/>
  <c r="BH46" i="3"/>
  <c r="AF71" i="3"/>
  <c r="AG71" i="3" s="1"/>
  <c r="AH71" i="3" s="1"/>
  <c r="AD70" i="3"/>
  <c r="CB95" i="3"/>
  <c r="AI95" i="3"/>
  <c r="BQ95" i="3"/>
  <c r="BG47" i="3"/>
  <c r="AK47" i="3"/>
  <c r="AJ47" i="3"/>
  <c r="AL47" i="3"/>
  <c r="CB45" i="3"/>
  <c r="AI45" i="3"/>
  <c r="BQ45" i="3"/>
  <c r="Y167" i="3"/>
  <c r="U167" i="3"/>
  <c r="W167" i="3" s="1"/>
  <c r="Y166" i="3"/>
  <c r="U166" i="3"/>
  <c r="W166" i="3" s="1"/>
  <c r="Y141" i="3"/>
  <c r="U141" i="3"/>
  <c r="W141" i="3" s="1"/>
  <c r="AA139" i="3"/>
  <c r="AE139" i="3" s="1"/>
  <c r="BR139" i="3"/>
  <c r="CR139" i="3"/>
  <c r="CQ191" i="3"/>
  <c r="CH191" i="3"/>
  <c r="AW191" i="3"/>
  <c r="AQ191" i="3"/>
  <c r="R191" i="3"/>
  <c r="AB191" i="3" s="1"/>
  <c r="CP191" i="3"/>
  <c r="CI191" i="3"/>
  <c r="R190" i="3"/>
  <c r="AB190" i="3" s="1"/>
  <c r="CI190" i="3"/>
  <c r="CP190" i="3"/>
  <c r="CQ190" i="3"/>
  <c r="CH190" i="3"/>
  <c r="AW190" i="3"/>
  <c r="AQ190" i="3"/>
  <c r="CQ189" i="3"/>
  <c r="CH189" i="3"/>
  <c r="AW189" i="3"/>
  <c r="AQ189" i="3"/>
  <c r="CP189" i="3"/>
  <c r="CI189" i="3"/>
  <c r="T165" i="3"/>
  <c r="R165" i="3"/>
  <c r="AB165" i="3" s="1"/>
  <c r="V165" i="3"/>
  <c r="H215" i="3" a="1"/>
  <c r="I215" i="3" a="1"/>
  <c r="J215" i="3" s="1"/>
  <c r="T215" i="3" s="1"/>
  <c r="L215" i="3" a="1"/>
  <c r="M215" i="3" a="1"/>
  <c r="O215" i="3" s="1"/>
  <c r="P215" i="3" a="1"/>
  <c r="Q215" i="3" s="1"/>
  <c r="V215" i="3" s="1"/>
  <c r="AZ215" i="3" a="1"/>
  <c r="BA215" i="3" a="1"/>
  <c r="BC215" i="3" a="1"/>
  <c r="BD215" i="3" a="1"/>
  <c r="BX215" i="3" a="1"/>
  <c r="H214" i="3" a="1"/>
  <c r="I214" i="3" a="1"/>
  <c r="J214" i="3" s="1"/>
  <c r="T214" i="3" s="1"/>
  <c r="L214" i="3" a="1"/>
  <c r="M214" i="3" a="1"/>
  <c r="O214" i="3" s="1"/>
  <c r="P214" i="3" a="1"/>
  <c r="Q214" i="3" s="1"/>
  <c r="V214" i="3" s="1"/>
  <c r="AZ214" i="3" a="1"/>
  <c r="BA214" i="3" a="1"/>
  <c r="BC214" i="3" a="1"/>
  <c r="BD214" i="3" a="1"/>
  <c r="BX214" i="3" a="1"/>
  <c r="H213" i="3" a="1"/>
  <c r="I213" i="3" a="1"/>
  <c r="L213" i="3" a="1"/>
  <c r="M213" i="3" a="1"/>
  <c r="P213" i="3" a="1"/>
  <c r="AZ213" i="3" a="1"/>
  <c r="BA213" i="3" a="1"/>
  <c r="BC213" i="3" a="1"/>
  <c r="BD213" i="3" a="1"/>
  <c r="BX213" i="3" a="1"/>
  <c r="K30" i="24"/>
  <c r="F30" i="24"/>
  <c r="AC94" i="3"/>
  <c r="AD94" i="3" s="1"/>
  <c r="Q189" i="3"/>
  <c r="J189" i="3"/>
  <c r="O189" i="3"/>
  <c r="Z182" i="3" l="1"/>
  <c r="AC182" i="3" s="1"/>
  <c r="AD182" i="3" s="1"/>
  <c r="CB102" i="3"/>
  <c r="CR157" i="3"/>
  <c r="BR157" i="3"/>
  <c r="AA157" i="3"/>
  <c r="AE157" i="3" s="1"/>
  <c r="AF157" i="3" s="1"/>
  <c r="AG157" i="3" s="1"/>
  <c r="AH157" i="3" s="1"/>
  <c r="Z181" i="3"/>
  <c r="AC181" i="3" s="1"/>
  <c r="AD181" i="3" s="1"/>
  <c r="Z175" i="3"/>
  <c r="AC175" i="3" s="1"/>
  <c r="AD175" i="3" s="1"/>
  <c r="CR159" i="3"/>
  <c r="BR159" i="3"/>
  <c r="AA159" i="3"/>
  <c r="AE159" i="3" s="1"/>
  <c r="AF159" i="3" s="1"/>
  <c r="AG159" i="3" s="1"/>
  <c r="AH159" i="3" s="1"/>
  <c r="Z177" i="3"/>
  <c r="AC177" i="3" s="1"/>
  <c r="AD177" i="3" s="1"/>
  <c r="CR152" i="3"/>
  <c r="BR152" i="3"/>
  <c r="AA152" i="3"/>
  <c r="AE152" i="3" s="1"/>
  <c r="AF152" i="3" s="1"/>
  <c r="AG152" i="3" s="1"/>
  <c r="AH152" i="3" s="1"/>
  <c r="CR144" i="3"/>
  <c r="BR144" i="3"/>
  <c r="AA144" i="3"/>
  <c r="AE144" i="3" s="1"/>
  <c r="Z167" i="3"/>
  <c r="AC167" i="3" s="1"/>
  <c r="AD167" i="3" s="1"/>
  <c r="CR145" i="3"/>
  <c r="BR145" i="3"/>
  <c r="AA145" i="3"/>
  <c r="AE145" i="3" s="1"/>
  <c r="AF145" i="3" s="1"/>
  <c r="AG145" i="3" s="1"/>
  <c r="AH145" i="3" s="1"/>
  <c r="CR149" i="3"/>
  <c r="BR149" i="3"/>
  <c r="AA149" i="3"/>
  <c r="AE149" i="3" s="1"/>
  <c r="AF149" i="3" s="1"/>
  <c r="AG149" i="3" s="1"/>
  <c r="AH149" i="3" s="1"/>
  <c r="CR158" i="3"/>
  <c r="BR158" i="3"/>
  <c r="AA158" i="3"/>
  <c r="AE158" i="3" s="1"/>
  <c r="AF158" i="3" s="1"/>
  <c r="AG158" i="3" s="1"/>
  <c r="AH158" i="3" s="1"/>
  <c r="BQ101" i="3"/>
  <c r="AI101" i="3"/>
  <c r="CB101" i="3"/>
  <c r="Z184" i="3"/>
  <c r="AC184" i="3" s="1"/>
  <c r="AD184" i="3" s="1"/>
  <c r="CR143" i="3"/>
  <c r="BR143" i="3"/>
  <c r="AA143" i="3"/>
  <c r="AE143" i="3" s="1"/>
  <c r="AF143" i="3" s="1"/>
  <c r="AG143" i="3" s="1"/>
  <c r="AH143" i="3" s="1"/>
  <c r="Z185" i="3"/>
  <c r="AC185" i="3" s="1"/>
  <c r="AD185" i="3" s="1"/>
  <c r="AI104" i="3"/>
  <c r="BQ104" i="3"/>
  <c r="CR148" i="3"/>
  <c r="BR148" i="3"/>
  <c r="AA148" i="3"/>
  <c r="AE148" i="3" s="1"/>
  <c r="AF148" i="3" s="1"/>
  <c r="AG148" i="3" s="1"/>
  <c r="AH148" i="3" s="1"/>
  <c r="CR150" i="3"/>
  <c r="BR150" i="3"/>
  <c r="AA150" i="3"/>
  <c r="AE150" i="3" s="1"/>
  <c r="AF150" i="3" s="1"/>
  <c r="AG150" i="3" s="1"/>
  <c r="AH150" i="3" s="1"/>
  <c r="Z141" i="3"/>
  <c r="AC141" i="3" s="1"/>
  <c r="AD141" i="3" s="1"/>
  <c r="CR163" i="3"/>
  <c r="BR163" i="3"/>
  <c r="AA163" i="3"/>
  <c r="AE163" i="3" s="1"/>
  <c r="AF163" i="3" s="1"/>
  <c r="AG163" i="3" s="1"/>
  <c r="AH163" i="3" s="1"/>
  <c r="CR155" i="3"/>
  <c r="BR155" i="3"/>
  <c r="AA155" i="3"/>
  <c r="AE155" i="3" s="1"/>
  <c r="AF155" i="3" s="1"/>
  <c r="AG155" i="3" s="1"/>
  <c r="AH155" i="3" s="1"/>
  <c r="AI108" i="3"/>
  <c r="BQ108" i="3"/>
  <c r="Z166" i="3"/>
  <c r="AC166" i="3" s="1"/>
  <c r="AD166" i="3" s="1"/>
  <c r="Z178" i="3"/>
  <c r="AC178" i="3" s="1"/>
  <c r="AD178" i="3" s="1"/>
  <c r="CR147" i="3"/>
  <c r="BR147" i="3"/>
  <c r="AA147" i="3"/>
  <c r="AE147" i="3" s="1"/>
  <c r="AF147" i="3" s="1"/>
  <c r="AG147" i="3" s="1"/>
  <c r="AH147" i="3" s="1"/>
  <c r="CR146" i="3"/>
  <c r="BR146" i="3"/>
  <c r="AA146" i="3"/>
  <c r="AE146" i="3" s="1"/>
  <c r="AF136" i="3"/>
  <c r="AG136" i="3" s="1"/>
  <c r="AH136" i="3" s="1"/>
  <c r="Z174" i="3"/>
  <c r="AC174" i="3" s="1"/>
  <c r="AD174" i="3" s="1"/>
  <c r="Z173" i="3"/>
  <c r="AC173" i="3" s="1"/>
  <c r="AD173" i="3" s="1"/>
  <c r="Z171" i="3"/>
  <c r="AC171" i="3" s="1"/>
  <c r="AD171" i="3" s="1"/>
  <c r="Z168" i="3"/>
  <c r="AC168" i="3" s="1"/>
  <c r="AD168" i="3" s="1"/>
  <c r="CR160" i="3"/>
  <c r="BR160" i="3"/>
  <c r="AA160" i="3"/>
  <c r="AE160" i="3" s="1"/>
  <c r="AF160" i="3" s="1"/>
  <c r="AG160" i="3" s="1"/>
  <c r="AH160" i="3" s="1"/>
  <c r="CS62" i="3"/>
  <c r="AR62" i="3"/>
  <c r="AS62" i="3" s="1"/>
  <c r="BK62" i="3"/>
  <c r="BL62" i="3" s="1"/>
  <c r="CT62" i="3"/>
  <c r="BH62" i="3"/>
  <c r="BP62" i="3" s="1"/>
  <c r="BT62" i="3" s="1"/>
  <c r="CR162" i="3"/>
  <c r="AA162" i="3"/>
  <c r="AE162" i="3" s="1"/>
  <c r="AF162" i="3" s="1"/>
  <c r="AG162" i="3" s="1"/>
  <c r="AH162" i="3" s="1"/>
  <c r="BR162" i="3"/>
  <c r="AF135" i="3"/>
  <c r="AG135" i="3" s="1"/>
  <c r="AH135" i="3" s="1"/>
  <c r="Z179" i="3"/>
  <c r="AC179" i="3" s="1"/>
  <c r="AD179" i="3" s="1"/>
  <c r="BR179" i="3" s="1"/>
  <c r="AI116" i="3"/>
  <c r="BQ116" i="3"/>
  <c r="CR164" i="3"/>
  <c r="BR164" i="3"/>
  <c r="AA164" i="3"/>
  <c r="AE164" i="3" s="1"/>
  <c r="AF164" i="3" s="1"/>
  <c r="AG164" i="3" s="1"/>
  <c r="AH164" i="3" s="1"/>
  <c r="Z180" i="3"/>
  <c r="AC180" i="3" s="1"/>
  <c r="AD180" i="3" s="1"/>
  <c r="Z186" i="3"/>
  <c r="AC186" i="3" s="1"/>
  <c r="AD186" i="3" s="1"/>
  <c r="Z187" i="3"/>
  <c r="AC187" i="3" s="1"/>
  <c r="AD187" i="3" s="1"/>
  <c r="AF122" i="3"/>
  <c r="AG122" i="3" s="1"/>
  <c r="AH122" i="3" s="1"/>
  <c r="Z172" i="3"/>
  <c r="AC172" i="3" s="1"/>
  <c r="AD172" i="3" s="1"/>
  <c r="Z176" i="3"/>
  <c r="AC176" i="3" s="1"/>
  <c r="AD176" i="3" s="1"/>
  <c r="AI102" i="3"/>
  <c r="BQ102" i="3"/>
  <c r="Z169" i="3"/>
  <c r="AC169" i="3" s="1"/>
  <c r="AD169" i="3" s="1"/>
  <c r="CR153" i="3"/>
  <c r="BR153" i="3"/>
  <c r="AA153" i="3"/>
  <c r="AE153" i="3" s="1"/>
  <c r="AI103" i="3"/>
  <c r="BQ103" i="3"/>
  <c r="Z170" i="3"/>
  <c r="AC170" i="3" s="1"/>
  <c r="AD170" i="3" s="1"/>
  <c r="CR161" i="3"/>
  <c r="AA161" i="3"/>
  <c r="AE161" i="3" s="1"/>
  <c r="AF161" i="3" s="1"/>
  <c r="AG161" i="3" s="1"/>
  <c r="AH161" i="3" s="1"/>
  <c r="BR161" i="3"/>
  <c r="AF129" i="3"/>
  <c r="AG129" i="3" s="1"/>
  <c r="AH129" i="3" s="1"/>
  <c r="AF137" i="3"/>
  <c r="AG137" i="3" s="1"/>
  <c r="AH137" i="3" s="1"/>
  <c r="CR142" i="3"/>
  <c r="BR142" i="3"/>
  <c r="AA142" i="3"/>
  <c r="AE142" i="3" s="1"/>
  <c r="Z188" i="3"/>
  <c r="AC188" i="3" s="1"/>
  <c r="AD188" i="3" s="1"/>
  <c r="Z183" i="3"/>
  <c r="AC183" i="3" s="1"/>
  <c r="AD183" i="3" s="1"/>
  <c r="CD332" i="3"/>
  <c r="C356" i="3"/>
  <c r="G308" i="3" a="1"/>
  <c r="BB308" i="3" a="1"/>
  <c r="E332" i="3"/>
  <c r="CC332" i="3"/>
  <c r="A356" i="3"/>
  <c r="CD307" i="3"/>
  <c r="C331" i="3"/>
  <c r="G283" i="3" a="1"/>
  <c r="BB283" i="3" a="1"/>
  <c r="CE283" i="3" a="1"/>
  <c r="B283" i="3" a="1"/>
  <c r="E307" i="3"/>
  <c r="CC307" i="3"/>
  <c r="A331" i="3"/>
  <c r="CD306" i="3"/>
  <c r="C330" i="3"/>
  <c r="G282" i="3" a="1"/>
  <c r="BB282" i="3" a="1"/>
  <c r="CE282" i="3" a="1"/>
  <c r="B282" i="3" a="1"/>
  <c r="E306" i="3"/>
  <c r="CC306" i="3"/>
  <c r="A330" i="3"/>
  <c r="CD305" i="3"/>
  <c r="C329" i="3"/>
  <c r="G281" i="3" a="1"/>
  <c r="BB281" i="3" a="1"/>
  <c r="CE281" i="3" a="1"/>
  <c r="B281" i="3" a="1"/>
  <c r="E305" i="3"/>
  <c r="CC305" i="3"/>
  <c r="A329" i="3"/>
  <c r="CD304" i="3"/>
  <c r="C328" i="3"/>
  <c r="G280" i="3" a="1"/>
  <c r="BB280" i="3" a="1"/>
  <c r="CE280" i="3" a="1"/>
  <c r="B280" i="3" a="1"/>
  <c r="E304" i="3"/>
  <c r="CC304" i="3"/>
  <c r="A328" i="3"/>
  <c r="CD303" i="3"/>
  <c r="C327" i="3"/>
  <c r="G279" i="3" a="1"/>
  <c r="BB279" i="3" a="1"/>
  <c r="CE279" i="3" a="1"/>
  <c r="B279" i="3" a="1"/>
  <c r="E303" i="3"/>
  <c r="CC303" i="3"/>
  <c r="A327" i="3"/>
  <c r="CD302" i="3"/>
  <c r="C326" i="3"/>
  <c r="G278" i="3" a="1"/>
  <c r="BB278" i="3" a="1"/>
  <c r="CE278" i="3" a="1"/>
  <c r="B278" i="3" a="1"/>
  <c r="E302" i="3"/>
  <c r="CC302" i="3"/>
  <c r="A326" i="3"/>
  <c r="CD301" i="3"/>
  <c r="C325" i="3"/>
  <c r="G277" i="3" a="1"/>
  <c r="BB277" i="3" a="1"/>
  <c r="CE277" i="3" a="1"/>
  <c r="B277" i="3" a="1"/>
  <c r="E301" i="3"/>
  <c r="CC301" i="3"/>
  <c r="A325" i="3"/>
  <c r="CD300" i="3"/>
  <c r="C324" i="3"/>
  <c r="G276" i="3" a="1"/>
  <c r="BB276" i="3" a="1"/>
  <c r="CE276" i="3" a="1"/>
  <c r="B276" i="3" a="1"/>
  <c r="A324" i="3"/>
  <c r="E300" i="3"/>
  <c r="CC300" i="3"/>
  <c r="CD299" i="3"/>
  <c r="C323" i="3"/>
  <c r="G275" i="3" a="1"/>
  <c r="BB275" i="3" a="1"/>
  <c r="CE275" i="3" a="1"/>
  <c r="B275" i="3" a="1"/>
  <c r="E299" i="3"/>
  <c r="CC299" i="3"/>
  <c r="A323" i="3"/>
  <c r="CD298" i="3"/>
  <c r="C322" i="3"/>
  <c r="G274" i="3" a="1"/>
  <c r="BB274" i="3" a="1"/>
  <c r="CE274" i="3" a="1"/>
  <c r="B274" i="3" a="1"/>
  <c r="E298" i="3"/>
  <c r="A322" i="3"/>
  <c r="CC298" i="3"/>
  <c r="CD297" i="3"/>
  <c r="C321" i="3"/>
  <c r="G273" i="3" a="1"/>
  <c r="BB273" i="3" a="1"/>
  <c r="CE273" i="3" a="1"/>
  <c r="B273" i="3" a="1"/>
  <c r="E297" i="3"/>
  <c r="CC297" i="3"/>
  <c r="A321" i="3"/>
  <c r="CD296" i="3"/>
  <c r="C320" i="3"/>
  <c r="G272" i="3" a="1"/>
  <c r="BB272" i="3" a="1"/>
  <c r="CE272" i="3" a="1"/>
  <c r="B272" i="3" a="1"/>
  <c r="E296" i="3"/>
  <c r="CC296" i="3"/>
  <c r="A320" i="3"/>
  <c r="CD295" i="3"/>
  <c r="C319" i="3"/>
  <c r="G271" i="3" a="1"/>
  <c r="BB271" i="3" a="1"/>
  <c r="CE271" i="3" a="1"/>
  <c r="B271" i="3" a="1"/>
  <c r="E295" i="3"/>
  <c r="CC295" i="3"/>
  <c r="A319" i="3"/>
  <c r="CD294" i="3"/>
  <c r="C318" i="3"/>
  <c r="G270" i="3" a="1"/>
  <c r="BB270" i="3" a="1"/>
  <c r="CE270" i="3" a="1"/>
  <c r="B270" i="3" a="1"/>
  <c r="E294" i="3"/>
  <c r="CC294" i="3"/>
  <c r="A318" i="3"/>
  <c r="CD269" i="3"/>
  <c r="C293" i="3"/>
  <c r="B245" i="3" a="1"/>
  <c r="BB245" i="3" a="1"/>
  <c r="CE245" i="3" a="1"/>
  <c r="G245" i="3" a="1"/>
  <c r="E269" i="3"/>
  <c r="CC269" i="3"/>
  <c r="A293" i="3"/>
  <c r="CD268" i="3"/>
  <c r="C292" i="3"/>
  <c r="B244" i="3" a="1"/>
  <c r="BB244" i="3" a="1"/>
  <c r="CE244" i="3" a="1"/>
  <c r="G244" i="3" a="1"/>
  <c r="E268" i="3"/>
  <c r="CC268" i="3"/>
  <c r="A292" i="3"/>
  <c r="CD267" i="3"/>
  <c r="C291" i="3"/>
  <c r="B243" i="3" a="1"/>
  <c r="BB243" i="3" a="1"/>
  <c r="CE243" i="3" a="1"/>
  <c r="G243" i="3" a="1"/>
  <c r="E267" i="3"/>
  <c r="CC267" i="3"/>
  <c r="A291" i="3"/>
  <c r="CD266" i="3"/>
  <c r="C290" i="3"/>
  <c r="BB242" i="3" a="1"/>
  <c r="CE242" i="3" a="1"/>
  <c r="G242" i="3" a="1"/>
  <c r="B242" i="3" a="1"/>
  <c r="E266" i="3"/>
  <c r="CC266" i="3"/>
  <c r="A290" i="3"/>
  <c r="CD265" i="3"/>
  <c r="C289" i="3"/>
  <c r="G241" i="3" a="1"/>
  <c r="BB241" i="3" a="1"/>
  <c r="CE241" i="3" a="1"/>
  <c r="B241" i="3" a="1"/>
  <c r="E265" i="3"/>
  <c r="CC265" i="3"/>
  <c r="A289" i="3"/>
  <c r="CD264" i="3"/>
  <c r="C288" i="3"/>
  <c r="G240" i="3" a="1"/>
  <c r="BB240" i="3" a="1"/>
  <c r="CE240" i="3" a="1"/>
  <c r="B240" i="3" a="1"/>
  <c r="E264" i="3"/>
  <c r="CC264" i="3"/>
  <c r="A288" i="3"/>
  <c r="F263" i="3" a="1"/>
  <c r="D287" i="3"/>
  <c r="CD263" i="3"/>
  <c r="C287" i="3"/>
  <c r="G239" i="3" a="1"/>
  <c r="BB239" i="3" a="1"/>
  <c r="CE239" i="3" a="1"/>
  <c r="B239" i="3" a="1"/>
  <c r="E263" i="3"/>
  <c r="CC263" i="3"/>
  <c r="A287" i="3"/>
  <c r="F262" i="3" a="1"/>
  <c r="D286" i="3"/>
  <c r="CD262" i="3"/>
  <c r="C286" i="3"/>
  <c r="G238" i="3" a="1"/>
  <c r="BB238" i="3" a="1"/>
  <c r="CE238" i="3" a="1"/>
  <c r="B238" i="3" a="1"/>
  <c r="E262" i="3"/>
  <c r="CC262" i="3"/>
  <c r="A286" i="3"/>
  <c r="BF69" i="3"/>
  <c r="CS69" i="3"/>
  <c r="AR69" i="3"/>
  <c r="AS69" i="3" s="1"/>
  <c r="BK69" i="3"/>
  <c r="CT69" i="3"/>
  <c r="BH69" i="3"/>
  <c r="BF93" i="3"/>
  <c r="CS93" i="3"/>
  <c r="AR93" i="3"/>
  <c r="AS93" i="3" s="1"/>
  <c r="BK93" i="3"/>
  <c r="CT93" i="3"/>
  <c r="BH93" i="3"/>
  <c r="F261" i="3" a="1"/>
  <c r="D285" i="3"/>
  <c r="CD261" i="3"/>
  <c r="C285" i="3"/>
  <c r="G237" i="3" a="1"/>
  <c r="BB237" i="3" a="1"/>
  <c r="CE237" i="3" a="1"/>
  <c r="B237" i="3" a="1"/>
  <c r="E261" i="3"/>
  <c r="CC261" i="3"/>
  <c r="A285" i="3"/>
  <c r="BV44" i="3"/>
  <c r="BU44" i="3"/>
  <c r="BS44" i="3"/>
  <c r="BO44" i="3"/>
  <c r="BL68" i="3"/>
  <c r="BN68" i="3" s="1"/>
  <c r="BP68" i="3"/>
  <c r="BT68" i="3" s="1"/>
  <c r="CB92" i="3"/>
  <c r="AI92" i="3"/>
  <c r="BQ92" i="3"/>
  <c r="CB140" i="3"/>
  <c r="AI140" i="3"/>
  <c r="BQ140" i="3"/>
  <c r="Y212" i="3"/>
  <c r="U212" i="3"/>
  <c r="W212" i="3" s="1"/>
  <c r="AQ236" i="3"/>
  <c r="AW236" i="3"/>
  <c r="CH236" i="3"/>
  <c r="CQ236" i="3"/>
  <c r="CI236" i="3"/>
  <c r="CP236" i="3"/>
  <c r="R236" i="3"/>
  <c r="AB236" i="3" s="1"/>
  <c r="F260" i="3" a="1"/>
  <c r="H260" i="3" a="1"/>
  <c r="I260" i="3" a="1"/>
  <c r="J260" i="3" s="1"/>
  <c r="T260" i="3" s="1"/>
  <c r="L260" i="3" a="1"/>
  <c r="M260" i="3" a="1"/>
  <c r="O260" i="3" s="1"/>
  <c r="P260" i="3" a="1"/>
  <c r="Q260" i="3" s="1"/>
  <c r="V260" i="3" s="1"/>
  <c r="AZ260" i="3" a="1"/>
  <c r="BA260" i="3" a="1"/>
  <c r="BC260" i="3" a="1"/>
  <c r="BD260" i="3" a="1"/>
  <c r="BX260" i="3" a="1"/>
  <c r="D284" i="3"/>
  <c r="BL67" i="3"/>
  <c r="BN67" i="3" s="1"/>
  <c r="BP67" i="3"/>
  <c r="BT67" i="3" s="1"/>
  <c r="CB91" i="3"/>
  <c r="AI91" i="3"/>
  <c r="BQ91" i="3"/>
  <c r="AK115" i="3"/>
  <c r="AJ115" i="3"/>
  <c r="BG115" i="3"/>
  <c r="AL115" i="3"/>
  <c r="Y211" i="3"/>
  <c r="U211" i="3"/>
  <c r="W211" i="3" s="1"/>
  <c r="AQ235" i="3"/>
  <c r="AW235" i="3"/>
  <c r="CH235" i="3"/>
  <c r="CQ235" i="3"/>
  <c r="CI235" i="3"/>
  <c r="CP235" i="3"/>
  <c r="R235" i="3"/>
  <c r="AB235" i="3" s="1"/>
  <c r="F259" i="3" a="1"/>
  <c r="H259" i="3" a="1"/>
  <c r="I259" i="3" a="1"/>
  <c r="J259" i="3" s="1"/>
  <c r="T259" i="3" s="1"/>
  <c r="L259" i="3" a="1"/>
  <c r="M259" i="3" a="1"/>
  <c r="O259" i="3" s="1"/>
  <c r="P259" i="3" a="1"/>
  <c r="Q259" i="3" s="1"/>
  <c r="V259" i="3" s="1"/>
  <c r="AZ259" i="3" a="1"/>
  <c r="BA259" i="3" a="1"/>
  <c r="BC259" i="3" a="1"/>
  <c r="BD259" i="3" a="1"/>
  <c r="BX259" i="3" a="1"/>
  <c r="D283" i="3"/>
  <c r="BV43" i="3"/>
  <c r="BU43" i="3"/>
  <c r="BS43" i="3"/>
  <c r="BO43" i="3"/>
  <c r="BL66" i="3"/>
  <c r="BN66" i="3" s="1"/>
  <c r="BP66" i="3"/>
  <c r="BT66" i="3" s="1"/>
  <c r="CB90" i="3"/>
  <c r="AI90" i="3"/>
  <c r="BQ90" i="3"/>
  <c r="AK114" i="3"/>
  <c r="AJ114" i="3"/>
  <c r="BG114" i="3"/>
  <c r="AL114" i="3"/>
  <c r="CB138" i="3"/>
  <c r="AI138" i="3"/>
  <c r="BQ138" i="3"/>
  <c r="Y210" i="3"/>
  <c r="U210" i="3"/>
  <c r="W210" i="3" s="1"/>
  <c r="AQ234" i="3"/>
  <c r="AW234" i="3"/>
  <c r="CH234" i="3"/>
  <c r="CQ234" i="3"/>
  <c r="CI234" i="3"/>
  <c r="CP234" i="3"/>
  <c r="R234" i="3"/>
  <c r="AB234" i="3" s="1"/>
  <c r="F258" i="3" a="1"/>
  <c r="H258" i="3" a="1"/>
  <c r="I258" i="3" a="1"/>
  <c r="J258" i="3" s="1"/>
  <c r="T258" i="3" s="1"/>
  <c r="L258" i="3" a="1"/>
  <c r="M258" i="3" a="1"/>
  <c r="O258" i="3" s="1"/>
  <c r="P258" i="3" a="1"/>
  <c r="Q258" i="3" s="1"/>
  <c r="V258" i="3" s="1"/>
  <c r="AZ258" i="3" a="1"/>
  <c r="BA258" i="3" a="1"/>
  <c r="BC258" i="3" a="1"/>
  <c r="BD258" i="3" a="1"/>
  <c r="BX258" i="3" a="1"/>
  <c r="D282" i="3"/>
  <c r="BV42" i="3"/>
  <c r="BU42" i="3"/>
  <c r="BS42" i="3"/>
  <c r="BO42" i="3"/>
  <c r="BL65" i="3"/>
  <c r="BN65" i="3" s="1"/>
  <c r="BP65" i="3"/>
  <c r="BT65" i="3" s="1"/>
  <c r="CB89" i="3"/>
  <c r="AI89" i="3"/>
  <c r="BQ89" i="3"/>
  <c r="AK113" i="3"/>
  <c r="AJ113" i="3"/>
  <c r="BG113" i="3"/>
  <c r="AL113" i="3"/>
  <c r="Y209" i="3"/>
  <c r="U209" i="3"/>
  <c r="W209" i="3" s="1"/>
  <c r="AQ233" i="3"/>
  <c r="AW233" i="3"/>
  <c r="CH233" i="3"/>
  <c r="CQ233" i="3"/>
  <c r="CI233" i="3"/>
  <c r="CP233" i="3"/>
  <c r="R233" i="3"/>
  <c r="AB233" i="3" s="1"/>
  <c r="F257" i="3" a="1"/>
  <c r="H257" i="3" a="1"/>
  <c r="I257" i="3" a="1"/>
  <c r="J257" i="3" s="1"/>
  <c r="T257" i="3" s="1"/>
  <c r="L257" i="3" a="1"/>
  <c r="M257" i="3" a="1"/>
  <c r="O257" i="3" s="1"/>
  <c r="P257" i="3" a="1"/>
  <c r="Q257" i="3" s="1"/>
  <c r="V257" i="3" s="1"/>
  <c r="AZ257" i="3" a="1"/>
  <c r="BA257" i="3" a="1"/>
  <c r="BC257" i="3" a="1"/>
  <c r="BD257" i="3" a="1"/>
  <c r="BX257" i="3" a="1"/>
  <c r="D281" i="3"/>
  <c r="BV41" i="3"/>
  <c r="BU41" i="3"/>
  <c r="BS41" i="3"/>
  <c r="BO41" i="3"/>
  <c r="BL64" i="3"/>
  <c r="BN64" i="3" s="1"/>
  <c r="BP64" i="3"/>
  <c r="BT64" i="3" s="1"/>
  <c r="CB88" i="3"/>
  <c r="AI88" i="3"/>
  <c r="BQ88" i="3"/>
  <c r="AK112" i="3"/>
  <c r="AJ112" i="3"/>
  <c r="BG112" i="3"/>
  <c r="AL112" i="3"/>
  <c r="AQ232" i="3"/>
  <c r="AW232" i="3"/>
  <c r="CH232" i="3"/>
  <c r="CQ232" i="3"/>
  <c r="CI232" i="3"/>
  <c r="CP232" i="3"/>
  <c r="R232" i="3"/>
  <c r="AB232" i="3" s="1"/>
  <c r="F256" i="3" a="1"/>
  <c r="H256" i="3" a="1"/>
  <c r="I256" i="3" a="1"/>
  <c r="J256" i="3" s="1"/>
  <c r="T256" i="3" s="1"/>
  <c r="L256" i="3" a="1"/>
  <c r="M256" i="3" a="1"/>
  <c r="O256" i="3" s="1"/>
  <c r="P256" i="3" a="1"/>
  <c r="Q256" i="3" s="1"/>
  <c r="V256" i="3" s="1"/>
  <c r="AZ256" i="3" a="1"/>
  <c r="BA256" i="3" a="1"/>
  <c r="BC256" i="3" a="1"/>
  <c r="BD256" i="3" a="1"/>
  <c r="BX256" i="3" a="1"/>
  <c r="D280" i="3"/>
  <c r="Y208" i="3"/>
  <c r="U208" i="3"/>
  <c r="W208" i="3" s="1"/>
  <c r="BU40" i="3"/>
  <c r="BV40" i="3"/>
  <c r="BS40" i="3"/>
  <c r="BO40" i="3"/>
  <c r="BU39" i="3"/>
  <c r="BV39" i="3"/>
  <c r="BS39" i="3"/>
  <c r="BO39" i="3"/>
  <c r="BL63" i="3"/>
  <c r="BN63" i="3" s="1"/>
  <c r="BP63" i="3"/>
  <c r="BT63" i="3" s="1"/>
  <c r="CB87" i="3"/>
  <c r="AI87" i="3"/>
  <c r="BQ87" i="3"/>
  <c r="AK111" i="3"/>
  <c r="AJ111" i="3"/>
  <c r="BG111" i="3"/>
  <c r="AL111" i="3"/>
  <c r="Y207" i="3"/>
  <c r="U207" i="3"/>
  <c r="W207" i="3" s="1"/>
  <c r="AQ231" i="3"/>
  <c r="AW231" i="3"/>
  <c r="CH231" i="3"/>
  <c r="CQ231" i="3"/>
  <c r="CI231" i="3"/>
  <c r="CP231" i="3"/>
  <c r="R231" i="3"/>
  <c r="AB231" i="3" s="1"/>
  <c r="F255" i="3" a="1"/>
  <c r="H255" i="3" a="1"/>
  <c r="L255" i="3" a="1"/>
  <c r="AZ255" i="3" a="1"/>
  <c r="BA255" i="3" a="1"/>
  <c r="BC255" i="3" a="1"/>
  <c r="BD255" i="3" a="1"/>
  <c r="BX255" i="3" a="1"/>
  <c r="D279" i="3"/>
  <c r="I255" i="3" a="1"/>
  <c r="J255" i="3" s="1"/>
  <c r="T255" i="3" s="1"/>
  <c r="M255" i="3" a="1"/>
  <c r="O255" i="3" s="1"/>
  <c r="P255" i="3" a="1"/>
  <c r="Q255" i="3" s="1"/>
  <c r="V255" i="3" s="1"/>
  <c r="BU38" i="3"/>
  <c r="BV38" i="3"/>
  <c r="BS38" i="3"/>
  <c r="BO38" i="3"/>
  <c r="CB86" i="3"/>
  <c r="AI86" i="3"/>
  <c r="BQ86" i="3"/>
  <c r="AK110" i="3"/>
  <c r="AJ110" i="3"/>
  <c r="BG110" i="3"/>
  <c r="AL110" i="3"/>
  <c r="CB134" i="3"/>
  <c r="AI134" i="3"/>
  <c r="BQ134" i="3"/>
  <c r="Y206" i="3"/>
  <c r="U206" i="3"/>
  <c r="W206" i="3" s="1"/>
  <c r="AQ230" i="3"/>
  <c r="AW230" i="3"/>
  <c r="CH230" i="3"/>
  <c r="CQ230" i="3"/>
  <c r="CI230" i="3"/>
  <c r="CP230" i="3"/>
  <c r="R230" i="3"/>
  <c r="AB230" i="3" s="1"/>
  <c r="F254" i="3" a="1"/>
  <c r="H254" i="3" a="1"/>
  <c r="L254" i="3" a="1"/>
  <c r="AZ254" i="3" a="1"/>
  <c r="BC254" i="3" a="1"/>
  <c r="BX254" i="3" a="1"/>
  <c r="D278" i="3"/>
  <c r="I254" i="3" a="1"/>
  <c r="J254" i="3" s="1"/>
  <c r="T254" i="3" s="1"/>
  <c r="P254" i="3" a="1"/>
  <c r="Q254" i="3" s="1"/>
  <c r="V254" i="3" s="1"/>
  <c r="BA254" i="3" a="1"/>
  <c r="BD254" i="3" a="1"/>
  <c r="M254" i="3" a="1"/>
  <c r="O254" i="3" s="1"/>
  <c r="BL61" i="3"/>
  <c r="BN61" i="3" s="1"/>
  <c r="BP61" i="3"/>
  <c r="BT61" i="3" s="1"/>
  <c r="CB85" i="3"/>
  <c r="AI85" i="3"/>
  <c r="BQ85" i="3"/>
  <c r="AK109" i="3"/>
  <c r="AJ109" i="3"/>
  <c r="BG109" i="3"/>
  <c r="AL109" i="3"/>
  <c r="CB133" i="3"/>
  <c r="AI133" i="3"/>
  <c r="BQ133" i="3"/>
  <c r="Y205" i="3"/>
  <c r="U205" i="3"/>
  <c r="W205" i="3" s="1"/>
  <c r="AQ229" i="3"/>
  <c r="AW229" i="3"/>
  <c r="CH229" i="3"/>
  <c r="CQ229" i="3"/>
  <c r="CI229" i="3"/>
  <c r="CP229" i="3"/>
  <c r="R229" i="3"/>
  <c r="AB229" i="3" s="1"/>
  <c r="F253" i="3" a="1"/>
  <c r="H253" i="3" a="1"/>
  <c r="L253" i="3" a="1"/>
  <c r="BD253" i="3" a="1"/>
  <c r="BX253" i="3" a="1"/>
  <c r="I253" i="3" a="1"/>
  <c r="J253" i="3" s="1"/>
  <c r="T253" i="3" s="1"/>
  <c r="M253" i="3" a="1"/>
  <c r="O253" i="3" s="1"/>
  <c r="P253" i="3" a="1"/>
  <c r="Q253" i="3" s="1"/>
  <c r="V253" i="3" s="1"/>
  <c r="AZ253" i="3" a="1"/>
  <c r="BA253" i="3" a="1"/>
  <c r="BC253" i="3" a="1"/>
  <c r="D277" i="3"/>
  <c r="BV37" i="3"/>
  <c r="BU37" i="3"/>
  <c r="BS37" i="3"/>
  <c r="BO37" i="3"/>
  <c r="BV36" i="3"/>
  <c r="BU36" i="3"/>
  <c r="BS36" i="3"/>
  <c r="BO36" i="3"/>
  <c r="BL60" i="3"/>
  <c r="BN60" i="3" s="1"/>
  <c r="BP60" i="3"/>
  <c r="BT60" i="3" s="1"/>
  <c r="CB84" i="3"/>
  <c r="AI84" i="3"/>
  <c r="BQ84" i="3"/>
  <c r="CB132" i="3"/>
  <c r="AI132" i="3"/>
  <c r="BQ132" i="3"/>
  <c r="AF156" i="3"/>
  <c r="AG156" i="3" s="1"/>
  <c r="AH156" i="3" s="1"/>
  <c r="Y204" i="3"/>
  <c r="U204" i="3"/>
  <c r="W204" i="3" s="1"/>
  <c r="AQ228" i="3"/>
  <c r="AW228" i="3"/>
  <c r="CH228" i="3"/>
  <c r="CQ228" i="3"/>
  <c r="CI228" i="3"/>
  <c r="CP228" i="3"/>
  <c r="R228" i="3"/>
  <c r="AB228" i="3" s="1"/>
  <c r="F252" i="3" a="1"/>
  <c r="H252" i="3" a="1"/>
  <c r="I252" i="3" a="1"/>
  <c r="J252" i="3" s="1"/>
  <c r="T252" i="3" s="1"/>
  <c r="L252" i="3" a="1"/>
  <c r="M252" i="3" a="1"/>
  <c r="O252" i="3" s="1"/>
  <c r="P252" i="3" a="1"/>
  <c r="Q252" i="3" s="1"/>
  <c r="V252" i="3" s="1"/>
  <c r="AZ252" i="3" a="1"/>
  <c r="BA252" i="3" a="1"/>
  <c r="BC252" i="3" a="1"/>
  <c r="BD252" i="3" a="1"/>
  <c r="BX252" i="3" a="1"/>
  <c r="D276" i="3"/>
  <c r="BL59" i="3"/>
  <c r="BN59" i="3" s="1"/>
  <c r="BP59" i="3"/>
  <c r="BT59" i="3" s="1"/>
  <c r="CB83" i="3"/>
  <c r="AI83" i="3"/>
  <c r="BQ83" i="3"/>
  <c r="AK107" i="3"/>
  <c r="BG107" i="3"/>
  <c r="AJ107" i="3"/>
  <c r="AL107" i="3"/>
  <c r="CB131" i="3"/>
  <c r="AI131" i="3"/>
  <c r="BQ131" i="3"/>
  <c r="Y203" i="3"/>
  <c r="U203" i="3"/>
  <c r="W203" i="3" s="1"/>
  <c r="AQ227" i="3"/>
  <c r="AW227" i="3"/>
  <c r="CH227" i="3"/>
  <c r="CQ227" i="3"/>
  <c r="CI227" i="3"/>
  <c r="CP227" i="3"/>
  <c r="R227" i="3"/>
  <c r="AB227" i="3" s="1"/>
  <c r="F251" i="3" a="1"/>
  <c r="H251" i="3" a="1"/>
  <c r="I251" i="3" a="1"/>
  <c r="J251" i="3" s="1"/>
  <c r="T251" i="3" s="1"/>
  <c r="L251" i="3" a="1"/>
  <c r="M251" i="3" a="1"/>
  <c r="O251" i="3" s="1"/>
  <c r="P251" i="3" a="1"/>
  <c r="Q251" i="3" s="1"/>
  <c r="V251" i="3" s="1"/>
  <c r="AZ251" i="3" a="1"/>
  <c r="BA251" i="3" a="1"/>
  <c r="BC251" i="3" a="1"/>
  <c r="BD251" i="3" a="1"/>
  <c r="BX251" i="3" a="1"/>
  <c r="D275" i="3"/>
  <c r="BV35" i="3"/>
  <c r="BU35" i="3"/>
  <c r="BS35" i="3"/>
  <c r="BO35" i="3"/>
  <c r="BL58" i="3"/>
  <c r="BN58" i="3" s="1"/>
  <c r="BP58" i="3"/>
  <c r="BT58" i="3" s="1"/>
  <c r="CB82" i="3"/>
  <c r="AI82" i="3"/>
  <c r="BQ82" i="3"/>
  <c r="BG106" i="3"/>
  <c r="AK106" i="3"/>
  <c r="AJ106" i="3"/>
  <c r="AL106" i="3"/>
  <c r="CB130" i="3"/>
  <c r="AI130" i="3"/>
  <c r="BQ130" i="3"/>
  <c r="AF154" i="3"/>
  <c r="AG154" i="3" s="1"/>
  <c r="AH154" i="3" s="1"/>
  <c r="Y202" i="3"/>
  <c r="U202" i="3"/>
  <c r="W202" i="3" s="1"/>
  <c r="AQ226" i="3"/>
  <c r="AW226" i="3"/>
  <c r="CH226" i="3"/>
  <c r="CQ226" i="3"/>
  <c r="CI226" i="3"/>
  <c r="CP226" i="3"/>
  <c r="R226" i="3"/>
  <c r="AB226" i="3" s="1"/>
  <c r="F250" i="3" a="1"/>
  <c r="H250" i="3" a="1"/>
  <c r="I250" i="3" a="1"/>
  <c r="J250" i="3" s="1"/>
  <c r="T250" i="3" s="1"/>
  <c r="L250" i="3" a="1"/>
  <c r="M250" i="3" a="1"/>
  <c r="O250" i="3" s="1"/>
  <c r="P250" i="3" a="1"/>
  <c r="Q250" i="3" s="1"/>
  <c r="V250" i="3" s="1"/>
  <c r="AZ250" i="3" a="1"/>
  <c r="BA250" i="3" a="1"/>
  <c r="BC250" i="3" a="1"/>
  <c r="BD250" i="3" a="1"/>
  <c r="BX250" i="3" a="1"/>
  <c r="D274" i="3"/>
  <c r="BV34" i="3"/>
  <c r="BU34" i="3"/>
  <c r="BS34" i="3"/>
  <c r="BO34" i="3"/>
  <c r="BV33" i="3"/>
  <c r="BU33" i="3"/>
  <c r="BS33" i="3"/>
  <c r="BO33" i="3"/>
  <c r="BL57" i="3"/>
  <c r="BN57" i="3" s="1"/>
  <c r="BP57" i="3"/>
  <c r="BT57" i="3" s="1"/>
  <c r="CB81" i="3"/>
  <c r="AI81" i="3"/>
  <c r="BQ81" i="3"/>
  <c r="AJ105" i="3"/>
  <c r="AK105" i="3"/>
  <c r="BG105" i="3"/>
  <c r="AL105" i="3"/>
  <c r="Y201" i="3"/>
  <c r="U201" i="3"/>
  <c r="W201" i="3" s="1"/>
  <c r="AQ225" i="3"/>
  <c r="AW225" i="3"/>
  <c r="CH225" i="3"/>
  <c r="CQ225" i="3"/>
  <c r="CI225" i="3"/>
  <c r="CP225" i="3"/>
  <c r="R225" i="3"/>
  <c r="AB225" i="3" s="1"/>
  <c r="F249" i="3" a="1"/>
  <c r="H249" i="3" a="1"/>
  <c r="I249" i="3" a="1"/>
  <c r="J249" i="3" s="1"/>
  <c r="T249" i="3" s="1"/>
  <c r="L249" i="3" a="1"/>
  <c r="M249" i="3" a="1"/>
  <c r="O249" i="3" s="1"/>
  <c r="P249" i="3" a="1"/>
  <c r="Q249" i="3" s="1"/>
  <c r="V249" i="3" s="1"/>
  <c r="AZ249" i="3" a="1"/>
  <c r="BA249" i="3" a="1"/>
  <c r="BC249" i="3" a="1"/>
  <c r="BD249" i="3" a="1"/>
  <c r="BX249" i="3" a="1"/>
  <c r="D273" i="3"/>
  <c r="BV32" i="3"/>
  <c r="BU32" i="3"/>
  <c r="BS32" i="3"/>
  <c r="BO32" i="3"/>
  <c r="BL56" i="3"/>
  <c r="BN56" i="3" s="1"/>
  <c r="BP56" i="3"/>
  <c r="BT56" i="3" s="1"/>
  <c r="CB80" i="3"/>
  <c r="AI80" i="3"/>
  <c r="BQ80" i="3"/>
  <c r="CB128" i="3"/>
  <c r="AI128" i="3"/>
  <c r="BQ128" i="3"/>
  <c r="Y200" i="3"/>
  <c r="U200" i="3"/>
  <c r="W200" i="3" s="1"/>
  <c r="AQ224" i="3"/>
  <c r="AW224" i="3"/>
  <c r="CH224" i="3"/>
  <c r="CQ224" i="3"/>
  <c r="CI224" i="3"/>
  <c r="CP224" i="3"/>
  <c r="R224" i="3"/>
  <c r="AB224" i="3" s="1"/>
  <c r="F248" i="3" a="1"/>
  <c r="H248" i="3" a="1"/>
  <c r="I248" i="3" a="1"/>
  <c r="J248" i="3" s="1"/>
  <c r="T248" i="3" s="1"/>
  <c r="L248" i="3" a="1"/>
  <c r="M248" i="3" a="1"/>
  <c r="O248" i="3" s="1"/>
  <c r="P248" i="3" a="1"/>
  <c r="Q248" i="3" s="1"/>
  <c r="V248" i="3" s="1"/>
  <c r="AZ248" i="3" a="1"/>
  <c r="BA248" i="3" a="1"/>
  <c r="BC248" i="3" a="1"/>
  <c r="BD248" i="3" a="1"/>
  <c r="BX248" i="3" a="1"/>
  <c r="D272" i="3"/>
  <c r="BV31" i="3"/>
  <c r="BU31" i="3"/>
  <c r="BS31" i="3"/>
  <c r="BO31" i="3"/>
  <c r="BL55" i="3"/>
  <c r="BN55" i="3" s="1"/>
  <c r="BP55" i="3"/>
  <c r="BT55" i="3" s="1"/>
  <c r="CB79" i="3"/>
  <c r="AI79" i="3"/>
  <c r="BQ79" i="3"/>
  <c r="CB127" i="3"/>
  <c r="AI127" i="3"/>
  <c r="BQ127" i="3"/>
  <c r="AF151" i="3"/>
  <c r="AG151" i="3" s="1"/>
  <c r="AH151" i="3" s="1"/>
  <c r="Y199" i="3"/>
  <c r="U199" i="3"/>
  <c r="W199" i="3" s="1"/>
  <c r="AQ223" i="3"/>
  <c r="AW223" i="3"/>
  <c r="CH223" i="3"/>
  <c r="CQ223" i="3"/>
  <c r="CI223" i="3"/>
  <c r="CP223" i="3"/>
  <c r="R223" i="3"/>
  <c r="AB223" i="3" s="1"/>
  <c r="F247" i="3" a="1"/>
  <c r="H247" i="3" a="1"/>
  <c r="I247" i="3" a="1"/>
  <c r="J247" i="3" s="1"/>
  <c r="T247" i="3" s="1"/>
  <c r="L247" i="3" a="1"/>
  <c r="M247" i="3" a="1"/>
  <c r="O247" i="3" s="1"/>
  <c r="P247" i="3" a="1"/>
  <c r="Q247" i="3" s="1"/>
  <c r="V247" i="3" s="1"/>
  <c r="AZ247" i="3" a="1"/>
  <c r="BA247" i="3" a="1"/>
  <c r="BC247" i="3" a="1"/>
  <c r="BD247" i="3" a="1"/>
  <c r="BX247" i="3" a="1"/>
  <c r="D271" i="3"/>
  <c r="BV30" i="3"/>
  <c r="BU30" i="3"/>
  <c r="BS30" i="3"/>
  <c r="BO30" i="3"/>
  <c r="BL54" i="3"/>
  <c r="BN54" i="3" s="1"/>
  <c r="BP54" i="3"/>
  <c r="BT54" i="3" s="1"/>
  <c r="CB78" i="3"/>
  <c r="AI78" i="3"/>
  <c r="BQ78" i="3"/>
  <c r="CB126" i="3"/>
  <c r="AI126" i="3"/>
  <c r="BQ126" i="3"/>
  <c r="Y198" i="3"/>
  <c r="U198" i="3"/>
  <c r="W198" i="3" s="1"/>
  <c r="AQ222" i="3"/>
  <c r="AW222" i="3"/>
  <c r="CH222" i="3"/>
  <c r="CQ222" i="3"/>
  <c r="CI222" i="3"/>
  <c r="CP222" i="3"/>
  <c r="R222" i="3"/>
  <c r="AB222" i="3" s="1"/>
  <c r="F246" i="3" a="1"/>
  <c r="H246" i="3" a="1"/>
  <c r="I246" i="3" a="1"/>
  <c r="J246" i="3" s="1"/>
  <c r="T246" i="3" s="1"/>
  <c r="L246" i="3" a="1"/>
  <c r="M246" i="3" a="1"/>
  <c r="O246" i="3" s="1"/>
  <c r="P246" i="3" a="1"/>
  <c r="Q246" i="3" s="1"/>
  <c r="V246" i="3" s="1"/>
  <c r="AZ246" i="3" a="1"/>
  <c r="BA246" i="3" a="1"/>
  <c r="BC246" i="3" a="1"/>
  <c r="BD246" i="3" a="1"/>
  <c r="BX246" i="3" a="1"/>
  <c r="D270" i="3"/>
  <c r="BL53" i="3"/>
  <c r="BN53" i="3" s="1"/>
  <c r="BP53" i="3"/>
  <c r="BT53" i="3" s="1"/>
  <c r="CB77" i="3"/>
  <c r="AI77" i="3"/>
  <c r="BQ77" i="3"/>
  <c r="CB125" i="3"/>
  <c r="AI125" i="3"/>
  <c r="BQ125" i="3"/>
  <c r="Y197" i="3"/>
  <c r="U197" i="3"/>
  <c r="W197" i="3" s="1"/>
  <c r="AQ221" i="3"/>
  <c r="AW221" i="3"/>
  <c r="CH221" i="3"/>
  <c r="CQ221" i="3"/>
  <c r="CI221" i="3"/>
  <c r="CP221" i="3"/>
  <c r="R221" i="3"/>
  <c r="AB221" i="3" s="1"/>
  <c r="F245" i="3" a="1"/>
  <c r="H245" i="3" a="1"/>
  <c r="I245" i="3" a="1"/>
  <c r="J245" i="3" s="1"/>
  <c r="T245" i="3" s="1"/>
  <c r="L245" i="3" a="1"/>
  <c r="M245" i="3" a="1"/>
  <c r="O245" i="3" s="1"/>
  <c r="P245" i="3" a="1"/>
  <c r="Q245" i="3" s="1"/>
  <c r="V245" i="3" s="1"/>
  <c r="AZ245" i="3" a="1"/>
  <c r="BA245" i="3" a="1"/>
  <c r="BC245" i="3" a="1"/>
  <c r="BD245" i="3" a="1"/>
  <c r="BX245" i="3" a="1"/>
  <c r="D269" i="3"/>
  <c r="BV29" i="3"/>
  <c r="BU29" i="3"/>
  <c r="BS29" i="3"/>
  <c r="BO29" i="3"/>
  <c r="BL52" i="3"/>
  <c r="BN52" i="3" s="1"/>
  <c r="BP52" i="3"/>
  <c r="BT52" i="3" s="1"/>
  <c r="CB76" i="3"/>
  <c r="AI76" i="3"/>
  <c r="BQ76" i="3"/>
  <c r="AK100" i="3"/>
  <c r="BG100" i="3"/>
  <c r="AJ100" i="3"/>
  <c r="AL100" i="3"/>
  <c r="CB124" i="3"/>
  <c r="AI124" i="3"/>
  <c r="BQ124" i="3"/>
  <c r="Y196" i="3"/>
  <c r="U196" i="3"/>
  <c r="W196" i="3" s="1"/>
  <c r="AQ220" i="3"/>
  <c r="AW220" i="3"/>
  <c r="CH220" i="3"/>
  <c r="CQ220" i="3"/>
  <c r="CI220" i="3"/>
  <c r="CP220" i="3"/>
  <c r="R220" i="3"/>
  <c r="AB220" i="3" s="1"/>
  <c r="F244" i="3" a="1"/>
  <c r="H244" i="3" a="1"/>
  <c r="I244" i="3" a="1"/>
  <c r="J244" i="3" s="1"/>
  <c r="T244" i="3" s="1"/>
  <c r="L244" i="3" a="1"/>
  <c r="M244" i="3" a="1"/>
  <c r="O244" i="3" s="1"/>
  <c r="P244" i="3" a="1"/>
  <c r="Q244" i="3" s="1"/>
  <c r="V244" i="3" s="1"/>
  <c r="AZ244" i="3" a="1"/>
  <c r="BA244" i="3" a="1"/>
  <c r="BC244" i="3" a="1"/>
  <c r="BD244" i="3" a="1"/>
  <c r="BX244" i="3" a="1"/>
  <c r="D268" i="3"/>
  <c r="BV28" i="3"/>
  <c r="BU28" i="3"/>
  <c r="BS28" i="3"/>
  <c r="BO28" i="3"/>
  <c r="BV27" i="3"/>
  <c r="BU27" i="3"/>
  <c r="BS27" i="3"/>
  <c r="BO27" i="3"/>
  <c r="BL51" i="3"/>
  <c r="BN51" i="3" s="1"/>
  <c r="BP51" i="3"/>
  <c r="BT51" i="3" s="1"/>
  <c r="CB75" i="3"/>
  <c r="AI75" i="3"/>
  <c r="BQ75" i="3"/>
  <c r="AK99" i="3"/>
  <c r="AJ99" i="3"/>
  <c r="BG99" i="3"/>
  <c r="AL99" i="3"/>
  <c r="CB123" i="3"/>
  <c r="AI123" i="3"/>
  <c r="BQ123" i="3"/>
  <c r="Y195" i="3"/>
  <c r="U195" i="3"/>
  <c r="W195" i="3" s="1"/>
  <c r="AQ219" i="3"/>
  <c r="AW219" i="3"/>
  <c r="CH219" i="3"/>
  <c r="CQ219" i="3"/>
  <c r="CI219" i="3"/>
  <c r="CP219" i="3"/>
  <c r="R219" i="3"/>
  <c r="AB219" i="3" s="1"/>
  <c r="F243" i="3" a="1"/>
  <c r="H243" i="3" a="1"/>
  <c r="I243" i="3" a="1"/>
  <c r="J243" i="3" s="1"/>
  <c r="T243" i="3" s="1"/>
  <c r="L243" i="3" a="1"/>
  <c r="M243" i="3" a="1"/>
  <c r="O243" i="3" s="1"/>
  <c r="P243" i="3" a="1"/>
  <c r="Q243" i="3" s="1"/>
  <c r="V243" i="3" s="1"/>
  <c r="AZ243" i="3" a="1"/>
  <c r="BA243" i="3" a="1"/>
  <c r="BC243" i="3" a="1"/>
  <c r="BD243" i="3" a="1"/>
  <c r="BX243" i="3" a="1"/>
  <c r="D267" i="3"/>
  <c r="BO26" i="3"/>
  <c r="BS26" i="3"/>
  <c r="BU26" i="3"/>
  <c r="BV26" i="3"/>
  <c r="BL50" i="3"/>
  <c r="BN50" i="3" s="1"/>
  <c r="BP50" i="3"/>
  <c r="BT50" i="3" s="1"/>
  <c r="CB74" i="3"/>
  <c r="AI74" i="3"/>
  <c r="BQ74" i="3"/>
  <c r="AK98" i="3"/>
  <c r="AJ98" i="3"/>
  <c r="BG98" i="3"/>
  <c r="AL98" i="3"/>
  <c r="Y194" i="3"/>
  <c r="U194" i="3"/>
  <c r="W194" i="3" s="1"/>
  <c r="AQ218" i="3"/>
  <c r="AW218" i="3"/>
  <c r="CH218" i="3"/>
  <c r="CQ218" i="3"/>
  <c r="CI218" i="3"/>
  <c r="CP218" i="3"/>
  <c r="R218" i="3"/>
  <c r="AB218" i="3" s="1"/>
  <c r="F242" i="3" a="1"/>
  <c r="H242" i="3" a="1"/>
  <c r="I242" i="3" a="1"/>
  <c r="J242" i="3" s="1"/>
  <c r="T242" i="3" s="1"/>
  <c r="L242" i="3" a="1"/>
  <c r="M242" i="3" a="1"/>
  <c r="O242" i="3" s="1"/>
  <c r="P242" i="3" a="1"/>
  <c r="Q242" i="3" s="1"/>
  <c r="V242" i="3" s="1"/>
  <c r="AZ242" i="3" a="1"/>
  <c r="BA242" i="3" a="1"/>
  <c r="BC242" i="3" a="1"/>
  <c r="BD242" i="3" a="1"/>
  <c r="BX242" i="3" a="1"/>
  <c r="D266" i="3"/>
  <c r="BV25" i="3"/>
  <c r="BU25" i="3"/>
  <c r="BS25" i="3"/>
  <c r="BO25" i="3"/>
  <c r="BL49" i="3"/>
  <c r="BN49" i="3" s="1"/>
  <c r="BP49" i="3"/>
  <c r="BT49" i="3" s="1"/>
  <c r="CB73" i="3"/>
  <c r="AI73" i="3"/>
  <c r="BQ73" i="3"/>
  <c r="AK97" i="3"/>
  <c r="AJ97" i="3"/>
  <c r="BG97" i="3"/>
  <c r="AL97" i="3"/>
  <c r="CB121" i="3"/>
  <c r="AI121" i="3"/>
  <c r="BQ121" i="3"/>
  <c r="AQ217" i="3"/>
  <c r="AW217" i="3"/>
  <c r="CH217" i="3"/>
  <c r="CQ217" i="3"/>
  <c r="CI217" i="3"/>
  <c r="CP217" i="3"/>
  <c r="R217" i="3"/>
  <c r="AB217" i="3" s="1"/>
  <c r="F241" i="3" a="1"/>
  <c r="H241" i="3" a="1"/>
  <c r="I241" i="3" a="1"/>
  <c r="J241" i="3" s="1"/>
  <c r="T241" i="3" s="1"/>
  <c r="L241" i="3" a="1"/>
  <c r="M241" i="3" a="1"/>
  <c r="O241" i="3" s="1"/>
  <c r="P241" i="3" a="1"/>
  <c r="Q241" i="3" s="1"/>
  <c r="V241" i="3" s="1"/>
  <c r="AZ241" i="3" a="1"/>
  <c r="BA241" i="3" a="1"/>
  <c r="BC241" i="3" a="1"/>
  <c r="BD241" i="3" a="1"/>
  <c r="BX241" i="3" a="1"/>
  <c r="D265" i="3"/>
  <c r="Y193" i="3"/>
  <c r="U193" i="3"/>
  <c r="W193" i="3" s="1"/>
  <c r="BL48" i="3"/>
  <c r="BN48" i="3" s="1"/>
  <c r="BP48" i="3"/>
  <c r="BT48" i="3" s="1"/>
  <c r="CB72" i="3"/>
  <c r="AI72" i="3"/>
  <c r="BQ72" i="3"/>
  <c r="AK96" i="3"/>
  <c r="AJ96" i="3"/>
  <c r="BG96" i="3"/>
  <c r="AL96" i="3"/>
  <c r="CB120" i="3"/>
  <c r="AI120" i="3"/>
  <c r="BQ120" i="3"/>
  <c r="Y192" i="3"/>
  <c r="U192" i="3"/>
  <c r="W192" i="3" s="1"/>
  <c r="AQ216" i="3"/>
  <c r="AW216" i="3"/>
  <c r="CH216" i="3"/>
  <c r="CQ216" i="3"/>
  <c r="CI216" i="3"/>
  <c r="CP216" i="3"/>
  <c r="R216" i="3"/>
  <c r="AB216" i="3" s="1"/>
  <c r="F240" i="3" a="1"/>
  <c r="H240" i="3" a="1"/>
  <c r="I240" i="3" a="1"/>
  <c r="J240" i="3" s="1"/>
  <c r="T240" i="3" s="1"/>
  <c r="L240" i="3" a="1"/>
  <c r="M240" i="3" a="1"/>
  <c r="O240" i="3" s="1"/>
  <c r="P240" i="3" a="1"/>
  <c r="Q240" i="3" s="1"/>
  <c r="V240" i="3" s="1"/>
  <c r="AZ240" i="3" a="1"/>
  <c r="BA240" i="3" a="1"/>
  <c r="BC240" i="3" a="1"/>
  <c r="BD240" i="3" a="1"/>
  <c r="BX240" i="3" a="1"/>
  <c r="D264" i="3"/>
  <c r="BV24" i="3"/>
  <c r="BU24" i="3"/>
  <c r="BS24" i="3"/>
  <c r="BO24" i="3"/>
  <c r="AH21" i="3"/>
  <c r="BX103" i="3" a="1"/>
  <c r="CB103" i="3" s="1"/>
  <c r="H191" i="4"/>
  <c r="AB190" i="4"/>
  <c r="AA190" i="4" s="1"/>
  <c r="B260" i="3" a="1"/>
  <c r="CE260" i="3" a="1"/>
  <c r="C26" i="13"/>
  <c r="C52" i="13"/>
  <c r="C80" i="13"/>
  <c r="N321" i="4"/>
  <c r="C25" i="19"/>
  <c r="B26" i="19"/>
  <c r="P13" i="4"/>
  <c r="O14" i="4"/>
  <c r="B27" i="13"/>
  <c r="B53" i="13"/>
  <c r="B81" i="13"/>
  <c r="BP22" i="3"/>
  <c r="BT22" i="3" s="1"/>
  <c r="BL22" i="3"/>
  <c r="BN22" i="3" s="1"/>
  <c r="BP23" i="3"/>
  <c r="BT23" i="3" s="1"/>
  <c r="BL23" i="3"/>
  <c r="BN23" i="3" s="1"/>
  <c r="BL46" i="3"/>
  <c r="BN46" i="3" s="1"/>
  <c r="BP46" i="3"/>
  <c r="BT46" i="3" s="1"/>
  <c r="CB71" i="3"/>
  <c r="AI71" i="3"/>
  <c r="BQ71" i="3"/>
  <c r="AA70" i="3"/>
  <c r="AE70" i="3" s="1"/>
  <c r="BR70" i="3"/>
  <c r="CR70" i="3"/>
  <c r="AJ95" i="3"/>
  <c r="AK95" i="3"/>
  <c r="BG95" i="3"/>
  <c r="AL95" i="3"/>
  <c r="BF47" i="3"/>
  <c r="CS47" i="3"/>
  <c r="AR47" i="3"/>
  <c r="AS47" i="3" s="1"/>
  <c r="BK47" i="3"/>
  <c r="CT47" i="3"/>
  <c r="BH47" i="3"/>
  <c r="CB119" i="3"/>
  <c r="AI119" i="3"/>
  <c r="BQ119" i="3"/>
  <c r="CB118" i="3"/>
  <c r="AI118" i="3"/>
  <c r="BQ118" i="3"/>
  <c r="AJ45" i="3"/>
  <c r="BG45" i="3"/>
  <c r="AK45" i="3"/>
  <c r="AL45" i="3"/>
  <c r="AF139" i="3"/>
  <c r="AG139" i="3" s="1"/>
  <c r="AH139" i="3" s="1"/>
  <c r="Y191" i="3"/>
  <c r="U191" i="3"/>
  <c r="W191" i="3" s="1"/>
  <c r="Y190" i="3"/>
  <c r="U190" i="3"/>
  <c r="W190" i="3" s="1"/>
  <c r="BR117" i="3"/>
  <c r="AA117" i="3"/>
  <c r="AE117" i="3" s="1"/>
  <c r="Y165" i="3"/>
  <c r="U165" i="3"/>
  <c r="W165" i="3" s="1"/>
  <c r="CQ215" i="3"/>
  <c r="CH215" i="3"/>
  <c r="AW215" i="3"/>
  <c r="AQ215" i="3"/>
  <c r="CP215" i="3"/>
  <c r="CI215" i="3"/>
  <c r="R215" i="3"/>
  <c r="AB215" i="3" s="1"/>
  <c r="CQ214" i="3"/>
  <c r="CH214" i="3"/>
  <c r="AW214" i="3"/>
  <c r="AQ214" i="3"/>
  <c r="CP214" i="3"/>
  <c r="CI214" i="3"/>
  <c r="R214" i="3"/>
  <c r="AB214" i="3" s="1"/>
  <c r="CQ213" i="3"/>
  <c r="CH213" i="3"/>
  <c r="AW213" i="3"/>
  <c r="AQ213" i="3"/>
  <c r="CP213" i="3"/>
  <c r="CI213" i="3"/>
  <c r="CR94" i="3"/>
  <c r="BR94" i="3"/>
  <c r="AA94" i="3"/>
  <c r="AE94" i="3" s="1"/>
  <c r="V189" i="3"/>
  <c r="T189" i="3"/>
  <c r="R189" i="3"/>
  <c r="AB189" i="3" s="1"/>
  <c r="P239" i="3" a="1"/>
  <c r="Q239" i="3" s="1"/>
  <c r="V239" i="3" s="1"/>
  <c r="H239" i="3" a="1"/>
  <c r="I239" i="3" a="1"/>
  <c r="J239" i="3" s="1"/>
  <c r="T239" i="3" s="1"/>
  <c r="L239" i="3" a="1"/>
  <c r="M239" i="3" a="1"/>
  <c r="O239" i="3" s="1"/>
  <c r="AZ239" i="3" a="1"/>
  <c r="BA239" i="3" a="1"/>
  <c r="BC239" i="3" a="1"/>
  <c r="BD239" i="3" a="1"/>
  <c r="BX239" i="3" a="1"/>
  <c r="BC238" i="3" a="1"/>
  <c r="BD238" i="3" a="1"/>
  <c r="H238" i="3" a="1"/>
  <c r="BX238" i="3" a="1"/>
  <c r="I238" i="3" a="1"/>
  <c r="J238" i="3" s="1"/>
  <c r="T238" i="3" s="1"/>
  <c r="L238" i="3" a="1"/>
  <c r="M238" i="3" a="1"/>
  <c r="O238" i="3" s="1"/>
  <c r="P238" i="3" a="1"/>
  <c r="Q238" i="3" s="1"/>
  <c r="V238" i="3" s="1"/>
  <c r="AZ238" i="3" a="1"/>
  <c r="BA238" i="3" a="1"/>
  <c r="BC237" i="3" a="1"/>
  <c r="BD237" i="3" a="1"/>
  <c r="M237" i="3" a="1"/>
  <c r="H237" i="3" a="1"/>
  <c r="I237" i="3" a="1"/>
  <c r="L237" i="3" a="1"/>
  <c r="BX237" i="3" a="1"/>
  <c r="P237" i="3" a="1"/>
  <c r="AZ237" i="3" a="1"/>
  <c r="BA237" i="3" a="1"/>
  <c r="J213" i="3"/>
  <c r="O213" i="3"/>
  <c r="Q213" i="3"/>
  <c r="Z201" i="3" l="1"/>
  <c r="AC201" i="3" s="1"/>
  <c r="AD201" i="3" s="1"/>
  <c r="CR182" i="3"/>
  <c r="AA182" i="3"/>
  <c r="AE182" i="3" s="1"/>
  <c r="AF182" i="3" s="1"/>
  <c r="AG182" i="3" s="1"/>
  <c r="AH182" i="3" s="1"/>
  <c r="BR182" i="3"/>
  <c r="CR181" i="3"/>
  <c r="BR181" i="3"/>
  <c r="AA181" i="3"/>
  <c r="AE181" i="3" s="1"/>
  <c r="AF181" i="3" s="1"/>
  <c r="AG181" i="3" s="1"/>
  <c r="AH181" i="3" s="1"/>
  <c r="CR175" i="3"/>
  <c r="AA175" i="3"/>
  <c r="AE175" i="3" s="1"/>
  <c r="AF175" i="3" s="1"/>
  <c r="AG175" i="3" s="1"/>
  <c r="AH175" i="3" s="1"/>
  <c r="BR175" i="3"/>
  <c r="Z191" i="3"/>
  <c r="AC191" i="3" s="1"/>
  <c r="AD191" i="3" s="1"/>
  <c r="CR177" i="3"/>
  <c r="AA177" i="3"/>
  <c r="AE177" i="3" s="1"/>
  <c r="AF177" i="3" s="1"/>
  <c r="AG177" i="3" s="1"/>
  <c r="AH177" i="3" s="1"/>
  <c r="BR177" i="3"/>
  <c r="AF144" i="3"/>
  <c r="AG144" i="3" s="1"/>
  <c r="AH144" i="3" s="1"/>
  <c r="CR167" i="3"/>
  <c r="BR167" i="3"/>
  <c r="AA167" i="3"/>
  <c r="AE167" i="3" s="1"/>
  <c r="AF167" i="3" s="1"/>
  <c r="AG167" i="3" s="1"/>
  <c r="AH167" i="3" s="1"/>
  <c r="Z200" i="3"/>
  <c r="AC200" i="3" s="1"/>
  <c r="AD200" i="3" s="1"/>
  <c r="Z165" i="3"/>
  <c r="AC165" i="3" s="1"/>
  <c r="CR184" i="3"/>
  <c r="AA184" i="3"/>
  <c r="AE184" i="3" s="1"/>
  <c r="AF184" i="3" s="1"/>
  <c r="AG184" i="3" s="1"/>
  <c r="AH184" i="3" s="1"/>
  <c r="BR184" i="3"/>
  <c r="Z192" i="3"/>
  <c r="AC192" i="3" s="1"/>
  <c r="AD192" i="3" s="1"/>
  <c r="AK101" i="3"/>
  <c r="BF101" i="3" s="1"/>
  <c r="BG101" i="3"/>
  <c r="AJ101" i="3"/>
  <c r="AL101" i="3"/>
  <c r="CR185" i="3"/>
  <c r="BR185" i="3"/>
  <c r="AA185" i="3"/>
  <c r="AE185" i="3" s="1"/>
  <c r="AF185" i="3" s="1"/>
  <c r="AG185" i="3" s="1"/>
  <c r="AH185" i="3" s="1"/>
  <c r="AK104" i="3"/>
  <c r="BF104" i="3" s="1"/>
  <c r="AJ104" i="3"/>
  <c r="BG104" i="3"/>
  <c r="AL104" i="3"/>
  <c r="Z202" i="3"/>
  <c r="AC202" i="3" s="1"/>
  <c r="AD202" i="3" s="1"/>
  <c r="Z190" i="3"/>
  <c r="AC190" i="3" s="1"/>
  <c r="AD190" i="3" s="1"/>
  <c r="Z195" i="3"/>
  <c r="AC195" i="3" s="1"/>
  <c r="AD195" i="3" s="1"/>
  <c r="AK108" i="3"/>
  <c r="BF108" i="3" s="1"/>
  <c r="AJ108" i="3"/>
  <c r="BG108" i="3"/>
  <c r="AL108" i="3"/>
  <c r="CR166" i="3"/>
  <c r="BR166" i="3"/>
  <c r="AA166" i="3"/>
  <c r="AE166" i="3" s="1"/>
  <c r="AF166" i="3" s="1"/>
  <c r="AG166" i="3" s="1"/>
  <c r="AH166" i="3" s="1"/>
  <c r="CR178" i="3"/>
  <c r="AA178" i="3"/>
  <c r="AE178" i="3" s="1"/>
  <c r="AF178" i="3" s="1"/>
  <c r="AG178" i="3" s="1"/>
  <c r="AH178" i="3" s="1"/>
  <c r="BR178" i="3"/>
  <c r="Z208" i="3"/>
  <c r="AC208" i="3" s="1"/>
  <c r="AD208" i="3" s="1"/>
  <c r="Z206" i="3"/>
  <c r="AC206" i="3" s="1"/>
  <c r="AD206" i="3" s="1"/>
  <c r="Z199" i="3"/>
  <c r="AC199" i="3" s="1"/>
  <c r="AD199" i="3" s="1"/>
  <c r="Z198" i="3"/>
  <c r="AC198" i="3" s="1"/>
  <c r="AD198" i="3" s="1"/>
  <c r="Z197" i="3"/>
  <c r="AC197" i="3" s="1"/>
  <c r="AD197" i="3" s="1"/>
  <c r="Z194" i="3"/>
  <c r="AC194" i="3" s="1"/>
  <c r="AD194" i="3" s="1"/>
  <c r="BN62" i="3"/>
  <c r="AF146" i="3"/>
  <c r="AG146" i="3" s="1"/>
  <c r="AH146" i="3" s="1"/>
  <c r="CB136" i="3"/>
  <c r="AI136" i="3"/>
  <c r="BQ136" i="3"/>
  <c r="CR168" i="3"/>
  <c r="BR168" i="3"/>
  <c r="AA168" i="3"/>
  <c r="AE168" i="3" s="1"/>
  <c r="AF168" i="3" s="1"/>
  <c r="AG168" i="3" s="1"/>
  <c r="AH168" i="3" s="1"/>
  <c r="BG116" i="3"/>
  <c r="AK116" i="3"/>
  <c r="BF116" i="3" s="1"/>
  <c r="AJ116" i="3"/>
  <c r="AL116" i="3"/>
  <c r="CR187" i="3"/>
  <c r="BR187" i="3"/>
  <c r="AA187" i="3"/>
  <c r="AE187" i="3" s="1"/>
  <c r="AF187" i="3" s="1"/>
  <c r="AG187" i="3" s="1"/>
  <c r="AH187" i="3" s="1"/>
  <c r="Z210" i="3"/>
  <c r="AC210" i="3" s="1"/>
  <c r="AD210" i="3" s="1"/>
  <c r="Z209" i="3"/>
  <c r="AC209" i="3" s="1"/>
  <c r="AD209" i="3" s="1"/>
  <c r="CR174" i="3"/>
  <c r="BR174" i="3"/>
  <c r="AA174" i="3"/>
  <c r="AE174" i="3" s="1"/>
  <c r="AF174" i="3" s="1"/>
  <c r="AG174" i="3" s="1"/>
  <c r="AH174" i="3" s="1"/>
  <c r="CR173" i="3"/>
  <c r="BR173" i="3"/>
  <c r="AA173" i="3"/>
  <c r="AE173" i="3" s="1"/>
  <c r="AF173" i="3" s="1"/>
  <c r="AG173" i="3" s="1"/>
  <c r="AH173" i="3" s="1"/>
  <c r="CR171" i="3"/>
  <c r="BR171" i="3"/>
  <c r="AA171" i="3"/>
  <c r="AE171" i="3" s="1"/>
  <c r="AF171" i="3" s="1"/>
  <c r="AG171" i="3" s="1"/>
  <c r="AH171" i="3" s="1"/>
  <c r="CB135" i="3"/>
  <c r="AI135" i="3"/>
  <c r="BQ135" i="3"/>
  <c r="CR180" i="3"/>
  <c r="AA180" i="3"/>
  <c r="AE180" i="3" s="1"/>
  <c r="AF180" i="3" s="1"/>
  <c r="AG180" i="3" s="1"/>
  <c r="AH180" i="3" s="1"/>
  <c r="BR180" i="3"/>
  <c r="AJ102" i="3"/>
  <c r="BG102" i="3"/>
  <c r="AK102" i="3"/>
  <c r="BF102" i="3" s="1"/>
  <c r="AL102" i="3"/>
  <c r="CR179" i="3"/>
  <c r="AA179" i="3"/>
  <c r="AE179" i="3" s="1"/>
  <c r="AF179" i="3" s="1"/>
  <c r="AG179" i="3" s="1"/>
  <c r="AH179" i="3" s="1"/>
  <c r="Z196" i="3"/>
  <c r="AC196" i="3" s="1"/>
  <c r="AD196" i="3" s="1"/>
  <c r="CR176" i="3"/>
  <c r="AA176" i="3"/>
  <c r="AE176" i="3" s="1"/>
  <c r="BR176" i="3"/>
  <c r="Z207" i="3"/>
  <c r="AC207" i="3" s="1"/>
  <c r="AD207" i="3" s="1"/>
  <c r="Z203" i="3"/>
  <c r="AC203" i="3" s="1"/>
  <c r="AD203" i="3" s="1"/>
  <c r="Z204" i="3"/>
  <c r="AC204" i="3" s="1"/>
  <c r="AD204" i="3" s="1"/>
  <c r="CR186" i="3"/>
  <c r="BR186" i="3"/>
  <c r="AA186" i="3"/>
  <c r="AE186" i="3" s="1"/>
  <c r="AF186" i="3" s="1"/>
  <c r="AG186" i="3" s="1"/>
  <c r="AH186" i="3" s="1"/>
  <c r="CB122" i="3"/>
  <c r="AI122" i="3"/>
  <c r="BQ122" i="3"/>
  <c r="CR172" i="3"/>
  <c r="AA172" i="3"/>
  <c r="AE172" i="3" s="1"/>
  <c r="AF172" i="3" s="1"/>
  <c r="AG172" i="3" s="1"/>
  <c r="AH172" i="3" s="1"/>
  <c r="BR172" i="3"/>
  <c r="CR169" i="3"/>
  <c r="BR169" i="3"/>
  <c r="AA169" i="3"/>
  <c r="AE169" i="3" s="1"/>
  <c r="AF169" i="3" s="1"/>
  <c r="AG169" i="3" s="1"/>
  <c r="AH169" i="3" s="1"/>
  <c r="AF153" i="3"/>
  <c r="AG153" i="3" s="1"/>
  <c r="AH153" i="3" s="1"/>
  <c r="AK103" i="3"/>
  <c r="BF103" i="3" s="1"/>
  <c r="AJ103" i="3"/>
  <c r="BG103" i="3"/>
  <c r="AL103" i="3"/>
  <c r="CR170" i="3"/>
  <c r="AA170" i="3"/>
  <c r="AE170" i="3" s="1"/>
  <c r="BR170" i="3"/>
  <c r="CB129" i="3"/>
  <c r="AI129" i="3"/>
  <c r="BQ129" i="3"/>
  <c r="Z205" i="3"/>
  <c r="AC205" i="3" s="1"/>
  <c r="AD205" i="3" s="1"/>
  <c r="CB137" i="3"/>
  <c r="AI137" i="3"/>
  <c r="BQ137" i="3"/>
  <c r="AF142" i="3"/>
  <c r="AG142" i="3" s="1"/>
  <c r="AH142" i="3" s="1"/>
  <c r="CR188" i="3"/>
  <c r="BR188" i="3"/>
  <c r="AA188" i="3"/>
  <c r="AE188" i="3" s="1"/>
  <c r="AF188" i="3" s="1"/>
  <c r="AG188" i="3" s="1"/>
  <c r="AH188" i="3" s="1"/>
  <c r="CR183" i="3"/>
  <c r="BR183" i="3"/>
  <c r="AA183" i="3"/>
  <c r="AE183" i="3" s="1"/>
  <c r="AF183" i="3" s="1"/>
  <c r="AG183" i="3" s="1"/>
  <c r="AH183" i="3" s="1"/>
  <c r="Z193" i="3"/>
  <c r="AC193" i="3" s="1"/>
  <c r="AD193" i="3" s="1"/>
  <c r="Z212" i="3"/>
  <c r="AC212" i="3" s="1"/>
  <c r="AD212" i="3" s="1"/>
  <c r="Z211" i="3"/>
  <c r="AC211" i="3" s="1"/>
  <c r="AD211" i="3" s="1"/>
  <c r="CD356" i="3"/>
  <c r="C380" i="3"/>
  <c r="G332" i="3" a="1"/>
  <c r="BB332" i="3" a="1"/>
  <c r="E356" i="3"/>
  <c r="CC356" i="3"/>
  <c r="A380" i="3"/>
  <c r="CD331" i="3"/>
  <c r="C355" i="3"/>
  <c r="G307" i="3" a="1"/>
  <c r="BB307" i="3" a="1"/>
  <c r="CE307" i="3" a="1"/>
  <c r="B307" i="3" a="1"/>
  <c r="E331" i="3"/>
  <c r="CC331" i="3"/>
  <c r="A355" i="3"/>
  <c r="CD330" i="3"/>
  <c r="C354" i="3"/>
  <c r="G306" i="3" a="1"/>
  <c r="BB306" i="3" a="1"/>
  <c r="CE306" i="3" a="1"/>
  <c r="B306" i="3" a="1"/>
  <c r="E330" i="3"/>
  <c r="CC330" i="3"/>
  <c r="A354" i="3"/>
  <c r="CD329" i="3"/>
  <c r="C353" i="3"/>
  <c r="G305" i="3" a="1"/>
  <c r="BB305" i="3" a="1"/>
  <c r="CE305" i="3" a="1"/>
  <c r="B305" i="3" a="1"/>
  <c r="E329" i="3"/>
  <c r="CC329" i="3"/>
  <c r="A353" i="3"/>
  <c r="CD328" i="3"/>
  <c r="C352" i="3"/>
  <c r="G304" i="3" a="1"/>
  <c r="BB304" i="3" a="1"/>
  <c r="CE304" i="3" a="1"/>
  <c r="B304" i="3" a="1"/>
  <c r="E328" i="3"/>
  <c r="CC328" i="3"/>
  <c r="A352" i="3"/>
  <c r="CD327" i="3"/>
  <c r="C351" i="3"/>
  <c r="G303" i="3" a="1"/>
  <c r="BB303" i="3" a="1"/>
  <c r="CE303" i="3" a="1"/>
  <c r="B303" i="3" a="1"/>
  <c r="E327" i="3"/>
  <c r="CC327" i="3"/>
  <c r="A351" i="3"/>
  <c r="CD326" i="3"/>
  <c r="C350" i="3"/>
  <c r="G302" i="3" a="1"/>
  <c r="BB302" i="3" a="1"/>
  <c r="CE302" i="3" a="1"/>
  <c r="B302" i="3" a="1"/>
  <c r="E326" i="3"/>
  <c r="CC326" i="3"/>
  <c r="A350" i="3"/>
  <c r="CD325" i="3"/>
  <c r="C349" i="3"/>
  <c r="G301" i="3" a="1"/>
  <c r="BB301" i="3" a="1"/>
  <c r="CE301" i="3" a="1"/>
  <c r="B301" i="3" a="1"/>
  <c r="E325" i="3"/>
  <c r="CC325" i="3"/>
  <c r="A349" i="3"/>
  <c r="CD324" i="3"/>
  <c r="C348" i="3"/>
  <c r="E324" i="3"/>
  <c r="CC324" i="3"/>
  <c r="A348" i="3"/>
  <c r="G300" i="3" a="1"/>
  <c r="BB300" i="3" a="1"/>
  <c r="CE300" i="3" a="1"/>
  <c r="B300" i="3" a="1"/>
  <c r="CD323" i="3"/>
  <c r="C347" i="3"/>
  <c r="G299" i="3" a="1"/>
  <c r="CE299" i="3" a="1"/>
  <c r="BB299" i="3" a="1"/>
  <c r="B299" i="3" a="1"/>
  <c r="E323" i="3"/>
  <c r="CC323" i="3"/>
  <c r="A347" i="3"/>
  <c r="CD322" i="3"/>
  <c r="C346" i="3"/>
  <c r="G298" i="3" a="1"/>
  <c r="B298" i="3" a="1"/>
  <c r="BB298" i="3" a="1"/>
  <c r="CE298" i="3" a="1"/>
  <c r="E322" i="3"/>
  <c r="CC322" i="3"/>
  <c r="A346" i="3"/>
  <c r="CD321" i="3"/>
  <c r="C345" i="3"/>
  <c r="B297" i="3" a="1"/>
  <c r="BB297" i="3" a="1"/>
  <c r="CE297" i="3" a="1"/>
  <c r="G297" i="3" a="1"/>
  <c r="E321" i="3"/>
  <c r="CC321" i="3"/>
  <c r="A345" i="3"/>
  <c r="CD320" i="3"/>
  <c r="C344" i="3"/>
  <c r="B296" i="3" a="1"/>
  <c r="BB296" i="3" a="1"/>
  <c r="CE296" i="3" a="1"/>
  <c r="G296" i="3" a="1"/>
  <c r="E320" i="3"/>
  <c r="CC320" i="3"/>
  <c r="A344" i="3"/>
  <c r="CD319" i="3"/>
  <c r="C343" i="3"/>
  <c r="B295" i="3" a="1"/>
  <c r="BB295" i="3" a="1"/>
  <c r="CE295" i="3" a="1"/>
  <c r="G295" i="3" a="1"/>
  <c r="E319" i="3"/>
  <c r="CC319" i="3"/>
  <c r="A343" i="3"/>
  <c r="CD318" i="3"/>
  <c r="C342" i="3"/>
  <c r="B294" i="3" a="1"/>
  <c r="BB294" i="3" a="1"/>
  <c r="CE294" i="3" a="1"/>
  <c r="G294" i="3" a="1"/>
  <c r="E318" i="3"/>
  <c r="CC318" i="3"/>
  <c r="A342" i="3"/>
  <c r="CD293" i="3"/>
  <c r="C317" i="3"/>
  <c r="G269" i="3" a="1"/>
  <c r="BB269" i="3" a="1"/>
  <c r="CE269" i="3" a="1"/>
  <c r="B269" i="3" a="1"/>
  <c r="E293" i="3"/>
  <c r="CC293" i="3"/>
  <c r="A317" i="3"/>
  <c r="CD292" i="3"/>
  <c r="C316" i="3"/>
  <c r="G268" i="3" a="1"/>
  <c r="BB268" i="3" a="1"/>
  <c r="CE268" i="3" a="1"/>
  <c r="B268" i="3" a="1"/>
  <c r="E292" i="3"/>
  <c r="CC292" i="3"/>
  <c r="A316" i="3"/>
  <c r="CD291" i="3"/>
  <c r="C315" i="3"/>
  <c r="G267" i="3" a="1"/>
  <c r="BB267" i="3" a="1"/>
  <c r="CE267" i="3" a="1"/>
  <c r="B267" i="3" a="1"/>
  <c r="E291" i="3"/>
  <c r="CC291" i="3"/>
  <c r="A315" i="3"/>
  <c r="CD290" i="3"/>
  <c r="C314" i="3"/>
  <c r="G266" i="3" a="1"/>
  <c r="BB266" i="3" a="1"/>
  <c r="CE266" i="3" a="1"/>
  <c r="B266" i="3" a="1"/>
  <c r="E290" i="3"/>
  <c r="CC290" i="3"/>
  <c r="A314" i="3"/>
  <c r="CD289" i="3"/>
  <c r="C313" i="3"/>
  <c r="G265" i="3" a="1"/>
  <c r="BB265" i="3" a="1"/>
  <c r="CE265" i="3" a="1"/>
  <c r="B265" i="3" a="1"/>
  <c r="E289" i="3"/>
  <c r="CC289" i="3"/>
  <c r="A313" i="3"/>
  <c r="CD288" i="3"/>
  <c r="C312" i="3"/>
  <c r="G264" i="3" a="1"/>
  <c r="BB264" i="3" a="1"/>
  <c r="CE264" i="3" a="1"/>
  <c r="B264" i="3" a="1"/>
  <c r="E288" i="3"/>
  <c r="CC288" i="3"/>
  <c r="A312" i="3"/>
  <c r="F287" i="3" a="1"/>
  <c r="H287" i="3" a="1"/>
  <c r="I287" i="3" a="1"/>
  <c r="J287" i="3" s="1"/>
  <c r="T287" i="3" s="1"/>
  <c r="D311" i="3"/>
  <c r="CD287" i="3"/>
  <c r="C311" i="3"/>
  <c r="G263" i="3" a="1"/>
  <c r="BB263" i="3" a="1"/>
  <c r="CE263" i="3" a="1"/>
  <c r="B263" i="3" a="1"/>
  <c r="E287" i="3"/>
  <c r="CC287" i="3"/>
  <c r="A311" i="3"/>
  <c r="F286" i="3" a="1"/>
  <c r="D310" i="3"/>
  <c r="CD286" i="3"/>
  <c r="C310" i="3"/>
  <c r="G262" i="3" a="1"/>
  <c r="BB262" i="3" a="1"/>
  <c r="CE262" i="3" a="1"/>
  <c r="B262" i="3" a="1"/>
  <c r="E286" i="3"/>
  <c r="CC286" i="3"/>
  <c r="A310" i="3"/>
  <c r="BP69" i="3"/>
  <c r="BT69" i="3" s="1"/>
  <c r="BL69" i="3"/>
  <c r="BN69" i="3" s="1"/>
  <c r="BL93" i="3"/>
  <c r="BN93" i="3" s="1"/>
  <c r="BP93" i="3"/>
  <c r="BT93" i="3" s="1"/>
  <c r="F285" i="3" a="1"/>
  <c r="D309" i="3"/>
  <c r="CD285" i="3"/>
  <c r="C309" i="3"/>
  <c r="G261" i="3" a="1"/>
  <c r="BB261" i="3" a="1"/>
  <c r="CE261" i="3" a="1"/>
  <c r="B261" i="3" a="1"/>
  <c r="E285" i="3"/>
  <c r="CC285" i="3"/>
  <c r="A309" i="3"/>
  <c r="BW44" i="3"/>
  <c r="BY44" i="3" s="1"/>
  <c r="CO44" i="3"/>
  <c r="BO68" i="3"/>
  <c r="BS68" i="3"/>
  <c r="BV68" i="3"/>
  <c r="BU68" i="3"/>
  <c r="BG92" i="3"/>
  <c r="AK92" i="3"/>
  <c r="AJ92" i="3"/>
  <c r="AL92" i="3"/>
  <c r="AK140" i="3"/>
  <c r="AJ140" i="3"/>
  <c r="BG140" i="3"/>
  <c r="AL140" i="3"/>
  <c r="Y236" i="3"/>
  <c r="U236" i="3"/>
  <c r="W236" i="3" s="1"/>
  <c r="AQ260" i="3"/>
  <c r="AW260" i="3"/>
  <c r="CH260" i="3"/>
  <c r="CQ260" i="3"/>
  <c r="CI260" i="3"/>
  <c r="CP260" i="3"/>
  <c r="R260" i="3"/>
  <c r="AB260" i="3" s="1"/>
  <c r="F284" i="3" a="1"/>
  <c r="H284" i="3" a="1"/>
  <c r="I284" i="3" a="1"/>
  <c r="J284" i="3" s="1"/>
  <c r="T284" i="3" s="1"/>
  <c r="L284" i="3" a="1"/>
  <c r="M284" i="3" a="1"/>
  <c r="O284" i="3" s="1"/>
  <c r="P284" i="3" a="1"/>
  <c r="Q284" i="3" s="1"/>
  <c r="V284" i="3" s="1"/>
  <c r="AZ284" i="3" a="1"/>
  <c r="BA284" i="3" a="1"/>
  <c r="BC284" i="3" a="1"/>
  <c r="BD284" i="3" a="1"/>
  <c r="BX284" i="3" a="1"/>
  <c r="D308" i="3"/>
  <c r="CB164" i="3"/>
  <c r="BQ164" i="3"/>
  <c r="AI164" i="3"/>
  <c r="BO67" i="3"/>
  <c r="BS67" i="3"/>
  <c r="BV67" i="3"/>
  <c r="BU67" i="3"/>
  <c r="BG91" i="3"/>
  <c r="AK91" i="3"/>
  <c r="AJ91" i="3"/>
  <c r="AL91" i="3"/>
  <c r="BF115" i="3"/>
  <c r="CS115" i="3"/>
  <c r="AR115" i="3"/>
  <c r="AS115" i="3" s="1"/>
  <c r="BK115" i="3"/>
  <c r="CT115" i="3"/>
  <c r="BH115" i="3"/>
  <c r="CB163" i="3"/>
  <c r="AI163" i="3"/>
  <c r="BQ163" i="3"/>
  <c r="Y235" i="3"/>
  <c r="U235" i="3"/>
  <c r="W235" i="3" s="1"/>
  <c r="AQ259" i="3"/>
  <c r="AW259" i="3"/>
  <c r="CH259" i="3"/>
  <c r="CQ259" i="3"/>
  <c r="CI259" i="3"/>
  <c r="CP259" i="3"/>
  <c r="R259" i="3"/>
  <c r="AB259" i="3" s="1"/>
  <c r="F283" i="3" a="1"/>
  <c r="H283" i="3" a="1"/>
  <c r="I283" i="3" a="1"/>
  <c r="J283" i="3" s="1"/>
  <c r="T283" i="3" s="1"/>
  <c r="L283" i="3" a="1"/>
  <c r="M283" i="3" a="1"/>
  <c r="O283" i="3" s="1"/>
  <c r="P283" i="3" a="1"/>
  <c r="Q283" i="3" s="1"/>
  <c r="V283" i="3" s="1"/>
  <c r="AZ283" i="3" a="1"/>
  <c r="BA283" i="3" a="1"/>
  <c r="BC283" i="3" a="1"/>
  <c r="BD283" i="3" a="1"/>
  <c r="BX283" i="3" a="1"/>
  <c r="D307" i="3"/>
  <c r="CO43" i="3"/>
  <c r="BW43" i="3"/>
  <c r="BY43" i="3" s="1"/>
  <c r="BO66" i="3"/>
  <c r="BS66" i="3"/>
  <c r="BV66" i="3"/>
  <c r="BU66" i="3"/>
  <c r="BG90" i="3"/>
  <c r="AK90" i="3"/>
  <c r="AJ90" i="3"/>
  <c r="AL90" i="3"/>
  <c r="BF114" i="3"/>
  <c r="CS114" i="3"/>
  <c r="AR114" i="3"/>
  <c r="AS114" i="3" s="1"/>
  <c r="BK114" i="3"/>
  <c r="CT114" i="3"/>
  <c r="BH114" i="3"/>
  <c r="AK138" i="3"/>
  <c r="AJ138" i="3"/>
  <c r="BG138" i="3"/>
  <c r="AL138" i="3"/>
  <c r="Y234" i="3"/>
  <c r="U234" i="3"/>
  <c r="W234" i="3" s="1"/>
  <c r="AQ258" i="3"/>
  <c r="AW258" i="3"/>
  <c r="CH258" i="3"/>
  <c r="CQ258" i="3"/>
  <c r="CI258" i="3"/>
  <c r="CP258" i="3"/>
  <c r="R258" i="3"/>
  <c r="AB258" i="3" s="1"/>
  <c r="F282" i="3" a="1"/>
  <c r="H282" i="3" a="1"/>
  <c r="I282" i="3" a="1"/>
  <c r="J282" i="3" s="1"/>
  <c r="T282" i="3" s="1"/>
  <c r="L282" i="3" a="1"/>
  <c r="M282" i="3" a="1"/>
  <c r="O282" i="3" s="1"/>
  <c r="P282" i="3" a="1"/>
  <c r="Q282" i="3" s="1"/>
  <c r="V282" i="3" s="1"/>
  <c r="AZ282" i="3" a="1"/>
  <c r="BA282" i="3" a="1"/>
  <c r="BC282" i="3" a="1"/>
  <c r="BD282" i="3" a="1"/>
  <c r="BX282" i="3" a="1"/>
  <c r="D306" i="3"/>
  <c r="CB162" i="3"/>
  <c r="BQ162" i="3"/>
  <c r="AI162" i="3"/>
  <c r="CO42" i="3"/>
  <c r="BW42" i="3"/>
  <c r="BY42" i="3" s="1"/>
  <c r="BO65" i="3"/>
  <c r="BS65" i="3"/>
  <c r="BV65" i="3"/>
  <c r="BU65" i="3"/>
  <c r="BG89" i="3"/>
  <c r="AK89" i="3"/>
  <c r="AJ89" i="3"/>
  <c r="AL89" i="3"/>
  <c r="BF113" i="3"/>
  <c r="CS113" i="3"/>
  <c r="AR113" i="3"/>
  <c r="AS113" i="3" s="1"/>
  <c r="BK113" i="3"/>
  <c r="CT113" i="3"/>
  <c r="BH113" i="3"/>
  <c r="CB161" i="3"/>
  <c r="BQ161" i="3"/>
  <c r="AI161" i="3"/>
  <c r="Y233" i="3"/>
  <c r="U233" i="3"/>
  <c r="W233" i="3" s="1"/>
  <c r="AQ257" i="3"/>
  <c r="AW257" i="3"/>
  <c r="CH257" i="3"/>
  <c r="CQ257" i="3"/>
  <c r="CI257" i="3"/>
  <c r="CP257" i="3"/>
  <c r="R257" i="3"/>
  <c r="AB257" i="3" s="1"/>
  <c r="F281" i="3" a="1"/>
  <c r="H281" i="3" a="1"/>
  <c r="I281" i="3" a="1"/>
  <c r="J281" i="3" s="1"/>
  <c r="T281" i="3" s="1"/>
  <c r="L281" i="3" a="1"/>
  <c r="M281" i="3" a="1"/>
  <c r="O281" i="3" s="1"/>
  <c r="P281" i="3" a="1"/>
  <c r="Q281" i="3" s="1"/>
  <c r="V281" i="3" s="1"/>
  <c r="AZ281" i="3" a="1"/>
  <c r="BA281" i="3" a="1"/>
  <c r="BC281" i="3" a="1"/>
  <c r="BD281" i="3" a="1"/>
  <c r="BX281" i="3" a="1"/>
  <c r="D305" i="3"/>
  <c r="CO41" i="3"/>
  <c r="BW41" i="3"/>
  <c r="BY41" i="3" s="1"/>
  <c r="BO64" i="3"/>
  <c r="BS64" i="3"/>
  <c r="BV64" i="3"/>
  <c r="BU64" i="3"/>
  <c r="BG88" i="3"/>
  <c r="AK88" i="3"/>
  <c r="AJ88" i="3"/>
  <c r="AL88" i="3"/>
  <c r="BF112" i="3"/>
  <c r="CS112" i="3"/>
  <c r="AR112" i="3"/>
  <c r="AS112" i="3" s="1"/>
  <c r="BK112" i="3"/>
  <c r="CT112" i="3"/>
  <c r="BH112" i="3"/>
  <c r="CB160" i="3"/>
  <c r="BQ160" i="3"/>
  <c r="AI160" i="3"/>
  <c r="Y232" i="3"/>
  <c r="U232" i="3"/>
  <c r="W232" i="3" s="1"/>
  <c r="AQ256" i="3"/>
  <c r="AW256" i="3"/>
  <c r="CH256" i="3"/>
  <c r="CQ256" i="3"/>
  <c r="CI256" i="3"/>
  <c r="CP256" i="3"/>
  <c r="R256" i="3"/>
  <c r="AB256" i="3" s="1"/>
  <c r="F280" i="3" a="1"/>
  <c r="H280" i="3" a="1"/>
  <c r="I280" i="3" a="1"/>
  <c r="J280" i="3" s="1"/>
  <c r="T280" i="3" s="1"/>
  <c r="L280" i="3" a="1"/>
  <c r="M280" i="3" a="1"/>
  <c r="O280" i="3" s="1"/>
  <c r="P280" i="3" a="1"/>
  <c r="Q280" i="3" s="1"/>
  <c r="V280" i="3" s="1"/>
  <c r="AZ280" i="3" a="1"/>
  <c r="BA280" i="3" a="1"/>
  <c r="BC280" i="3" a="1"/>
  <c r="BD280" i="3" a="1"/>
  <c r="BX280" i="3" a="1"/>
  <c r="D304" i="3"/>
  <c r="BW40" i="3"/>
  <c r="BY40" i="3" s="1"/>
  <c r="CO40" i="3"/>
  <c r="BW39" i="3"/>
  <c r="BY39" i="3" s="1"/>
  <c r="CO39" i="3"/>
  <c r="BO63" i="3"/>
  <c r="BS63" i="3"/>
  <c r="BV63" i="3"/>
  <c r="BU63" i="3"/>
  <c r="BG87" i="3"/>
  <c r="AK87" i="3"/>
  <c r="AJ87" i="3"/>
  <c r="AL87" i="3"/>
  <c r="BF111" i="3"/>
  <c r="CS111" i="3"/>
  <c r="AR111" i="3"/>
  <c r="AS111" i="3" s="1"/>
  <c r="BK111" i="3"/>
  <c r="CT111" i="3"/>
  <c r="BH111" i="3"/>
  <c r="CB159" i="3"/>
  <c r="BQ159" i="3"/>
  <c r="AI159" i="3"/>
  <c r="Y231" i="3"/>
  <c r="U231" i="3"/>
  <c r="W231" i="3" s="1"/>
  <c r="AQ255" i="3"/>
  <c r="AW255" i="3"/>
  <c r="CH255" i="3"/>
  <c r="CQ255" i="3"/>
  <c r="CI255" i="3"/>
  <c r="CP255" i="3"/>
  <c r="F279" i="3" a="1"/>
  <c r="H279" i="3" a="1"/>
  <c r="I279" i="3" a="1"/>
  <c r="J279" i="3" s="1"/>
  <c r="T279" i="3" s="1"/>
  <c r="L279" i="3" a="1"/>
  <c r="M279" i="3" a="1"/>
  <c r="O279" i="3" s="1"/>
  <c r="P279" i="3" a="1"/>
  <c r="Q279" i="3" s="1"/>
  <c r="V279" i="3" s="1"/>
  <c r="AZ279" i="3" a="1"/>
  <c r="BA279" i="3" a="1"/>
  <c r="BC279" i="3" a="1"/>
  <c r="BD279" i="3" a="1"/>
  <c r="BX279" i="3" a="1"/>
  <c r="D303" i="3"/>
  <c r="R255" i="3"/>
  <c r="AB255" i="3" s="1"/>
  <c r="BW38" i="3"/>
  <c r="BY38" i="3" s="1"/>
  <c r="CO38" i="3"/>
  <c r="BV62" i="3"/>
  <c r="BU62" i="3"/>
  <c r="BG86" i="3"/>
  <c r="AK86" i="3"/>
  <c r="AJ86" i="3"/>
  <c r="AL86" i="3"/>
  <c r="BF110" i="3"/>
  <c r="CS110" i="3"/>
  <c r="AR110" i="3"/>
  <c r="AS110" i="3" s="1"/>
  <c r="BK110" i="3"/>
  <c r="CT110" i="3"/>
  <c r="BH110" i="3"/>
  <c r="AK134" i="3"/>
  <c r="AJ134" i="3"/>
  <c r="BG134" i="3"/>
  <c r="AL134" i="3"/>
  <c r="CB158" i="3"/>
  <c r="BQ158" i="3"/>
  <c r="AI158" i="3"/>
  <c r="Y230" i="3"/>
  <c r="U230" i="3"/>
  <c r="W230" i="3" s="1"/>
  <c r="AQ254" i="3"/>
  <c r="AW254" i="3"/>
  <c r="CH254" i="3"/>
  <c r="CQ254" i="3"/>
  <c r="CI254" i="3"/>
  <c r="CP254" i="3"/>
  <c r="F278" i="3" a="1"/>
  <c r="H278" i="3" a="1"/>
  <c r="I278" i="3" a="1"/>
  <c r="J278" i="3" s="1"/>
  <c r="T278" i="3" s="1"/>
  <c r="L278" i="3" a="1"/>
  <c r="M278" i="3" a="1"/>
  <c r="O278" i="3" s="1"/>
  <c r="P278" i="3" a="1"/>
  <c r="Q278" i="3" s="1"/>
  <c r="V278" i="3" s="1"/>
  <c r="AZ278" i="3" a="1"/>
  <c r="BA278" i="3" a="1"/>
  <c r="BC278" i="3" a="1"/>
  <c r="BD278" i="3" a="1"/>
  <c r="BX278" i="3" a="1"/>
  <c r="D302" i="3"/>
  <c r="R254" i="3"/>
  <c r="AB254" i="3" s="1"/>
  <c r="BO61" i="3"/>
  <c r="BS61" i="3"/>
  <c r="BV61" i="3"/>
  <c r="BU61" i="3"/>
  <c r="BG85" i="3"/>
  <c r="AK85" i="3"/>
  <c r="AJ85" i="3"/>
  <c r="AL85" i="3"/>
  <c r="BF109" i="3"/>
  <c r="CS109" i="3"/>
  <c r="AR109" i="3"/>
  <c r="AS109" i="3" s="1"/>
  <c r="BK109" i="3"/>
  <c r="CT109" i="3"/>
  <c r="BH109" i="3"/>
  <c r="AK133" i="3"/>
  <c r="AJ133" i="3"/>
  <c r="BG133" i="3"/>
  <c r="AL133" i="3"/>
  <c r="CB157" i="3"/>
  <c r="BQ157" i="3"/>
  <c r="AI157" i="3"/>
  <c r="Y229" i="3"/>
  <c r="U229" i="3"/>
  <c r="W229" i="3" s="1"/>
  <c r="AQ253" i="3"/>
  <c r="AW253" i="3"/>
  <c r="CQ253" i="3"/>
  <c r="CH253" i="3"/>
  <c r="CI253" i="3"/>
  <c r="CP253" i="3"/>
  <c r="R253" i="3"/>
  <c r="AB253" i="3" s="1"/>
  <c r="F277" i="3" a="1"/>
  <c r="H277" i="3" a="1"/>
  <c r="I277" i="3" a="1"/>
  <c r="J277" i="3" s="1"/>
  <c r="T277" i="3" s="1"/>
  <c r="L277" i="3" a="1"/>
  <c r="M277" i="3" a="1"/>
  <c r="O277" i="3" s="1"/>
  <c r="P277" i="3" a="1"/>
  <c r="Q277" i="3" s="1"/>
  <c r="V277" i="3" s="1"/>
  <c r="AZ277" i="3" a="1"/>
  <c r="BA277" i="3" a="1"/>
  <c r="BC277" i="3" a="1"/>
  <c r="BD277" i="3" a="1"/>
  <c r="BX277" i="3" a="1"/>
  <c r="D301" i="3"/>
  <c r="CO37" i="3"/>
  <c r="BW37" i="3"/>
  <c r="BY37" i="3" s="1"/>
  <c r="CO36" i="3"/>
  <c r="BW36" i="3"/>
  <c r="BY36" i="3" s="1"/>
  <c r="BO60" i="3"/>
  <c r="BS60" i="3"/>
  <c r="BV60" i="3"/>
  <c r="BU60" i="3"/>
  <c r="BG84" i="3"/>
  <c r="AK84" i="3"/>
  <c r="AJ84" i="3"/>
  <c r="AL84" i="3"/>
  <c r="AK132" i="3"/>
  <c r="AJ132" i="3"/>
  <c r="BG132" i="3"/>
  <c r="AL132" i="3"/>
  <c r="CB156" i="3"/>
  <c r="BQ156" i="3"/>
  <c r="AI156" i="3"/>
  <c r="Y228" i="3"/>
  <c r="U228" i="3"/>
  <c r="W228" i="3" s="1"/>
  <c r="Z228" i="3" s="1"/>
  <c r="AC228" i="3" s="1"/>
  <c r="AD228" i="3" s="1"/>
  <c r="CR228" i="3" s="1"/>
  <c r="AQ252" i="3"/>
  <c r="AW252" i="3"/>
  <c r="CH252" i="3"/>
  <c r="CQ252" i="3"/>
  <c r="CI252" i="3"/>
  <c r="CP252" i="3"/>
  <c r="R252" i="3"/>
  <c r="AB252" i="3" s="1"/>
  <c r="F276" i="3" a="1"/>
  <c r="H276" i="3" a="1"/>
  <c r="I276" i="3" a="1"/>
  <c r="J276" i="3" s="1"/>
  <c r="T276" i="3" s="1"/>
  <c r="L276" i="3" a="1"/>
  <c r="M276" i="3" a="1"/>
  <c r="O276" i="3" s="1"/>
  <c r="P276" i="3" a="1"/>
  <c r="Q276" i="3" s="1"/>
  <c r="V276" i="3" s="1"/>
  <c r="AZ276" i="3" a="1"/>
  <c r="BA276" i="3" a="1"/>
  <c r="BC276" i="3" a="1"/>
  <c r="BD276" i="3" a="1"/>
  <c r="BX276" i="3" a="1"/>
  <c r="D300" i="3"/>
  <c r="BO59" i="3"/>
  <c r="BS59" i="3"/>
  <c r="BV59" i="3"/>
  <c r="BU59" i="3"/>
  <c r="BG83" i="3"/>
  <c r="AK83" i="3"/>
  <c r="AJ83" i="3"/>
  <c r="AL83" i="3"/>
  <c r="BF107" i="3"/>
  <c r="CS107" i="3"/>
  <c r="AR107" i="3"/>
  <c r="AS107" i="3" s="1"/>
  <c r="BK107" i="3"/>
  <c r="CT107" i="3"/>
  <c r="BH107" i="3"/>
  <c r="AK131" i="3"/>
  <c r="AJ131" i="3"/>
  <c r="BG131" i="3"/>
  <c r="AL131" i="3"/>
  <c r="CB155" i="3"/>
  <c r="BQ155" i="3"/>
  <c r="AI155" i="3"/>
  <c r="Y227" i="3"/>
  <c r="U227" i="3"/>
  <c r="W227" i="3" s="1"/>
  <c r="AQ251" i="3"/>
  <c r="AW251" i="3"/>
  <c r="CH251" i="3"/>
  <c r="CQ251" i="3"/>
  <c r="CI251" i="3"/>
  <c r="CP251" i="3"/>
  <c r="R251" i="3"/>
  <c r="AB251" i="3" s="1"/>
  <c r="F275" i="3" a="1"/>
  <c r="H275" i="3" a="1"/>
  <c r="I275" i="3" a="1"/>
  <c r="J275" i="3" s="1"/>
  <c r="T275" i="3" s="1"/>
  <c r="L275" i="3" a="1"/>
  <c r="M275" i="3" a="1"/>
  <c r="O275" i="3" s="1"/>
  <c r="P275" i="3" a="1"/>
  <c r="Q275" i="3" s="1"/>
  <c r="V275" i="3" s="1"/>
  <c r="AZ275" i="3" a="1"/>
  <c r="BA275" i="3" a="1"/>
  <c r="BC275" i="3" a="1"/>
  <c r="BD275" i="3" a="1"/>
  <c r="BX275" i="3" a="1"/>
  <c r="D299" i="3"/>
  <c r="BW35" i="3"/>
  <c r="BY35" i="3" s="1"/>
  <c r="CO35" i="3"/>
  <c r="BO58" i="3"/>
  <c r="BS58" i="3"/>
  <c r="BV58" i="3"/>
  <c r="BU58" i="3"/>
  <c r="BG82" i="3"/>
  <c r="AK82" i="3"/>
  <c r="AJ82" i="3"/>
  <c r="AL82" i="3"/>
  <c r="BF106" i="3"/>
  <c r="CS106" i="3"/>
  <c r="AR106" i="3"/>
  <c r="AS106" i="3" s="1"/>
  <c r="BK106" i="3"/>
  <c r="CT106" i="3"/>
  <c r="BH106" i="3"/>
  <c r="AK130" i="3"/>
  <c r="AJ130" i="3"/>
  <c r="BG130" i="3"/>
  <c r="AL130" i="3"/>
  <c r="CB154" i="3"/>
  <c r="BQ154" i="3"/>
  <c r="AI154" i="3"/>
  <c r="Y226" i="3"/>
  <c r="U226" i="3"/>
  <c r="W226" i="3" s="1"/>
  <c r="AQ250" i="3"/>
  <c r="AW250" i="3"/>
  <c r="CH250" i="3"/>
  <c r="CQ250" i="3"/>
  <c r="CI250" i="3"/>
  <c r="CP250" i="3"/>
  <c r="R250" i="3"/>
  <c r="AB250" i="3" s="1"/>
  <c r="F274" i="3" a="1"/>
  <c r="H274" i="3" a="1"/>
  <c r="I274" i="3" a="1"/>
  <c r="J274" i="3" s="1"/>
  <c r="T274" i="3" s="1"/>
  <c r="L274" i="3" a="1"/>
  <c r="M274" i="3" a="1"/>
  <c r="O274" i="3" s="1"/>
  <c r="P274" i="3" a="1"/>
  <c r="Q274" i="3" s="1"/>
  <c r="V274" i="3" s="1"/>
  <c r="AZ274" i="3" a="1"/>
  <c r="BA274" i="3" a="1"/>
  <c r="BC274" i="3" a="1"/>
  <c r="BD274" i="3" a="1"/>
  <c r="BX274" i="3" a="1"/>
  <c r="D298" i="3"/>
  <c r="BW34" i="3"/>
  <c r="BY34" i="3" s="1"/>
  <c r="CO34" i="3"/>
  <c r="BW33" i="3"/>
  <c r="BY33" i="3" s="1"/>
  <c r="CO33" i="3"/>
  <c r="BO57" i="3"/>
  <c r="BS57" i="3"/>
  <c r="BV57" i="3"/>
  <c r="BU57" i="3"/>
  <c r="BG81" i="3"/>
  <c r="AK81" i="3"/>
  <c r="AJ81" i="3"/>
  <c r="AL81" i="3"/>
  <c r="CS105" i="3"/>
  <c r="AR105" i="3"/>
  <c r="AS105" i="3" s="1"/>
  <c r="BK105" i="3"/>
  <c r="BF105" i="3"/>
  <c r="CT105" i="3"/>
  <c r="BH105" i="3"/>
  <c r="Y225" i="3"/>
  <c r="U225" i="3"/>
  <c r="W225" i="3" s="1"/>
  <c r="AQ249" i="3"/>
  <c r="AW249" i="3"/>
  <c r="CH249" i="3"/>
  <c r="CQ249" i="3"/>
  <c r="CI249" i="3"/>
  <c r="CP249" i="3"/>
  <c r="R249" i="3"/>
  <c r="AB249" i="3" s="1"/>
  <c r="F273" i="3" a="1"/>
  <c r="H273" i="3" a="1"/>
  <c r="I273" i="3" a="1"/>
  <c r="J273" i="3" s="1"/>
  <c r="T273" i="3" s="1"/>
  <c r="L273" i="3" a="1"/>
  <c r="M273" i="3" a="1"/>
  <c r="O273" i="3" s="1"/>
  <c r="P273" i="3" a="1"/>
  <c r="Q273" i="3" s="1"/>
  <c r="V273" i="3" s="1"/>
  <c r="AZ273" i="3" a="1"/>
  <c r="BA273" i="3" a="1"/>
  <c r="BC273" i="3" a="1"/>
  <c r="BD273" i="3" a="1"/>
  <c r="BX273" i="3" a="1"/>
  <c r="D297" i="3"/>
  <c r="CO32" i="3"/>
  <c r="BW32" i="3"/>
  <c r="BY32" i="3" s="1"/>
  <c r="BO56" i="3"/>
  <c r="BS56" i="3"/>
  <c r="BV56" i="3"/>
  <c r="BU56" i="3"/>
  <c r="BG80" i="3"/>
  <c r="AK80" i="3"/>
  <c r="AJ80" i="3"/>
  <c r="AL80" i="3"/>
  <c r="AK128" i="3"/>
  <c r="AJ128" i="3"/>
  <c r="BG128" i="3"/>
  <c r="AL128" i="3"/>
  <c r="CB152" i="3"/>
  <c r="AI152" i="3"/>
  <c r="BQ152" i="3"/>
  <c r="Y224" i="3"/>
  <c r="U224" i="3"/>
  <c r="W224" i="3" s="1"/>
  <c r="AQ248" i="3"/>
  <c r="AW248" i="3"/>
  <c r="CH248" i="3"/>
  <c r="CQ248" i="3"/>
  <c r="CI248" i="3"/>
  <c r="CP248" i="3"/>
  <c r="R248" i="3"/>
  <c r="AB248" i="3" s="1"/>
  <c r="F272" i="3" a="1"/>
  <c r="H272" i="3" a="1"/>
  <c r="I272" i="3" a="1"/>
  <c r="J272" i="3" s="1"/>
  <c r="T272" i="3" s="1"/>
  <c r="L272" i="3" a="1"/>
  <c r="M272" i="3" a="1"/>
  <c r="O272" i="3" s="1"/>
  <c r="P272" i="3" a="1"/>
  <c r="Q272" i="3" s="1"/>
  <c r="V272" i="3" s="1"/>
  <c r="AZ272" i="3" a="1"/>
  <c r="BA272" i="3" a="1"/>
  <c r="BC272" i="3" a="1"/>
  <c r="BD272" i="3" a="1"/>
  <c r="BX272" i="3" a="1"/>
  <c r="D296" i="3"/>
  <c r="CO31" i="3"/>
  <c r="BW31" i="3"/>
  <c r="BY31" i="3" s="1"/>
  <c r="BO55" i="3"/>
  <c r="BS55" i="3"/>
  <c r="BV55" i="3"/>
  <c r="BU55" i="3"/>
  <c r="BG79" i="3"/>
  <c r="AK79" i="3"/>
  <c r="AJ79" i="3"/>
  <c r="AL79" i="3"/>
  <c r="BG127" i="3"/>
  <c r="AK127" i="3"/>
  <c r="AJ127" i="3"/>
  <c r="AL127" i="3"/>
  <c r="CB151" i="3"/>
  <c r="AI151" i="3"/>
  <c r="BQ151" i="3"/>
  <c r="Y223" i="3"/>
  <c r="U223" i="3"/>
  <c r="W223" i="3" s="1"/>
  <c r="AQ247" i="3"/>
  <c r="AW247" i="3"/>
  <c r="CH247" i="3"/>
  <c r="CQ247" i="3"/>
  <c r="CI247" i="3"/>
  <c r="CP247" i="3"/>
  <c r="R247" i="3"/>
  <c r="AB247" i="3" s="1"/>
  <c r="F271" i="3" a="1"/>
  <c r="H271" i="3" a="1"/>
  <c r="I271" i="3" a="1"/>
  <c r="J271" i="3" s="1"/>
  <c r="T271" i="3" s="1"/>
  <c r="L271" i="3" a="1"/>
  <c r="M271" i="3" a="1"/>
  <c r="O271" i="3" s="1"/>
  <c r="P271" i="3" a="1"/>
  <c r="Q271" i="3" s="1"/>
  <c r="V271" i="3" s="1"/>
  <c r="AZ271" i="3" a="1"/>
  <c r="BA271" i="3" a="1"/>
  <c r="BC271" i="3" a="1"/>
  <c r="BD271" i="3" a="1"/>
  <c r="BX271" i="3" a="1"/>
  <c r="D295" i="3"/>
  <c r="BW30" i="3"/>
  <c r="BY30" i="3" s="1"/>
  <c r="CO30" i="3"/>
  <c r="BO54" i="3"/>
  <c r="BS54" i="3"/>
  <c r="BV54" i="3"/>
  <c r="BU54" i="3"/>
  <c r="BG78" i="3"/>
  <c r="AK78" i="3"/>
  <c r="AJ78" i="3"/>
  <c r="AL78" i="3"/>
  <c r="AK126" i="3"/>
  <c r="BG126" i="3"/>
  <c r="AJ126" i="3"/>
  <c r="AL126" i="3"/>
  <c r="CB150" i="3"/>
  <c r="AI150" i="3"/>
  <c r="BQ150" i="3"/>
  <c r="Y222" i="3"/>
  <c r="U222" i="3"/>
  <c r="W222" i="3" s="1"/>
  <c r="AQ246" i="3"/>
  <c r="AW246" i="3"/>
  <c r="CH246" i="3"/>
  <c r="CQ246" i="3"/>
  <c r="CI246" i="3"/>
  <c r="CP246" i="3"/>
  <c r="R246" i="3"/>
  <c r="AB246" i="3" s="1"/>
  <c r="F270" i="3" a="1"/>
  <c r="H270" i="3" a="1"/>
  <c r="I270" i="3" a="1"/>
  <c r="J270" i="3" s="1"/>
  <c r="T270" i="3" s="1"/>
  <c r="L270" i="3" a="1"/>
  <c r="M270" i="3" a="1"/>
  <c r="O270" i="3" s="1"/>
  <c r="P270" i="3" a="1"/>
  <c r="Q270" i="3" s="1"/>
  <c r="V270" i="3" s="1"/>
  <c r="AZ270" i="3" a="1"/>
  <c r="BA270" i="3" a="1"/>
  <c r="BC270" i="3" a="1"/>
  <c r="BD270" i="3" a="1"/>
  <c r="BX270" i="3" a="1"/>
  <c r="D294" i="3"/>
  <c r="BO53" i="3"/>
  <c r="BS53" i="3"/>
  <c r="BV53" i="3"/>
  <c r="BU53" i="3"/>
  <c r="AK77" i="3"/>
  <c r="AJ77" i="3"/>
  <c r="BG77" i="3"/>
  <c r="AL77" i="3"/>
  <c r="AJ125" i="3"/>
  <c r="AK125" i="3"/>
  <c r="BG125" i="3"/>
  <c r="AL125" i="3"/>
  <c r="CB149" i="3"/>
  <c r="AI149" i="3"/>
  <c r="BQ149" i="3"/>
  <c r="Y221" i="3"/>
  <c r="U221" i="3"/>
  <c r="W221" i="3" s="1"/>
  <c r="AQ245" i="3"/>
  <c r="AW245" i="3"/>
  <c r="CH245" i="3"/>
  <c r="CQ245" i="3"/>
  <c r="CI245" i="3"/>
  <c r="CP245" i="3"/>
  <c r="R245" i="3"/>
  <c r="AB245" i="3" s="1"/>
  <c r="F269" i="3" a="1"/>
  <c r="H269" i="3" a="1"/>
  <c r="I269" i="3" a="1"/>
  <c r="J269" i="3" s="1"/>
  <c r="T269" i="3" s="1"/>
  <c r="L269" i="3" a="1"/>
  <c r="M269" i="3" a="1"/>
  <c r="O269" i="3" s="1"/>
  <c r="P269" i="3" a="1"/>
  <c r="Q269" i="3" s="1"/>
  <c r="V269" i="3" s="1"/>
  <c r="AZ269" i="3" a="1"/>
  <c r="BA269" i="3" a="1"/>
  <c r="BC269" i="3" a="1"/>
  <c r="BD269" i="3" a="1"/>
  <c r="BX269" i="3" a="1"/>
  <c r="D293" i="3"/>
  <c r="BW29" i="3"/>
  <c r="BY29" i="3" s="1"/>
  <c r="CO29" i="3"/>
  <c r="BO52" i="3"/>
  <c r="BS52" i="3"/>
  <c r="BV52" i="3"/>
  <c r="BU52" i="3"/>
  <c r="BG76" i="3"/>
  <c r="AK76" i="3"/>
  <c r="AJ76" i="3"/>
  <c r="AL76" i="3"/>
  <c r="BF100" i="3"/>
  <c r="CS100" i="3"/>
  <c r="AR100" i="3"/>
  <c r="AS100" i="3" s="1"/>
  <c r="BK100" i="3"/>
  <c r="CT100" i="3"/>
  <c r="BH100" i="3"/>
  <c r="AK124" i="3"/>
  <c r="BG124" i="3"/>
  <c r="AJ124" i="3"/>
  <c r="AL124" i="3"/>
  <c r="CB148" i="3"/>
  <c r="AI148" i="3"/>
  <c r="BQ148" i="3"/>
  <c r="Y220" i="3"/>
  <c r="U220" i="3"/>
  <c r="W220" i="3" s="1"/>
  <c r="AQ244" i="3"/>
  <c r="AW244" i="3"/>
  <c r="CH244" i="3"/>
  <c r="CQ244" i="3"/>
  <c r="CI244" i="3"/>
  <c r="CP244" i="3"/>
  <c r="R244" i="3"/>
  <c r="AB244" i="3" s="1"/>
  <c r="F268" i="3" a="1"/>
  <c r="H268" i="3" a="1"/>
  <c r="I268" i="3" a="1"/>
  <c r="J268" i="3" s="1"/>
  <c r="T268" i="3" s="1"/>
  <c r="L268" i="3" a="1"/>
  <c r="M268" i="3" a="1"/>
  <c r="O268" i="3" s="1"/>
  <c r="P268" i="3" a="1"/>
  <c r="Q268" i="3" s="1"/>
  <c r="V268" i="3" s="1"/>
  <c r="AZ268" i="3" a="1"/>
  <c r="BA268" i="3" a="1"/>
  <c r="BC268" i="3" a="1"/>
  <c r="BD268" i="3" a="1"/>
  <c r="BX268" i="3" a="1"/>
  <c r="D292" i="3"/>
  <c r="CO28" i="3"/>
  <c r="BW28" i="3"/>
  <c r="BY28" i="3" s="1"/>
  <c r="BW27" i="3"/>
  <c r="BY27" i="3" s="1"/>
  <c r="CO27" i="3"/>
  <c r="BO51" i="3"/>
  <c r="BS51" i="3"/>
  <c r="BV51" i="3"/>
  <c r="BU51" i="3"/>
  <c r="BG75" i="3"/>
  <c r="AK75" i="3"/>
  <c r="AJ75" i="3"/>
  <c r="AL75" i="3"/>
  <c r="BF99" i="3"/>
  <c r="CS99" i="3"/>
  <c r="AR99" i="3"/>
  <c r="AS99" i="3" s="1"/>
  <c r="BK99" i="3"/>
  <c r="CT99" i="3"/>
  <c r="BH99" i="3"/>
  <c r="AK123" i="3"/>
  <c r="AJ123" i="3"/>
  <c r="BG123" i="3"/>
  <c r="AL123" i="3"/>
  <c r="CB147" i="3"/>
  <c r="AI147" i="3"/>
  <c r="BQ147" i="3"/>
  <c r="Y219" i="3"/>
  <c r="U219" i="3"/>
  <c r="W219" i="3" s="1"/>
  <c r="AQ243" i="3"/>
  <c r="AW243" i="3"/>
  <c r="CH243" i="3"/>
  <c r="CQ243" i="3"/>
  <c r="CI243" i="3"/>
  <c r="CP243" i="3"/>
  <c r="R243" i="3"/>
  <c r="AB243" i="3" s="1"/>
  <c r="F267" i="3" a="1"/>
  <c r="H267" i="3" a="1"/>
  <c r="I267" i="3" a="1"/>
  <c r="J267" i="3" s="1"/>
  <c r="T267" i="3" s="1"/>
  <c r="L267" i="3" a="1"/>
  <c r="M267" i="3" a="1"/>
  <c r="O267" i="3" s="1"/>
  <c r="P267" i="3" a="1"/>
  <c r="Q267" i="3" s="1"/>
  <c r="V267" i="3" s="1"/>
  <c r="AZ267" i="3" a="1"/>
  <c r="BA267" i="3" a="1"/>
  <c r="BC267" i="3" a="1"/>
  <c r="BD267" i="3" a="1"/>
  <c r="BX267" i="3" a="1"/>
  <c r="D291" i="3"/>
  <c r="BW26" i="3"/>
  <c r="BY26" i="3" s="1"/>
  <c r="CO26" i="3"/>
  <c r="BO50" i="3"/>
  <c r="BS50" i="3"/>
  <c r="BV50" i="3"/>
  <c r="BU50" i="3"/>
  <c r="BG74" i="3"/>
  <c r="AK74" i="3"/>
  <c r="AJ74" i="3"/>
  <c r="AL74" i="3"/>
  <c r="BF98" i="3"/>
  <c r="CS98" i="3"/>
  <c r="AR98" i="3"/>
  <c r="AS98" i="3" s="1"/>
  <c r="BK98" i="3"/>
  <c r="CT98" i="3"/>
  <c r="BH98" i="3"/>
  <c r="Y218" i="3"/>
  <c r="U218" i="3"/>
  <c r="W218" i="3" s="1"/>
  <c r="AQ242" i="3"/>
  <c r="AW242" i="3"/>
  <c r="CH242" i="3"/>
  <c r="CQ242" i="3"/>
  <c r="CI242" i="3"/>
  <c r="CP242" i="3"/>
  <c r="R242" i="3"/>
  <c r="AB242" i="3" s="1"/>
  <c r="F266" i="3" a="1"/>
  <c r="H266" i="3" a="1"/>
  <c r="I266" i="3" a="1"/>
  <c r="J266" i="3" s="1"/>
  <c r="T266" i="3" s="1"/>
  <c r="L266" i="3" a="1"/>
  <c r="M266" i="3" a="1"/>
  <c r="O266" i="3" s="1"/>
  <c r="P266" i="3" a="1"/>
  <c r="Q266" i="3" s="1"/>
  <c r="V266" i="3" s="1"/>
  <c r="AZ266" i="3" a="1"/>
  <c r="BA266" i="3" a="1"/>
  <c r="BC266" i="3" a="1"/>
  <c r="BD266" i="3" a="1"/>
  <c r="BX266" i="3" a="1"/>
  <c r="D290" i="3"/>
  <c r="BW25" i="3"/>
  <c r="BY25" i="3" s="1"/>
  <c r="CO25" i="3"/>
  <c r="BO49" i="3"/>
  <c r="BS49" i="3"/>
  <c r="BV49" i="3"/>
  <c r="BU49" i="3"/>
  <c r="BG73" i="3"/>
  <c r="AK73" i="3"/>
  <c r="AJ73" i="3"/>
  <c r="AL73" i="3"/>
  <c r="BF97" i="3"/>
  <c r="CS97" i="3"/>
  <c r="AR97" i="3"/>
  <c r="AS97" i="3" s="1"/>
  <c r="BK97" i="3"/>
  <c r="CT97" i="3"/>
  <c r="BH97" i="3"/>
  <c r="AK121" i="3"/>
  <c r="AJ121" i="3"/>
  <c r="BG121" i="3"/>
  <c r="AL121" i="3"/>
  <c r="CB145" i="3"/>
  <c r="AI145" i="3"/>
  <c r="BQ145" i="3"/>
  <c r="Y217" i="3"/>
  <c r="U217" i="3"/>
  <c r="W217" i="3" s="1"/>
  <c r="AQ241" i="3"/>
  <c r="AW241" i="3"/>
  <c r="CH241" i="3"/>
  <c r="CQ241" i="3"/>
  <c r="CI241" i="3"/>
  <c r="CP241" i="3"/>
  <c r="R241" i="3"/>
  <c r="AB241" i="3" s="1"/>
  <c r="F265" i="3" a="1"/>
  <c r="H265" i="3" a="1"/>
  <c r="I265" i="3" a="1"/>
  <c r="J265" i="3" s="1"/>
  <c r="T265" i="3" s="1"/>
  <c r="L265" i="3" a="1"/>
  <c r="M265" i="3" a="1"/>
  <c r="O265" i="3" s="1"/>
  <c r="P265" i="3" a="1"/>
  <c r="Q265" i="3" s="1"/>
  <c r="V265" i="3" s="1"/>
  <c r="AZ265" i="3" a="1"/>
  <c r="BA265" i="3" a="1"/>
  <c r="BC265" i="3" a="1"/>
  <c r="BD265" i="3" a="1"/>
  <c r="BX265" i="3" a="1"/>
  <c r="D289" i="3"/>
  <c r="BO48" i="3"/>
  <c r="BS48" i="3"/>
  <c r="BV48" i="3"/>
  <c r="BU48" i="3"/>
  <c r="BG72" i="3"/>
  <c r="AK72" i="3"/>
  <c r="AJ72" i="3"/>
  <c r="AL72" i="3"/>
  <c r="BF96" i="3"/>
  <c r="CS96" i="3"/>
  <c r="AR96" i="3"/>
  <c r="AS96" i="3" s="1"/>
  <c r="BK96" i="3"/>
  <c r="CT96" i="3"/>
  <c r="BH96" i="3"/>
  <c r="AK120" i="3"/>
  <c r="AJ120" i="3"/>
  <c r="BG120" i="3"/>
  <c r="AL120" i="3"/>
  <c r="Y216" i="3"/>
  <c r="U216" i="3"/>
  <c r="W216" i="3" s="1"/>
  <c r="AQ240" i="3"/>
  <c r="AW240" i="3"/>
  <c r="CH240" i="3"/>
  <c r="CQ240" i="3"/>
  <c r="CI240" i="3"/>
  <c r="CP240" i="3"/>
  <c r="R240" i="3"/>
  <c r="AB240" i="3" s="1"/>
  <c r="F264" i="3" a="1"/>
  <c r="H264" i="3" a="1"/>
  <c r="I264" i="3" a="1"/>
  <c r="J264" i="3" s="1"/>
  <c r="T264" i="3" s="1"/>
  <c r="L264" i="3" a="1"/>
  <c r="M264" i="3" a="1"/>
  <c r="O264" i="3" s="1"/>
  <c r="P264" i="3" a="1"/>
  <c r="Q264" i="3" s="1"/>
  <c r="V264" i="3" s="1"/>
  <c r="AZ264" i="3" a="1"/>
  <c r="BA264" i="3" a="1"/>
  <c r="BC264" i="3" a="1"/>
  <c r="BD264" i="3" a="1"/>
  <c r="BX264" i="3" a="1"/>
  <c r="D288" i="3"/>
  <c r="BW24" i="3"/>
  <c r="BY24" i="3" s="1"/>
  <c r="CO24" i="3"/>
  <c r="CB21" i="3"/>
  <c r="BQ21" i="3"/>
  <c r="AI21" i="3"/>
  <c r="BX104" i="3" a="1"/>
  <c r="CB104" i="3" s="1"/>
  <c r="AB191" i="4"/>
  <c r="AA191" i="4" s="1"/>
  <c r="H192" i="4"/>
  <c r="P14" i="4"/>
  <c r="B28" i="13"/>
  <c r="B54" i="13"/>
  <c r="B82" i="13"/>
  <c r="Q13" i="4"/>
  <c r="B27" i="19"/>
  <c r="B284" i="3" a="1"/>
  <c r="CE284" i="3" a="1"/>
  <c r="C27" i="13"/>
  <c r="C53" i="13"/>
  <c r="C81" i="13"/>
  <c r="O321" i="4"/>
  <c r="C26" i="19"/>
  <c r="BV22" i="3"/>
  <c r="BU22" i="3"/>
  <c r="BS22" i="3"/>
  <c r="BO22" i="3"/>
  <c r="BV23" i="3"/>
  <c r="BU23" i="3"/>
  <c r="BS23" i="3"/>
  <c r="BO23" i="3"/>
  <c r="BS46" i="3"/>
  <c r="BO46" i="3"/>
  <c r="BV46" i="3"/>
  <c r="BU46" i="3"/>
  <c r="BG71" i="3"/>
  <c r="AJ71" i="3"/>
  <c r="AK71" i="3"/>
  <c r="AL71" i="3"/>
  <c r="AF70" i="3"/>
  <c r="AG70" i="3" s="1"/>
  <c r="CS95" i="3"/>
  <c r="AR95" i="3"/>
  <c r="AS95" i="3" s="1"/>
  <c r="BK95" i="3"/>
  <c r="BF95" i="3"/>
  <c r="CT95" i="3"/>
  <c r="BH95" i="3"/>
  <c r="BL47" i="3"/>
  <c r="BN47" i="3" s="1"/>
  <c r="BP47" i="3"/>
  <c r="BT47" i="3" s="1"/>
  <c r="AJ119" i="3"/>
  <c r="AK119" i="3"/>
  <c r="BG119" i="3"/>
  <c r="AL119" i="3"/>
  <c r="AJ118" i="3"/>
  <c r="BG118" i="3"/>
  <c r="AK118" i="3"/>
  <c r="AL118" i="3"/>
  <c r="CS45" i="3"/>
  <c r="AR45" i="3"/>
  <c r="AS45" i="3" s="1"/>
  <c r="BK45" i="3"/>
  <c r="BF45" i="3"/>
  <c r="CT45" i="3"/>
  <c r="BH45" i="3"/>
  <c r="CB143" i="3"/>
  <c r="AI143" i="3"/>
  <c r="BQ143" i="3"/>
  <c r="CB139" i="3"/>
  <c r="AI139" i="3"/>
  <c r="BQ139" i="3"/>
  <c r="AF117" i="3"/>
  <c r="AG117" i="3" s="1"/>
  <c r="AH117" i="3" s="1"/>
  <c r="Y215" i="3"/>
  <c r="U215" i="3"/>
  <c r="W215" i="3" s="1"/>
  <c r="Y214" i="3"/>
  <c r="U214" i="3"/>
  <c r="W214" i="3" s="1"/>
  <c r="AF94" i="3"/>
  <c r="AG94" i="3" s="1"/>
  <c r="AH94" i="3" s="1"/>
  <c r="Y189" i="3"/>
  <c r="U189" i="3"/>
  <c r="W189" i="3" s="1"/>
  <c r="CQ239" i="3"/>
  <c r="CH239" i="3"/>
  <c r="AW239" i="3"/>
  <c r="AQ239" i="3"/>
  <c r="CP239" i="3"/>
  <c r="CI239" i="3"/>
  <c r="R239" i="3"/>
  <c r="AB239" i="3" s="1"/>
  <c r="CQ238" i="3"/>
  <c r="CH238" i="3"/>
  <c r="AW238" i="3"/>
  <c r="AQ238" i="3"/>
  <c r="CP238" i="3"/>
  <c r="CI238" i="3"/>
  <c r="R238" i="3"/>
  <c r="AB238" i="3" s="1"/>
  <c r="CQ237" i="3"/>
  <c r="CH237" i="3"/>
  <c r="AW237" i="3"/>
  <c r="AQ237" i="3"/>
  <c r="CP237" i="3"/>
  <c r="CI237" i="3"/>
  <c r="AA141" i="3"/>
  <c r="AE141" i="3" s="1"/>
  <c r="BR141" i="3"/>
  <c r="CR141" i="3"/>
  <c r="T213" i="3"/>
  <c r="R213" i="3"/>
  <c r="AB213" i="3" s="1"/>
  <c r="V213" i="3"/>
  <c r="P263" i="3" a="1"/>
  <c r="Q263" i="3" s="1"/>
  <c r="V263" i="3" s="1"/>
  <c r="H263" i="3" a="1"/>
  <c r="I263" i="3" a="1"/>
  <c r="J263" i="3" s="1"/>
  <c r="T263" i="3" s="1"/>
  <c r="L263" i="3" a="1"/>
  <c r="M263" i="3" a="1"/>
  <c r="O263" i="3" s="1"/>
  <c r="BX263" i="3" a="1"/>
  <c r="AZ263" i="3" a="1"/>
  <c r="BA263" i="3" a="1"/>
  <c r="BC263" i="3" a="1"/>
  <c r="BD263" i="3" a="1"/>
  <c r="L262" i="3" a="1"/>
  <c r="H262" i="3" a="1"/>
  <c r="I262" i="3" a="1"/>
  <c r="J262" i="3" s="1"/>
  <c r="T262" i="3" s="1"/>
  <c r="BX262" i="3" a="1"/>
  <c r="M262" i="3" a="1"/>
  <c r="O262" i="3" s="1"/>
  <c r="P262" i="3" a="1"/>
  <c r="Q262" i="3" s="1"/>
  <c r="V262" i="3" s="1"/>
  <c r="AZ262" i="3" a="1"/>
  <c r="BA262" i="3" a="1"/>
  <c r="BC262" i="3" a="1"/>
  <c r="BD262" i="3" a="1"/>
  <c r="AZ261" i="3" a="1"/>
  <c r="H261" i="3" a="1"/>
  <c r="I261" i="3" a="1"/>
  <c r="L261" i="3" a="1"/>
  <c r="M261" i="3" a="1"/>
  <c r="P261" i="3" a="1"/>
  <c r="BA261" i="3" a="1"/>
  <c r="BC261" i="3" a="1"/>
  <c r="BD261" i="3" a="1"/>
  <c r="BX261" i="3" a="1"/>
  <c r="O237" i="3"/>
  <c r="J237" i="3"/>
  <c r="Q237" i="3"/>
  <c r="CR201" i="3" l="1"/>
  <c r="BR201" i="3"/>
  <c r="AA201" i="3"/>
  <c r="AE201" i="3" s="1"/>
  <c r="AF201" i="3" s="1"/>
  <c r="AG201" i="3" s="1"/>
  <c r="AH201" i="3" s="1"/>
  <c r="Z233" i="3"/>
  <c r="AC233" i="3" s="1"/>
  <c r="AD233" i="3" s="1"/>
  <c r="CR191" i="3"/>
  <c r="AA191" i="3"/>
  <c r="AE191" i="3" s="1"/>
  <c r="AF191" i="3" s="1"/>
  <c r="AG191" i="3" s="1"/>
  <c r="AH191" i="3" s="1"/>
  <c r="BR191" i="3"/>
  <c r="Z234" i="3"/>
  <c r="AC234" i="3" s="1"/>
  <c r="AD234" i="3" s="1"/>
  <c r="AI144" i="3"/>
  <c r="CB144" i="3"/>
  <c r="BQ144" i="3"/>
  <c r="Z215" i="3"/>
  <c r="AC215" i="3" s="1"/>
  <c r="AD215" i="3" s="1"/>
  <c r="Z227" i="3"/>
  <c r="AC227" i="3" s="1"/>
  <c r="AD227" i="3" s="1"/>
  <c r="Z216" i="3"/>
  <c r="AC216" i="3" s="1"/>
  <c r="AD216" i="3" s="1"/>
  <c r="Z235" i="3"/>
  <c r="AC235" i="3" s="1"/>
  <c r="AD235" i="3" s="1"/>
  <c r="Z232" i="3"/>
  <c r="AC232" i="3" s="1"/>
  <c r="AD232" i="3" s="1"/>
  <c r="Z223" i="3"/>
  <c r="AC223" i="3" s="1"/>
  <c r="AD223" i="3" s="1"/>
  <c r="CR200" i="3"/>
  <c r="BR200" i="3"/>
  <c r="AA200" i="3"/>
  <c r="AE200" i="3" s="1"/>
  <c r="AF200" i="3" s="1"/>
  <c r="AG200" i="3" s="1"/>
  <c r="AH200" i="3" s="1"/>
  <c r="CR192" i="3"/>
  <c r="AA192" i="3"/>
  <c r="AE192" i="3" s="1"/>
  <c r="AF192" i="3" s="1"/>
  <c r="AG192" i="3" s="1"/>
  <c r="AH192" i="3" s="1"/>
  <c r="BR192" i="3"/>
  <c r="CS101" i="3"/>
  <c r="AR101" i="3"/>
  <c r="AS101" i="3" s="1"/>
  <c r="BK101" i="3"/>
  <c r="BL101" i="3" s="1"/>
  <c r="CT101" i="3"/>
  <c r="BH101" i="3"/>
  <c r="BP101" i="3" s="1"/>
  <c r="BT101" i="3" s="1"/>
  <c r="AR104" i="3"/>
  <c r="AS104" i="3" s="1"/>
  <c r="CS104" i="3"/>
  <c r="BK104" i="3"/>
  <c r="BL104" i="3" s="1"/>
  <c r="CT104" i="3"/>
  <c r="BH104" i="3"/>
  <c r="BP104" i="3" s="1"/>
  <c r="BT104" i="3" s="1"/>
  <c r="CR195" i="3"/>
  <c r="AA195" i="3"/>
  <c r="AE195" i="3" s="1"/>
  <c r="AF195" i="3" s="1"/>
  <c r="AG195" i="3" s="1"/>
  <c r="AH195" i="3" s="1"/>
  <c r="BR195" i="3"/>
  <c r="Z224" i="3"/>
  <c r="AC224" i="3" s="1"/>
  <c r="AD224" i="3" s="1"/>
  <c r="CR202" i="3"/>
  <c r="BR202" i="3"/>
  <c r="AA202" i="3"/>
  <c r="AE202" i="3" s="1"/>
  <c r="AF202" i="3" s="1"/>
  <c r="AG202" i="3" s="1"/>
  <c r="AH202" i="3" s="1"/>
  <c r="CR190" i="3"/>
  <c r="BR190" i="3"/>
  <c r="AA190" i="3"/>
  <c r="AE190" i="3" s="1"/>
  <c r="AF190" i="3" s="1"/>
  <c r="AG190" i="3" s="1"/>
  <c r="AH190" i="3" s="1"/>
  <c r="Z217" i="3"/>
  <c r="AC217" i="3" s="1"/>
  <c r="AD217" i="3" s="1"/>
  <c r="Z221" i="3"/>
  <c r="AC221" i="3" s="1"/>
  <c r="AD221" i="3" s="1"/>
  <c r="Z220" i="3"/>
  <c r="AC220" i="3" s="1"/>
  <c r="AD220" i="3" s="1"/>
  <c r="Z226" i="3"/>
  <c r="AC226" i="3" s="1"/>
  <c r="AD226" i="3" s="1"/>
  <c r="Z225" i="3"/>
  <c r="AC225" i="3" s="1"/>
  <c r="AD225" i="3" s="1"/>
  <c r="Z219" i="3"/>
  <c r="AC219" i="3" s="1"/>
  <c r="AD219" i="3" s="1"/>
  <c r="AR108" i="3"/>
  <c r="AS108" i="3" s="1"/>
  <c r="BK108" i="3"/>
  <c r="BL108" i="3" s="1"/>
  <c r="CS108" i="3"/>
  <c r="BH108" i="3"/>
  <c r="BP108" i="3" s="1"/>
  <c r="BT108" i="3" s="1"/>
  <c r="CT108" i="3"/>
  <c r="Z218" i="3"/>
  <c r="AC218" i="3" s="1"/>
  <c r="AD218" i="3" s="1"/>
  <c r="Z222" i="3"/>
  <c r="AC222" i="3" s="1"/>
  <c r="AD222" i="3" s="1"/>
  <c r="CR208" i="3"/>
  <c r="AA208" i="3"/>
  <c r="AE208" i="3" s="1"/>
  <c r="AF208" i="3" s="1"/>
  <c r="AG208" i="3" s="1"/>
  <c r="AH208" i="3" s="1"/>
  <c r="BR208" i="3"/>
  <c r="CR206" i="3"/>
  <c r="BR206" i="3"/>
  <c r="AA206" i="3"/>
  <c r="AE206" i="3" s="1"/>
  <c r="AF206" i="3" s="1"/>
  <c r="AG206" i="3" s="1"/>
  <c r="AH206" i="3" s="1"/>
  <c r="CR199" i="3"/>
  <c r="AA199" i="3"/>
  <c r="AE199" i="3" s="1"/>
  <c r="BR199" i="3"/>
  <c r="CR198" i="3"/>
  <c r="BR198" i="3"/>
  <c r="AA198" i="3"/>
  <c r="AE198" i="3" s="1"/>
  <c r="AF198" i="3" s="1"/>
  <c r="AG198" i="3" s="1"/>
  <c r="AH198" i="3" s="1"/>
  <c r="CR197" i="3"/>
  <c r="BR197" i="3"/>
  <c r="AA197" i="3"/>
  <c r="AE197" i="3" s="1"/>
  <c r="AF197" i="3" s="1"/>
  <c r="AG197" i="3" s="1"/>
  <c r="AH197" i="3" s="1"/>
  <c r="Z214" i="3"/>
  <c r="AC214" i="3" s="1"/>
  <c r="AD214" i="3" s="1"/>
  <c r="Z236" i="3"/>
  <c r="AC236" i="3" s="1"/>
  <c r="AD236" i="3" s="1"/>
  <c r="CR194" i="3"/>
  <c r="BR194" i="3"/>
  <c r="AA194" i="3"/>
  <c r="AE194" i="3" s="1"/>
  <c r="AF194" i="3" s="1"/>
  <c r="AG194" i="3" s="1"/>
  <c r="AH194" i="3" s="1"/>
  <c r="BO62" i="3"/>
  <c r="BS62" i="3"/>
  <c r="CB146" i="3"/>
  <c r="AI146" i="3"/>
  <c r="BQ146" i="3"/>
  <c r="AK136" i="3"/>
  <c r="BF136" i="3" s="1"/>
  <c r="AJ136" i="3"/>
  <c r="BG136" i="3"/>
  <c r="AL136" i="3"/>
  <c r="CS116" i="3"/>
  <c r="AR116" i="3"/>
  <c r="AS116" i="3" s="1"/>
  <c r="BK116" i="3"/>
  <c r="BL116" i="3" s="1"/>
  <c r="CT116" i="3"/>
  <c r="BH116" i="3"/>
  <c r="BP116" i="3" s="1"/>
  <c r="BT116" i="3" s="1"/>
  <c r="Z189" i="3"/>
  <c r="AC189" i="3" s="1"/>
  <c r="AD189" i="3" s="1"/>
  <c r="CR210" i="3"/>
  <c r="AA210" i="3"/>
  <c r="AE210" i="3" s="1"/>
  <c r="AF210" i="3" s="1"/>
  <c r="AG210" i="3" s="1"/>
  <c r="AH210" i="3" s="1"/>
  <c r="BR210" i="3"/>
  <c r="CR209" i="3"/>
  <c r="AA209" i="3"/>
  <c r="AE209" i="3" s="1"/>
  <c r="AF209" i="3" s="1"/>
  <c r="AG209" i="3" s="1"/>
  <c r="AH209" i="3" s="1"/>
  <c r="BR209" i="3"/>
  <c r="AK135" i="3"/>
  <c r="BF135" i="3" s="1"/>
  <c r="AJ135" i="3"/>
  <c r="BG135" i="3"/>
  <c r="AL135" i="3"/>
  <c r="CS102" i="3"/>
  <c r="AR102" i="3"/>
  <c r="AS102" i="3" s="1"/>
  <c r="BK102" i="3"/>
  <c r="BL102" i="3" s="1"/>
  <c r="CT102" i="3"/>
  <c r="BH102" i="3"/>
  <c r="BP102" i="3" s="1"/>
  <c r="BT102" i="3" s="1"/>
  <c r="CR196" i="3"/>
  <c r="AA196" i="3"/>
  <c r="AE196" i="3" s="1"/>
  <c r="AF196" i="3" s="1"/>
  <c r="AG196" i="3" s="1"/>
  <c r="AH196" i="3" s="1"/>
  <c r="BR196" i="3"/>
  <c r="AF176" i="3"/>
  <c r="AG176" i="3" s="1"/>
  <c r="AH176" i="3" s="1"/>
  <c r="Z231" i="3"/>
  <c r="AC231" i="3" s="1"/>
  <c r="AD231" i="3" s="1"/>
  <c r="CR207" i="3"/>
  <c r="AA207" i="3"/>
  <c r="AE207" i="3" s="1"/>
  <c r="AF207" i="3" s="1"/>
  <c r="AG207" i="3" s="1"/>
  <c r="AH207" i="3" s="1"/>
  <c r="BR207" i="3"/>
  <c r="CR203" i="3"/>
  <c r="BR203" i="3"/>
  <c r="AA203" i="3"/>
  <c r="AE203" i="3" s="1"/>
  <c r="AF203" i="3" s="1"/>
  <c r="AG203" i="3" s="1"/>
  <c r="AH203" i="3" s="1"/>
  <c r="CR204" i="3"/>
  <c r="BR204" i="3"/>
  <c r="AA204" i="3"/>
  <c r="AE204" i="3" s="1"/>
  <c r="AK122" i="3"/>
  <c r="BF122" i="3" s="1"/>
  <c r="AJ122" i="3"/>
  <c r="BG122" i="3"/>
  <c r="AL122" i="3"/>
  <c r="Z230" i="3"/>
  <c r="AC230" i="3" s="1"/>
  <c r="AD230" i="3" s="1"/>
  <c r="Z229" i="3"/>
  <c r="AC229" i="3" s="1"/>
  <c r="AD229" i="3" s="1"/>
  <c r="CB153" i="3"/>
  <c r="BQ153" i="3"/>
  <c r="AI153" i="3"/>
  <c r="CS103" i="3"/>
  <c r="AR103" i="3"/>
  <c r="AS103" i="3" s="1"/>
  <c r="BK103" i="3"/>
  <c r="BL103" i="3" s="1"/>
  <c r="CT103" i="3"/>
  <c r="BH103" i="3"/>
  <c r="BP103" i="3" s="1"/>
  <c r="BT103" i="3" s="1"/>
  <c r="AF170" i="3"/>
  <c r="AG170" i="3" s="1"/>
  <c r="AH170" i="3" s="1"/>
  <c r="AK129" i="3"/>
  <c r="BF129" i="3" s="1"/>
  <c r="AJ129" i="3"/>
  <c r="BG129" i="3"/>
  <c r="AL129" i="3"/>
  <c r="CR205" i="3"/>
  <c r="BR205" i="3"/>
  <c r="AA205" i="3"/>
  <c r="AE205" i="3" s="1"/>
  <c r="AF205" i="3" s="1"/>
  <c r="AG205" i="3" s="1"/>
  <c r="AH205" i="3" s="1"/>
  <c r="AK137" i="3"/>
  <c r="BF137" i="3" s="1"/>
  <c r="AJ137" i="3"/>
  <c r="BG137" i="3"/>
  <c r="AL137" i="3"/>
  <c r="CB142" i="3"/>
  <c r="AI142" i="3"/>
  <c r="BQ142" i="3"/>
  <c r="CR193" i="3"/>
  <c r="AA193" i="3"/>
  <c r="AE193" i="3" s="1"/>
  <c r="BR193" i="3"/>
  <c r="CR212" i="3"/>
  <c r="BR212" i="3"/>
  <c r="AA212" i="3"/>
  <c r="AE212" i="3" s="1"/>
  <c r="AF212" i="3" s="1"/>
  <c r="AG212" i="3" s="1"/>
  <c r="AH212" i="3" s="1"/>
  <c r="CR211" i="3"/>
  <c r="AA211" i="3"/>
  <c r="AE211" i="3" s="1"/>
  <c r="AF211" i="3" s="1"/>
  <c r="AG211" i="3" s="1"/>
  <c r="AH211" i="3" s="1"/>
  <c r="BR211" i="3"/>
  <c r="CD380" i="3"/>
  <c r="C404" i="3"/>
  <c r="G356" i="3" a="1"/>
  <c r="BB356" i="3" a="1"/>
  <c r="E380" i="3"/>
  <c r="CC380" i="3"/>
  <c r="A404" i="3"/>
  <c r="CD355" i="3"/>
  <c r="C379" i="3"/>
  <c r="G331" i="3" a="1"/>
  <c r="BB331" i="3" a="1"/>
  <c r="CE331" i="3" a="1"/>
  <c r="B331" i="3" a="1"/>
  <c r="E355" i="3"/>
  <c r="CC355" i="3"/>
  <c r="A379" i="3"/>
  <c r="CD354" i="3"/>
  <c r="C378" i="3"/>
  <c r="G330" i="3" a="1"/>
  <c r="BB330" i="3" a="1"/>
  <c r="CE330" i="3" a="1"/>
  <c r="B330" i="3" a="1"/>
  <c r="E354" i="3"/>
  <c r="CC354" i="3"/>
  <c r="A378" i="3"/>
  <c r="CD353" i="3"/>
  <c r="C377" i="3"/>
  <c r="G329" i="3" a="1"/>
  <c r="BB329" i="3" a="1"/>
  <c r="CE329" i="3" a="1"/>
  <c r="B329" i="3" a="1"/>
  <c r="E353" i="3"/>
  <c r="CC353" i="3"/>
  <c r="A377" i="3"/>
  <c r="CD352" i="3"/>
  <c r="C376" i="3"/>
  <c r="G328" i="3" a="1"/>
  <c r="BB328" i="3" a="1"/>
  <c r="CE328" i="3" a="1"/>
  <c r="B328" i="3" a="1"/>
  <c r="E352" i="3"/>
  <c r="CC352" i="3"/>
  <c r="A376" i="3"/>
  <c r="CD351" i="3"/>
  <c r="C375" i="3"/>
  <c r="G327" i="3" a="1"/>
  <c r="BB327" i="3" a="1"/>
  <c r="CE327" i="3" a="1"/>
  <c r="B327" i="3" a="1"/>
  <c r="E351" i="3"/>
  <c r="CC351" i="3"/>
  <c r="A375" i="3"/>
  <c r="CD350" i="3"/>
  <c r="C374" i="3"/>
  <c r="G326" i="3" a="1"/>
  <c r="BB326" i="3" a="1"/>
  <c r="CE326" i="3" a="1"/>
  <c r="B326" i="3" a="1"/>
  <c r="E350" i="3"/>
  <c r="CC350" i="3"/>
  <c r="A374" i="3"/>
  <c r="CD349" i="3"/>
  <c r="C373" i="3"/>
  <c r="G325" i="3" a="1"/>
  <c r="BB325" i="3" a="1"/>
  <c r="CE325" i="3" a="1"/>
  <c r="B325" i="3" a="1"/>
  <c r="E349" i="3"/>
  <c r="CC349" i="3"/>
  <c r="A373" i="3"/>
  <c r="CD348" i="3"/>
  <c r="C372" i="3"/>
  <c r="G324" i="3" a="1"/>
  <c r="BB324" i="3" a="1"/>
  <c r="CE324" i="3" a="1"/>
  <c r="B324" i="3" a="1"/>
  <c r="E348" i="3"/>
  <c r="CC348" i="3"/>
  <c r="A372" i="3"/>
  <c r="CD347" i="3"/>
  <c r="C371" i="3"/>
  <c r="G323" i="3" a="1"/>
  <c r="BB323" i="3" a="1"/>
  <c r="CE323" i="3" a="1"/>
  <c r="B323" i="3" a="1"/>
  <c r="E347" i="3"/>
  <c r="CC347" i="3"/>
  <c r="A371" i="3"/>
  <c r="CD346" i="3"/>
  <c r="C370" i="3"/>
  <c r="G322" i="3" a="1"/>
  <c r="BB322" i="3" a="1"/>
  <c r="CE322" i="3" a="1"/>
  <c r="B322" i="3" a="1"/>
  <c r="E346" i="3"/>
  <c r="CC346" i="3"/>
  <c r="A370" i="3"/>
  <c r="CD345" i="3"/>
  <c r="C369" i="3"/>
  <c r="G321" i="3" a="1"/>
  <c r="BB321" i="3" a="1"/>
  <c r="CE321" i="3" a="1"/>
  <c r="B321" i="3" a="1"/>
  <c r="E345" i="3"/>
  <c r="CC345" i="3"/>
  <c r="A369" i="3"/>
  <c r="CD344" i="3"/>
  <c r="C368" i="3"/>
  <c r="G320" i="3" a="1"/>
  <c r="BB320" i="3" a="1"/>
  <c r="CE320" i="3" a="1"/>
  <c r="B320" i="3" a="1"/>
  <c r="E344" i="3"/>
  <c r="CC344" i="3"/>
  <c r="A368" i="3"/>
  <c r="CD343" i="3"/>
  <c r="C367" i="3"/>
  <c r="G319" i="3" a="1"/>
  <c r="BB319" i="3" a="1"/>
  <c r="CE319" i="3" a="1"/>
  <c r="B319" i="3" a="1"/>
  <c r="E343" i="3"/>
  <c r="CC343" i="3"/>
  <c r="A367" i="3"/>
  <c r="CD342" i="3"/>
  <c r="C366" i="3"/>
  <c r="G318" i="3" a="1"/>
  <c r="BB318" i="3" a="1"/>
  <c r="CE318" i="3" a="1"/>
  <c r="B318" i="3" a="1"/>
  <c r="E342" i="3"/>
  <c r="CC342" i="3"/>
  <c r="A366" i="3"/>
  <c r="CD317" i="3"/>
  <c r="C341" i="3"/>
  <c r="B293" i="3" a="1"/>
  <c r="BB293" i="3" a="1"/>
  <c r="CE293" i="3" a="1"/>
  <c r="G293" i="3" a="1"/>
  <c r="E317" i="3"/>
  <c r="CC317" i="3"/>
  <c r="A341" i="3"/>
  <c r="CD316" i="3"/>
  <c r="C340" i="3"/>
  <c r="B292" i="3" a="1"/>
  <c r="BB292" i="3" a="1"/>
  <c r="CE292" i="3" a="1"/>
  <c r="G292" i="3" a="1"/>
  <c r="E316" i="3"/>
  <c r="CC316" i="3"/>
  <c r="A340" i="3"/>
  <c r="CD315" i="3"/>
  <c r="C339" i="3"/>
  <c r="B291" i="3" a="1"/>
  <c r="BB291" i="3" a="1"/>
  <c r="CE291" i="3" a="1"/>
  <c r="G291" i="3" a="1"/>
  <c r="E315" i="3"/>
  <c r="CC315" i="3"/>
  <c r="A339" i="3"/>
  <c r="CD314" i="3"/>
  <c r="C338" i="3"/>
  <c r="BB290" i="3" a="1"/>
  <c r="CE290" i="3" a="1"/>
  <c r="G290" i="3" a="1"/>
  <c r="B290" i="3" a="1"/>
  <c r="E314" i="3"/>
  <c r="CC314" i="3"/>
  <c r="A338" i="3"/>
  <c r="CD313" i="3"/>
  <c r="C337" i="3"/>
  <c r="G289" i="3" a="1"/>
  <c r="BB289" i="3" a="1"/>
  <c r="CE289" i="3" a="1"/>
  <c r="B289" i="3" a="1"/>
  <c r="E313" i="3"/>
  <c r="CC313" i="3"/>
  <c r="A337" i="3"/>
  <c r="CD312" i="3"/>
  <c r="C336" i="3"/>
  <c r="G288" i="3" a="1"/>
  <c r="BB288" i="3" a="1"/>
  <c r="CE288" i="3" a="1"/>
  <c r="B288" i="3" a="1"/>
  <c r="E312" i="3"/>
  <c r="CC312" i="3"/>
  <c r="A336" i="3"/>
  <c r="AQ287" i="3"/>
  <c r="AW287" i="3"/>
  <c r="CH287" i="3"/>
  <c r="CQ287" i="3"/>
  <c r="F311" i="3" a="1"/>
  <c r="D335" i="3"/>
  <c r="CD311" i="3"/>
  <c r="C335" i="3"/>
  <c r="G287" i="3" a="1"/>
  <c r="BB287" i="3" a="1"/>
  <c r="CE287" i="3" a="1"/>
  <c r="B287" i="3" a="1"/>
  <c r="E311" i="3"/>
  <c r="CC311" i="3"/>
  <c r="A335" i="3"/>
  <c r="F310" i="3" a="1"/>
  <c r="H310" i="3" a="1"/>
  <c r="D334" i="3"/>
  <c r="CD310" i="3"/>
  <c r="C334" i="3"/>
  <c r="G286" i="3" a="1"/>
  <c r="BB286" i="3" a="1"/>
  <c r="CE286" i="3" a="1"/>
  <c r="B286" i="3" a="1"/>
  <c r="E310" i="3"/>
  <c r="CC310" i="3"/>
  <c r="A334" i="3"/>
  <c r="BV69" i="3"/>
  <c r="BU69" i="3"/>
  <c r="BO69" i="3"/>
  <c r="BS69" i="3"/>
  <c r="BO93" i="3"/>
  <c r="BS93" i="3"/>
  <c r="BV93" i="3"/>
  <c r="BU93" i="3"/>
  <c r="F309" i="3" a="1"/>
  <c r="D333" i="3"/>
  <c r="CD309" i="3"/>
  <c r="C333" i="3"/>
  <c r="G285" i="3" a="1"/>
  <c r="BB285" i="3" a="1"/>
  <c r="CE285" i="3" a="1"/>
  <c r="B285" i="3" a="1"/>
  <c r="E309" i="3"/>
  <c r="CC309" i="3"/>
  <c r="A333" i="3"/>
  <c r="CK44" i="3"/>
  <c r="CM44" i="3"/>
  <c r="BZ44" i="3"/>
  <c r="CL44" i="3"/>
  <c r="CJ44" i="3"/>
  <c r="AN44" i="3"/>
  <c r="BJ44" i="3" s="1"/>
  <c r="CA44" i="3"/>
  <c r="AM44" i="3"/>
  <c r="BI44" i="3" s="1"/>
  <c r="BW68" i="3"/>
  <c r="BY68" i="3" s="1"/>
  <c r="CO68" i="3"/>
  <c r="BF92" i="3"/>
  <c r="CS92" i="3"/>
  <c r="AR92" i="3"/>
  <c r="AS92" i="3" s="1"/>
  <c r="BK92" i="3"/>
  <c r="CT92" i="3"/>
  <c r="BH92" i="3"/>
  <c r="BF140" i="3"/>
  <c r="CS140" i="3"/>
  <c r="AR140" i="3"/>
  <c r="AS140" i="3" s="1"/>
  <c r="BK140" i="3"/>
  <c r="CT140" i="3"/>
  <c r="BH140" i="3"/>
  <c r="CB188" i="3"/>
  <c r="BQ188" i="3"/>
  <c r="AI188" i="3"/>
  <c r="Y260" i="3"/>
  <c r="U260" i="3"/>
  <c r="W260" i="3" s="1"/>
  <c r="AQ284" i="3"/>
  <c r="AW284" i="3"/>
  <c r="CH284" i="3"/>
  <c r="CQ284" i="3"/>
  <c r="CI284" i="3"/>
  <c r="CP284" i="3"/>
  <c r="R284" i="3"/>
  <c r="AB284" i="3" s="1"/>
  <c r="F308" i="3" a="1"/>
  <c r="H308" i="3" a="1"/>
  <c r="I308" i="3" a="1"/>
  <c r="J308" i="3" s="1"/>
  <c r="T308" i="3" s="1"/>
  <c r="L308" i="3" a="1"/>
  <c r="M308" i="3" a="1"/>
  <c r="O308" i="3" s="1"/>
  <c r="P308" i="3" a="1"/>
  <c r="Q308" i="3" s="1"/>
  <c r="V308" i="3" s="1"/>
  <c r="AZ308" i="3" a="1"/>
  <c r="BA308" i="3" a="1"/>
  <c r="BC308" i="3" a="1"/>
  <c r="BD308" i="3" a="1"/>
  <c r="BX308" i="3" a="1"/>
  <c r="D332" i="3"/>
  <c r="BG164" i="3"/>
  <c r="AK164" i="3"/>
  <c r="AJ164" i="3"/>
  <c r="AL164" i="3"/>
  <c r="BW67" i="3"/>
  <c r="BY67" i="3" s="1"/>
  <c r="CO67" i="3"/>
  <c r="BF91" i="3"/>
  <c r="CS91" i="3"/>
  <c r="AR91" i="3"/>
  <c r="AS91" i="3" s="1"/>
  <c r="BK91" i="3"/>
  <c r="CT91" i="3"/>
  <c r="BH91" i="3"/>
  <c r="BL115" i="3"/>
  <c r="BN115" i="3" s="1"/>
  <c r="BP115" i="3"/>
  <c r="BT115" i="3" s="1"/>
  <c r="BG163" i="3"/>
  <c r="AJ163" i="3"/>
  <c r="AK163" i="3"/>
  <c r="AL163" i="3"/>
  <c r="CB187" i="3"/>
  <c r="BQ187" i="3"/>
  <c r="AI187" i="3"/>
  <c r="Y259" i="3"/>
  <c r="U259" i="3"/>
  <c r="W259" i="3" s="1"/>
  <c r="AQ283" i="3"/>
  <c r="AW283" i="3"/>
  <c r="CH283" i="3"/>
  <c r="CQ283" i="3"/>
  <c r="CI283" i="3"/>
  <c r="CP283" i="3"/>
  <c r="R283" i="3"/>
  <c r="AB283" i="3" s="1"/>
  <c r="F307" i="3" a="1"/>
  <c r="H307" i="3" a="1"/>
  <c r="I307" i="3" a="1"/>
  <c r="J307" i="3" s="1"/>
  <c r="T307" i="3" s="1"/>
  <c r="L307" i="3" a="1"/>
  <c r="M307" i="3" a="1"/>
  <c r="O307" i="3" s="1"/>
  <c r="P307" i="3" a="1"/>
  <c r="Q307" i="3" s="1"/>
  <c r="V307" i="3" s="1"/>
  <c r="AZ307" i="3" a="1"/>
  <c r="BA307" i="3" a="1"/>
  <c r="BC307" i="3" a="1"/>
  <c r="BD307" i="3" a="1"/>
  <c r="BX307" i="3" a="1"/>
  <c r="D331" i="3"/>
  <c r="CM43" i="3"/>
  <c r="BZ43" i="3"/>
  <c r="CK43" i="3"/>
  <c r="CL43" i="3"/>
  <c r="CJ43" i="3"/>
  <c r="AN43" i="3"/>
  <c r="BJ43" i="3" s="1"/>
  <c r="AM43" i="3"/>
  <c r="BI43" i="3" s="1"/>
  <c r="CA43" i="3"/>
  <c r="BW66" i="3"/>
  <c r="BY66" i="3" s="1"/>
  <c r="CO66" i="3"/>
  <c r="BF90" i="3"/>
  <c r="CS90" i="3"/>
  <c r="AR90" i="3"/>
  <c r="AS90" i="3" s="1"/>
  <c r="BK90" i="3"/>
  <c r="CT90" i="3"/>
  <c r="BH90" i="3"/>
  <c r="BL114" i="3"/>
  <c r="BN114" i="3" s="1"/>
  <c r="BP114" i="3"/>
  <c r="BT114" i="3" s="1"/>
  <c r="BF138" i="3"/>
  <c r="CS138" i="3"/>
  <c r="AR138" i="3"/>
  <c r="AS138" i="3" s="1"/>
  <c r="BK138" i="3"/>
  <c r="CT138" i="3"/>
  <c r="BH138" i="3"/>
  <c r="CB186" i="3"/>
  <c r="BQ186" i="3"/>
  <c r="AI186" i="3"/>
  <c r="Y258" i="3"/>
  <c r="U258" i="3"/>
  <c r="W258" i="3" s="1"/>
  <c r="AQ282" i="3"/>
  <c r="AW282" i="3"/>
  <c r="CH282" i="3"/>
  <c r="CQ282" i="3"/>
  <c r="CI282" i="3"/>
  <c r="CP282" i="3"/>
  <c r="R282" i="3"/>
  <c r="AB282" i="3" s="1"/>
  <c r="F306" i="3" a="1"/>
  <c r="H306" i="3" a="1"/>
  <c r="I306" i="3" a="1"/>
  <c r="J306" i="3" s="1"/>
  <c r="T306" i="3" s="1"/>
  <c r="L306" i="3" a="1"/>
  <c r="M306" i="3" a="1"/>
  <c r="O306" i="3" s="1"/>
  <c r="P306" i="3" a="1"/>
  <c r="Q306" i="3" s="1"/>
  <c r="V306" i="3" s="1"/>
  <c r="AZ306" i="3" a="1"/>
  <c r="BA306" i="3" a="1"/>
  <c r="BC306" i="3" a="1"/>
  <c r="BD306" i="3" a="1"/>
  <c r="BX306" i="3" a="1"/>
  <c r="D330" i="3"/>
  <c r="BG162" i="3"/>
  <c r="AK162" i="3"/>
  <c r="AJ162" i="3"/>
  <c r="AL162" i="3"/>
  <c r="CM42" i="3"/>
  <c r="BZ42" i="3"/>
  <c r="CK42" i="3"/>
  <c r="CL42" i="3"/>
  <c r="CJ42" i="3"/>
  <c r="AN42" i="3"/>
  <c r="BJ42" i="3" s="1"/>
  <c r="AM42" i="3"/>
  <c r="BI42" i="3" s="1"/>
  <c r="CA42" i="3"/>
  <c r="BW65" i="3"/>
  <c r="BY65" i="3" s="1"/>
  <c r="CO65" i="3"/>
  <c r="BF89" i="3"/>
  <c r="CS89" i="3"/>
  <c r="AR89" i="3"/>
  <c r="AS89" i="3" s="1"/>
  <c r="BK89" i="3"/>
  <c r="CT89" i="3"/>
  <c r="BH89" i="3"/>
  <c r="BL113" i="3"/>
  <c r="BN113" i="3" s="1"/>
  <c r="BP113" i="3"/>
  <c r="BT113" i="3" s="1"/>
  <c r="BG161" i="3"/>
  <c r="AJ161" i="3"/>
  <c r="AK161" i="3"/>
  <c r="AL161" i="3"/>
  <c r="Y257" i="3"/>
  <c r="U257" i="3"/>
  <c r="W257" i="3" s="1"/>
  <c r="AQ281" i="3"/>
  <c r="AW281" i="3"/>
  <c r="CH281" i="3"/>
  <c r="CQ281" i="3"/>
  <c r="CI281" i="3"/>
  <c r="CP281" i="3"/>
  <c r="R281" i="3"/>
  <c r="AB281" i="3" s="1"/>
  <c r="F305" i="3" a="1"/>
  <c r="H305" i="3" a="1"/>
  <c r="I305" i="3" a="1"/>
  <c r="J305" i="3" s="1"/>
  <c r="T305" i="3" s="1"/>
  <c r="L305" i="3" a="1"/>
  <c r="M305" i="3" a="1"/>
  <c r="O305" i="3" s="1"/>
  <c r="P305" i="3" a="1"/>
  <c r="Q305" i="3" s="1"/>
  <c r="V305" i="3" s="1"/>
  <c r="AZ305" i="3" a="1"/>
  <c r="BA305" i="3" a="1"/>
  <c r="BC305" i="3" a="1"/>
  <c r="BD305" i="3" a="1"/>
  <c r="BX305" i="3" a="1"/>
  <c r="D329" i="3"/>
  <c r="CB185" i="3"/>
  <c r="AI185" i="3"/>
  <c r="BQ185" i="3"/>
  <c r="CM41" i="3"/>
  <c r="BZ41" i="3"/>
  <c r="CK41" i="3"/>
  <c r="CL41" i="3"/>
  <c r="CJ41" i="3"/>
  <c r="AN41" i="3"/>
  <c r="BJ41" i="3" s="1"/>
  <c r="CA41" i="3"/>
  <c r="AM41" i="3"/>
  <c r="BI41" i="3" s="1"/>
  <c r="BW64" i="3"/>
  <c r="BY64" i="3" s="1"/>
  <c r="CO64" i="3"/>
  <c r="BF88" i="3"/>
  <c r="CS88" i="3"/>
  <c r="AR88" i="3"/>
  <c r="AS88" i="3" s="1"/>
  <c r="BK88" i="3"/>
  <c r="CT88" i="3"/>
  <c r="BH88" i="3"/>
  <c r="BL112" i="3"/>
  <c r="BN112" i="3" s="1"/>
  <c r="BP112" i="3"/>
  <c r="BT112" i="3" s="1"/>
  <c r="AK160" i="3"/>
  <c r="AJ160" i="3"/>
  <c r="BG160" i="3"/>
  <c r="AL160" i="3"/>
  <c r="CB184" i="3"/>
  <c r="AI184" i="3"/>
  <c r="BQ184" i="3"/>
  <c r="Y256" i="3"/>
  <c r="U256" i="3"/>
  <c r="W256" i="3" s="1"/>
  <c r="AQ280" i="3"/>
  <c r="AW280" i="3"/>
  <c r="CH280" i="3"/>
  <c r="CQ280" i="3"/>
  <c r="CI280" i="3"/>
  <c r="CP280" i="3"/>
  <c r="R280" i="3"/>
  <c r="AB280" i="3" s="1"/>
  <c r="F304" i="3" a="1"/>
  <c r="H304" i="3" a="1"/>
  <c r="I304" i="3" a="1"/>
  <c r="J304" i="3" s="1"/>
  <c r="T304" i="3" s="1"/>
  <c r="L304" i="3" a="1"/>
  <c r="M304" i="3" a="1"/>
  <c r="O304" i="3" s="1"/>
  <c r="P304" i="3" a="1"/>
  <c r="Q304" i="3" s="1"/>
  <c r="V304" i="3" s="1"/>
  <c r="AZ304" i="3" a="1"/>
  <c r="BA304" i="3" a="1"/>
  <c r="BC304" i="3" a="1"/>
  <c r="BD304" i="3" a="1"/>
  <c r="BX304" i="3" a="1"/>
  <c r="D328" i="3"/>
  <c r="CM40" i="3"/>
  <c r="CK40" i="3"/>
  <c r="BZ40" i="3"/>
  <c r="CL40" i="3"/>
  <c r="CJ40" i="3"/>
  <c r="AN40" i="3"/>
  <c r="BJ40" i="3" s="1"/>
  <c r="CA40" i="3"/>
  <c r="AM40" i="3"/>
  <c r="BI40" i="3" s="1"/>
  <c r="CM39" i="3"/>
  <c r="BZ39" i="3"/>
  <c r="CK39" i="3"/>
  <c r="CL39" i="3"/>
  <c r="CJ39" i="3"/>
  <c r="AN39" i="3"/>
  <c r="BJ39" i="3" s="1"/>
  <c r="CA39" i="3"/>
  <c r="AM39" i="3"/>
  <c r="BI39" i="3" s="1"/>
  <c r="BW63" i="3"/>
  <c r="BY63" i="3" s="1"/>
  <c r="CO63" i="3"/>
  <c r="BF87" i="3"/>
  <c r="CS87" i="3"/>
  <c r="AR87" i="3"/>
  <c r="AS87" i="3" s="1"/>
  <c r="BK87" i="3"/>
  <c r="CT87" i="3"/>
  <c r="BH87" i="3"/>
  <c r="BL111" i="3"/>
  <c r="BN111" i="3" s="1"/>
  <c r="BP111" i="3"/>
  <c r="BT111" i="3" s="1"/>
  <c r="AK159" i="3"/>
  <c r="AJ159" i="3"/>
  <c r="BG159" i="3"/>
  <c r="AL159" i="3"/>
  <c r="CB183" i="3"/>
  <c r="BQ183" i="3"/>
  <c r="AI183" i="3"/>
  <c r="AQ279" i="3"/>
  <c r="AW279" i="3"/>
  <c r="CH279" i="3"/>
  <c r="CQ279" i="3"/>
  <c r="CI279" i="3"/>
  <c r="CP279" i="3"/>
  <c r="R279" i="3"/>
  <c r="AB279" i="3" s="1"/>
  <c r="F303" i="3" a="1"/>
  <c r="H303" i="3" a="1"/>
  <c r="I303" i="3" a="1"/>
  <c r="J303" i="3" s="1"/>
  <c r="T303" i="3" s="1"/>
  <c r="L303" i="3" a="1"/>
  <c r="M303" i="3" a="1"/>
  <c r="O303" i="3" s="1"/>
  <c r="P303" i="3" a="1"/>
  <c r="Q303" i="3" s="1"/>
  <c r="V303" i="3" s="1"/>
  <c r="AZ303" i="3" a="1"/>
  <c r="BA303" i="3" a="1"/>
  <c r="BC303" i="3" a="1"/>
  <c r="BD303" i="3" a="1"/>
  <c r="BX303" i="3" a="1"/>
  <c r="D327" i="3"/>
  <c r="Y255" i="3"/>
  <c r="U255" i="3"/>
  <c r="W255" i="3" s="1"/>
  <c r="CM38" i="3"/>
  <c r="BZ38" i="3"/>
  <c r="CK38" i="3"/>
  <c r="CL38" i="3"/>
  <c r="CJ38" i="3"/>
  <c r="AN38" i="3"/>
  <c r="BJ38" i="3" s="1"/>
  <c r="CA38" i="3"/>
  <c r="AM38" i="3"/>
  <c r="BI38" i="3" s="1"/>
  <c r="BW62" i="3"/>
  <c r="BY62" i="3" s="1"/>
  <c r="CO62" i="3"/>
  <c r="BF86" i="3"/>
  <c r="CS86" i="3"/>
  <c r="AR86" i="3"/>
  <c r="AS86" i="3" s="1"/>
  <c r="BK86" i="3"/>
  <c r="CT86" i="3"/>
  <c r="BH86" i="3"/>
  <c r="BL110" i="3"/>
  <c r="BN110" i="3" s="1"/>
  <c r="BP110" i="3"/>
  <c r="BT110" i="3" s="1"/>
  <c r="BF134" i="3"/>
  <c r="CS134" i="3"/>
  <c r="AR134" i="3"/>
  <c r="AS134" i="3" s="1"/>
  <c r="BK134" i="3"/>
  <c r="CT134" i="3"/>
  <c r="BH134" i="3"/>
  <c r="AK158" i="3"/>
  <c r="AJ158" i="3"/>
  <c r="BG158" i="3"/>
  <c r="AL158" i="3"/>
  <c r="CB182" i="3"/>
  <c r="BQ182" i="3"/>
  <c r="AI182" i="3"/>
  <c r="AQ278" i="3"/>
  <c r="AW278" i="3"/>
  <c r="CH278" i="3"/>
  <c r="CQ278" i="3"/>
  <c r="CI278" i="3"/>
  <c r="CP278" i="3"/>
  <c r="R278" i="3"/>
  <c r="AB278" i="3" s="1"/>
  <c r="F302" i="3" a="1"/>
  <c r="H302" i="3" a="1"/>
  <c r="I302" i="3" a="1"/>
  <c r="J302" i="3" s="1"/>
  <c r="T302" i="3" s="1"/>
  <c r="L302" i="3" a="1"/>
  <c r="M302" i="3" a="1"/>
  <c r="O302" i="3" s="1"/>
  <c r="P302" i="3" a="1"/>
  <c r="Q302" i="3" s="1"/>
  <c r="V302" i="3" s="1"/>
  <c r="AZ302" i="3" a="1"/>
  <c r="BA302" i="3" a="1"/>
  <c r="BC302" i="3" a="1"/>
  <c r="BD302" i="3" a="1"/>
  <c r="BX302" i="3" a="1"/>
  <c r="D326" i="3"/>
  <c r="Y254" i="3"/>
  <c r="U254" i="3"/>
  <c r="W254" i="3" s="1"/>
  <c r="BW61" i="3"/>
  <c r="BY61" i="3" s="1"/>
  <c r="CO61" i="3"/>
  <c r="BF85" i="3"/>
  <c r="CS85" i="3"/>
  <c r="AR85" i="3"/>
  <c r="AS85" i="3" s="1"/>
  <c r="BK85" i="3"/>
  <c r="CT85" i="3"/>
  <c r="BH85" i="3"/>
  <c r="BL109" i="3"/>
  <c r="BN109" i="3" s="1"/>
  <c r="BP109" i="3"/>
  <c r="BT109" i="3" s="1"/>
  <c r="BF133" i="3"/>
  <c r="CS133" i="3"/>
  <c r="AR133" i="3"/>
  <c r="AS133" i="3" s="1"/>
  <c r="BK133" i="3"/>
  <c r="CT133" i="3"/>
  <c r="BH133" i="3"/>
  <c r="AK157" i="3"/>
  <c r="AJ157" i="3"/>
  <c r="BG157" i="3"/>
  <c r="AL157" i="3"/>
  <c r="CB181" i="3"/>
  <c r="BQ181" i="3"/>
  <c r="AI181" i="3"/>
  <c r="Y253" i="3"/>
  <c r="U253" i="3"/>
  <c r="W253" i="3" s="1"/>
  <c r="Z253" i="3" s="1"/>
  <c r="AC253" i="3" s="1"/>
  <c r="AD253" i="3" s="1"/>
  <c r="CR253" i="3" s="1"/>
  <c r="AQ277" i="3"/>
  <c r="AW277" i="3"/>
  <c r="CH277" i="3"/>
  <c r="CQ277" i="3"/>
  <c r="CI277" i="3"/>
  <c r="CP277" i="3"/>
  <c r="R277" i="3"/>
  <c r="AB277" i="3" s="1"/>
  <c r="F301" i="3" a="1"/>
  <c r="H301" i="3" a="1"/>
  <c r="L301" i="3" a="1"/>
  <c r="I301" i="3" a="1"/>
  <c r="J301" i="3" s="1"/>
  <c r="T301" i="3" s="1"/>
  <c r="M301" i="3" a="1"/>
  <c r="O301" i="3" s="1"/>
  <c r="P301" i="3" a="1"/>
  <c r="Q301" i="3" s="1"/>
  <c r="V301" i="3" s="1"/>
  <c r="AZ301" i="3" a="1"/>
  <c r="BA301" i="3" a="1"/>
  <c r="BC301" i="3" a="1"/>
  <c r="BD301" i="3" a="1"/>
  <c r="BX301" i="3" a="1"/>
  <c r="D325" i="3"/>
  <c r="CM37" i="3"/>
  <c r="BZ37" i="3"/>
  <c r="CK37" i="3"/>
  <c r="CL37" i="3"/>
  <c r="CJ37" i="3"/>
  <c r="AN37" i="3"/>
  <c r="BJ37" i="3" s="1"/>
  <c r="CA37" i="3"/>
  <c r="AM37" i="3"/>
  <c r="BI37" i="3" s="1"/>
  <c r="CM36" i="3"/>
  <c r="BZ36" i="3"/>
  <c r="CK36" i="3"/>
  <c r="CL36" i="3"/>
  <c r="CJ36" i="3"/>
  <c r="AN36" i="3"/>
  <c r="BJ36" i="3" s="1"/>
  <c r="AM36" i="3"/>
  <c r="BI36" i="3" s="1"/>
  <c r="CA36" i="3"/>
  <c r="BW60" i="3"/>
  <c r="BY60" i="3" s="1"/>
  <c r="CO60" i="3"/>
  <c r="BF84" i="3"/>
  <c r="CS84" i="3"/>
  <c r="AR84" i="3"/>
  <c r="AS84" i="3" s="1"/>
  <c r="BK84" i="3"/>
  <c r="CT84" i="3"/>
  <c r="BH84" i="3"/>
  <c r="BF132" i="3"/>
  <c r="CS132" i="3"/>
  <c r="AR132" i="3"/>
  <c r="AS132" i="3" s="1"/>
  <c r="BK132" i="3"/>
  <c r="CT132" i="3"/>
  <c r="BH132" i="3"/>
  <c r="BG156" i="3"/>
  <c r="AK156" i="3"/>
  <c r="AJ156" i="3"/>
  <c r="AL156" i="3"/>
  <c r="BR228" i="3"/>
  <c r="AA228" i="3"/>
  <c r="AE228" i="3" s="1"/>
  <c r="Y252" i="3"/>
  <c r="U252" i="3"/>
  <c r="W252" i="3" s="1"/>
  <c r="Z252" i="3" s="1"/>
  <c r="AC252" i="3" s="1"/>
  <c r="AD252" i="3" s="1"/>
  <c r="CR252" i="3" s="1"/>
  <c r="AQ276" i="3"/>
  <c r="AW276" i="3"/>
  <c r="CH276" i="3"/>
  <c r="CQ276" i="3"/>
  <c r="CI276" i="3"/>
  <c r="CP276" i="3"/>
  <c r="R276" i="3"/>
  <c r="AB276" i="3" s="1"/>
  <c r="I300" i="3" a="1"/>
  <c r="J300" i="3" s="1"/>
  <c r="T300" i="3" s="1"/>
  <c r="M300" i="3" a="1"/>
  <c r="O300" i="3" s="1"/>
  <c r="AZ300" i="3" a="1"/>
  <c r="BA300" i="3" a="1"/>
  <c r="BC300" i="3" a="1"/>
  <c r="BX300" i="3" a="1"/>
  <c r="F300" i="3" a="1"/>
  <c r="H300" i="3" a="1"/>
  <c r="L300" i="3" a="1"/>
  <c r="P300" i="3" a="1"/>
  <c r="Q300" i="3" s="1"/>
  <c r="V300" i="3" s="1"/>
  <c r="BD300" i="3" a="1"/>
  <c r="D324" i="3"/>
  <c r="CB180" i="3"/>
  <c r="AI180" i="3"/>
  <c r="BQ180" i="3"/>
  <c r="BW59" i="3"/>
  <c r="BY59" i="3" s="1"/>
  <c r="CO59" i="3"/>
  <c r="BF83" i="3"/>
  <c r="CS83" i="3"/>
  <c r="AR83" i="3"/>
  <c r="AS83" i="3" s="1"/>
  <c r="BK83" i="3"/>
  <c r="CT83" i="3"/>
  <c r="BH83" i="3"/>
  <c r="BL107" i="3"/>
  <c r="BN107" i="3" s="1"/>
  <c r="BP107" i="3"/>
  <c r="BT107" i="3" s="1"/>
  <c r="BF131" i="3"/>
  <c r="CS131" i="3"/>
  <c r="AR131" i="3"/>
  <c r="AS131" i="3" s="1"/>
  <c r="BK131" i="3"/>
  <c r="CT131" i="3"/>
  <c r="BH131" i="3"/>
  <c r="AK155" i="3"/>
  <c r="AJ155" i="3"/>
  <c r="BG155" i="3"/>
  <c r="AL155" i="3"/>
  <c r="CB179" i="3"/>
  <c r="BQ179" i="3"/>
  <c r="AI179" i="3"/>
  <c r="Y251" i="3"/>
  <c r="U251" i="3"/>
  <c r="W251" i="3" s="1"/>
  <c r="AQ275" i="3"/>
  <c r="AW275" i="3"/>
  <c r="CH275" i="3"/>
  <c r="CQ275" i="3"/>
  <c r="CI275" i="3"/>
  <c r="CP275" i="3"/>
  <c r="R275" i="3"/>
  <c r="AB275" i="3" s="1"/>
  <c r="H299" i="3" a="1"/>
  <c r="L299" i="3" a="1"/>
  <c r="P299" i="3" a="1"/>
  <c r="Q299" i="3" s="1"/>
  <c r="V299" i="3" s="1"/>
  <c r="AZ299" i="3" a="1"/>
  <c r="BA299" i="3" a="1"/>
  <c r="BC299" i="3" a="1"/>
  <c r="BD299" i="3" a="1"/>
  <c r="BX299" i="3" a="1"/>
  <c r="F299" i="3" a="1"/>
  <c r="I299" i="3" a="1"/>
  <c r="J299" i="3" s="1"/>
  <c r="T299" i="3" s="1"/>
  <c r="M299" i="3" a="1"/>
  <c r="O299" i="3" s="1"/>
  <c r="D323" i="3"/>
  <c r="CL35" i="3"/>
  <c r="CM35" i="3"/>
  <c r="CK35" i="3"/>
  <c r="BZ35" i="3"/>
  <c r="CJ35" i="3"/>
  <c r="AN35" i="3"/>
  <c r="BJ35" i="3" s="1"/>
  <c r="CA35" i="3"/>
  <c r="AM35" i="3"/>
  <c r="BI35" i="3" s="1"/>
  <c r="BW58" i="3"/>
  <c r="BY58" i="3" s="1"/>
  <c r="CO58" i="3"/>
  <c r="BF82" i="3"/>
  <c r="CS82" i="3"/>
  <c r="AR82" i="3"/>
  <c r="AS82" i="3" s="1"/>
  <c r="BK82" i="3"/>
  <c r="CT82" i="3"/>
  <c r="BH82" i="3"/>
  <c r="BL106" i="3"/>
  <c r="BN106" i="3" s="1"/>
  <c r="BP106" i="3"/>
  <c r="BT106" i="3" s="1"/>
  <c r="BF130" i="3"/>
  <c r="CS130" i="3"/>
  <c r="AR130" i="3"/>
  <c r="AS130" i="3" s="1"/>
  <c r="BK130" i="3"/>
  <c r="CT130" i="3"/>
  <c r="BH130" i="3"/>
  <c r="AJ154" i="3"/>
  <c r="AK154" i="3"/>
  <c r="BG154" i="3"/>
  <c r="AL154" i="3"/>
  <c r="CB178" i="3"/>
  <c r="BQ178" i="3"/>
  <c r="AI178" i="3"/>
  <c r="Y250" i="3"/>
  <c r="U250" i="3"/>
  <c r="W250" i="3" s="1"/>
  <c r="AQ274" i="3"/>
  <c r="AW274" i="3"/>
  <c r="CH274" i="3"/>
  <c r="CQ274" i="3"/>
  <c r="CI274" i="3"/>
  <c r="CP274" i="3"/>
  <c r="R274" i="3"/>
  <c r="AB274" i="3" s="1"/>
  <c r="F298" i="3" a="1"/>
  <c r="H298" i="3" a="1"/>
  <c r="M298" i="3" a="1"/>
  <c r="O298" i="3" s="1"/>
  <c r="P298" i="3" a="1"/>
  <c r="Q298" i="3" s="1"/>
  <c r="V298" i="3" s="1"/>
  <c r="AZ298" i="3" a="1"/>
  <c r="BC298" i="3" a="1"/>
  <c r="I298" i="3" a="1"/>
  <c r="J298" i="3" s="1"/>
  <c r="T298" i="3" s="1"/>
  <c r="L298" i="3" a="1"/>
  <c r="BA298" i="3" a="1"/>
  <c r="BD298" i="3" a="1"/>
  <c r="BX298" i="3" a="1"/>
  <c r="D322" i="3"/>
  <c r="BZ34" i="3"/>
  <c r="CL34" i="3"/>
  <c r="CM34" i="3"/>
  <c r="CK34" i="3"/>
  <c r="CJ34" i="3"/>
  <c r="AN34" i="3"/>
  <c r="BJ34" i="3" s="1"/>
  <c r="CA34" i="3"/>
  <c r="AM34" i="3"/>
  <c r="BI34" i="3" s="1"/>
  <c r="CK33" i="3"/>
  <c r="CM33" i="3"/>
  <c r="CL33" i="3"/>
  <c r="BZ33" i="3"/>
  <c r="CJ33" i="3"/>
  <c r="AN33" i="3"/>
  <c r="BJ33" i="3" s="1"/>
  <c r="CA33" i="3"/>
  <c r="AM33" i="3"/>
  <c r="BI33" i="3" s="1"/>
  <c r="BW57" i="3"/>
  <c r="BY57" i="3" s="1"/>
  <c r="CO57" i="3"/>
  <c r="BF81" i="3"/>
  <c r="CS81" i="3"/>
  <c r="AR81" i="3"/>
  <c r="AS81" i="3" s="1"/>
  <c r="BK81" i="3"/>
  <c r="CT81" i="3"/>
  <c r="BH81" i="3"/>
  <c r="BL105" i="3"/>
  <c r="BN105" i="3" s="1"/>
  <c r="BP105" i="3"/>
  <c r="BT105" i="3" s="1"/>
  <c r="CB177" i="3"/>
  <c r="AI177" i="3"/>
  <c r="BQ177" i="3"/>
  <c r="Y249" i="3"/>
  <c r="U249" i="3"/>
  <c r="W249" i="3" s="1"/>
  <c r="AQ273" i="3"/>
  <c r="AW273" i="3"/>
  <c r="CH273" i="3"/>
  <c r="CQ273" i="3"/>
  <c r="CI273" i="3"/>
  <c r="CP273" i="3"/>
  <c r="R273" i="3"/>
  <c r="AB273" i="3" s="1"/>
  <c r="F297" i="3" a="1"/>
  <c r="H297" i="3" a="1"/>
  <c r="I297" i="3" a="1"/>
  <c r="J297" i="3" s="1"/>
  <c r="T297" i="3" s="1"/>
  <c r="L297" i="3" a="1"/>
  <c r="M297" i="3" a="1"/>
  <c r="O297" i="3" s="1"/>
  <c r="P297" i="3" a="1"/>
  <c r="Q297" i="3" s="1"/>
  <c r="V297" i="3" s="1"/>
  <c r="AZ297" i="3" a="1"/>
  <c r="BA297" i="3" a="1"/>
  <c r="BC297" i="3" a="1"/>
  <c r="BD297" i="3" a="1"/>
  <c r="BX297" i="3" a="1"/>
  <c r="D321" i="3"/>
  <c r="CM32" i="3"/>
  <c r="BZ32" i="3"/>
  <c r="CK32" i="3"/>
  <c r="CL32" i="3"/>
  <c r="CJ32" i="3"/>
  <c r="AN32" i="3"/>
  <c r="BJ32" i="3" s="1"/>
  <c r="CA32" i="3"/>
  <c r="AM32" i="3"/>
  <c r="BI32" i="3" s="1"/>
  <c r="BW56" i="3"/>
  <c r="BY56" i="3" s="1"/>
  <c r="CO56" i="3"/>
  <c r="BF80" i="3"/>
  <c r="CS80" i="3"/>
  <c r="AR80" i="3"/>
  <c r="AS80" i="3" s="1"/>
  <c r="BK80" i="3"/>
  <c r="CT80" i="3"/>
  <c r="BH80" i="3"/>
  <c r="BF128" i="3"/>
  <c r="CS128" i="3"/>
  <c r="AR128" i="3"/>
  <c r="AS128" i="3" s="1"/>
  <c r="BK128" i="3"/>
  <c r="CT128" i="3"/>
  <c r="BH128" i="3"/>
  <c r="AK152" i="3"/>
  <c r="AJ152" i="3"/>
  <c r="BG152" i="3"/>
  <c r="AL152" i="3"/>
  <c r="Y248" i="3"/>
  <c r="U248" i="3"/>
  <c r="W248" i="3" s="1"/>
  <c r="AQ272" i="3"/>
  <c r="AW272" i="3"/>
  <c r="CH272" i="3"/>
  <c r="CQ272" i="3"/>
  <c r="CI272" i="3"/>
  <c r="CP272" i="3"/>
  <c r="R272" i="3"/>
  <c r="AB272" i="3" s="1"/>
  <c r="F296" i="3" a="1"/>
  <c r="H296" i="3" a="1"/>
  <c r="I296" i="3" a="1"/>
  <c r="J296" i="3" s="1"/>
  <c r="T296" i="3" s="1"/>
  <c r="L296" i="3" a="1"/>
  <c r="M296" i="3" a="1"/>
  <c r="O296" i="3" s="1"/>
  <c r="P296" i="3" a="1"/>
  <c r="Q296" i="3" s="1"/>
  <c r="V296" i="3" s="1"/>
  <c r="AZ296" i="3" a="1"/>
  <c r="BA296" i="3" a="1"/>
  <c r="BC296" i="3" a="1"/>
  <c r="BD296" i="3" a="1"/>
  <c r="BX296" i="3" a="1"/>
  <c r="D320" i="3"/>
  <c r="CM31" i="3"/>
  <c r="BZ31" i="3"/>
  <c r="CK31" i="3"/>
  <c r="CL31" i="3"/>
  <c r="CJ31" i="3"/>
  <c r="AN31" i="3"/>
  <c r="BJ31" i="3" s="1"/>
  <c r="CA31" i="3"/>
  <c r="AM31" i="3"/>
  <c r="BI31" i="3" s="1"/>
  <c r="BW55" i="3"/>
  <c r="BY55" i="3" s="1"/>
  <c r="CO55" i="3"/>
  <c r="BF79" i="3"/>
  <c r="CS79" i="3"/>
  <c r="AR79" i="3"/>
  <c r="AS79" i="3" s="1"/>
  <c r="BK79" i="3"/>
  <c r="CT79" i="3"/>
  <c r="BH79" i="3"/>
  <c r="BF127" i="3"/>
  <c r="CS127" i="3"/>
  <c r="AR127" i="3"/>
  <c r="AS127" i="3" s="1"/>
  <c r="BK127" i="3"/>
  <c r="CT127" i="3"/>
  <c r="BH127" i="3"/>
  <c r="AK151" i="3"/>
  <c r="AJ151" i="3"/>
  <c r="BG151" i="3"/>
  <c r="AL151" i="3"/>
  <c r="CB175" i="3"/>
  <c r="AI175" i="3"/>
  <c r="BQ175" i="3"/>
  <c r="Y247" i="3"/>
  <c r="U247" i="3"/>
  <c r="W247" i="3" s="1"/>
  <c r="AQ271" i="3"/>
  <c r="AW271" i="3"/>
  <c r="CH271" i="3"/>
  <c r="CQ271" i="3"/>
  <c r="CI271" i="3"/>
  <c r="CP271" i="3"/>
  <c r="R271" i="3"/>
  <c r="AB271" i="3" s="1"/>
  <c r="F295" i="3" a="1"/>
  <c r="H295" i="3" a="1"/>
  <c r="I295" i="3" a="1"/>
  <c r="J295" i="3" s="1"/>
  <c r="T295" i="3" s="1"/>
  <c r="L295" i="3" a="1"/>
  <c r="M295" i="3" a="1"/>
  <c r="O295" i="3" s="1"/>
  <c r="P295" i="3" a="1"/>
  <c r="Q295" i="3" s="1"/>
  <c r="V295" i="3" s="1"/>
  <c r="AZ295" i="3" a="1"/>
  <c r="BA295" i="3" a="1"/>
  <c r="BC295" i="3" a="1"/>
  <c r="BD295" i="3" a="1"/>
  <c r="BX295" i="3" a="1"/>
  <c r="D319" i="3"/>
  <c r="CM30" i="3"/>
  <c r="CL30" i="3"/>
  <c r="BZ30" i="3"/>
  <c r="CK30" i="3"/>
  <c r="CJ30" i="3"/>
  <c r="AN30" i="3"/>
  <c r="BJ30" i="3" s="1"/>
  <c r="AM30" i="3"/>
  <c r="BI30" i="3" s="1"/>
  <c r="CA30" i="3"/>
  <c r="BW54" i="3"/>
  <c r="BY54" i="3" s="1"/>
  <c r="CO54" i="3"/>
  <c r="BF78" i="3"/>
  <c r="CS78" i="3"/>
  <c r="AR78" i="3"/>
  <c r="AS78" i="3" s="1"/>
  <c r="BK78" i="3"/>
  <c r="CT78" i="3"/>
  <c r="BH78" i="3"/>
  <c r="BF126" i="3"/>
  <c r="CS126" i="3"/>
  <c r="AR126" i="3"/>
  <c r="AS126" i="3" s="1"/>
  <c r="BK126" i="3"/>
  <c r="CT126" i="3"/>
  <c r="BH126" i="3"/>
  <c r="AK150" i="3"/>
  <c r="AJ150" i="3"/>
  <c r="BG150" i="3"/>
  <c r="AL150" i="3"/>
  <c r="CB174" i="3"/>
  <c r="AI174" i="3"/>
  <c r="BQ174" i="3"/>
  <c r="Y246" i="3"/>
  <c r="U246" i="3"/>
  <c r="W246" i="3" s="1"/>
  <c r="AQ270" i="3"/>
  <c r="AW270" i="3"/>
  <c r="CH270" i="3"/>
  <c r="CQ270" i="3"/>
  <c r="CI270" i="3"/>
  <c r="CP270" i="3"/>
  <c r="R270" i="3"/>
  <c r="AB270" i="3" s="1"/>
  <c r="F294" i="3" a="1"/>
  <c r="H294" i="3" a="1"/>
  <c r="I294" i="3" a="1"/>
  <c r="J294" i="3" s="1"/>
  <c r="T294" i="3" s="1"/>
  <c r="L294" i="3" a="1"/>
  <c r="M294" i="3" a="1"/>
  <c r="O294" i="3" s="1"/>
  <c r="P294" i="3" a="1"/>
  <c r="Q294" i="3" s="1"/>
  <c r="V294" i="3" s="1"/>
  <c r="AZ294" i="3" a="1"/>
  <c r="BA294" i="3" a="1"/>
  <c r="BC294" i="3" a="1"/>
  <c r="BD294" i="3" a="1"/>
  <c r="BX294" i="3" a="1"/>
  <c r="D318" i="3"/>
  <c r="BW53" i="3"/>
  <c r="BY53" i="3" s="1"/>
  <c r="CO53" i="3"/>
  <c r="BF77" i="3"/>
  <c r="CS77" i="3"/>
  <c r="AR77" i="3"/>
  <c r="AS77" i="3" s="1"/>
  <c r="BK77" i="3"/>
  <c r="CT77" i="3"/>
  <c r="BH77" i="3"/>
  <c r="CS125" i="3"/>
  <c r="AR125" i="3"/>
  <c r="AS125" i="3" s="1"/>
  <c r="BK125" i="3"/>
  <c r="BF125" i="3"/>
  <c r="CT125" i="3"/>
  <c r="BH125" i="3"/>
  <c r="AK149" i="3"/>
  <c r="AJ149" i="3"/>
  <c r="BG149" i="3"/>
  <c r="AL149" i="3"/>
  <c r="Y245" i="3"/>
  <c r="U245" i="3"/>
  <c r="W245" i="3" s="1"/>
  <c r="AQ269" i="3"/>
  <c r="AW269" i="3"/>
  <c r="CH269" i="3"/>
  <c r="CQ269" i="3"/>
  <c r="CI269" i="3"/>
  <c r="CP269" i="3"/>
  <c r="R269" i="3"/>
  <c r="AB269" i="3" s="1"/>
  <c r="F293" i="3" a="1"/>
  <c r="H293" i="3" a="1"/>
  <c r="I293" i="3" a="1"/>
  <c r="J293" i="3" s="1"/>
  <c r="T293" i="3" s="1"/>
  <c r="L293" i="3" a="1"/>
  <c r="M293" i="3" a="1"/>
  <c r="O293" i="3" s="1"/>
  <c r="P293" i="3" a="1"/>
  <c r="Q293" i="3" s="1"/>
  <c r="V293" i="3" s="1"/>
  <c r="AZ293" i="3" a="1"/>
  <c r="BA293" i="3" a="1"/>
  <c r="BC293" i="3" a="1"/>
  <c r="BD293" i="3" a="1"/>
  <c r="BX293" i="3" a="1"/>
  <c r="D317" i="3"/>
  <c r="CB173" i="3"/>
  <c r="BQ173" i="3"/>
  <c r="AI173" i="3"/>
  <c r="CK29" i="3"/>
  <c r="CL29" i="3"/>
  <c r="CM29" i="3"/>
  <c r="BZ29" i="3"/>
  <c r="CJ29" i="3"/>
  <c r="AN29" i="3"/>
  <c r="BJ29" i="3" s="1"/>
  <c r="AM29" i="3"/>
  <c r="BI29" i="3" s="1"/>
  <c r="CA29" i="3"/>
  <c r="BW52" i="3"/>
  <c r="BY52" i="3" s="1"/>
  <c r="CO52" i="3"/>
  <c r="BF76" i="3"/>
  <c r="CS76" i="3"/>
  <c r="AR76" i="3"/>
  <c r="AS76" i="3" s="1"/>
  <c r="BK76" i="3"/>
  <c r="CT76" i="3"/>
  <c r="BH76" i="3"/>
  <c r="BL100" i="3"/>
  <c r="BN100" i="3" s="1"/>
  <c r="BP100" i="3"/>
  <c r="BT100" i="3" s="1"/>
  <c r="BF124" i="3"/>
  <c r="CS124" i="3"/>
  <c r="AR124" i="3"/>
  <c r="AS124" i="3" s="1"/>
  <c r="BK124" i="3"/>
  <c r="CT124" i="3"/>
  <c r="BH124" i="3"/>
  <c r="AJ148" i="3"/>
  <c r="AK148" i="3"/>
  <c r="BG148" i="3"/>
  <c r="AL148" i="3"/>
  <c r="CB172" i="3"/>
  <c r="BQ172" i="3"/>
  <c r="AI172" i="3"/>
  <c r="Y244" i="3"/>
  <c r="U244" i="3"/>
  <c r="W244" i="3" s="1"/>
  <c r="AQ268" i="3"/>
  <c r="AW268" i="3"/>
  <c r="CH268" i="3"/>
  <c r="CQ268" i="3"/>
  <c r="CI268" i="3"/>
  <c r="CP268" i="3"/>
  <c r="R268" i="3"/>
  <c r="AB268" i="3" s="1"/>
  <c r="F292" i="3" a="1"/>
  <c r="H292" i="3" a="1"/>
  <c r="I292" i="3" a="1"/>
  <c r="J292" i="3" s="1"/>
  <c r="T292" i="3" s="1"/>
  <c r="L292" i="3" a="1"/>
  <c r="M292" i="3" a="1"/>
  <c r="O292" i="3" s="1"/>
  <c r="P292" i="3" a="1"/>
  <c r="Q292" i="3" s="1"/>
  <c r="V292" i="3" s="1"/>
  <c r="AZ292" i="3" a="1"/>
  <c r="BA292" i="3" a="1"/>
  <c r="BC292" i="3" a="1"/>
  <c r="BD292" i="3" a="1"/>
  <c r="BX292" i="3" a="1"/>
  <c r="D316" i="3"/>
  <c r="CM28" i="3"/>
  <c r="BZ28" i="3"/>
  <c r="CK28" i="3"/>
  <c r="CL28" i="3"/>
  <c r="CJ28" i="3"/>
  <c r="AN28" i="3"/>
  <c r="BJ28" i="3" s="1"/>
  <c r="CA28" i="3"/>
  <c r="AM28" i="3"/>
  <c r="BI28" i="3" s="1"/>
  <c r="CM27" i="3"/>
  <c r="CK27" i="3"/>
  <c r="BZ27" i="3"/>
  <c r="CL27" i="3"/>
  <c r="CJ27" i="3"/>
  <c r="AN27" i="3"/>
  <c r="BJ27" i="3" s="1"/>
  <c r="CA27" i="3"/>
  <c r="AM27" i="3"/>
  <c r="BI27" i="3" s="1"/>
  <c r="BW51" i="3"/>
  <c r="BY51" i="3" s="1"/>
  <c r="CO51" i="3"/>
  <c r="BF75" i="3"/>
  <c r="CS75" i="3"/>
  <c r="AR75" i="3"/>
  <c r="AS75" i="3" s="1"/>
  <c r="BK75" i="3"/>
  <c r="CT75" i="3"/>
  <c r="BH75" i="3"/>
  <c r="BL99" i="3"/>
  <c r="BN99" i="3" s="1"/>
  <c r="BP99" i="3"/>
  <c r="BT99" i="3" s="1"/>
  <c r="BF123" i="3"/>
  <c r="CS123" i="3"/>
  <c r="AR123" i="3"/>
  <c r="AS123" i="3" s="1"/>
  <c r="BK123" i="3"/>
  <c r="CT123" i="3"/>
  <c r="BH123" i="3"/>
  <c r="AK147" i="3"/>
  <c r="AJ147" i="3"/>
  <c r="BG147" i="3"/>
  <c r="AL147" i="3"/>
  <c r="CB171" i="3"/>
  <c r="AI171" i="3"/>
  <c r="BQ171" i="3"/>
  <c r="Y243" i="3"/>
  <c r="U243" i="3"/>
  <c r="W243" i="3" s="1"/>
  <c r="AQ267" i="3"/>
  <c r="AW267" i="3"/>
  <c r="CH267" i="3"/>
  <c r="CQ267" i="3"/>
  <c r="CI267" i="3"/>
  <c r="CP267" i="3"/>
  <c r="R267" i="3"/>
  <c r="AB267" i="3" s="1"/>
  <c r="F291" i="3" a="1"/>
  <c r="H291" i="3" a="1"/>
  <c r="I291" i="3" a="1"/>
  <c r="J291" i="3" s="1"/>
  <c r="T291" i="3" s="1"/>
  <c r="L291" i="3" a="1"/>
  <c r="M291" i="3" a="1"/>
  <c r="O291" i="3" s="1"/>
  <c r="P291" i="3" a="1"/>
  <c r="Q291" i="3" s="1"/>
  <c r="V291" i="3" s="1"/>
  <c r="AZ291" i="3" a="1"/>
  <c r="BA291" i="3" a="1"/>
  <c r="BC291" i="3" a="1"/>
  <c r="BD291" i="3" a="1"/>
  <c r="BX291" i="3" a="1"/>
  <c r="D315" i="3"/>
  <c r="CM26" i="3"/>
  <c r="CL26" i="3"/>
  <c r="BZ26" i="3"/>
  <c r="CK26" i="3"/>
  <c r="CJ26" i="3"/>
  <c r="AN26" i="3"/>
  <c r="BJ26" i="3" s="1"/>
  <c r="CA26" i="3"/>
  <c r="AM26" i="3"/>
  <c r="BI26" i="3" s="1"/>
  <c r="BW50" i="3"/>
  <c r="BY50" i="3" s="1"/>
  <c r="CO50" i="3"/>
  <c r="BF74" i="3"/>
  <c r="CS74" i="3"/>
  <c r="AR74" i="3"/>
  <c r="AS74" i="3" s="1"/>
  <c r="BK74" i="3"/>
  <c r="CT74" i="3"/>
  <c r="BH74" i="3"/>
  <c r="BL98" i="3"/>
  <c r="BN98" i="3" s="1"/>
  <c r="BP98" i="3"/>
  <c r="BT98" i="3" s="1"/>
  <c r="Y242" i="3"/>
  <c r="U242" i="3"/>
  <c r="W242" i="3" s="1"/>
  <c r="AQ266" i="3"/>
  <c r="AW266" i="3"/>
  <c r="CH266" i="3"/>
  <c r="CQ266" i="3"/>
  <c r="CI266" i="3"/>
  <c r="CP266" i="3"/>
  <c r="R266" i="3"/>
  <c r="AB266" i="3" s="1"/>
  <c r="F290" i="3" a="1"/>
  <c r="H290" i="3" a="1"/>
  <c r="I290" i="3" a="1"/>
  <c r="J290" i="3" s="1"/>
  <c r="T290" i="3" s="1"/>
  <c r="L290" i="3" a="1"/>
  <c r="M290" i="3" a="1"/>
  <c r="O290" i="3" s="1"/>
  <c r="P290" i="3" a="1"/>
  <c r="Q290" i="3" s="1"/>
  <c r="V290" i="3" s="1"/>
  <c r="AZ290" i="3" a="1"/>
  <c r="BA290" i="3" a="1"/>
  <c r="BC290" i="3" a="1"/>
  <c r="BD290" i="3" a="1"/>
  <c r="BX290" i="3" a="1"/>
  <c r="D314" i="3"/>
  <c r="CM25" i="3"/>
  <c r="BZ25" i="3"/>
  <c r="CK25" i="3"/>
  <c r="CL25" i="3"/>
  <c r="CJ25" i="3"/>
  <c r="AN25" i="3"/>
  <c r="BJ25" i="3" s="1"/>
  <c r="CA25" i="3"/>
  <c r="AM25" i="3"/>
  <c r="BI25" i="3" s="1"/>
  <c r="BW49" i="3"/>
  <c r="BY49" i="3" s="1"/>
  <c r="CO49" i="3"/>
  <c r="BF73" i="3"/>
  <c r="CS73" i="3"/>
  <c r="AR73" i="3"/>
  <c r="AS73" i="3" s="1"/>
  <c r="BK73" i="3"/>
  <c r="CT73" i="3"/>
  <c r="BH73" i="3"/>
  <c r="BL97" i="3"/>
  <c r="BN97" i="3" s="1"/>
  <c r="BP97" i="3"/>
  <c r="BT97" i="3" s="1"/>
  <c r="BF121" i="3"/>
  <c r="CS121" i="3"/>
  <c r="AR121" i="3"/>
  <c r="AS121" i="3" s="1"/>
  <c r="BK121" i="3"/>
  <c r="CT121" i="3"/>
  <c r="BH121" i="3"/>
  <c r="AK145" i="3"/>
  <c r="AJ145" i="3"/>
  <c r="BG145" i="3"/>
  <c r="AL145" i="3"/>
  <c r="Y241" i="3"/>
  <c r="U241" i="3"/>
  <c r="W241" i="3" s="1"/>
  <c r="AQ265" i="3"/>
  <c r="AW265" i="3"/>
  <c r="CH265" i="3"/>
  <c r="CQ265" i="3"/>
  <c r="CI265" i="3"/>
  <c r="CP265" i="3"/>
  <c r="R265" i="3"/>
  <c r="AB265" i="3" s="1"/>
  <c r="F289" i="3" a="1"/>
  <c r="H289" i="3" a="1"/>
  <c r="I289" i="3" a="1"/>
  <c r="J289" i="3" s="1"/>
  <c r="T289" i="3" s="1"/>
  <c r="L289" i="3" a="1"/>
  <c r="M289" i="3" a="1"/>
  <c r="O289" i="3" s="1"/>
  <c r="P289" i="3" a="1"/>
  <c r="Q289" i="3" s="1"/>
  <c r="V289" i="3" s="1"/>
  <c r="AZ289" i="3" a="1"/>
  <c r="BA289" i="3" a="1"/>
  <c r="BC289" i="3" a="1"/>
  <c r="BD289" i="3" a="1"/>
  <c r="BX289" i="3" a="1"/>
  <c r="D313" i="3"/>
  <c r="CB169" i="3"/>
  <c r="BQ169" i="3"/>
  <c r="AI169" i="3"/>
  <c r="BW48" i="3"/>
  <c r="BY48" i="3" s="1"/>
  <c r="CO48" i="3"/>
  <c r="BF72" i="3"/>
  <c r="CS72" i="3"/>
  <c r="AR72" i="3"/>
  <c r="AS72" i="3" s="1"/>
  <c r="BK72" i="3"/>
  <c r="CT72" i="3"/>
  <c r="BH72" i="3"/>
  <c r="BL96" i="3"/>
  <c r="BN96" i="3" s="1"/>
  <c r="BP96" i="3"/>
  <c r="BT96" i="3" s="1"/>
  <c r="BF120" i="3"/>
  <c r="CS120" i="3"/>
  <c r="AR120" i="3"/>
  <c r="AS120" i="3" s="1"/>
  <c r="BK120" i="3"/>
  <c r="CT120" i="3"/>
  <c r="BH120" i="3"/>
  <c r="CB168" i="3"/>
  <c r="BQ168" i="3"/>
  <c r="AI168" i="3"/>
  <c r="Y240" i="3"/>
  <c r="U240" i="3"/>
  <c r="W240" i="3" s="1"/>
  <c r="AQ264" i="3"/>
  <c r="AW264" i="3"/>
  <c r="CH264" i="3"/>
  <c r="CQ264" i="3"/>
  <c r="CI264" i="3"/>
  <c r="CP264" i="3"/>
  <c r="R264" i="3"/>
  <c r="AB264" i="3" s="1"/>
  <c r="F288" i="3" a="1"/>
  <c r="H288" i="3" a="1"/>
  <c r="I288" i="3" a="1"/>
  <c r="J288" i="3" s="1"/>
  <c r="T288" i="3" s="1"/>
  <c r="L288" i="3" a="1"/>
  <c r="M288" i="3" a="1"/>
  <c r="O288" i="3" s="1"/>
  <c r="P288" i="3" a="1"/>
  <c r="Q288" i="3" s="1"/>
  <c r="V288" i="3" s="1"/>
  <c r="AZ288" i="3" a="1"/>
  <c r="BA288" i="3" a="1"/>
  <c r="BC288" i="3" a="1"/>
  <c r="BD288" i="3" a="1"/>
  <c r="BX288" i="3" a="1"/>
  <c r="D312" i="3"/>
  <c r="CM24" i="3"/>
  <c r="CL24" i="3"/>
  <c r="BZ24" i="3"/>
  <c r="CK24" i="3"/>
  <c r="CJ24" i="3"/>
  <c r="AN24" i="3"/>
  <c r="BJ24" i="3" s="1"/>
  <c r="CA24" i="3"/>
  <c r="AM24" i="3"/>
  <c r="BI24" i="3" s="1"/>
  <c r="AK21" i="3"/>
  <c r="AJ21" i="3"/>
  <c r="BG21" i="3"/>
  <c r="AL21" i="3"/>
  <c r="BX105" i="3" a="1"/>
  <c r="CB105" i="3" s="1"/>
  <c r="H193" i="4"/>
  <c r="AB192" i="4"/>
  <c r="AA192" i="4" s="1"/>
  <c r="B308" i="3" a="1"/>
  <c r="CE308" i="3" a="1"/>
  <c r="P321" i="4"/>
  <c r="C28" i="13"/>
  <c r="C54" i="13"/>
  <c r="C82" i="13"/>
  <c r="C27" i="19"/>
  <c r="R13" i="4"/>
  <c r="Q14" i="4"/>
  <c r="B28" i="19"/>
  <c r="B29" i="13"/>
  <c r="B55" i="13"/>
  <c r="B83" i="13"/>
  <c r="BW22" i="3"/>
  <c r="BY22" i="3" s="1"/>
  <c r="CO22" i="3"/>
  <c r="BW23" i="3"/>
  <c r="BY23" i="3" s="1"/>
  <c r="CO23" i="3"/>
  <c r="BW46" i="3"/>
  <c r="BY46" i="3" s="1"/>
  <c r="CO46" i="3"/>
  <c r="CS71" i="3"/>
  <c r="AR71" i="3"/>
  <c r="AS71" i="3" s="1"/>
  <c r="BK71" i="3"/>
  <c r="BF71" i="3"/>
  <c r="CT71" i="3"/>
  <c r="BH71" i="3"/>
  <c r="AH70" i="3"/>
  <c r="BP95" i="3"/>
  <c r="BT95" i="3" s="1"/>
  <c r="BL95" i="3"/>
  <c r="BN95" i="3" s="1"/>
  <c r="BS47" i="3"/>
  <c r="BO47" i="3"/>
  <c r="BV47" i="3"/>
  <c r="BU47" i="3"/>
  <c r="CS119" i="3"/>
  <c r="AR119" i="3"/>
  <c r="AS119" i="3" s="1"/>
  <c r="BK119" i="3"/>
  <c r="BF119" i="3"/>
  <c r="CT119" i="3"/>
  <c r="BH119" i="3"/>
  <c r="CS118" i="3"/>
  <c r="AR118" i="3"/>
  <c r="AS118" i="3" s="1"/>
  <c r="BK118" i="3"/>
  <c r="BF118" i="3"/>
  <c r="CT118" i="3"/>
  <c r="BH118" i="3"/>
  <c r="BP45" i="3"/>
  <c r="BT45" i="3" s="1"/>
  <c r="BL45" i="3"/>
  <c r="BN45" i="3" s="1"/>
  <c r="AK143" i="3"/>
  <c r="BG143" i="3"/>
  <c r="AJ143" i="3"/>
  <c r="AL143" i="3"/>
  <c r="CB167" i="3"/>
  <c r="AI167" i="3"/>
  <c r="BQ167" i="3"/>
  <c r="CB166" i="3"/>
  <c r="AI166" i="3"/>
  <c r="BQ166" i="3"/>
  <c r="BG139" i="3"/>
  <c r="AK139" i="3"/>
  <c r="AJ139" i="3"/>
  <c r="AL139" i="3"/>
  <c r="CB117" i="3"/>
  <c r="AI117" i="3"/>
  <c r="BQ117" i="3"/>
  <c r="CB94" i="3"/>
  <c r="AI94" i="3"/>
  <c r="BQ94" i="3"/>
  <c r="Y239" i="3"/>
  <c r="U239" i="3"/>
  <c r="W239" i="3" s="1"/>
  <c r="Y238" i="3"/>
  <c r="U238" i="3"/>
  <c r="W238" i="3" s="1"/>
  <c r="AF141" i="3"/>
  <c r="AG141" i="3" s="1"/>
  <c r="AH141" i="3" s="1"/>
  <c r="Y213" i="3"/>
  <c r="U213" i="3"/>
  <c r="W213" i="3" s="1"/>
  <c r="CQ263" i="3"/>
  <c r="CH263" i="3"/>
  <c r="AW263" i="3"/>
  <c r="AQ263" i="3"/>
  <c r="CP263" i="3"/>
  <c r="CI263" i="3"/>
  <c r="R263" i="3"/>
  <c r="AB263" i="3" s="1"/>
  <c r="CP262" i="3"/>
  <c r="CI262" i="3"/>
  <c r="CQ262" i="3"/>
  <c r="CH262" i="3"/>
  <c r="AW262" i="3"/>
  <c r="AQ262" i="3"/>
  <c r="R262" i="3"/>
  <c r="AB262" i="3" s="1"/>
  <c r="CQ261" i="3"/>
  <c r="CH261" i="3"/>
  <c r="AW261" i="3"/>
  <c r="AQ261" i="3"/>
  <c r="CP261" i="3"/>
  <c r="CI261" i="3"/>
  <c r="AD165" i="3"/>
  <c r="R237" i="3"/>
  <c r="AB237" i="3" s="1"/>
  <c r="T237" i="3"/>
  <c r="V237" i="3"/>
  <c r="BA287" i="3" a="1"/>
  <c r="L287" i="3" a="1"/>
  <c r="M287" i="3" a="1"/>
  <c r="O287" i="3" s="1"/>
  <c r="P287" i="3" a="1"/>
  <c r="Q287" i="3" s="1"/>
  <c r="V287" i="3" s="1"/>
  <c r="AZ287" i="3" a="1"/>
  <c r="BC287" i="3" a="1"/>
  <c r="BD287" i="3" a="1"/>
  <c r="BX287" i="3" a="1"/>
  <c r="P286" i="3" a="1"/>
  <c r="Q286" i="3" s="1"/>
  <c r="V286" i="3" s="1"/>
  <c r="H286" i="3" a="1"/>
  <c r="I286" i="3" a="1"/>
  <c r="J286" i="3" s="1"/>
  <c r="T286" i="3" s="1"/>
  <c r="L286" i="3" a="1"/>
  <c r="M286" i="3" a="1"/>
  <c r="O286" i="3" s="1"/>
  <c r="BX286" i="3" a="1"/>
  <c r="AZ286" i="3" a="1"/>
  <c r="BA286" i="3" a="1"/>
  <c r="BC286" i="3" a="1"/>
  <c r="BD286" i="3" a="1"/>
  <c r="BC285" i="3" a="1"/>
  <c r="H285" i="3" a="1"/>
  <c r="I285" i="3" a="1"/>
  <c r="L285" i="3" a="1"/>
  <c r="M285" i="3" a="1"/>
  <c r="P285" i="3" a="1"/>
  <c r="AZ285" i="3" a="1"/>
  <c r="BA285" i="3" a="1"/>
  <c r="BD285" i="3" a="1"/>
  <c r="BX285" i="3" a="1"/>
  <c r="J261" i="3"/>
  <c r="O261" i="3"/>
  <c r="Q261" i="3"/>
  <c r="CR233" i="3" l="1"/>
  <c r="BR233" i="3"/>
  <c r="AA233" i="3"/>
  <c r="AE233" i="3" s="1"/>
  <c r="AF233" i="3" s="1"/>
  <c r="AG233" i="3" s="1"/>
  <c r="AH233" i="3" s="1"/>
  <c r="AK144" i="3"/>
  <c r="BF144" i="3" s="1"/>
  <c r="AL144" i="3"/>
  <c r="BG144" i="3"/>
  <c r="AJ144" i="3"/>
  <c r="CR234" i="3"/>
  <c r="BR234" i="3"/>
  <c r="AA234" i="3"/>
  <c r="AE234" i="3" s="1"/>
  <c r="AF234" i="3" s="1"/>
  <c r="AG234" i="3" s="1"/>
  <c r="AH234" i="3" s="1"/>
  <c r="CR215" i="3"/>
  <c r="BR215" i="3"/>
  <c r="AA215" i="3"/>
  <c r="AE215" i="3" s="1"/>
  <c r="AF215" i="3" s="1"/>
  <c r="AG215" i="3" s="1"/>
  <c r="AH215" i="3" s="1"/>
  <c r="CR227" i="3"/>
  <c r="BR227" i="3"/>
  <c r="AA227" i="3"/>
  <c r="AE227" i="3" s="1"/>
  <c r="AF227" i="3" s="1"/>
  <c r="AG227" i="3" s="1"/>
  <c r="AH227" i="3" s="1"/>
  <c r="BN104" i="3"/>
  <c r="CR216" i="3"/>
  <c r="BR216" i="3"/>
  <c r="AA216" i="3"/>
  <c r="AE216" i="3" s="1"/>
  <c r="AF216" i="3" s="1"/>
  <c r="AG216" i="3" s="1"/>
  <c r="AH216" i="3" s="1"/>
  <c r="CR232" i="3"/>
  <c r="AA232" i="3"/>
  <c r="AE232" i="3" s="1"/>
  <c r="AF232" i="3" s="1"/>
  <c r="AG232" i="3" s="1"/>
  <c r="AH232" i="3" s="1"/>
  <c r="BR232" i="3"/>
  <c r="CR223" i="3"/>
  <c r="BR223" i="3"/>
  <c r="AA223" i="3"/>
  <c r="AE223" i="3" s="1"/>
  <c r="AF223" i="3" s="1"/>
  <c r="AG223" i="3" s="1"/>
  <c r="AH223" i="3" s="1"/>
  <c r="CR224" i="3"/>
  <c r="BR224" i="3"/>
  <c r="AA224" i="3"/>
  <c r="AE224" i="3" s="1"/>
  <c r="AF224" i="3" s="1"/>
  <c r="AG224" i="3" s="1"/>
  <c r="AH224" i="3" s="1"/>
  <c r="Z241" i="3"/>
  <c r="AC241" i="3" s="1"/>
  <c r="AD241" i="3" s="1"/>
  <c r="CR235" i="3"/>
  <c r="BR235" i="3"/>
  <c r="AA235" i="3"/>
  <c r="AE235" i="3" s="1"/>
  <c r="AF235" i="3" s="1"/>
  <c r="AG235" i="3" s="1"/>
  <c r="AH235" i="3" s="1"/>
  <c r="BN101" i="3"/>
  <c r="Z242" i="3"/>
  <c r="AC242" i="3" s="1"/>
  <c r="AD242" i="3" s="1"/>
  <c r="CR221" i="3"/>
  <c r="BR221" i="3"/>
  <c r="AA221" i="3"/>
  <c r="AE221" i="3" s="1"/>
  <c r="AF221" i="3" s="1"/>
  <c r="AG221" i="3" s="1"/>
  <c r="AH221" i="3" s="1"/>
  <c r="CR220" i="3"/>
  <c r="BR220" i="3"/>
  <c r="AA220" i="3"/>
  <c r="AE220" i="3" s="1"/>
  <c r="AF220" i="3" s="1"/>
  <c r="AG220" i="3" s="1"/>
  <c r="AH220" i="3" s="1"/>
  <c r="CR217" i="3"/>
  <c r="BR217" i="3"/>
  <c r="AA217" i="3"/>
  <c r="AE217" i="3" s="1"/>
  <c r="AF217" i="3" s="1"/>
  <c r="AG217" i="3" s="1"/>
  <c r="AH217" i="3" s="1"/>
  <c r="BN108" i="3"/>
  <c r="Z238" i="3"/>
  <c r="AC238" i="3" s="1"/>
  <c r="AD238" i="3" s="1"/>
  <c r="CR226" i="3"/>
  <c r="BR226" i="3"/>
  <c r="AA226" i="3"/>
  <c r="AE226" i="3" s="1"/>
  <c r="AF226" i="3" s="1"/>
  <c r="AG226" i="3" s="1"/>
  <c r="AH226" i="3" s="1"/>
  <c r="CR225" i="3"/>
  <c r="BR225" i="3"/>
  <c r="AA225" i="3"/>
  <c r="AE225" i="3" s="1"/>
  <c r="AF225" i="3" s="1"/>
  <c r="AG225" i="3" s="1"/>
  <c r="AH225" i="3" s="1"/>
  <c r="CR219" i="3"/>
  <c r="BR219" i="3"/>
  <c r="AA219" i="3"/>
  <c r="AE219" i="3" s="1"/>
  <c r="AF219" i="3" s="1"/>
  <c r="AG219" i="3" s="1"/>
  <c r="AH219" i="3" s="1"/>
  <c r="CR218" i="3"/>
  <c r="BR218" i="3"/>
  <c r="AA218" i="3"/>
  <c r="AE218" i="3" s="1"/>
  <c r="AF218" i="3" s="1"/>
  <c r="AG218" i="3" s="1"/>
  <c r="AH218" i="3" s="1"/>
  <c r="Z248" i="3"/>
  <c r="AC248" i="3" s="1"/>
  <c r="AD248" i="3" s="1"/>
  <c r="BN102" i="3"/>
  <c r="Z259" i="3"/>
  <c r="AC259" i="3" s="1"/>
  <c r="AD259" i="3" s="1"/>
  <c r="Z243" i="3"/>
  <c r="AC243" i="3" s="1"/>
  <c r="AD243" i="3" s="1"/>
  <c r="Z239" i="3"/>
  <c r="AC239" i="3" s="1"/>
  <c r="AD239" i="3" s="1"/>
  <c r="CR222" i="3"/>
  <c r="AA222" i="3"/>
  <c r="AE222" i="3" s="1"/>
  <c r="AF222" i="3" s="1"/>
  <c r="AG222" i="3" s="1"/>
  <c r="AH222" i="3" s="1"/>
  <c r="BR222" i="3"/>
  <c r="AF199" i="3"/>
  <c r="AG199" i="3" s="1"/>
  <c r="AH199" i="3" s="1"/>
  <c r="Z255" i="3"/>
  <c r="AC255" i="3" s="1"/>
  <c r="AD255" i="3" s="1"/>
  <c r="Z246" i="3"/>
  <c r="AC246" i="3" s="1"/>
  <c r="AD246" i="3" s="1"/>
  <c r="Z213" i="3"/>
  <c r="AC213" i="3" s="1"/>
  <c r="AD213" i="3" s="1"/>
  <c r="BN116" i="3"/>
  <c r="Z247" i="3"/>
  <c r="AC247" i="3" s="1"/>
  <c r="AD247" i="3" s="1"/>
  <c r="CR214" i="3"/>
  <c r="BR214" i="3"/>
  <c r="AA214" i="3"/>
  <c r="AE214" i="3" s="1"/>
  <c r="AF214" i="3" s="1"/>
  <c r="AG214" i="3" s="1"/>
  <c r="AH214" i="3" s="1"/>
  <c r="CR236" i="3"/>
  <c r="BR236" i="3"/>
  <c r="AA236" i="3"/>
  <c r="AE236" i="3" s="1"/>
  <c r="AF236" i="3" s="1"/>
  <c r="AG236" i="3" s="1"/>
  <c r="AH236" i="3" s="1"/>
  <c r="AK146" i="3"/>
  <c r="BF146" i="3" s="1"/>
  <c r="AJ146" i="3"/>
  <c r="BG146" i="3"/>
  <c r="AL146" i="3"/>
  <c r="Z250" i="3"/>
  <c r="AC250" i="3" s="1"/>
  <c r="AD250" i="3" s="1"/>
  <c r="Z240" i="3"/>
  <c r="AC240" i="3" s="1"/>
  <c r="AD240" i="3" s="1"/>
  <c r="CS136" i="3"/>
  <c r="AR136" i="3"/>
  <c r="AS136" i="3" s="1"/>
  <c r="BK136" i="3"/>
  <c r="BL136" i="3" s="1"/>
  <c r="CT136" i="3"/>
  <c r="BH136" i="3"/>
  <c r="BP136" i="3" s="1"/>
  <c r="BT136" i="3" s="1"/>
  <c r="CR189" i="3"/>
  <c r="AA189" i="3"/>
  <c r="AE189" i="3" s="1"/>
  <c r="AF189" i="3" s="1"/>
  <c r="AG189" i="3" s="1"/>
  <c r="AH189" i="3" s="1"/>
  <c r="BR189" i="3"/>
  <c r="CS135" i="3"/>
  <c r="AR135" i="3"/>
  <c r="AS135" i="3" s="1"/>
  <c r="BK135" i="3"/>
  <c r="BL135" i="3" s="1"/>
  <c r="CT135" i="3"/>
  <c r="BH135" i="3"/>
  <c r="BP135" i="3" s="1"/>
  <c r="BT135" i="3" s="1"/>
  <c r="AF204" i="3"/>
  <c r="AG204" i="3" s="1"/>
  <c r="AH204" i="3" s="1"/>
  <c r="Z249" i="3"/>
  <c r="AC249" i="3" s="1"/>
  <c r="AD249" i="3" s="1"/>
  <c r="CR231" i="3"/>
  <c r="BR231" i="3"/>
  <c r="AA231" i="3"/>
  <c r="AE231" i="3" s="1"/>
  <c r="AF231" i="3" s="1"/>
  <c r="AG231" i="3" s="1"/>
  <c r="AH231" i="3" s="1"/>
  <c r="CR229" i="3"/>
  <c r="BR229" i="3"/>
  <c r="AA229" i="3"/>
  <c r="AE229" i="3" s="1"/>
  <c r="AF229" i="3" s="1"/>
  <c r="AG229" i="3" s="1"/>
  <c r="AH229" i="3" s="1"/>
  <c r="BN103" i="3"/>
  <c r="Z257" i="3"/>
  <c r="AC257" i="3" s="1"/>
  <c r="AD257" i="3" s="1"/>
  <c r="Z254" i="3"/>
  <c r="AC254" i="3" s="1"/>
  <c r="AD254" i="3" s="1"/>
  <c r="AI176" i="3"/>
  <c r="BQ176" i="3"/>
  <c r="CB176" i="3"/>
  <c r="Z251" i="3"/>
  <c r="AC251" i="3" s="1"/>
  <c r="AD251" i="3" s="1"/>
  <c r="AR122" i="3"/>
  <c r="AS122" i="3" s="1"/>
  <c r="BK122" i="3"/>
  <c r="BL122" i="3" s="1"/>
  <c r="CS122" i="3"/>
  <c r="CT122" i="3"/>
  <c r="BH122" i="3"/>
  <c r="BP122" i="3" s="1"/>
  <c r="BT122" i="3" s="1"/>
  <c r="AK153" i="3"/>
  <c r="BF153" i="3" s="1"/>
  <c r="AJ153" i="3"/>
  <c r="BG153" i="3"/>
  <c r="AL153" i="3"/>
  <c r="CS129" i="3"/>
  <c r="AR129" i="3"/>
  <c r="AS129" i="3" s="1"/>
  <c r="BK129" i="3"/>
  <c r="BL129" i="3" s="1"/>
  <c r="CT129" i="3"/>
  <c r="BH129" i="3"/>
  <c r="BP129" i="3" s="1"/>
  <c r="BT129" i="3" s="1"/>
  <c r="CS137" i="3"/>
  <c r="AR137" i="3"/>
  <c r="AS137" i="3" s="1"/>
  <c r="BK137" i="3"/>
  <c r="BL137" i="3" s="1"/>
  <c r="AF193" i="3"/>
  <c r="AG193" i="3" s="1"/>
  <c r="AH193" i="3" s="1"/>
  <c r="Z245" i="3"/>
  <c r="AC245" i="3" s="1"/>
  <c r="AD245" i="3" s="1"/>
  <c r="Z244" i="3"/>
  <c r="AC244" i="3" s="1"/>
  <c r="AD244" i="3" s="1"/>
  <c r="CR230" i="3"/>
  <c r="BR230" i="3"/>
  <c r="AA230" i="3"/>
  <c r="AE230" i="3" s="1"/>
  <c r="AF230" i="3" s="1"/>
  <c r="AG230" i="3" s="1"/>
  <c r="AH230" i="3" s="1"/>
  <c r="CB170" i="3"/>
  <c r="AI170" i="3"/>
  <c r="BQ170" i="3"/>
  <c r="CT137" i="3"/>
  <c r="BH137" i="3"/>
  <c r="BP137" i="3" s="1"/>
  <c r="BT137" i="3" s="1"/>
  <c r="AJ142" i="3"/>
  <c r="AK142" i="3"/>
  <c r="BF142" i="3" s="1"/>
  <c r="BG142" i="3"/>
  <c r="AL142" i="3"/>
  <c r="Z260" i="3"/>
  <c r="AC260" i="3" s="1"/>
  <c r="AD260" i="3" s="1"/>
  <c r="Z256" i="3"/>
  <c r="AC256" i="3" s="1"/>
  <c r="AD256" i="3" s="1"/>
  <c r="Z258" i="3"/>
  <c r="AC258" i="3" s="1"/>
  <c r="AD258" i="3" s="1"/>
  <c r="CD404" i="3"/>
  <c r="C428" i="3"/>
  <c r="G380" i="3" a="1"/>
  <c r="BB380" i="3" a="1"/>
  <c r="E404" i="3"/>
  <c r="CC404" i="3"/>
  <c r="A428" i="3"/>
  <c r="CD379" i="3"/>
  <c r="C403" i="3"/>
  <c r="G355" i="3" a="1"/>
  <c r="BB355" i="3" a="1"/>
  <c r="CE355" i="3" a="1"/>
  <c r="B355" i="3" a="1"/>
  <c r="E379" i="3"/>
  <c r="CC379" i="3"/>
  <c r="A403" i="3"/>
  <c r="CD378" i="3"/>
  <c r="C402" i="3"/>
  <c r="G354" i="3" a="1"/>
  <c r="BB354" i="3" a="1"/>
  <c r="CE354" i="3" a="1"/>
  <c r="B354" i="3" a="1"/>
  <c r="E378" i="3"/>
  <c r="CC378" i="3"/>
  <c r="A402" i="3"/>
  <c r="CD377" i="3"/>
  <c r="C401" i="3"/>
  <c r="G353" i="3" a="1"/>
  <c r="BB353" i="3" a="1"/>
  <c r="CE353" i="3" a="1"/>
  <c r="B353" i="3" a="1"/>
  <c r="E377" i="3"/>
  <c r="CC377" i="3"/>
  <c r="A401" i="3"/>
  <c r="CD376" i="3"/>
  <c r="C400" i="3"/>
  <c r="G352" i="3" a="1"/>
  <c r="BB352" i="3" a="1"/>
  <c r="CE352" i="3" a="1"/>
  <c r="B352" i="3" a="1"/>
  <c r="E376" i="3"/>
  <c r="CC376" i="3"/>
  <c r="A400" i="3"/>
  <c r="CD375" i="3"/>
  <c r="C399" i="3"/>
  <c r="G351" i="3" a="1"/>
  <c r="BB351" i="3" a="1"/>
  <c r="CE351" i="3" a="1"/>
  <c r="B351" i="3" a="1"/>
  <c r="E375" i="3"/>
  <c r="CC375" i="3"/>
  <c r="A399" i="3"/>
  <c r="CD374" i="3"/>
  <c r="C398" i="3"/>
  <c r="G350" i="3" a="1"/>
  <c r="BB350" i="3" a="1"/>
  <c r="CE350" i="3" a="1"/>
  <c r="B350" i="3" a="1"/>
  <c r="E374" i="3"/>
  <c r="CC374" i="3"/>
  <c r="A398" i="3"/>
  <c r="CD373" i="3"/>
  <c r="C397" i="3"/>
  <c r="G349" i="3" a="1"/>
  <c r="BB349" i="3" a="1"/>
  <c r="CE349" i="3" a="1"/>
  <c r="B349" i="3" a="1"/>
  <c r="E373" i="3"/>
  <c r="CC373" i="3"/>
  <c r="A397" i="3"/>
  <c r="CD372" i="3"/>
  <c r="C396" i="3"/>
  <c r="G348" i="3" a="1"/>
  <c r="BB348" i="3" a="1"/>
  <c r="CE348" i="3" a="1"/>
  <c r="B348" i="3" a="1"/>
  <c r="E372" i="3"/>
  <c r="CC372" i="3"/>
  <c r="A396" i="3"/>
  <c r="CD371" i="3"/>
  <c r="C395" i="3"/>
  <c r="G347" i="3" a="1"/>
  <c r="BB347" i="3" a="1"/>
  <c r="CE347" i="3" a="1"/>
  <c r="B347" i="3" a="1"/>
  <c r="E371" i="3"/>
  <c r="CC371" i="3"/>
  <c r="A395" i="3"/>
  <c r="CD370" i="3"/>
  <c r="C394" i="3"/>
  <c r="G346" i="3" a="1"/>
  <c r="BB346" i="3" a="1"/>
  <c r="CE346" i="3" a="1"/>
  <c r="B346" i="3" a="1"/>
  <c r="E370" i="3"/>
  <c r="CC370" i="3"/>
  <c r="A394" i="3"/>
  <c r="CD369" i="3"/>
  <c r="C393" i="3"/>
  <c r="G345" i="3" a="1"/>
  <c r="BB345" i="3" a="1"/>
  <c r="CE345" i="3" a="1"/>
  <c r="B345" i="3" a="1"/>
  <c r="E369" i="3"/>
  <c r="CC369" i="3"/>
  <c r="A393" i="3"/>
  <c r="CD368" i="3"/>
  <c r="C392" i="3"/>
  <c r="G344" i="3" a="1"/>
  <c r="BB344" i="3" a="1"/>
  <c r="CE344" i="3" a="1"/>
  <c r="B344" i="3" a="1"/>
  <c r="E368" i="3"/>
  <c r="CC368" i="3"/>
  <c r="A392" i="3"/>
  <c r="CD367" i="3"/>
  <c r="C391" i="3"/>
  <c r="B343" i="3" a="1"/>
  <c r="BB343" i="3" a="1"/>
  <c r="G343" i="3" a="1"/>
  <c r="CE343" i="3" a="1"/>
  <c r="E367" i="3"/>
  <c r="CC367" i="3"/>
  <c r="A391" i="3"/>
  <c r="CD366" i="3"/>
  <c r="C390" i="3"/>
  <c r="B342" i="3" a="1"/>
  <c r="BB342" i="3" a="1"/>
  <c r="CE342" i="3" a="1"/>
  <c r="G342" i="3" a="1"/>
  <c r="E366" i="3"/>
  <c r="CC366" i="3"/>
  <c r="A390" i="3"/>
  <c r="CD341" i="3"/>
  <c r="C365" i="3"/>
  <c r="G317" i="3" a="1"/>
  <c r="BB317" i="3" a="1"/>
  <c r="CE317" i="3" a="1"/>
  <c r="B317" i="3" a="1"/>
  <c r="E341" i="3"/>
  <c r="CC341" i="3"/>
  <c r="A365" i="3"/>
  <c r="CD340" i="3"/>
  <c r="C364" i="3"/>
  <c r="G316" i="3" a="1"/>
  <c r="BB316" i="3" a="1"/>
  <c r="CE316" i="3" a="1"/>
  <c r="B316" i="3" a="1"/>
  <c r="E340" i="3"/>
  <c r="CC340" i="3"/>
  <c r="A364" i="3"/>
  <c r="CD339" i="3"/>
  <c r="C363" i="3"/>
  <c r="G315" i="3" a="1"/>
  <c r="BB315" i="3" a="1"/>
  <c r="CE315" i="3" a="1"/>
  <c r="B315" i="3" a="1"/>
  <c r="E339" i="3"/>
  <c r="CC339" i="3"/>
  <c r="A363" i="3"/>
  <c r="CD338" i="3"/>
  <c r="C362" i="3"/>
  <c r="G314" i="3" a="1"/>
  <c r="BB314" i="3" a="1"/>
  <c r="CE314" i="3" a="1"/>
  <c r="B314" i="3" a="1"/>
  <c r="E338" i="3"/>
  <c r="CC338" i="3"/>
  <c r="A362" i="3"/>
  <c r="CD337" i="3"/>
  <c r="C361" i="3"/>
  <c r="G313" i="3" a="1"/>
  <c r="BB313" i="3" a="1"/>
  <c r="CE313" i="3" a="1"/>
  <c r="B313" i="3" a="1"/>
  <c r="E337" i="3"/>
  <c r="CC337" i="3"/>
  <c r="A361" i="3"/>
  <c r="CD336" i="3"/>
  <c r="C360" i="3"/>
  <c r="G312" i="3" a="1"/>
  <c r="BB312" i="3" a="1"/>
  <c r="CE312" i="3" a="1"/>
  <c r="B312" i="3" a="1"/>
  <c r="E336" i="3"/>
  <c r="CC336" i="3"/>
  <c r="A360" i="3"/>
  <c r="F335" i="3" a="1"/>
  <c r="D359" i="3"/>
  <c r="CD335" i="3"/>
  <c r="C359" i="3"/>
  <c r="G311" i="3" a="1"/>
  <c r="BB311" i="3" a="1"/>
  <c r="CE311" i="3" a="1"/>
  <c r="B311" i="3" a="1"/>
  <c r="E335" i="3"/>
  <c r="CC335" i="3"/>
  <c r="A359" i="3"/>
  <c r="AQ310" i="3"/>
  <c r="AW310" i="3"/>
  <c r="CH310" i="3"/>
  <c r="CQ310" i="3"/>
  <c r="F334" i="3" a="1"/>
  <c r="D358" i="3"/>
  <c r="CD334" i="3"/>
  <c r="C358" i="3"/>
  <c r="G310" i="3" a="1"/>
  <c r="BB310" i="3" a="1"/>
  <c r="CE310" i="3" a="1"/>
  <c r="B310" i="3" a="1"/>
  <c r="E334" i="3"/>
  <c r="CC334" i="3"/>
  <c r="A358" i="3"/>
  <c r="BW69" i="3"/>
  <c r="BY69" i="3" s="1"/>
  <c r="CO69" i="3"/>
  <c r="BW93" i="3"/>
  <c r="BY93" i="3" s="1"/>
  <c r="CO93" i="3"/>
  <c r="F333" i="3" a="1"/>
  <c r="D357" i="3"/>
  <c r="CD333" i="3"/>
  <c r="C357" i="3"/>
  <c r="G309" i="3" a="1"/>
  <c r="BB309" i="3" a="1"/>
  <c r="CE309" i="3" a="1"/>
  <c r="B309" i="3" a="1"/>
  <c r="E333" i="3"/>
  <c r="CC333" i="3"/>
  <c r="A357" i="3"/>
  <c r="CM68" i="3"/>
  <c r="BZ68" i="3"/>
  <c r="CK68" i="3"/>
  <c r="CL68" i="3"/>
  <c r="CJ68" i="3"/>
  <c r="AN68" i="3"/>
  <c r="BJ68" i="3" s="1"/>
  <c r="AM68" i="3"/>
  <c r="BI68" i="3" s="1"/>
  <c r="CA68" i="3"/>
  <c r="BL92" i="3"/>
  <c r="BN92" i="3" s="1"/>
  <c r="BP92" i="3"/>
  <c r="BT92" i="3" s="1"/>
  <c r="BV116" i="3"/>
  <c r="BU116" i="3"/>
  <c r="BL140" i="3"/>
  <c r="BN140" i="3" s="1"/>
  <c r="BP140" i="3"/>
  <c r="BT140" i="3" s="1"/>
  <c r="AJ188" i="3"/>
  <c r="AK188" i="3"/>
  <c r="BG188" i="3"/>
  <c r="AL188" i="3"/>
  <c r="CB212" i="3"/>
  <c r="AI212" i="3"/>
  <c r="BQ212" i="3"/>
  <c r="Y284" i="3"/>
  <c r="U284" i="3"/>
  <c r="W284" i="3" s="1"/>
  <c r="AQ308" i="3"/>
  <c r="AW308" i="3"/>
  <c r="CH308" i="3"/>
  <c r="CQ308" i="3"/>
  <c r="CI308" i="3"/>
  <c r="CP308" i="3"/>
  <c r="R308" i="3"/>
  <c r="AB308" i="3" s="1"/>
  <c r="F332" i="3" a="1"/>
  <c r="H332" i="3" a="1"/>
  <c r="I332" i="3" a="1"/>
  <c r="J332" i="3" s="1"/>
  <c r="T332" i="3" s="1"/>
  <c r="L332" i="3" a="1"/>
  <c r="M332" i="3" a="1"/>
  <c r="O332" i="3" s="1"/>
  <c r="P332" i="3" a="1"/>
  <c r="Q332" i="3" s="1"/>
  <c r="V332" i="3" s="1"/>
  <c r="AZ332" i="3" a="1"/>
  <c r="BA332" i="3" a="1"/>
  <c r="BC332" i="3" a="1"/>
  <c r="BD332" i="3" a="1"/>
  <c r="BX332" i="3" a="1"/>
  <c r="D356" i="3"/>
  <c r="BF164" i="3"/>
  <c r="CS164" i="3"/>
  <c r="AR164" i="3"/>
  <c r="AS164" i="3" s="1"/>
  <c r="BK164" i="3"/>
  <c r="CT164" i="3"/>
  <c r="BH164" i="3"/>
  <c r="CM67" i="3"/>
  <c r="BZ67" i="3"/>
  <c r="CK67" i="3"/>
  <c r="CL67" i="3"/>
  <c r="CJ67" i="3"/>
  <c r="AN67" i="3"/>
  <c r="BJ67" i="3" s="1"/>
  <c r="AM67" i="3"/>
  <c r="BI67" i="3" s="1"/>
  <c r="CA67" i="3"/>
  <c r="BL91" i="3"/>
  <c r="BN91" i="3" s="1"/>
  <c r="BP91" i="3"/>
  <c r="BT91" i="3" s="1"/>
  <c r="BO115" i="3"/>
  <c r="BS115" i="3"/>
  <c r="BV115" i="3"/>
  <c r="BU115" i="3"/>
  <c r="CS163" i="3"/>
  <c r="AR163" i="3"/>
  <c r="AS163" i="3" s="1"/>
  <c r="BK163" i="3"/>
  <c r="BF163" i="3"/>
  <c r="CT163" i="3"/>
  <c r="BH163" i="3"/>
  <c r="AK187" i="3"/>
  <c r="AJ187" i="3"/>
  <c r="BG187" i="3"/>
  <c r="AL187" i="3"/>
  <c r="CB211" i="3"/>
  <c r="BQ211" i="3"/>
  <c r="AI211" i="3"/>
  <c r="Y283" i="3"/>
  <c r="U283" i="3"/>
  <c r="W283" i="3" s="1"/>
  <c r="AQ307" i="3"/>
  <c r="AW307" i="3"/>
  <c r="CH307" i="3"/>
  <c r="CQ307" i="3"/>
  <c r="CI307" i="3"/>
  <c r="CP307" i="3"/>
  <c r="R307" i="3"/>
  <c r="AB307" i="3" s="1"/>
  <c r="F331" i="3" a="1"/>
  <c r="H331" i="3" a="1"/>
  <c r="I331" i="3" a="1"/>
  <c r="J331" i="3" s="1"/>
  <c r="T331" i="3" s="1"/>
  <c r="L331" i="3" a="1"/>
  <c r="M331" i="3" a="1"/>
  <c r="O331" i="3" s="1"/>
  <c r="P331" i="3" a="1"/>
  <c r="Q331" i="3" s="1"/>
  <c r="V331" i="3" s="1"/>
  <c r="AZ331" i="3" a="1"/>
  <c r="BA331" i="3" a="1"/>
  <c r="BC331" i="3" a="1"/>
  <c r="BD331" i="3" a="1"/>
  <c r="BX331" i="3" a="1"/>
  <c r="D355" i="3"/>
  <c r="CM66" i="3"/>
  <c r="BZ66" i="3"/>
  <c r="CK66" i="3"/>
  <c r="CL66" i="3"/>
  <c r="CJ66" i="3"/>
  <c r="AN66" i="3"/>
  <c r="BJ66" i="3" s="1"/>
  <c r="AM66" i="3"/>
  <c r="BI66" i="3" s="1"/>
  <c r="CA66" i="3"/>
  <c r="BL90" i="3"/>
  <c r="BN90" i="3" s="1"/>
  <c r="BP90" i="3"/>
  <c r="BT90" i="3" s="1"/>
  <c r="BO114" i="3"/>
  <c r="BS114" i="3"/>
  <c r="BV114" i="3"/>
  <c r="BU114" i="3"/>
  <c r="BL138" i="3"/>
  <c r="BN138" i="3" s="1"/>
  <c r="BP138" i="3"/>
  <c r="BT138" i="3" s="1"/>
  <c r="AJ186" i="3"/>
  <c r="AK186" i="3"/>
  <c r="BG186" i="3"/>
  <c r="AL186" i="3"/>
  <c r="CB210" i="3"/>
  <c r="AI210" i="3"/>
  <c r="BQ210" i="3"/>
  <c r="Y282" i="3"/>
  <c r="U282" i="3"/>
  <c r="W282" i="3" s="1"/>
  <c r="AQ306" i="3"/>
  <c r="AW306" i="3"/>
  <c r="CH306" i="3"/>
  <c r="CQ306" i="3"/>
  <c r="CI306" i="3"/>
  <c r="CP306" i="3"/>
  <c r="R306" i="3"/>
  <c r="AB306" i="3" s="1"/>
  <c r="F330" i="3" a="1"/>
  <c r="H330" i="3" a="1"/>
  <c r="I330" i="3" a="1"/>
  <c r="J330" i="3" s="1"/>
  <c r="T330" i="3" s="1"/>
  <c r="L330" i="3" a="1"/>
  <c r="M330" i="3" a="1"/>
  <c r="O330" i="3" s="1"/>
  <c r="P330" i="3" a="1"/>
  <c r="Q330" i="3" s="1"/>
  <c r="V330" i="3" s="1"/>
  <c r="AZ330" i="3" a="1"/>
  <c r="BA330" i="3" a="1"/>
  <c r="BC330" i="3" a="1"/>
  <c r="BD330" i="3" a="1"/>
  <c r="BX330" i="3" a="1"/>
  <c r="D354" i="3"/>
  <c r="BF162" i="3"/>
  <c r="CS162" i="3"/>
  <c r="AR162" i="3"/>
  <c r="AS162" i="3" s="1"/>
  <c r="BK162" i="3"/>
  <c r="CT162" i="3"/>
  <c r="BH162" i="3"/>
  <c r="CM65" i="3"/>
  <c r="BZ65" i="3"/>
  <c r="CK65" i="3"/>
  <c r="CL65" i="3"/>
  <c r="CJ65" i="3"/>
  <c r="AN65" i="3"/>
  <c r="BJ65" i="3" s="1"/>
  <c r="AM65" i="3"/>
  <c r="BI65" i="3" s="1"/>
  <c r="CA65" i="3"/>
  <c r="BL89" i="3"/>
  <c r="BN89" i="3" s="1"/>
  <c r="BP89" i="3"/>
  <c r="BT89" i="3" s="1"/>
  <c r="BO113" i="3"/>
  <c r="BS113" i="3"/>
  <c r="BV113" i="3"/>
  <c r="BU113" i="3"/>
  <c r="CS161" i="3"/>
  <c r="AR161" i="3"/>
  <c r="AS161" i="3" s="1"/>
  <c r="BK161" i="3"/>
  <c r="BF161" i="3"/>
  <c r="CT161" i="3"/>
  <c r="BH161" i="3"/>
  <c r="CB209" i="3"/>
  <c r="AI209" i="3"/>
  <c r="BQ209" i="3"/>
  <c r="Y281" i="3"/>
  <c r="U281" i="3"/>
  <c r="W281" i="3" s="1"/>
  <c r="AQ305" i="3"/>
  <c r="AW305" i="3"/>
  <c r="CH305" i="3"/>
  <c r="CQ305" i="3"/>
  <c r="CI305" i="3"/>
  <c r="CP305" i="3"/>
  <c r="R305" i="3"/>
  <c r="AB305" i="3" s="1"/>
  <c r="F329" i="3" a="1"/>
  <c r="H329" i="3" a="1"/>
  <c r="I329" i="3" a="1"/>
  <c r="J329" i="3" s="1"/>
  <c r="T329" i="3" s="1"/>
  <c r="L329" i="3" a="1"/>
  <c r="M329" i="3" a="1"/>
  <c r="O329" i="3" s="1"/>
  <c r="P329" i="3" a="1"/>
  <c r="Q329" i="3" s="1"/>
  <c r="V329" i="3" s="1"/>
  <c r="AZ329" i="3" a="1"/>
  <c r="BA329" i="3" a="1"/>
  <c r="BC329" i="3" a="1"/>
  <c r="BD329" i="3" a="1"/>
  <c r="BX329" i="3" a="1"/>
  <c r="D353" i="3"/>
  <c r="BG185" i="3"/>
  <c r="AJ185" i="3"/>
  <c r="AK185" i="3"/>
  <c r="AL185" i="3"/>
  <c r="CM64" i="3"/>
  <c r="BZ64" i="3"/>
  <c r="CK64" i="3"/>
  <c r="CL64" i="3"/>
  <c r="CJ64" i="3"/>
  <c r="AN64" i="3"/>
  <c r="BJ64" i="3" s="1"/>
  <c r="AM64" i="3"/>
  <c r="BI64" i="3" s="1"/>
  <c r="CA64" i="3"/>
  <c r="BL88" i="3"/>
  <c r="BN88" i="3" s="1"/>
  <c r="BP88" i="3"/>
  <c r="BT88" i="3" s="1"/>
  <c r="BO112" i="3"/>
  <c r="BS112" i="3"/>
  <c r="BV112" i="3"/>
  <c r="BU112" i="3"/>
  <c r="BF160" i="3"/>
  <c r="CS160" i="3"/>
  <c r="AR160" i="3"/>
  <c r="AS160" i="3" s="1"/>
  <c r="BK160" i="3"/>
  <c r="CT160" i="3"/>
  <c r="BH160" i="3"/>
  <c r="AJ184" i="3"/>
  <c r="AK184" i="3"/>
  <c r="BG184" i="3"/>
  <c r="AL184" i="3"/>
  <c r="Y280" i="3"/>
  <c r="U280" i="3"/>
  <c r="W280" i="3" s="1"/>
  <c r="AQ304" i="3"/>
  <c r="AW304" i="3"/>
  <c r="CH304" i="3"/>
  <c r="CQ304" i="3"/>
  <c r="CI304" i="3"/>
  <c r="CP304" i="3"/>
  <c r="R304" i="3"/>
  <c r="AB304" i="3" s="1"/>
  <c r="F328" i="3" a="1"/>
  <c r="H328" i="3" a="1"/>
  <c r="I328" i="3" a="1"/>
  <c r="J328" i="3" s="1"/>
  <c r="T328" i="3" s="1"/>
  <c r="L328" i="3" a="1"/>
  <c r="M328" i="3" a="1"/>
  <c r="O328" i="3" s="1"/>
  <c r="P328" i="3" a="1"/>
  <c r="Q328" i="3" s="1"/>
  <c r="V328" i="3" s="1"/>
  <c r="AZ328" i="3" a="1"/>
  <c r="BA328" i="3" a="1"/>
  <c r="BC328" i="3" a="1"/>
  <c r="BD328" i="3" a="1"/>
  <c r="BX328" i="3" a="1"/>
  <c r="D352" i="3"/>
  <c r="CB208" i="3"/>
  <c r="AI208" i="3"/>
  <c r="BQ208" i="3"/>
  <c r="CM63" i="3"/>
  <c r="BZ63" i="3"/>
  <c r="CK63" i="3"/>
  <c r="CL63" i="3"/>
  <c r="CJ63" i="3"/>
  <c r="AN63" i="3"/>
  <c r="BJ63" i="3" s="1"/>
  <c r="AM63" i="3"/>
  <c r="BI63" i="3" s="1"/>
  <c r="CA63" i="3"/>
  <c r="BL87" i="3"/>
  <c r="BN87" i="3" s="1"/>
  <c r="BP87" i="3"/>
  <c r="BT87" i="3" s="1"/>
  <c r="BO111" i="3"/>
  <c r="BS111" i="3"/>
  <c r="BV111" i="3"/>
  <c r="BU111" i="3"/>
  <c r="BF159" i="3"/>
  <c r="CS159" i="3"/>
  <c r="AR159" i="3"/>
  <c r="AS159" i="3" s="1"/>
  <c r="BK159" i="3"/>
  <c r="CT159" i="3"/>
  <c r="BH159" i="3"/>
  <c r="BG183" i="3"/>
  <c r="AJ183" i="3"/>
  <c r="AK183" i="3"/>
  <c r="AL183" i="3"/>
  <c r="CB207" i="3"/>
  <c r="AI207" i="3"/>
  <c r="BQ207" i="3"/>
  <c r="Y279" i="3"/>
  <c r="U279" i="3"/>
  <c r="W279" i="3" s="1"/>
  <c r="AQ303" i="3"/>
  <c r="AW303" i="3"/>
  <c r="CH303" i="3"/>
  <c r="CQ303" i="3"/>
  <c r="CI303" i="3"/>
  <c r="CP303" i="3"/>
  <c r="R303" i="3"/>
  <c r="AB303" i="3" s="1"/>
  <c r="F327" i="3" a="1"/>
  <c r="H327" i="3" a="1"/>
  <c r="I327" i="3" a="1"/>
  <c r="J327" i="3" s="1"/>
  <c r="T327" i="3" s="1"/>
  <c r="L327" i="3" a="1"/>
  <c r="M327" i="3" a="1"/>
  <c r="O327" i="3" s="1"/>
  <c r="P327" i="3" a="1"/>
  <c r="Q327" i="3" s="1"/>
  <c r="V327" i="3" s="1"/>
  <c r="AZ327" i="3" a="1"/>
  <c r="BA327" i="3" a="1"/>
  <c r="BC327" i="3" a="1"/>
  <c r="BD327" i="3" a="1"/>
  <c r="BX327" i="3" a="1"/>
  <c r="D351" i="3"/>
  <c r="CM62" i="3"/>
  <c r="BZ62" i="3"/>
  <c r="CK62" i="3"/>
  <c r="CL62" i="3"/>
  <c r="CJ62" i="3"/>
  <c r="AN62" i="3"/>
  <c r="BJ62" i="3" s="1"/>
  <c r="AM62" i="3"/>
  <c r="BI62" i="3" s="1"/>
  <c r="CA62" i="3"/>
  <c r="BL86" i="3"/>
  <c r="BN86" i="3" s="1"/>
  <c r="BP86" i="3"/>
  <c r="BT86" i="3" s="1"/>
  <c r="BO110" i="3"/>
  <c r="BS110" i="3"/>
  <c r="BV110" i="3"/>
  <c r="BU110" i="3"/>
  <c r="BL134" i="3"/>
  <c r="BN134" i="3" s="1"/>
  <c r="BP134" i="3"/>
  <c r="BT134" i="3" s="1"/>
  <c r="BF158" i="3"/>
  <c r="CS158" i="3"/>
  <c r="AR158" i="3"/>
  <c r="AS158" i="3" s="1"/>
  <c r="BK158" i="3"/>
  <c r="CT158" i="3"/>
  <c r="BH158" i="3"/>
  <c r="AJ182" i="3"/>
  <c r="BG182" i="3"/>
  <c r="AK182" i="3"/>
  <c r="AL182" i="3"/>
  <c r="CB206" i="3"/>
  <c r="BQ206" i="3"/>
  <c r="AI206" i="3"/>
  <c r="Y278" i="3"/>
  <c r="U278" i="3"/>
  <c r="W278" i="3" s="1"/>
  <c r="AQ302" i="3"/>
  <c r="AW302" i="3"/>
  <c r="CH302" i="3"/>
  <c r="CQ302" i="3"/>
  <c r="CI302" i="3"/>
  <c r="CP302" i="3"/>
  <c r="R302" i="3"/>
  <c r="AB302" i="3" s="1"/>
  <c r="F326" i="3" a="1"/>
  <c r="H326" i="3" a="1"/>
  <c r="I326" i="3" a="1"/>
  <c r="J326" i="3" s="1"/>
  <c r="T326" i="3" s="1"/>
  <c r="L326" i="3" a="1"/>
  <c r="M326" i="3" a="1"/>
  <c r="O326" i="3" s="1"/>
  <c r="P326" i="3" a="1"/>
  <c r="Q326" i="3" s="1"/>
  <c r="V326" i="3" s="1"/>
  <c r="AZ326" i="3" a="1"/>
  <c r="BA326" i="3" a="1"/>
  <c r="BC326" i="3" a="1"/>
  <c r="BD326" i="3" a="1"/>
  <c r="BX326" i="3" a="1"/>
  <c r="D350" i="3"/>
  <c r="CM61" i="3"/>
  <c r="BZ61" i="3"/>
  <c r="CK61" i="3"/>
  <c r="CL61" i="3"/>
  <c r="CJ61" i="3"/>
  <c r="AN61" i="3"/>
  <c r="BJ61" i="3" s="1"/>
  <c r="CA61" i="3"/>
  <c r="AM61" i="3"/>
  <c r="BI61" i="3" s="1"/>
  <c r="BL85" i="3"/>
  <c r="BN85" i="3" s="1"/>
  <c r="BP85" i="3"/>
  <c r="BT85" i="3" s="1"/>
  <c r="BO109" i="3"/>
  <c r="BS109" i="3"/>
  <c r="BV109" i="3"/>
  <c r="BU109" i="3"/>
  <c r="BL133" i="3"/>
  <c r="BN133" i="3" s="1"/>
  <c r="BP133" i="3"/>
  <c r="BT133" i="3" s="1"/>
  <c r="BF157" i="3"/>
  <c r="CS157" i="3"/>
  <c r="AR157" i="3"/>
  <c r="AS157" i="3" s="1"/>
  <c r="BK157" i="3"/>
  <c r="CT157" i="3"/>
  <c r="BH157" i="3"/>
  <c r="AK181" i="3"/>
  <c r="AJ181" i="3"/>
  <c r="BG181" i="3"/>
  <c r="AL181" i="3"/>
  <c r="CB205" i="3"/>
  <c r="BQ205" i="3"/>
  <c r="AI205" i="3"/>
  <c r="AA253" i="3"/>
  <c r="AE253" i="3" s="1"/>
  <c r="BR253" i="3"/>
  <c r="Y277" i="3"/>
  <c r="U277" i="3"/>
  <c r="W277" i="3" s="1"/>
  <c r="AQ301" i="3"/>
  <c r="AW301" i="3"/>
  <c r="CH301" i="3"/>
  <c r="CQ301" i="3"/>
  <c r="CI301" i="3"/>
  <c r="CP301" i="3"/>
  <c r="R301" i="3"/>
  <c r="AB301" i="3" s="1"/>
  <c r="F325" i="3" a="1"/>
  <c r="H325" i="3" a="1"/>
  <c r="I325" i="3" a="1"/>
  <c r="J325" i="3" s="1"/>
  <c r="T325" i="3" s="1"/>
  <c r="L325" i="3" a="1"/>
  <c r="M325" i="3" a="1"/>
  <c r="O325" i="3" s="1"/>
  <c r="P325" i="3" a="1"/>
  <c r="Q325" i="3" s="1"/>
  <c r="V325" i="3" s="1"/>
  <c r="AZ325" i="3" a="1"/>
  <c r="BA325" i="3" a="1"/>
  <c r="BC325" i="3" a="1"/>
  <c r="BD325" i="3" a="1"/>
  <c r="BX325" i="3" a="1"/>
  <c r="D349" i="3"/>
  <c r="CM60" i="3"/>
  <c r="BZ60" i="3"/>
  <c r="CK60" i="3"/>
  <c r="CL60" i="3"/>
  <c r="CJ60" i="3"/>
  <c r="AN60" i="3"/>
  <c r="BJ60" i="3" s="1"/>
  <c r="CA60" i="3"/>
  <c r="AM60" i="3"/>
  <c r="BI60" i="3" s="1"/>
  <c r="BL84" i="3"/>
  <c r="BN84" i="3" s="1"/>
  <c r="BP84" i="3"/>
  <c r="BT84" i="3" s="1"/>
  <c r="BV108" i="3"/>
  <c r="BU108" i="3"/>
  <c r="BL132" i="3"/>
  <c r="BN132" i="3" s="1"/>
  <c r="BP132" i="3"/>
  <c r="BT132" i="3" s="1"/>
  <c r="BF156" i="3"/>
  <c r="CS156" i="3"/>
  <c r="AR156" i="3"/>
  <c r="AS156" i="3" s="1"/>
  <c r="BK156" i="3"/>
  <c r="CT156" i="3"/>
  <c r="BH156" i="3"/>
  <c r="AF228" i="3"/>
  <c r="AG228" i="3" s="1"/>
  <c r="AH228" i="3" s="1"/>
  <c r="BR252" i="3"/>
  <c r="AA252" i="3"/>
  <c r="AE252" i="3" s="1"/>
  <c r="Y276" i="3"/>
  <c r="U276" i="3"/>
  <c r="W276" i="3" s="1"/>
  <c r="R300" i="3"/>
  <c r="AB300" i="3" s="1"/>
  <c r="AQ300" i="3"/>
  <c r="AW300" i="3"/>
  <c r="CH300" i="3"/>
  <c r="CQ300" i="3"/>
  <c r="CP300" i="3"/>
  <c r="CI300" i="3"/>
  <c r="F324" i="3" a="1"/>
  <c r="H324" i="3" a="1"/>
  <c r="I324" i="3" a="1"/>
  <c r="J324" i="3" s="1"/>
  <c r="T324" i="3" s="1"/>
  <c r="L324" i="3" a="1"/>
  <c r="M324" i="3" a="1"/>
  <c r="O324" i="3" s="1"/>
  <c r="P324" i="3" a="1"/>
  <c r="Q324" i="3" s="1"/>
  <c r="V324" i="3" s="1"/>
  <c r="AZ324" i="3" a="1"/>
  <c r="BA324" i="3" a="1"/>
  <c r="BC324" i="3" a="1"/>
  <c r="BD324" i="3" a="1"/>
  <c r="BX324" i="3" a="1"/>
  <c r="D348" i="3"/>
  <c r="BG180" i="3"/>
  <c r="AK180" i="3"/>
  <c r="AJ180" i="3"/>
  <c r="AL180" i="3"/>
  <c r="CM59" i="3"/>
  <c r="BZ59" i="3"/>
  <c r="CK59" i="3"/>
  <c r="CL59" i="3"/>
  <c r="CJ59" i="3"/>
  <c r="AN59" i="3"/>
  <c r="BJ59" i="3" s="1"/>
  <c r="CA59" i="3"/>
  <c r="AM59" i="3"/>
  <c r="BI59" i="3" s="1"/>
  <c r="BL83" i="3"/>
  <c r="BN83" i="3" s="1"/>
  <c r="BP83" i="3"/>
  <c r="BT83" i="3" s="1"/>
  <c r="BO107" i="3"/>
  <c r="BS107" i="3"/>
  <c r="BV107" i="3"/>
  <c r="BU107" i="3"/>
  <c r="BL131" i="3"/>
  <c r="BN131" i="3" s="1"/>
  <c r="BP131" i="3"/>
  <c r="BT131" i="3" s="1"/>
  <c r="BF155" i="3"/>
  <c r="CS155" i="3"/>
  <c r="AR155" i="3"/>
  <c r="AS155" i="3" s="1"/>
  <c r="BK155" i="3"/>
  <c r="CT155" i="3"/>
  <c r="BH155" i="3"/>
  <c r="BG179" i="3"/>
  <c r="AJ179" i="3"/>
  <c r="AK179" i="3"/>
  <c r="AL179" i="3"/>
  <c r="CB203" i="3"/>
  <c r="BQ203" i="3"/>
  <c r="AI203" i="3"/>
  <c r="Y275" i="3"/>
  <c r="U275" i="3"/>
  <c r="W275" i="3" s="1"/>
  <c r="AQ299" i="3"/>
  <c r="AW299" i="3"/>
  <c r="CH299" i="3"/>
  <c r="CQ299" i="3"/>
  <c r="CI299" i="3"/>
  <c r="CP299" i="3"/>
  <c r="R299" i="3"/>
  <c r="AB299" i="3" s="1"/>
  <c r="F323" i="3" a="1"/>
  <c r="H323" i="3" a="1"/>
  <c r="I323" i="3" a="1"/>
  <c r="J323" i="3" s="1"/>
  <c r="T323" i="3" s="1"/>
  <c r="L323" i="3" a="1"/>
  <c r="M323" i="3" a="1"/>
  <c r="O323" i="3" s="1"/>
  <c r="P323" i="3" a="1"/>
  <c r="Q323" i="3" s="1"/>
  <c r="V323" i="3" s="1"/>
  <c r="AZ323" i="3" a="1"/>
  <c r="BA323" i="3" a="1"/>
  <c r="BC323" i="3" a="1"/>
  <c r="BD323" i="3" a="1"/>
  <c r="BX323" i="3" a="1"/>
  <c r="D347" i="3"/>
  <c r="CM58" i="3"/>
  <c r="BZ58" i="3"/>
  <c r="CK58" i="3"/>
  <c r="CL58" i="3"/>
  <c r="CJ58" i="3"/>
  <c r="AN58" i="3"/>
  <c r="BJ58" i="3" s="1"/>
  <c r="CA58" i="3"/>
  <c r="AM58" i="3"/>
  <c r="BI58" i="3" s="1"/>
  <c r="BL82" i="3"/>
  <c r="BN82" i="3" s="1"/>
  <c r="BP82" i="3"/>
  <c r="BT82" i="3" s="1"/>
  <c r="BO106" i="3"/>
  <c r="BS106" i="3"/>
  <c r="BV106" i="3"/>
  <c r="BU106" i="3"/>
  <c r="BL130" i="3"/>
  <c r="BN130" i="3" s="1"/>
  <c r="BP130" i="3"/>
  <c r="BT130" i="3" s="1"/>
  <c r="CS154" i="3"/>
  <c r="AR154" i="3"/>
  <c r="AS154" i="3" s="1"/>
  <c r="BK154" i="3"/>
  <c r="BF154" i="3"/>
  <c r="CT154" i="3"/>
  <c r="BH154" i="3"/>
  <c r="AJ178" i="3"/>
  <c r="AK178" i="3"/>
  <c r="BG178" i="3"/>
  <c r="AL178" i="3"/>
  <c r="CB202" i="3"/>
  <c r="BQ202" i="3"/>
  <c r="AI202" i="3"/>
  <c r="Y274" i="3"/>
  <c r="U274" i="3"/>
  <c r="W274" i="3" s="1"/>
  <c r="AQ298" i="3"/>
  <c r="AW298" i="3"/>
  <c r="CH298" i="3"/>
  <c r="CQ298" i="3"/>
  <c r="R298" i="3"/>
  <c r="AB298" i="3" s="1"/>
  <c r="CI298" i="3"/>
  <c r="CP298" i="3"/>
  <c r="F322" i="3" a="1"/>
  <c r="H322" i="3" a="1"/>
  <c r="I322" i="3" a="1"/>
  <c r="J322" i="3" s="1"/>
  <c r="T322" i="3" s="1"/>
  <c r="L322" i="3" a="1"/>
  <c r="M322" i="3" a="1"/>
  <c r="O322" i="3" s="1"/>
  <c r="P322" i="3" a="1"/>
  <c r="Q322" i="3" s="1"/>
  <c r="V322" i="3" s="1"/>
  <c r="AZ322" i="3" a="1"/>
  <c r="BA322" i="3" a="1"/>
  <c r="BC322" i="3" a="1"/>
  <c r="BD322" i="3" a="1"/>
  <c r="BX322" i="3" a="1"/>
  <c r="D346" i="3"/>
  <c r="CM57" i="3"/>
  <c r="BZ57" i="3"/>
  <c r="CK57" i="3"/>
  <c r="CL57" i="3"/>
  <c r="CJ57" i="3"/>
  <c r="AN57" i="3"/>
  <c r="BJ57" i="3" s="1"/>
  <c r="CA57" i="3"/>
  <c r="AM57" i="3"/>
  <c r="BI57" i="3" s="1"/>
  <c r="BL81" i="3"/>
  <c r="BN81" i="3" s="1"/>
  <c r="BP81" i="3"/>
  <c r="BT81" i="3" s="1"/>
  <c r="BO105" i="3"/>
  <c r="BS105" i="3"/>
  <c r="BV105" i="3"/>
  <c r="BU105" i="3"/>
  <c r="AK177" i="3"/>
  <c r="AJ177" i="3"/>
  <c r="BG177" i="3"/>
  <c r="AL177" i="3"/>
  <c r="CB201" i="3"/>
  <c r="BQ201" i="3"/>
  <c r="AI201" i="3"/>
  <c r="Y273" i="3"/>
  <c r="U273" i="3"/>
  <c r="W273" i="3" s="1"/>
  <c r="AQ297" i="3"/>
  <c r="AW297" i="3"/>
  <c r="CH297" i="3"/>
  <c r="CQ297" i="3"/>
  <c r="CI297" i="3"/>
  <c r="CP297" i="3"/>
  <c r="R297" i="3"/>
  <c r="AB297" i="3" s="1"/>
  <c r="F321" i="3" a="1"/>
  <c r="H321" i="3" a="1"/>
  <c r="I321" i="3" a="1"/>
  <c r="J321" i="3" s="1"/>
  <c r="T321" i="3" s="1"/>
  <c r="L321" i="3" a="1"/>
  <c r="M321" i="3" a="1"/>
  <c r="O321" i="3" s="1"/>
  <c r="P321" i="3" a="1"/>
  <c r="Q321" i="3" s="1"/>
  <c r="V321" i="3" s="1"/>
  <c r="AZ321" i="3" a="1"/>
  <c r="BA321" i="3" a="1"/>
  <c r="BC321" i="3" a="1"/>
  <c r="BD321" i="3" a="1"/>
  <c r="BX321" i="3" a="1"/>
  <c r="D345" i="3"/>
  <c r="CM56" i="3"/>
  <c r="BZ56" i="3"/>
  <c r="CK56" i="3"/>
  <c r="CL56" i="3"/>
  <c r="CJ56" i="3"/>
  <c r="AN56" i="3"/>
  <c r="BJ56" i="3" s="1"/>
  <c r="CA56" i="3"/>
  <c r="AM56" i="3"/>
  <c r="BI56" i="3" s="1"/>
  <c r="BL80" i="3"/>
  <c r="BN80" i="3" s="1"/>
  <c r="BP80" i="3"/>
  <c r="BT80" i="3" s="1"/>
  <c r="BV104" i="3"/>
  <c r="BU104" i="3"/>
  <c r="BL128" i="3"/>
  <c r="BN128" i="3" s="1"/>
  <c r="BP128" i="3"/>
  <c r="BT128" i="3" s="1"/>
  <c r="BF152" i="3"/>
  <c r="CS152" i="3"/>
  <c r="AR152" i="3"/>
  <c r="AS152" i="3" s="1"/>
  <c r="BK152" i="3"/>
  <c r="CT152" i="3"/>
  <c r="BH152" i="3"/>
  <c r="CB200" i="3"/>
  <c r="BQ200" i="3"/>
  <c r="AI200" i="3"/>
  <c r="Y272" i="3"/>
  <c r="U272" i="3"/>
  <c r="W272" i="3" s="1"/>
  <c r="AQ296" i="3"/>
  <c r="AW296" i="3"/>
  <c r="CH296" i="3"/>
  <c r="CQ296" i="3"/>
  <c r="CI296" i="3"/>
  <c r="CP296" i="3"/>
  <c r="R296" i="3"/>
  <c r="AB296" i="3" s="1"/>
  <c r="F320" i="3" a="1"/>
  <c r="H320" i="3" a="1"/>
  <c r="I320" i="3" a="1"/>
  <c r="J320" i="3" s="1"/>
  <c r="T320" i="3" s="1"/>
  <c r="L320" i="3" a="1"/>
  <c r="M320" i="3" a="1"/>
  <c r="O320" i="3" s="1"/>
  <c r="P320" i="3" a="1"/>
  <c r="Q320" i="3" s="1"/>
  <c r="V320" i="3" s="1"/>
  <c r="AZ320" i="3" a="1"/>
  <c r="BA320" i="3" a="1"/>
  <c r="BC320" i="3" a="1"/>
  <c r="BD320" i="3" a="1"/>
  <c r="BX320" i="3" a="1"/>
  <c r="D344" i="3"/>
  <c r="BZ55" i="3"/>
  <c r="CM55" i="3"/>
  <c r="CK55" i="3"/>
  <c r="CL55" i="3"/>
  <c r="CJ55" i="3"/>
  <c r="AN55" i="3"/>
  <c r="BJ55" i="3" s="1"/>
  <c r="CA55" i="3"/>
  <c r="AM55" i="3"/>
  <c r="BI55" i="3" s="1"/>
  <c r="BL79" i="3"/>
  <c r="BN79" i="3" s="1"/>
  <c r="BP79" i="3"/>
  <c r="BT79" i="3" s="1"/>
  <c r="BV103" i="3"/>
  <c r="BU103" i="3"/>
  <c r="BL127" i="3"/>
  <c r="BN127" i="3" s="1"/>
  <c r="BP127" i="3"/>
  <c r="BT127" i="3" s="1"/>
  <c r="BF151" i="3"/>
  <c r="CS151" i="3"/>
  <c r="AR151" i="3"/>
  <c r="AS151" i="3" s="1"/>
  <c r="BK151" i="3"/>
  <c r="CT151" i="3"/>
  <c r="BH151" i="3"/>
  <c r="AK175" i="3"/>
  <c r="AJ175" i="3"/>
  <c r="BG175" i="3"/>
  <c r="AL175" i="3"/>
  <c r="Y271" i="3"/>
  <c r="U271" i="3"/>
  <c r="W271" i="3" s="1"/>
  <c r="AQ295" i="3"/>
  <c r="AW295" i="3"/>
  <c r="CH295" i="3"/>
  <c r="CQ295" i="3"/>
  <c r="CI295" i="3"/>
  <c r="CP295" i="3"/>
  <c r="R295" i="3"/>
  <c r="AB295" i="3" s="1"/>
  <c r="F319" i="3" a="1"/>
  <c r="H319" i="3" a="1"/>
  <c r="I319" i="3" a="1"/>
  <c r="J319" i="3" s="1"/>
  <c r="T319" i="3" s="1"/>
  <c r="L319" i="3" a="1"/>
  <c r="M319" i="3" a="1"/>
  <c r="O319" i="3" s="1"/>
  <c r="P319" i="3" a="1"/>
  <c r="Q319" i="3" s="1"/>
  <c r="V319" i="3" s="1"/>
  <c r="AZ319" i="3" a="1"/>
  <c r="BA319" i="3" a="1"/>
  <c r="BC319" i="3" a="1"/>
  <c r="BD319" i="3" a="1"/>
  <c r="BX319" i="3" a="1"/>
  <c r="D343" i="3"/>
  <c r="CM54" i="3"/>
  <c r="BZ54" i="3"/>
  <c r="CK54" i="3"/>
  <c r="CL54" i="3"/>
  <c r="CJ54" i="3"/>
  <c r="AN54" i="3"/>
  <c r="BJ54" i="3" s="1"/>
  <c r="CA54" i="3"/>
  <c r="AM54" i="3"/>
  <c r="BI54" i="3" s="1"/>
  <c r="BL78" i="3"/>
  <c r="BN78" i="3" s="1"/>
  <c r="BP78" i="3"/>
  <c r="BT78" i="3" s="1"/>
  <c r="BV102" i="3"/>
  <c r="BU102" i="3"/>
  <c r="BL126" i="3"/>
  <c r="BN126" i="3" s="1"/>
  <c r="BP126" i="3"/>
  <c r="BT126" i="3" s="1"/>
  <c r="BF150" i="3"/>
  <c r="CS150" i="3"/>
  <c r="AR150" i="3"/>
  <c r="AS150" i="3" s="1"/>
  <c r="BK150" i="3"/>
  <c r="CT150" i="3"/>
  <c r="BH150" i="3"/>
  <c r="AJ174" i="3"/>
  <c r="AK174" i="3"/>
  <c r="BG174" i="3"/>
  <c r="AL174" i="3"/>
  <c r="CB198" i="3"/>
  <c r="BQ198" i="3"/>
  <c r="AI198" i="3"/>
  <c r="Y270" i="3"/>
  <c r="U270" i="3"/>
  <c r="W270" i="3" s="1"/>
  <c r="AQ294" i="3"/>
  <c r="AW294" i="3"/>
  <c r="CH294" i="3"/>
  <c r="CQ294" i="3"/>
  <c r="CI294" i="3"/>
  <c r="CP294" i="3"/>
  <c r="R294" i="3"/>
  <c r="AB294" i="3" s="1"/>
  <c r="F318" i="3" a="1"/>
  <c r="H318" i="3" a="1"/>
  <c r="I318" i="3" a="1"/>
  <c r="J318" i="3" s="1"/>
  <c r="T318" i="3" s="1"/>
  <c r="L318" i="3" a="1"/>
  <c r="M318" i="3" a="1"/>
  <c r="O318" i="3" s="1"/>
  <c r="P318" i="3" a="1"/>
  <c r="Q318" i="3" s="1"/>
  <c r="V318" i="3" s="1"/>
  <c r="AZ318" i="3" a="1"/>
  <c r="BA318" i="3" a="1"/>
  <c r="BC318" i="3" a="1"/>
  <c r="BD318" i="3" a="1"/>
  <c r="BX318" i="3" a="1"/>
  <c r="D342" i="3"/>
  <c r="CL53" i="3"/>
  <c r="CM53" i="3"/>
  <c r="BZ53" i="3"/>
  <c r="CK53" i="3"/>
  <c r="CJ53" i="3"/>
  <c r="AN53" i="3"/>
  <c r="BJ53" i="3" s="1"/>
  <c r="CA53" i="3"/>
  <c r="AM53" i="3"/>
  <c r="BI53" i="3" s="1"/>
  <c r="BL77" i="3"/>
  <c r="BN77" i="3" s="1"/>
  <c r="BP77" i="3"/>
  <c r="BT77" i="3" s="1"/>
  <c r="BV101" i="3"/>
  <c r="BU101" i="3"/>
  <c r="BL125" i="3"/>
  <c r="BN125" i="3" s="1"/>
  <c r="BP125" i="3"/>
  <c r="BT125" i="3" s="1"/>
  <c r="BF149" i="3"/>
  <c r="CS149" i="3"/>
  <c r="AR149" i="3"/>
  <c r="AS149" i="3" s="1"/>
  <c r="BK149" i="3"/>
  <c r="CT149" i="3"/>
  <c r="BH149" i="3"/>
  <c r="CB197" i="3"/>
  <c r="AI197" i="3"/>
  <c r="BQ197" i="3"/>
  <c r="Y269" i="3"/>
  <c r="U269" i="3"/>
  <c r="W269" i="3" s="1"/>
  <c r="AQ293" i="3"/>
  <c r="AW293" i="3"/>
  <c r="CH293" i="3"/>
  <c r="CQ293" i="3"/>
  <c r="CI293" i="3"/>
  <c r="CP293" i="3"/>
  <c r="R293" i="3"/>
  <c r="AB293" i="3" s="1"/>
  <c r="F317" i="3" a="1"/>
  <c r="H317" i="3" a="1"/>
  <c r="I317" i="3" a="1"/>
  <c r="J317" i="3" s="1"/>
  <c r="T317" i="3" s="1"/>
  <c r="L317" i="3" a="1"/>
  <c r="M317" i="3" a="1"/>
  <c r="O317" i="3" s="1"/>
  <c r="P317" i="3" a="1"/>
  <c r="Q317" i="3" s="1"/>
  <c r="V317" i="3" s="1"/>
  <c r="AZ317" i="3" a="1"/>
  <c r="BA317" i="3" a="1"/>
  <c r="BC317" i="3" a="1"/>
  <c r="BD317" i="3" a="1"/>
  <c r="BX317" i="3" a="1"/>
  <c r="D341" i="3"/>
  <c r="BG173" i="3"/>
  <c r="AJ173" i="3"/>
  <c r="AK173" i="3"/>
  <c r="AL173" i="3"/>
  <c r="CM52" i="3"/>
  <c r="BZ52" i="3"/>
  <c r="CK52" i="3"/>
  <c r="CL52" i="3"/>
  <c r="CJ52" i="3"/>
  <c r="AN52" i="3"/>
  <c r="BJ52" i="3" s="1"/>
  <c r="CA52" i="3"/>
  <c r="AM52" i="3"/>
  <c r="BI52" i="3" s="1"/>
  <c r="BL76" i="3"/>
  <c r="BN76" i="3" s="1"/>
  <c r="BP76" i="3"/>
  <c r="BT76" i="3" s="1"/>
  <c r="BO100" i="3"/>
  <c r="BS100" i="3"/>
  <c r="BV100" i="3"/>
  <c r="BU100" i="3"/>
  <c r="BL124" i="3"/>
  <c r="BN124" i="3" s="1"/>
  <c r="BP124" i="3"/>
  <c r="BT124" i="3" s="1"/>
  <c r="CS148" i="3"/>
  <c r="AR148" i="3"/>
  <c r="AS148" i="3" s="1"/>
  <c r="BK148" i="3"/>
  <c r="BF148" i="3"/>
  <c r="CT148" i="3"/>
  <c r="BH148" i="3"/>
  <c r="AK172" i="3"/>
  <c r="AJ172" i="3"/>
  <c r="BG172" i="3"/>
  <c r="AL172" i="3"/>
  <c r="CB196" i="3"/>
  <c r="AI196" i="3"/>
  <c r="BQ196" i="3"/>
  <c r="Y268" i="3"/>
  <c r="U268" i="3"/>
  <c r="W268" i="3" s="1"/>
  <c r="AQ292" i="3"/>
  <c r="AW292" i="3"/>
  <c r="CH292" i="3"/>
  <c r="CQ292" i="3"/>
  <c r="CI292" i="3"/>
  <c r="CP292" i="3"/>
  <c r="R292" i="3"/>
  <c r="AB292" i="3" s="1"/>
  <c r="F316" i="3" a="1"/>
  <c r="H316" i="3" a="1"/>
  <c r="I316" i="3" a="1"/>
  <c r="J316" i="3" s="1"/>
  <c r="T316" i="3" s="1"/>
  <c r="L316" i="3" a="1"/>
  <c r="M316" i="3" a="1"/>
  <c r="O316" i="3" s="1"/>
  <c r="P316" i="3" a="1"/>
  <c r="Q316" i="3" s="1"/>
  <c r="V316" i="3" s="1"/>
  <c r="AZ316" i="3" a="1"/>
  <c r="BA316" i="3" a="1"/>
  <c r="BC316" i="3" a="1"/>
  <c r="BD316" i="3" a="1"/>
  <c r="BX316" i="3" a="1"/>
  <c r="D340" i="3"/>
  <c r="CM51" i="3"/>
  <c r="BZ51" i="3"/>
  <c r="CK51" i="3"/>
  <c r="CL51" i="3"/>
  <c r="CJ51" i="3"/>
  <c r="AN51" i="3"/>
  <c r="BJ51" i="3" s="1"/>
  <c r="CA51" i="3"/>
  <c r="AM51" i="3"/>
  <c r="BI51" i="3" s="1"/>
  <c r="BL75" i="3"/>
  <c r="BN75" i="3" s="1"/>
  <c r="BP75" i="3"/>
  <c r="BT75" i="3" s="1"/>
  <c r="BO99" i="3"/>
  <c r="BS99" i="3"/>
  <c r="BV99" i="3"/>
  <c r="BU99" i="3"/>
  <c r="BL123" i="3"/>
  <c r="BN123" i="3" s="1"/>
  <c r="BP123" i="3"/>
  <c r="BT123" i="3" s="1"/>
  <c r="BF147" i="3"/>
  <c r="CS147" i="3"/>
  <c r="AR147" i="3"/>
  <c r="AS147" i="3" s="1"/>
  <c r="BK147" i="3"/>
  <c r="CT147" i="3"/>
  <c r="BH147" i="3"/>
  <c r="BG171" i="3"/>
  <c r="AK171" i="3"/>
  <c r="AJ171" i="3"/>
  <c r="AL171" i="3"/>
  <c r="CB195" i="3"/>
  <c r="AI195" i="3"/>
  <c r="BQ195" i="3"/>
  <c r="Y267" i="3"/>
  <c r="U267" i="3"/>
  <c r="W267" i="3" s="1"/>
  <c r="AQ291" i="3"/>
  <c r="AW291" i="3"/>
  <c r="CH291" i="3"/>
  <c r="CQ291" i="3"/>
  <c r="CI291" i="3"/>
  <c r="CP291" i="3"/>
  <c r="R291" i="3"/>
  <c r="AB291" i="3" s="1"/>
  <c r="F315" i="3" a="1"/>
  <c r="H315" i="3" a="1"/>
  <c r="I315" i="3" a="1"/>
  <c r="J315" i="3" s="1"/>
  <c r="T315" i="3" s="1"/>
  <c r="L315" i="3" a="1"/>
  <c r="M315" i="3" a="1"/>
  <c r="O315" i="3" s="1"/>
  <c r="P315" i="3" a="1"/>
  <c r="Q315" i="3" s="1"/>
  <c r="V315" i="3" s="1"/>
  <c r="AZ315" i="3" a="1"/>
  <c r="BA315" i="3" a="1"/>
  <c r="BC315" i="3" a="1"/>
  <c r="BD315" i="3" a="1"/>
  <c r="BX315" i="3" a="1"/>
  <c r="D339" i="3"/>
  <c r="CM50" i="3"/>
  <c r="BZ50" i="3"/>
  <c r="CK50" i="3"/>
  <c r="CL50" i="3"/>
  <c r="CJ50" i="3"/>
  <c r="AN50" i="3"/>
  <c r="BJ50" i="3" s="1"/>
  <c r="CA50" i="3"/>
  <c r="AM50" i="3"/>
  <c r="BI50" i="3" s="1"/>
  <c r="BL74" i="3"/>
  <c r="BN74" i="3" s="1"/>
  <c r="BP74" i="3"/>
  <c r="BT74" i="3" s="1"/>
  <c r="BO98" i="3"/>
  <c r="BS98" i="3"/>
  <c r="BV98" i="3"/>
  <c r="BU98" i="3"/>
  <c r="CB194" i="3"/>
  <c r="AI194" i="3"/>
  <c r="BQ194" i="3"/>
  <c r="Y266" i="3"/>
  <c r="U266" i="3"/>
  <c r="W266" i="3" s="1"/>
  <c r="AQ290" i="3"/>
  <c r="AW290" i="3"/>
  <c r="CH290" i="3"/>
  <c r="CQ290" i="3"/>
  <c r="CI290" i="3"/>
  <c r="CP290" i="3"/>
  <c r="R290" i="3"/>
  <c r="AB290" i="3" s="1"/>
  <c r="F314" i="3" a="1"/>
  <c r="H314" i="3" a="1"/>
  <c r="I314" i="3" a="1"/>
  <c r="J314" i="3" s="1"/>
  <c r="T314" i="3" s="1"/>
  <c r="L314" i="3" a="1"/>
  <c r="M314" i="3" a="1"/>
  <c r="O314" i="3" s="1"/>
  <c r="P314" i="3" a="1"/>
  <c r="Q314" i="3" s="1"/>
  <c r="V314" i="3" s="1"/>
  <c r="AZ314" i="3" a="1"/>
  <c r="BA314" i="3" a="1"/>
  <c r="BC314" i="3" a="1"/>
  <c r="BD314" i="3" a="1"/>
  <c r="BX314" i="3" a="1"/>
  <c r="D338" i="3"/>
  <c r="CM49" i="3"/>
  <c r="BZ49" i="3"/>
  <c r="CK49" i="3"/>
  <c r="CL49" i="3"/>
  <c r="CJ49" i="3"/>
  <c r="AN49" i="3"/>
  <c r="BJ49" i="3" s="1"/>
  <c r="CA49" i="3"/>
  <c r="AM49" i="3"/>
  <c r="BI49" i="3" s="1"/>
  <c r="BL73" i="3"/>
  <c r="BN73" i="3" s="1"/>
  <c r="BP73" i="3"/>
  <c r="BT73" i="3" s="1"/>
  <c r="BO97" i="3"/>
  <c r="BS97" i="3"/>
  <c r="BV97" i="3"/>
  <c r="BU97" i="3"/>
  <c r="BL121" i="3"/>
  <c r="BN121" i="3" s="1"/>
  <c r="BP121" i="3"/>
  <c r="BT121" i="3" s="1"/>
  <c r="BF145" i="3"/>
  <c r="CS145" i="3"/>
  <c r="AR145" i="3"/>
  <c r="AS145" i="3" s="1"/>
  <c r="BK145" i="3"/>
  <c r="CT145" i="3"/>
  <c r="BH145" i="3"/>
  <c r="Y265" i="3"/>
  <c r="U265" i="3"/>
  <c r="W265" i="3" s="1"/>
  <c r="AQ289" i="3"/>
  <c r="AW289" i="3"/>
  <c r="CH289" i="3"/>
  <c r="CQ289" i="3"/>
  <c r="CI289" i="3"/>
  <c r="CP289" i="3"/>
  <c r="R289" i="3"/>
  <c r="AB289" i="3" s="1"/>
  <c r="F313" i="3" a="1"/>
  <c r="H313" i="3" a="1"/>
  <c r="I313" i="3" a="1"/>
  <c r="J313" i="3" s="1"/>
  <c r="T313" i="3" s="1"/>
  <c r="L313" i="3" a="1"/>
  <c r="M313" i="3" a="1"/>
  <c r="O313" i="3" s="1"/>
  <c r="P313" i="3" a="1"/>
  <c r="Q313" i="3" s="1"/>
  <c r="V313" i="3" s="1"/>
  <c r="AZ313" i="3" a="1"/>
  <c r="BA313" i="3" a="1"/>
  <c r="BC313" i="3" a="1"/>
  <c r="BD313" i="3" a="1"/>
  <c r="BX313" i="3" a="1"/>
  <c r="D337" i="3"/>
  <c r="AK169" i="3"/>
  <c r="AJ169" i="3"/>
  <c r="BG169" i="3"/>
  <c r="AL169" i="3"/>
  <c r="CM48" i="3"/>
  <c r="CL48" i="3"/>
  <c r="BZ48" i="3"/>
  <c r="CK48" i="3"/>
  <c r="CJ48" i="3"/>
  <c r="AN48" i="3"/>
  <c r="BJ48" i="3" s="1"/>
  <c r="CA48" i="3"/>
  <c r="AM48" i="3"/>
  <c r="BI48" i="3" s="1"/>
  <c r="BL72" i="3"/>
  <c r="BN72" i="3" s="1"/>
  <c r="BP72" i="3"/>
  <c r="BT72" i="3" s="1"/>
  <c r="BO96" i="3"/>
  <c r="BS96" i="3"/>
  <c r="BV96" i="3"/>
  <c r="BU96" i="3"/>
  <c r="BL120" i="3"/>
  <c r="BN120" i="3" s="1"/>
  <c r="BP120" i="3"/>
  <c r="BT120" i="3" s="1"/>
  <c r="BG168" i="3"/>
  <c r="AK168" i="3"/>
  <c r="AJ168" i="3"/>
  <c r="AL168" i="3"/>
  <c r="CB192" i="3"/>
  <c r="AI192" i="3"/>
  <c r="BQ192" i="3"/>
  <c r="Y264" i="3"/>
  <c r="U264" i="3"/>
  <c r="W264" i="3" s="1"/>
  <c r="AQ288" i="3"/>
  <c r="AW288" i="3"/>
  <c r="CH288" i="3"/>
  <c r="CQ288" i="3"/>
  <c r="CI288" i="3"/>
  <c r="CP288" i="3"/>
  <c r="R288" i="3"/>
  <c r="AB288" i="3" s="1"/>
  <c r="F312" i="3" a="1"/>
  <c r="H312" i="3" a="1"/>
  <c r="I312" i="3" a="1"/>
  <c r="J312" i="3" s="1"/>
  <c r="T312" i="3" s="1"/>
  <c r="L312" i="3" a="1"/>
  <c r="M312" i="3" a="1"/>
  <c r="O312" i="3" s="1"/>
  <c r="P312" i="3" a="1"/>
  <c r="Q312" i="3" s="1"/>
  <c r="V312" i="3" s="1"/>
  <c r="AZ312" i="3" a="1"/>
  <c r="BA312" i="3" a="1"/>
  <c r="BC312" i="3" a="1"/>
  <c r="BD312" i="3" a="1"/>
  <c r="BX312" i="3" a="1"/>
  <c r="D336" i="3"/>
  <c r="BF21" i="3"/>
  <c r="CS21" i="3"/>
  <c r="AR21" i="3"/>
  <c r="BK21" i="3"/>
  <c r="CT21" i="3"/>
  <c r="BH21" i="3"/>
  <c r="BX106" i="3" a="1"/>
  <c r="CB106" i="3" s="1"/>
  <c r="H194" i="4"/>
  <c r="AB193" i="4"/>
  <c r="AA193" i="4" s="1"/>
  <c r="B29" i="19"/>
  <c r="S13" i="4"/>
  <c r="R14" i="4"/>
  <c r="B30" i="13"/>
  <c r="B56" i="13"/>
  <c r="B84" i="13"/>
  <c r="B332" i="3" a="1"/>
  <c r="CE332" i="3" a="1"/>
  <c r="Q321" i="4"/>
  <c r="C29" i="13"/>
  <c r="C55" i="13"/>
  <c r="C83" i="13"/>
  <c r="C28" i="19"/>
  <c r="BZ22" i="3"/>
  <c r="CK22" i="3"/>
  <c r="CM22" i="3"/>
  <c r="CL22" i="3"/>
  <c r="CJ22" i="3"/>
  <c r="AN22" i="3"/>
  <c r="BJ22" i="3" s="1"/>
  <c r="AM22" i="3"/>
  <c r="BI22" i="3" s="1"/>
  <c r="CA22" i="3"/>
  <c r="CM23" i="3"/>
  <c r="CK23" i="3"/>
  <c r="CL23" i="3"/>
  <c r="BZ23" i="3"/>
  <c r="CJ23" i="3"/>
  <c r="AN23" i="3"/>
  <c r="BJ23" i="3" s="1"/>
  <c r="CA23" i="3"/>
  <c r="AM23" i="3"/>
  <c r="BI23" i="3" s="1"/>
  <c r="CK46" i="3"/>
  <c r="BZ46" i="3"/>
  <c r="CM46" i="3"/>
  <c r="CL46" i="3"/>
  <c r="CJ46" i="3"/>
  <c r="AN46" i="3"/>
  <c r="BJ46" i="3" s="1"/>
  <c r="CA46" i="3"/>
  <c r="AM46" i="3"/>
  <c r="BI46" i="3" s="1"/>
  <c r="BP71" i="3"/>
  <c r="BT71" i="3" s="1"/>
  <c r="BL71" i="3"/>
  <c r="BN71" i="3" s="1"/>
  <c r="CB70" i="3"/>
  <c r="AI70" i="3"/>
  <c r="BQ70" i="3"/>
  <c r="BV95" i="3"/>
  <c r="BU95" i="3"/>
  <c r="BO95" i="3"/>
  <c r="BS95" i="3"/>
  <c r="BW47" i="3"/>
  <c r="BY47" i="3" s="1"/>
  <c r="CO47" i="3"/>
  <c r="BP119" i="3"/>
  <c r="BT119" i="3" s="1"/>
  <c r="BL119" i="3"/>
  <c r="BN119" i="3" s="1"/>
  <c r="BP118" i="3"/>
  <c r="BT118" i="3" s="1"/>
  <c r="BL118" i="3"/>
  <c r="BN118" i="3" s="1"/>
  <c r="BV45" i="3"/>
  <c r="BU45" i="3"/>
  <c r="BS45" i="3"/>
  <c r="BO45" i="3"/>
  <c r="BF143" i="3"/>
  <c r="CS143" i="3"/>
  <c r="AR143" i="3"/>
  <c r="AS143" i="3" s="1"/>
  <c r="BK143" i="3"/>
  <c r="CT143" i="3"/>
  <c r="BH143" i="3"/>
  <c r="AJ167" i="3"/>
  <c r="AK167" i="3"/>
  <c r="BG167" i="3"/>
  <c r="AL167" i="3"/>
  <c r="AJ166" i="3"/>
  <c r="BG166" i="3"/>
  <c r="AK166" i="3"/>
  <c r="AL166" i="3"/>
  <c r="BF139" i="3"/>
  <c r="CS139" i="3"/>
  <c r="AR139" i="3"/>
  <c r="AS139" i="3" s="1"/>
  <c r="BK139" i="3"/>
  <c r="CT139" i="3"/>
  <c r="BH139" i="3"/>
  <c r="CB191" i="3"/>
  <c r="AI191" i="3"/>
  <c r="BQ191" i="3"/>
  <c r="CB190" i="3"/>
  <c r="BQ190" i="3"/>
  <c r="AI190" i="3"/>
  <c r="BG117" i="3"/>
  <c r="AK117" i="3"/>
  <c r="AJ117" i="3"/>
  <c r="AL117" i="3"/>
  <c r="BG94" i="3"/>
  <c r="AJ94" i="3"/>
  <c r="AK94" i="3"/>
  <c r="AL94" i="3"/>
  <c r="CB141" i="3"/>
  <c r="AI141" i="3"/>
  <c r="BQ141" i="3"/>
  <c r="Y263" i="3"/>
  <c r="U263" i="3"/>
  <c r="W263" i="3" s="1"/>
  <c r="Y262" i="3"/>
  <c r="U262" i="3"/>
  <c r="W262" i="3" s="1"/>
  <c r="AA165" i="3"/>
  <c r="AE165" i="3" s="1"/>
  <c r="BR165" i="3"/>
  <c r="CR165" i="3"/>
  <c r="Y237" i="3"/>
  <c r="U237" i="3"/>
  <c r="W237" i="3" s="1"/>
  <c r="CP287" i="3"/>
  <c r="CI287" i="3"/>
  <c r="R287" i="3"/>
  <c r="AB287" i="3" s="1"/>
  <c r="CQ286" i="3"/>
  <c r="CH286" i="3"/>
  <c r="AW286" i="3"/>
  <c r="AQ286" i="3"/>
  <c r="CP286" i="3"/>
  <c r="CI286" i="3"/>
  <c r="R286" i="3"/>
  <c r="AB286" i="3" s="1"/>
  <c r="CQ285" i="3"/>
  <c r="CH285" i="3"/>
  <c r="AW285" i="3"/>
  <c r="AQ285" i="3"/>
  <c r="CP285" i="3"/>
  <c r="CI285" i="3"/>
  <c r="T261" i="3"/>
  <c r="R261" i="3"/>
  <c r="AB261" i="3" s="1"/>
  <c r="V261" i="3"/>
  <c r="H311" i="3" a="1"/>
  <c r="I311" i="3" a="1"/>
  <c r="J311" i="3" s="1"/>
  <c r="T311" i="3" s="1"/>
  <c r="L311" i="3" a="1"/>
  <c r="M311" i="3" a="1"/>
  <c r="O311" i="3" s="1"/>
  <c r="P311" i="3" a="1"/>
  <c r="Q311" i="3" s="1"/>
  <c r="V311" i="3" s="1"/>
  <c r="AZ311" i="3" a="1"/>
  <c r="BA311" i="3" a="1"/>
  <c r="BC311" i="3" a="1"/>
  <c r="BD311" i="3" a="1"/>
  <c r="BX311" i="3" a="1"/>
  <c r="BA310" i="3" a="1"/>
  <c r="BC310" i="3" a="1"/>
  <c r="BD310" i="3" a="1"/>
  <c r="BX310" i="3" a="1"/>
  <c r="I310" i="3" a="1"/>
  <c r="J310" i="3" s="1"/>
  <c r="T310" i="3" s="1"/>
  <c r="L310" i="3" a="1"/>
  <c r="M310" i="3" a="1"/>
  <c r="O310" i="3" s="1"/>
  <c r="P310" i="3" a="1"/>
  <c r="Q310" i="3" s="1"/>
  <c r="V310" i="3" s="1"/>
  <c r="AZ310" i="3" a="1"/>
  <c r="BA309" i="3" a="1"/>
  <c r="BC309" i="3" a="1"/>
  <c r="BD309" i="3" a="1"/>
  <c r="BX309" i="3" a="1"/>
  <c r="H309" i="3" a="1"/>
  <c r="I309" i="3" a="1"/>
  <c r="L309" i="3" a="1"/>
  <c r="M309" i="3" a="1"/>
  <c r="P309" i="3" a="1"/>
  <c r="AZ309" i="3" a="1"/>
  <c r="J285" i="3"/>
  <c r="O285" i="3"/>
  <c r="Q285" i="3"/>
  <c r="CT144" i="3" l="1"/>
  <c r="BH144" i="3"/>
  <c r="BP144" i="3" s="1"/>
  <c r="BT144" i="3" s="1"/>
  <c r="CS144" i="3"/>
  <c r="AR144" i="3"/>
  <c r="AS144" i="3" s="1"/>
  <c r="BK144" i="3"/>
  <c r="BL144" i="3" s="1"/>
  <c r="BN144" i="3" s="1"/>
  <c r="Z271" i="3"/>
  <c r="AC271" i="3" s="1"/>
  <c r="AD271" i="3" s="1"/>
  <c r="BO104" i="3"/>
  <c r="BS104" i="3"/>
  <c r="CR241" i="3"/>
  <c r="BR241" i="3"/>
  <c r="AA241" i="3"/>
  <c r="AE241" i="3" s="1"/>
  <c r="AF241" i="3" s="1"/>
  <c r="AG241" i="3" s="1"/>
  <c r="AH241" i="3" s="1"/>
  <c r="BO108" i="3"/>
  <c r="BS108" i="3"/>
  <c r="BO101" i="3"/>
  <c r="BS101" i="3"/>
  <c r="CR242" i="3"/>
  <c r="AA242" i="3"/>
  <c r="AE242" i="3" s="1"/>
  <c r="AF242" i="3" s="1"/>
  <c r="AG242" i="3" s="1"/>
  <c r="AH242" i="3" s="1"/>
  <c r="BR242" i="3"/>
  <c r="CR248" i="3"/>
  <c r="BR248" i="3"/>
  <c r="AA248" i="3"/>
  <c r="AE248" i="3" s="1"/>
  <c r="AF248" i="3" s="1"/>
  <c r="AG248" i="3" s="1"/>
  <c r="AH248" i="3" s="1"/>
  <c r="Z277" i="3"/>
  <c r="AC277" i="3" s="1"/>
  <c r="AD277" i="3" s="1"/>
  <c r="Z269" i="3"/>
  <c r="AC269" i="3" s="1"/>
  <c r="AD269" i="3" s="1"/>
  <c r="BO102" i="3"/>
  <c r="BS102" i="3"/>
  <c r="Z279" i="3"/>
  <c r="AC279" i="3" s="1"/>
  <c r="AD279" i="3" s="1"/>
  <c r="Z278" i="3"/>
  <c r="AC278" i="3" s="1"/>
  <c r="AD278" i="3" s="1"/>
  <c r="CR238" i="3"/>
  <c r="BR238" i="3"/>
  <c r="AA238" i="3"/>
  <c r="AE238" i="3" s="1"/>
  <c r="AF238" i="3" s="1"/>
  <c r="AG238" i="3" s="1"/>
  <c r="AH238" i="3" s="1"/>
  <c r="BN122" i="3"/>
  <c r="CR259" i="3"/>
  <c r="BR259" i="3"/>
  <c r="AA259" i="3"/>
  <c r="AE259" i="3" s="1"/>
  <c r="AF259" i="3" s="1"/>
  <c r="AG259" i="3" s="1"/>
  <c r="AH259" i="3" s="1"/>
  <c r="CR243" i="3"/>
  <c r="BR243" i="3"/>
  <c r="AA243" i="3"/>
  <c r="AE243" i="3" s="1"/>
  <c r="AF243" i="3" s="1"/>
  <c r="AG243" i="3" s="1"/>
  <c r="AH243" i="3" s="1"/>
  <c r="CR239" i="3"/>
  <c r="AA239" i="3"/>
  <c r="AE239" i="3" s="1"/>
  <c r="AF239" i="3" s="1"/>
  <c r="AG239" i="3" s="1"/>
  <c r="AH239" i="3" s="1"/>
  <c r="BR239" i="3"/>
  <c r="CB199" i="3"/>
  <c r="BQ199" i="3"/>
  <c r="AI199" i="3"/>
  <c r="CR255" i="3"/>
  <c r="BR255" i="3"/>
  <c r="AA255" i="3"/>
  <c r="AE255" i="3" s="1"/>
  <c r="AF255" i="3" s="1"/>
  <c r="AG255" i="3" s="1"/>
  <c r="AH255" i="3" s="1"/>
  <c r="CR246" i="3"/>
  <c r="BR246" i="3"/>
  <c r="AA246" i="3"/>
  <c r="AE246" i="3" s="1"/>
  <c r="AF246" i="3" s="1"/>
  <c r="AG246" i="3" s="1"/>
  <c r="AH246" i="3" s="1"/>
  <c r="CR213" i="3"/>
  <c r="AA213" i="3"/>
  <c r="AE213" i="3" s="1"/>
  <c r="AF213" i="3" s="1"/>
  <c r="AG213" i="3" s="1"/>
  <c r="AH213" i="3" s="1"/>
  <c r="BR213" i="3"/>
  <c r="BO116" i="3"/>
  <c r="BS116" i="3"/>
  <c r="CR247" i="3"/>
  <c r="AA247" i="3"/>
  <c r="AE247" i="3" s="1"/>
  <c r="AF247" i="3" s="1"/>
  <c r="AG247" i="3" s="1"/>
  <c r="AH247" i="3" s="1"/>
  <c r="BR247" i="3"/>
  <c r="AR146" i="3"/>
  <c r="AS146" i="3" s="1"/>
  <c r="CS146" i="3"/>
  <c r="BK146" i="3"/>
  <c r="BL146" i="3" s="1"/>
  <c r="CT146" i="3"/>
  <c r="BH146" i="3"/>
  <c r="BP146" i="3" s="1"/>
  <c r="BT146" i="3" s="1"/>
  <c r="CR250" i="3"/>
  <c r="BR250" i="3"/>
  <c r="AA250" i="3"/>
  <c r="AE250" i="3" s="1"/>
  <c r="AF250" i="3" s="1"/>
  <c r="AG250" i="3" s="1"/>
  <c r="AH250" i="3" s="1"/>
  <c r="BN136" i="3"/>
  <c r="BN135" i="3"/>
  <c r="BN129" i="3"/>
  <c r="Z282" i="3"/>
  <c r="AC282" i="3" s="1"/>
  <c r="AD282" i="3" s="1"/>
  <c r="Z262" i="3"/>
  <c r="AC262" i="3" s="1"/>
  <c r="AD262" i="3" s="1"/>
  <c r="Z267" i="3"/>
  <c r="AC267" i="3" s="1"/>
  <c r="AD267" i="3" s="1"/>
  <c r="Z274" i="3"/>
  <c r="AC274" i="3" s="1"/>
  <c r="AD274" i="3" s="1"/>
  <c r="Z272" i="3"/>
  <c r="AC272" i="3" s="1"/>
  <c r="AD272" i="3" s="1"/>
  <c r="Z270" i="3"/>
  <c r="AC270" i="3" s="1"/>
  <c r="AD270" i="3" s="1"/>
  <c r="CR240" i="3"/>
  <c r="BR240" i="3"/>
  <c r="AA240" i="3"/>
  <c r="AE240" i="3" s="1"/>
  <c r="AF240" i="3" s="1"/>
  <c r="AG240" i="3" s="1"/>
  <c r="AH240" i="3" s="1"/>
  <c r="BQ204" i="3"/>
  <c r="AI204" i="3"/>
  <c r="CB204" i="3"/>
  <c r="CR257" i="3"/>
  <c r="BR257" i="3"/>
  <c r="AA257" i="3"/>
  <c r="AE257" i="3" s="1"/>
  <c r="AF257" i="3" s="1"/>
  <c r="AG257" i="3" s="1"/>
  <c r="AH257" i="3" s="1"/>
  <c r="Z283" i="3"/>
  <c r="AC283" i="3" s="1"/>
  <c r="AD283" i="3" s="1"/>
  <c r="Z268" i="3"/>
  <c r="AC268" i="3" s="1"/>
  <c r="AD268" i="3" s="1"/>
  <c r="CR249" i="3"/>
  <c r="BR249" i="3"/>
  <c r="AA249" i="3"/>
  <c r="AE249" i="3" s="1"/>
  <c r="AF249" i="3" s="1"/>
  <c r="AG249" i="3" s="1"/>
  <c r="AH249" i="3" s="1"/>
  <c r="BO103" i="3"/>
  <c r="BS103" i="3"/>
  <c r="CR254" i="3"/>
  <c r="AA254" i="3"/>
  <c r="AE254" i="3" s="1"/>
  <c r="AF254" i="3" s="1"/>
  <c r="AG254" i="3" s="1"/>
  <c r="AH254" i="3" s="1"/>
  <c r="BR254" i="3"/>
  <c r="BG176" i="3"/>
  <c r="AJ176" i="3"/>
  <c r="AK176" i="3"/>
  <c r="BF176" i="3" s="1"/>
  <c r="AL176" i="3"/>
  <c r="CR251" i="3"/>
  <c r="BR251" i="3"/>
  <c r="AA251" i="3"/>
  <c r="AE251" i="3" s="1"/>
  <c r="AF251" i="3" s="1"/>
  <c r="AG251" i="3" s="1"/>
  <c r="AH251" i="3" s="1"/>
  <c r="CS153" i="3"/>
  <c r="AR153" i="3"/>
  <c r="AS153" i="3" s="1"/>
  <c r="BK153" i="3"/>
  <c r="BL153" i="3" s="1"/>
  <c r="CT153" i="3"/>
  <c r="BH153" i="3"/>
  <c r="BP153" i="3" s="1"/>
  <c r="BT153" i="3" s="1"/>
  <c r="Z273" i="3"/>
  <c r="AC273" i="3" s="1"/>
  <c r="AD273" i="3" s="1"/>
  <c r="Z275" i="3"/>
  <c r="AC275" i="3" s="1"/>
  <c r="AD275" i="3" s="1"/>
  <c r="Z284" i="3"/>
  <c r="AC284" i="3" s="1"/>
  <c r="AD284" i="3" s="1"/>
  <c r="BN137" i="3"/>
  <c r="CB193" i="3"/>
  <c r="AI193" i="3"/>
  <c r="BQ193" i="3"/>
  <c r="CR245" i="3"/>
  <c r="BR245" i="3"/>
  <c r="AA245" i="3"/>
  <c r="AE245" i="3" s="1"/>
  <c r="CR244" i="3"/>
  <c r="BR244" i="3"/>
  <c r="AA244" i="3"/>
  <c r="AE244" i="3" s="1"/>
  <c r="AF244" i="3" s="1"/>
  <c r="AG244" i="3" s="1"/>
  <c r="AH244" i="3" s="1"/>
  <c r="BG170" i="3"/>
  <c r="AK170" i="3"/>
  <c r="BF170" i="3" s="1"/>
  <c r="AJ170" i="3"/>
  <c r="AL170" i="3"/>
  <c r="Z276" i="3"/>
  <c r="AC276" i="3" s="1"/>
  <c r="AD276" i="3" s="1"/>
  <c r="Z266" i="3"/>
  <c r="AC266" i="3" s="1"/>
  <c r="AD266" i="3" s="1"/>
  <c r="Z265" i="3"/>
  <c r="AC265" i="3" s="1"/>
  <c r="AD265" i="3" s="1"/>
  <c r="Z263" i="3"/>
  <c r="AC263" i="3" s="1"/>
  <c r="AD263" i="3" s="1"/>
  <c r="CS142" i="3"/>
  <c r="AR142" i="3"/>
  <c r="AS142" i="3" s="1"/>
  <c r="BK142" i="3"/>
  <c r="BL142" i="3" s="1"/>
  <c r="CT142" i="3"/>
  <c r="BH142" i="3"/>
  <c r="BP142" i="3" s="1"/>
  <c r="BT142" i="3" s="1"/>
  <c r="Z264" i="3"/>
  <c r="AC264" i="3" s="1"/>
  <c r="AD264" i="3" s="1"/>
  <c r="Z281" i="3"/>
  <c r="AC281" i="3" s="1"/>
  <c r="AD281" i="3" s="1"/>
  <c r="Z237" i="3"/>
  <c r="AC237" i="3" s="1"/>
  <c r="AD237" i="3" s="1"/>
  <c r="CR260" i="3"/>
  <c r="BR260" i="3"/>
  <c r="AA260" i="3"/>
  <c r="AE260" i="3" s="1"/>
  <c r="AF260" i="3" s="1"/>
  <c r="AG260" i="3" s="1"/>
  <c r="AH260" i="3" s="1"/>
  <c r="CR256" i="3"/>
  <c r="BR256" i="3"/>
  <c r="AA256" i="3"/>
  <c r="AE256" i="3" s="1"/>
  <c r="AF256" i="3" s="1"/>
  <c r="AG256" i="3" s="1"/>
  <c r="AH256" i="3" s="1"/>
  <c r="Z280" i="3"/>
  <c r="AC280" i="3" s="1"/>
  <c r="AD280" i="3" s="1"/>
  <c r="CR258" i="3"/>
  <c r="BR258" i="3"/>
  <c r="AA258" i="3"/>
  <c r="AE258" i="3" s="1"/>
  <c r="CD428" i="3"/>
  <c r="C452" i="3"/>
  <c r="G404" i="3" a="1"/>
  <c r="BB404" i="3" a="1"/>
  <c r="E428" i="3"/>
  <c r="CC428" i="3"/>
  <c r="A452" i="3"/>
  <c r="CD403" i="3"/>
  <c r="C427" i="3"/>
  <c r="G379" i="3" a="1"/>
  <c r="BB379" i="3" a="1"/>
  <c r="CE379" i="3" a="1"/>
  <c r="B379" i="3" a="1"/>
  <c r="E403" i="3"/>
  <c r="CC403" i="3"/>
  <c r="A427" i="3"/>
  <c r="CD402" i="3"/>
  <c r="C426" i="3"/>
  <c r="G378" i="3" a="1"/>
  <c r="BB378" i="3" a="1"/>
  <c r="CE378" i="3" a="1"/>
  <c r="B378" i="3" a="1"/>
  <c r="E402" i="3"/>
  <c r="CC402" i="3"/>
  <c r="A426" i="3"/>
  <c r="CD401" i="3"/>
  <c r="C425" i="3"/>
  <c r="G377" i="3" a="1"/>
  <c r="BB377" i="3" a="1"/>
  <c r="CE377" i="3" a="1"/>
  <c r="B377" i="3" a="1"/>
  <c r="E401" i="3"/>
  <c r="CC401" i="3"/>
  <c r="A425" i="3"/>
  <c r="CD400" i="3"/>
  <c r="C424" i="3"/>
  <c r="G376" i="3" a="1"/>
  <c r="BB376" i="3" a="1"/>
  <c r="CE376" i="3" a="1"/>
  <c r="B376" i="3" a="1"/>
  <c r="E400" i="3"/>
  <c r="CC400" i="3"/>
  <c r="A424" i="3"/>
  <c r="CD399" i="3"/>
  <c r="C423" i="3"/>
  <c r="G375" i="3" a="1"/>
  <c r="BB375" i="3" a="1"/>
  <c r="CE375" i="3" a="1"/>
  <c r="B375" i="3" a="1"/>
  <c r="E399" i="3"/>
  <c r="CC399" i="3"/>
  <c r="A423" i="3"/>
  <c r="CD398" i="3"/>
  <c r="C422" i="3"/>
  <c r="G374" i="3" a="1"/>
  <c r="BB374" i="3" a="1"/>
  <c r="CE374" i="3" a="1"/>
  <c r="B374" i="3" a="1"/>
  <c r="E398" i="3"/>
  <c r="CC398" i="3"/>
  <c r="A422" i="3"/>
  <c r="CD397" i="3"/>
  <c r="C421" i="3"/>
  <c r="G373" i="3" a="1"/>
  <c r="BB373" i="3" a="1"/>
  <c r="CE373" i="3" a="1"/>
  <c r="B373" i="3" a="1"/>
  <c r="E397" i="3"/>
  <c r="CC397" i="3"/>
  <c r="A421" i="3"/>
  <c r="CD396" i="3"/>
  <c r="C420" i="3"/>
  <c r="G372" i="3" a="1"/>
  <c r="BB372" i="3" a="1"/>
  <c r="CE372" i="3" a="1"/>
  <c r="B372" i="3" a="1"/>
  <c r="E396" i="3"/>
  <c r="CC396" i="3"/>
  <c r="A420" i="3"/>
  <c r="CD395" i="3"/>
  <c r="C419" i="3"/>
  <c r="G371" i="3" a="1"/>
  <c r="BB371" i="3" a="1"/>
  <c r="CE371" i="3" a="1"/>
  <c r="B371" i="3" a="1"/>
  <c r="E395" i="3"/>
  <c r="CC395" i="3"/>
  <c r="A419" i="3"/>
  <c r="CD394" i="3"/>
  <c r="C418" i="3"/>
  <c r="G370" i="3" a="1"/>
  <c r="BB370" i="3" a="1"/>
  <c r="CE370" i="3" a="1"/>
  <c r="B370" i="3" a="1"/>
  <c r="E394" i="3"/>
  <c r="CC394" i="3"/>
  <c r="A418" i="3"/>
  <c r="CD393" i="3"/>
  <c r="C417" i="3"/>
  <c r="G369" i="3" a="1"/>
  <c r="BB369" i="3" a="1"/>
  <c r="CE369" i="3" a="1"/>
  <c r="B369" i="3" a="1"/>
  <c r="E393" i="3"/>
  <c r="CC393" i="3"/>
  <c r="A417" i="3"/>
  <c r="CD392" i="3"/>
  <c r="C416" i="3"/>
  <c r="G368" i="3" a="1"/>
  <c r="BB368" i="3" a="1"/>
  <c r="CE368" i="3" a="1"/>
  <c r="B368" i="3" a="1"/>
  <c r="E392" i="3"/>
  <c r="CC392" i="3"/>
  <c r="A416" i="3"/>
  <c r="CD391" i="3"/>
  <c r="C415" i="3"/>
  <c r="G367" i="3" a="1"/>
  <c r="BB367" i="3" a="1"/>
  <c r="CE367" i="3" a="1"/>
  <c r="B367" i="3" a="1"/>
  <c r="E391" i="3"/>
  <c r="CC391" i="3"/>
  <c r="A415" i="3"/>
  <c r="CD390" i="3"/>
  <c r="C414" i="3"/>
  <c r="G366" i="3" a="1"/>
  <c r="BB366" i="3" a="1"/>
  <c r="CE366" i="3" a="1"/>
  <c r="B366" i="3" a="1"/>
  <c r="E390" i="3"/>
  <c r="CC390" i="3"/>
  <c r="A414" i="3"/>
  <c r="CD365" i="3"/>
  <c r="C389" i="3"/>
  <c r="B341" i="3" a="1"/>
  <c r="BB341" i="3" a="1"/>
  <c r="CE341" i="3" a="1"/>
  <c r="G341" i="3" a="1"/>
  <c r="E365" i="3"/>
  <c r="CC365" i="3"/>
  <c r="A389" i="3"/>
  <c r="CD364" i="3"/>
  <c r="C388" i="3"/>
  <c r="B340" i="3" a="1"/>
  <c r="BB340" i="3" a="1"/>
  <c r="CE340" i="3" a="1"/>
  <c r="G340" i="3" a="1"/>
  <c r="E364" i="3"/>
  <c r="CC364" i="3"/>
  <c r="A388" i="3"/>
  <c r="CD363" i="3"/>
  <c r="C387" i="3"/>
  <c r="B339" i="3" a="1"/>
  <c r="BB339" i="3" a="1"/>
  <c r="CE339" i="3" a="1"/>
  <c r="G339" i="3" a="1"/>
  <c r="E363" i="3"/>
  <c r="CC363" i="3"/>
  <c r="A387" i="3"/>
  <c r="CD362" i="3"/>
  <c r="C386" i="3"/>
  <c r="B338" i="3" a="1"/>
  <c r="BB338" i="3" a="1"/>
  <c r="CE338" i="3" a="1"/>
  <c r="G338" i="3" a="1"/>
  <c r="E362" i="3"/>
  <c r="CC362" i="3"/>
  <c r="A386" i="3"/>
  <c r="CD361" i="3"/>
  <c r="C385" i="3"/>
  <c r="B337" i="3" a="1"/>
  <c r="BB337" i="3" a="1"/>
  <c r="CE337" i="3" a="1"/>
  <c r="G337" i="3" a="1"/>
  <c r="E361" i="3"/>
  <c r="CC361" i="3"/>
  <c r="A385" i="3"/>
  <c r="CD360" i="3"/>
  <c r="C384" i="3"/>
  <c r="BB336" i="3" a="1"/>
  <c r="CE336" i="3" a="1"/>
  <c r="G336" i="3" a="1"/>
  <c r="B336" i="3" a="1"/>
  <c r="E360" i="3"/>
  <c r="CC360" i="3"/>
  <c r="A384" i="3"/>
  <c r="F359" i="3" a="1"/>
  <c r="H359" i="3" a="1"/>
  <c r="I359" i="3" a="1"/>
  <c r="J359" i="3" s="1"/>
  <c r="T359" i="3" s="1"/>
  <c r="L359" i="3" a="1"/>
  <c r="M359" i="3" a="1"/>
  <c r="O359" i="3" s="1"/>
  <c r="P359" i="3" a="1"/>
  <c r="Q359" i="3" s="1"/>
  <c r="V359" i="3" s="1"/>
  <c r="AZ359" i="3" a="1"/>
  <c r="BA359" i="3" a="1"/>
  <c r="BC359" i="3" a="1"/>
  <c r="BD359" i="3" a="1"/>
  <c r="BX359" i="3" a="1"/>
  <c r="D383" i="3"/>
  <c r="CD359" i="3"/>
  <c r="C383" i="3"/>
  <c r="G335" i="3" a="1"/>
  <c r="BB335" i="3" a="1"/>
  <c r="CE335" i="3" a="1"/>
  <c r="B335" i="3" a="1"/>
  <c r="E359" i="3"/>
  <c r="CC359" i="3"/>
  <c r="A383" i="3"/>
  <c r="F358" i="3" a="1"/>
  <c r="D382" i="3"/>
  <c r="CD358" i="3"/>
  <c r="C382" i="3"/>
  <c r="G334" i="3" a="1"/>
  <c r="BB334" i="3" a="1"/>
  <c r="CE334" i="3" a="1"/>
  <c r="B334" i="3" a="1"/>
  <c r="E358" i="3"/>
  <c r="CC358" i="3"/>
  <c r="A382" i="3"/>
  <c r="CM69" i="3"/>
  <c r="BZ69" i="3"/>
  <c r="CK69" i="3"/>
  <c r="CL69" i="3"/>
  <c r="CJ69" i="3"/>
  <c r="AN69" i="3"/>
  <c r="AM69" i="3"/>
  <c r="CA69" i="3"/>
  <c r="CM93" i="3"/>
  <c r="BZ93" i="3"/>
  <c r="CK93" i="3"/>
  <c r="CL93" i="3"/>
  <c r="CJ93" i="3"/>
  <c r="AN93" i="3"/>
  <c r="CA93" i="3"/>
  <c r="AM93" i="3"/>
  <c r="F357" i="3" a="1"/>
  <c r="D381" i="3"/>
  <c r="CD357" i="3"/>
  <c r="C381" i="3"/>
  <c r="G333" i="3" a="1"/>
  <c r="BB333" i="3" a="1"/>
  <c r="CE333" i="3" a="1"/>
  <c r="B333" i="3" a="1"/>
  <c r="E357" i="3"/>
  <c r="CC357" i="3"/>
  <c r="A381" i="3"/>
  <c r="BO92" i="3"/>
  <c r="BS92" i="3"/>
  <c r="BV92" i="3"/>
  <c r="BU92" i="3"/>
  <c r="BW116" i="3"/>
  <c r="BO140" i="3"/>
  <c r="BS140" i="3"/>
  <c r="BV140" i="3"/>
  <c r="BU140" i="3"/>
  <c r="CS188" i="3"/>
  <c r="AR188" i="3"/>
  <c r="AS188" i="3" s="1"/>
  <c r="BK188" i="3"/>
  <c r="BF188" i="3"/>
  <c r="CT188" i="3"/>
  <c r="BH188" i="3"/>
  <c r="BG212" i="3"/>
  <c r="AJ212" i="3"/>
  <c r="AK212" i="3"/>
  <c r="AL212" i="3"/>
  <c r="CB236" i="3"/>
  <c r="AI236" i="3"/>
  <c r="BQ236" i="3"/>
  <c r="Y308" i="3"/>
  <c r="U308" i="3"/>
  <c r="W308" i="3" s="1"/>
  <c r="AQ332" i="3"/>
  <c r="AW332" i="3"/>
  <c r="CH332" i="3"/>
  <c r="CQ332" i="3"/>
  <c r="CI332" i="3"/>
  <c r="CP332" i="3"/>
  <c r="R332" i="3"/>
  <c r="AB332" i="3" s="1"/>
  <c r="F356" i="3" a="1"/>
  <c r="H356" i="3" a="1"/>
  <c r="I356" i="3" a="1"/>
  <c r="J356" i="3" s="1"/>
  <c r="T356" i="3" s="1"/>
  <c r="L356" i="3" a="1"/>
  <c r="M356" i="3" a="1"/>
  <c r="O356" i="3" s="1"/>
  <c r="P356" i="3" a="1"/>
  <c r="Q356" i="3" s="1"/>
  <c r="V356" i="3" s="1"/>
  <c r="AZ356" i="3" a="1"/>
  <c r="BA356" i="3" a="1"/>
  <c r="BC356" i="3" a="1"/>
  <c r="BD356" i="3" a="1"/>
  <c r="BX356" i="3" a="1"/>
  <c r="D380" i="3"/>
  <c r="BL164" i="3"/>
  <c r="BN164" i="3" s="1"/>
  <c r="BP164" i="3"/>
  <c r="BT164" i="3" s="1"/>
  <c r="BO91" i="3"/>
  <c r="BS91" i="3"/>
  <c r="BV91" i="3"/>
  <c r="BU91" i="3"/>
  <c r="BW115" i="3"/>
  <c r="BL163" i="3"/>
  <c r="BN163" i="3" s="1"/>
  <c r="BP163" i="3"/>
  <c r="BT163" i="3" s="1"/>
  <c r="BF187" i="3"/>
  <c r="AR187" i="3"/>
  <c r="AS187" i="3" s="1"/>
  <c r="CS187" i="3"/>
  <c r="BK187" i="3"/>
  <c r="CT187" i="3"/>
  <c r="BH187" i="3"/>
  <c r="AJ211" i="3"/>
  <c r="BG211" i="3"/>
  <c r="AK211" i="3"/>
  <c r="AL211" i="3"/>
  <c r="CB235" i="3"/>
  <c r="AI235" i="3"/>
  <c r="BQ235" i="3"/>
  <c r="Y307" i="3"/>
  <c r="U307" i="3"/>
  <c r="W307" i="3" s="1"/>
  <c r="AQ331" i="3"/>
  <c r="AW331" i="3"/>
  <c r="CH331" i="3"/>
  <c r="CQ331" i="3"/>
  <c r="CI331" i="3"/>
  <c r="CP331" i="3"/>
  <c r="R331" i="3"/>
  <c r="AB331" i="3" s="1"/>
  <c r="F355" i="3" a="1"/>
  <c r="H355" i="3" a="1"/>
  <c r="I355" i="3" a="1"/>
  <c r="J355" i="3" s="1"/>
  <c r="T355" i="3" s="1"/>
  <c r="L355" i="3" a="1"/>
  <c r="M355" i="3" a="1"/>
  <c r="O355" i="3" s="1"/>
  <c r="P355" i="3" a="1"/>
  <c r="Q355" i="3" s="1"/>
  <c r="V355" i="3" s="1"/>
  <c r="AZ355" i="3" a="1"/>
  <c r="BA355" i="3" a="1"/>
  <c r="BC355" i="3" a="1"/>
  <c r="BD355" i="3" a="1"/>
  <c r="BX355" i="3" a="1"/>
  <c r="D379" i="3"/>
  <c r="BO90" i="3"/>
  <c r="BS90" i="3"/>
  <c r="BV90" i="3"/>
  <c r="BU90" i="3"/>
  <c r="BW114" i="3"/>
  <c r="BO138" i="3"/>
  <c r="BS138" i="3"/>
  <c r="BV138" i="3"/>
  <c r="BU138" i="3"/>
  <c r="AR186" i="3"/>
  <c r="AS186" i="3" s="1"/>
  <c r="CS186" i="3"/>
  <c r="BK186" i="3"/>
  <c r="BF186" i="3"/>
  <c r="CT186" i="3"/>
  <c r="BH186" i="3"/>
  <c r="BG210" i="3"/>
  <c r="AK210" i="3"/>
  <c r="AJ210" i="3"/>
  <c r="AL210" i="3"/>
  <c r="CB234" i="3"/>
  <c r="AI234" i="3"/>
  <c r="BQ234" i="3"/>
  <c r="Y306" i="3"/>
  <c r="U306" i="3"/>
  <c r="W306" i="3" s="1"/>
  <c r="AQ330" i="3"/>
  <c r="AW330" i="3"/>
  <c r="CH330" i="3"/>
  <c r="CQ330" i="3"/>
  <c r="CI330" i="3"/>
  <c r="CP330" i="3"/>
  <c r="R330" i="3"/>
  <c r="AB330" i="3" s="1"/>
  <c r="F354" i="3" a="1"/>
  <c r="H354" i="3" a="1"/>
  <c r="I354" i="3" a="1"/>
  <c r="J354" i="3" s="1"/>
  <c r="T354" i="3" s="1"/>
  <c r="L354" i="3" a="1"/>
  <c r="M354" i="3" a="1"/>
  <c r="O354" i="3" s="1"/>
  <c r="P354" i="3" a="1"/>
  <c r="Q354" i="3" s="1"/>
  <c r="V354" i="3" s="1"/>
  <c r="AZ354" i="3" a="1"/>
  <c r="BA354" i="3" a="1"/>
  <c r="BC354" i="3" a="1"/>
  <c r="BD354" i="3" a="1"/>
  <c r="BX354" i="3" a="1"/>
  <c r="D378" i="3"/>
  <c r="BL162" i="3"/>
  <c r="BN162" i="3" s="1"/>
  <c r="BP162" i="3"/>
  <c r="BT162" i="3" s="1"/>
  <c r="BO89" i="3"/>
  <c r="BS89" i="3"/>
  <c r="BV89" i="3"/>
  <c r="BU89" i="3"/>
  <c r="BW113" i="3"/>
  <c r="BV137" i="3"/>
  <c r="BU137" i="3"/>
  <c r="BL161" i="3"/>
  <c r="BN161" i="3" s="1"/>
  <c r="BP161" i="3"/>
  <c r="BT161" i="3" s="1"/>
  <c r="BG209" i="3"/>
  <c r="AJ209" i="3"/>
  <c r="AK209" i="3"/>
  <c r="AL209" i="3"/>
  <c r="CB233" i="3"/>
  <c r="AI233" i="3"/>
  <c r="BQ233" i="3"/>
  <c r="Y305" i="3"/>
  <c r="U305" i="3"/>
  <c r="W305" i="3" s="1"/>
  <c r="AQ329" i="3"/>
  <c r="AW329" i="3"/>
  <c r="CH329" i="3"/>
  <c r="CQ329" i="3"/>
  <c r="CI329" i="3"/>
  <c r="CP329" i="3"/>
  <c r="R329" i="3"/>
  <c r="AB329" i="3" s="1"/>
  <c r="F353" i="3" a="1"/>
  <c r="H353" i="3" a="1"/>
  <c r="I353" i="3" a="1"/>
  <c r="J353" i="3" s="1"/>
  <c r="T353" i="3" s="1"/>
  <c r="L353" i="3" a="1"/>
  <c r="M353" i="3" a="1"/>
  <c r="O353" i="3" s="1"/>
  <c r="P353" i="3" a="1"/>
  <c r="Q353" i="3" s="1"/>
  <c r="V353" i="3" s="1"/>
  <c r="AZ353" i="3" a="1"/>
  <c r="BA353" i="3" a="1"/>
  <c r="BC353" i="3" a="1"/>
  <c r="BD353" i="3" a="1"/>
  <c r="BX353" i="3" a="1"/>
  <c r="D377" i="3"/>
  <c r="CS185" i="3"/>
  <c r="AR185" i="3"/>
  <c r="AS185" i="3" s="1"/>
  <c r="BK185" i="3"/>
  <c r="BF185" i="3"/>
  <c r="CT185" i="3"/>
  <c r="BH185" i="3"/>
  <c r="BO88" i="3"/>
  <c r="BS88" i="3"/>
  <c r="BV88" i="3"/>
  <c r="BU88" i="3"/>
  <c r="BW112" i="3"/>
  <c r="BV136" i="3"/>
  <c r="BU136" i="3"/>
  <c r="BL160" i="3"/>
  <c r="BN160" i="3" s="1"/>
  <c r="BP160" i="3"/>
  <c r="BT160" i="3" s="1"/>
  <c r="CS184" i="3"/>
  <c r="AR184" i="3"/>
  <c r="AS184" i="3" s="1"/>
  <c r="BK184" i="3"/>
  <c r="BF184" i="3"/>
  <c r="CT184" i="3"/>
  <c r="BH184" i="3"/>
  <c r="CB232" i="3"/>
  <c r="AI232" i="3"/>
  <c r="BQ232" i="3"/>
  <c r="Y304" i="3"/>
  <c r="U304" i="3"/>
  <c r="W304" i="3" s="1"/>
  <c r="AQ328" i="3"/>
  <c r="AW328" i="3"/>
  <c r="CH328" i="3"/>
  <c r="CQ328" i="3"/>
  <c r="CI328" i="3"/>
  <c r="CP328" i="3"/>
  <c r="R328" i="3"/>
  <c r="AB328" i="3" s="1"/>
  <c r="F352" i="3" a="1"/>
  <c r="H352" i="3" a="1"/>
  <c r="I352" i="3" a="1"/>
  <c r="J352" i="3" s="1"/>
  <c r="T352" i="3" s="1"/>
  <c r="L352" i="3" a="1"/>
  <c r="M352" i="3" a="1"/>
  <c r="O352" i="3" s="1"/>
  <c r="P352" i="3" a="1"/>
  <c r="Q352" i="3" s="1"/>
  <c r="V352" i="3" s="1"/>
  <c r="AZ352" i="3" a="1"/>
  <c r="BA352" i="3" a="1"/>
  <c r="BC352" i="3" a="1"/>
  <c r="BD352" i="3" a="1"/>
  <c r="BX352" i="3" a="1"/>
  <c r="D376" i="3"/>
  <c r="BG208" i="3"/>
  <c r="AJ208" i="3"/>
  <c r="AK208" i="3"/>
  <c r="AL208" i="3"/>
  <c r="BO87" i="3"/>
  <c r="BS87" i="3"/>
  <c r="BV87" i="3"/>
  <c r="BU87" i="3"/>
  <c r="BW111" i="3"/>
  <c r="BV135" i="3"/>
  <c r="BU135" i="3"/>
  <c r="BL159" i="3"/>
  <c r="BN159" i="3" s="1"/>
  <c r="BP159" i="3"/>
  <c r="BT159" i="3" s="1"/>
  <c r="AR183" i="3"/>
  <c r="AS183" i="3" s="1"/>
  <c r="CS183" i="3"/>
  <c r="BK183" i="3"/>
  <c r="BF183" i="3"/>
  <c r="CT183" i="3"/>
  <c r="BH183" i="3"/>
  <c r="AJ207" i="3"/>
  <c r="AK207" i="3"/>
  <c r="BG207" i="3"/>
  <c r="AL207" i="3"/>
  <c r="CB231" i="3"/>
  <c r="AI231" i="3"/>
  <c r="BQ231" i="3"/>
  <c r="Y303" i="3"/>
  <c r="U303" i="3"/>
  <c r="W303" i="3" s="1"/>
  <c r="AQ327" i="3"/>
  <c r="AW327" i="3"/>
  <c r="CH327" i="3"/>
  <c r="CQ327" i="3"/>
  <c r="CI327" i="3"/>
  <c r="CP327" i="3"/>
  <c r="R327" i="3"/>
  <c r="AB327" i="3" s="1"/>
  <c r="F351" i="3" a="1"/>
  <c r="H351" i="3" a="1"/>
  <c r="I351" i="3" a="1"/>
  <c r="J351" i="3" s="1"/>
  <c r="T351" i="3" s="1"/>
  <c r="L351" i="3" a="1"/>
  <c r="M351" i="3" a="1"/>
  <c r="O351" i="3" s="1"/>
  <c r="P351" i="3" a="1"/>
  <c r="Q351" i="3" s="1"/>
  <c r="V351" i="3" s="1"/>
  <c r="AZ351" i="3" a="1"/>
  <c r="BA351" i="3" a="1"/>
  <c r="BC351" i="3" a="1"/>
  <c r="BD351" i="3" a="1"/>
  <c r="BX351" i="3" a="1"/>
  <c r="D375" i="3"/>
  <c r="BO86" i="3"/>
  <c r="BS86" i="3"/>
  <c r="BV86" i="3"/>
  <c r="BU86" i="3"/>
  <c r="BW110" i="3"/>
  <c r="BO134" i="3"/>
  <c r="BS134" i="3"/>
  <c r="BV134" i="3"/>
  <c r="BU134" i="3"/>
  <c r="BL158" i="3"/>
  <c r="BN158" i="3" s="1"/>
  <c r="BP158" i="3"/>
  <c r="BT158" i="3" s="1"/>
  <c r="CS182" i="3"/>
  <c r="AR182" i="3"/>
  <c r="AS182" i="3" s="1"/>
  <c r="BK182" i="3"/>
  <c r="BF182" i="3"/>
  <c r="CT182" i="3"/>
  <c r="BH182" i="3"/>
  <c r="AK206" i="3"/>
  <c r="AJ206" i="3"/>
  <c r="BG206" i="3"/>
  <c r="AL206" i="3"/>
  <c r="CB230" i="3"/>
  <c r="AI230" i="3"/>
  <c r="BQ230" i="3"/>
  <c r="Y302" i="3"/>
  <c r="U302" i="3"/>
  <c r="W302" i="3" s="1"/>
  <c r="AQ326" i="3"/>
  <c r="AW326" i="3"/>
  <c r="CH326" i="3"/>
  <c r="CQ326" i="3"/>
  <c r="CI326" i="3"/>
  <c r="CP326" i="3"/>
  <c r="R326" i="3"/>
  <c r="AB326" i="3" s="1"/>
  <c r="F350" i="3" a="1"/>
  <c r="H350" i="3" a="1"/>
  <c r="I350" i="3" a="1"/>
  <c r="J350" i="3" s="1"/>
  <c r="T350" i="3" s="1"/>
  <c r="L350" i="3" a="1"/>
  <c r="M350" i="3" a="1"/>
  <c r="O350" i="3" s="1"/>
  <c r="P350" i="3" a="1"/>
  <c r="Q350" i="3" s="1"/>
  <c r="V350" i="3" s="1"/>
  <c r="AZ350" i="3" a="1"/>
  <c r="BA350" i="3" a="1"/>
  <c r="BC350" i="3" a="1"/>
  <c r="BD350" i="3" a="1"/>
  <c r="BX350" i="3" a="1"/>
  <c r="D374" i="3"/>
  <c r="BO85" i="3"/>
  <c r="BS85" i="3"/>
  <c r="BV85" i="3"/>
  <c r="BU85" i="3"/>
  <c r="BW109" i="3"/>
  <c r="BO133" i="3"/>
  <c r="BS133" i="3"/>
  <c r="BV133" i="3"/>
  <c r="BU133" i="3"/>
  <c r="BL157" i="3"/>
  <c r="BN157" i="3" s="1"/>
  <c r="BP157" i="3"/>
  <c r="BT157" i="3" s="1"/>
  <c r="BF181" i="3"/>
  <c r="CS181" i="3"/>
  <c r="AR181" i="3"/>
  <c r="AS181" i="3" s="1"/>
  <c r="BK181" i="3"/>
  <c r="CT181" i="3"/>
  <c r="BH181" i="3"/>
  <c r="AK205" i="3"/>
  <c r="AJ205" i="3"/>
  <c r="BG205" i="3"/>
  <c r="AL205" i="3"/>
  <c r="CB229" i="3"/>
  <c r="AI229" i="3"/>
  <c r="BQ229" i="3"/>
  <c r="AF253" i="3"/>
  <c r="AG253" i="3" s="1"/>
  <c r="AH253" i="3" s="1"/>
  <c r="Y301" i="3"/>
  <c r="U301" i="3"/>
  <c r="W301" i="3" s="1"/>
  <c r="AQ325" i="3"/>
  <c r="AW325" i="3"/>
  <c r="CH325" i="3"/>
  <c r="CQ325" i="3"/>
  <c r="CI325" i="3"/>
  <c r="CP325" i="3"/>
  <c r="R325" i="3"/>
  <c r="AB325" i="3" s="1"/>
  <c r="F349" i="3" a="1"/>
  <c r="H349" i="3" a="1"/>
  <c r="I349" i="3" a="1"/>
  <c r="J349" i="3" s="1"/>
  <c r="T349" i="3" s="1"/>
  <c r="L349" i="3" a="1"/>
  <c r="M349" i="3" a="1"/>
  <c r="O349" i="3" s="1"/>
  <c r="P349" i="3" a="1"/>
  <c r="Q349" i="3" s="1"/>
  <c r="V349" i="3" s="1"/>
  <c r="AZ349" i="3" a="1"/>
  <c r="BA349" i="3" a="1"/>
  <c r="BC349" i="3" a="1"/>
  <c r="BD349" i="3" a="1"/>
  <c r="BX349" i="3" a="1"/>
  <c r="D373" i="3"/>
  <c r="BO84" i="3"/>
  <c r="BS84" i="3"/>
  <c r="BV84" i="3"/>
  <c r="BU84" i="3"/>
  <c r="BW108" i="3"/>
  <c r="BO132" i="3"/>
  <c r="BS132" i="3"/>
  <c r="BV132" i="3"/>
  <c r="BU132" i="3"/>
  <c r="BL156" i="3"/>
  <c r="BN156" i="3" s="1"/>
  <c r="BP156" i="3"/>
  <c r="BT156" i="3" s="1"/>
  <c r="CB228" i="3"/>
  <c r="AI228" i="3"/>
  <c r="BQ228" i="3"/>
  <c r="AF252" i="3"/>
  <c r="AG252" i="3" s="1"/>
  <c r="AH252" i="3" s="1"/>
  <c r="Y300" i="3"/>
  <c r="U300" i="3"/>
  <c r="W300" i="3" s="1"/>
  <c r="AQ324" i="3"/>
  <c r="AW324" i="3"/>
  <c r="CH324" i="3"/>
  <c r="CQ324" i="3"/>
  <c r="CI324" i="3"/>
  <c r="CP324" i="3"/>
  <c r="R324" i="3"/>
  <c r="AB324" i="3" s="1"/>
  <c r="F348" i="3" a="1"/>
  <c r="H348" i="3" a="1"/>
  <c r="I348" i="3" a="1"/>
  <c r="J348" i="3" s="1"/>
  <c r="T348" i="3" s="1"/>
  <c r="L348" i="3" a="1"/>
  <c r="M348" i="3" a="1"/>
  <c r="O348" i="3" s="1"/>
  <c r="P348" i="3" a="1"/>
  <c r="Q348" i="3" s="1"/>
  <c r="V348" i="3" s="1"/>
  <c r="AZ348" i="3" a="1"/>
  <c r="BA348" i="3" a="1"/>
  <c r="BC348" i="3" a="1"/>
  <c r="BD348" i="3" a="1"/>
  <c r="BX348" i="3" a="1"/>
  <c r="D372" i="3"/>
  <c r="BF180" i="3"/>
  <c r="CS180" i="3"/>
  <c r="AR180" i="3"/>
  <c r="AS180" i="3" s="1"/>
  <c r="BK180" i="3"/>
  <c r="CT180" i="3"/>
  <c r="BH180" i="3"/>
  <c r="BO83" i="3"/>
  <c r="BS83" i="3"/>
  <c r="BV83" i="3"/>
  <c r="BU83" i="3"/>
  <c r="BW107" i="3"/>
  <c r="BO131" i="3"/>
  <c r="BS131" i="3"/>
  <c r="BV131" i="3"/>
  <c r="BU131" i="3"/>
  <c r="BL155" i="3"/>
  <c r="BN155" i="3" s="1"/>
  <c r="BP155" i="3"/>
  <c r="BT155" i="3" s="1"/>
  <c r="AR179" i="3"/>
  <c r="AS179" i="3" s="1"/>
  <c r="CS179" i="3"/>
  <c r="BK179" i="3"/>
  <c r="BF179" i="3"/>
  <c r="CT179" i="3"/>
  <c r="BH179" i="3"/>
  <c r="AK203" i="3"/>
  <c r="AJ203" i="3"/>
  <c r="BG203" i="3"/>
  <c r="AL203" i="3"/>
  <c r="CB227" i="3"/>
  <c r="AI227" i="3"/>
  <c r="BQ227" i="3"/>
  <c r="Y299" i="3"/>
  <c r="U299" i="3"/>
  <c r="W299" i="3" s="1"/>
  <c r="AQ323" i="3"/>
  <c r="AW323" i="3"/>
  <c r="CH323" i="3"/>
  <c r="CQ323" i="3"/>
  <c r="CI323" i="3"/>
  <c r="CP323" i="3"/>
  <c r="R323" i="3"/>
  <c r="AB323" i="3" s="1"/>
  <c r="F347" i="3" a="1"/>
  <c r="H347" i="3" a="1"/>
  <c r="I347" i="3" a="1"/>
  <c r="J347" i="3" s="1"/>
  <c r="T347" i="3" s="1"/>
  <c r="L347" i="3" a="1"/>
  <c r="M347" i="3" a="1"/>
  <c r="O347" i="3" s="1"/>
  <c r="P347" i="3" a="1"/>
  <c r="Q347" i="3" s="1"/>
  <c r="V347" i="3" s="1"/>
  <c r="AZ347" i="3" a="1"/>
  <c r="BA347" i="3" a="1"/>
  <c r="BC347" i="3" a="1"/>
  <c r="BD347" i="3" a="1"/>
  <c r="BX347" i="3" a="1"/>
  <c r="D371" i="3"/>
  <c r="BO82" i="3"/>
  <c r="BS82" i="3"/>
  <c r="BV82" i="3"/>
  <c r="BU82" i="3"/>
  <c r="BW106" i="3"/>
  <c r="BY106" i="3" s="1"/>
  <c r="CO106" i="3"/>
  <c r="BO130" i="3"/>
  <c r="BS130" i="3"/>
  <c r="BV130" i="3"/>
  <c r="BU130" i="3"/>
  <c r="BL154" i="3"/>
  <c r="BN154" i="3" s="1"/>
  <c r="BP154" i="3"/>
  <c r="BT154" i="3" s="1"/>
  <c r="CS178" i="3"/>
  <c r="AR178" i="3"/>
  <c r="AS178" i="3" s="1"/>
  <c r="BK178" i="3"/>
  <c r="BF178" i="3"/>
  <c r="CT178" i="3"/>
  <c r="BH178" i="3"/>
  <c r="AK202" i="3"/>
  <c r="AJ202" i="3"/>
  <c r="BG202" i="3"/>
  <c r="AL202" i="3"/>
  <c r="CB226" i="3"/>
  <c r="AI226" i="3"/>
  <c r="BQ226" i="3"/>
  <c r="Y298" i="3"/>
  <c r="U298" i="3"/>
  <c r="W298" i="3" s="1"/>
  <c r="AQ322" i="3"/>
  <c r="AW322" i="3"/>
  <c r="CH322" i="3"/>
  <c r="CQ322" i="3"/>
  <c r="CI322" i="3"/>
  <c r="CP322" i="3"/>
  <c r="R322" i="3"/>
  <c r="AB322" i="3" s="1"/>
  <c r="F346" i="3" a="1"/>
  <c r="H346" i="3" a="1"/>
  <c r="I346" i="3" a="1"/>
  <c r="J346" i="3" s="1"/>
  <c r="T346" i="3" s="1"/>
  <c r="L346" i="3" a="1"/>
  <c r="M346" i="3" a="1"/>
  <c r="O346" i="3" s="1"/>
  <c r="P346" i="3" a="1"/>
  <c r="Q346" i="3" s="1"/>
  <c r="V346" i="3" s="1"/>
  <c r="AZ346" i="3" a="1"/>
  <c r="BA346" i="3" a="1"/>
  <c r="BC346" i="3" a="1"/>
  <c r="BD346" i="3" a="1"/>
  <c r="BX346" i="3" a="1"/>
  <c r="D370" i="3"/>
  <c r="BO81" i="3"/>
  <c r="BS81" i="3"/>
  <c r="BV81" i="3"/>
  <c r="BU81" i="3"/>
  <c r="BW105" i="3"/>
  <c r="BY105" i="3" s="1"/>
  <c r="CO105" i="3"/>
  <c r="BV129" i="3"/>
  <c r="BU129" i="3"/>
  <c r="BF177" i="3"/>
  <c r="CS177" i="3"/>
  <c r="AR177" i="3"/>
  <c r="AS177" i="3" s="1"/>
  <c r="BK177" i="3"/>
  <c r="CT177" i="3"/>
  <c r="BH177" i="3"/>
  <c r="AK201" i="3"/>
  <c r="AJ201" i="3"/>
  <c r="BG201" i="3"/>
  <c r="AL201" i="3"/>
  <c r="CB225" i="3"/>
  <c r="AI225" i="3"/>
  <c r="BQ225" i="3"/>
  <c r="Y297" i="3"/>
  <c r="U297" i="3"/>
  <c r="W297" i="3" s="1"/>
  <c r="AQ321" i="3"/>
  <c r="AW321" i="3"/>
  <c r="CH321" i="3"/>
  <c r="CQ321" i="3"/>
  <c r="CI321" i="3"/>
  <c r="CP321" i="3"/>
  <c r="R321" i="3"/>
  <c r="AB321" i="3" s="1"/>
  <c r="F345" i="3" a="1"/>
  <c r="H345" i="3" a="1"/>
  <c r="I345" i="3" a="1"/>
  <c r="J345" i="3" s="1"/>
  <c r="T345" i="3" s="1"/>
  <c r="L345" i="3" a="1"/>
  <c r="M345" i="3" a="1"/>
  <c r="O345" i="3" s="1"/>
  <c r="P345" i="3" a="1"/>
  <c r="Q345" i="3" s="1"/>
  <c r="V345" i="3" s="1"/>
  <c r="AZ345" i="3" a="1"/>
  <c r="BA345" i="3" a="1"/>
  <c r="BC345" i="3" a="1"/>
  <c r="BD345" i="3" a="1"/>
  <c r="BX345" i="3" a="1"/>
  <c r="D369" i="3"/>
  <c r="BO80" i="3"/>
  <c r="BS80" i="3"/>
  <c r="BV80" i="3"/>
  <c r="BU80" i="3"/>
  <c r="BW104" i="3"/>
  <c r="BY104" i="3" s="1"/>
  <c r="CO104" i="3"/>
  <c r="BO128" i="3"/>
  <c r="BS128" i="3"/>
  <c r="BV128" i="3"/>
  <c r="BU128" i="3"/>
  <c r="BL152" i="3"/>
  <c r="BN152" i="3" s="1"/>
  <c r="BP152" i="3"/>
  <c r="BT152" i="3" s="1"/>
  <c r="AK200" i="3"/>
  <c r="AJ200" i="3"/>
  <c r="BG200" i="3"/>
  <c r="AL200" i="3"/>
  <c r="CB224" i="3"/>
  <c r="AI224" i="3"/>
  <c r="BQ224" i="3"/>
  <c r="Y296" i="3"/>
  <c r="U296" i="3"/>
  <c r="W296" i="3" s="1"/>
  <c r="AQ320" i="3"/>
  <c r="AW320" i="3"/>
  <c r="CH320" i="3"/>
  <c r="CQ320" i="3"/>
  <c r="CI320" i="3"/>
  <c r="CP320" i="3"/>
  <c r="R320" i="3"/>
  <c r="AB320" i="3" s="1"/>
  <c r="F344" i="3" a="1"/>
  <c r="H344" i="3" a="1"/>
  <c r="I344" i="3" a="1"/>
  <c r="J344" i="3" s="1"/>
  <c r="T344" i="3" s="1"/>
  <c r="L344" i="3" a="1"/>
  <c r="M344" i="3" a="1"/>
  <c r="O344" i="3" s="1"/>
  <c r="P344" i="3" a="1"/>
  <c r="Q344" i="3" s="1"/>
  <c r="V344" i="3" s="1"/>
  <c r="AZ344" i="3" a="1"/>
  <c r="BA344" i="3" a="1"/>
  <c r="BC344" i="3" a="1"/>
  <c r="BD344" i="3" a="1"/>
  <c r="BX344" i="3" a="1"/>
  <c r="D368" i="3"/>
  <c r="BO79" i="3"/>
  <c r="BS79" i="3"/>
  <c r="BV79" i="3"/>
  <c r="BU79" i="3"/>
  <c r="BW103" i="3"/>
  <c r="BY103" i="3" s="1"/>
  <c r="CO103" i="3"/>
  <c r="BO127" i="3"/>
  <c r="BS127" i="3"/>
  <c r="BV127" i="3"/>
  <c r="BU127" i="3"/>
  <c r="BL151" i="3"/>
  <c r="BN151" i="3" s="1"/>
  <c r="BP151" i="3"/>
  <c r="BT151" i="3" s="1"/>
  <c r="BF175" i="3"/>
  <c r="CS175" i="3"/>
  <c r="AR175" i="3"/>
  <c r="AS175" i="3" s="1"/>
  <c r="BK175" i="3"/>
  <c r="CT175" i="3"/>
  <c r="BH175" i="3"/>
  <c r="CB223" i="3"/>
  <c r="AI223" i="3"/>
  <c r="BQ223" i="3"/>
  <c r="Y295" i="3"/>
  <c r="U295" i="3"/>
  <c r="W295" i="3" s="1"/>
  <c r="AQ319" i="3"/>
  <c r="AW319" i="3"/>
  <c r="CH319" i="3"/>
  <c r="CQ319" i="3"/>
  <c r="CI319" i="3"/>
  <c r="CP319" i="3"/>
  <c r="R319" i="3"/>
  <c r="AB319" i="3" s="1"/>
  <c r="F343" i="3" a="1"/>
  <c r="H343" i="3" a="1"/>
  <c r="I343" i="3" a="1"/>
  <c r="J343" i="3" s="1"/>
  <c r="T343" i="3" s="1"/>
  <c r="L343" i="3" a="1"/>
  <c r="M343" i="3" a="1"/>
  <c r="O343" i="3" s="1"/>
  <c r="P343" i="3" a="1"/>
  <c r="Q343" i="3" s="1"/>
  <c r="V343" i="3" s="1"/>
  <c r="AZ343" i="3" a="1"/>
  <c r="BA343" i="3" a="1"/>
  <c r="BC343" i="3" a="1"/>
  <c r="BD343" i="3" a="1"/>
  <c r="BX343" i="3" a="1"/>
  <c r="D367" i="3"/>
  <c r="BO78" i="3"/>
  <c r="BS78" i="3"/>
  <c r="BV78" i="3"/>
  <c r="BU78" i="3"/>
  <c r="BW102" i="3"/>
  <c r="BY102" i="3" s="1"/>
  <c r="CO102" i="3"/>
  <c r="BO126" i="3"/>
  <c r="BS126" i="3"/>
  <c r="BV126" i="3"/>
  <c r="BU126" i="3"/>
  <c r="BL150" i="3"/>
  <c r="BN150" i="3" s="1"/>
  <c r="BP150" i="3"/>
  <c r="BT150" i="3" s="1"/>
  <c r="AR174" i="3"/>
  <c r="AS174" i="3" s="1"/>
  <c r="CS174" i="3"/>
  <c r="BK174" i="3"/>
  <c r="BF174" i="3"/>
  <c r="CT174" i="3"/>
  <c r="BH174" i="3"/>
  <c r="AK198" i="3"/>
  <c r="BG198" i="3"/>
  <c r="AJ198" i="3"/>
  <c r="AL198" i="3"/>
  <c r="CB222" i="3"/>
  <c r="AI222" i="3"/>
  <c r="BQ222" i="3"/>
  <c r="Y294" i="3"/>
  <c r="U294" i="3"/>
  <c r="W294" i="3" s="1"/>
  <c r="AQ318" i="3"/>
  <c r="AW318" i="3"/>
  <c r="CH318" i="3"/>
  <c r="CQ318" i="3"/>
  <c r="CI318" i="3"/>
  <c r="CP318" i="3"/>
  <c r="R318" i="3"/>
  <c r="AB318" i="3" s="1"/>
  <c r="F342" i="3" a="1"/>
  <c r="H342" i="3" a="1"/>
  <c r="I342" i="3" a="1"/>
  <c r="J342" i="3" s="1"/>
  <c r="T342" i="3" s="1"/>
  <c r="L342" i="3" a="1"/>
  <c r="M342" i="3" a="1"/>
  <c r="O342" i="3" s="1"/>
  <c r="P342" i="3" a="1"/>
  <c r="Q342" i="3" s="1"/>
  <c r="V342" i="3" s="1"/>
  <c r="AZ342" i="3" a="1"/>
  <c r="BA342" i="3" a="1"/>
  <c r="BC342" i="3" a="1"/>
  <c r="BD342" i="3" a="1"/>
  <c r="BX342" i="3" a="1"/>
  <c r="D366" i="3"/>
  <c r="BO77" i="3"/>
  <c r="BS77" i="3"/>
  <c r="BV77" i="3"/>
  <c r="BU77" i="3"/>
  <c r="BW101" i="3"/>
  <c r="BY101" i="3" s="1"/>
  <c r="CO101" i="3"/>
  <c r="BO125" i="3"/>
  <c r="BS125" i="3"/>
  <c r="BV125" i="3"/>
  <c r="BU125" i="3"/>
  <c r="BL149" i="3"/>
  <c r="BN149" i="3" s="1"/>
  <c r="BP149" i="3"/>
  <c r="BT149" i="3" s="1"/>
  <c r="BG197" i="3"/>
  <c r="AJ197" i="3"/>
  <c r="AK197" i="3"/>
  <c r="AL197" i="3"/>
  <c r="CB221" i="3"/>
  <c r="AI221" i="3"/>
  <c r="BQ221" i="3"/>
  <c r="Y293" i="3"/>
  <c r="U293" i="3"/>
  <c r="W293" i="3" s="1"/>
  <c r="AQ317" i="3"/>
  <c r="AW317" i="3"/>
  <c r="CH317" i="3"/>
  <c r="CQ317" i="3"/>
  <c r="CI317" i="3"/>
  <c r="CP317" i="3"/>
  <c r="R317" i="3"/>
  <c r="AB317" i="3" s="1"/>
  <c r="F341" i="3" a="1"/>
  <c r="H341" i="3" a="1"/>
  <c r="I341" i="3" a="1"/>
  <c r="J341" i="3" s="1"/>
  <c r="T341" i="3" s="1"/>
  <c r="L341" i="3" a="1"/>
  <c r="M341" i="3" a="1"/>
  <c r="O341" i="3" s="1"/>
  <c r="P341" i="3" a="1"/>
  <c r="Q341" i="3" s="1"/>
  <c r="V341" i="3" s="1"/>
  <c r="AZ341" i="3" a="1"/>
  <c r="BA341" i="3" a="1"/>
  <c r="BC341" i="3" a="1"/>
  <c r="BD341" i="3" a="1"/>
  <c r="BX341" i="3" a="1"/>
  <c r="D365" i="3"/>
  <c r="CS173" i="3"/>
  <c r="AR173" i="3"/>
  <c r="AS173" i="3" s="1"/>
  <c r="BK173" i="3"/>
  <c r="BF173" i="3"/>
  <c r="CT173" i="3"/>
  <c r="BH173" i="3"/>
  <c r="BO76" i="3"/>
  <c r="BS76" i="3"/>
  <c r="BV76" i="3"/>
  <c r="BU76" i="3"/>
  <c r="BW100" i="3"/>
  <c r="BY100" i="3" s="1"/>
  <c r="CO100" i="3"/>
  <c r="BO124" i="3"/>
  <c r="BS124" i="3"/>
  <c r="BV124" i="3"/>
  <c r="BU124" i="3"/>
  <c r="BL148" i="3"/>
  <c r="BN148" i="3" s="1"/>
  <c r="BP148" i="3"/>
  <c r="BT148" i="3" s="1"/>
  <c r="BF172" i="3"/>
  <c r="CS172" i="3"/>
  <c r="AR172" i="3"/>
  <c r="AS172" i="3" s="1"/>
  <c r="BK172" i="3"/>
  <c r="CT172" i="3"/>
  <c r="BH172" i="3"/>
  <c r="BG196" i="3"/>
  <c r="AJ196" i="3"/>
  <c r="AK196" i="3"/>
  <c r="AL196" i="3"/>
  <c r="CB220" i="3"/>
  <c r="AI220" i="3"/>
  <c r="BQ220" i="3"/>
  <c r="Y292" i="3"/>
  <c r="U292" i="3"/>
  <c r="W292" i="3" s="1"/>
  <c r="AQ316" i="3"/>
  <c r="AW316" i="3"/>
  <c r="CH316" i="3"/>
  <c r="CQ316" i="3"/>
  <c r="CI316" i="3"/>
  <c r="CP316" i="3"/>
  <c r="R316" i="3"/>
  <c r="AB316" i="3" s="1"/>
  <c r="F340" i="3" a="1"/>
  <c r="H340" i="3" a="1"/>
  <c r="I340" i="3" a="1"/>
  <c r="J340" i="3" s="1"/>
  <c r="T340" i="3" s="1"/>
  <c r="L340" i="3" a="1"/>
  <c r="M340" i="3" a="1"/>
  <c r="O340" i="3" s="1"/>
  <c r="P340" i="3" a="1"/>
  <c r="Q340" i="3" s="1"/>
  <c r="V340" i="3" s="1"/>
  <c r="AZ340" i="3" a="1"/>
  <c r="BA340" i="3" a="1"/>
  <c r="BC340" i="3" a="1"/>
  <c r="BD340" i="3" a="1"/>
  <c r="BX340" i="3" a="1"/>
  <c r="D364" i="3"/>
  <c r="BO75" i="3"/>
  <c r="BS75" i="3"/>
  <c r="BV75" i="3"/>
  <c r="BU75" i="3"/>
  <c r="BW99" i="3"/>
  <c r="BY99" i="3" s="1"/>
  <c r="CO99" i="3"/>
  <c r="BO123" i="3"/>
  <c r="BS123" i="3"/>
  <c r="BV123" i="3"/>
  <c r="BU123" i="3"/>
  <c r="BL147" i="3"/>
  <c r="BN147" i="3" s="1"/>
  <c r="BP147" i="3"/>
  <c r="BT147" i="3" s="1"/>
  <c r="BF171" i="3"/>
  <c r="AR171" i="3"/>
  <c r="AS171" i="3" s="1"/>
  <c r="CS171" i="3"/>
  <c r="BK171" i="3"/>
  <c r="CT171" i="3"/>
  <c r="BH171" i="3"/>
  <c r="BG195" i="3"/>
  <c r="AJ195" i="3"/>
  <c r="AK195" i="3"/>
  <c r="AL195" i="3"/>
  <c r="CB219" i="3"/>
  <c r="AI219" i="3"/>
  <c r="BQ219" i="3"/>
  <c r="Y291" i="3"/>
  <c r="U291" i="3"/>
  <c r="W291" i="3" s="1"/>
  <c r="AQ315" i="3"/>
  <c r="AW315" i="3"/>
  <c r="CH315" i="3"/>
  <c r="CQ315" i="3"/>
  <c r="CI315" i="3"/>
  <c r="CP315" i="3"/>
  <c r="R315" i="3"/>
  <c r="AB315" i="3" s="1"/>
  <c r="F339" i="3" a="1"/>
  <c r="H339" i="3" a="1"/>
  <c r="I339" i="3" a="1"/>
  <c r="J339" i="3" s="1"/>
  <c r="T339" i="3" s="1"/>
  <c r="L339" i="3" a="1"/>
  <c r="M339" i="3" a="1"/>
  <c r="O339" i="3" s="1"/>
  <c r="P339" i="3" a="1"/>
  <c r="Q339" i="3" s="1"/>
  <c r="V339" i="3" s="1"/>
  <c r="AZ339" i="3" a="1"/>
  <c r="BA339" i="3" a="1"/>
  <c r="BC339" i="3" a="1"/>
  <c r="BD339" i="3" a="1"/>
  <c r="BX339" i="3" a="1"/>
  <c r="D363" i="3"/>
  <c r="BO74" i="3"/>
  <c r="BS74" i="3"/>
  <c r="BV74" i="3"/>
  <c r="BU74" i="3"/>
  <c r="BW98" i="3"/>
  <c r="BY98" i="3" s="1"/>
  <c r="CO98" i="3"/>
  <c r="BV122" i="3"/>
  <c r="BU122" i="3"/>
  <c r="BG194" i="3"/>
  <c r="AK194" i="3"/>
  <c r="AJ194" i="3"/>
  <c r="AL194" i="3"/>
  <c r="CB218" i="3"/>
  <c r="AI218" i="3"/>
  <c r="BQ218" i="3"/>
  <c r="Y290" i="3"/>
  <c r="U290" i="3"/>
  <c r="W290" i="3" s="1"/>
  <c r="AQ314" i="3"/>
  <c r="AW314" i="3"/>
  <c r="CH314" i="3"/>
  <c r="CQ314" i="3"/>
  <c r="CI314" i="3"/>
  <c r="CP314" i="3"/>
  <c r="R314" i="3"/>
  <c r="AB314" i="3" s="1"/>
  <c r="F338" i="3" a="1"/>
  <c r="H338" i="3" a="1"/>
  <c r="I338" i="3" a="1"/>
  <c r="J338" i="3" s="1"/>
  <c r="T338" i="3" s="1"/>
  <c r="L338" i="3" a="1"/>
  <c r="M338" i="3" a="1"/>
  <c r="O338" i="3" s="1"/>
  <c r="P338" i="3" a="1"/>
  <c r="Q338" i="3" s="1"/>
  <c r="V338" i="3" s="1"/>
  <c r="AZ338" i="3" a="1"/>
  <c r="BA338" i="3" a="1"/>
  <c r="BC338" i="3" a="1"/>
  <c r="BD338" i="3" a="1"/>
  <c r="BX338" i="3" a="1"/>
  <c r="D362" i="3"/>
  <c r="BO73" i="3"/>
  <c r="BS73" i="3"/>
  <c r="BV73" i="3"/>
  <c r="BU73" i="3"/>
  <c r="BW97" i="3"/>
  <c r="BY97" i="3" s="1"/>
  <c r="CO97" i="3"/>
  <c r="BO121" i="3"/>
  <c r="BS121" i="3"/>
  <c r="BV121" i="3"/>
  <c r="BU121" i="3"/>
  <c r="BL145" i="3"/>
  <c r="BN145" i="3" s="1"/>
  <c r="BP145" i="3"/>
  <c r="BT145" i="3" s="1"/>
  <c r="CB217" i="3"/>
  <c r="AI217" i="3"/>
  <c r="BQ217" i="3"/>
  <c r="Y289" i="3"/>
  <c r="U289" i="3"/>
  <c r="W289" i="3" s="1"/>
  <c r="AQ313" i="3"/>
  <c r="AW313" i="3"/>
  <c r="CH313" i="3"/>
  <c r="CQ313" i="3"/>
  <c r="CI313" i="3"/>
  <c r="CP313" i="3"/>
  <c r="R313" i="3"/>
  <c r="AB313" i="3" s="1"/>
  <c r="F337" i="3" a="1"/>
  <c r="H337" i="3" a="1"/>
  <c r="I337" i="3" a="1"/>
  <c r="J337" i="3" s="1"/>
  <c r="T337" i="3" s="1"/>
  <c r="L337" i="3" a="1"/>
  <c r="M337" i="3" a="1"/>
  <c r="O337" i="3" s="1"/>
  <c r="P337" i="3" a="1"/>
  <c r="Q337" i="3" s="1"/>
  <c r="V337" i="3" s="1"/>
  <c r="AZ337" i="3" a="1"/>
  <c r="BA337" i="3" a="1"/>
  <c r="BC337" i="3" a="1"/>
  <c r="BD337" i="3" a="1"/>
  <c r="BX337" i="3" a="1"/>
  <c r="D361" i="3"/>
  <c r="BF169" i="3"/>
  <c r="CS169" i="3"/>
  <c r="AR169" i="3"/>
  <c r="AS169" i="3" s="1"/>
  <c r="BK169" i="3"/>
  <c r="CT169" i="3"/>
  <c r="BH169" i="3"/>
  <c r="BO72" i="3"/>
  <c r="BS72" i="3"/>
  <c r="BV72" i="3"/>
  <c r="BU72" i="3"/>
  <c r="BW96" i="3"/>
  <c r="BY96" i="3" s="1"/>
  <c r="CO96" i="3"/>
  <c r="BO120" i="3"/>
  <c r="BS120" i="3"/>
  <c r="BV120" i="3"/>
  <c r="BU120" i="3"/>
  <c r="BF168" i="3"/>
  <c r="CS168" i="3"/>
  <c r="AR168" i="3"/>
  <c r="AS168" i="3" s="1"/>
  <c r="BK168" i="3"/>
  <c r="CT168" i="3"/>
  <c r="BH168" i="3"/>
  <c r="BG192" i="3"/>
  <c r="AK192" i="3"/>
  <c r="AJ192" i="3"/>
  <c r="AL192" i="3"/>
  <c r="CB216" i="3"/>
  <c r="AI216" i="3"/>
  <c r="BQ216" i="3"/>
  <c r="Y288" i="3"/>
  <c r="U288" i="3"/>
  <c r="W288" i="3" s="1"/>
  <c r="AQ312" i="3"/>
  <c r="AW312" i="3"/>
  <c r="CH312" i="3"/>
  <c r="CQ312" i="3"/>
  <c r="CI312" i="3"/>
  <c r="CP312" i="3"/>
  <c r="R312" i="3"/>
  <c r="AB312" i="3" s="1"/>
  <c r="F336" i="3" a="1"/>
  <c r="H336" i="3" a="1"/>
  <c r="I336" i="3" a="1"/>
  <c r="J336" i="3" s="1"/>
  <c r="T336" i="3" s="1"/>
  <c r="L336" i="3" a="1"/>
  <c r="M336" i="3" a="1"/>
  <c r="O336" i="3" s="1"/>
  <c r="P336" i="3" a="1"/>
  <c r="Q336" i="3" s="1"/>
  <c r="V336" i="3" s="1"/>
  <c r="AZ336" i="3" a="1"/>
  <c r="BA336" i="3" a="1"/>
  <c r="BC336" i="3" a="1"/>
  <c r="BD336" i="3" a="1"/>
  <c r="BX336" i="3" a="1"/>
  <c r="D360" i="3"/>
  <c r="BL21" i="3"/>
  <c r="BP21" i="3"/>
  <c r="AS21" i="3"/>
  <c r="BX107" i="3" a="1"/>
  <c r="H195" i="4"/>
  <c r="AB194" i="4"/>
  <c r="AA194" i="4" s="1"/>
  <c r="S14" i="4"/>
  <c r="B31" i="13"/>
  <c r="B57" i="13"/>
  <c r="B85" i="13"/>
  <c r="T13" i="4"/>
  <c r="B30" i="19"/>
  <c r="B356" i="3" a="1"/>
  <c r="CE356" i="3" a="1"/>
  <c r="C30" i="13"/>
  <c r="C56" i="13"/>
  <c r="C84" i="13"/>
  <c r="R321" i="4"/>
  <c r="C29" i="19"/>
  <c r="BV71" i="3"/>
  <c r="BU71" i="3"/>
  <c r="BO71" i="3"/>
  <c r="BS71" i="3"/>
  <c r="AJ70" i="3"/>
  <c r="BG70" i="3"/>
  <c r="AK70" i="3"/>
  <c r="AL70" i="3"/>
  <c r="BW95" i="3"/>
  <c r="BY95" i="3" s="1"/>
  <c r="CO95" i="3"/>
  <c r="BZ47" i="3"/>
  <c r="CM47" i="3"/>
  <c r="CK47" i="3"/>
  <c r="CL47" i="3"/>
  <c r="CJ47" i="3"/>
  <c r="AN47" i="3"/>
  <c r="BJ47" i="3" s="1"/>
  <c r="CA47" i="3"/>
  <c r="AM47" i="3"/>
  <c r="BI47" i="3" s="1"/>
  <c r="BV119" i="3"/>
  <c r="BU119" i="3"/>
  <c r="BO119" i="3"/>
  <c r="BS119" i="3"/>
  <c r="BV118" i="3"/>
  <c r="BU118" i="3"/>
  <c r="BO118" i="3"/>
  <c r="BS118" i="3"/>
  <c r="BW45" i="3"/>
  <c r="BY45" i="3" s="1"/>
  <c r="CO45" i="3"/>
  <c r="BP143" i="3"/>
  <c r="BT143" i="3" s="1"/>
  <c r="BL143" i="3"/>
  <c r="BN143" i="3" s="1"/>
  <c r="CS167" i="3"/>
  <c r="AR167" i="3"/>
  <c r="AS167" i="3" s="1"/>
  <c r="BK167" i="3"/>
  <c r="BF167" i="3"/>
  <c r="CT167" i="3"/>
  <c r="BH167" i="3"/>
  <c r="CS166" i="3"/>
  <c r="AR166" i="3"/>
  <c r="AS166" i="3" s="1"/>
  <c r="BK166" i="3"/>
  <c r="BF166" i="3"/>
  <c r="CT166" i="3"/>
  <c r="BH166" i="3"/>
  <c r="BL139" i="3"/>
  <c r="BN139" i="3" s="1"/>
  <c r="BP139" i="3"/>
  <c r="BT139" i="3" s="1"/>
  <c r="BG191" i="3"/>
  <c r="AK191" i="3"/>
  <c r="AJ191" i="3"/>
  <c r="AL191" i="3"/>
  <c r="BG190" i="3"/>
  <c r="AJ190" i="3"/>
  <c r="AK190" i="3"/>
  <c r="AL190" i="3"/>
  <c r="BF117" i="3"/>
  <c r="CS117" i="3"/>
  <c r="AR117" i="3"/>
  <c r="AS117" i="3" s="1"/>
  <c r="BK117" i="3"/>
  <c r="CT117" i="3"/>
  <c r="BH117" i="3"/>
  <c r="CB215" i="3"/>
  <c r="AI215" i="3"/>
  <c r="BQ215" i="3"/>
  <c r="CB214" i="3"/>
  <c r="AI214" i="3"/>
  <c r="BQ214" i="3"/>
  <c r="CS94" i="3"/>
  <c r="AR94" i="3"/>
  <c r="AS94" i="3" s="1"/>
  <c r="BK94" i="3"/>
  <c r="BF94" i="3"/>
  <c r="CT94" i="3"/>
  <c r="BH94" i="3"/>
  <c r="CB189" i="3"/>
  <c r="AI189" i="3"/>
  <c r="BQ189" i="3"/>
  <c r="BG141" i="3"/>
  <c r="AK141" i="3"/>
  <c r="AJ141" i="3"/>
  <c r="AL141" i="3"/>
  <c r="AF165" i="3"/>
  <c r="AG165" i="3" s="1"/>
  <c r="Y287" i="3"/>
  <c r="U287" i="3"/>
  <c r="W287" i="3" s="1"/>
  <c r="Y286" i="3"/>
  <c r="U286" i="3"/>
  <c r="W286" i="3" s="1"/>
  <c r="Y261" i="3"/>
  <c r="U261" i="3"/>
  <c r="W261" i="3" s="1"/>
  <c r="CQ311" i="3"/>
  <c r="CH311" i="3"/>
  <c r="AW311" i="3"/>
  <c r="AQ311" i="3"/>
  <c r="CP311" i="3"/>
  <c r="CI311" i="3"/>
  <c r="R311" i="3"/>
  <c r="AB311" i="3" s="1"/>
  <c r="CP310" i="3"/>
  <c r="CI310" i="3"/>
  <c r="R310" i="3"/>
  <c r="AB310" i="3" s="1"/>
  <c r="CQ309" i="3"/>
  <c r="CH309" i="3"/>
  <c r="AW309" i="3"/>
  <c r="AQ309" i="3"/>
  <c r="CP309" i="3"/>
  <c r="CI309" i="3"/>
  <c r="T285" i="3"/>
  <c r="R285" i="3"/>
  <c r="AB285" i="3" s="1"/>
  <c r="V285" i="3"/>
  <c r="H335" i="3" a="1"/>
  <c r="I335" i="3" a="1"/>
  <c r="J335" i="3" s="1"/>
  <c r="T335" i="3" s="1"/>
  <c r="L335" i="3" a="1"/>
  <c r="M335" i="3" a="1"/>
  <c r="O335" i="3" s="1"/>
  <c r="P335" i="3" a="1"/>
  <c r="Q335" i="3" s="1"/>
  <c r="V335" i="3" s="1"/>
  <c r="AZ335" i="3" a="1"/>
  <c r="BA335" i="3" a="1"/>
  <c r="BC335" i="3" a="1"/>
  <c r="BD335" i="3" a="1"/>
  <c r="BX335" i="3" a="1"/>
  <c r="H334" i="3" a="1"/>
  <c r="I334" i="3" a="1"/>
  <c r="J334" i="3" s="1"/>
  <c r="T334" i="3" s="1"/>
  <c r="L334" i="3" a="1"/>
  <c r="M334" i="3" a="1"/>
  <c r="O334" i="3" s="1"/>
  <c r="P334" i="3" a="1"/>
  <c r="Q334" i="3" s="1"/>
  <c r="V334" i="3" s="1"/>
  <c r="AZ334" i="3" a="1"/>
  <c r="BA334" i="3" a="1"/>
  <c r="BC334" i="3" a="1"/>
  <c r="BD334" i="3" a="1"/>
  <c r="BX334" i="3" a="1"/>
  <c r="BA333" i="3" a="1"/>
  <c r="BC333" i="3" a="1"/>
  <c r="BD333" i="3" a="1"/>
  <c r="BX333" i="3" a="1"/>
  <c r="H333" i="3" a="1"/>
  <c r="I333" i="3" a="1"/>
  <c r="L333" i="3" a="1"/>
  <c r="M333" i="3" a="1"/>
  <c r="P333" i="3" a="1"/>
  <c r="AZ333" i="3" a="1"/>
  <c r="J309" i="3"/>
  <c r="O309" i="3"/>
  <c r="Q309" i="3"/>
  <c r="Z307" i="3" l="1"/>
  <c r="AC307" i="3" s="1"/>
  <c r="AD307" i="3" s="1"/>
  <c r="CR271" i="3"/>
  <c r="BR271" i="3"/>
  <c r="AA271" i="3"/>
  <c r="AE271" i="3" s="1"/>
  <c r="AF271" i="3" s="1"/>
  <c r="AG271" i="3" s="1"/>
  <c r="AH271" i="3" s="1"/>
  <c r="Z296" i="3"/>
  <c r="AC296" i="3" s="1"/>
  <c r="AD296" i="3" s="1"/>
  <c r="Z308" i="3"/>
  <c r="AC308" i="3" s="1"/>
  <c r="AD308" i="3" s="1"/>
  <c r="CR277" i="3"/>
  <c r="BR277" i="3"/>
  <c r="AA277" i="3"/>
  <c r="AE277" i="3" s="1"/>
  <c r="AF277" i="3" s="1"/>
  <c r="AG277" i="3" s="1"/>
  <c r="AH277" i="3" s="1"/>
  <c r="CR269" i="3"/>
  <c r="BR269" i="3"/>
  <c r="AA269" i="3"/>
  <c r="AE269" i="3" s="1"/>
  <c r="AF269" i="3" s="1"/>
  <c r="AG269" i="3" s="1"/>
  <c r="AH269" i="3" s="1"/>
  <c r="CR279" i="3"/>
  <c r="BR279" i="3"/>
  <c r="AA279" i="3"/>
  <c r="AE279" i="3" s="1"/>
  <c r="AF279" i="3" s="1"/>
  <c r="AG279" i="3" s="1"/>
  <c r="AH279" i="3" s="1"/>
  <c r="CR278" i="3"/>
  <c r="BR278" i="3"/>
  <c r="AA278" i="3"/>
  <c r="AE278" i="3" s="1"/>
  <c r="AF278" i="3" s="1"/>
  <c r="AG278" i="3" s="1"/>
  <c r="AH278" i="3" s="1"/>
  <c r="BO135" i="3"/>
  <c r="BS135" i="3"/>
  <c r="Z294" i="3"/>
  <c r="AC294" i="3" s="1"/>
  <c r="AD294" i="3" s="1"/>
  <c r="BO136" i="3"/>
  <c r="BS136" i="3"/>
  <c r="CR282" i="3"/>
  <c r="BR282" i="3"/>
  <c r="AA282" i="3"/>
  <c r="AE282" i="3" s="1"/>
  <c r="AF282" i="3" s="1"/>
  <c r="AG282" i="3" s="1"/>
  <c r="AH282" i="3" s="1"/>
  <c r="BN146" i="3"/>
  <c r="Z288" i="3"/>
  <c r="AC288" i="3" s="1"/>
  <c r="AD288" i="3" s="1"/>
  <c r="Z290" i="3"/>
  <c r="AC290" i="3" s="1"/>
  <c r="AD290" i="3" s="1"/>
  <c r="Z293" i="3"/>
  <c r="AC293" i="3" s="1"/>
  <c r="AD293" i="3" s="1"/>
  <c r="Z292" i="3"/>
  <c r="AC292" i="3" s="1"/>
  <c r="AD292" i="3" s="1"/>
  <c r="BO122" i="3"/>
  <c r="BS122" i="3"/>
  <c r="BG199" i="3"/>
  <c r="AK199" i="3"/>
  <c r="BF199" i="3" s="1"/>
  <c r="AJ199" i="3"/>
  <c r="AL199" i="3"/>
  <c r="BO129" i="3"/>
  <c r="BS129" i="3"/>
  <c r="CR262" i="3"/>
  <c r="BR262" i="3"/>
  <c r="AA262" i="3"/>
  <c r="AE262" i="3" s="1"/>
  <c r="AF262" i="3" s="1"/>
  <c r="AG262" i="3" s="1"/>
  <c r="AH262" i="3" s="1"/>
  <c r="CR267" i="3"/>
  <c r="BR267" i="3"/>
  <c r="AA267" i="3"/>
  <c r="AE267" i="3" s="1"/>
  <c r="AF267" i="3" s="1"/>
  <c r="AG267" i="3" s="1"/>
  <c r="AH267" i="3" s="1"/>
  <c r="BN153" i="3"/>
  <c r="Z305" i="3"/>
  <c r="AC305" i="3" s="1"/>
  <c r="AD305" i="3" s="1"/>
  <c r="Z301" i="3"/>
  <c r="AC301" i="3" s="1"/>
  <c r="AD301" i="3" s="1"/>
  <c r="Z298" i="3"/>
  <c r="AC298" i="3" s="1"/>
  <c r="AD298" i="3" s="1"/>
  <c r="Z287" i="3"/>
  <c r="AC287" i="3" s="1"/>
  <c r="AD287" i="3" s="1"/>
  <c r="Z295" i="3"/>
  <c r="AC295" i="3" s="1"/>
  <c r="AD295" i="3" s="1"/>
  <c r="Z261" i="3"/>
  <c r="AC261" i="3" s="1"/>
  <c r="AD261" i="3" s="1"/>
  <c r="Z302" i="3"/>
  <c r="AC302" i="3" s="1"/>
  <c r="AD302" i="3" s="1"/>
  <c r="CR274" i="3"/>
  <c r="AA274" i="3"/>
  <c r="AE274" i="3" s="1"/>
  <c r="AF274" i="3" s="1"/>
  <c r="AG274" i="3" s="1"/>
  <c r="AH274" i="3" s="1"/>
  <c r="BR274" i="3"/>
  <c r="CR272" i="3"/>
  <c r="AA272" i="3"/>
  <c r="AE272" i="3" s="1"/>
  <c r="AF272" i="3" s="1"/>
  <c r="AG272" i="3" s="1"/>
  <c r="AH272" i="3" s="1"/>
  <c r="BR272" i="3"/>
  <c r="CR270" i="3"/>
  <c r="BR270" i="3"/>
  <c r="AA270" i="3"/>
  <c r="AE270" i="3" s="1"/>
  <c r="AF270" i="3" s="1"/>
  <c r="AG270" i="3" s="1"/>
  <c r="AH270" i="3" s="1"/>
  <c r="AK204" i="3"/>
  <c r="BF204" i="3" s="1"/>
  <c r="AJ204" i="3"/>
  <c r="BG204" i="3"/>
  <c r="AL204" i="3"/>
  <c r="CR283" i="3"/>
  <c r="BR283" i="3"/>
  <c r="AA283" i="3"/>
  <c r="AE283" i="3" s="1"/>
  <c r="AF283" i="3" s="1"/>
  <c r="AG283" i="3" s="1"/>
  <c r="AH283" i="3" s="1"/>
  <c r="CR268" i="3"/>
  <c r="BR268" i="3"/>
  <c r="AA268" i="3"/>
  <c r="AE268" i="3" s="1"/>
  <c r="AF268" i="3" s="1"/>
  <c r="AG268" i="3" s="1"/>
  <c r="AH268" i="3" s="1"/>
  <c r="CS176" i="3"/>
  <c r="AR176" i="3"/>
  <c r="AS176" i="3" s="1"/>
  <c r="BK176" i="3"/>
  <c r="BL176" i="3" s="1"/>
  <c r="CT176" i="3"/>
  <c r="BH176" i="3"/>
  <c r="BP176" i="3" s="1"/>
  <c r="BT176" i="3" s="1"/>
  <c r="CR273" i="3"/>
  <c r="BR273" i="3"/>
  <c r="AA273" i="3"/>
  <c r="AE273" i="3" s="1"/>
  <c r="AF273" i="3" s="1"/>
  <c r="AG273" i="3" s="1"/>
  <c r="AH273" i="3" s="1"/>
  <c r="Z306" i="3"/>
  <c r="AC306" i="3" s="1"/>
  <c r="AD306" i="3" s="1"/>
  <c r="Z289" i="3"/>
  <c r="AC289" i="3" s="1"/>
  <c r="AD289" i="3" s="1"/>
  <c r="Z297" i="3"/>
  <c r="AC297" i="3" s="1"/>
  <c r="AD297" i="3" s="1"/>
  <c r="Z300" i="3"/>
  <c r="AC300" i="3" s="1"/>
  <c r="AD300" i="3" s="1"/>
  <c r="Z304" i="3"/>
  <c r="AC304" i="3" s="1"/>
  <c r="AD304" i="3" s="1"/>
  <c r="CR275" i="3"/>
  <c r="BR275" i="3"/>
  <c r="AA275" i="3"/>
  <c r="AE275" i="3" s="1"/>
  <c r="AF275" i="3" s="1"/>
  <c r="AG275" i="3" s="1"/>
  <c r="AH275" i="3" s="1"/>
  <c r="CR284" i="3"/>
  <c r="BR284" i="3"/>
  <c r="AA284" i="3"/>
  <c r="AE284" i="3" s="1"/>
  <c r="AF284" i="3" s="1"/>
  <c r="AG284" i="3" s="1"/>
  <c r="AH284" i="3" s="1"/>
  <c r="BN142" i="3"/>
  <c r="BO137" i="3"/>
  <c r="BS137" i="3"/>
  <c r="BG193" i="3"/>
  <c r="AK193" i="3"/>
  <c r="BF193" i="3" s="1"/>
  <c r="AJ193" i="3"/>
  <c r="AL193" i="3"/>
  <c r="AF245" i="3"/>
  <c r="AG245" i="3" s="1"/>
  <c r="AH245" i="3" s="1"/>
  <c r="AR170" i="3"/>
  <c r="AS170" i="3" s="1"/>
  <c r="CS170" i="3"/>
  <c r="BK170" i="3"/>
  <c r="BL170" i="3" s="1"/>
  <c r="CT170" i="3"/>
  <c r="BH170" i="3"/>
  <c r="BP170" i="3" s="1"/>
  <c r="BT170" i="3" s="1"/>
  <c r="CR276" i="3"/>
  <c r="BR276" i="3"/>
  <c r="AA276" i="3"/>
  <c r="AE276" i="3" s="1"/>
  <c r="AF276" i="3" s="1"/>
  <c r="AG276" i="3" s="1"/>
  <c r="AH276" i="3" s="1"/>
  <c r="CR266" i="3"/>
  <c r="BR266" i="3"/>
  <c r="AA266" i="3"/>
  <c r="AE266" i="3" s="1"/>
  <c r="AF266" i="3" s="1"/>
  <c r="AG266" i="3" s="1"/>
  <c r="AH266" i="3" s="1"/>
  <c r="CR265" i="3"/>
  <c r="BR265" i="3"/>
  <c r="AA265" i="3"/>
  <c r="AE265" i="3" s="1"/>
  <c r="CR263" i="3"/>
  <c r="BR263" i="3"/>
  <c r="AA263" i="3"/>
  <c r="AE263" i="3" s="1"/>
  <c r="CR264" i="3"/>
  <c r="BR264" i="3"/>
  <c r="AA264" i="3"/>
  <c r="AE264" i="3" s="1"/>
  <c r="CR237" i="3"/>
  <c r="BR237" i="3"/>
  <c r="AA237" i="3"/>
  <c r="AE237" i="3" s="1"/>
  <c r="CR281" i="3"/>
  <c r="BR281" i="3"/>
  <c r="AA281" i="3"/>
  <c r="AE281" i="3" s="1"/>
  <c r="AF281" i="3" s="1"/>
  <c r="AG281" i="3" s="1"/>
  <c r="AH281" i="3" s="1"/>
  <c r="Z286" i="3"/>
  <c r="AC286" i="3" s="1"/>
  <c r="AD286" i="3" s="1"/>
  <c r="Z303" i="3"/>
  <c r="AC303" i="3" s="1"/>
  <c r="AD303" i="3" s="1"/>
  <c r="Z299" i="3"/>
  <c r="AC299" i="3" s="1"/>
  <c r="AD299" i="3" s="1"/>
  <c r="CR280" i="3"/>
  <c r="BR280" i="3"/>
  <c r="AA280" i="3"/>
  <c r="AE280" i="3" s="1"/>
  <c r="AF258" i="3"/>
  <c r="AG258" i="3" s="1"/>
  <c r="AH258" i="3" s="1"/>
  <c r="CD452" i="3"/>
  <c r="C476" i="3"/>
  <c r="G428" i="3" a="1"/>
  <c r="BB428" i="3" a="1"/>
  <c r="E452" i="3"/>
  <c r="CC452" i="3"/>
  <c r="A476" i="3"/>
  <c r="CD427" i="3"/>
  <c r="C451" i="3"/>
  <c r="G403" i="3" a="1"/>
  <c r="BB403" i="3" a="1"/>
  <c r="CE403" i="3" a="1"/>
  <c r="B403" i="3" a="1"/>
  <c r="E427" i="3"/>
  <c r="CC427" i="3"/>
  <c r="A451" i="3"/>
  <c r="CD426" i="3"/>
  <c r="C450" i="3"/>
  <c r="G402" i="3" a="1"/>
  <c r="BB402" i="3" a="1"/>
  <c r="CE402" i="3" a="1"/>
  <c r="B402" i="3" a="1"/>
  <c r="E426" i="3"/>
  <c r="CC426" i="3"/>
  <c r="A450" i="3"/>
  <c r="CD425" i="3"/>
  <c r="C449" i="3"/>
  <c r="G401" i="3" a="1"/>
  <c r="BB401" i="3" a="1"/>
  <c r="CE401" i="3" a="1"/>
  <c r="B401" i="3" a="1"/>
  <c r="E425" i="3"/>
  <c r="CC425" i="3"/>
  <c r="A449" i="3"/>
  <c r="CD424" i="3"/>
  <c r="C448" i="3"/>
  <c r="G400" i="3" a="1"/>
  <c r="BB400" i="3" a="1"/>
  <c r="CE400" i="3" a="1"/>
  <c r="B400" i="3" a="1"/>
  <c r="E424" i="3"/>
  <c r="CC424" i="3"/>
  <c r="A448" i="3"/>
  <c r="CD423" i="3"/>
  <c r="C447" i="3"/>
  <c r="G399" i="3" a="1"/>
  <c r="BB399" i="3" a="1"/>
  <c r="CE399" i="3" a="1"/>
  <c r="B399" i="3" a="1"/>
  <c r="E423" i="3"/>
  <c r="CC423" i="3"/>
  <c r="A447" i="3"/>
  <c r="CD422" i="3"/>
  <c r="C446" i="3"/>
  <c r="G398" i="3" a="1"/>
  <c r="BB398" i="3" a="1"/>
  <c r="CE398" i="3" a="1"/>
  <c r="B398" i="3" a="1"/>
  <c r="E422" i="3"/>
  <c r="CC422" i="3"/>
  <c r="A446" i="3"/>
  <c r="CD421" i="3"/>
  <c r="C445" i="3"/>
  <c r="G397" i="3" a="1"/>
  <c r="BB397" i="3" a="1"/>
  <c r="CE397" i="3" a="1"/>
  <c r="B397" i="3" a="1"/>
  <c r="E421" i="3"/>
  <c r="CC421" i="3"/>
  <c r="A445" i="3"/>
  <c r="CD420" i="3"/>
  <c r="C444" i="3"/>
  <c r="G396" i="3" a="1"/>
  <c r="BB396" i="3" a="1"/>
  <c r="CE396" i="3" a="1"/>
  <c r="B396" i="3" a="1"/>
  <c r="E420" i="3"/>
  <c r="CC420" i="3"/>
  <c r="A444" i="3"/>
  <c r="CD419" i="3"/>
  <c r="C443" i="3"/>
  <c r="G395" i="3" a="1"/>
  <c r="BB395" i="3" a="1"/>
  <c r="CE395" i="3" a="1"/>
  <c r="B395" i="3" a="1"/>
  <c r="E419" i="3"/>
  <c r="CC419" i="3"/>
  <c r="A443" i="3"/>
  <c r="CD418" i="3"/>
  <c r="C442" i="3"/>
  <c r="G394" i="3" a="1"/>
  <c r="BB394" i="3" a="1"/>
  <c r="CE394" i="3" a="1"/>
  <c r="B394" i="3" a="1"/>
  <c r="E418" i="3"/>
  <c r="CC418" i="3"/>
  <c r="A442" i="3"/>
  <c r="CD417" i="3"/>
  <c r="C441" i="3"/>
  <c r="G393" i="3" a="1"/>
  <c r="BB393" i="3" a="1"/>
  <c r="CE393" i="3" a="1"/>
  <c r="B393" i="3" a="1"/>
  <c r="E417" i="3"/>
  <c r="CC417" i="3"/>
  <c r="A441" i="3"/>
  <c r="CD416" i="3"/>
  <c r="C440" i="3"/>
  <c r="G392" i="3" a="1"/>
  <c r="BB392" i="3" a="1"/>
  <c r="CE392" i="3" a="1"/>
  <c r="B392" i="3" a="1"/>
  <c r="E416" i="3"/>
  <c r="CC416" i="3"/>
  <c r="A440" i="3"/>
  <c r="CD415" i="3"/>
  <c r="C439" i="3"/>
  <c r="G391" i="3" a="1"/>
  <c r="BB391" i="3" a="1"/>
  <c r="CE391" i="3" a="1"/>
  <c r="B391" i="3" a="1"/>
  <c r="E415" i="3"/>
  <c r="CC415" i="3"/>
  <c r="A439" i="3"/>
  <c r="CD414" i="3"/>
  <c r="C438" i="3"/>
  <c r="G390" i="3" a="1"/>
  <c r="BB390" i="3" a="1"/>
  <c r="CE390" i="3" a="1"/>
  <c r="B390" i="3" a="1"/>
  <c r="E414" i="3"/>
  <c r="CC414" i="3"/>
  <c r="A438" i="3"/>
  <c r="CD389" i="3"/>
  <c r="C413" i="3"/>
  <c r="G365" i="3" a="1"/>
  <c r="BB365" i="3" a="1"/>
  <c r="CE365" i="3" a="1"/>
  <c r="B365" i="3" a="1"/>
  <c r="E389" i="3"/>
  <c r="CC389" i="3"/>
  <c r="A413" i="3"/>
  <c r="CD388" i="3"/>
  <c r="C412" i="3"/>
  <c r="G364" i="3" a="1"/>
  <c r="BB364" i="3" a="1"/>
  <c r="CE364" i="3" a="1"/>
  <c r="B364" i="3" a="1"/>
  <c r="E388" i="3"/>
  <c r="CC388" i="3"/>
  <c r="A412" i="3"/>
  <c r="CD387" i="3"/>
  <c r="C411" i="3"/>
  <c r="G363" i="3" a="1"/>
  <c r="BB363" i="3" a="1"/>
  <c r="CE363" i="3" a="1"/>
  <c r="B363" i="3" a="1"/>
  <c r="E387" i="3"/>
  <c r="CC387" i="3"/>
  <c r="A411" i="3"/>
  <c r="CD386" i="3"/>
  <c r="C410" i="3"/>
  <c r="G362" i="3" a="1"/>
  <c r="BB362" i="3" a="1"/>
  <c r="CE362" i="3" a="1"/>
  <c r="B362" i="3" a="1"/>
  <c r="E386" i="3"/>
  <c r="CC386" i="3"/>
  <c r="A410" i="3"/>
  <c r="CD385" i="3"/>
  <c r="C409" i="3"/>
  <c r="G361" i="3" a="1"/>
  <c r="BB361" i="3" a="1"/>
  <c r="CE361" i="3" a="1"/>
  <c r="B361" i="3" a="1"/>
  <c r="E385" i="3"/>
  <c r="CC385" i="3"/>
  <c r="A409" i="3"/>
  <c r="CD384" i="3"/>
  <c r="C408" i="3"/>
  <c r="G360" i="3" a="1"/>
  <c r="BB360" i="3" a="1"/>
  <c r="CE360" i="3" a="1"/>
  <c r="B360" i="3" a="1"/>
  <c r="E384" i="3"/>
  <c r="CC384" i="3"/>
  <c r="A408" i="3"/>
  <c r="AQ359" i="3"/>
  <c r="AW359" i="3"/>
  <c r="CH359" i="3"/>
  <c r="CQ359" i="3"/>
  <c r="CI359" i="3"/>
  <c r="CP359" i="3"/>
  <c r="R359" i="3"/>
  <c r="AB359" i="3" s="1"/>
  <c r="F383" i="3" a="1"/>
  <c r="H383" i="3" a="1"/>
  <c r="I383" i="3" a="1"/>
  <c r="J383" i="3" s="1"/>
  <c r="T383" i="3" s="1"/>
  <c r="L383" i="3" a="1"/>
  <c r="M383" i="3" a="1"/>
  <c r="O383" i="3" s="1"/>
  <c r="P383" i="3" a="1"/>
  <c r="Q383" i="3" s="1"/>
  <c r="V383" i="3" s="1"/>
  <c r="AZ383" i="3" a="1"/>
  <c r="BA383" i="3" a="1"/>
  <c r="BC383" i="3" a="1"/>
  <c r="BD383" i="3" a="1"/>
  <c r="BX383" i="3" a="1"/>
  <c r="D407" i="3"/>
  <c r="CD383" i="3"/>
  <c r="C407" i="3"/>
  <c r="G359" i="3" a="1"/>
  <c r="BB359" i="3" a="1"/>
  <c r="CE359" i="3" a="1"/>
  <c r="B359" i="3" a="1"/>
  <c r="E383" i="3"/>
  <c r="CC383" i="3"/>
  <c r="A407" i="3"/>
  <c r="F382" i="3" a="1"/>
  <c r="D406" i="3"/>
  <c r="CD382" i="3"/>
  <c r="C406" i="3"/>
  <c r="G358" i="3" a="1"/>
  <c r="BB358" i="3" a="1"/>
  <c r="CE358" i="3" a="1"/>
  <c r="B358" i="3" a="1"/>
  <c r="E382" i="3"/>
  <c r="CC382" i="3"/>
  <c r="A406" i="3"/>
  <c r="BJ69" i="3"/>
  <c r="BJ93" i="3"/>
  <c r="F381" i="3" a="1"/>
  <c r="D405" i="3"/>
  <c r="CD381" i="3"/>
  <c r="C405" i="3"/>
  <c r="G357" i="3" a="1"/>
  <c r="BB357" i="3" a="1"/>
  <c r="CE357" i="3" a="1"/>
  <c r="B357" i="3" a="1"/>
  <c r="E381" i="3"/>
  <c r="CC381" i="3"/>
  <c r="A405" i="3"/>
  <c r="BW92" i="3"/>
  <c r="BY92" i="3" s="1"/>
  <c r="CO92" i="3"/>
  <c r="BW140" i="3"/>
  <c r="BY140" i="3" s="1"/>
  <c r="CO140" i="3"/>
  <c r="BL188" i="3"/>
  <c r="BN188" i="3" s="1"/>
  <c r="BP188" i="3"/>
  <c r="BT188" i="3" s="1"/>
  <c r="CS212" i="3"/>
  <c r="AR212" i="3"/>
  <c r="AS212" i="3" s="1"/>
  <c r="BK212" i="3"/>
  <c r="BF212" i="3"/>
  <c r="CT212" i="3"/>
  <c r="BH212" i="3"/>
  <c r="AK236" i="3"/>
  <c r="BG236" i="3"/>
  <c r="AJ236" i="3"/>
  <c r="AL236" i="3"/>
  <c r="CB260" i="3"/>
  <c r="AI260" i="3"/>
  <c r="BQ260" i="3"/>
  <c r="Y332" i="3"/>
  <c r="U332" i="3"/>
  <c r="W332" i="3" s="1"/>
  <c r="AQ356" i="3"/>
  <c r="AW356" i="3"/>
  <c r="CH356" i="3"/>
  <c r="CQ356" i="3"/>
  <c r="CI356" i="3"/>
  <c r="CP356" i="3"/>
  <c r="R356" i="3"/>
  <c r="AB356" i="3" s="1"/>
  <c r="F380" i="3" a="1"/>
  <c r="H380" i="3" a="1"/>
  <c r="I380" i="3" a="1"/>
  <c r="J380" i="3" s="1"/>
  <c r="T380" i="3" s="1"/>
  <c r="L380" i="3" a="1"/>
  <c r="M380" i="3" a="1"/>
  <c r="O380" i="3" s="1"/>
  <c r="P380" i="3" a="1"/>
  <c r="Q380" i="3" s="1"/>
  <c r="V380" i="3" s="1"/>
  <c r="AZ380" i="3" a="1"/>
  <c r="BA380" i="3" a="1"/>
  <c r="BC380" i="3" a="1"/>
  <c r="BD380" i="3" a="1"/>
  <c r="BX380" i="3" a="1"/>
  <c r="D404" i="3"/>
  <c r="BS164" i="3"/>
  <c r="BO164" i="3"/>
  <c r="BU164" i="3"/>
  <c r="BV164" i="3"/>
  <c r="BW91" i="3"/>
  <c r="BY91" i="3" s="1"/>
  <c r="CO91" i="3"/>
  <c r="BO163" i="3"/>
  <c r="BS163" i="3"/>
  <c r="BU163" i="3"/>
  <c r="BV163" i="3"/>
  <c r="BL187" i="3"/>
  <c r="BN187" i="3" s="1"/>
  <c r="BP187" i="3"/>
  <c r="BT187" i="3" s="1"/>
  <c r="CS211" i="3"/>
  <c r="AR211" i="3"/>
  <c r="AS211" i="3" s="1"/>
  <c r="BK211" i="3"/>
  <c r="BF211" i="3"/>
  <c r="CT211" i="3"/>
  <c r="BH211" i="3"/>
  <c r="AK235" i="3"/>
  <c r="AJ235" i="3"/>
  <c r="BG235" i="3"/>
  <c r="AL235" i="3"/>
  <c r="CB259" i="3"/>
  <c r="AI259" i="3"/>
  <c r="BQ259" i="3"/>
  <c r="Y331" i="3"/>
  <c r="U331" i="3"/>
  <c r="W331" i="3" s="1"/>
  <c r="AQ355" i="3"/>
  <c r="AW355" i="3"/>
  <c r="CH355" i="3"/>
  <c r="CQ355" i="3"/>
  <c r="CI355" i="3"/>
  <c r="CP355" i="3"/>
  <c r="R355" i="3"/>
  <c r="AB355" i="3" s="1"/>
  <c r="F379" i="3" a="1"/>
  <c r="H379" i="3" a="1"/>
  <c r="I379" i="3" a="1"/>
  <c r="J379" i="3" s="1"/>
  <c r="T379" i="3" s="1"/>
  <c r="L379" i="3" a="1"/>
  <c r="M379" i="3" a="1"/>
  <c r="O379" i="3" s="1"/>
  <c r="P379" i="3" a="1"/>
  <c r="Q379" i="3" s="1"/>
  <c r="V379" i="3" s="1"/>
  <c r="AZ379" i="3" a="1"/>
  <c r="BA379" i="3" a="1"/>
  <c r="BC379" i="3" a="1"/>
  <c r="BD379" i="3" a="1"/>
  <c r="BX379" i="3" a="1"/>
  <c r="D403" i="3"/>
  <c r="BW90" i="3"/>
  <c r="BY90" i="3" s="1"/>
  <c r="CO90" i="3"/>
  <c r="BW138" i="3"/>
  <c r="BY138" i="3" s="1"/>
  <c r="CO138" i="3"/>
  <c r="BL186" i="3"/>
  <c r="BN186" i="3" s="1"/>
  <c r="BP186" i="3"/>
  <c r="BT186" i="3" s="1"/>
  <c r="BF210" i="3"/>
  <c r="CS210" i="3"/>
  <c r="AR210" i="3"/>
  <c r="AS210" i="3" s="1"/>
  <c r="BK210" i="3"/>
  <c r="CT210" i="3"/>
  <c r="BH210" i="3"/>
  <c r="AK234" i="3"/>
  <c r="AJ234" i="3"/>
  <c r="BG234" i="3"/>
  <c r="AL234" i="3"/>
  <c r="Y330" i="3"/>
  <c r="U330" i="3"/>
  <c r="W330" i="3" s="1"/>
  <c r="AQ354" i="3"/>
  <c r="AW354" i="3"/>
  <c r="CH354" i="3"/>
  <c r="CQ354" i="3"/>
  <c r="CI354" i="3"/>
  <c r="CP354" i="3"/>
  <c r="R354" i="3"/>
  <c r="AB354" i="3" s="1"/>
  <c r="F378" i="3" a="1"/>
  <c r="H378" i="3" a="1"/>
  <c r="I378" i="3" a="1"/>
  <c r="J378" i="3" s="1"/>
  <c r="T378" i="3" s="1"/>
  <c r="L378" i="3" a="1"/>
  <c r="M378" i="3" a="1"/>
  <c r="O378" i="3" s="1"/>
  <c r="P378" i="3" a="1"/>
  <c r="Q378" i="3" s="1"/>
  <c r="V378" i="3" s="1"/>
  <c r="AZ378" i="3" a="1"/>
  <c r="BA378" i="3" a="1"/>
  <c r="BC378" i="3" a="1"/>
  <c r="BD378" i="3" a="1"/>
  <c r="BX378" i="3" a="1"/>
  <c r="D402" i="3"/>
  <c r="BO162" i="3"/>
  <c r="BS162" i="3"/>
  <c r="BV162" i="3"/>
  <c r="BU162" i="3"/>
  <c r="BW89" i="3"/>
  <c r="BY89" i="3" s="1"/>
  <c r="CO89" i="3"/>
  <c r="BW137" i="3"/>
  <c r="BY137" i="3" s="1"/>
  <c r="CO137" i="3"/>
  <c r="BO161" i="3"/>
  <c r="BS161" i="3"/>
  <c r="BU161" i="3"/>
  <c r="BV161" i="3"/>
  <c r="CS209" i="3"/>
  <c r="AR209" i="3"/>
  <c r="AS209" i="3" s="1"/>
  <c r="BK209" i="3"/>
  <c r="BF209" i="3"/>
  <c r="CT209" i="3"/>
  <c r="BH209" i="3"/>
  <c r="AK233" i="3"/>
  <c r="AJ233" i="3"/>
  <c r="BG233" i="3"/>
  <c r="AL233" i="3"/>
  <c r="CB257" i="3"/>
  <c r="AI257" i="3"/>
  <c r="BQ257" i="3"/>
  <c r="Y329" i="3"/>
  <c r="U329" i="3"/>
  <c r="W329" i="3" s="1"/>
  <c r="AQ353" i="3"/>
  <c r="AW353" i="3"/>
  <c r="CH353" i="3"/>
  <c r="CQ353" i="3"/>
  <c r="CI353" i="3"/>
  <c r="CP353" i="3"/>
  <c r="R353" i="3"/>
  <c r="AB353" i="3" s="1"/>
  <c r="F377" i="3" a="1"/>
  <c r="H377" i="3" a="1"/>
  <c r="I377" i="3" a="1"/>
  <c r="J377" i="3" s="1"/>
  <c r="T377" i="3" s="1"/>
  <c r="L377" i="3" a="1"/>
  <c r="M377" i="3" a="1"/>
  <c r="O377" i="3" s="1"/>
  <c r="P377" i="3" a="1"/>
  <c r="Q377" i="3" s="1"/>
  <c r="V377" i="3" s="1"/>
  <c r="AZ377" i="3" a="1"/>
  <c r="BA377" i="3" a="1"/>
  <c r="BC377" i="3" a="1"/>
  <c r="BD377" i="3" a="1"/>
  <c r="BX377" i="3" a="1"/>
  <c r="D401" i="3"/>
  <c r="BL185" i="3"/>
  <c r="BN185" i="3" s="1"/>
  <c r="BP185" i="3"/>
  <c r="BT185" i="3" s="1"/>
  <c r="BW88" i="3"/>
  <c r="BY88" i="3" s="1"/>
  <c r="CO88" i="3"/>
  <c r="BW136" i="3"/>
  <c r="BY136" i="3" s="1"/>
  <c r="CO136" i="3"/>
  <c r="BO160" i="3"/>
  <c r="BS160" i="3"/>
  <c r="BV160" i="3"/>
  <c r="BU160" i="3"/>
  <c r="BL184" i="3"/>
  <c r="BN184" i="3" s="1"/>
  <c r="BP184" i="3"/>
  <c r="BT184" i="3" s="1"/>
  <c r="AK232" i="3"/>
  <c r="AJ232" i="3"/>
  <c r="BG232" i="3"/>
  <c r="AL232" i="3"/>
  <c r="CB256" i="3"/>
  <c r="AI256" i="3"/>
  <c r="BQ256" i="3"/>
  <c r="Y328" i="3"/>
  <c r="U328" i="3"/>
  <c r="W328" i="3" s="1"/>
  <c r="AQ352" i="3"/>
  <c r="AW352" i="3"/>
  <c r="CH352" i="3"/>
  <c r="CQ352" i="3"/>
  <c r="CI352" i="3"/>
  <c r="CP352" i="3"/>
  <c r="R352" i="3"/>
  <c r="AB352" i="3" s="1"/>
  <c r="F376" i="3" a="1"/>
  <c r="H376" i="3" a="1"/>
  <c r="I376" i="3" a="1"/>
  <c r="J376" i="3" s="1"/>
  <c r="T376" i="3" s="1"/>
  <c r="L376" i="3" a="1"/>
  <c r="M376" i="3" a="1"/>
  <c r="O376" i="3" s="1"/>
  <c r="P376" i="3" a="1"/>
  <c r="Q376" i="3" s="1"/>
  <c r="V376" i="3" s="1"/>
  <c r="AZ376" i="3" a="1"/>
  <c r="BA376" i="3" a="1"/>
  <c r="BC376" i="3" a="1"/>
  <c r="BD376" i="3" a="1"/>
  <c r="BX376" i="3" a="1"/>
  <c r="D400" i="3"/>
  <c r="CS208" i="3"/>
  <c r="AR208" i="3"/>
  <c r="AS208" i="3" s="1"/>
  <c r="BK208" i="3"/>
  <c r="BF208" i="3"/>
  <c r="CT208" i="3"/>
  <c r="BH208" i="3"/>
  <c r="BW87" i="3"/>
  <c r="BY87" i="3" s="1"/>
  <c r="CO87" i="3"/>
  <c r="BW135" i="3"/>
  <c r="BY135" i="3" s="1"/>
  <c r="CO135" i="3"/>
  <c r="BO159" i="3"/>
  <c r="BS159" i="3"/>
  <c r="BV159" i="3"/>
  <c r="BU159" i="3"/>
  <c r="BL183" i="3"/>
  <c r="BN183" i="3" s="1"/>
  <c r="BP183" i="3"/>
  <c r="BT183" i="3" s="1"/>
  <c r="CS207" i="3"/>
  <c r="AR207" i="3"/>
  <c r="AS207" i="3" s="1"/>
  <c r="BK207" i="3"/>
  <c r="BF207" i="3"/>
  <c r="CT207" i="3"/>
  <c r="BH207" i="3"/>
  <c r="AK231" i="3"/>
  <c r="AJ231" i="3"/>
  <c r="BG231" i="3"/>
  <c r="AL231" i="3"/>
  <c r="Y327" i="3"/>
  <c r="U327" i="3"/>
  <c r="W327" i="3" s="1"/>
  <c r="AQ351" i="3"/>
  <c r="AW351" i="3"/>
  <c r="CH351" i="3"/>
  <c r="CQ351" i="3"/>
  <c r="CI351" i="3"/>
  <c r="CP351" i="3"/>
  <c r="R351" i="3"/>
  <c r="AB351" i="3" s="1"/>
  <c r="F375" i="3" a="1"/>
  <c r="H375" i="3" a="1"/>
  <c r="I375" i="3" a="1"/>
  <c r="J375" i="3" s="1"/>
  <c r="T375" i="3" s="1"/>
  <c r="L375" i="3" a="1"/>
  <c r="M375" i="3" a="1"/>
  <c r="O375" i="3" s="1"/>
  <c r="P375" i="3" a="1"/>
  <c r="Q375" i="3" s="1"/>
  <c r="V375" i="3" s="1"/>
  <c r="AZ375" i="3" a="1"/>
  <c r="BA375" i="3" a="1"/>
  <c r="BC375" i="3" a="1"/>
  <c r="BD375" i="3" a="1"/>
  <c r="BX375" i="3" a="1"/>
  <c r="D399" i="3"/>
  <c r="CB255" i="3"/>
  <c r="AI255" i="3"/>
  <c r="BQ255" i="3"/>
  <c r="BW86" i="3"/>
  <c r="BY86" i="3" s="1"/>
  <c r="CO86" i="3"/>
  <c r="BW134" i="3"/>
  <c r="BY134" i="3" s="1"/>
  <c r="CO134" i="3"/>
  <c r="BO158" i="3"/>
  <c r="BS158" i="3"/>
  <c r="BV158" i="3"/>
  <c r="BU158" i="3"/>
  <c r="BL182" i="3"/>
  <c r="BN182" i="3" s="1"/>
  <c r="BP182" i="3"/>
  <c r="BT182" i="3" s="1"/>
  <c r="BF206" i="3"/>
  <c r="CS206" i="3"/>
  <c r="AR206" i="3"/>
  <c r="AS206" i="3" s="1"/>
  <c r="BK206" i="3"/>
  <c r="CT206" i="3"/>
  <c r="BH206" i="3"/>
  <c r="AK230" i="3"/>
  <c r="AJ230" i="3"/>
  <c r="BG230" i="3"/>
  <c r="AL230" i="3"/>
  <c r="Y326" i="3"/>
  <c r="U326" i="3"/>
  <c r="W326" i="3" s="1"/>
  <c r="AQ350" i="3"/>
  <c r="AW350" i="3"/>
  <c r="CH350" i="3"/>
  <c r="CQ350" i="3"/>
  <c r="CI350" i="3"/>
  <c r="CP350" i="3"/>
  <c r="R350" i="3"/>
  <c r="AB350" i="3" s="1"/>
  <c r="F374" i="3" a="1"/>
  <c r="H374" i="3" a="1"/>
  <c r="I374" i="3" a="1"/>
  <c r="J374" i="3" s="1"/>
  <c r="T374" i="3" s="1"/>
  <c r="L374" i="3" a="1"/>
  <c r="M374" i="3" a="1"/>
  <c r="O374" i="3" s="1"/>
  <c r="P374" i="3" a="1"/>
  <c r="Q374" i="3" s="1"/>
  <c r="V374" i="3" s="1"/>
  <c r="AZ374" i="3" a="1"/>
  <c r="BA374" i="3" a="1"/>
  <c r="BC374" i="3" a="1"/>
  <c r="BD374" i="3" a="1"/>
  <c r="BX374" i="3" a="1"/>
  <c r="D398" i="3"/>
  <c r="CB254" i="3"/>
  <c r="AI254" i="3"/>
  <c r="BQ254" i="3"/>
  <c r="BW85" i="3"/>
  <c r="BY85" i="3" s="1"/>
  <c r="CO85" i="3"/>
  <c r="BW133" i="3"/>
  <c r="BY133" i="3" s="1"/>
  <c r="CO133" i="3"/>
  <c r="BO157" i="3"/>
  <c r="BS157" i="3"/>
  <c r="BV157" i="3"/>
  <c r="BU157" i="3"/>
  <c r="BL181" i="3"/>
  <c r="BN181" i="3" s="1"/>
  <c r="BP181" i="3"/>
  <c r="BT181" i="3" s="1"/>
  <c r="BF205" i="3"/>
  <c r="CS205" i="3"/>
  <c r="AR205" i="3"/>
  <c r="AS205" i="3" s="1"/>
  <c r="BK205" i="3"/>
  <c r="CT205" i="3"/>
  <c r="BH205" i="3"/>
  <c r="AK229" i="3"/>
  <c r="AJ229" i="3"/>
  <c r="BG229" i="3"/>
  <c r="AL229" i="3"/>
  <c r="CB253" i="3"/>
  <c r="AI253" i="3"/>
  <c r="BQ253" i="3"/>
  <c r="Y325" i="3"/>
  <c r="U325" i="3"/>
  <c r="W325" i="3" s="1"/>
  <c r="AQ349" i="3"/>
  <c r="AW349" i="3"/>
  <c r="CH349" i="3"/>
  <c r="CQ349" i="3"/>
  <c r="CI349" i="3"/>
  <c r="CP349" i="3"/>
  <c r="R349" i="3"/>
  <c r="AB349" i="3" s="1"/>
  <c r="F373" i="3" a="1"/>
  <c r="H373" i="3" a="1"/>
  <c r="I373" i="3" a="1"/>
  <c r="J373" i="3" s="1"/>
  <c r="T373" i="3" s="1"/>
  <c r="L373" i="3" a="1"/>
  <c r="M373" i="3" a="1"/>
  <c r="O373" i="3" s="1"/>
  <c r="P373" i="3" a="1"/>
  <c r="Q373" i="3" s="1"/>
  <c r="V373" i="3" s="1"/>
  <c r="AZ373" i="3" a="1"/>
  <c r="BA373" i="3" a="1"/>
  <c r="BC373" i="3" a="1"/>
  <c r="BD373" i="3" a="1"/>
  <c r="BX373" i="3" a="1"/>
  <c r="D397" i="3"/>
  <c r="BW84" i="3"/>
  <c r="BY84" i="3" s="1"/>
  <c r="CO84" i="3"/>
  <c r="BW132" i="3"/>
  <c r="BY132" i="3" s="1"/>
  <c r="CO132" i="3"/>
  <c r="BO156" i="3"/>
  <c r="BS156" i="3"/>
  <c r="BV156" i="3"/>
  <c r="BU156" i="3"/>
  <c r="AK228" i="3"/>
  <c r="AJ228" i="3"/>
  <c r="BG228" i="3"/>
  <c r="AL228" i="3"/>
  <c r="CB252" i="3"/>
  <c r="BQ252" i="3"/>
  <c r="AI252" i="3"/>
  <c r="Y324" i="3"/>
  <c r="U324" i="3"/>
  <c r="W324" i="3" s="1"/>
  <c r="AQ348" i="3"/>
  <c r="AW348" i="3"/>
  <c r="CH348" i="3"/>
  <c r="CQ348" i="3"/>
  <c r="CI348" i="3"/>
  <c r="CP348" i="3"/>
  <c r="R348" i="3"/>
  <c r="AB348" i="3" s="1"/>
  <c r="F372" i="3" a="1"/>
  <c r="H372" i="3" a="1"/>
  <c r="I372" i="3" a="1"/>
  <c r="J372" i="3" s="1"/>
  <c r="T372" i="3" s="1"/>
  <c r="L372" i="3" a="1"/>
  <c r="M372" i="3" a="1"/>
  <c r="O372" i="3" s="1"/>
  <c r="P372" i="3" a="1"/>
  <c r="Q372" i="3" s="1"/>
  <c r="V372" i="3" s="1"/>
  <c r="AZ372" i="3" a="1"/>
  <c r="BA372" i="3" a="1"/>
  <c r="BC372" i="3" a="1"/>
  <c r="BD372" i="3" a="1"/>
  <c r="BX372" i="3" a="1"/>
  <c r="D396" i="3"/>
  <c r="BL180" i="3"/>
  <c r="BN180" i="3" s="1"/>
  <c r="BP180" i="3"/>
  <c r="BT180" i="3" s="1"/>
  <c r="BW83" i="3"/>
  <c r="BY83" i="3" s="1"/>
  <c r="CO83" i="3"/>
  <c r="BW131" i="3"/>
  <c r="BY131" i="3" s="1"/>
  <c r="CO131" i="3"/>
  <c r="BO155" i="3"/>
  <c r="BS155" i="3"/>
  <c r="BV155" i="3"/>
  <c r="BU155" i="3"/>
  <c r="BL179" i="3"/>
  <c r="BN179" i="3" s="1"/>
  <c r="BP179" i="3"/>
  <c r="BT179" i="3" s="1"/>
  <c r="BF203" i="3"/>
  <c r="CS203" i="3"/>
  <c r="AR203" i="3"/>
  <c r="AS203" i="3" s="1"/>
  <c r="BK203" i="3"/>
  <c r="CT203" i="3"/>
  <c r="BH203" i="3"/>
  <c r="AK227" i="3"/>
  <c r="AJ227" i="3"/>
  <c r="BG227" i="3"/>
  <c r="AL227" i="3"/>
  <c r="CB251" i="3"/>
  <c r="BQ251" i="3"/>
  <c r="AI251" i="3"/>
  <c r="Y323" i="3"/>
  <c r="U323" i="3"/>
  <c r="W323" i="3" s="1"/>
  <c r="AQ347" i="3"/>
  <c r="AW347" i="3"/>
  <c r="CH347" i="3"/>
  <c r="CQ347" i="3"/>
  <c r="CI347" i="3"/>
  <c r="CP347" i="3"/>
  <c r="R347" i="3"/>
  <c r="AB347" i="3" s="1"/>
  <c r="F371" i="3" a="1"/>
  <c r="H371" i="3" a="1"/>
  <c r="I371" i="3" a="1"/>
  <c r="J371" i="3" s="1"/>
  <c r="T371" i="3" s="1"/>
  <c r="L371" i="3" a="1"/>
  <c r="M371" i="3" a="1"/>
  <c r="O371" i="3" s="1"/>
  <c r="P371" i="3" a="1"/>
  <c r="Q371" i="3" s="1"/>
  <c r="V371" i="3" s="1"/>
  <c r="AZ371" i="3" a="1"/>
  <c r="BA371" i="3" a="1"/>
  <c r="BC371" i="3" a="1"/>
  <c r="BD371" i="3" a="1"/>
  <c r="BX371" i="3" a="1"/>
  <c r="D395" i="3"/>
  <c r="BW82" i="3"/>
  <c r="BY82" i="3" s="1"/>
  <c r="CO82" i="3"/>
  <c r="CM106" i="3"/>
  <c r="BZ106" i="3"/>
  <c r="CK106" i="3"/>
  <c r="CL106" i="3"/>
  <c r="CJ106" i="3"/>
  <c r="AN106" i="3"/>
  <c r="BJ106" i="3" s="1"/>
  <c r="CA106" i="3"/>
  <c r="AM106" i="3"/>
  <c r="BI106" i="3" s="1"/>
  <c r="BW130" i="3"/>
  <c r="BY130" i="3" s="1"/>
  <c r="CO130" i="3"/>
  <c r="BO154" i="3"/>
  <c r="BS154" i="3"/>
  <c r="BV154" i="3"/>
  <c r="BU154" i="3"/>
  <c r="BL178" i="3"/>
  <c r="BN178" i="3" s="1"/>
  <c r="BP178" i="3"/>
  <c r="BT178" i="3" s="1"/>
  <c r="BF202" i="3"/>
  <c r="CS202" i="3"/>
  <c r="AR202" i="3"/>
  <c r="AS202" i="3" s="1"/>
  <c r="BK202" i="3"/>
  <c r="CT202" i="3"/>
  <c r="BH202" i="3"/>
  <c r="AK226" i="3"/>
  <c r="AJ226" i="3"/>
  <c r="BG226" i="3"/>
  <c r="AL226" i="3"/>
  <c r="CB250" i="3"/>
  <c r="BQ250" i="3"/>
  <c r="AI250" i="3"/>
  <c r="Y322" i="3"/>
  <c r="U322" i="3"/>
  <c r="W322" i="3" s="1"/>
  <c r="AQ346" i="3"/>
  <c r="AW346" i="3"/>
  <c r="CH346" i="3"/>
  <c r="CQ346" i="3"/>
  <c r="CI346" i="3"/>
  <c r="CP346" i="3"/>
  <c r="R346" i="3"/>
  <c r="AB346" i="3" s="1"/>
  <c r="F370" i="3" a="1"/>
  <c r="H370" i="3" a="1"/>
  <c r="I370" i="3" a="1"/>
  <c r="J370" i="3" s="1"/>
  <c r="T370" i="3" s="1"/>
  <c r="L370" i="3" a="1"/>
  <c r="M370" i="3" a="1"/>
  <c r="O370" i="3" s="1"/>
  <c r="P370" i="3" a="1"/>
  <c r="Q370" i="3" s="1"/>
  <c r="V370" i="3" s="1"/>
  <c r="AZ370" i="3" a="1"/>
  <c r="BA370" i="3" a="1"/>
  <c r="BC370" i="3" a="1"/>
  <c r="BD370" i="3" a="1"/>
  <c r="BX370" i="3" a="1"/>
  <c r="D394" i="3"/>
  <c r="BW81" i="3"/>
  <c r="BY81" i="3" s="1"/>
  <c r="CO81" i="3"/>
  <c r="CM105" i="3"/>
  <c r="CL105" i="3"/>
  <c r="BZ105" i="3"/>
  <c r="CK105" i="3"/>
  <c r="CJ105" i="3"/>
  <c r="AN105" i="3"/>
  <c r="BJ105" i="3" s="1"/>
  <c r="CA105" i="3"/>
  <c r="AM105" i="3"/>
  <c r="BI105" i="3" s="1"/>
  <c r="BW129" i="3"/>
  <c r="BY129" i="3" s="1"/>
  <c r="CO129" i="3"/>
  <c r="BV153" i="3"/>
  <c r="BU153" i="3"/>
  <c r="BL177" i="3"/>
  <c r="BN177" i="3" s="1"/>
  <c r="BP177" i="3"/>
  <c r="BT177" i="3" s="1"/>
  <c r="BF201" i="3"/>
  <c r="CS201" i="3"/>
  <c r="AR201" i="3"/>
  <c r="AS201" i="3" s="1"/>
  <c r="BK201" i="3"/>
  <c r="CT201" i="3"/>
  <c r="BH201" i="3"/>
  <c r="AK225" i="3"/>
  <c r="AJ225" i="3"/>
  <c r="BG225" i="3"/>
  <c r="AL225" i="3"/>
  <c r="CB249" i="3"/>
  <c r="BQ249" i="3"/>
  <c r="AI249" i="3"/>
  <c r="Y321" i="3"/>
  <c r="U321" i="3"/>
  <c r="W321" i="3" s="1"/>
  <c r="AQ345" i="3"/>
  <c r="AW345" i="3"/>
  <c r="CH345" i="3"/>
  <c r="CQ345" i="3"/>
  <c r="CI345" i="3"/>
  <c r="CP345" i="3"/>
  <c r="R345" i="3"/>
  <c r="AB345" i="3" s="1"/>
  <c r="F369" i="3" a="1"/>
  <c r="H369" i="3" a="1"/>
  <c r="I369" i="3" a="1"/>
  <c r="J369" i="3" s="1"/>
  <c r="T369" i="3" s="1"/>
  <c r="L369" i="3" a="1"/>
  <c r="M369" i="3" a="1"/>
  <c r="O369" i="3" s="1"/>
  <c r="P369" i="3" a="1"/>
  <c r="Q369" i="3" s="1"/>
  <c r="V369" i="3" s="1"/>
  <c r="AZ369" i="3" a="1"/>
  <c r="BA369" i="3" a="1"/>
  <c r="BC369" i="3" a="1"/>
  <c r="BD369" i="3" a="1"/>
  <c r="BX369" i="3" a="1"/>
  <c r="D393" i="3"/>
  <c r="BW80" i="3"/>
  <c r="BY80" i="3" s="1"/>
  <c r="CO80" i="3"/>
  <c r="CM104" i="3"/>
  <c r="BZ104" i="3"/>
  <c r="CK104" i="3"/>
  <c r="CL104" i="3"/>
  <c r="CJ104" i="3"/>
  <c r="AN104" i="3"/>
  <c r="BJ104" i="3" s="1"/>
  <c r="CA104" i="3"/>
  <c r="AM104" i="3"/>
  <c r="BI104" i="3" s="1"/>
  <c r="BW128" i="3"/>
  <c r="BY128" i="3" s="1"/>
  <c r="CO128" i="3"/>
  <c r="BO152" i="3"/>
  <c r="BS152" i="3"/>
  <c r="BV152" i="3"/>
  <c r="BU152" i="3"/>
  <c r="BF200" i="3"/>
  <c r="CS200" i="3"/>
  <c r="AR200" i="3"/>
  <c r="AS200" i="3" s="1"/>
  <c r="BK200" i="3"/>
  <c r="CT200" i="3"/>
  <c r="BH200" i="3"/>
  <c r="AK224" i="3"/>
  <c r="AJ224" i="3"/>
  <c r="BG224" i="3"/>
  <c r="AL224" i="3"/>
  <c r="CB248" i="3"/>
  <c r="BQ248" i="3"/>
  <c r="AI248" i="3"/>
  <c r="Y320" i="3"/>
  <c r="U320" i="3"/>
  <c r="W320" i="3" s="1"/>
  <c r="AQ344" i="3"/>
  <c r="AW344" i="3"/>
  <c r="CH344" i="3"/>
  <c r="CQ344" i="3"/>
  <c r="CI344" i="3"/>
  <c r="CP344" i="3"/>
  <c r="R344" i="3"/>
  <c r="AB344" i="3" s="1"/>
  <c r="F368" i="3" a="1"/>
  <c r="H368" i="3" a="1"/>
  <c r="I368" i="3" a="1"/>
  <c r="J368" i="3" s="1"/>
  <c r="T368" i="3" s="1"/>
  <c r="L368" i="3" a="1"/>
  <c r="M368" i="3" a="1"/>
  <c r="O368" i="3" s="1"/>
  <c r="P368" i="3" a="1"/>
  <c r="Q368" i="3" s="1"/>
  <c r="V368" i="3" s="1"/>
  <c r="AZ368" i="3" a="1"/>
  <c r="BA368" i="3" a="1"/>
  <c r="BC368" i="3" a="1"/>
  <c r="BD368" i="3" a="1"/>
  <c r="BX368" i="3" a="1"/>
  <c r="D392" i="3"/>
  <c r="BW79" i="3"/>
  <c r="BY79" i="3" s="1"/>
  <c r="CO79" i="3"/>
  <c r="CM103" i="3"/>
  <c r="BZ103" i="3"/>
  <c r="CL103" i="3"/>
  <c r="CK103" i="3"/>
  <c r="CJ103" i="3"/>
  <c r="AN103" i="3"/>
  <c r="BJ103" i="3" s="1"/>
  <c r="CA103" i="3"/>
  <c r="AM103" i="3"/>
  <c r="BI103" i="3" s="1"/>
  <c r="BW127" i="3"/>
  <c r="BY127" i="3" s="1"/>
  <c r="CO127" i="3"/>
  <c r="BO151" i="3"/>
  <c r="BS151" i="3"/>
  <c r="BV151" i="3"/>
  <c r="BU151" i="3"/>
  <c r="BL175" i="3"/>
  <c r="BN175" i="3" s="1"/>
  <c r="BP175" i="3"/>
  <c r="BT175" i="3" s="1"/>
  <c r="AK223" i="3"/>
  <c r="AJ223" i="3"/>
  <c r="BG223" i="3"/>
  <c r="AL223" i="3"/>
  <c r="CB247" i="3"/>
  <c r="BQ247" i="3"/>
  <c r="AI247" i="3"/>
  <c r="Y319" i="3"/>
  <c r="U319" i="3"/>
  <c r="W319" i="3" s="1"/>
  <c r="AQ343" i="3"/>
  <c r="AW343" i="3"/>
  <c r="CH343" i="3"/>
  <c r="CQ343" i="3"/>
  <c r="CI343" i="3"/>
  <c r="CP343" i="3"/>
  <c r="R343" i="3"/>
  <c r="AB343" i="3" s="1"/>
  <c r="F367" i="3" a="1"/>
  <c r="H367" i="3" a="1"/>
  <c r="I367" i="3" a="1"/>
  <c r="J367" i="3" s="1"/>
  <c r="T367" i="3" s="1"/>
  <c r="L367" i="3" a="1"/>
  <c r="M367" i="3" a="1"/>
  <c r="O367" i="3" s="1"/>
  <c r="P367" i="3" a="1"/>
  <c r="Q367" i="3" s="1"/>
  <c r="V367" i="3" s="1"/>
  <c r="AZ367" i="3" a="1"/>
  <c r="BA367" i="3" a="1"/>
  <c r="BC367" i="3" a="1"/>
  <c r="BD367" i="3" a="1"/>
  <c r="BX367" i="3" a="1"/>
  <c r="D391" i="3"/>
  <c r="BW78" i="3"/>
  <c r="BY78" i="3" s="1"/>
  <c r="CO78" i="3"/>
  <c r="CM102" i="3"/>
  <c r="CL102" i="3"/>
  <c r="BZ102" i="3"/>
  <c r="CK102" i="3"/>
  <c r="CJ102" i="3"/>
  <c r="AN102" i="3"/>
  <c r="BJ102" i="3" s="1"/>
  <c r="CA102" i="3"/>
  <c r="AM102" i="3"/>
  <c r="BI102" i="3" s="1"/>
  <c r="BW126" i="3"/>
  <c r="BY126" i="3" s="1"/>
  <c r="CO126" i="3"/>
  <c r="BO150" i="3"/>
  <c r="BS150" i="3"/>
  <c r="BV150" i="3"/>
  <c r="BU150" i="3"/>
  <c r="BL174" i="3"/>
  <c r="BN174" i="3" s="1"/>
  <c r="BP174" i="3"/>
  <c r="BT174" i="3" s="1"/>
  <c r="BF198" i="3"/>
  <c r="CS198" i="3"/>
  <c r="AR198" i="3"/>
  <c r="AS198" i="3" s="1"/>
  <c r="BK198" i="3"/>
  <c r="CT198" i="3"/>
  <c r="BH198" i="3"/>
  <c r="AK222" i="3"/>
  <c r="AJ222" i="3"/>
  <c r="BG222" i="3"/>
  <c r="AL222" i="3"/>
  <c r="CB246" i="3"/>
  <c r="BQ246" i="3"/>
  <c r="AI246" i="3"/>
  <c r="Y318" i="3"/>
  <c r="U318" i="3"/>
  <c r="W318" i="3" s="1"/>
  <c r="AQ342" i="3"/>
  <c r="AW342" i="3"/>
  <c r="CH342" i="3"/>
  <c r="CQ342" i="3"/>
  <c r="CI342" i="3"/>
  <c r="CP342" i="3"/>
  <c r="R342" i="3"/>
  <c r="AB342" i="3" s="1"/>
  <c r="F366" i="3" a="1"/>
  <c r="H366" i="3" a="1"/>
  <c r="I366" i="3" a="1"/>
  <c r="J366" i="3" s="1"/>
  <c r="T366" i="3" s="1"/>
  <c r="L366" i="3" a="1"/>
  <c r="M366" i="3" a="1"/>
  <c r="O366" i="3" s="1"/>
  <c r="P366" i="3" a="1"/>
  <c r="Q366" i="3" s="1"/>
  <c r="V366" i="3" s="1"/>
  <c r="AZ366" i="3" a="1"/>
  <c r="BA366" i="3" a="1"/>
  <c r="BC366" i="3" a="1"/>
  <c r="BD366" i="3" a="1"/>
  <c r="BX366" i="3" a="1"/>
  <c r="D390" i="3"/>
  <c r="BW77" i="3"/>
  <c r="BY77" i="3" s="1"/>
  <c r="CO77" i="3"/>
  <c r="CK101" i="3"/>
  <c r="CL101" i="3"/>
  <c r="CM101" i="3"/>
  <c r="BZ101" i="3"/>
  <c r="CJ101" i="3"/>
  <c r="AN101" i="3"/>
  <c r="BJ101" i="3" s="1"/>
  <c r="CA101" i="3"/>
  <c r="AM101" i="3"/>
  <c r="BI101" i="3" s="1"/>
  <c r="BW125" i="3"/>
  <c r="BY125" i="3" s="1"/>
  <c r="CO125" i="3"/>
  <c r="BO149" i="3"/>
  <c r="BS149" i="3"/>
  <c r="BV149" i="3"/>
  <c r="BU149" i="3"/>
  <c r="CS197" i="3"/>
  <c r="AR197" i="3"/>
  <c r="AS197" i="3" s="1"/>
  <c r="BK197" i="3"/>
  <c r="BF197" i="3"/>
  <c r="CT197" i="3"/>
  <c r="BH197" i="3"/>
  <c r="AK221" i="3"/>
  <c r="AJ221" i="3"/>
  <c r="BG221" i="3"/>
  <c r="AL221" i="3"/>
  <c r="Y317" i="3"/>
  <c r="U317" i="3"/>
  <c r="W317" i="3" s="1"/>
  <c r="AQ341" i="3"/>
  <c r="AW341" i="3"/>
  <c r="CH341" i="3"/>
  <c r="CQ341" i="3"/>
  <c r="CI341" i="3"/>
  <c r="CP341" i="3"/>
  <c r="R341" i="3"/>
  <c r="AB341" i="3" s="1"/>
  <c r="F365" i="3" a="1"/>
  <c r="H365" i="3" a="1"/>
  <c r="I365" i="3" a="1"/>
  <c r="J365" i="3" s="1"/>
  <c r="T365" i="3" s="1"/>
  <c r="L365" i="3" a="1"/>
  <c r="M365" i="3" a="1"/>
  <c r="O365" i="3" s="1"/>
  <c r="P365" i="3" a="1"/>
  <c r="Q365" i="3" s="1"/>
  <c r="V365" i="3" s="1"/>
  <c r="AZ365" i="3" a="1"/>
  <c r="BA365" i="3" a="1"/>
  <c r="BC365" i="3" a="1"/>
  <c r="BD365" i="3" a="1"/>
  <c r="BX365" i="3" a="1"/>
  <c r="D389" i="3"/>
  <c r="BL173" i="3"/>
  <c r="BN173" i="3" s="1"/>
  <c r="BP173" i="3"/>
  <c r="BT173" i="3" s="1"/>
  <c r="BW76" i="3"/>
  <c r="BY76" i="3" s="1"/>
  <c r="CO76" i="3"/>
  <c r="CM100" i="3"/>
  <c r="BZ100" i="3"/>
  <c r="CK100" i="3"/>
  <c r="CL100" i="3"/>
  <c r="CJ100" i="3"/>
  <c r="AN100" i="3"/>
  <c r="BJ100" i="3" s="1"/>
  <c r="CA100" i="3"/>
  <c r="AM100" i="3"/>
  <c r="BI100" i="3" s="1"/>
  <c r="BW124" i="3"/>
  <c r="BY124" i="3" s="1"/>
  <c r="CO124" i="3"/>
  <c r="BO148" i="3"/>
  <c r="BS148" i="3"/>
  <c r="BV148" i="3"/>
  <c r="BU148" i="3"/>
  <c r="BL172" i="3"/>
  <c r="BN172" i="3" s="1"/>
  <c r="BP172" i="3"/>
  <c r="BT172" i="3" s="1"/>
  <c r="CS196" i="3"/>
  <c r="AR196" i="3"/>
  <c r="AS196" i="3" s="1"/>
  <c r="BK196" i="3"/>
  <c r="BF196" i="3"/>
  <c r="CT196" i="3"/>
  <c r="BH196" i="3"/>
  <c r="AK220" i="3"/>
  <c r="AJ220" i="3"/>
  <c r="BG220" i="3"/>
  <c r="AL220" i="3"/>
  <c r="CB244" i="3"/>
  <c r="BQ244" i="3"/>
  <c r="AI244" i="3"/>
  <c r="Y316" i="3"/>
  <c r="U316" i="3"/>
  <c r="W316" i="3" s="1"/>
  <c r="AQ340" i="3"/>
  <c r="AW340" i="3"/>
  <c r="CH340" i="3"/>
  <c r="CQ340" i="3"/>
  <c r="CI340" i="3"/>
  <c r="CP340" i="3"/>
  <c r="R340" i="3"/>
  <c r="AB340" i="3" s="1"/>
  <c r="F364" i="3" a="1"/>
  <c r="H364" i="3" a="1"/>
  <c r="I364" i="3" a="1"/>
  <c r="J364" i="3" s="1"/>
  <c r="T364" i="3" s="1"/>
  <c r="L364" i="3" a="1"/>
  <c r="M364" i="3" a="1"/>
  <c r="O364" i="3" s="1"/>
  <c r="P364" i="3" a="1"/>
  <c r="Q364" i="3" s="1"/>
  <c r="V364" i="3" s="1"/>
  <c r="AZ364" i="3" a="1"/>
  <c r="BA364" i="3" a="1"/>
  <c r="BC364" i="3" a="1"/>
  <c r="BD364" i="3" a="1"/>
  <c r="BX364" i="3" a="1"/>
  <c r="D388" i="3"/>
  <c r="BW75" i="3"/>
  <c r="BY75" i="3" s="1"/>
  <c r="CO75" i="3"/>
  <c r="CM99" i="3"/>
  <c r="BZ99" i="3"/>
  <c r="CK99" i="3"/>
  <c r="CL99" i="3"/>
  <c r="CJ99" i="3"/>
  <c r="AN99" i="3"/>
  <c r="BJ99" i="3" s="1"/>
  <c r="CA99" i="3"/>
  <c r="AM99" i="3"/>
  <c r="BI99" i="3" s="1"/>
  <c r="BW123" i="3"/>
  <c r="BY123" i="3" s="1"/>
  <c r="CO123" i="3"/>
  <c r="BO147" i="3"/>
  <c r="BS147" i="3"/>
  <c r="BV147" i="3"/>
  <c r="BU147" i="3"/>
  <c r="BL171" i="3"/>
  <c r="BN171" i="3" s="1"/>
  <c r="BP171" i="3"/>
  <c r="BT171" i="3" s="1"/>
  <c r="AR195" i="3"/>
  <c r="AS195" i="3" s="1"/>
  <c r="CS195" i="3"/>
  <c r="BK195" i="3"/>
  <c r="BF195" i="3"/>
  <c r="CT195" i="3"/>
  <c r="BH195" i="3"/>
  <c r="AK219" i="3"/>
  <c r="AJ219" i="3"/>
  <c r="BG219" i="3"/>
  <c r="AL219" i="3"/>
  <c r="CB243" i="3"/>
  <c r="BQ243" i="3"/>
  <c r="AI243" i="3"/>
  <c r="Y315" i="3"/>
  <c r="U315" i="3"/>
  <c r="W315" i="3" s="1"/>
  <c r="AQ339" i="3"/>
  <c r="AW339" i="3"/>
  <c r="CH339" i="3"/>
  <c r="CQ339" i="3"/>
  <c r="CI339" i="3"/>
  <c r="CP339" i="3"/>
  <c r="R339" i="3"/>
  <c r="AB339" i="3" s="1"/>
  <c r="F363" i="3" a="1"/>
  <c r="H363" i="3" a="1"/>
  <c r="I363" i="3" a="1"/>
  <c r="J363" i="3" s="1"/>
  <c r="T363" i="3" s="1"/>
  <c r="L363" i="3" a="1"/>
  <c r="M363" i="3" a="1"/>
  <c r="O363" i="3" s="1"/>
  <c r="P363" i="3" a="1"/>
  <c r="Q363" i="3" s="1"/>
  <c r="V363" i="3" s="1"/>
  <c r="AZ363" i="3" a="1"/>
  <c r="BA363" i="3" a="1"/>
  <c r="BC363" i="3" a="1"/>
  <c r="BD363" i="3" a="1"/>
  <c r="BX363" i="3" a="1"/>
  <c r="D387" i="3"/>
  <c r="BW74" i="3"/>
  <c r="BY74" i="3" s="1"/>
  <c r="CO74" i="3"/>
  <c r="CM98" i="3"/>
  <c r="BZ98" i="3"/>
  <c r="CK98" i="3"/>
  <c r="CL98" i="3"/>
  <c r="CJ98" i="3"/>
  <c r="AN98" i="3"/>
  <c r="BJ98" i="3" s="1"/>
  <c r="CA98" i="3"/>
  <c r="AM98" i="3"/>
  <c r="BI98" i="3" s="1"/>
  <c r="BW122" i="3"/>
  <c r="BY122" i="3" s="1"/>
  <c r="CO122" i="3"/>
  <c r="BV146" i="3"/>
  <c r="BU146" i="3"/>
  <c r="BF194" i="3"/>
  <c r="CS194" i="3"/>
  <c r="AR194" i="3"/>
  <c r="AS194" i="3" s="1"/>
  <c r="BK194" i="3"/>
  <c r="CT194" i="3"/>
  <c r="BH194" i="3"/>
  <c r="AK218" i="3"/>
  <c r="AJ218" i="3"/>
  <c r="BG218" i="3"/>
  <c r="AL218" i="3"/>
  <c r="CB242" i="3"/>
  <c r="BQ242" i="3"/>
  <c r="AI242" i="3"/>
  <c r="Y314" i="3"/>
  <c r="U314" i="3"/>
  <c r="W314" i="3" s="1"/>
  <c r="AQ338" i="3"/>
  <c r="AW338" i="3"/>
  <c r="CH338" i="3"/>
  <c r="CQ338" i="3"/>
  <c r="CI338" i="3"/>
  <c r="CP338" i="3"/>
  <c r="R338" i="3"/>
  <c r="AB338" i="3" s="1"/>
  <c r="F362" i="3" a="1"/>
  <c r="H362" i="3" a="1"/>
  <c r="I362" i="3" a="1"/>
  <c r="J362" i="3" s="1"/>
  <c r="T362" i="3" s="1"/>
  <c r="L362" i="3" a="1"/>
  <c r="M362" i="3" a="1"/>
  <c r="O362" i="3" s="1"/>
  <c r="P362" i="3" a="1"/>
  <c r="Q362" i="3" s="1"/>
  <c r="V362" i="3" s="1"/>
  <c r="AZ362" i="3" a="1"/>
  <c r="BA362" i="3" a="1"/>
  <c r="BC362" i="3" a="1"/>
  <c r="BD362" i="3" a="1"/>
  <c r="BX362" i="3" a="1"/>
  <c r="D386" i="3"/>
  <c r="BW73" i="3"/>
  <c r="BY73" i="3" s="1"/>
  <c r="CO73" i="3"/>
  <c r="CM97" i="3"/>
  <c r="BZ97" i="3"/>
  <c r="CK97" i="3"/>
  <c r="CL97" i="3"/>
  <c r="CJ97" i="3"/>
  <c r="AN97" i="3"/>
  <c r="BJ97" i="3" s="1"/>
  <c r="CA97" i="3"/>
  <c r="AM97" i="3"/>
  <c r="BI97" i="3" s="1"/>
  <c r="BW121" i="3"/>
  <c r="BY121" i="3" s="1"/>
  <c r="CO121" i="3"/>
  <c r="BO145" i="3"/>
  <c r="BS145" i="3"/>
  <c r="BV145" i="3"/>
  <c r="BU145" i="3"/>
  <c r="AK217" i="3"/>
  <c r="AJ217" i="3"/>
  <c r="BG217" i="3"/>
  <c r="AL217" i="3"/>
  <c r="CB241" i="3"/>
  <c r="AI241" i="3"/>
  <c r="BQ241" i="3"/>
  <c r="Y313" i="3"/>
  <c r="U313" i="3"/>
  <c r="W313" i="3" s="1"/>
  <c r="AQ337" i="3"/>
  <c r="AW337" i="3"/>
  <c r="CH337" i="3"/>
  <c r="CQ337" i="3"/>
  <c r="CI337" i="3"/>
  <c r="CP337" i="3"/>
  <c r="R337" i="3"/>
  <c r="AB337" i="3" s="1"/>
  <c r="F361" i="3" a="1"/>
  <c r="H361" i="3" a="1"/>
  <c r="I361" i="3" a="1"/>
  <c r="J361" i="3" s="1"/>
  <c r="T361" i="3" s="1"/>
  <c r="L361" i="3" a="1"/>
  <c r="M361" i="3" a="1"/>
  <c r="O361" i="3" s="1"/>
  <c r="P361" i="3" a="1"/>
  <c r="Q361" i="3" s="1"/>
  <c r="V361" i="3" s="1"/>
  <c r="AZ361" i="3" a="1"/>
  <c r="BA361" i="3" a="1"/>
  <c r="BC361" i="3" a="1"/>
  <c r="BD361" i="3" a="1"/>
  <c r="BX361" i="3" a="1"/>
  <c r="D385" i="3"/>
  <c r="BL169" i="3"/>
  <c r="BN169" i="3" s="1"/>
  <c r="BP169" i="3"/>
  <c r="BT169" i="3" s="1"/>
  <c r="BW72" i="3"/>
  <c r="BY72" i="3" s="1"/>
  <c r="CO72" i="3"/>
  <c r="CM96" i="3"/>
  <c r="BZ96" i="3"/>
  <c r="CK96" i="3"/>
  <c r="CL96" i="3"/>
  <c r="CJ96" i="3"/>
  <c r="AN96" i="3"/>
  <c r="BJ96" i="3" s="1"/>
  <c r="CA96" i="3"/>
  <c r="AM96" i="3"/>
  <c r="BI96" i="3" s="1"/>
  <c r="BW120" i="3"/>
  <c r="BY120" i="3" s="1"/>
  <c r="CO120" i="3"/>
  <c r="BO144" i="3"/>
  <c r="BS144" i="3"/>
  <c r="BV144" i="3"/>
  <c r="BU144" i="3"/>
  <c r="BL168" i="3"/>
  <c r="BN168" i="3" s="1"/>
  <c r="BP168" i="3"/>
  <c r="BT168" i="3" s="1"/>
  <c r="BF192" i="3"/>
  <c r="AR192" i="3"/>
  <c r="AS192" i="3" s="1"/>
  <c r="CS192" i="3"/>
  <c r="BK192" i="3"/>
  <c r="CT192" i="3"/>
  <c r="BH192" i="3"/>
  <c r="AK216" i="3"/>
  <c r="BG216" i="3"/>
  <c r="AJ216" i="3"/>
  <c r="AL216" i="3"/>
  <c r="CB240" i="3"/>
  <c r="AI240" i="3"/>
  <c r="BQ240" i="3"/>
  <c r="Y312" i="3"/>
  <c r="U312" i="3"/>
  <c r="W312" i="3" s="1"/>
  <c r="AQ336" i="3"/>
  <c r="AW336" i="3"/>
  <c r="CH336" i="3"/>
  <c r="CQ336" i="3"/>
  <c r="CI336" i="3"/>
  <c r="CP336" i="3"/>
  <c r="R336" i="3"/>
  <c r="AB336" i="3" s="1"/>
  <c r="F360" i="3" a="1"/>
  <c r="H360" i="3" a="1"/>
  <c r="I360" i="3" a="1"/>
  <c r="J360" i="3" s="1"/>
  <c r="T360" i="3" s="1"/>
  <c r="L360" i="3" a="1"/>
  <c r="M360" i="3" a="1"/>
  <c r="O360" i="3" s="1"/>
  <c r="P360" i="3" a="1"/>
  <c r="Q360" i="3" s="1"/>
  <c r="V360" i="3" s="1"/>
  <c r="AZ360" i="3" a="1"/>
  <c r="BA360" i="3" a="1"/>
  <c r="BC360" i="3" a="1"/>
  <c r="BD360" i="3" a="1"/>
  <c r="BX360" i="3" a="1"/>
  <c r="D384" i="3"/>
  <c r="BN21" i="3"/>
  <c r="BT21" i="3"/>
  <c r="BX108" i="3" a="1"/>
  <c r="AB195" i="4"/>
  <c r="AA195" i="4" s="1"/>
  <c r="H196" i="4"/>
  <c r="B380" i="3" a="1"/>
  <c r="CE380" i="3" a="1"/>
  <c r="C31" i="13"/>
  <c r="C57" i="13"/>
  <c r="C85" i="13"/>
  <c r="C30" i="19"/>
  <c r="S321" i="4"/>
  <c r="T14" i="4"/>
  <c r="B31" i="19"/>
  <c r="U13" i="4"/>
  <c r="B32" i="13"/>
  <c r="B58" i="13"/>
  <c r="B86" i="13"/>
  <c r="BW71" i="3"/>
  <c r="BY71" i="3" s="1"/>
  <c r="CO71" i="3"/>
  <c r="CS70" i="3"/>
  <c r="AR70" i="3"/>
  <c r="BK70" i="3"/>
  <c r="BF70" i="3"/>
  <c r="CT70" i="3"/>
  <c r="BH70" i="3"/>
  <c r="CL95" i="3"/>
  <c r="CK95" i="3"/>
  <c r="CM95" i="3"/>
  <c r="BZ95" i="3"/>
  <c r="CJ95" i="3"/>
  <c r="AN95" i="3"/>
  <c r="BJ95" i="3" s="1"/>
  <c r="CA95" i="3"/>
  <c r="AM95" i="3"/>
  <c r="BI95" i="3" s="1"/>
  <c r="BW119" i="3"/>
  <c r="BY119" i="3" s="1"/>
  <c r="CO119" i="3"/>
  <c r="BW118" i="3"/>
  <c r="BY118" i="3" s="1"/>
  <c r="CO118" i="3"/>
  <c r="BZ45" i="3"/>
  <c r="CK45" i="3"/>
  <c r="CM45" i="3"/>
  <c r="CL45" i="3"/>
  <c r="CJ45" i="3"/>
  <c r="AN45" i="3"/>
  <c r="CA45" i="3"/>
  <c r="AM45" i="3"/>
  <c r="BV143" i="3"/>
  <c r="BU143" i="3"/>
  <c r="BO143" i="3"/>
  <c r="BS143" i="3"/>
  <c r="BV142" i="3"/>
  <c r="BU142" i="3"/>
  <c r="BP167" i="3"/>
  <c r="BT167" i="3" s="1"/>
  <c r="BL167" i="3"/>
  <c r="BN167" i="3" s="1"/>
  <c r="BP166" i="3"/>
  <c r="BT166" i="3" s="1"/>
  <c r="BL166" i="3"/>
  <c r="BN166" i="3" s="1"/>
  <c r="BO139" i="3"/>
  <c r="BS139" i="3"/>
  <c r="BV139" i="3"/>
  <c r="BU139" i="3"/>
  <c r="BF191" i="3"/>
  <c r="CS191" i="3"/>
  <c r="AR191" i="3"/>
  <c r="AS191" i="3" s="1"/>
  <c r="BK191" i="3"/>
  <c r="CT191" i="3"/>
  <c r="BH191" i="3"/>
  <c r="CS190" i="3"/>
  <c r="AR190" i="3"/>
  <c r="AS190" i="3" s="1"/>
  <c r="BK190" i="3"/>
  <c r="BF190" i="3"/>
  <c r="CT190" i="3"/>
  <c r="BH190" i="3"/>
  <c r="BP117" i="3"/>
  <c r="BT117" i="3" s="1"/>
  <c r="BL117" i="3"/>
  <c r="BN117" i="3" s="1"/>
  <c r="AK215" i="3"/>
  <c r="AJ215" i="3"/>
  <c r="BG215" i="3"/>
  <c r="AL215" i="3"/>
  <c r="AK214" i="3"/>
  <c r="AJ214" i="3"/>
  <c r="BG214" i="3"/>
  <c r="AL214" i="3"/>
  <c r="BP94" i="3"/>
  <c r="BT94" i="3" s="1"/>
  <c r="BL94" i="3"/>
  <c r="BN94" i="3" s="1"/>
  <c r="AK189" i="3"/>
  <c r="AJ189" i="3"/>
  <c r="BG189" i="3"/>
  <c r="AL189" i="3"/>
  <c r="CB239" i="3"/>
  <c r="AI239" i="3"/>
  <c r="BQ239" i="3"/>
  <c r="CB238" i="3"/>
  <c r="AI238" i="3"/>
  <c r="BQ238" i="3"/>
  <c r="BF141" i="3"/>
  <c r="CS141" i="3"/>
  <c r="AR141" i="3"/>
  <c r="AS141" i="3" s="1"/>
  <c r="BK141" i="3"/>
  <c r="CT141" i="3"/>
  <c r="BH141" i="3"/>
  <c r="CB213" i="3"/>
  <c r="AI213" i="3"/>
  <c r="BQ213" i="3"/>
  <c r="AH165" i="3"/>
  <c r="Y311" i="3"/>
  <c r="U311" i="3"/>
  <c r="W311" i="3" s="1"/>
  <c r="Y310" i="3"/>
  <c r="U310" i="3"/>
  <c r="W310" i="3" s="1"/>
  <c r="Y285" i="3"/>
  <c r="U285" i="3"/>
  <c r="W285" i="3" s="1"/>
  <c r="CQ335" i="3"/>
  <c r="CH335" i="3"/>
  <c r="AW335" i="3"/>
  <c r="AQ335" i="3"/>
  <c r="CP335" i="3"/>
  <c r="CI335" i="3"/>
  <c r="R335" i="3"/>
  <c r="AB335" i="3" s="1"/>
  <c r="CQ334" i="3"/>
  <c r="CH334" i="3"/>
  <c r="AW334" i="3"/>
  <c r="AQ334" i="3"/>
  <c r="CP334" i="3"/>
  <c r="CI334" i="3"/>
  <c r="R334" i="3"/>
  <c r="AB334" i="3" s="1"/>
  <c r="CQ333" i="3"/>
  <c r="CH333" i="3"/>
  <c r="AW333" i="3"/>
  <c r="AQ333" i="3"/>
  <c r="CP333" i="3"/>
  <c r="CI333" i="3"/>
  <c r="T309" i="3"/>
  <c r="R309" i="3"/>
  <c r="AB309" i="3" s="1"/>
  <c r="V309" i="3"/>
  <c r="BY107" i="3"/>
  <c r="Z291" i="3"/>
  <c r="AC291" i="3" s="1"/>
  <c r="AD291" i="3" s="1"/>
  <c r="H358" i="3" a="1"/>
  <c r="I358" i="3" a="1"/>
  <c r="J358" i="3" s="1"/>
  <c r="T358" i="3" s="1"/>
  <c r="L358" i="3" a="1"/>
  <c r="M358" i="3" a="1"/>
  <c r="O358" i="3" s="1"/>
  <c r="P358" i="3" a="1"/>
  <c r="Q358" i="3" s="1"/>
  <c r="V358" i="3" s="1"/>
  <c r="AZ358" i="3" a="1"/>
  <c r="BA358" i="3" a="1"/>
  <c r="BC358" i="3" a="1"/>
  <c r="BD358" i="3" a="1"/>
  <c r="BX358" i="3" a="1"/>
  <c r="BI69" i="3"/>
  <c r="BI93" i="3"/>
  <c r="BX357" i="3" a="1"/>
  <c r="L357" i="3" a="1"/>
  <c r="BC357" i="3" a="1"/>
  <c r="I357" i="3" a="1"/>
  <c r="P357" i="3" a="1"/>
  <c r="M357" i="3" a="1"/>
  <c r="BA357" i="3" a="1"/>
  <c r="BD357" i="3" a="1"/>
  <c r="AZ357" i="3" a="1"/>
  <c r="H357" i="3" a="1"/>
  <c r="CB107" i="3"/>
  <c r="CO107" i="3"/>
  <c r="J333" i="3"/>
  <c r="O333" i="3"/>
  <c r="Q333" i="3"/>
  <c r="Z330" i="3" l="1"/>
  <c r="AC330" i="3" s="1"/>
  <c r="AD330" i="3" s="1"/>
  <c r="Z319" i="3"/>
  <c r="AC319" i="3" s="1"/>
  <c r="AD319" i="3" s="1"/>
  <c r="CR307" i="3"/>
  <c r="BR307" i="3"/>
  <c r="AA307" i="3"/>
  <c r="AE307" i="3" s="1"/>
  <c r="AF307" i="3" s="1"/>
  <c r="AG307" i="3" s="1"/>
  <c r="AH307" i="3" s="1"/>
  <c r="CR296" i="3"/>
  <c r="BR296" i="3"/>
  <c r="AA296" i="3"/>
  <c r="AE296" i="3" s="1"/>
  <c r="AF296" i="3" s="1"/>
  <c r="AG296" i="3" s="1"/>
  <c r="AH296" i="3" s="1"/>
  <c r="Z313" i="3"/>
  <c r="AC313" i="3" s="1"/>
  <c r="AD313" i="3" s="1"/>
  <c r="CR308" i="3"/>
  <c r="AA308" i="3"/>
  <c r="AE308" i="3" s="1"/>
  <c r="AF308" i="3" s="1"/>
  <c r="AG308" i="3" s="1"/>
  <c r="AH308" i="3" s="1"/>
  <c r="BR308" i="3"/>
  <c r="CR294" i="3"/>
  <c r="BR294" i="3"/>
  <c r="AA294" i="3"/>
  <c r="AE294" i="3" s="1"/>
  <c r="AF294" i="3" s="1"/>
  <c r="AG294" i="3" s="1"/>
  <c r="AH294" i="3" s="1"/>
  <c r="CS199" i="3"/>
  <c r="AR199" i="3"/>
  <c r="AS199" i="3" s="1"/>
  <c r="BK199" i="3"/>
  <c r="BL199" i="3" s="1"/>
  <c r="CT199" i="3"/>
  <c r="BH199" i="3"/>
  <c r="BP199" i="3" s="1"/>
  <c r="BT199" i="3" s="1"/>
  <c r="Z323" i="3"/>
  <c r="AC323" i="3" s="1"/>
  <c r="AD323" i="3" s="1"/>
  <c r="Z325" i="3"/>
  <c r="AC325" i="3" s="1"/>
  <c r="AD325" i="3" s="1"/>
  <c r="BO146" i="3"/>
  <c r="BS146" i="3"/>
  <c r="CR288" i="3"/>
  <c r="BR288" i="3"/>
  <c r="AA288" i="3"/>
  <c r="AE288" i="3" s="1"/>
  <c r="AF288" i="3" s="1"/>
  <c r="AG288" i="3" s="1"/>
  <c r="AH288" i="3" s="1"/>
  <c r="CR290" i="3"/>
  <c r="BR290" i="3"/>
  <c r="AA290" i="3"/>
  <c r="AE290" i="3" s="1"/>
  <c r="AF290" i="3" s="1"/>
  <c r="AG290" i="3" s="1"/>
  <c r="AH290" i="3" s="1"/>
  <c r="CR293" i="3"/>
  <c r="BR293" i="3"/>
  <c r="AA293" i="3"/>
  <c r="AE293" i="3" s="1"/>
  <c r="AF293" i="3" s="1"/>
  <c r="AG293" i="3" s="1"/>
  <c r="AH293" i="3" s="1"/>
  <c r="CR292" i="3"/>
  <c r="BR292" i="3"/>
  <c r="AA292" i="3"/>
  <c r="AE292" i="3" s="1"/>
  <c r="AF292" i="3" s="1"/>
  <c r="AG292" i="3" s="1"/>
  <c r="AH292" i="3" s="1"/>
  <c r="BN176" i="3"/>
  <c r="Z321" i="3"/>
  <c r="AC321" i="3" s="1"/>
  <c r="AD321" i="3" s="1"/>
  <c r="Z311" i="3"/>
  <c r="AC311" i="3" s="1"/>
  <c r="AD311" i="3" s="1"/>
  <c r="Z315" i="3"/>
  <c r="AC315" i="3" s="1"/>
  <c r="AD315" i="3" s="1"/>
  <c r="Z285" i="3"/>
  <c r="AC285" i="3" s="1"/>
  <c r="AD285" i="3" s="1"/>
  <c r="BO153" i="3"/>
  <c r="BS153" i="3"/>
  <c r="CR305" i="3"/>
  <c r="BR305" i="3"/>
  <c r="AA305" i="3"/>
  <c r="AE305" i="3" s="1"/>
  <c r="AF305" i="3" s="1"/>
  <c r="AG305" i="3" s="1"/>
  <c r="AH305" i="3" s="1"/>
  <c r="CR301" i="3"/>
  <c r="AA301" i="3"/>
  <c r="AE301" i="3" s="1"/>
  <c r="AF301" i="3" s="1"/>
  <c r="AG301" i="3" s="1"/>
  <c r="AH301" i="3" s="1"/>
  <c r="BR301" i="3"/>
  <c r="CR298" i="3"/>
  <c r="AA298" i="3"/>
  <c r="AE298" i="3" s="1"/>
  <c r="AF298" i="3" s="1"/>
  <c r="AG298" i="3" s="1"/>
  <c r="AH298" i="3" s="1"/>
  <c r="BR298" i="3"/>
  <c r="CR287" i="3"/>
  <c r="AA287" i="3"/>
  <c r="AE287" i="3" s="1"/>
  <c r="BR287" i="3"/>
  <c r="CR295" i="3"/>
  <c r="BR295" i="3"/>
  <c r="AA295" i="3"/>
  <c r="AE295" i="3" s="1"/>
  <c r="AF295" i="3" s="1"/>
  <c r="AG295" i="3" s="1"/>
  <c r="AH295" i="3" s="1"/>
  <c r="CR302" i="3"/>
  <c r="AA302" i="3"/>
  <c r="AE302" i="3" s="1"/>
  <c r="AF302" i="3" s="1"/>
  <c r="AG302" i="3" s="1"/>
  <c r="AH302" i="3" s="1"/>
  <c r="BR302" i="3"/>
  <c r="CS204" i="3"/>
  <c r="BK204" i="3"/>
  <c r="BL204" i="3" s="1"/>
  <c r="AR204" i="3"/>
  <c r="AS204" i="3" s="1"/>
  <c r="CT204" i="3"/>
  <c r="BH204" i="3"/>
  <c r="BP204" i="3" s="1"/>
  <c r="BT204" i="3" s="1"/>
  <c r="Z322" i="3"/>
  <c r="AC322" i="3" s="1"/>
  <c r="AD322" i="3" s="1"/>
  <c r="Z317" i="3"/>
  <c r="AC317" i="3" s="1"/>
  <c r="AD317" i="3" s="1"/>
  <c r="Z310" i="3"/>
  <c r="AC310" i="3" s="1"/>
  <c r="AD310" i="3" s="1"/>
  <c r="Z326" i="3"/>
  <c r="AC326" i="3" s="1"/>
  <c r="AD326" i="3" s="1"/>
  <c r="CR261" i="3"/>
  <c r="BR261" i="3"/>
  <c r="AA261" i="3"/>
  <c r="AE261" i="3" s="1"/>
  <c r="AF261" i="3" s="1"/>
  <c r="AG261" i="3" s="1"/>
  <c r="AH261" i="3" s="1"/>
  <c r="Z324" i="3"/>
  <c r="AC324" i="3" s="1"/>
  <c r="AD324" i="3" s="1"/>
  <c r="Z316" i="3"/>
  <c r="AC316" i="3" s="1"/>
  <c r="AD316" i="3" s="1"/>
  <c r="Z318" i="3"/>
  <c r="AC318" i="3" s="1"/>
  <c r="AD318" i="3" s="1"/>
  <c r="CR306" i="3"/>
  <c r="BR306" i="3"/>
  <c r="AA306" i="3"/>
  <c r="AE306" i="3" s="1"/>
  <c r="AF306" i="3" s="1"/>
  <c r="AG306" i="3" s="1"/>
  <c r="AH306" i="3" s="1"/>
  <c r="CR289" i="3"/>
  <c r="AA289" i="3"/>
  <c r="AE289" i="3" s="1"/>
  <c r="AF289" i="3" s="1"/>
  <c r="AG289" i="3" s="1"/>
  <c r="AH289" i="3" s="1"/>
  <c r="BR289" i="3"/>
  <c r="CR297" i="3"/>
  <c r="BR297" i="3"/>
  <c r="AA297" i="3"/>
  <c r="AE297" i="3" s="1"/>
  <c r="AF297" i="3" s="1"/>
  <c r="AG297" i="3" s="1"/>
  <c r="AH297" i="3" s="1"/>
  <c r="CR300" i="3"/>
  <c r="BR300" i="3"/>
  <c r="AA300" i="3"/>
  <c r="AE300" i="3" s="1"/>
  <c r="AF300" i="3" s="1"/>
  <c r="AG300" i="3" s="1"/>
  <c r="AH300" i="3" s="1"/>
  <c r="BN170" i="3"/>
  <c r="Z312" i="3"/>
  <c r="AC312" i="3" s="1"/>
  <c r="AD312" i="3" s="1"/>
  <c r="CR304" i="3"/>
  <c r="BR304" i="3"/>
  <c r="AA304" i="3"/>
  <c r="AE304" i="3" s="1"/>
  <c r="AF304" i="3" s="1"/>
  <c r="AG304" i="3" s="1"/>
  <c r="AH304" i="3" s="1"/>
  <c r="Z327" i="3"/>
  <c r="AC327" i="3" s="1"/>
  <c r="AD327" i="3" s="1"/>
  <c r="Z331" i="3"/>
  <c r="AC331" i="3" s="1"/>
  <c r="AD331" i="3" s="1"/>
  <c r="CB245" i="3"/>
  <c r="BQ245" i="3"/>
  <c r="AI245" i="3"/>
  <c r="BO142" i="3"/>
  <c r="BS142" i="3"/>
  <c r="CS193" i="3"/>
  <c r="AR193" i="3"/>
  <c r="AS193" i="3" s="1"/>
  <c r="BK193" i="3"/>
  <c r="BL193" i="3" s="1"/>
  <c r="CT193" i="3"/>
  <c r="BH193" i="3"/>
  <c r="BP193" i="3" s="1"/>
  <c r="BT193" i="3" s="1"/>
  <c r="AF265" i="3"/>
  <c r="AG265" i="3" s="1"/>
  <c r="AH265" i="3" s="1"/>
  <c r="AF263" i="3"/>
  <c r="AG263" i="3" s="1"/>
  <c r="AH263" i="3" s="1"/>
  <c r="AF264" i="3"/>
  <c r="AG264" i="3" s="1"/>
  <c r="AH264" i="3" s="1"/>
  <c r="AF237" i="3"/>
  <c r="AG237" i="3" s="1"/>
  <c r="AH237" i="3" s="1"/>
  <c r="CR299" i="3"/>
  <c r="BR299" i="3"/>
  <c r="AA299" i="3"/>
  <c r="AE299" i="3" s="1"/>
  <c r="AF299" i="3" s="1"/>
  <c r="AG299" i="3" s="1"/>
  <c r="AH299" i="3" s="1"/>
  <c r="Z320" i="3"/>
  <c r="AC320" i="3" s="1"/>
  <c r="AD320" i="3" s="1"/>
  <c r="CR286" i="3"/>
  <c r="BR286" i="3"/>
  <c r="AA286" i="3"/>
  <c r="AE286" i="3" s="1"/>
  <c r="CR303" i="3"/>
  <c r="BR303" i="3"/>
  <c r="AA303" i="3"/>
  <c r="AE303" i="3" s="1"/>
  <c r="AF280" i="3"/>
  <c r="AG280" i="3" s="1"/>
  <c r="AH280" i="3" s="1"/>
  <c r="Z329" i="3"/>
  <c r="AC329" i="3" s="1"/>
  <c r="AD329" i="3" s="1"/>
  <c r="Z314" i="3"/>
  <c r="AC314" i="3" s="1"/>
  <c r="AD314" i="3" s="1"/>
  <c r="Z328" i="3"/>
  <c r="AC328" i="3" s="1"/>
  <c r="AD328" i="3" s="1"/>
  <c r="CB258" i="3"/>
  <c r="AI258" i="3"/>
  <c r="BQ258" i="3"/>
  <c r="CD476" i="3"/>
  <c r="C500" i="3"/>
  <c r="G452" i="3" a="1"/>
  <c r="BB452" i="3" a="1"/>
  <c r="E476" i="3"/>
  <c r="CC476" i="3"/>
  <c r="A500" i="3"/>
  <c r="CD451" i="3"/>
  <c r="C475" i="3"/>
  <c r="G427" i="3" a="1"/>
  <c r="BB427" i="3" a="1"/>
  <c r="CE427" i="3" a="1"/>
  <c r="B427" i="3" a="1"/>
  <c r="E451" i="3"/>
  <c r="CC451" i="3"/>
  <c r="A475" i="3"/>
  <c r="CD450" i="3"/>
  <c r="C474" i="3"/>
  <c r="G426" i="3" a="1"/>
  <c r="BB426" i="3" a="1"/>
  <c r="CE426" i="3" a="1"/>
  <c r="B426" i="3" a="1"/>
  <c r="E450" i="3"/>
  <c r="CC450" i="3"/>
  <c r="A474" i="3"/>
  <c r="CD449" i="3"/>
  <c r="C473" i="3"/>
  <c r="G425" i="3" a="1"/>
  <c r="BB425" i="3" a="1"/>
  <c r="CE425" i="3" a="1"/>
  <c r="B425" i="3" a="1"/>
  <c r="E449" i="3"/>
  <c r="CC449" i="3"/>
  <c r="A473" i="3"/>
  <c r="CD448" i="3"/>
  <c r="C472" i="3"/>
  <c r="G424" i="3" a="1"/>
  <c r="BB424" i="3" a="1"/>
  <c r="CE424" i="3" a="1"/>
  <c r="B424" i="3" a="1"/>
  <c r="E448" i="3"/>
  <c r="CC448" i="3"/>
  <c r="A472" i="3"/>
  <c r="CD447" i="3"/>
  <c r="C471" i="3"/>
  <c r="G423" i="3" a="1"/>
  <c r="BB423" i="3" a="1"/>
  <c r="CE423" i="3" a="1"/>
  <c r="B423" i="3" a="1"/>
  <c r="E447" i="3"/>
  <c r="CC447" i="3"/>
  <c r="A471" i="3"/>
  <c r="CD446" i="3"/>
  <c r="C470" i="3"/>
  <c r="G422" i="3" a="1"/>
  <c r="BB422" i="3" a="1"/>
  <c r="CE422" i="3" a="1"/>
  <c r="B422" i="3" a="1"/>
  <c r="E446" i="3"/>
  <c r="CC446" i="3"/>
  <c r="A470" i="3"/>
  <c r="CD445" i="3"/>
  <c r="C469" i="3"/>
  <c r="G421" i="3" a="1"/>
  <c r="BB421" i="3" a="1"/>
  <c r="CE421" i="3" a="1"/>
  <c r="B421" i="3" a="1"/>
  <c r="E445" i="3"/>
  <c r="CC445" i="3"/>
  <c r="A469" i="3"/>
  <c r="CD444" i="3"/>
  <c r="C468" i="3"/>
  <c r="G420" i="3" a="1"/>
  <c r="BB420" i="3" a="1"/>
  <c r="CE420" i="3" a="1"/>
  <c r="B420" i="3" a="1"/>
  <c r="E444" i="3"/>
  <c r="CC444" i="3"/>
  <c r="A468" i="3"/>
  <c r="CD443" i="3"/>
  <c r="C467" i="3"/>
  <c r="G419" i="3" a="1"/>
  <c r="BB419" i="3" a="1"/>
  <c r="CE419" i="3" a="1"/>
  <c r="B419" i="3" a="1"/>
  <c r="E443" i="3"/>
  <c r="CC443" i="3"/>
  <c r="A467" i="3"/>
  <c r="CD442" i="3"/>
  <c r="C466" i="3"/>
  <c r="G418" i="3" a="1"/>
  <c r="BB418" i="3" a="1"/>
  <c r="CE418" i="3" a="1"/>
  <c r="B418" i="3" a="1"/>
  <c r="E442" i="3"/>
  <c r="CC442" i="3"/>
  <c r="A466" i="3"/>
  <c r="CD441" i="3"/>
  <c r="C465" i="3"/>
  <c r="G417" i="3" a="1"/>
  <c r="BB417" i="3" a="1"/>
  <c r="CE417" i="3" a="1"/>
  <c r="B417" i="3" a="1"/>
  <c r="E441" i="3"/>
  <c r="CC441" i="3"/>
  <c r="A465" i="3"/>
  <c r="CD440" i="3"/>
  <c r="C464" i="3"/>
  <c r="G416" i="3" a="1"/>
  <c r="BB416" i="3" a="1"/>
  <c r="CE416" i="3" a="1"/>
  <c r="B416" i="3" a="1"/>
  <c r="E440" i="3"/>
  <c r="CC440" i="3"/>
  <c r="A464" i="3"/>
  <c r="CD439" i="3"/>
  <c r="C463" i="3"/>
  <c r="G415" i="3" a="1"/>
  <c r="BB415" i="3" a="1"/>
  <c r="CE415" i="3" a="1"/>
  <c r="B415" i="3" a="1"/>
  <c r="E439" i="3"/>
  <c r="CC439" i="3"/>
  <c r="A463" i="3"/>
  <c r="C462" i="3"/>
  <c r="CD438" i="3"/>
  <c r="G414" i="3" a="1"/>
  <c r="BB414" i="3" a="1"/>
  <c r="CE414" i="3" a="1"/>
  <c r="B414" i="3" a="1"/>
  <c r="E438" i="3"/>
  <c r="CC438" i="3"/>
  <c r="A462" i="3"/>
  <c r="CD413" i="3"/>
  <c r="C437" i="3"/>
  <c r="B389" i="3" a="1"/>
  <c r="G389" i="3" a="1"/>
  <c r="BB389" i="3" a="1"/>
  <c r="CE389" i="3" a="1"/>
  <c r="E413" i="3"/>
  <c r="CC413" i="3"/>
  <c r="A437" i="3"/>
  <c r="CD412" i="3"/>
  <c r="C436" i="3"/>
  <c r="B388" i="3" a="1"/>
  <c r="BB388" i="3" a="1"/>
  <c r="CE388" i="3" a="1"/>
  <c r="G388" i="3" a="1"/>
  <c r="E412" i="3"/>
  <c r="CC412" i="3"/>
  <c r="A436" i="3"/>
  <c r="CD411" i="3"/>
  <c r="C435" i="3"/>
  <c r="B387" i="3" a="1"/>
  <c r="BB387" i="3" a="1"/>
  <c r="CE387" i="3" a="1"/>
  <c r="G387" i="3" a="1"/>
  <c r="E411" i="3"/>
  <c r="CC411" i="3"/>
  <c r="A435" i="3"/>
  <c r="CD410" i="3"/>
  <c r="C434" i="3"/>
  <c r="B386" i="3" a="1"/>
  <c r="BB386" i="3" a="1"/>
  <c r="CE386" i="3" a="1"/>
  <c r="G386" i="3" a="1"/>
  <c r="E410" i="3"/>
  <c r="CC410" i="3"/>
  <c r="A434" i="3"/>
  <c r="CD409" i="3"/>
  <c r="C433" i="3"/>
  <c r="B385" i="3" a="1"/>
  <c r="BB385" i="3" a="1"/>
  <c r="CE385" i="3" a="1"/>
  <c r="G385" i="3" a="1"/>
  <c r="E409" i="3"/>
  <c r="CC409" i="3"/>
  <c r="A433" i="3"/>
  <c r="CD408" i="3"/>
  <c r="C432" i="3"/>
  <c r="B384" i="3" a="1"/>
  <c r="BB384" i="3" a="1"/>
  <c r="CE384" i="3" a="1"/>
  <c r="G384" i="3" a="1"/>
  <c r="E408" i="3"/>
  <c r="CC408" i="3"/>
  <c r="A432" i="3"/>
  <c r="Y359" i="3"/>
  <c r="U359" i="3"/>
  <c r="W359" i="3" s="1"/>
  <c r="AQ383" i="3"/>
  <c r="AW383" i="3"/>
  <c r="CH383" i="3"/>
  <c r="CQ383" i="3"/>
  <c r="CI383" i="3"/>
  <c r="CP383" i="3"/>
  <c r="R383" i="3"/>
  <c r="AB383" i="3" s="1"/>
  <c r="F407" i="3" a="1"/>
  <c r="D431" i="3"/>
  <c r="CD407" i="3"/>
  <c r="C431" i="3"/>
  <c r="B383" i="3" a="1"/>
  <c r="BB383" i="3" a="1"/>
  <c r="CE383" i="3" a="1"/>
  <c r="G383" i="3" a="1"/>
  <c r="E407" i="3"/>
  <c r="CC407" i="3"/>
  <c r="A431" i="3"/>
  <c r="F406" i="3" a="1"/>
  <c r="H406" i="3" a="1"/>
  <c r="I406" i="3" a="1"/>
  <c r="J406" i="3" s="1"/>
  <c r="T406" i="3" s="1"/>
  <c r="D430" i="3"/>
  <c r="CD406" i="3"/>
  <c r="C430" i="3"/>
  <c r="BB382" i="3" a="1"/>
  <c r="CE382" i="3" a="1"/>
  <c r="G382" i="3" a="1"/>
  <c r="B382" i="3" a="1"/>
  <c r="E406" i="3"/>
  <c r="CC406" i="3"/>
  <c r="A430" i="3"/>
  <c r="F405" i="3" a="1"/>
  <c r="D429" i="3"/>
  <c r="CD405" i="3"/>
  <c r="C429" i="3"/>
  <c r="G381" i="3" a="1"/>
  <c r="BB381" i="3" a="1"/>
  <c r="CE381" i="3" a="1"/>
  <c r="B381" i="3" a="1"/>
  <c r="E405" i="3"/>
  <c r="CC405" i="3"/>
  <c r="A429" i="3"/>
  <c r="CK92" i="3"/>
  <c r="CM92" i="3"/>
  <c r="BZ92" i="3"/>
  <c r="CL92" i="3"/>
  <c r="CJ92" i="3"/>
  <c r="AN92" i="3"/>
  <c r="BJ92" i="3" s="1"/>
  <c r="CA92" i="3"/>
  <c r="AM92" i="3"/>
  <c r="BI92" i="3" s="1"/>
  <c r="BZ140" i="3"/>
  <c r="CL140" i="3"/>
  <c r="CK140" i="3"/>
  <c r="CM140" i="3"/>
  <c r="CJ140" i="3"/>
  <c r="AN140" i="3"/>
  <c r="BJ140" i="3" s="1"/>
  <c r="CA140" i="3"/>
  <c r="AM140" i="3"/>
  <c r="BI140" i="3" s="1"/>
  <c r="BO188" i="3"/>
  <c r="BS188" i="3"/>
  <c r="BV188" i="3"/>
  <c r="BU188" i="3"/>
  <c r="BL212" i="3"/>
  <c r="BN212" i="3" s="1"/>
  <c r="BP212" i="3"/>
  <c r="BT212" i="3" s="1"/>
  <c r="BF236" i="3"/>
  <c r="CS236" i="3"/>
  <c r="AR236" i="3"/>
  <c r="AS236" i="3" s="1"/>
  <c r="BK236" i="3"/>
  <c r="CT236" i="3"/>
  <c r="BH236" i="3"/>
  <c r="AK260" i="3"/>
  <c r="AJ260" i="3"/>
  <c r="BG260" i="3"/>
  <c r="AL260" i="3"/>
  <c r="CB284" i="3"/>
  <c r="AI284" i="3"/>
  <c r="BQ284" i="3"/>
  <c r="Y356" i="3"/>
  <c r="U356" i="3"/>
  <c r="W356" i="3" s="1"/>
  <c r="AQ380" i="3"/>
  <c r="AW380" i="3"/>
  <c r="CH380" i="3"/>
  <c r="CQ380" i="3"/>
  <c r="CI380" i="3"/>
  <c r="CP380" i="3"/>
  <c r="R380" i="3"/>
  <c r="AB380" i="3" s="1"/>
  <c r="F404" i="3" a="1"/>
  <c r="H404" i="3" a="1"/>
  <c r="I404" i="3" a="1"/>
  <c r="J404" i="3" s="1"/>
  <c r="T404" i="3" s="1"/>
  <c r="L404" i="3" a="1"/>
  <c r="M404" i="3" a="1"/>
  <c r="O404" i="3" s="1"/>
  <c r="P404" i="3" a="1"/>
  <c r="Q404" i="3" s="1"/>
  <c r="V404" i="3" s="1"/>
  <c r="AZ404" i="3" a="1"/>
  <c r="BA404" i="3" a="1"/>
  <c r="BC404" i="3" a="1"/>
  <c r="BD404" i="3" a="1"/>
  <c r="BX404" i="3" a="1"/>
  <c r="D428" i="3"/>
  <c r="CO164" i="3"/>
  <c r="BW164" i="3"/>
  <c r="BY164" i="3" s="1"/>
  <c r="BZ91" i="3"/>
  <c r="CL91" i="3"/>
  <c r="CK91" i="3"/>
  <c r="CM91" i="3"/>
  <c r="CJ91" i="3"/>
  <c r="AN91" i="3"/>
  <c r="BJ91" i="3" s="1"/>
  <c r="CA91" i="3"/>
  <c r="AM91" i="3"/>
  <c r="BI91" i="3" s="1"/>
  <c r="CO163" i="3"/>
  <c r="BW163" i="3"/>
  <c r="BY163" i="3" s="1"/>
  <c r="BS187" i="3"/>
  <c r="BO187" i="3"/>
  <c r="BU187" i="3"/>
  <c r="BV187" i="3"/>
  <c r="BL211" i="3"/>
  <c r="BN211" i="3" s="1"/>
  <c r="BP211" i="3"/>
  <c r="BT211" i="3" s="1"/>
  <c r="BF235" i="3"/>
  <c r="CS235" i="3"/>
  <c r="AR235" i="3"/>
  <c r="AS235" i="3" s="1"/>
  <c r="BK235" i="3"/>
  <c r="CT235" i="3"/>
  <c r="BH235" i="3"/>
  <c r="AK259" i="3"/>
  <c r="AJ259" i="3"/>
  <c r="BG259" i="3"/>
  <c r="AL259" i="3"/>
  <c r="CB283" i="3"/>
  <c r="AI283" i="3"/>
  <c r="BQ283" i="3"/>
  <c r="Y355" i="3"/>
  <c r="U355" i="3"/>
  <c r="W355" i="3" s="1"/>
  <c r="AQ379" i="3"/>
  <c r="AW379" i="3"/>
  <c r="CH379" i="3"/>
  <c r="CQ379" i="3"/>
  <c r="CI379" i="3"/>
  <c r="CP379" i="3"/>
  <c r="R379" i="3"/>
  <c r="AB379" i="3" s="1"/>
  <c r="F403" i="3" a="1"/>
  <c r="H403" i="3" a="1"/>
  <c r="I403" i="3" a="1"/>
  <c r="J403" i="3" s="1"/>
  <c r="T403" i="3" s="1"/>
  <c r="L403" i="3" a="1"/>
  <c r="M403" i="3" a="1"/>
  <c r="O403" i="3" s="1"/>
  <c r="P403" i="3" a="1"/>
  <c r="Q403" i="3" s="1"/>
  <c r="V403" i="3" s="1"/>
  <c r="AZ403" i="3" a="1"/>
  <c r="BA403" i="3" a="1"/>
  <c r="BC403" i="3" a="1"/>
  <c r="BD403" i="3" a="1"/>
  <c r="BX403" i="3" a="1"/>
  <c r="D427" i="3"/>
  <c r="CM90" i="3"/>
  <c r="BZ90" i="3"/>
  <c r="CK90" i="3"/>
  <c r="CL90" i="3"/>
  <c r="CJ90" i="3"/>
  <c r="AN90" i="3"/>
  <c r="BJ90" i="3" s="1"/>
  <c r="CA90" i="3"/>
  <c r="AM90" i="3"/>
  <c r="BI90" i="3" s="1"/>
  <c r="CM138" i="3"/>
  <c r="BZ138" i="3"/>
  <c r="CK138" i="3"/>
  <c r="CL138" i="3"/>
  <c r="CJ138" i="3"/>
  <c r="AN138" i="3"/>
  <c r="BJ138" i="3" s="1"/>
  <c r="CA138" i="3"/>
  <c r="AM138" i="3"/>
  <c r="BI138" i="3" s="1"/>
  <c r="BO186" i="3"/>
  <c r="BS186" i="3"/>
  <c r="BU186" i="3"/>
  <c r="BV186" i="3"/>
  <c r="BL210" i="3"/>
  <c r="BN210" i="3" s="1"/>
  <c r="BP210" i="3"/>
  <c r="BT210" i="3" s="1"/>
  <c r="BF234" i="3"/>
  <c r="CS234" i="3"/>
  <c r="AR234" i="3"/>
  <c r="AS234" i="3" s="1"/>
  <c r="BK234" i="3"/>
  <c r="CT234" i="3"/>
  <c r="BH234" i="3"/>
  <c r="CB282" i="3"/>
  <c r="AI282" i="3"/>
  <c r="BQ282" i="3"/>
  <c r="Y354" i="3"/>
  <c r="U354" i="3"/>
  <c r="W354" i="3" s="1"/>
  <c r="AQ378" i="3"/>
  <c r="AW378" i="3"/>
  <c r="CH378" i="3"/>
  <c r="CQ378" i="3"/>
  <c r="CI378" i="3"/>
  <c r="CP378" i="3"/>
  <c r="R378" i="3"/>
  <c r="AB378" i="3" s="1"/>
  <c r="F402" i="3" a="1"/>
  <c r="H402" i="3" a="1"/>
  <c r="I402" i="3" a="1"/>
  <c r="J402" i="3" s="1"/>
  <c r="T402" i="3" s="1"/>
  <c r="L402" i="3" a="1"/>
  <c r="M402" i="3" a="1"/>
  <c r="O402" i="3" s="1"/>
  <c r="P402" i="3" a="1"/>
  <c r="Q402" i="3" s="1"/>
  <c r="V402" i="3" s="1"/>
  <c r="AZ402" i="3" a="1"/>
  <c r="BA402" i="3" a="1"/>
  <c r="BC402" i="3" a="1"/>
  <c r="BD402" i="3" a="1"/>
  <c r="BX402" i="3" a="1"/>
  <c r="D426" i="3"/>
  <c r="BW162" i="3"/>
  <c r="BY162" i="3" s="1"/>
  <c r="CO162" i="3"/>
  <c r="CM89" i="3"/>
  <c r="BZ89" i="3"/>
  <c r="CK89" i="3"/>
  <c r="CL89" i="3"/>
  <c r="CJ89" i="3"/>
  <c r="AN89" i="3"/>
  <c r="BJ89" i="3" s="1"/>
  <c r="CA89" i="3"/>
  <c r="AM89" i="3"/>
  <c r="BI89" i="3" s="1"/>
  <c r="CM137" i="3"/>
  <c r="BZ137" i="3"/>
  <c r="CK137" i="3"/>
  <c r="CL137" i="3"/>
  <c r="CJ137" i="3"/>
  <c r="AN137" i="3"/>
  <c r="BJ137" i="3" s="1"/>
  <c r="CA137" i="3"/>
  <c r="AM137" i="3"/>
  <c r="BI137" i="3" s="1"/>
  <c r="CO161" i="3"/>
  <c r="BW161" i="3"/>
  <c r="BY161" i="3" s="1"/>
  <c r="BL209" i="3"/>
  <c r="BN209" i="3" s="1"/>
  <c r="BP209" i="3"/>
  <c r="BT209" i="3" s="1"/>
  <c r="BF233" i="3"/>
  <c r="CS233" i="3"/>
  <c r="AR233" i="3"/>
  <c r="AS233" i="3" s="1"/>
  <c r="BK233" i="3"/>
  <c r="CT233" i="3"/>
  <c r="BH233" i="3"/>
  <c r="AK257" i="3"/>
  <c r="AJ257" i="3"/>
  <c r="BG257" i="3"/>
  <c r="AL257" i="3"/>
  <c r="CB281" i="3"/>
  <c r="AI281" i="3"/>
  <c r="BQ281" i="3"/>
  <c r="Y353" i="3"/>
  <c r="U353" i="3"/>
  <c r="W353" i="3" s="1"/>
  <c r="AQ377" i="3"/>
  <c r="AW377" i="3"/>
  <c r="CH377" i="3"/>
  <c r="CQ377" i="3"/>
  <c r="CI377" i="3"/>
  <c r="CP377" i="3"/>
  <c r="R377" i="3"/>
  <c r="AB377" i="3" s="1"/>
  <c r="F401" i="3" a="1"/>
  <c r="H401" i="3" a="1"/>
  <c r="I401" i="3" a="1"/>
  <c r="J401" i="3" s="1"/>
  <c r="T401" i="3" s="1"/>
  <c r="L401" i="3" a="1"/>
  <c r="M401" i="3" a="1"/>
  <c r="O401" i="3" s="1"/>
  <c r="P401" i="3" a="1"/>
  <c r="Q401" i="3" s="1"/>
  <c r="V401" i="3" s="1"/>
  <c r="AZ401" i="3" a="1"/>
  <c r="BA401" i="3" a="1"/>
  <c r="BC401" i="3" a="1"/>
  <c r="BD401" i="3" a="1"/>
  <c r="BX401" i="3" a="1"/>
  <c r="D425" i="3"/>
  <c r="BO185" i="3"/>
  <c r="BS185" i="3"/>
  <c r="BU185" i="3"/>
  <c r="BV185" i="3"/>
  <c r="CM88" i="3"/>
  <c r="BZ88" i="3"/>
  <c r="CK88" i="3"/>
  <c r="CL88" i="3"/>
  <c r="CJ88" i="3"/>
  <c r="AN88" i="3"/>
  <c r="BJ88" i="3" s="1"/>
  <c r="CA88" i="3"/>
  <c r="AM88" i="3"/>
  <c r="BI88" i="3" s="1"/>
  <c r="CM136" i="3"/>
  <c r="BZ136" i="3"/>
  <c r="CK136" i="3"/>
  <c r="CL136" i="3"/>
  <c r="CJ136" i="3"/>
  <c r="AN136" i="3"/>
  <c r="BJ136" i="3" s="1"/>
  <c r="CA136" i="3"/>
  <c r="AM136" i="3"/>
  <c r="BI136" i="3" s="1"/>
  <c r="BW160" i="3"/>
  <c r="BY160" i="3" s="1"/>
  <c r="CO160" i="3"/>
  <c r="BS184" i="3"/>
  <c r="BO184" i="3"/>
  <c r="BU184" i="3"/>
  <c r="BV184" i="3"/>
  <c r="BF232" i="3"/>
  <c r="CS232" i="3"/>
  <c r="AR232" i="3"/>
  <c r="AS232" i="3" s="1"/>
  <c r="BK232" i="3"/>
  <c r="CT232" i="3"/>
  <c r="BH232" i="3"/>
  <c r="AJ256" i="3"/>
  <c r="AK256" i="3"/>
  <c r="BG256" i="3"/>
  <c r="AL256" i="3"/>
  <c r="Y352" i="3"/>
  <c r="U352" i="3"/>
  <c r="W352" i="3" s="1"/>
  <c r="AQ376" i="3"/>
  <c r="AW376" i="3"/>
  <c r="CH376" i="3"/>
  <c r="CQ376" i="3"/>
  <c r="CI376" i="3"/>
  <c r="CP376" i="3"/>
  <c r="R376" i="3"/>
  <c r="AB376" i="3" s="1"/>
  <c r="F400" i="3" a="1"/>
  <c r="H400" i="3" a="1"/>
  <c r="I400" i="3" a="1"/>
  <c r="J400" i="3" s="1"/>
  <c r="T400" i="3" s="1"/>
  <c r="L400" i="3" a="1"/>
  <c r="M400" i="3" a="1"/>
  <c r="O400" i="3" s="1"/>
  <c r="P400" i="3" a="1"/>
  <c r="Q400" i="3" s="1"/>
  <c r="V400" i="3" s="1"/>
  <c r="AZ400" i="3" a="1"/>
  <c r="BA400" i="3" a="1"/>
  <c r="BC400" i="3" a="1"/>
  <c r="BD400" i="3" a="1"/>
  <c r="BX400" i="3" a="1"/>
  <c r="D424" i="3"/>
  <c r="BL208" i="3"/>
  <c r="BN208" i="3" s="1"/>
  <c r="BP208" i="3"/>
  <c r="BT208" i="3" s="1"/>
  <c r="CM87" i="3"/>
  <c r="BZ87" i="3"/>
  <c r="CK87" i="3"/>
  <c r="CL87" i="3"/>
  <c r="CJ87" i="3"/>
  <c r="AN87" i="3"/>
  <c r="BJ87" i="3" s="1"/>
  <c r="CA87" i="3"/>
  <c r="AM87" i="3"/>
  <c r="BI87" i="3" s="1"/>
  <c r="CM135" i="3"/>
  <c r="BZ135" i="3"/>
  <c r="CK135" i="3"/>
  <c r="CL135" i="3"/>
  <c r="CJ135" i="3"/>
  <c r="AN135" i="3"/>
  <c r="BJ135" i="3" s="1"/>
  <c r="CA135" i="3"/>
  <c r="AM135" i="3"/>
  <c r="BI135" i="3" s="1"/>
  <c r="BW159" i="3"/>
  <c r="BY159" i="3" s="1"/>
  <c r="CO159" i="3"/>
  <c r="BO183" i="3"/>
  <c r="BS183" i="3"/>
  <c r="BU183" i="3"/>
  <c r="BV183" i="3"/>
  <c r="BL207" i="3"/>
  <c r="BN207" i="3" s="1"/>
  <c r="BP207" i="3"/>
  <c r="BT207" i="3" s="1"/>
  <c r="BF231" i="3"/>
  <c r="CS231" i="3"/>
  <c r="AR231" i="3"/>
  <c r="AS231" i="3" s="1"/>
  <c r="BK231" i="3"/>
  <c r="CT231" i="3"/>
  <c r="BH231" i="3"/>
  <c r="CB279" i="3"/>
  <c r="AI279" i="3"/>
  <c r="BQ279" i="3"/>
  <c r="Y351" i="3"/>
  <c r="U351" i="3"/>
  <c r="W351" i="3" s="1"/>
  <c r="AQ375" i="3"/>
  <c r="AW375" i="3"/>
  <c r="CH375" i="3"/>
  <c r="CQ375" i="3"/>
  <c r="CI375" i="3"/>
  <c r="CP375" i="3"/>
  <c r="R375" i="3"/>
  <c r="AB375" i="3" s="1"/>
  <c r="F399" i="3" a="1"/>
  <c r="H399" i="3" a="1"/>
  <c r="I399" i="3" a="1"/>
  <c r="J399" i="3" s="1"/>
  <c r="T399" i="3" s="1"/>
  <c r="L399" i="3" a="1"/>
  <c r="M399" i="3" a="1"/>
  <c r="O399" i="3" s="1"/>
  <c r="P399" i="3" a="1"/>
  <c r="Q399" i="3" s="1"/>
  <c r="V399" i="3" s="1"/>
  <c r="AZ399" i="3" a="1"/>
  <c r="BA399" i="3" a="1"/>
  <c r="BC399" i="3" a="1"/>
  <c r="BD399" i="3" a="1"/>
  <c r="BX399" i="3" a="1"/>
  <c r="D423" i="3"/>
  <c r="AK255" i="3"/>
  <c r="AJ255" i="3"/>
  <c r="BG255" i="3"/>
  <c r="AL255" i="3"/>
  <c r="CM86" i="3"/>
  <c r="BZ86" i="3"/>
  <c r="CK86" i="3"/>
  <c r="CL86" i="3"/>
  <c r="CJ86" i="3"/>
  <c r="AN86" i="3"/>
  <c r="BJ86" i="3" s="1"/>
  <c r="CA86" i="3"/>
  <c r="AM86" i="3"/>
  <c r="BI86" i="3" s="1"/>
  <c r="CM134" i="3"/>
  <c r="BZ134" i="3"/>
  <c r="CK134" i="3"/>
  <c r="CL134" i="3"/>
  <c r="CJ134" i="3"/>
  <c r="AN134" i="3"/>
  <c r="BJ134" i="3" s="1"/>
  <c r="CA134" i="3"/>
  <c r="AM134" i="3"/>
  <c r="BI134" i="3" s="1"/>
  <c r="BW158" i="3"/>
  <c r="BY158" i="3" s="1"/>
  <c r="CO158" i="3"/>
  <c r="BS182" i="3"/>
  <c r="BO182" i="3"/>
  <c r="BV182" i="3"/>
  <c r="BU182" i="3"/>
  <c r="BL206" i="3"/>
  <c r="BN206" i="3" s="1"/>
  <c r="BP206" i="3"/>
  <c r="BT206" i="3" s="1"/>
  <c r="BF230" i="3"/>
  <c r="CS230" i="3"/>
  <c r="AR230" i="3"/>
  <c r="AS230" i="3" s="1"/>
  <c r="BK230" i="3"/>
  <c r="CT230" i="3"/>
  <c r="BH230" i="3"/>
  <c r="CB278" i="3"/>
  <c r="AI278" i="3"/>
  <c r="BQ278" i="3"/>
  <c r="Y350" i="3"/>
  <c r="U350" i="3"/>
  <c r="W350" i="3" s="1"/>
  <c r="AQ374" i="3"/>
  <c r="AW374" i="3"/>
  <c r="CH374" i="3"/>
  <c r="CQ374" i="3"/>
  <c r="CI374" i="3"/>
  <c r="CP374" i="3"/>
  <c r="R374" i="3"/>
  <c r="AB374" i="3" s="1"/>
  <c r="F398" i="3" a="1"/>
  <c r="H398" i="3" a="1"/>
  <c r="I398" i="3" a="1"/>
  <c r="J398" i="3" s="1"/>
  <c r="T398" i="3" s="1"/>
  <c r="L398" i="3" a="1"/>
  <c r="M398" i="3" a="1"/>
  <c r="O398" i="3" s="1"/>
  <c r="P398" i="3" a="1"/>
  <c r="Q398" i="3" s="1"/>
  <c r="V398" i="3" s="1"/>
  <c r="AZ398" i="3" a="1"/>
  <c r="BA398" i="3" a="1"/>
  <c r="BC398" i="3" a="1"/>
  <c r="BD398" i="3" a="1"/>
  <c r="BX398" i="3" a="1"/>
  <c r="D422" i="3"/>
  <c r="AK254" i="3"/>
  <c r="AJ254" i="3"/>
  <c r="BG254" i="3"/>
  <c r="AL254" i="3"/>
  <c r="CM85" i="3"/>
  <c r="BZ85" i="3"/>
  <c r="CK85" i="3"/>
  <c r="CL85" i="3"/>
  <c r="CJ85" i="3"/>
  <c r="AN85" i="3"/>
  <c r="BJ85" i="3" s="1"/>
  <c r="CA85" i="3"/>
  <c r="AM85" i="3"/>
  <c r="BI85" i="3" s="1"/>
  <c r="CM133" i="3"/>
  <c r="BZ133" i="3"/>
  <c r="CK133" i="3"/>
  <c r="CL133" i="3"/>
  <c r="CJ133" i="3"/>
  <c r="AN133" i="3"/>
  <c r="BJ133" i="3" s="1"/>
  <c r="CA133" i="3"/>
  <c r="AM133" i="3"/>
  <c r="BI133" i="3" s="1"/>
  <c r="BW157" i="3"/>
  <c r="BY157" i="3" s="1"/>
  <c r="CO157" i="3"/>
  <c r="BO181" i="3"/>
  <c r="BS181" i="3"/>
  <c r="BV181" i="3"/>
  <c r="BU181" i="3"/>
  <c r="BL205" i="3"/>
  <c r="BN205" i="3" s="1"/>
  <c r="BP205" i="3"/>
  <c r="BT205" i="3" s="1"/>
  <c r="BF229" i="3"/>
  <c r="CS229" i="3"/>
  <c r="AR229" i="3"/>
  <c r="AS229" i="3" s="1"/>
  <c r="BK229" i="3"/>
  <c r="CT229" i="3"/>
  <c r="BH229" i="3"/>
  <c r="BG253" i="3"/>
  <c r="AK253" i="3"/>
  <c r="AJ253" i="3"/>
  <c r="AL253" i="3"/>
  <c r="CB277" i="3"/>
  <c r="AI277" i="3"/>
  <c r="BQ277" i="3"/>
  <c r="Y349" i="3"/>
  <c r="U349" i="3"/>
  <c r="W349" i="3" s="1"/>
  <c r="AQ373" i="3"/>
  <c r="AW373" i="3"/>
  <c r="CH373" i="3"/>
  <c r="CQ373" i="3"/>
  <c r="CI373" i="3"/>
  <c r="CP373" i="3"/>
  <c r="R373" i="3"/>
  <c r="AB373" i="3" s="1"/>
  <c r="F397" i="3" a="1"/>
  <c r="H397" i="3" a="1"/>
  <c r="I397" i="3" a="1"/>
  <c r="J397" i="3" s="1"/>
  <c r="T397" i="3" s="1"/>
  <c r="L397" i="3" a="1"/>
  <c r="M397" i="3" a="1"/>
  <c r="O397" i="3" s="1"/>
  <c r="P397" i="3" a="1"/>
  <c r="Q397" i="3" s="1"/>
  <c r="V397" i="3" s="1"/>
  <c r="AZ397" i="3" a="1"/>
  <c r="BA397" i="3" a="1"/>
  <c r="BC397" i="3" a="1"/>
  <c r="BD397" i="3" a="1"/>
  <c r="BX397" i="3" a="1"/>
  <c r="D421" i="3"/>
  <c r="CM84" i="3"/>
  <c r="CK84" i="3"/>
  <c r="BZ84" i="3"/>
  <c r="CL84" i="3"/>
  <c r="CJ84" i="3"/>
  <c r="AN84" i="3"/>
  <c r="BJ84" i="3" s="1"/>
  <c r="CA84" i="3"/>
  <c r="AM84" i="3"/>
  <c r="BI84" i="3" s="1"/>
  <c r="BZ132" i="3"/>
  <c r="CK132" i="3"/>
  <c r="CL132" i="3"/>
  <c r="CM132" i="3"/>
  <c r="CJ132" i="3"/>
  <c r="AN132" i="3"/>
  <c r="BJ132" i="3" s="1"/>
  <c r="CA132" i="3"/>
  <c r="AM132" i="3"/>
  <c r="BI132" i="3" s="1"/>
  <c r="BW156" i="3"/>
  <c r="BY156" i="3" s="1"/>
  <c r="CO156" i="3"/>
  <c r="BF228" i="3"/>
  <c r="CS228" i="3"/>
  <c r="AR228" i="3"/>
  <c r="AS228" i="3" s="1"/>
  <c r="BK228" i="3"/>
  <c r="CT228" i="3"/>
  <c r="BH228" i="3"/>
  <c r="AK252" i="3"/>
  <c r="AJ252" i="3"/>
  <c r="BG252" i="3"/>
  <c r="AL252" i="3"/>
  <c r="CB276" i="3"/>
  <c r="AI276" i="3"/>
  <c r="BQ276" i="3"/>
  <c r="Y348" i="3"/>
  <c r="U348" i="3"/>
  <c r="W348" i="3" s="1"/>
  <c r="AQ372" i="3"/>
  <c r="AW372" i="3"/>
  <c r="CH372" i="3"/>
  <c r="CQ372" i="3"/>
  <c r="CI372" i="3"/>
  <c r="CP372" i="3"/>
  <c r="R372" i="3"/>
  <c r="AB372" i="3" s="1"/>
  <c r="F396" i="3" a="1"/>
  <c r="H396" i="3" a="1"/>
  <c r="I396" i="3" a="1"/>
  <c r="J396" i="3" s="1"/>
  <c r="T396" i="3" s="1"/>
  <c r="L396" i="3" a="1"/>
  <c r="M396" i="3" a="1"/>
  <c r="O396" i="3" s="1"/>
  <c r="P396" i="3" a="1"/>
  <c r="Q396" i="3" s="1"/>
  <c r="V396" i="3" s="1"/>
  <c r="AZ396" i="3" a="1"/>
  <c r="BA396" i="3" a="1"/>
  <c r="BC396" i="3" a="1"/>
  <c r="BD396" i="3" a="1"/>
  <c r="BX396" i="3" a="1"/>
  <c r="D420" i="3"/>
  <c r="BS180" i="3"/>
  <c r="BO180" i="3"/>
  <c r="BV180" i="3"/>
  <c r="BU180" i="3"/>
  <c r="CM83" i="3"/>
  <c r="BZ83" i="3"/>
  <c r="CK83" i="3"/>
  <c r="CL83" i="3"/>
  <c r="CJ83" i="3"/>
  <c r="AN83" i="3"/>
  <c r="BJ83" i="3" s="1"/>
  <c r="CA83" i="3"/>
  <c r="AM83" i="3"/>
  <c r="BI83" i="3" s="1"/>
  <c r="CM131" i="3"/>
  <c r="BZ131" i="3"/>
  <c r="CK131" i="3"/>
  <c r="CL131" i="3"/>
  <c r="CJ131" i="3"/>
  <c r="AN131" i="3"/>
  <c r="BJ131" i="3" s="1"/>
  <c r="CA131" i="3"/>
  <c r="AM131" i="3"/>
  <c r="BI131" i="3" s="1"/>
  <c r="BW155" i="3"/>
  <c r="BY155" i="3" s="1"/>
  <c r="CO155" i="3"/>
  <c r="BO179" i="3"/>
  <c r="BS179" i="3"/>
  <c r="BU179" i="3"/>
  <c r="BV179" i="3"/>
  <c r="BL203" i="3"/>
  <c r="BN203" i="3" s="1"/>
  <c r="BP203" i="3"/>
  <c r="BT203" i="3" s="1"/>
  <c r="BF227" i="3"/>
  <c r="CS227" i="3"/>
  <c r="AR227" i="3"/>
  <c r="AS227" i="3" s="1"/>
  <c r="BK227" i="3"/>
  <c r="CT227" i="3"/>
  <c r="BH227" i="3"/>
  <c r="AK251" i="3"/>
  <c r="AJ251" i="3"/>
  <c r="BG251" i="3"/>
  <c r="AL251" i="3"/>
  <c r="CB275" i="3"/>
  <c r="AI275" i="3"/>
  <c r="BQ275" i="3"/>
  <c r="Y347" i="3"/>
  <c r="U347" i="3"/>
  <c r="W347" i="3" s="1"/>
  <c r="AQ371" i="3"/>
  <c r="AW371" i="3"/>
  <c r="CH371" i="3"/>
  <c r="CQ371" i="3"/>
  <c r="CI371" i="3"/>
  <c r="CP371" i="3"/>
  <c r="R371" i="3"/>
  <c r="AB371" i="3" s="1"/>
  <c r="F395" i="3" a="1"/>
  <c r="H395" i="3" a="1"/>
  <c r="I395" i="3" a="1"/>
  <c r="J395" i="3" s="1"/>
  <c r="T395" i="3" s="1"/>
  <c r="L395" i="3" a="1"/>
  <c r="M395" i="3" a="1"/>
  <c r="O395" i="3" s="1"/>
  <c r="P395" i="3" a="1"/>
  <c r="Q395" i="3" s="1"/>
  <c r="V395" i="3" s="1"/>
  <c r="AZ395" i="3" a="1"/>
  <c r="BA395" i="3" a="1"/>
  <c r="BC395" i="3" a="1"/>
  <c r="BD395" i="3" a="1"/>
  <c r="BX395" i="3" a="1"/>
  <c r="D419" i="3"/>
  <c r="CM82" i="3"/>
  <c r="BZ82" i="3"/>
  <c r="CK82" i="3"/>
  <c r="CL82" i="3"/>
  <c r="CJ82" i="3"/>
  <c r="AN82" i="3"/>
  <c r="BJ82" i="3" s="1"/>
  <c r="CA82" i="3"/>
  <c r="AM82" i="3"/>
  <c r="BI82" i="3" s="1"/>
  <c r="CM130" i="3"/>
  <c r="BZ130" i="3"/>
  <c r="CK130" i="3"/>
  <c r="CL130" i="3"/>
  <c r="CJ130" i="3"/>
  <c r="AN130" i="3"/>
  <c r="BJ130" i="3" s="1"/>
  <c r="CA130" i="3"/>
  <c r="AM130" i="3"/>
  <c r="BI130" i="3" s="1"/>
  <c r="BW154" i="3"/>
  <c r="BY154" i="3" s="1"/>
  <c r="CO154" i="3"/>
  <c r="BS178" i="3"/>
  <c r="BO178" i="3"/>
  <c r="BU178" i="3"/>
  <c r="BV178" i="3"/>
  <c r="BL202" i="3"/>
  <c r="BN202" i="3" s="1"/>
  <c r="BP202" i="3"/>
  <c r="BT202" i="3" s="1"/>
  <c r="BF226" i="3"/>
  <c r="CS226" i="3"/>
  <c r="AR226" i="3"/>
  <c r="AS226" i="3" s="1"/>
  <c r="BK226" i="3"/>
  <c r="CT226" i="3"/>
  <c r="BH226" i="3"/>
  <c r="AK250" i="3"/>
  <c r="AJ250" i="3"/>
  <c r="BG250" i="3"/>
  <c r="AL250" i="3"/>
  <c r="CB274" i="3"/>
  <c r="AI274" i="3"/>
  <c r="BQ274" i="3"/>
  <c r="Y346" i="3"/>
  <c r="U346" i="3"/>
  <c r="W346" i="3" s="1"/>
  <c r="Z346" i="3" s="1"/>
  <c r="AC346" i="3" s="1"/>
  <c r="AD346" i="3" s="1"/>
  <c r="CR346" i="3" s="1"/>
  <c r="AQ370" i="3"/>
  <c r="AW370" i="3"/>
  <c r="CH370" i="3"/>
  <c r="CQ370" i="3"/>
  <c r="CI370" i="3"/>
  <c r="CP370" i="3"/>
  <c r="R370" i="3"/>
  <c r="AB370" i="3" s="1"/>
  <c r="F394" i="3" a="1"/>
  <c r="H394" i="3" a="1"/>
  <c r="I394" i="3" a="1"/>
  <c r="J394" i="3" s="1"/>
  <c r="T394" i="3" s="1"/>
  <c r="L394" i="3" a="1"/>
  <c r="M394" i="3" a="1"/>
  <c r="O394" i="3" s="1"/>
  <c r="P394" i="3" a="1"/>
  <c r="Q394" i="3" s="1"/>
  <c r="V394" i="3" s="1"/>
  <c r="AZ394" i="3" a="1"/>
  <c r="BA394" i="3" a="1"/>
  <c r="BC394" i="3" a="1"/>
  <c r="BD394" i="3" a="1"/>
  <c r="BX394" i="3" a="1"/>
  <c r="D418" i="3"/>
  <c r="CM81" i="3"/>
  <c r="BZ81" i="3"/>
  <c r="CK81" i="3"/>
  <c r="CL81" i="3"/>
  <c r="CJ81" i="3"/>
  <c r="AN81" i="3"/>
  <c r="BJ81" i="3" s="1"/>
  <c r="CA81" i="3"/>
  <c r="AM81" i="3"/>
  <c r="BI81" i="3" s="1"/>
  <c r="CM129" i="3"/>
  <c r="BZ129" i="3"/>
  <c r="CK129" i="3"/>
  <c r="CL129" i="3"/>
  <c r="CJ129" i="3"/>
  <c r="AN129" i="3"/>
  <c r="BJ129" i="3" s="1"/>
  <c r="CA129" i="3"/>
  <c r="AM129" i="3"/>
  <c r="BI129" i="3" s="1"/>
  <c r="BW153" i="3"/>
  <c r="BY153" i="3" s="1"/>
  <c r="CO153" i="3"/>
  <c r="BS177" i="3"/>
  <c r="BO177" i="3"/>
  <c r="BU177" i="3"/>
  <c r="BV177" i="3"/>
  <c r="BL201" i="3"/>
  <c r="BN201" i="3" s="1"/>
  <c r="BP201" i="3"/>
  <c r="BT201" i="3" s="1"/>
  <c r="BF225" i="3"/>
  <c r="CS225" i="3"/>
  <c r="AR225" i="3"/>
  <c r="AS225" i="3" s="1"/>
  <c r="BK225" i="3"/>
  <c r="CT225" i="3"/>
  <c r="BH225" i="3"/>
  <c r="AK249" i="3"/>
  <c r="AJ249" i="3"/>
  <c r="BG249" i="3"/>
  <c r="AL249" i="3"/>
  <c r="CB273" i="3"/>
  <c r="AI273" i="3"/>
  <c r="BQ273" i="3"/>
  <c r="Y345" i="3"/>
  <c r="U345" i="3"/>
  <c r="W345" i="3" s="1"/>
  <c r="AQ369" i="3"/>
  <c r="AW369" i="3"/>
  <c r="CH369" i="3"/>
  <c r="CQ369" i="3"/>
  <c r="CI369" i="3"/>
  <c r="CP369" i="3"/>
  <c r="R369" i="3"/>
  <c r="AB369" i="3" s="1"/>
  <c r="F393" i="3" a="1"/>
  <c r="H393" i="3" a="1"/>
  <c r="I393" i="3" a="1"/>
  <c r="J393" i="3" s="1"/>
  <c r="T393" i="3" s="1"/>
  <c r="L393" i="3" a="1"/>
  <c r="M393" i="3" a="1"/>
  <c r="O393" i="3" s="1"/>
  <c r="P393" i="3" a="1"/>
  <c r="Q393" i="3" s="1"/>
  <c r="V393" i="3" s="1"/>
  <c r="AZ393" i="3" a="1"/>
  <c r="BA393" i="3" a="1"/>
  <c r="BC393" i="3" a="1"/>
  <c r="BD393" i="3" a="1"/>
  <c r="BX393" i="3" a="1"/>
  <c r="D417" i="3"/>
  <c r="BZ80" i="3"/>
  <c r="CL80" i="3"/>
  <c r="CM80" i="3"/>
  <c r="CK80" i="3"/>
  <c r="CJ80" i="3"/>
  <c r="AN80" i="3"/>
  <c r="BJ80" i="3" s="1"/>
  <c r="CA80" i="3"/>
  <c r="AM80" i="3"/>
  <c r="BI80" i="3" s="1"/>
  <c r="BZ128" i="3"/>
  <c r="CK128" i="3"/>
  <c r="CL128" i="3"/>
  <c r="CM128" i="3"/>
  <c r="CJ128" i="3"/>
  <c r="AN128" i="3"/>
  <c r="BJ128" i="3" s="1"/>
  <c r="CA128" i="3"/>
  <c r="AM128" i="3"/>
  <c r="BI128" i="3" s="1"/>
  <c r="BW152" i="3"/>
  <c r="BY152" i="3" s="1"/>
  <c r="CO152" i="3"/>
  <c r="BV176" i="3"/>
  <c r="BU176" i="3"/>
  <c r="BL200" i="3"/>
  <c r="BN200" i="3" s="1"/>
  <c r="BP200" i="3"/>
  <c r="BT200" i="3" s="1"/>
  <c r="BF224" i="3"/>
  <c r="CS224" i="3"/>
  <c r="AR224" i="3"/>
  <c r="AS224" i="3" s="1"/>
  <c r="BK224" i="3"/>
  <c r="CT224" i="3"/>
  <c r="BH224" i="3"/>
  <c r="AK248" i="3"/>
  <c r="AJ248" i="3"/>
  <c r="BG248" i="3"/>
  <c r="AL248" i="3"/>
  <c r="CB272" i="3"/>
  <c r="AI272" i="3"/>
  <c r="BQ272" i="3"/>
  <c r="Y344" i="3"/>
  <c r="U344" i="3"/>
  <c r="W344" i="3" s="1"/>
  <c r="AQ368" i="3"/>
  <c r="AW368" i="3"/>
  <c r="CH368" i="3"/>
  <c r="CQ368" i="3"/>
  <c r="CI368" i="3"/>
  <c r="CP368" i="3"/>
  <c r="R368" i="3"/>
  <c r="AB368" i="3" s="1"/>
  <c r="F392" i="3" a="1"/>
  <c r="H392" i="3" a="1"/>
  <c r="I392" i="3" a="1"/>
  <c r="J392" i="3" s="1"/>
  <c r="T392" i="3" s="1"/>
  <c r="L392" i="3" a="1"/>
  <c r="M392" i="3" a="1"/>
  <c r="O392" i="3" s="1"/>
  <c r="P392" i="3" a="1"/>
  <c r="Q392" i="3" s="1"/>
  <c r="V392" i="3" s="1"/>
  <c r="AZ392" i="3" a="1"/>
  <c r="BA392" i="3" a="1"/>
  <c r="BC392" i="3" a="1"/>
  <c r="BD392" i="3" a="1"/>
  <c r="BX392" i="3" a="1"/>
  <c r="D416" i="3"/>
  <c r="BZ79" i="3"/>
  <c r="CM79" i="3"/>
  <c r="CK79" i="3"/>
  <c r="CL79" i="3"/>
  <c r="CJ79" i="3"/>
  <c r="AN79" i="3"/>
  <c r="BJ79" i="3" s="1"/>
  <c r="CA79" i="3"/>
  <c r="AM79" i="3"/>
  <c r="BI79" i="3" s="1"/>
  <c r="CK127" i="3"/>
  <c r="CM127" i="3"/>
  <c r="BZ127" i="3"/>
  <c r="CL127" i="3"/>
  <c r="CJ127" i="3"/>
  <c r="AN127" i="3"/>
  <c r="BJ127" i="3" s="1"/>
  <c r="CA127" i="3"/>
  <c r="AM127" i="3"/>
  <c r="BI127" i="3" s="1"/>
  <c r="BW151" i="3"/>
  <c r="BY151" i="3" s="1"/>
  <c r="CO151" i="3"/>
  <c r="BS175" i="3"/>
  <c r="BO175" i="3"/>
  <c r="BU175" i="3"/>
  <c r="BV175" i="3"/>
  <c r="BF223" i="3"/>
  <c r="CS223" i="3"/>
  <c r="AR223" i="3"/>
  <c r="AS223" i="3" s="1"/>
  <c r="BK223" i="3"/>
  <c r="CT223" i="3"/>
  <c r="BH223" i="3"/>
  <c r="AK247" i="3"/>
  <c r="AJ247" i="3"/>
  <c r="BG247" i="3"/>
  <c r="AL247" i="3"/>
  <c r="CB271" i="3"/>
  <c r="AI271" i="3"/>
  <c r="BQ271" i="3"/>
  <c r="Y343" i="3"/>
  <c r="U343" i="3"/>
  <c r="W343" i="3" s="1"/>
  <c r="AQ367" i="3"/>
  <c r="AW367" i="3"/>
  <c r="CH367" i="3"/>
  <c r="CQ367" i="3"/>
  <c r="CI367" i="3"/>
  <c r="CP367" i="3"/>
  <c r="R367" i="3"/>
  <c r="AB367" i="3" s="1"/>
  <c r="F391" i="3" a="1"/>
  <c r="H391" i="3" a="1"/>
  <c r="I391" i="3" a="1"/>
  <c r="J391" i="3" s="1"/>
  <c r="T391" i="3" s="1"/>
  <c r="L391" i="3" a="1"/>
  <c r="M391" i="3" a="1"/>
  <c r="O391" i="3" s="1"/>
  <c r="P391" i="3" a="1"/>
  <c r="Q391" i="3" s="1"/>
  <c r="V391" i="3" s="1"/>
  <c r="AZ391" i="3" a="1"/>
  <c r="BA391" i="3" a="1"/>
  <c r="BC391" i="3" a="1"/>
  <c r="BD391" i="3" a="1"/>
  <c r="BX391" i="3" a="1"/>
  <c r="D415" i="3"/>
  <c r="CK78" i="3"/>
  <c r="CL78" i="3"/>
  <c r="CM78" i="3"/>
  <c r="BZ78" i="3"/>
  <c r="CJ78" i="3"/>
  <c r="AN78" i="3"/>
  <c r="BJ78" i="3" s="1"/>
  <c r="CA78" i="3"/>
  <c r="AM78" i="3"/>
  <c r="BI78" i="3" s="1"/>
  <c r="CM126" i="3"/>
  <c r="BZ126" i="3"/>
  <c r="CK126" i="3"/>
  <c r="CL126" i="3"/>
  <c r="CJ126" i="3"/>
  <c r="AN126" i="3"/>
  <c r="BJ126" i="3" s="1"/>
  <c r="CA126" i="3"/>
  <c r="AM126" i="3"/>
  <c r="BI126" i="3" s="1"/>
  <c r="BW150" i="3"/>
  <c r="BY150" i="3" s="1"/>
  <c r="CO150" i="3"/>
  <c r="BS174" i="3"/>
  <c r="BO174" i="3"/>
  <c r="BV174" i="3"/>
  <c r="BU174" i="3"/>
  <c r="BL198" i="3"/>
  <c r="BN198" i="3" s="1"/>
  <c r="BP198" i="3"/>
  <c r="BT198" i="3" s="1"/>
  <c r="BF222" i="3"/>
  <c r="CS222" i="3"/>
  <c r="AR222" i="3"/>
  <c r="AS222" i="3" s="1"/>
  <c r="BK222" i="3"/>
  <c r="CT222" i="3"/>
  <c r="BH222" i="3"/>
  <c r="AK246" i="3"/>
  <c r="AJ246" i="3"/>
  <c r="BG246" i="3"/>
  <c r="AL246" i="3"/>
  <c r="CB270" i="3"/>
  <c r="AI270" i="3"/>
  <c r="BQ270" i="3"/>
  <c r="Y342" i="3"/>
  <c r="U342" i="3"/>
  <c r="W342" i="3" s="1"/>
  <c r="AQ366" i="3"/>
  <c r="AW366" i="3"/>
  <c r="CH366" i="3"/>
  <c r="CQ366" i="3"/>
  <c r="CI366" i="3"/>
  <c r="CP366" i="3"/>
  <c r="R366" i="3"/>
  <c r="AB366" i="3" s="1"/>
  <c r="F390" i="3" a="1"/>
  <c r="H390" i="3" a="1"/>
  <c r="I390" i="3" a="1"/>
  <c r="J390" i="3" s="1"/>
  <c r="T390" i="3" s="1"/>
  <c r="L390" i="3" a="1"/>
  <c r="M390" i="3" a="1"/>
  <c r="O390" i="3" s="1"/>
  <c r="P390" i="3" a="1"/>
  <c r="Q390" i="3" s="1"/>
  <c r="V390" i="3" s="1"/>
  <c r="AZ390" i="3" a="1"/>
  <c r="BA390" i="3" a="1"/>
  <c r="BC390" i="3" a="1"/>
  <c r="BD390" i="3" a="1"/>
  <c r="BX390" i="3" a="1"/>
  <c r="D414" i="3"/>
  <c r="BZ77" i="3"/>
  <c r="CL77" i="3"/>
  <c r="CM77" i="3"/>
  <c r="CK77" i="3"/>
  <c r="CJ77" i="3"/>
  <c r="AN77" i="3"/>
  <c r="BJ77" i="3" s="1"/>
  <c r="CA77" i="3"/>
  <c r="AM77" i="3"/>
  <c r="BI77" i="3" s="1"/>
  <c r="CL125" i="3"/>
  <c r="BZ125" i="3"/>
  <c r="CM125" i="3"/>
  <c r="CK125" i="3"/>
  <c r="CJ125" i="3"/>
  <c r="AN125" i="3"/>
  <c r="BJ125" i="3" s="1"/>
  <c r="CA125" i="3"/>
  <c r="AM125" i="3"/>
  <c r="BI125" i="3" s="1"/>
  <c r="BW149" i="3"/>
  <c r="BY149" i="3" s="1"/>
  <c r="CO149" i="3"/>
  <c r="BL197" i="3"/>
  <c r="BN197" i="3" s="1"/>
  <c r="BP197" i="3"/>
  <c r="BT197" i="3" s="1"/>
  <c r="BF221" i="3"/>
  <c r="CS221" i="3"/>
  <c r="AR221" i="3"/>
  <c r="AS221" i="3" s="1"/>
  <c r="BK221" i="3"/>
  <c r="CT221" i="3"/>
  <c r="BH221" i="3"/>
  <c r="CB269" i="3"/>
  <c r="AI269" i="3"/>
  <c r="BQ269" i="3"/>
  <c r="Y341" i="3"/>
  <c r="U341" i="3"/>
  <c r="W341" i="3" s="1"/>
  <c r="AQ365" i="3"/>
  <c r="AW365" i="3"/>
  <c r="CH365" i="3"/>
  <c r="CQ365" i="3"/>
  <c r="CI365" i="3"/>
  <c r="CP365" i="3"/>
  <c r="R365" i="3"/>
  <c r="AB365" i="3" s="1"/>
  <c r="F389" i="3" a="1"/>
  <c r="H389" i="3" a="1"/>
  <c r="I389" i="3" a="1"/>
  <c r="J389" i="3" s="1"/>
  <c r="T389" i="3" s="1"/>
  <c r="L389" i="3" a="1"/>
  <c r="M389" i="3" a="1"/>
  <c r="O389" i="3" s="1"/>
  <c r="P389" i="3" a="1"/>
  <c r="Q389" i="3" s="1"/>
  <c r="V389" i="3" s="1"/>
  <c r="AZ389" i="3" a="1"/>
  <c r="BA389" i="3" a="1"/>
  <c r="BC389" i="3" a="1"/>
  <c r="BD389" i="3" a="1"/>
  <c r="BX389" i="3" a="1"/>
  <c r="D413" i="3"/>
  <c r="BS173" i="3"/>
  <c r="BO173" i="3"/>
  <c r="BV173" i="3"/>
  <c r="BU173" i="3"/>
  <c r="CM76" i="3"/>
  <c r="BZ76" i="3"/>
  <c r="CK76" i="3"/>
  <c r="CL76" i="3"/>
  <c r="CJ76" i="3"/>
  <c r="AN76" i="3"/>
  <c r="BJ76" i="3" s="1"/>
  <c r="CA76" i="3"/>
  <c r="AM76" i="3"/>
  <c r="BI76" i="3" s="1"/>
  <c r="CM124" i="3"/>
  <c r="BZ124" i="3"/>
  <c r="CK124" i="3"/>
  <c r="CL124" i="3"/>
  <c r="CJ124" i="3"/>
  <c r="AN124" i="3"/>
  <c r="BJ124" i="3" s="1"/>
  <c r="CA124" i="3"/>
  <c r="AM124" i="3"/>
  <c r="BI124" i="3" s="1"/>
  <c r="BW148" i="3"/>
  <c r="BY148" i="3" s="1"/>
  <c r="CO148" i="3"/>
  <c r="BS172" i="3"/>
  <c r="BO172" i="3"/>
  <c r="BV172" i="3"/>
  <c r="BU172" i="3"/>
  <c r="BL196" i="3"/>
  <c r="BN196" i="3" s="1"/>
  <c r="BP196" i="3"/>
  <c r="BT196" i="3" s="1"/>
  <c r="BF220" i="3"/>
  <c r="CS220" i="3"/>
  <c r="AR220" i="3"/>
  <c r="AS220" i="3" s="1"/>
  <c r="BK220" i="3"/>
  <c r="CT220" i="3"/>
  <c r="BH220" i="3"/>
  <c r="AJ244" i="3"/>
  <c r="AK244" i="3"/>
  <c r="BG244" i="3"/>
  <c r="AL244" i="3"/>
  <c r="CB268" i="3"/>
  <c r="AI268" i="3"/>
  <c r="BQ268" i="3"/>
  <c r="Y340" i="3"/>
  <c r="U340" i="3"/>
  <c r="W340" i="3" s="1"/>
  <c r="AQ364" i="3"/>
  <c r="AW364" i="3"/>
  <c r="CH364" i="3"/>
  <c r="CQ364" i="3"/>
  <c r="CI364" i="3"/>
  <c r="CP364" i="3"/>
  <c r="R364" i="3"/>
  <c r="AB364" i="3" s="1"/>
  <c r="F388" i="3" a="1"/>
  <c r="H388" i="3" a="1"/>
  <c r="I388" i="3" a="1"/>
  <c r="J388" i="3" s="1"/>
  <c r="T388" i="3" s="1"/>
  <c r="L388" i="3" a="1"/>
  <c r="M388" i="3" a="1"/>
  <c r="O388" i="3" s="1"/>
  <c r="P388" i="3" a="1"/>
  <c r="Q388" i="3" s="1"/>
  <c r="V388" i="3" s="1"/>
  <c r="AZ388" i="3" a="1"/>
  <c r="BA388" i="3" a="1"/>
  <c r="BC388" i="3" a="1"/>
  <c r="BD388" i="3" a="1"/>
  <c r="BX388" i="3" a="1"/>
  <c r="D412" i="3"/>
  <c r="CM75" i="3"/>
  <c r="BZ75" i="3"/>
  <c r="CK75" i="3"/>
  <c r="CL75" i="3"/>
  <c r="CJ75" i="3"/>
  <c r="AN75" i="3"/>
  <c r="BJ75" i="3" s="1"/>
  <c r="CA75" i="3"/>
  <c r="AM75" i="3"/>
  <c r="BI75" i="3" s="1"/>
  <c r="CM123" i="3"/>
  <c r="BZ123" i="3"/>
  <c r="CK123" i="3"/>
  <c r="CL123" i="3"/>
  <c r="CJ123" i="3"/>
  <c r="AN123" i="3"/>
  <c r="BJ123" i="3" s="1"/>
  <c r="CA123" i="3"/>
  <c r="AM123" i="3"/>
  <c r="BI123" i="3" s="1"/>
  <c r="BW147" i="3"/>
  <c r="BY147" i="3" s="1"/>
  <c r="CO147" i="3"/>
  <c r="BS171" i="3"/>
  <c r="BO171" i="3"/>
  <c r="BU171" i="3"/>
  <c r="BV171" i="3"/>
  <c r="BL195" i="3"/>
  <c r="BN195" i="3" s="1"/>
  <c r="BP195" i="3"/>
  <c r="BT195" i="3" s="1"/>
  <c r="BF219" i="3"/>
  <c r="CS219" i="3"/>
  <c r="AR219" i="3"/>
  <c r="AS219" i="3" s="1"/>
  <c r="BK219" i="3"/>
  <c r="CT219" i="3"/>
  <c r="BH219" i="3"/>
  <c r="AK243" i="3"/>
  <c r="AJ243" i="3"/>
  <c r="BG243" i="3"/>
  <c r="AL243" i="3"/>
  <c r="CB267" i="3"/>
  <c r="AI267" i="3"/>
  <c r="BQ267" i="3"/>
  <c r="Y339" i="3"/>
  <c r="U339" i="3"/>
  <c r="W339" i="3" s="1"/>
  <c r="AQ363" i="3"/>
  <c r="AW363" i="3"/>
  <c r="CH363" i="3"/>
  <c r="CQ363" i="3"/>
  <c r="CI363" i="3"/>
  <c r="CP363" i="3"/>
  <c r="R363" i="3"/>
  <c r="AB363" i="3" s="1"/>
  <c r="F387" i="3" a="1"/>
  <c r="H387" i="3" a="1"/>
  <c r="I387" i="3" a="1"/>
  <c r="J387" i="3" s="1"/>
  <c r="T387" i="3" s="1"/>
  <c r="L387" i="3" a="1"/>
  <c r="M387" i="3" a="1"/>
  <c r="O387" i="3" s="1"/>
  <c r="P387" i="3" a="1"/>
  <c r="Q387" i="3" s="1"/>
  <c r="V387" i="3" s="1"/>
  <c r="AZ387" i="3" a="1"/>
  <c r="BA387" i="3" a="1"/>
  <c r="BC387" i="3" a="1"/>
  <c r="BD387" i="3" a="1"/>
  <c r="BX387" i="3" a="1"/>
  <c r="D411" i="3"/>
  <c r="CM74" i="3"/>
  <c r="BZ74" i="3"/>
  <c r="CK74" i="3"/>
  <c r="CL74" i="3"/>
  <c r="CJ74" i="3"/>
  <c r="AN74" i="3"/>
  <c r="BJ74" i="3" s="1"/>
  <c r="CA74" i="3"/>
  <c r="AM74" i="3"/>
  <c r="BI74" i="3" s="1"/>
  <c r="CM122" i="3"/>
  <c r="BZ122" i="3"/>
  <c r="CK122" i="3"/>
  <c r="CL122" i="3"/>
  <c r="CJ122" i="3"/>
  <c r="AN122" i="3"/>
  <c r="BJ122" i="3" s="1"/>
  <c r="CA122" i="3"/>
  <c r="AM122" i="3"/>
  <c r="BI122" i="3" s="1"/>
  <c r="BW146" i="3"/>
  <c r="BY146" i="3" s="1"/>
  <c r="CO146" i="3"/>
  <c r="BL194" i="3"/>
  <c r="BN194" i="3" s="1"/>
  <c r="BP194" i="3"/>
  <c r="BT194" i="3" s="1"/>
  <c r="BF218" i="3"/>
  <c r="CS218" i="3"/>
  <c r="AR218" i="3"/>
  <c r="AS218" i="3" s="1"/>
  <c r="BK218" i="3"/>
  <c r="CT218" i="3"/>
  <c r="BH218" i="3"/>
  <c r="AK242" i="3"/>
  <c r="AJ242" i="3"/>
  <c r="BG242" i="3"/>
  <c r="AL242" i="3"/>
  <c r="CB266" i="3"/>
  <c r="AI266" i="3"/>
  <c r="BQ266" i="3"/>
  <c r="Y338" i="3"/>
  <c r="U338" i="3"/>
  <c r="W338" i="3" s="1"/>
  <c r="AQ362" i="3"/>
  <c r="AW362" i="3"/>
  <c r="CH362" i="3"/>
  <c r="CQ362" i="3"/>
  <c r="CI362" i="3"/>
  <c r="CP362" i="3"/>
  <c r="R362" i="3"/>
  <c r="AB362" i="3" s="1"/>
  <c r="F386" i="3" a="1"/>
  <c r="H386" i="3" a="1"/>
  <c r="I386" i="3" a="1"/>
  <c r="J386" i="3" s="1"/>
  <c r="T386" i="3" s="1"/>
  <c r="L386" i="3" a="1"/>
  <c r="M386" i="3" a="1"/>
  <c r="O386" i="3" s="1"/>
  <c r="P386" i="3" a="1"/>
  <c r="Q386" i="3" s="1"/>
  <c r="V386" i="3" s="1"/>
  <c r="AZ386" i="3" a="1"/>
  <c r="BA386" i="3" a="1"/>
  <c r="BC386" i="3" a="1"/>
  <c r="BD386" i="3" a="1"/>
  <c r="BX386" i="3" a="1"/>
  <c r="D410" i="3"/>
  <c r="BU170" i="3"/>
  <c r="BV170" i="3"/>
  <c r="CM73" i="3"/>
  <c r="BZ73" i="3"/>
  <c r="CK73" i="3"/>
  <c r="CL73" i="3"/>
  <c r="CJ73" i="3"/>
  <c r="AN73" i="3"/>
  <c r="BJ73" i="3" s="1"/>
  <c r="CA73" i="3"/>
  <c r="AM73" i="3"/>
  <c r="BI73" i="3" s="1"/>
  <c r="CM121" i="3"/>
  <c r="BZ121" i="3"/>
  <c r="CK121" i="3"/>
  <c r="CL121" i="3"/>
  <c r="CJ121" i="3"/>
  <c r="AN121" i="3"/>
  <c r="BJ121" i="3" s="1"/>
  <c r="CA121" i="3"/>
  <c r="AM121" i="3"/>
  <c r="BI121" i="3" s="1"/>
  <c r="BW145" i="3"/>
  <c r="BY145" i="3" s="1"/>
  <c r="CO145" i="3"/>
  <c r="BF217" i="3"/>
  <c r="CS217" i="3"/>
  <c r="AR217" i="3"/>
  <c r="AS217" i="3" s="1"/>
  <c r="BK217" i="3"/>
  <c r="CT217" i="3"/>
  <c r="BH217" i="3"/>
  <c r="AK241" i="3"/>
  <c r="AJ241" i="3"/>
  <c r="BG241" i="3"/>
  <c r="AL241" i="3"/>
  <c r="Y337" i="3"/>
  <c r="U337" i="3"/>
  <c r="W337" i="3" s="1"/>
  <c r="AQ361" i="3"/>
  <c r="AW361" i="3"/>
  <c r="CH361" i="3"/>
  <c r="CQ361" i="3"/>
  <c r="CI361" i="3"/>
  <c r="CP361" i="3"/>
  <c r="R361" i="3"/>
  <c r="AB361" i="3" s="1"/>
  <c r="F385" i="3" a="1"/>
  <c r="H385" i="3" a="1"/>
  <c r="I385" i="3" a="1"/>
  <c r="J385" i="3" s="1"/>
  <c r="T385" i="3" s="1"/>
  <c r="L385" i="3" a="1"/>
  <c r="M385" i="3" a="1"/>
  <c r="O385" i="3" s="1"/>
  <c r="P385" i="3" a="1"/>
  <c r="Q385" i="3" s="1"/>
  <c r="V385" i="3" s="1"/>
  <c r="AZ385" i="3" a="1"/>
  <c r="BA385" i="3" a="1"/>
  <c r="BC385" i="3" a="1"/>
  <c r="BD385" i="3" a="1"/>
  <c r="BX385" i="3" a="1"/>
  <c r="D409" i="3"/>
  <c r="BO169" i="3"/>
  <c r="BS169" i="3"/>
  <c r="BV169" i="3"/>
  <c r="BU169" i="3"/>
  <c r="CM72" i="3"/>
  <c r="BZ72" i="3"/>
  <c r="CK72" i="3"/>
  <c r="CL72" i="3"/>
  <c r="CJ72" i="3"/>
  <c r="AN72" i="3"/>
  <c r="BJ72" i="3" s="1"/>
  <c r="CA72" i="3"/>
  <c r="AM72" i="3"/>
  <c r="BI72" i="3" s="1"/>
  <c r="CM120" i="3"/>
  <c r="BZ120" i="3"/>
  <c r="CK120" i="3"/>
  <c r="CL120" i="3"/>
  <c r="CJ120" i="3"/>
  <c r="AN120" i="3"/>
  <c r="BJ120" i="3" s="1"/>
  <c r="CA120" i="3"/>
  <c r="AM120" i="3"/>
  <c r="BI120" i="3" s="1"/>
  <c r="BW144" i="3"/>
  <c r="BY144" i="3" s="1"/>
  <c r="CO144" i="3"/>
  <c r="BS168" i="3"/>
  <c r="BO168" i="3"/>
  <c r="BU168" i="3"/>
  <c r="BV168" i="3"/>
  <c r="BL192" i="3"/>
  <c r="BN192" i="3" s="1"/>
  <c r="BP192" i="3"/>
  <c r="BT192" i="3" s="1"/>
  <c r="BF216" i="3"/>
  <c r="CS216" i="3"/>
  <c r="AR216" i="3"/>
  <c r="AS216" i="3" s="1"/>
  <c r="BK216" i="3"/>
  <c r="CT216" i="3"/>
  <c r="BH216" i="3"/>
  <c r="AK240" i="3"/>
  <c r="AJ240" i="3"/>
  <c r="BG240" i="3"/>
  <c r="AL240" i="3"/>
  <c r="Y336" i="3"/>
  <c r="U336" i="3"/>
  <c r="W336" i="3" s="1"/>
  <c r="AQ360" i="3"/>
  <c r="AW360" i="3"/>
  <c r="CH360" i="3"/>
  <c r="CQ360" i="3"/>
  <c r="CI360" i="3"/>
  <c r="CP360" i="3"/>
  <c r="R360" i="3"/>
  <c r="AB360" i="3" s="1"/>
  <c r="F384" i="3" a="1"/>
  <c r="H384" i="3" a="1"/>
  <c r="I384" i="3" a="1"/>
  <c r="J384" i="3" s="1"/>
  <c r="T384" i="3" s="1"/>
  <c r="L384" i="3" a="1"/>
  <c r="M384" i="3" a="1"/>
  <c r="O384" i="3" s="1"/>
  <c r="P384" i="3" a="1"/>
  <c r="Q384" i="3" s="1"/>
  <c r="V384" i="3" s="1"/>
  <c r="AZ384" i="3" a="1"/>
  <c r="BA384" i="3" a="1"/>
  <c r="BC384" i="3" a="1"/>
  <c r="BD384" i="3" a="1"/>
  <c r="BX384" i="3" a="1"/>
  <c r="D408" i="3"/>
  <c r="BO21" i="3"/>
  <c r="BS21" i="3"/>
  <c r="BU21" i="3"/>
  <c r="BV21" i="3"/>
  <c r="CO108" i="3"/>
  <c r="BY108" i="3"/>
  <c r="CB108" i="3"/>
  <c r="BX109" i="3" a="1"/>
  <c r="AB196" i="4"/>
  <c r="AA196" i="4" s="1"/>
  <c r="H197" i="4"/>
  <c r="B404" i="3" a="1"/>
  <c r="CE404" i="3" a="1"/>
  <c r="C31" i="19"/>
  <c r="T321" i="4"/>
  <c r="C32" i="13"/>
  <c r="C58" i="13"/>
  <c r="C86" i="13"/>
  <c r="B33" i="13"/>
  <c r="B59" i="13"/>
  <c r="B87" i="13"/>
  <c r="V13" i="4"/>
  <c r="B32" i="19"/>
  <c r="U14" i="4"/>
  <c r="CM71" i="3"/>
  <c r="BZ71" i="3"/>
  <c r="CL71" i="3"/>
  <c r="CK71" i="3"/>
  <c r="CJ71" i="3"/>
  <c r="AN71" i="3"/>
  <c r="BJ71" i="3" s="1"/>
  <c r="CA71" i="3"/>
  <c r="AM71" i="3"/>
  <c r="BI71" i="3" s="1"/>
  <c r="AS70" i="3"/>
  <c r="BP70" i="3"/>
  <c r="BL70" i="3"/>
  <c r="CM119" i="3"/>
  <c r="CL119" i="3"/>
  <c r="BZ119" i="3"/>
  <c r="CK119" i="3"/>
  <c r="CJ119" i="3"/>
  <c r="AN119" i="3"/>
  <c r="BJ119" i="3" s="1"/>
  <c r="CA119" i="3"/>
  <c r="AM119" i="3"/>
  <c r="BI119" i="3" s="1"/>
  <c r="CM118" i="3"/>
  <c r="CL118" i="3"/>
  <c r="BZ118" i="3"/>
  <c r="CK118" i="3"/>
  <c r="CJ118" i="3"/>
  <c r="AN118" i="3"/>
  <c r="BJ118" i="3" s="1"/>
  <c r="CA118" i="3"/>
  <c r="AM118" i="3"/>
  <c r="BI118" i="3" s="1"/>
  <c r="BJ45" i="3"/>
  <c r="BW143" i="3"/>
  <c r="BY143" i="3" s="1"/>
  <c r="CO143" i="3"/>
  <c r="BW142" i="3"/>
  <c r="BY142" i="3" s="1"/>
  <c r="CO142" i="3"/>
  <c r="BU167" i="3"/>
  <c r="BV167" i="3"/>
  <c r="BS167" i="3"/>
  <c r="BO167" i="3"/>
  <c r="BU166" i="3"/>
  <c r="BV166" i="3"/>
  <c r="BO166" i="3"/>
  <c r="BS166" i="3"/>
  <c r="BW139" i="3"/>
  <c r="BY139" i="3" s="1"/>
  <c r="CO139" i="3"/>
  <c r="BP191" i="3"/>
  <c r="BT191" i="3" s="1"/>
  <c r="BL191" i="3"/>
  <c r="BN191" i="3" s="1"/>
  <c r="BP190" i="3"/>
  <c r="BT190" i="3" s="1"/>
  <c r="BL190" i="3"/>
  <c r="BN190" i="3" s="1"/>
  <c r="BV117" i="3"/>
  <c r="BU117" i="3"/>
  <c r="BO117" i="3"/>
  <c r="BS117" i="3"/>
  <c r="BF215" i="3"/>
  <c r="CS215" i="3"/>
  <c r="AR215" i="3"/>
  <c r="AS215" i="3" s="1"/>
  <c r="BK215" i="3"/>
  <c r="CT215" i="3"/>
  <c r="BH215" i="3"/>
  <c r="BF214" i="3"/>
  <c r="CS214" i="3"/>
  <c r="AR214" i="3"/>
  <c r="AS214" i="3" s="1"/>
  <c r="BK214" i="3"/>
  <c r="CT214" i="3"/>
  <c r="BH214" i="3"/>
  <c r="BV94" i="3"/>
  <c r="BU94" i="3"/>
  <c r="BO94" i="3"/>
  <c r="BS94" i="3"/>
  <c r="BF189" i="3"/>
  <c r="CS189" i="3"/>
  <c r="AR189" i="3"/>
  <c r="AS189" i="3" s="1"/>
  <c r="BK189" i="3"/>
  <c r="CT189" i="3"/>
  <c r="BH189" i="3"/>
  <c r="AK239" i="3"/>
  <c r="AJ239" i="3"/>
  <c r="BG239" i="3"/>
  <c r="AL239" i="3"/>
  <c r="AK238" i="3"/>
  <c r="AJ238" i="3"/>
  <c r="BG238" i="3"/>
  <c r="AL238" i="3"/>
  <c r="BP141" i="3"/>
  <c r="BT141" i="3" s="1"/>
  <c r="BL141" i="3"/>
  <c r="BN141" i="3" s="1"/>
  <c r="AK213" i="3"/>
  <c r="AJ213" i="3"/>
  <c r="BG213" i="3"/>
  <c r="AL213" i="3"/>
  <c r="CB262" i="3"/>
  <c r="AI262" i="3"/>
  <c r="BQ262" i="3"/>
  <c r="CB165" i="3"/>
  <c r="BQ165" i="3"/>
  <c r="AI165" i="3"/>
  <c r="Y335" i="3"/>
  <c r="U335" i="3"/>
  <c r="W335" i="3" s="1"/>
  <c r="Y334" i="3"/>
  <c r="U334" i="3"/>
  <c r="W334" i="3" s="1"/>
  <c r="Y309" i="3"/>
  <c r="U309" i="3"/>
  <c r="W309" i="3" s="1"/>
  <c r="AM107" i="3"/>
  <c r="BI107" i="3" s="1"/>
  <c r="CA107" i="3"/>
  <c r="AN107" i="3"/>
  <c r="BJ107" i="3" s="1"/>
  <c r="CJ107" i="3"/>
  <c r="CL107" i="3"/>
  <c r="CK107" i="3"/>
  <c r="BZ107" i="3"/>
  <c r="CM107" i="3"/>
  <c r="AA291" i="3"/>
  <c r="AE291" i="3" s="1"/>
  <c r="BR291" i="3"/>
  <c r="CR291" i="3"/>
  <c r="CQ358" i="3"/>
  <c r="CH358" i="3"/>
  <c r="AW358" i="3"/>
  <c r="AQ358" i="3"/>
  <c r="CP358" i="3"/>
  <c r="CI358" i="3"/>
  <c r="R358" i="3"/>
  <c r="AB358" i="3" s="1"/>
  <c r="CP357" i="3"/>
  <c r="CI357" i="3"/>
  <c r="CQ357" i="3"/>
  <c r="CH357" i="3"/>
  <c r="AW357" i="3"/>
  <c r="AQ357" i="3"/>
  <c r="T333" i="3"/>
  <c r="R333" i="3"/>
  <c r="AB333" i="3" s="1"/>
  <c r="V333" i="3"/>
  <c r="Z332" i="3"/>
  <c r="AC332" i="3" s="1"/>
  <c r="AD332" i="3" s="1"/>
  <c r="H382" i="3" a="1"/>
  <c r="I382" i="3" a="1"/>
  <c r="J382" i="3" s="1"/>
  <c r="T382" i="3" s="1"/>
  <c r="L382" i="3" a="1"/>
  <c r="M382" i="3" a="1"/>
  <c r="O382" i="3" s="1"/>
  <c r="P382" i="3" a="1"/>
  <c r="Q382" i="3" s="1"/>
  <c r="V382" i="3" s="1"/>
  <c r="AZ382" i="3" a="1"/>
  <c r="BA382" i="3" a="1"/>
  <c r="BC382" i="3" a="1"/>
  <c r="BD382" i="3" a="1"/>
  <c r="BX382" i="3" a="1"/>
  <c r="BC381" i="3" a="1"/>
  <c r="BD381" i="3" a="1"/>
  <c r="BX381" i="3" a="1"/>
  <c r="H381" i="3" a="1"/>
  <c r="I381" i="3" a="1"/>
  <c r="L381" i="3" a="1"/>
  <c r="M381" i="3" a="1"/>
  <c r="P381" i="3" a="1"/>
  <c r="AZ381" i="3" a="1"/>
  <c r="BA381" i="3" a="1"/>
  <c r="BI45" i="3"/>
  <c r="J357" i="3"/>
  <c r="Q357" i="3"/>
  <c r="O357" i="3"/>
  <c r="Z351" i="3" l="1"/>
  <c r="AC351" i="3" s="1"/>
  <c r="AD351" i="3" s="1"/>
  <c r="Z336" i="3"/>
  <c r="AC336" i="3" s="1"/>
  <c r="AD336" i="3" s="1"/>
  <c r="CR319" i="3"/>
  <c r="BR319" i="3"/>
  <c r="AA319" i="3"/>
  <c r="AE319" i="3" s="1"/>
  <c r="AF319" i="3" s="1"/>
  <c r="AG319" i="3" s="1"/>
  <c r="AH319" i="3" s="1"/>
  <c r="CR330" i="3"/>
  <c r="BR330" i="3"/>
  <c r="AA330" i="3"/>
  <c r="AE330" i="3" s="1"/>
  <c r="AF330" i="3" s="1"/>
  <c r="AG330" i="3" s="1"/>
  <c r="AH330" i="3" s="1"/>
  <c r="Z353" i="3"/>
  <c r="AC353" i="3" s="1"/>
  <c r="AD353" i="3" s="1"/>
  <c r="CR313" i="3"/>
  <c r="BR313" i="3"/>
  <c r="AA313" i="3"/>
  <c r="AE313" i="3" s="1"/>
  <c r="AF313" i="3" s="1"/>
  <c r="AG313" i="3" s="1"/>
  <c r="AH313" i="3" s="1"/>
  <c r="Z340" i="3"/>
  <c r="AC340" i="3" s="1"/>
  <c r="AD340" i="3" s="1"/>
  <c r="Z337" i="3"/>
  <c r="AC337" i="3" s="1"/>
  <c r="AD337" i="3" s="1"/>
  <c r="Z359" i="3"/>
  <c r="AC359" i="3" s="1"/>
  <c r="AD359" i="3" s="1"/>
  <c r="BN199" i="3"/>
  <c r="CR323" i="3"/>
  <c r="BR323" i="3"/>
  <c r="AA323" i="3"/>
  <c r="AE323" i="3" s="1"/>
  <c r="AF323" i="3" s="1"/>
  <c r="AG323" i="3" s="1"/>
  <c r="AH323" i="3" s="1"/>
  <c r="CR325" i="3"/>
  <c r="BR325" i="3"/>
  <c r="AA325" i="3"/>
  <c r="AE325" i="3" s="1"/>
  <c r="AF325" i="3" s="1"/>
  <c r="AG325" i="3" s="1"/>
  <c r="AH325" i="3" s="1"/>
  <c r="Z349" i="3"/>
  <c r="AC349" i="3" s="1"/>
  <c r="AD349" i="3" s="1"/>
  <c r="Z343" i="3"/>
  <c r="AC343" i="3" s="1"/>
  <c r="AD343" i="3" s="1"/>
  <c r="Z338" i="3"/>
  <c r="AC338" i="3" s="1"/>
  <c r="AD338" i="3" s="1"/>
  <c r="Z354" i="3"/>
  <c r="AC354" i="3" s="1"/>
  <c r="AD354" i="3" s="1"/>
  <c r="Z350" i="3"/>
  <c r="AC350" i="3" s="1"/>
  <c r="AD350" i="3" s="1"/>
  <c r="BN204" i="3"/>
  <c r="BS176" i="3"/>
  <c r="BO176" i="3"/>
  <c r="CR321" i="3"/>
  <c r="AA321" i="3"/>
  <c r="AE321" i="3" s="1"/>
  <c r="AF321" i="3" s="1"/>
  <c r="AG321" i="3" s="1"/>
  <c r="AH321" i="3" s="1"/>
  <c r="BR321" i="3"/>
  <c r="CR311" i="3"/>
  <c r="BR311" i="3"/>
  <c r="AA311" i="3"/>
  <c r="AE311" i="3" s="1"/>
  <c r="Z344" i="3"/>
  <c r="AC344" i="3" s="1"/>
  <c r="AD344" i="3" s="1"/>
  <c r="Z341" i="3"/>
  <c r="AC341" i="3" s="1"/>
  <c r="AD341" i="3" s="1"/>
  <c r="Z334" i="3"/>
  <c r="AC334" i="3" s="1"/>
  <c r="AD334" i="3" s="1"/>
  <c r="Z356" i="3"/>
  <c r="AC356" i="3" s="1"/>
  <c r="AD356" i="3" s="1"/>
  <c r="Z309" i="3"/>
  <c r="AC309" i="3" s="1"/>
  <c r="AD309" i="3" s="1"/>
  <c r="Z339" i="3"/>
  <c r="AC339" i="3" s="1"/>
  <c r="AD339" i="3" s="1"/>
  <c r="CR315" i="3"/>
  <c r="BR315" i="3"/>
  <c r="AA315" i="3"/>
  <c r="AE315" i="3" s="1"/>
  <c r="AF315" i="3" s="1"/>
  <c r="AG315" i="3" s="1"/>
  <c r="AH315" i="3" s="1"/>
  <c r="CR285" i="3"/>
  <c r="BR285" i="3"/>
  <c r="AA285" i="3"/>
  <c r="AE285" i="3" s="1"/>
  <c r="AF285" i="3" s="1"/>
  <c r="AG285" i="3" s="1"/>
  <c r="AH285" i="3" s="1"/>
  <c r="AF287" i="3"/>
  <c r="AG287" i="3" s="1"/>
  <c r="AH287" i="3" s="1"/>
  <c r="CR322" i="3"/>
  <c r="BR322" i="3"/>
  <c r="AA322" i="3"/>
  <c r="AE322" i="3" s="1"/>
  <c r="CR310" i="3"/>
  <c r="BR310" i="3"/>
  <c r="AA310" i="3"/>
  <c r="AE310" i="3" s="1"/>
  <c r="AF310" i="3" s="1"/>
  <c r="AG310" i="3" s="1"/>
  <c r="AH310" i="3" s="1"/>
  <c r="CR326" i="3"/>
  <c r="BR326" i="3"/>
  <c r="AA326" i="3"/>
  <c r="AE326" i="3" s="1"/>
  <c r="AF326" i="3" s="1"/>
  <c r="AG326" i="3" s="1"/>
  <c r="AH326" i="3" s="1"/>
  <c r="CR317" i="3"/>
  <c r="BR317" i="3"/>
  <c r="AA317" i="3"/>
  <c r="AE317" i="3" s="1"/>
  <c r="AF317" i="3" s="1"/>
  <c r="AG317" i="3" s="1"/>
  <c r="AH317" i="3" s="1"/>
  <c r="CR316" i="3"/>
  <c r="BR316" i="3"/>
  <c r="AA316" i="3"/>
  <c r="AE316" i="3" s="1"/>
  <c r="CR318" i="3"/>
  <c r="BR318" i="3"/>
  <c r="AA318" i="3"/>
  <c r="AE318" i="3" s="1"/>
  <c r="AF318" i="3" s="1"/>
  <c r="AG318" i="3" s="1"/>
  <c r="AH318" i="3" s="1"/>
  <c r="BO170" i="3"/>
  <c r="BS170" i="3"/>
  <c r="CR312" i="3"/>
  <c r="BR312" i="3"/>
  <c r="AA312" i="3"/>
  <c r="AE312" i="3" s="1"/>
  <c r="AF312" i="3" s="1"/>
  <c r="AG312" i="3" s="1"/>
  <c r="AH312" i="3" s="1"/>
  <c r="CR324" i="3"/>
  <c r="BR324" i="3"/>
  <c r="AA324" i="3"/>
  <c r="AE324" i="3" s="1"/>
  <c r="AF324" i="3" s="1"/>
  <c r="AG324" i="3" s="1"/>
  <c r="AH324" i="3" s="1"/>
  <c r="Z345" i="3"/>
  <c r="AC345" i="3" s="1"/>
  <c r="AD345" i="3" s="1"/>
  <c r="CR331" i="3"/>
  <c r="AA331" i="3"/>
  <c r="AE331" i="3" s="1"/>
  <c r="AF331" i="3" s="1"/>
  <c r="AG331" i="3" s="1"/>
  <c r="AH331" i="3" s="1"/>
  <c r="BR331" i="3"/>
  <c r="CR314" i="3"/>
  <c r="BR314" i="3"/>
  <c r="AA314" i="3"/>
  <c r="AE314" i="3" s="1"/>
  <c r="AF314" i="3" s="1"/>
  <c r="AG314" i="3" s="1"/>
  <c r="AH314" i="3" s="1"/>
  <c r="BN193" i="3"/>
  <c r="Z342" i="3"/>
  <c r="AC342" i="3" s="1"/>
  <c r="AD342" i="3" s="1"/>
  <c r="CR327" i="3"/>
  <c r="BR327" i="3"/>
  <c r="AA327" i="3"/>
  <c r="AE327" i="3" s="1"/>
  <c r="AF327" i="3" s="1"/>
  <c r="AG327" i="3" s="1"/>
  <c r="AH327" i="3" s="1"/>
  <c r="AK245" i="3"/>
  <c r="BF245" i="3" s="1"/>
  <c r="AJ245" i="3"/>
  <c r="BG245" i="3"/>
  <c r="AL245" i="3"/>
  <c r="Z348" i="3"/>
  <c r="AC348" i="3" s="1"/>
  <c r="AD348" i="3" s="1"/>
  <c r="Z352" i="3"/>
  <c r="AC352" i="3" s="1"/>
  <c r="AD352" i="3" s="1"/>
  <c r="CB265" i="3"/>
  <c r="AI265" i="3"/>
  <c r="BQ265" i="3"/>
  <c r="CB263" i="3"/>
  <c r="AI263" i="3"/>
  <c r="BQ263" i="3"/>
  <c r="CB264" i="3"/>
  <c r="AI264" i="3"/>
  <c r="BQ264" i="3"/>
  <c r="AF286" i="3"/>
  <c r="AG286" i="3" s="1"/>
  <c r="AH286" i="3" s="1"/>
  <c r="Z335" i="3"/>
  <c r="AC335" i="3" s="1"/>
  <c r="AD335" i="3" s="1"/>
  <c r="CR320" i="3"/>
  <c r="BR320" i="3"/>
  <c r="AA320" i="3"/>
  <c r="AE320" i="3" s="1"/>
  <c r="AF320" i="3" s="1"/>
  <c r="AG320" i="3" s="1"/>
  <c r="AH320" i="3" s="1"/>
  <c r="AF303" i="3"/>
  <c r="AG303" i="3" s="1"/>
  <c r="AH303" i="3" s="1"/>
  <c r="AI280" i="3"/>
  <c r="BQ280" i="3"/>
  <c r="CB280" i="3"/>
  <c r="CR329" i="3"/>
  <c r="BR329" i="3"/>
  <c r="AA329" i="3"/>
  <c r="AE329" i="3" s="1"/>
  <c r="CR328" i="3"/>
  <c r="BR328" i="3"/>
  <c r="AA328" i="3"/>
  <c r="AE328" i="3" s="1"/>
  <c r="AF328" i="3" s="1"/>
  <c r="AG328" i="3" s="1"/>
  <c r="AH328" i="3" s="1"/>
  <c r="AK258" i="3"/>
  <c r="BF258" i="3" s="1"/>
  <c r="AJ258" i="3"/>
  <c r="BG258" i="3"/>
  <c r="AL258" i="3"/>
  <c r="Z355" i="3"/>
  <c r="AC355" i="3" s="1"/>
  <c r="AD355" i="3" s="1"/>
  <c r="CD500" i="3"/>
  <c r="BB476" i="3" a="1"/>
  <c r="G476" i="3" a="1"/>
  <c r="E500" i="3"/>
  <c r="CC500" i="3"/>
  <c r="CD475" i="3"/>
  <c r="C499" i="3"/>
  <c r="CD499" i="3" s="1"/>
  <c r="G451" i="3" a="1"/>
  <c r="BB451" i="3" a="1"/>
  <c r="CE451" i="3" a="1"/>
  <c r="B451" i="3" a="1"/>
  <c r="E475" i="3"/>
  <c r="CC475" i="3"/>
  <c r="A499" i="3"/>
  <c r="CD474" i="3"/>
  <c r="C498" i="3"/>
  <c r="CD498" i="3" s="1"/>
  <c r="G450" i="3" a="1"/>
  <c r="BB450" i="3" a="1"/>
  <c r="CE450" i="3" a="1"/>
  <c r="B450" i="3" a="1"/>
  <c r="E474" i="3"/>
  <c r="CC474" i="3"/>
  <c r="A498" i="3"/>
  <c r="CD473" i="3"/>
  <c r="C497" i="3"/>
  <c r="CD497" i="3" s="1"/>
  <c r="G449" i="3" a="1"/>
  <c r="BB449" i="3" a="1"/>
  <c r="CE449" i="3" a="1"/>
  <c r="B449" i="3" a="1"/>
  <c r="E473" i="3"/>
  <c r="CC473" i="3"/>
  <c r="A497" i="3"/>
  <c r="CD472" i="3"/>
  <c r="C496" i="3"/>
  <c r="CD496" i="3" s="1"/>
  <c r="G448" i="3" a="1"/>
  <c r="BB448" i="3" a="1"/>
  <c r="CE448" i="3" a="1"/>
  <c r="B448" i="3" a="1"/>
  <c r="E472" i="3"/>
  <c r="CC472" i="3"/>
  <c r="A496" i="3"/>
  <c r="CD471" i="3"/>
  <c r="C495" i="3"/>
  <c r="CD495" i="3" s="1"/>
  <c r="G447" i="3" a="1"/>
  <c r="BB447" i="3" a="1"/>
  <c r="CE447" i="3" a="1"/>
  <c r="B447" i="3" a="1"/>
  <c r="E471" i="3"/>
  <c r="CC471" i="3"/>
  <c r="A495" i="3"/>
  <c r="CD470" i="3"/>
  <c r="C494" i="3"/>
  <c r="CD494" i="3" s="1"/>
  <c r="G446" i="3" a="1"/>
  <c r="BB446" i="3" a="1"/>
  <c r="CE446" i="3" a="1"/>
  <c r="B446" i="3" a="1"/>
  <c r="E470" i="3"/>
  <c r="CC470" i="3"/>
  <c r="A494" i="3"/>
  <c r="CD469" i="3"/>
  <c r="C493" i="3"/>
  <c r="CD493" i="3" s="1"/>
  <c r="G445" i="3" a="1"/>
  <c r="BB445" i="3" a="1"/>
  <c r="CE445" i="3" a="1"/>
  <c r="B445" i="3" a="1"/>
  <c r="E469" i="3"/>
  <c r="CC469" i="3"/>
  <c r="A493" i="3"/>
  <c r="CD468" i="3"/>
  <c r="C492" i="3"/>
  <c r="CD492" i="3" s="1"/>
  <c r="G444" i="3" a="1"/>
  <c r="BB444" i="3" a="1"/>
  <c r="CE444" i="3" a="1"/>
  <c r="B444" i="3" a="1"/>
  <c r="E468" i="3"/>
  <c r="CC468" i="3"/>
  <c r="A492" i="3"/>
  <c r="CD467" i="3"/>
  <c r="C491" i="3"/>
  <c r="CD491" i="3" s="1"/>
  <c r="G443" i="3" a="1"/>
  <c r="BB443" i="3" a="1"/>
  <c r="CE443" i="3" a="1"/>
  <c r="B443" i="3" a="1"/>
  <c r="E467" i="3"/>
  <c r="CC467" i="3"/>
  <c r="A491" i="3"/>
  <c r="CD466" i="3"/>
  <c r="C490" i="3"/>
  <c r="CD490" i="3" s="1"/>
  <c r="G442" i="3" a="1"/>
  <c r="BB442" i="3" a="1"/>
  <c r="CE442" i="3" a="1"/>
  <c r="B442" i="3" a="1"/>
  <c r="E466" i="3"/>
  <c r="CC466" i="3"/>
  <c r="A490" i="3"/>
  <c r="CD465" i="3"/>
  <c r="C489" i="3"/>
  <c r="CD489" i="3" s="1"/>
  <c r="G441" i="3" a="1"/>
  <c r="BB441" i="3" a="1"/>
  <c r="CE441" i="3" a="1"/>
  <c r="B441" i="3" a="1"/>
  <c r="E465" i="3"/>
  <c r="CC465" i="3"/>
  <c r="A489" i="3"/>
  <c r="CD464" i="3"/>
  <c r="C488" i="3"/>
  <c r="CD488" i="3" s="1"/>
  <c r="G440" i="3" a="1"/>
  <c r="BB440" i="3" a="1"/>
  <c r="CE440" i="3" a="1"/>
  <c r="B440" i="3" a="1"/>
  <c r="E464" i="3"/>
  <c r="CC464" i="3"/>
  <c r="A488" i="3"/>
  <c r="CD463" i="3"/>
  <c r="C487" i="3"/>
  <c r="CD487" i="3" s="1"/>
  <c r="G439" i="3" a="1"/>
  <c r="B439" i="3" a="1"/>
  <c r="BB439" i="3" a="1"/>
  <c r="CE439" i="3" a="1"/>
  <c r="E463" i="3"/>
  <c r="CC463" i="3"/>
  <c r="A487" i="3"/>
  <c r="CD462" i="3"/>
  <c r="C486" i="3"/>
  <c r="CD486" i="3" s="1"/>
  <c r="G438" i="3" a="1"/>
  <c r="CE438" i="3" a="1"/>
  <c r="B438" i="3" a="1"/>
  <c r="BB438" i="3" a="1"/>
  <c r="E462" i="3"/>
  <c r="CC462" i="3"/>
  <c r="A486" i="3"/>
  <c r="C461" i="3"/>
  <c r="CD437" i="3"/>
  <c r="G413" i="3" a="1"/>
  <c r="BB413" i="3" a="1"/>
  <c r="CE413" i="3" a="1"/>
  <c r="B413" i="3" a="1"/>
  <c r="E437" i="3"/>
  <c r="CC437" i="3"/>
  <c r="A461" i="3"/>
  <c r="CD436" i="3"/>
  <c r="C460" i="3"/>
  <c r="G412" i="3" a="1"/>
  <c r="BB412" i="3" a="1"/>
  <c r="CE412" i="3" a="1"/>
  <c r="B412" i="3" a="1"/>
  <c r="E436" i="3"/>
  <c r="CC436" i="3"/>
  <c r="A460" i="3"/>
  <c r="CD435" i="3"/>
  <c r="C459" i="3"/>
  <c r="G411" i="3" a="1"/>
  <c r="BB411" i="3" a="1"/>
  <c r="CE411" i="3" a="1"/>
  <c r="B411" i="3" a="1"/>
  <c r="E435" i="3"/>
  <c r="CC435" i="3"/>
  <c r="A459" i="3"/>
  <c r="CD434" i="3"/>
  <c r="C458" i="3"/>
  <c r="G410" i="3" a="1"/>
  <c r="BB410" i="3" a="1"/>
  <c r="CE410" i="3" a="1"/>
  <c r="B410" i="3" a="1"/>
  <c r="E434" i="3"/>
  <c r="CC434" i="3"/>
  <c r="A458" i="3"/>
  <c r="CD433" i="3"/>
  <c r="C457" i="3"/>
  <c r="G409" i="3" a="1"/>
  <c r="BB409" i="3" a="1"/>
  <c r="CE409" i="3" a="1"/>
  <c r="B409" i="3" a="1"/>
  <c r="E433" i="3"/>
  <c r="CC433" i="3"/>
  <c r="A457" i="3"/>
  <c r="CD432" i="3"/>
  <c r="C456" i="3"/>
  <c r="G408" i="3" a="1"/>
  <c r="BB408" i="3" a="1"/>
  <c r="CE408" i="3" a="1"/>
  <c r="B408" i="3" a="1"/>
  <c r="E432" i="3"/>
  <c r="CC432" i="3"/>
  <c r="A456" i="3"/>
  <c r="Y383" i="3"/>
  <c r="U383" i="3"/>
  <c r="W383" i="3" s="1"/>
  <c r="F431" i="3" a="1"/>
  <c r="D455" i="3"/>
  <c r="CD431" i="3"/>
  <c r="C455" i="3"/>
  <c r="G407" i="3" a="1"/>
  <c r="BB407" i="3" a="1"/>
  <c r="CE407" i="3" a="1"/>
  <c r="B407" i="3" a="1"/>
  <c r="E431" i="3"/>
  <c r="CC431" i="3"/>
  <c r="A455" i="3"/>
  <c r="AQ406" i="3"/>
  <c r="AW406" i="3"/>
  <c r="CH406" i="3"/>
  <c r="CQ406" i="3"/>
  <c r="F430" i="3" a="1"/>
  <c r="D454" i="3"/>
  <c r="CD430" i="3"/>
  <c r="C454" i="3"/>
  <c r="G406" i="3" a="1"/>
  <c r="BB406" i="3" a="1"/>
  <c r="CE406" i="3" a="1"/>
  <c r="B406" i="3" a="1"/>
  <c r="E430" i="3"/>
  <c r="CC430" i="3"/>
  <c r="A454" i="3"/>
  <c r="F429" i="3" a="1"/>
  <c r="D453" i="3"/>
  <c r="CD429" i="3"/>
  <c r="C453" i="3"/>
  <c r="G405" i="3" a="1"/>
  <c r="BB405" i="3" a="1"/>
  <c r="CE405" i="3" a="1"/>
  <c r="B405" i="3" a="1"/>
  <c r="E429" i="3"/>
  <c r="CC429" i="3"/>
  <c r="A453" i="3"/>
  <c r="BW188" i="3"/>
  <c r="BY188" i="3" s="1"/>
  <c r="CO188" i="3"/>
  <c r="BO212" i="3"/>
  <c r="BS212" i="3"/>
  <c r="BV212" i="3"/>
  <c r="BU212" i="3"/>
  <c r="BL236" i="3"/>
  <c r="BN236" i="3" s="1"/>
  <c r="BP236" i="3"/>
  <c r="BT236" i="3" s="1"/>
  <c r="BF260" i="3"/>
  <c r="CS260" i="3"/>
  <c r="AR260" i="3"/>
  <c r="AS260" i="3" s="1"/>
  <c r="BK260" i="3"/>
  <c r="CT260" i="3"/>
  <c r="BH260" i="3"/>
  <c r="AK284" i="3"/>
  <c r="AJ284" i="3"/>
  <c r="BG284" i="3"/>
  <c r="AL284" i="3"/>
  <c r="CB308" i="3"/>
  <c r="AI308" i="3"/>
  <c r="BQ308" i="3"/>
  <c r="Y380" i="3"/>
  <c r="U380" i="3"/>
  <c r="W380" i="3" s="1"/>
  <c r="AQ404" i="3"/>
  <c r="AW404" i="3"/>
  <c r="CH404" i="3"/>
  <c r="CQ404" i="3"/>
  <c r="CI404" i="3"/>
  <c r="CP404" i="3"/>
  <c r="R404" i="3"/>
  <c r="AB404" i="3" s="1"/>
  <c r="F428" i="3" a="1"/>
  <c r="H428" i="3" a="1"/>
  <c r="I428" i="3" a="1"/>
  <c r="J428" i="3" s="1"/>
  <c r="T428" i="3" s="1"/>
  <c r="L428" i="3" a="1"/>
  <c r="M428" i="3" a="1"/>
  <c r="O428" i="3" s="1"/>
  <c r="P428" i="3" a="1"/>
  <c r="Q428" i="3" s="1"/>
  <c r="V428" i="3" s="1"/>
  <c r="AZ428" i="3" a="1"/>
  <c r="BA428" i="3" a="1"/>
  <c r="BC428" i="3" a="1"/>
  <c r="BD428" i="3" a="1"/>
  <c r="BX428" i="3" a="1"/>
  <c r="D452" i="3"/>
  <c r="CK164" i="3"/>
  <c r="BZ164" i="3"/>
  <c r="CL164" i="3"/>
  <c r="CM164" i="3"/>
  <c r="CJ164" i="3"/>
  <c r="AN164" i="3"/>
  <c r="BJ164" i="3" s="1"/>
  <c r="AM164" i="3"/>
  <c r="BI164" i="3" s="1"/>
  <c r="CA164" i="3"/>
  <c r="CM163" i="3"/>
  <c r="CK163" i="3"/>
  <c r="BZ163" i="3"/>
  <c r="CL163" i="3"/>
  <c r="CJ163" i="3"/>
  <c r="AN163" i="3"/>
  <c r="BJ163" i="3" s="1"/>
  <c r="AM163" i="3"/>
  <c r="BI163" i="3" s="1"/>
  <c r="CA163" i="3"/>
  <c r="CO187" i="3"/>
  <c r="BW187" i="3"/>
  <c r="BY187" i="3" s="1"/>
  <c r="BS211" i="3"/>
  <c r="BO211" i="3"/>
  <c r="BU211" i="3"/>
  <c r="BV211" i="3"/>
  <c r="BL235" i="3"/>
  <c r="BN235" i="3" s="1"/>
  <c r="BP235" i="3"/>
  <c r="BT235" i="3" s="1"/>
  <c r="BF259" i="3"/>
  <c r="CS259" i="3"/>
  <c r="AR259" i="3"/>
  <c r="AS259" i="3" s="1"/>
  <c r="BK259" i="3"/>
  <c r="CT259" i="3"/>
  <c r="BH259" i="3"/>
  <c r="AK283" i="3"/>
  <c r="AJ283" i="3"/>
  <c r="BG283" i="3"/>
  <c r="AL283" i="3"/>
  <c r="CB307" i="3"/>
  <c r="AI307" i="3"/>
  <c r="BQ307" i="3"/>
  <c r="Y379" i="3"/>
  <c r="U379" i="3"/>
  <c r="W379" i="3" s="1"/>
  <c r="AQ403" i="3"/>
  <c r="AW403" i="3"/>
  <c r="CH403" i="3"/>
  <c r="CQ403" i="3"/>
  <c r="CI403" i="3"/>
  <c r="CP403" i="3"/>
  <c r="R403" i="3"/>
  <c r="AB403" i="3" s="1"/>
  <c r="F427" i="3" a="1"/>
  <c r="H427" i="3" a="1"/>
  <c r="I427" i="3" a="1"/>
  <c r="J427" i="3" s="1"/>
  <c r="T427" i="3" s="1"/>
  <c r="L427" i="3" a="1"/>
  <c r="M427" i="3" a="1"/>
  <c r="O427" i="3" s="1"/>
  <c r="P427" i="3" a="1"/>
  <c r="Q427" i="3" s="1"/>
  <c r="V427" i="3" s="1"/>
  <c r="AZ427" i="3" a="1"/>
  <c r="BA427" i="3" a="1"/>
  <c r="BC427" i="3" a="1"/>
  <c r="BD427" i="3" a="1"/>
  <c r="BX427" i="3" a="1"/>
  <c r="D451" i="3"/>
  <c r="BW186" i="3"/>
  <c r="BY186" i="3" s="1"/>
  <c r="CO186" i="3"/>
  <c r="BO210" i="3"/>
  <c r="BS210" i="3"/>
  <c r="BV210" i="3"/>
  <c r="BU210" i="3"/>
  <c r="BL234" i="3"/>
  <c r="BN234" i="3" s="1"/>
  <c r="BP234" i="3"/>
  <c r="BT234" i="3" s="1"/>
  <c r="AK282" i="3"/>
  <c r="AJ282" i="3"/>
  <c r="BG282" i="3"/>
  <c r="AL282" i="3"/>
  <c r="CB306" i="3"/>
  <c r="AI306" i="3"/>
  <c r="BQ306" i="3"/>
  <c r="Y378" i="3"/>
  <c r="U378" i="3"/>
  <c r="W378" i="3" s="1"/>
  <c r="AQ402" i="3"/>
  <c r="AW402" i="3"/>
  <c r="CH402" i="3"/>
  <c r="CQ402" i="3"/>
  <c r="CI402" i="3"/>
  <c r="CP402" i="3"/>
  <c r="R402" i="3"/>
  <c r="AB402" i="3" s="1"/>
  <c r="F426" i="3" a="1"/>
  <c r="H426" i="3" a="1"/>
  <c r="I426" i="3" a="1"/>
  <c r="J426" i="3" s="1"/>
  <c r="T426" i="3" s="1"/>
  <c r="L426" i="3" a="1"/>
  <c r="M426" i="3" a="1"/>
  <c r="O426" i="3" s="1"/>
  <c r="P426" i="3" a="1"/>
  <c r="Q426" i="3" s="1"/>
  <c r="V426" i="3" s="1"/>
  <c r="AZ426" i="3" a="1"/>
  <c r="BA426" i="3" a="1"/>
  <c r="BC426" i="3" a="1"/>
  <c r="BD426" i="3" a="1"/>
  <c r="BX426" i="3" a="1"/>
  <c r="D450" i="3"/>
  <c r="CM162" i="3"/>
  <c r="CK162" i="3"/>
  <c r="BZ162" i="3"/>
  <c r="CL162" i="3"/>
  <c r="CJ162" i="3"/>
  <c r="AN162" i="3"/>
  <c r="BJ162" i="3" s="1"/>
  <c r="AM162" i="3"/>
  <c r="BI162" i="3" s="1"/>
  <c r="CA162" i="3"/>
  <c r="CM161" i="3"/>
  <c r="CL161" i="3"/>
  <c r="BZ161" i="3"/>
  <c r="CK161" i="3"/>
  <c r="CJ161" i="3"/>
  <c r="AN161" i="3"/>
  <c r="BJ161" i="3" s="1"/>
  <c r="AM161" i="3"/>
  <c r="BI161" i="3" s="1"/>
  <c r="CA161" i="3"/>
  <c r="BO209" i="3"/>
  <c r="BS209" i="3"/>
  <c r="BU209" i="3"/>
  <c r="BV209" i="3"/>
  <c r="BL233" i="3"/>
  <c r="BN233" i="3" s="1"/>
  <c r="BP233" i="3"/>
  <c r="BT233" i="3" s="1"/>
  <c r="BF257" i="3"/>
  <c r="CS257" i="3"/>
  <c r="AR257" i="3"/>
  <c r="AS257" i="3" s="1"/>
  <c r="BK257" i="3"/>
  <c r="CT257" i="3"/>
  <c r="BH257" i="3"/>
  <c r="AK281" i="3"/>
  <c r="AJ281" i="3"/>
  <c r="BG281" i="3"/>
  <c r="AL281" i="3"/>
  <c r="CB305" i="3"/>
  <c r="AI305" i="3"/>
  <c r="BQ305" i="3"/>
  <c r="Y377" i="3"/>
  <c r="U377" i="3"/>
  <c r="W377" i="3" s="1"/>
  <c r="AQ401" i="3"/>
  <c r="AW401" i="3"/>
  <c r="CH401" i="3"/>
  <c r="CQ401" i="3"/>
  <c r="CI401" i="3"/>
  <c r="CP401" i="3"/>
  <c r="R401" i="3"/>
  <c r="AB401" i="3" s="1"/>
  <c r="F425" i="3" a="1"/>
  <c r="H425" i="3" a="1"/>
  <c r="I425" i="3" a="1"/>
  <c r="J425" i="3" s="1"/>
  <c r="T425" i="3" s="1"/>
  <c r="L425" i="3" a="1"/>
  <c r="M425" i="3" a="1"/>
  <c r="O425" i="3" s="1"/>
  <c r="P425" i="3" a="1"/>
  <c r="Q425" i="3" s="1"/>
  <c r="V425" i="3" s="1"/>
  <c r="AZ425" i="3" a="1"/>
  <c r="BA425" i="3" a="1"/>
  <c r="BC425" i="3" a="1"/>
  <c r="BD425" i="3" a="1"/>
  <c r="BX425" i="3" a="1"/>
  <c r="D449" i="3"/>
  <c r="CO185" i="3"/>
  <c r="BW185" i="3"/>
  <c r="BY185" i="3" s="1"/>
  <c r="CM160" i="3"/>
  <c r="BZ160" i="3"/>
  <c r="CK160" i="3"/>
  <c r="CL160" i="3"/>
  <c r="CJ160" i="3"/>
  <c r="AN160" i="3"/>
  <c r="BJ160" i="3" s="1"/>
  <c r="AM160" i="3"/>
  <c r="BI160" i="3" s="1"/>
  <c r="CA160" i="3"/>
  <c r="BW184" i="3"/>
  <c r="BY184" i="3" s="1"/>
  <c r="CO184" i="3"/>
  <c r="BL232" i="3"/>
  <c r="BN232" i="3" s="1"/>
  <c r="BP232" i="3"/>
  <c r="BT232" i="3" s="1"/>
  <c r="CS256" i="3"/>
  <c r="AR256" i="3"/>
  <c r="AS256" i="3" s="1"/>
  <c r="BK256" i="3"/>
  <c r="BF256" i="3"/>
  <c r="CT256" i="3"/>
  <c r="BH256" i="3"/>
  <c r="CB304" i="3"/>
  <c r="AI304" i="3"/>
  <c r="BQ304" i="3"/>
  <c r="Y376" i="3"/>
  <c r="U376" i="3"/>
  <c r="W376" i="3" s="1"/>
  <c r="AQ400" i="3"/>
  <c r="AW400" i="3"/>
  <c r="CH400" i="3"/>
  <c r="CQ400" i="3"/>
  <c r="CI400" i="3"/>
  <c r="CP400" i="3"/>
  <c r="R400" i="3"/>
  <c r="AB400" i="3" s="1"/>
  <c r="F424" i="3" a="1"/>
  <c r="H424" i="3" a="1"/>
  <c r="I424" i="3" a="1"/>
  <c r="J424" i="3" s="1"/>
  <c r="T424" i="3" s="1"/>
  <c r="L424" i="3" a="1"/>
  <c r="M424" i="3" a="1"/>
  <c r="O424" i="3" s="1"/>
  <c r="P424" i="3" a="1"/>
  <c r="Q424" i="3" s="1"/>
  <c r="V424" i="3" s="1"/>
  <c r="AZ424" i="3" a="1"/>
  <c r="BA424" i="3" a="1"/>
  <c r="BC424" i="3" a="1"/>
  <c r="BD424" i="3" a="1"/>
  <c r="BX424" i="3" a="1"/>
  <c r="D448" i="3"/>
  <c r="BO208" i="3"/>
  <c r="BS208" i="3"/>
  <c r="BU208" i="3"/>
  <c r="BV208" i="3"/>
  <c r="CM159" i="3"/>
  <c r="BZ159" i="3"/>
  <c r="CK159" i="3"/>
  <c r="CL159" i="3"/>
  <c r="CJ159" i="3"/>
  <c r="AN159" i="3"/>
  <c r="BJ159" i="3" s="1"/>
  <c r="AM159" i="3"/>
  <c r="BI159" i="3" s="1"/>
  <c r="CA159" i="3"/>
  <c r="CO183" i="3"/>
  <c r="BW183" i="3"/>
  <c r="BY183" i="3" s="1"/>
  <c r="BO207" i="3"/>
  <c r="BS207" i="3"/>
  <c r="BV207" i="3"/>
  <c r="BU207" i="3"/>
  <c r="BL231" i="3"/>
  <c r="BN231" i="3" s="1"/>
  <c r="BP231" i="3"/>
  <c r="BT231" i="3" s="1"/>
  <c r="AK279" i="3"/>
  <c r="AJ279" i="3"/>
  <c r="BG279" i="3"/>
  <c r="AL279" i="3"/>
  <c r="Y375" i="3"/>
  <c r="U375" i="3"/>
  <c r="W375" i="3" s="1"/>
  <c r="AQ399" i="3"/>
  <c r="AW399" i="3"/>
  <c r="CH399" i="3"/>
  <c r="CQ399" i="3"/>
  <c r="CI399" i="3"/>
  <c r="CP399" i="3"/>
  <c r="R399" i="3"/>
  <c r="AB399" i="3" s="1"/>
  <c r="F423" i="3" a="1"/>
  <c r="H423" i="3" a="1"/>
  <c r="I423" i="3" a="1"/>
  <c r="J423" i="3" s="1"/>
  <c r="T423" i="3" s="1"/>
  <c r="L423" i="3" a="1"/>
  <c r="M423" i="3" a="1"/>
  <c r="O423" i="3" s="1"/>
  <c r="P423" i="3" a="1"/>
  <c r="Q423" i="3" s="1"/>
  <c r="V423" i="3" s="1"/>
  <c r="AZ423" i="3" a="1"/>
  <c r="BA423" i="3" a="1"/>
  <c r="BC423" i="3" a="1"/>
  <c r="BD423" i="3" a="1"/>
  <c r="BX423" i="3" a="1"/>
  <c r="D447" i="3"/>
  <c r="BF255" i="3"/>
  <c r="CS255" i="3"/>
  <c r="AR255" i="3"/>
  <c r="AS255" i="3" s="1"/>
  <c r="BK255" i="3"/>
  <c r="CT255" i="3"/>
  <c r="BH255" i="3"/>
  <c r="CM158" i="3"/>
  <c r="BZ158" i="3"/>
  <c r="CK158" i="3"/>
  <c r="CL158" i="3"/>
  <c r="CJ158" i="3"/>
  <c r="AN158" i="3"/>
  <c r="BJ158" i="3" s="1"/>
  <c r="AM158" i="3"/>
  <c r="BI158" i="3" s="1"/>
  <c r="CA158" i="3"/>
  <c r="CO182" i="3"/>
  <c r="BW182" i="3"/>
  <c r="BY182" i="3" s="1"/>
  <c r="BO206" i="3"/>
  <c r="BS206" i="3"/>
  <c r="BV206" i="3"/>
  <c r="BU206" i="3"/>
  <c r="BL230" i="3"/>
  <c r="BN230" i="3" s="1"/>
  <c r="BP230" i="3"/>
  <c r="BT230" i="3" s="1"/>
  <c r="AK278" i="3"/>
  <c r="AJ278" i="3"/>
  <c r="BG278" i="3"/>
  <c r="AL278" i="3"/>
  <c r="CB302" i="3"/>
  <c r="AI302" i="3"/>
  <c r="BQ302" i="3"/>
  <c r="Y374" i="3"/>
  <c r="U374" i="3"/>
  <c r="W374" i="3" s="1"/>
  <c r="AQ398" i="3"/>
  <c r="AW398" i="3"/>
  <c r="CH398" i="3"/>
  <c r="CQ398" i="3"/>
  <c r="CI398" i="3"/>
  <c r="CP398" i="3"/>
  <c r="R398" i="3"/>
  <c r="AB398" i="3" s="1"/>
  <c r="F422" i="3" a="1"/>
  <c r="H422" i="3" a="1"/>
  <c r="I422" i="3" a="1"/>
  <c r="J422" i="3" s="1"/>
  <c r="T422" i="3" s="1"/>
  <c r="L422" i="3" a="1"/>
  <c r="M422" i="3" a="1"/>
  <c r="O422" i="3" s="1"/>
  <c r="P422" i="3" a="1"/>
  <c r="Q422" i="3" s="1"/>
  <c r="V422" i="3" s="1"/>
  <c r="AZ422" i="3" a="1"/>
  <c r="BA422" i="3" a="1"/>
  <c r="BC422" i="3" a="1"/>
  <c r="BD422" i="3" a="1"/>
  <c r="BX422" i="3" a="1"/>
  <c r="D446" i="3"/>
  <c r="BF254" i="3"/>
  <c r="CS254" i="3"/>
  <c r="AR254" i="3"/>
  <c r="AS254" i="3" s="1"/>
  <c r="BK254" i="3"/>
  <c r="CT254" i="3"/>
  <c r="BH254" i="3"/>
  <c r="CM157" i="3"/>
  <c r="BZ157" i="3"/>
  <c r="CK157" i="3"/>
  <c r="CL157" i="3"/>
  <c r="CJ157" i="3"/>
  <c r="AN157" i="3"/>
  <c r="BJ157" i="3" s="1"/>
  <c r="AM157" i="3"/>
  <c r="BI157" i="3" s="1"/>
  <c r="CA157" i="3"/>
  <c r="CO181" i="3"/>
  <c r="BW181" i="3"/>
  <c r="BY181" i="3" s="1"/>
  <c r="BO205" i="3"/>
  <c r="BS205" i="3"/>
  <c r="BV205" i="3"/>
  <c r="BU205" i="3"/>
  <c r="BL229" i="3"/>
  <c r="BN229" i="3" s="1"/>
  <c r="BP229" i="3"/>
  <c r="BT229" i="3" s="1"/>
  <c r="BF253" i="3"/>
  <c r="CS253" i="3"/>
  <c r="AR253" i="3"/>
  <c r="AS253" i="3" s="1"/>
  <c r="BK253" i="3"/>
  <c r="CT253" i="3"/>
  <c r="BH253" i="3"/>
  <c r="AK277" i="3"/>
  <c r="AJ277" i="3"/>
  <c r="BG277" i="3"/>
  <c r="AL277" i="3"/>
  <c r="CB301" i="3"/>
  <c r="AI301" i="3"/>
  <c r="BQ301" i="3"/>
  <c r="Y373" i="3"/>
  <c r="U373" i="3"/>
  <c r="W373" i="3" s="1"/>
  <c r="AQ397" i="3"/>
  <c r="AW397" i="3"/>
  <c r="CH397" i="3"/>
  <c r="CQ397" i="3"/>
  <c r="CI397" i="3"/>
  <c r="CP397" i="3"/>
  <c r="R397" i="3"/>
  <c r="AB397" i="3" s="1"/>
  <c r="F421" i="3" a="1"/>
  <c r="H421" i="3" a="1"/>
  <c r="I421" i="3" a="1"/>
  <c r="J421" i="3" s="1"/>
  <c r="T421" i="3" s="1"/>
  <c r="L421" i="3" a="1"/>
  <c r="M421" i="3" a="1"/>
  <c r="O421" i="3" s="1"/>
  <c r="P421" i="3" a="1"/>
  <c r="Q421" i="3" s="1"/>
  <c r="V421" i="3" s="1"/>
  <c r="AZ421" i="3" a="1"/>
  <c r="BA421" i="3" a="1"/>
  <c r="BC421" i="3" a="1"/>
  <c r="BD421" i="3" a="1"/>
  <c r="BX421" i="3" a="1"/>
  <c r="D445" i="3"/>
  <c r="CM156" i="3"/>
  <c r="BZ156" i="3"/>
  <c r="CK156" i="3"/>
  <c r="CL156" i="3"/>
  <c r="CJ156" i="3"/>
  <c r="AN156" i="3"/>
  <c r="BJ156" i="3" s="1"/>
  <c r="AM156" i="3"/>
  <c r="BI156" i="3" s="1"/>
  <c r="CA156" i="3"/>
  <c r="BV204" i="3"/>
  <c r="BU204" i="3"/>
  <c r="BL228" i="3"/>
  <c r="BN228" i="3" s="1"/>
  <c r="BP228" i="3"/>
  <c r="BT228" i="3" s="1"/>
  <c r="BF252" i="3"/>
  <c r="AR252" i="3"/>
  <c r="AS252" i="3" s="1"/>
  <c r="CS252" i="3"/>
  <c r="BK252" i="3"/>
  <c r="CT252" i="3"/>
  <c r="BH252" i="3"/>
  <c r="AK276" i="3"/>
  <c r="AJ276" i="3"/>
  <c r="BG276" i="3"/>
  <c r="AL276" i="3"/>
  <c r="CB300" i="3"/>
  <c r="BQ300" i="3"/>
  <c r="AI300" i="3"/>
  <c r="Y372" i="3"/>
  <c r="U372" i="3"/>
  <c r="W372" i="3" s="1"/>
  <c r="AQ396" i="3"/>
  <c r="AW396" i="3"/>
  <c r="CH396" i="3"/>
  <c r="CQ396" i="3"/>
  <c r="CI396" i="3"/>
  <c r="CP396" i="3"/>
  <c r="R396" i="3"/>
  <c r="AB396" i="3" s="1"/>
  <c r="F420" i="3" a="1"/>
  <c r="H420" i="3" a="1"/>
  <c r="I420" i="3" a="1"/>
  <c r="J420" i="3" s="1"/>
  <c r="T420" i="3" s="1"/>
  <c r="L420" i="3" a="1"/>
  <c r="M420" i="3" a="1"/>
  <c r="O420" i="3" s="1"/>
  <c r="P420" i="3" a="1"/>
  <c r="Q420" i="3" s="1"/>
  <c r="V420" i="3" s="1"/>
  <c r="AZ420" i="3" a="1"/>
  <c r="BA420" i="3" a="1"/>
  <c r="BC420" i="3" a="1"/>
  <c r="BD420" i="3" a="1"/>
  <c r="BX420" i="3" a="1"/>
  <c r="D444" i="3"/>
  <c r="BW180" i="3"/>
  <c r="BY180" i="3" s="1"/>
  <c r="CO180" i="3"/>
  <c r="CM155" i="3"/>
  <c r="BZ155" i="3"/>
  <c r="CK155" i="3"/>
  <c r="CL155" i="3"/>
  <c r="CJ155" i="3"/>
  <c r="AN155" i="3"/>
  <c r="BJ155" i="3" s="1"/>
  <c r="AM155" i="3"/>
  <c r="BI155" i="3" s="1"/>
  <c r="CA155" i="3"/>
  <c r="BW179" i="3"/>
  <c r="BY179" i="3" s="1"/>
  <c r="CO179" i="3"/>
  <c r="BO203" i="3"/>
  <c r="BS203" i="3"/>
  <c r="BV203" i="3"/>
  <c r="BU203" i="3"/>
  <c r="BL227" i="3"/>
  <c r="BN227" i="3" s="1"/>
  <c r="BP227" i="3"/>
  <c r="BT227" i="3" s="1"/>
  <c r="BF251" i="3"/>
  <c r="CS251" i="3"/>
  <c r="AR251" i="3"/>
  <c r="AS251" i="3" s="1"/>
  <c r="BK251" i="3"/>
  <c r="CT251" i="3"/>
  <c r="BH251" i="3"/>
  <c r="AK275" i="3"/>
  <c r="AJ275" i="3"/>
  <c r="BG275" i="3"/>
  <c r="AL275" i="3"/>
  <c r="CB299" i="3"/>
  <c r="AI299" i="3"/>
  <c r="BQ299" i="3"/>
  <c r="Y371" i="3"/>
  <c r="U371" i="3"/>
  <c r="W371" i="3" s="1"/>
  <c r="AQ395" i="3"/>
  <c r="AW395" i="3"/>
  <c r="CH395" i="3"/>
  <c r="CQ395" i="3"/>
  <c r="CI395" i="3"/>
  <c r="CP395" i="3"/>
  <c r="R395" i="3"/>
  <c r="AB395" i="3" s="1"/>
  <c r="F419" i="3" a="1"/>
  <c r="H419" i="3" a="1"/>
  <c r="I419" i="3" a="1"/>
  <c r="J419" i="3" s="1"/>
  <c r="T419" i="3" s="1"/>
  <c r="L419" i="3" a="1"/>
  <c r="M419" i="3" a="1"/>
  <c r="O419" i="3" s="1"/>
  <c r="P419" i="3" a="1"/>
  <c r="Q419" i="3" s="1"/>
  <c r="V419" i="3" s="1"/>
  <c r="AZ419" i="3" a="1"/>
  <c r="BA419" i="3" a="1"/>
  <c r="BC419" i="3" a="1"/>
  <c r="BD419" i="3" a="1"/>
  <c r="BX419" i="3" a="1"/>
  <c r="D443" i="3"/>
  <c r="CM154" i="3"/>
  <c r="CL154" i="3"/>
  <c r="BZ154" i="3"/>
  <c r="CK154" i="3"/>
  <c r="CJ154" i="3"/>
  <c r="AN154" i="3"/>
  <c r="BJ154" i="3" s="1"/>
  <c r="AM154" i="3"/>
  <c r="BI154" i="3" s="1"/>
  <c r="CA154" i="3"/>
  <c r="CO178" i="3"/>
  <c r="BW178" i="3"/>
  <c r="BY178" i="3" s="1"/>
  <c r="BO202" i="3"/>
  <c r="BS202" i="3"/>
  <c r="BV202" i="3"/>
  <c r="BU202" i="3"/>
  <c r="BL226" i="3"/>
  <c r="BN226" i="3" s="1"/>
  <c r="BP226" i="3"/>
  <c r="BT226" i="3" s="1"/>
  <c r="BF250" i="3"/>
  <c r="CS250" i="3"/>
  <c r="AR250" i="3"/>
  <c r="AS250" i="3" s="1"/>
  <c r="BK250" i="3"/>
  <c r="CT250" i="3"/>
  <c r="BH250" i="3"/>
  <c r="AK274" i="3"/>
  <c r="AJ274" i="3"/>
  <c r="BG274" i="3"/>
  <c r="AL274" i="3"/>
  <c r="CB298" i="3"/>
  <c r="BQ298" i="3"/>
  <c r="AI298" i="3"/>
  <c r="BR346" i="3"/>
  <c r="AA346" i="3"/>
  <c r="AE346" i="3" s="1"/>
  <c r="Y370" i="3"/>
  <c r="U370" i="3"/>
  <c r="W370" i="3" s="1"/>
  <c r="AQ394" i="3"/>
  <c r="AW394" i="3"/>
  <c r="CH394" i="3"/>
  <c r="CQ394" i="3"/>
  <c r="CI394" i="3"/>
  <c r="CP394" i="3"/>
  <c r="R394" i="3"/>
  <c r="AB394" i="3" s="1"/>
  <c r="F418" i="3" a="1"/>
  <c r="H418" i="3" a="1"/>
  <c r="I418" i="3" a="1"/>
  <c r="J418" i="3" s="1"/>
  <c r="T418" i="3" s="1"/>
  <c r="L418" i="3" a="1"/>
  <c r="M418" i="3" a="1"/>
  <c r="O418" i="3" s="1"/>
  <c r="P418" i="3" a="1"/>
  <c r="Q418" i="3" s="1"/>
  <c r="V418" i="3" s="1"/>
  <c r="AZ418" i="3" a="1"/>
  <c r="BA418" i="3" a="1"/>
  <c r="BC418" i="3" a="1"/>
  <c r="BD418" i="3" a="1"/>
  <c r="BX418" i="3" a="1"/>
  <c r="D442" i="3"/>
  <c r="CM153" i="3"/>
  <c r="BZ153" i="3"/>
  <c r="CK153" i="3"/>
  <c r="CL153" i="3"/>
  <c r="CJ153" i="3"/>
  <c r="AN153" i="3"/>
  <c r="BJ153" i="3" s="1"/>
  <c r="AM153" i="3"/>
  <c r="BI153" i="3" s="1"/>
  <c r="CA153" i="3"/>
  <c r="BW177" i="3"/>
  <c r="BY177" i="3" s="1"/>
  <c r="CO177" i="3"/>
  <c r="BO201" i="3"/>
  <c r="BS201" i="3"/>
  <c r="BV201" i="3"/>
  <c r="BU201" i="3"/>
  <c r="BL225" i="3"/>
  <c r="BN225" i="3" s="1"/>
  <c r="BP225" i="3"/>
  <c r="BT225" i="3" s="1"/>
  <c r="BF249" i="3"/>
  <c r="CS249" i="3"/>
  <c r="AR249" i="3"/>
  <c r="AS249" i="3" s="1"/>
  <c r="BK249" i="3"/>
  <c r="CT249" i="3"/>
  <c r="BH249" i="3"/>
  <c r="AK273" i="3"/>
  <c r="AJ273" i="3"/>
  <c r="BG273" i="3"/>
  <c r="AL273" i="3"/>
  <c r="CB297" i="3"/>
  <c r="BQ297" i="3"/>
  <c r="AI297" i="3"/>
  <c r="Y369" i="3"/>
  <c r="U369" i="3"/>
  <c r="W369" i="3" s="1"/>
  <c r="AQ393" i="3"/>
  <c r="AW393" i="3"/>
  <c r="CH393" i="3"/>
  <c r="CQ393" i="3"/>
  <c r="CI393" i="3"/>
  <c r="CP393" i="3"/>
  <c r="R393" i="3"/>
  <c r="AB393" i="3" s="1"/>
  <c r="F417" i="3" a="1"/>
  <c r="H417" i="3" a="1"/>
  <c r="I417" i="3" a="1"/>
  <c r="J417" i="3" s="1"/>
  <c r="T417" i="3" s="1"/>
  <c r="L417" i="3" a="1"/>
  <c r="M417" i="3" a="1"/>
  <c r="O417" i="3" s="1"/>
  <c r="P417" i="3" a="1"/>
  <c r="Q417" i="3" s="1"/>
  <c r="V417" i="3" s="1"/>
  <c r="AZ417" i="3" a="1"/>
  <c r="BA417" i="3" a="1"/>
  <c r="BC417" i="3" a="1"/>
  <c r="BD417" i="3" a="1"/>
  <c r="BX417" i="3" a="1"/>
  <c r="D441" i="3"/>
  <c r="CM152" i="3"/>
  <c r="BZ152" i="3"/>
  <c r="CK152" i="3"/>
  <c r="CL152" i="3"/>
  <c r="CJ152" i="3"/>
  <c r="AN152" i="3"/>
  <c r="BJ152" i="3" s="1"/>
  <c r="CA152" i="3"/>
  <c r="AM152" i="3"/>
  <c r="BI152" i="3" s="1"/>
  <c r="BW176" i="3"/>
  <c r="BY176" i="3" s="1"/>
  <c r="CO176" i="3"/>
  <c r="BO200" i="3"/>
  <c r="BS200" i="3"/>
  <c r="BV200" i="3"/>
  <c r="BU200" i="3"/>
  <c r="BL224" i="3"/>
  <c r="BN224" i="3" s="1"/>
  <c r="BP224" i="3"/>
  <c r="BT224" i="3" s="1"/>
  <c r="BF248" i="3"/>
  <c r="CS248" i="3"/>
  <c r="AR248" i="3"/>
  <c r="AS248" i="3" s="1"/>
  <c r="BK248" i="3"/>
  <c r="CT248" i="3"/>
  <c r="BH248" i="3"/>
  <c r="AK272" i="3"/>
  <c r="AJ272" i="3"/>
  <c r="BG272" i="3"/>
  <c r="AL272" i="3"/>
  <c r="CB296" i="3"/>
  <c r="BQ296" i="3"/>
  <c r="AI296" i="3"/>
  <c r="Y368" i="3"/>
  <c r="U368" i="3"/>
  <c r="W368" i="3" s="1"/>
  <c r="AQ392" i="3"/>
  <c r="AW392" i="3"/>
  <c r="CH392" i="3"/>
  <c r="CQ392" i="3"/>
  <c r="CI392" i="3"/>
  <c r="CP392" i="3"/>
  <c r="R392" i="3"/>
  <c r="AB392" i="3" s="1"/>
  <c r="F416" i="3" a="1"/>
  <c r="H416" i="3" a="1"/>
  <c r="I416" i="3" a="1"/>
  <c r="J416" i="3" s="1"/>
  <c r="T416" i="3" s="1"/>
  <c r="L416" i="3" a="1"/>
  <c r="M416" i="3" a="1"/>
  <c r="O416" i="3" s="1"/>
  <c r="P416" i="3" a="1"/>
  <c r="Q416" i="3" s="1"/>
  <c r="V416" i="3" s="1"/>
  <c r="AZ416" i="3" a="1"/>
  <c r="BA416" i="3" a="1"/>
  <c r="BC416" i="3" a="1"/>
  <c r="BD416" i="3" a="1"/>
  <c r="BX416" i="3" a="1"/>
  <c r="D440" i="3"/>
  <c r="CM151" i="3"/>
  <c r="BZ151" i="3"/>
  <c r="CK151" i="3"/>
  <c r="CL151" i="3"/>
  <c r="CJ151" i="3"/>
  <c r="AN151" i="3"/>
  <c r="BJ151" i="3" s="1"/>
  <c r="CA151" i="3"/>
  <c r="AM151" i="3"/>
  <c r="BI151" i="3" s="1"/>
  <c r="BW175" i="3"/>
  <c r="BY175" i="3" s="1"/>
  <c r="CO175" i="3"/>
  <c r="BV199" i="3"/>
  <c r="BU199" i="3"/>
  <c r="BL223" i="3"/>
  <c r="BN223" i="3" s="1"/>
  <c r="BP223" i="3"/>
  <c r="BT223" i="3" s="1"/>
  <c r="BF247" i="3"/>
  <c r="CS247" i="3"/>
  <c r="AR247" i="3"/>
  <c r="AS247" i="3" s="1"/>
  <c r="BK247" i="3"/>
  <c r="CT247" i="3"/>
  <c r="BH247" i="3"/>
  <c r="AJ271" i="3"/>
  <c r="BG271" i="3"/>
  <c r="AK271" i="3"/>
  <c r="AL271" i="3"/>
  <c r="CB295" i="3"/>
  <c r="BQ295" i="3"/>
  <c r="AI295" i="3"/>
  <c r="Y367" i="3"/>
  <c r="U367" i="3"/>
  <c r="W367" i="3" s="1"/>
  <c r="AQ391" i="3"/>
  <c r="AW391" i="3"/>
  <c r="CH391" i="3"/>
  <c r="CQ391" i="3"/>
  <c r="CI391" i="3"/>
  <c r="CP391" i="3"/>
  <c r="R391" i="3"/>
  <c r="AB391" i="3" s="1"/>
  <c r="F415" i="3" a="1"/>
  <c r="H415" i="3" a="1"/>
  <c r="I415" i="3" a="1"/>
  <c r="J415" i="3" s="1"/>
  <c r="T415" i="3" s="1"/>
  <c r="L415" i="3" a="1"/>
  <c r="M415" i="3" a="1"/>
  <c r="O415" i="3" s="1"/>
  <c r="P415" i="3" a="1"/>
  <c r="Q415" i="3" s="1"/>
  <c r="V415" i="3" s="1"/>
  <c r="AZ415" i="3" a="1"/>
  <c r="BA415" i="3" a="1"/>
  <c r="BC415" i="3" a="1"/>
  <c r="BD415" i="3" a="1"/>
  <c r="BX415" i="3" a="1"/>
  <c r="D439" i="3"/>
  <c r="CM150" i="3"/>
  <c r="BZ150" i="3"/>
  <c r="CK150" i="3"/>
  <c r="CL150" i="3"/>
  <c r="CJ150" i="3"/>
  <c r="AN150" i="3"/>
  <c r="BJ150" i="3" s="1"/>
  <c r="CA150" i="3"/>
  <c r="AM150" i="3"/>
  <c r="BI150" i="3" s="1"/>
  <c r="CO174" i="3"/>
  <c r="BW174" i="3"/>
  <c r="BY174" i="3" s="1"/>
  <c r="BO198" i="3"/>
  <c r="BS198" i="3"/>
  <c r="BU198" i="3"/>
  <c r="BV198" i="3"/>
  <c r="BL222" i="3"/>
  <c r="BN222" i="3" s="1"/>
  <c r="BP222" i="3"/>
  <c r="BT222" i="3" s="1"/>
  <c r="BF246" i="3"/>
  <c r="CS246" i="3"/>
  <c r="AR246" i="3"/>
  <c r="AS246" i="3" s="1"/>
  <c r="BK246" i="3"/>
  <c r="CT246" i="3"/>
  <c r="BH246" i="3"/>
  <c r="AK270" i="3"/>
  <c r="AJ270" i="3"/>
  <c r="BG270" i="3"/>
  <c r="AL270" i="3"/>
  <c r="CB294" i="3"/>
  <c r="BQ294" i="3"/>
  <c r="AI294" i="3"/>
  <c r="Y366" i="3"/>
  <c r="U366" i="3"/>
  <c r="W366" i="3" s="1"/>
  <c r="AQ390" i="3"/>
  <c r="AW390" i="3"/>
  <c r="CH390" i="3"/>
  <c r="CQ390" i="3"/>
  <c r="CI390" i="3"/>
  <c r="CP390" i="3"/>
  <c r="R390" i="3"/>
  <c r="AB390" i="3" s="1"/>
  <c r="F414" i="3" a="1"/>
  <c r="H414" i="3" a="1"/>
  <c r="I414" i="3" a="1"/>
  <c r="J414" i="3" s="1"/>
  <c r="T414" i="3" s="1"/>
  <c r="L414" i="3" a="1"/>
  <c r="M414" i="3" a="1"/>
  <c r="O414" i="3" s="1"/>
  <c r="P414" i="3" a="1"/>
  <c r="Q414" i="3" s="1"/>
  <c r="V414" i="3" s="1"/>
  <c r="AZ414" i="3" a="1"/>
  <c r="BA414" i="3" a="1"/>
  <c r="BC414" i="3" a="1"/>
  <c r="BD414" i="3" a="1"/>
  <c r="BX414" i="3" a="1"/>
  <c r="D438" i="3"/>
  <c r="BZ149" i="3"/>
  <c r="CL149" i="3"/>
  <c r="CM149" i="3"/>
  <c r="CK149" i="3"/>
  <c r="CJ149" i="3"/>
  <c r="AN149" i="3"/>
  <c r="BJ149" i="3" s="1"/>
  <c r="CA149" i="3"/>
  <c r="AM149" i="3"/>
  <c r="BI149" i="3" s="1"/>
  <c r="BO197" i="3"/>
  <c r="BS197" i="3"/>
  <c r="BV197" i="3"/>
  <c r="BU197" i="3"/>
  <c r="BL221" i="3"/>
  <c r="BN221" i="3" s="1"/>
  <c r="BP221" i="3"/>
  <c r="BT221" i="3" s="1"/>
  <c r="AK269" i="3"/>
  <c r="AJ269" i="3"/>
  <c r="BG269" i="3"/>
  <c r="AL269" i="3"/>
  <c r="CB293" i="3"/>
  <c r="BQ293" i="3"/>
  <c r="AI293" i="3"/>
  <c r="Y365" i="3"/>
  <c r="U365" i="3"/>
  <c r="W365" i="3" s="1"/>
  <c r="AQ389" i="3"/>
  <c r="AW389" i="3"/>
  <c r="CH389" i="3"/>
  <c r="CQ389" i="3"/>
  <c r="CI389" i="3"/>
  <c r="CP389" i="3"/>
  <c r="R389" i="3"/>
  <c r="AB389" i="3" s="1"/>
  <c r="F413" i="3" a="1"/>
  <c r="H413" i="3" a="1"/>
  <c r="I413" i="3" a="1"/>
  <c r="J413" i="3" s="1"/>
  <c r="T413" i="3" s="1"/>
  <c r="L413" i="3" a="1"/>
  <c r="M413" i="3" a="1"/>
  <c r="O413" i="3" s="1"/>
  <c r="P413" i="3" a="1"/>
  <c r="Q413" i="3" s="1"/>
  <c r="V413" i="3" s="1"/>
  <c r="AZ413" i="3" a="1"/>
  <c r="BA413" i="3" a="1"/>
  <c r="BC413" i="3" a="1"/>
  <c r="BD413" i="3" a="1"/>
  <c r="BX413" i="3" a="1"/>
  <c r="D437" i="3"/>
  <c r="CO173" i="3"/>
  <c r="BW173" i="3"/>
  <c r="BY173" i="3" s="1"/>
  <c r="CM148" i="3"/>
  <c r="CL148" i="3"/>
  <c r="BZ148" i="3"/>
  <c r="CK148" i="3"/>
  <c r="CJ148" i="3"/>
  <c r="AN148" i="3"/>
  <c r="BJ148" i="3" s="1"/>
  <c r="CA148" i="3"/>
  <c r="AM148" i="3"/>
  <c r="BI148" i="3" s="1"/>
  <c r="BW172" i="3"/>
  <c r="BY172" i="3" s="1"/>
  <c r="CO172" i="3"/>
  <c r="BS196" i="3"/>
  <c r="BO196" i="3"/>
  <c r="BU196" i="3"/>
  <c r="BV196" i="3"/>
  <c r="BL220" i="3"/>
  <c r="BN220" i="3" s="1"/>
  <c r="BP220" i="3"/>
  <c r="BT220" i="3" s="1"/>
  <c r="CS244" i="3"/>
  <c r="AR244" i="3"/>
  <c r="AS244" i="3" s="1"/>
  <c r="BK244" i="3"/>
  <c r="BF244" i="3"/>
  <c r="CT244" i="3"/>
  <c r="BH244" i="3"/>
  <c r="AK268" i="3"/>
  <c r="AJ268" i="3"/>
  <c r="BG268" i="3"/>
  <c r="AL268" i="3"/>
  <c r="CB292" i="3"/>
  <c r="BQ292" i="3"/>
  <c r="AI292" i="3"/>
  <c r="Y364" i="3"/>
  <c r="U364" i="3"/>
  <c r="W364" i="3" s="1"/>
  <c r="AQ388" i="3"/>
  <c r="AW388" i="3"/>
  <c r="CH388" i="3"/>
  <c r="CQ388" i="3"/>
  <c r="CI388" i="3"/>
  <c r="CP388" i="3"/>
  <c r="R388" i="3"/>
  <c r="AB388" i="3" s="1"/>
  <c r="F412" i="3" a="1"/>
  <c r="H412" i="3" a="1"/>
  <c r="I412" i="3" a="1"/>
  <c r="J412" i="3" s="1"/>
  <c r="T412" i="3" s="1"/>
  <c r="L412" i="3" a="1"/>
  <c r="M412" i="3" a="1"/>
  <c r="O412" i="3" s="1"/>
  <c r="P412" i="3" a="1"/>
  <c r="Q412" i="3" s="1"/>
  <c r="V412" i="3" s="1"/>
  <c r="AZ412" i="3" a="1"/>
  <c r="BA412" i="3" a="1"/>
  <c r="BC412" i="3" a="1"/>
  <c r="BD412" i="3" a="1"/>
  <c r="BX412" i="3" a="1"/>
  <c r="D436" i="3"/>
  <c r="CM147" i="3"/>
  <c r="BZ147" i="3"/>
  <c r="CK147" i="3"/>
  <c r="CL147" i="3"/>
  <c r="CJ147" i="3"/>
  <c r="AN147" i="3"/>
  <c r="BJ147" i="3" s="1"/>
  <c r="CA147" i="3"/>
  <c r="AM147" i="3"/>
  <c r="BI147" i="3" s="1"/>
  <c r="BW171" i="3"/>
  <c r="BY171" i="3" s="1"/>
  <c r="CO171" i="3"/>
  <c r="BO195" i="3"/>
  <c r="BS195" i="3"/>
  <c r="BU195" i="3"/>
  <c r="BV195" i="3"/>
  <c r="BL219" i="3"/>
  <c r="BN219" i="3" s="1"/>
  <c r="BP219" i="3"/>
  <c r="BT219" i="3" s="1"/>
  <c r="BF243" i="3"/>
  <c r="CS243" i="3"/>
  <c r="AR243" i="3"/>
  <c r="AS243" i="3" s="1"/>
  <c r="BK243" i="3"/>
  <c r="CT243" i="3"/>
  <c r="BH243" i="3"/>
  <c r="AK267" i="3"/>
  <c r="AJ267" i="3"/>
  <c r="BG267" i="3"/>
  <c r="AL267" i="3"/>
  <c r="Y363" i="3"/>
  <c r="U363" i="3"/>
  <c r="W363" i="3" s="1"/>
  <c r="AQ387" i="3"/>
  <c r="AW387" i="3"/>
  <c r="CH387" i="3"/>
  <c r="CQ387" i="3"/>
  <c r="CI387" i="3"/>
  <c r="CP387" i="3"/>
  <c r="R387" i="3"/>
  <c r="AB387" i="3" s="1"/>
  <c r="F411" i="3" a="1"/>
  <c r="H411" i="3" a="1"/>
  <c r="I411" i="3" a="1"/>
  <c r="J411" i="3" s="1"/>
  <c r="T411" i="3" s="1"/>
  <c r="L411" i="3" a="1"/>
  <c r="M411" i="3" a="1"/>
  <c r="O411" i="3" s="1"/>
  <c r="P411" i="3" a="1"/>
  <c r="Q411" i="3" s="1"/>
  <c r="V411" i="3" s="1"/>
  <c r="AZ411" i="3" a="1"/>
  <c r="BA411" i="3" a="1"/>
  <c r="BC411" i="3" a="1"/>
  <c r="BD411" i="3" a="1"/>
  <c r="BX411" i="3" a="1"/>
  <c r="D435" i="3"/>
  <c r="CM146" i="3"/>
  <c r="BZ146" i="3"/>
  <c r="CK146" i="3"/>
  <c r="CL146" i="3"/>
  <c r="CJ146" i="3"/>
  <c r="AN146" i="3"/>
  <c r="BJ146" i="3" s="1"/>
  <c r="CA146" i="3"/>
  <c r="AM146" i="3"/>
  <c r="BI146" i="3" s="1"/>
  <c r="BS194" i="3"/>
  <c r="BO194" i="3"/>
  <c r="BU194" i="3"/>
  <c r="BV194" i="3"/>
  <c r="BL218" i="3"/>
  <c r="BN218" i="3" s="1"/>
  <c r="BP218" i="3"/>
  <c r="BT218" i="3" s="1"/>
  <c r="BF242" i="3"/>
  <c r="CS242" i="3"/>
  <c r="AR242" i="3"/>
  <c r="AS242" i="3" s="1"/>
  <c r="BK242" i="3"/>
  <c r="CT242" i="3"/>
  <c r="BH242" i="3"/>
  <c r="AJ266" i="3"/>
  <c r="BG266" i="3"/>
  <c r="AK266" i="3"/>
  <c r="AL266" i="3"/>
  <c r="CB290" i="3"/>
  <c r="BQ290" i="3"/>
  <c r="AI290" i="3"/>
  <c r="Y362" i="3"/>
  <c r="U362" i="3"/>
  <c r="W362" i="3" s="1"/>
  <c r="AQ386" i="3"/>
  <c r="AW386" i="3"/>
  <c r="CH386" i="3"/>
  <c r="CQ386" i="3"/>
  <c r="CI386" i="3"/>
  <c r="CP386" i="3"/>
  <c r="R386" i="3"/>
  <c r="AB386" i="3" s="1"/>
  <c r="F410" i="3" a="1"/>
  <c r="H410" i="3" a="1"/>
  <c r="I410" i="3" a="1"/>
  <c r="J410" i="3" s="1"/>
  <c r="T410" i="3" s="1"/>
  <c r="L410" i="3" a="1"/>
  <c r="M410" i="3" a="1"/>
  <c r="O410" i="3" s="1"/>
  <c r="P410" i="3" a="1"/>
  <c r="Q410" i="3" s="1"/>
  <c r="V410" i="3" s="1"/>
  <c r="AZ410" i="3" a="1"/>
  <c r="BA410" i="3" a="1"/>
  <c r="BC410" i="3" a="1"/>
  <c r="BD410" i="3" a="1"/>
  <c r="BX410" i="3" a="1"/>
  <c r="D434" i="3"/>
  <c r="BW170" i="3"/>
  <c r="BY170" i="3" s="1"/>
  <c r="CO170" i="3"/>
  <c r="CM145" i="3"/>
  <c r="BZ145" i="3"/>
  <c r="CK145" i="3"/>
  <c r="CL145" i="3"/>
  <c r="CJ145" i="3"/>
  <c r="AN145" i="3"/>
  <c r="BJ145" i="3" s="1"/>
  <c r="CA145" i="3"/>
  <c r="AM145" i="3"/>
  <c r="BI145" i="3" s="1"/>
  <c r="BL217" i="3"/>
  <c r="BN217" i="3" s="1"/>
  <c r="BP217" i="3"/>
  <c r="BT217" i="3" s="1"/>
  <c r="BF241" i="3"/>
  <c r="CS241" i="3"/>
  <c r="AR241" i="3"/>
  <c r="AS241" i="3" s="1"/>
  <c r="BK241" i="3"/>
  <c r="CT241" i="3"/>
  <c r="BH241" i="3"/>
  <c r="CB289" i="3"/>
  <c r="AI289" i="3"/>
  <c r="BQ289" i="3"/>
  <c r="Y361" i="3"/>
  <c r="U361" i="3"/>
  <c r="W361" i="3" s="1"/>
  <c r="AQ385" i="3"/>
  <c r="AW385" i="3"/>
  <c r="CH385" i="3"/>
  <c r="CQ385" i="3"/>
  <c r="CI385" i="3"/>
  <c r="CP385" i="3"/>
  <c r="R385" i="3"/>
  <c r="AB385" i="3" s="1"/>
  <c r="F409" i="3" a="1"/>
  <c r="H409" i="3" a="1"/>
  <c r="I409" i="3" a="1"/>
  <c r="J409" i="3" s="1"/>
  <c r="T409" i="3" s="1"/>
  <c r="L409" i="3" a="1"/>
  <c r="M409" i="3" a="1"/>
  <c r="O409" i="3" s="1"/>
  <c r="P409" i="3" a="1"/>
  <c r="Q409" i="3" s="1"/>
  <c r="V409" i="3" s="1"/>
  <c r="AZ409" i="3" a="1"/>
  <c r="BA409" i="3" a="1"/>
  <c r="BC409" i="3" a="1"/>
  <c r="BD409" i="3" a="1"/>
  <c r="BX409" i="3" a="1"/>
  <c r="D433" i="3"/>
  <c r="BV193" i="3"/>
  <c r="BU193" i="3"/>
  <c r="CO169" i="3"/>
  <c r="BW169" i="3"/>
  <c r="BY169" i="3" s="1"/>
  <c r="CM144" i="3"/>
  <c r="BZ144" i="3"/>
  <c r="CK144" i="3"/>
  <c r="CL144" i="3"/>
  <c r="CJ144" i="3"/>
  <c r="AN144" i="3"/>
  <c r="BJ144" i="3" s="1"/>
  <c r="CA144" i="3"/>
  <c r="AM144" i="3"/>
  <c r="BI144" i="3" s="1"/>
  <c r="BW168" i="3"/>
  <c r="BY168" i="3" s="1"/>
  <c r="CO168" i="3"/>
  <c r="BO192" i="3"/>
  <c r="BS192" i="3"/>
  <c r="BV192" i="3"/>
  <c r="BU192" i="3"/>
  <c r="BL216" i="3"/>
  <c r="BN216" i="3" s="1"/>
  <c r="BP216" i="3"/>
  <c r="BT216" i="3" s="1"/>
  <c r="BF240" i="3"/>
  <c r="CS240" i="3"/>
  <c r="AR240" i="3"/>
  <c r="AS240" i="3" s="1"/>
  <c r="BK240" i="3"/>
  <c r="CT240" i="3"/>
  <c r="BH240" i="3"/>
  <c r="CB288" i="3"/>
  <c r="AI288" i="3"/>
  <c r="BQ288" i="3"/>
  <c r="Y360" i="3"/>
  <c r="U360" i="3"/>
  <c r="W360" i="3" s="1"/>
  <c r="AQ384" i="3"/>
  <c r="AW384" i="3"/>
  <c r="CH384" i="3"/>
  <c r="CQ384" i="3"/>
  <c r="CI384" i="3"/>
  <c r="CP384" i="3"/>
  <c r="R384" i="3"/>
  <c r="AB384" i="3" s="1"/>
  <c r="F408" i="3" a="1"/>
  <c r="H408" i="3" a="1"/>
  <c r="I408" i="3" a="1"/>
  <c r="J408" i="3" s="1"/>
  <c r="T408" i="3" s="1"/>
  <c r="L408" i="3" a="1"/>
  <c r="M408" i="3" a="1"/>
  <c r="O408" i="3" s="1"/>
  <c r="P408" i="3" a="1"/>
  <c r="Q408" i="3" s="1"/>
  <c r="V408" i="3" s="1"/>
  <c r="AZ408" i="3" a="1"/>
  <c r="BA408" i="3" a="1"/>
  <c r="BC408" i="3" a="1"/>
  <c r="BD408" i="3" a="1"/>
  <c r="BX408" i="3" a="1"/>
  <c r="D432" i="3"/>
  <c r="BW21" i="3"/>
  <c r="CO21" i="3"/>
  <c r="AM108" i="3"/>
  <c r="BI108" i="3" s="1"/>
  <c r="CA108" i="3"/>
  <c r="AN108" i="3"/>
  <c r="BJ108" i="3" s="1"/>
  <c r="CJ108" i="3"/>
  <c r="CM108" i="3"/>
  <c r="CL108" i="3"/>
  <c r="CK108" i="3"/>
  <c r="BZ108" i="3"/>
  <c r="CO109" i="3"/>
  <c r="BY109" i="3"/>
  <c r="CB109" i="3"/>
  <c r="BX110" i="3" a="1"/>
  <c r="H198" i="4"/>
  <c r="AB197" i="4"/>
  <c r="AA197" i="4" s="1"/>
  <c r="W13" i="4"/>
  <c r="B33" i="19"/>
  <c r="V14" i="4"/>
  <c r="B34" i="13"/>
  <c r="B60" i="13"/>
  <c r="B88" i="13"/>
  <c r="B428" i="3" a="1"/>
  <c r="CE428" i="3" a="1"/>
  <c r="C33" i="13"/>
  <c r="C59" i="13"/>
  <c r="C87" i="13"/>
  <c r="C32" i="19"/>
  <c r="U321" i="4"/>
  <c r="BT70" i="3"/>
  <c r="BN70" i="3"/>
  <c r="CM143" i="3"/>
  <c r="BZ143" i="3"/>
  <c r="CL143" i="3"/>
  <c r="CK143" i="3"/>
  <c r="CJ143" i="3"/>
  <c r="AN143" i="3"/>
  <c r="BJ143" i="3" s="1"/>
  <c r="CA143" i="3"/>
  <c r="AM143" i="3"/>
  <c r="BI143" i="3" s="1"/>
  <c r="BZ142" i="3"/>
  <c r="CM142" i="3"/>
  <c r="CK142" i="3"/>
  <c r="CL142" i="3"/>
  <c r="CJ142" i="3"/>
  <c r="AN142" i="3"/>
  <c r="BJ142" i="3" s="1"/>
  <c r="CA142" i="3"/>
  <c r="AM142" i="3"/>
  <c r="BI142" i="3" s="1"/>
  <c r="BW167" i="3"/>
  <c r="BY167" i="3" s="1"/>
  <c r="CO167" i="3"/>
  <c r="BW166" i="3"/>
  <c r="BY166" i="3" s="1"/>
  <c r="CO166" i="3"/>
  <c r="CM139" i="3"/>
  <c r="BZ139" i="3"/>
  <c r="CK139" i="3"/>
  <c r="CL139" i="3"/>
  <c r="CJ139" i="3"/>
  <c r="AN139" i="3"/>
  <c r="BJ139" i="3" s="1"/>
  <c r="CA139" i="3"/>
  <c r="AM139" i="3"/>
  <c r="BI139" i="3" s="1"/>
  <c r="BV191" i="3"/>
  <c r="BU191" i="3"/>
  <c r="BO191" i="3"/>
  <c r="BS191" i="3"/>
  <c r="BU190" i="3"/>
  <c r="BV190" i="3"/>
  <c r="BO190" i="3"/>
  <c r="BS190" i="3"/>
  <c r="BW117" i="3"/>
  <c r="BY117" i="3" s="1"/>
  <c r="CO117" i="3"/>
  <c r="BP215" i="3"/>
  <c r="BT215" i="3" s="1"/>
  <c r="BL215" i="3"/>
  <c r="BN215" i="3" s="1"/>
  <c r="BP214" i="3"/>
  <c r="BT214" i="3" s="1"/>
  <c r="BL214" i="3"/>
  <c r="BN214" i="3" s="1"/>
  <c r="BW94" i="3"/>
  <c r="BY94" i="3" s="1"/>
  <c r="CO94" i="3"/>
  <c r="BP189" i="3"/>
  <c r="BT189" i="3" s="1"/>
  <c r="BL189" i="3"/>
  <c r="BN189" i="3" s="1"/>
  <c r="BF239" i="3"/>
  <c r="CS239" i="3"/>
  <c r="AR239" i="3"/>
  <c r="AS239" i="3" s="1"/>
  <c r="BK239" i="3"/>
  <c r="CT239" i="3"/>
  <c r="BH239" i="3"/>
  <c r="BF238" i="3"/>
  <c r="CS238" i="3"/>
  <c r="AR238" i="3"/>
  <c r="AS238" i="3" s="1"/>
  <c r="BK238" i="3"/>
  <c r="CT238" i="3"/>
  <c r="BH238" i="3"/>
  <c r="BV141" i="3"/>
  <c r="BU141" i="3"/>
  <c r="BO141" i="3"/>
  <c r="BS141" i="3"/>
  <c r="BF213" i="3"/>
  <c r="CS213" i="3"/>
  <c r="AR213" i="3"/>
  <c r="AS213" i="3" s="1"/>
  <c r="BK213" i="3"/>
  <c r="CT213" i="3"/>
  <c r="BH213" i="3"/>
  <c r="AK262" i="3"/>
  <c r="AJ262" i="3"/>
  <c r="BG262" i="3"/>
  <c r="AL262" i="3"/>
  <c r="BG165" i="3"/>
  <c r="AJ165" i="3"/>
  <c r="AK165" i="3"/>
  <c r="AL165" i="3"/>
  <c r="CB261" i="3"/>
  <c r="AI261" i="3"/>
  <c r="BQ261" i="3"/>
  <c r="AF291" i="3"/>
  <c r="AG291" i="3" s="1"/>
  <c r="AH291" i="3" s="1"/>
  <c r="Y358" i="3"/>
  <c r="U358" i="3"/>
  <c r="W358" i="3" s="1"/>
  <c r="Y333" i="3"/>
  <c r="U333" i="3"/>
  <c r="W333" i="3" s="1"/>
  <c r="AA332" i="3"/>
  <c r="AE332" i="3" s="1"/>
  <c r="BR332" i="3"/>
  <c r="CR332" i="3"/>
  <c r="CQ382" i="3"/>
  <c r="CH382" i="3"/>
  <c r="AW382" i="3"/>
  <c r="AQ382" i="3"/>
  <c r="CP382" i="3"/>
  <c r="CI382" i="3"/>
  <c r="R382" i="3"/>
  <c r="AB382" i="3" s="1"/>
  <c r="CQ381" i="3"/>
  <c r="CH381" i="3"/>
  <c r="AW381" i="3"/>
  <c r="AQ381" i="3"/>
  <c r="CP381" i="3"/>
  <c r="CI381" i="3"/>
  <c r="BQ237" i="3"/>
  <c r="AI237" i="3"/>
  <c r="CB237" i="3"/>
  <c r="T357" i="3"/>
  <c r="V357" i="3"/>
  <c r="R357" i="3"/>
  <c r="AB357" i="3" s="1"/>
  <c r="Z347" i="3"/>
  <c r="AC347" i="3" s="1"/>
  <c r="AD347" i="3" s="1"/>
  <c r="H407" i="3" a="1"/>
  <c r="I407" i="3" a="1"/>
  <c r="J407" i="3" s="1"/>
  <c r="T407" i="3" s="1"/>
  <c r="L407" i="3" a="1"/>
  <c r="M407" i="3" a="1"/>
  <c r="O407" i="3" s="1"/>
  <c r="P407" i="3" a="1"/>
  <c r="Q407" i="3" s="1"/>
  <c r="V407" i="3" s="1"/>
  <c r="AZ407" i="3" a="1"/>
  <c r="BA407" i="3" a="1"/>
  <c r="BC407" i="3" a="1"/>
  <c r="BD407" i="3" a="1"/>
  <c r="BX407" i="3" a="1"/>
  <c r="BA406" i="3" a="1"/>
  <c r="BC406" i="3" a="1"/>
  <c r="BD406" i="3" a="1"/>
  <c r="BX406" i="3" a="1"/>
  <c r="L406" i="3" a="1"/>
  <c r="M406" i="3" a="1"/>
  <c r="O406" i="3" s="1"/>
  <c r="P406" i="3" a="1"/>
  <c r="Q406" i="3" s="1"/>
  <c r="V406" i="3" s="1"/>
  <c r="AZ406" i="3" a="1"/>
  <c r="BA405" i="3" a="1"/>
  <c r="BC405" i="3" a="1"/>
  <c r="M405" i="3" a="1"/>
  <c r="BD405" i="3" a="1"/>
  <c r="H405" i="3" a="1"/>
  <c r="I405" i="3" a="1"/>
  <c r="L405" i="3" a="1"/>
  <c r="BX405" i="3" a="1"/>
  <c r="P405" i="3" a="1"/>
  <c r="AZ405" i="3" a="1"/>
  <c r="J381" i="3"/>
  <c r="O381" i="3"/>
  <c r="Q381" i="3"/>
  <c r="Z380" i="3" l="1"/>
  <c r="AC380" i="3" s="1"/>
  <c r="AD380" i="3" s="1"/>
  <c r="Z378" i="3"/>
  <c r="AC378" i="3" s="1"/>
  <c r="AD378" i="3" s="1"/>
  <c r="CR351" i="3"/>
  <c r="BR351" i="3"/>
  <c r="AA351" i="3"/>
  <c r="AE351" i="3" s="1"/>
  <c r="AF351" i="3" s="1"/>
  <c r="AG351" i="3" s="1"/>
  <c r="AH351" i="3" s="1"/>
  <c r="CR336" i="3"/>
  <c r="BR336" i="3"/>
  <c r="AA336" i="3"/>
  <c r="AE336" i="3" s="1"/>
  <c r="AF336" i="3" s="1"/>
  <c r="AG336" i="3" s="1"/>
  <c r="AH336" i="3" s="1"/>
  <c r="Z379" i="3"/>
  <c r="AC379" i="3" s="1"/>
  <c r="AD379" i="3" s="1"/>
  <c r="Z377" i="3"/>
  <c r="AC377" i="3" s="1"/>
  <c r="AD377" i="3" s="1"/>
  <c r="CR353" i="3"/>
  <c r="BR353" i="3"/>
  <c r="AA353" i="3"/>
  <c r="AE353" i="3" s="1"/>
  <c r="AF353" i="3" s="1"/>
  <c r="AG353" i="3" s="1"/>
  <c r="AH353" i="3" s="1"/>
  <c r="CR337" i="3"/>
  <c r="BR337" i="3"/>
  <c r="AA337" i="3"/>
  <c r="AE337" i="3" s="1"/>
  <c r="AF337" i="3" s="1"/>
  <c r="AG337" i="3" s="1"/>
  <c r="AH337" i="3" s="1"/>
  <c r="Z375" i="3"/>
  <c r="AC375" i="3" s="1"/>
  <c r="AD375" i="3" s="1"/>
  <c r="Z369" i="3"/>
  <c r="AC369" i="3" s="1"/>
  <c r="AD369" i="3" s="1"/>
  <c r="CR340" i="3"/>
  <c r="BR340" i="3"/>
  <c r="AA340" i="3"/>
  <c r="AE340" i="3" s="1"/>
  <c r="AF340" i="3" s="1"/>
  <c r="AG340" i="3" s="1"/>
  <c r="AH340" i="3" s="1"/>
  <c r="CR359" i="3"/>
  <c r="BR359" i="3"/>
  <c r="AA359" i="3"/>
  <c r="AE359" i="3" s="1"/>
  <c r="AF359" i="3" s="1"/>
  <c r="AG359" i="3" s="1"/>
  <c r="AH359" i="3" s="1"/>
  <c r="Z360" i="3"/>
  <c r="AC360" i="3" s="1"/>
  <c r="AD360" i="3" s="1"/>
  <c r="Z363" i="3"/>
  <c r="AC363" i="3" s="1"/>
  <c r="AD363" i="3" s="1"/>
  <c r="BO199" i="3"/>
  <c r="BS199" i="3"/>
  <c r="Z370" i="3"/>
  <c r="AC370" i="3" s="1"/>
  <c r="AD370" i="3" s="1"/>
  <c r="Z366" i="3"/>
  <c r="AC366" i="3" s="1"/>
  <c r="AD366" i="3" s="1"/>
  <c r="CR349" i="3"/>
  <c r="BR349" i="3"/>
  <c r="AA349" i="3"/>
  <c r="AE349" i="3" s="1"/>
  <c r="AF349" i="3" s="1"/>
  <c r="AG349" i="3" s="1"/>
  <c r="AH349" i="3" s="1"/>
  <c r="Z373" i="3"/>
  <c r="AC373" i="3" s="1"/>
  <c r="AD373" i="3" s="1"/>
  <c r="Z367" i="3"/>
  <c r="AC367" i="3" s="1"/>
  <c r="AD367" i="3" s="1"/>
  <c r="CR338" i="3"/>
  <c r="BR338" i="3"/>
  <c r="AA338" i="3"/>
  <c r="AE338" i="3" s="1"/>
  <c r="AF338" i="3" s="1"/>
  <c r="AG338" i="3" s="1"/>
  <c r="AH338" i="3" s="1"/>
  <c r="Z358" i="3"/>
  <c r="AC358" i="3" s="1"/>
  <c r="AD358" i="3" s="1"/>
  <c r="Z333" i="3"/>
  <c r="AC333" i="3" s="1"/>
  <c r="AD333" i="3" s="1"/>
  <c r="CR343" i="3"/>
  <c r="BR343" i="3"/>
  <c r="AA343" i="3"/>
  <c r="AE343" i="3" s="1"/>
  <c r="AF343" i="3" s="1"/>
  <c r="AG343" i="3" s="1"/>
  <c r="AH343" i="3" s="1"/>
  <c r="CR354" i="3"/>
  <c r="BR354" i="3"/>
  <c r="AA354" i="3"/>
  <c r="AE354" i="3" s="1"/>
  <c r="AF354" i="3" s="1"/>
  <c r="AG354" i="3" s="1"/>
  <c r="AH354" i="3" s="1"/>
  <c r="CR350" i="3"/>
  <c r="AA350" i="3"/>
  <c r="AE350" i="3" s="1"/>
  <c r="BR350" i="3"/>
  <c r="BO204" i="3"/>
  <c r="BS204" i="3"/>
  <c r="AF311" i="3"/>
  <c r="AG311" i="3" s="1"/>
  <c r="AH311" i="3" s="1"/>
  <c r="Z368" i="3"/>
  <c r="AC368" i="3" s="1"/>
  <c r="AD368" i="3" s="1"/>
  <c r="Z365" i="3"/>
  <c r="AC365" i="3" s="1"/>
  <c r="AD365" i="3" s="1"/>
  <c r="CR344" i="3"/>
  <c r="BR344" i="3"/>
  <c r="AA344" i="3"/>
  <c r="AE344" i="3" s="1"/>
  <c r="AF344" i="3" s="1"/>
  <c r="AG344" i="3" s="1"/>
  <c r="AH344" i="3" s="1"/>
  <c r="CR341" i="3"/>
  <c r="AA341" i="3"/>
  <c r="AE341" i="3" s="1"/>
  <c r="AF341" i="3" s="1"/>
  <c r="AG341" i="3" s="1"/>
  <c r="AH341" i="3" s="1"/>
  <c r="BR341" i="3"/>
  <c r="CR334" i="3"/>
  <c r="BR334" i="3"/>
  <c r="AA334" i="3"/>
  <c r="AE334" i="3" s="1"/>
  <c r="AF334" i="3" s="1"/>
  <c r="AG334" i="3" s="1"/>
  <c r="AH334" i="3" s="1"/>
  <c r="CR356" i="3"/>
  <c r="AA356" i="3"/>
  <c r="AE356" i="3" s="1"/>
  <c r="AF356" i="3" s="1"/>
  <c r="AG356" i="3" s="1"/>
  <c r="AH356" i="3" s="1"/>
  <c r="BR356" i="3"/>
  <c r="CR309" i="3"/>
  <c r="BR309" i="3"/>
  <c r="AA309" i="3"/>
  <c r="AE309" i="3" s="1"/>
  <c r="AF309" i="3" s="1"/>
  <c r="AG309" i="3" s="1"/>
  <c r="AH309" i="3" s="1"/>
  <c r="CR339" i="3"/>
  <c r="AA339" i="3"/>
  <c r="AE339" i="3" s="1"/>
  <c r="BR339" i="3"/>
  <c r="AI287" i="3"/>
  <c r="BQ287" i="3"/>
  <c r="CB287" i="3"/>
  <c r="AF322" i="3"/>
  <c r="AG322" i="3" s="1"/>
  <c r="AH322" i="3" s="1"/>
  <c r="AF316" i="3"/>
  <c r="AG316" i="3" s="1"/>
  <c r="AH316" i="3" s="1"/>
  <c r="CR352" i="3"/>
  <c r="BR352" i="3"/>
  <c r="AA352" i="3"/>
  <c r="AE352" i="3" s="1"/>
  <c r="AF352" i="3" s="1"/>
  <c r="AG352" i="3" s="1"/>
  <c r="AH352" i="3" s="1"/>
  <c r="Z364" i="3"/>
  <c r="AC364" i="3" s="1"/>
  <c r="AD364" i="3" s="1"/>
  <c r="Z372" i="3"/>
  <c r="AC372" i="3" s="1"/>
  <c r="AD372" i="3" s="1"/>
  <c r="Z362" i="3"/>
  <c r="AC362" i="3" s="1"/>
  <c r="AD362" i="3" s="1"/>
  <c r="CR345" i="3"/>
  <c r="BR345" i="3"/>
  <c r="AA345" i="3"/>
  <c r="AE345" i="3" s="1"/>
  <c r="AF345" i="3" s="1"/>
  <c r="AG345" i="3" s="1"/>
  <c r="AH345" i="3" s="1"/>
  <c r="CR342" i="3"/>
  <c r="BR342" i="3"/>
  <c r="AA342" i="3"/>
  <c r="AE342" i="3" s="1"/>
  <c r="AF342" i="3" s="1"/>
  <c r="AG342" i="3" s="1"/>
  <c r="AH342" i="3" s="1"/>
  <c r="CS245" i="3"/>
  <c r="AR245" i="3"/>
  <c r="AS245" i="3" s="1"/>
  <c r="BK245" i="3"/>
  <c r="BL245" i="3" s="1"/>
  <c r="CT245" i="3"/>
  <c r="BH245" i="3"/>
  <c r="BP245" i="3" s="1"/>
  <c r="BT245" i="3" s="1"/>
  <c r="CR348" i="3"/>
  <c r="BR348" i="3"/>
  <c r="AA348" i="3"/>
  <c r="AE348" i="3" s="1"/>
  <c r="AF348" i="3" s="1"/>
  <c r="AG348" i="3" s="1"/>
  <c r="AH348" i="3" s="1"/>
  <c r="AK280" i="3"/>
  <c r="BF280" i="3" s="1"/>
  <c r="AJ280" i="3"/>
  <c r="BG280" i="3"/>
  <c r="AL280" i="3"/>
  <c r="CS258" i="3"/>
  <c r="AR258" i="3"/>
  <c r="AS258" i="3" s="1"/>
  <c r="BK258" i="3"/>
  <c r="BL258" i="3" s="1"/>
  <c r="CT258" i="3"/>
  <c r="BH258" i="3"/>
  <c r="BP258" i="3" s="1"/>
  <c r="BT258" i="3" s="1"/>
  <c r="Z374" i="3"/>
  <c r="AC374" i="3" s="1"/>
  <c r="AD374" i="3" s="1"/>
  <c r="Z371" i="3"/>
  <c r="AC371" i="3" s="1"/>
  <c r="AD371" i="3" s="1"/>
  <c r="Z376" i="3"/>
  <c r="AC376" i="3" s="1"/>
  <c r="AD376" i="3" s="1"/>
  <c r="BO193" i="3"/>
  <c r="BS193" i="3"/>
  <c r="Z361" i="3"/>
  <c r="AC361" i="3" s="1"/>
  <c r="AD361" i="3" s="1"/>
  <c r="Z383" i="3"/>
  <c r="AC383" i="3" s="1"/>
  <c r="AD383" i="3" s="1"/>
  <c r="AK265" i="3"/>
  <c r="BF265" i="3" s="1"/>
  <c r="AJ265" i="3"/>
  <c r="BG265" i="3"/>
  <c r="AL265" i="3"/>
  <c r="AJ263" i="3"/>
  <c r="AL263" i="3"/>
  <c r="BG263" i="3"/>
  <c r="AK263" i="3"/>
  <c r="BF263" i="3" s="1"/>
  <c r="AK264" i="3"/>
  <c r="BF264" i="3" s="1"/>
  <c r="AJ264" i="3"/>
  <c r="BG264" i="3"/>
  <c r="AL264" i="3"/>
  <c r="CB286" i="3"/>
  <c r="BQ286" i="3"/>
  <c r="AI286" i="3"/>
  <c r="CR335" i="3"/>
  <c r="BR335" i="3"/>
  <c r="AA335" i="3"/>
  <c r="AE335" i="3" s="1"/>
  <c r="AF335" i="3" s="1"/>
  <c r="AG335" i="3" s="1"/>
  <c r="AH335" i="3" s="1"/>
  <c r="AF329" i="3"/>
  <c r="AG329" i="3" s="1"/>
  <c r="AH329" i="3" s="1"/>
  <c r="BQ303" i="3"/>
  <c r="CB303" i="3"/>
  <c r="AI303" i="3"/>
  <c r="CR355" i="3"/>
  <c r="BR355" i="3"/>
  <c r="AA355" i="3"/>
  <c r="AE355" i="3" s="1"/>
  <c r="AF355" i="3" s="1"/>
  <c r="AG355" i="3" s="1"/>
  <c r="AH355" i="3" s="1"/>
  <c r="G500" i="3" a="1"/>
  <c r="BB500" i="3" a="1"/>
  <c r="CE500" i="3" a="1"/>
  <c r="B500" i="3" a="1"/>
  <c r="B475" i="3" a="1"/>
  <c r="BB475" i="3" a="1"/>
  <c r="CE475" i="3" a="1"/>
  <c r="G475" i="3" a="1"/>
  <c r="E499" i="3"/>
  <c r="CC499" i="3"/>
  <c r="B474" i="3" a="1"/>
  <c r="BB474" i="3" a="1"/>
  <c r="CE474" i="3" a="1"/>
  <c r="G474" i="3" a="1"/>
  <c r="E498" i="3"/>
  <c r="CC498" i="3"/>
  <c r="B473" i="3" a="1"/>
  <c r="BB473" i="3" a="1"/>
  <c r="CE473" i="3" a="1"/>
  <c r="G473" i="3" a="1"/>
  <c r="E497" i="3"/>
  <c r="CC497" i="3"/>
  <c r="G472" i="3" a="1"/>
  <c r="BB472" i="3" a="1"/>
  <c r="CE472" i="3" a="1"/>
  <c r="B472" i="3" a="1"/>
  <c r="E496" i="3"/>
  <c r="CC496" i="3"/>
  <c r="G471" i="3" a="1"/>
  <c r="BB471" i="3" a="1"/>
  <c r="CE471" i="3" a="1"/>
  <c r="B471" i="3" a="1"/>
  <c r="E495" i="3"/>
  <c r="CC495" i="3"/>
  <c r="G470" i="3" a="1"/>
  <c r="BB470" i="3" a="1"/>
  <c r="CE470" i="3" a="1"/>
  <c r="B470" i="3" a="1"/>
  <c r="E494" i="3"/>
  <c r="CC494" i="3"/>
  <c r="G469" i="3" a="1"/>
  <c r="BB469" i="3" a="1"/>
  <c r="CE469" i="3" a="1"/>
  <c r="B469" i="3" a="1"/>
  <c r="E493" i="3"/>
  <c r="CC493" i="3"/>
  <c r="G468" i="3" a="1"/>
  <c r="BB468" i="3" a="1"/>
  <c r="CE468" i="3" a="1"/>
  <c r="B468" i="3" a="1"/>
  <c r="E492" i="3"/>
  <c r="CC492" i="3"/>
  <c r="G467" i="3" a="1"/>
  <c r="BB467" i="3" a="1"/>
  <c r="CE467" i="3" a="1"/>
  <c r="B467" i="3" a="1"/>
  <c r="E491" i="3"/>
  <c r="CC491" i="3"/>
  <c r="G466" i="3" a="1"/>
  <c r="BB466" i="3" a="1"/>
  <c r="CE466" i="3" a="1"/>
  <c r="B466" i="3" a="1"/>
  <c r="E490" i="3"/>
  <c r="CC490" i="3"/>
  <c r="G465" i="3" a="1"/>
  <c r="BB465" i="3" a="1"/>
  <c r="CE465" i="3" a="1"/>
  <c r="B465" i="3" a="1"/>
  <c r="E489" i="3"/>
  <c r="CC489" i="3"/>
  <c r="G464" i="3" a="1"/>
  <c r="BB464" i="3" a="1"/>
  <c r="CE464" i="3" a="1"/>
  <c r="B464" i="3" a="1"/>
  <c r="E488" i="3"/>
  <c r="CC488" i="3"/>
  <c r="G463" i="3" a="1"/>
  <c r="BB463" i="3" a="1"/>
  <c r="CE463" i="3" a="1"/>
  <c r="B463" i="3" a="1"/>
  <c r="E487" i="3"/>
  <c r="CC487" i="3"/>
  <c r="G462" i="3" a="1"/>
  <c r="BB462" i="3" a="1"/>
  <c r="CE462" i="3" a="1"/>
  <c r="B462" i="3" a="1"/>
  <c r="E486" i="3"/>
  <c r="CC486" i="3"/>
  <c r="CD461" i="3"/>
  <c r="C485" i="3"/>
  <c r="CD485" i="3" s="1"/>
  <c r="G437" i="3" a="1"/>
  <c r="CE437" i="3" a="1"/>
  <c r="B437" i="3" a="1"/>
  <c r="BB437" i="3" a="1"/>
  <c r="E461" i="3"/>
  <c r="CC461" i="3"/>
  <c r="A485" i="3"/>
  <c r="CD460" i="3"/>
  <c r="C484" i="3"/>
  <c r="CD484" i="3" s="1"/>
  <c r="G436" i="3" a="1"/>
  <c r="B436" i="3" a="1"/>
  <c r="BB436" i="3" a="1"/>
  <c r="CE436" i="3" a="1"/>
  <c r="E460" i="3"/>
  <c r="CC460" i="3"/>
  <c r="A484" i="3"/>
  <c r="AE17" i="19" s="1"/>
  <c r="T18" i="13" s="1"/>
  <c r="AN18" i="13" s="1"/>
  <c r="CD459" i="3"/>
  <c r="C483" i="3"/>
  <c r="CD483" i="3" s="1"/>
  <c r="G435" i="3" a="1"/>
  <c r="B435" i="3" a="1"/>
  <c r="BB435" i="3" a="1"/>
  <c r="CE435" i="3" a="1"/>
  <c r="E459" i="3"/>
  <c r="CC459" i="3"/>
  <c r="A483" i="3"/>
  <c r="CD458" i="3"/>
  <c r="C482" i="3"/>
  <c r="CD482" i="3" s="1"/>
  <c r="B434" i="3" a="1"/>
  <c r="BB434" i="3" a="1"/>
  <c r="CE434" i="3" a="1"/>
  <c r="G434" i="3" a="1"/>
  <c r="E458" i="3"/>
  <c r="CC458" i="3"/>
  <c r="A482" i="3"/>
  <c r="CD457" i="3"/>
  <c r="C481" i="3"/>
  <c r="CD481" i="3" s="1"/>
  <c r="B433" i="3" a="1"/>
  <c r="BB433" i="3" a="1"/>
  <c r="CE433" i="3" a="1"/>
  <c r="G433" i="3" a="1"/>
  <c r="E457" i="3"/>
  <c r="CC457" i="3"/>
  <c r="A481" i="3"/>
  <c r="CD456" i="3"/>
  <c r="C480" i="3"/>
  <c r="CD480" i="3" s="1"/>
  <c r="B432" i="3" a="1"/>
  <c r="BB432" i="3" a="1"/>
  <c r="CE432" i="3" a="1"/>
  <c r="G432" i="3" a="1"/>
  <c r="E456" i="3"/>
  <c r="CC456" i="3"/>
  <c r="A480" i="3"/>
  <c r="F455" i="3" a="1"/>
  <c r="D479" i="3"/>
  <c r="CD455" i="3"/>
  <c r="C479" i="3"/>
  <c r="CD479" i="3" s="1"/>
  <c r="B431" i="3" a="1"/>
  <c r="BB431" i="3" a="1"/>
  <c r="CE431" i="3" a="1"/>
  <c r="G431" i="3" a="1"/>
  <c r="E455" i="3"/>
  <c r="CC455" i="3"/>
  <c r="A479" i="3"/>
  <c r="F454" i="3" a="1"/>
  <c r="D478" i="3"/>
  <c r="CD454" i="3"/>
  <c r="C478" i="3"/>
  <c r="CD478" i="3" s="1"/>
  <c r="B430" i="3" a="1"/>
  <c r="BB430" i="3" a="1"/>
  <c r="CE430" i="3" a="1"/>
  <c r="G430" i="3" a="1"/>
  <c r="E454" i="3"/>
  <c r="CC454" i="3"/>
  <c r="A478" i="3"/>
  <c r="H82" i="21" s="1"/>
  <c r="F453" i="3" a="1"/>
  <c r="D477" i="3"/>
  <c r="CD453" i="3"/>
  <c r="C477" i="3"/>
  <c r="B429" i="3" a="1"/>
  <c r="BB429" i="3" a="1"/>
  <c r="CE429" i="3" a="1"/>
  <c r="G429" i="3" a="1"/>
  <c r="J71" i="21"/>
  <c r="H41" i="21"/>
  <c r="J78" i="21"/>
  <c r="H47" i="21"/>
  <c r="J81" i="21"/>
  <c r="J50" i="21"/>
  <c r="I50" i="21"/>
  <c r="G51" i="21"/>
  <c r="J51" i="21"/>
  <c r="E453" i="3"/>
  <c r="CC453" i="3"/>
  <c r="A477" i="3"/>
  <c r="CM188" i="3"/>
  <c r="CL188" i="3"/>
  <c r="BZ188" i="3"/>
  <c r="CK188" i="3"/>
  <c r="CJ188" i="3"/>
  <c r="AN188" i="3"/>
  <c r="BJ188" i="3" s="1"/>
  <c r="AM188" i="3"/>
  <c r="BI188" i="3" s="1"/>
  <c r="CA188" i="3"/>
  <c r="BW212" i="3"/>
  <c r="BY212" i="3" s="1"/>
  <c r="CO212" i="3"/>
  <c r="BO236" i="3"/>
  <c r="BS236" i="3"/>
  <c r="BV236" i="3"/>
  <c r="BU236" i="3"/>
  <c r="BL260" i="3"/>
  <c r="BN260" i="3" s="1"/>
  <c r="BP260" i="3"/>
  <c r="BT260" i="3" s="1"/>
  <c r="BF284" i="3"/>
  <c r="CS284" i="3"/>
  <c r="AR284" i="3"/>
  <c r="AS284" i="3" s="1"/>
  <c r="BK284" i="3"/>
  <c r="CT284" i="3"/>
  <c r="BH284" i="3"/>
  <c r="AK308" i="3"/>
  <c r="AJ308" i="3"/>
  <c r="BG308" i="3"/>
  <c r="AL308" i="3"/>
  <c r="Y404" i="3"/>
  <c r="U404" i="3"/>
  <c r="W404" i="3" s="1"/>
  <c r="AQ428" i="3"/>
  <c r="AW428" i="3"/>
  <c r="CH428" i="3"/>
  <c r="CQ428" i="3"/>
  <c r="CI428" i="3"/>
  <c r="CP428" i="3"/>
  <c r="R428" i="3"/>
  <c r="AB428" i="3" s="1"/>
  <c r="F452" i="3" a="1"/>
  <c r="H452" i="3" a="1"/>
  <c r="I452" i="3" a="1"/>
  <c r="J452" i="3" s="1"/>
  <c r="T452" i="3" s="1"/>
  <c r="L452" i="3" a="1"/>
  <c r="M452" i="3" a="1"/>
  <c r="O452" i="3" s="1"/>
  <c r="P452" i="3" a="1"/>
  <c r="Q452" i="3" s="1"/>
  <c r="V452" i="3" s="1"/>
  <c r="AZ452" i="3" a="1"/>
  <c r="BA452" i="3" a="1"/>
  <c r="BC452" i="3" a="1"/>
  <c r="BD452" i="3" a="1"/>
  <c r="BX452" i="3" a="1"/>
  <c r="D476" i="3"/>
  <c r="CM187" i="3"/>
  <c r="BZ187" i="3"/>
  <c r="CK187" i="3"/>
  <c r="CL187" i="3"/>
  <c r="CJ187" i="3"/>
  <c r="AN187" i="3"/>
  <c r="BJ187" i="3" s="1"/>
  <c r="CA187" i="3"/>
  <c r="AM187" i="3"/>
  <c r="BI187" i="3" s="1"/>
  <c r="CO211" i="3"/>
  <c r="BW211" i="3"/>
  <c r="BY211" i="3" s="1"/>
  <c r="BO235" i="3"/>
  <c r="BS235" i="3"/>
  <c r="BV235" i="3"/>
  <c r="BU235" i="3"/>
  <c r="BL259" i="3"/>
  <c r="BN259" i="3" s="1"/>
  <c r="BP259" i="3"/>
  <c r="BT259" i="3" s="1"/>
  <c r="BF283" i="3"/>
  <c r="CS283" i="3"/>
  <c r="AR283" i="3"/>
  <c r="AS283" i="3" s="1"/>
  <c r="BK283" i="3"/>
  <c r="CT283" i="3"/>
  <c r="BH283" i="3"/>
  <c r="AK307" i="3"/>
  <c r="AJ307" i="3"/>
  <c r="BG307" i="3"/>
  <c r="AL307" i="3"/>
  <c r="CB331" i="3"/>
  <c r="AI331" i="3"/>
  <c r="BQ331" i="3"/>
  <c r="Y403" i="3"/>
  <c r="U403" i="3"/>
  <c r="W403" i="3" s="1"/>
  <c r="AQ427" i="3"/>
  <c r="AW427" i="3"/>
  <c r="CH427" i="3"/>
  <c r="CQ427" i="3"/>
  <c r="CI427" i="3"/>
  <c r="CP427" i="3"/>
  <c r="R427" i="3"/>
  <c r="AB427" i="3" s="1"/>
  <c r="F451" i="3" a="1"/>
  <c r="H451" i="3" a="1"/>
  <c r="I451" i="3" a="1"/>
  <c r="J451" i="3" s="1"/>
  <c r="T451" i="3" s="1"/>
  <c r="L451" i="3" a="1"/>
  <c r="M451" i="3" a="1"/>
  <c r="O451" i="3" s="1"/>
  <c r="P451" i="3" a="1"/>
  <c r="Q451" i="3" s="1"/>
  <c r="V451" i="3" s="1"/>
  <c r="AZ451" i="3" a="1"/>
  <c r="BA451" i="3" a="1"/>
  <c r="BC451" i="3" a="1"/>
  <c r="BD451" i="3" a="1"/>
  <c r="BX451" i="3" a="1"/>
  <c r="D475" i="3"/>
  <c r="CM186" i="3"/>
  <c r="CL186" i="3"/>
  <c r="BZ186" i="3"/>
  <c r="CK186" i="3"/>
  <c r="CJ186" i="3"/>
  <c r="AN186" i="3"/>
  <c r="BJ186" i="3" s="1"/>
  <c r="CA186" i="3"/>
  <c r="AM186" i="3"/>
  <c r="BI186" i="3" s="1"/>
  <c r="CO210" i="3"/>
  <c r="BW210" i="3"/>
  <c r="BY210" i="3" s="1"/>
  <c r="BO234" i="3"/>
  <c r="BS234" i="3"/>
  <c r="BV234" i="3"/>
  <c r="BU234" i="3"/>
  <c r="BF282" i="3"/>
  <c r="CS282" i="3"/>
  <c r="AR282" i="3"/>
  <c r="AS282" i="3" s="1"/>
  <c r="BK282" i="3"/>
  <c r="CT282" i="3"/>
  <c r="BH282" i="3"/>
  <c r="AK306" i="3"/>
  <c r="AJ306" i="3"/>
  <c r="BG306" i="3"/>
  <c r="AL306" i="3"/>
  <c r="CB330" i="3"/>
  <c r="AI330" i="3"/>
  <c r="BQ330" i="3"/>
  <c r="Y402" i="3"/>
  <c r="U402" i="3"/>
  <c r="W402" i="3" s="1"/>
  <c r="AQ426" i="3"/>
  <c r="AW426" i="3"/>
  <c r="CH426" i="3"/>
  <c r="CQ426" i="3"/>
  <c r="CI426" i="3"/>
  <c r="CP426" i="3"/>
  <c r="R426" i="3"/>
  <c r="AB426" i="3" s="1"/>
  <c r="F450" i="3" a="1"/>
  <c r="H450" i="3" a="1"/>
  <c r="I450" i="3" a="1"/>
  <c r="J450" i="3" s="1"/>
  <c r="T450" i="3" s="1"/>
  <c r="L450" i="3" a="1"/>
  <c r="M450" i="3" a="1"/>
  <c r="O450" i="3" s="1"/>
  <c r="P450" i="3" a="1"/>
  <c r="Q450" i="3" s="1"/>
  <c r="V450" i="3" s="1"/>
  <c r="AZ450" i="3" a="1"/>
  <c r="BA450" i="3" a="1"/>
  <c r="BC450" i="3" a="1"/>
  <c r="BD450" i="3" a="1"/>
  <c r="BX450" i="3" a="1"/>
  <c r="D474" i="3"/>
  <c r="BW209" i="3"/>
  <c r="BY209" i="3" s="1"/>
  <c r="CO209" i="3"/>
  <c r="BO233" i="3"/>
  <c r="BS233" i="3"/>
  <c r="BV233" i="3"/>
  <c r="BU233" i="3"/>
  <c r="BL257" i="3"/>
  <c r="BN257" i="3" s="1"/>
  <c r="BP257" i="3"/>
  <c r="BT257" i="3" s="1"/>
  <c r="BF281" i="3"/>
  <c r="CS281" i="3"/>
  <c r="AR281" i="3"/>
  <c r="AS281" i="3" s="1"/>
  <c r="BK281" i="3"/>
  <c r="CT281" i="3"/>
  <c r="BH281" i="3"/>
  <c r="AK305" i="3"/>
  <c r="AJ305" i="3"/>
  <c r="BG305" i="3"/>
  <c r="AL305" i="3"/>
  <c r="Y401" i="3"/>
  <c r="U401" i="3"/>
  <c r="W401" i="3" s="1"/>
  <c r="AQ425" i="3"/>
  <c r="AW425" i="3"/>
  <c r="CH425" i="3"/>
  <c r="CQ425" i="3"/>
  <c r="CI425" i="3"/>
  <c r="CP425" i="3"/>
  <c r="R425" i="3"/>
  <c r="AB425" i="3" s="1"/>
  <c r="F449" i="3" a="1"/>
  <c r="H449" i="3" a="1"/>
  <c r="I449" i="3" a="1"/>
  <c r="J449" i="3" s="1"/>
  <c r="T449" i="3" s="1"/>
  <c r="L449" i="3" a="1"/>
  <c r="M449" i="3" a="1"/>
  <c r="O449" i="3" s="1"/>
  <c r="P449" i="3" a="1"/>
  <c r="Q449" i="3" s="1"/>
  <c r="V449" i="3" s="1"/>
  <c r="AZ449" i="3" a="1"/>
  <c r="BA449" i="3" a="1"/>
  <c r="BC449" i="3" a="1"/>
  <c r="BD449" i="3" a="1"/>
  <c r="BX449" i="3" a="1"/>
  <c r="D473" i="3"/>
  <c r="CM185" i="3"/>
  <c r="CL185" i="3"/>
  <c r="CK185" i="3"/>
  <c r="BZ185" i="3"/>
  <c r="CJ185" i="3"/>
  <c r="AN185" i="3"/>
  <c r="BJ185" i="3" s="1"/>
  <c r="CA185" i="3"/>
  <c r="AM185" i="3"/>
  <c r="BI185" i="3" s="1"/>
  <c r="BZ184" i="3"/>
  <c r="CM184" i="3"/>
  <c r="CL184" i="3"/>
  <c r="CK184" i="3"/>
  <c r="CJ184" i="3"/>
  <c r="AN184" i="3"/>
  <c r="BJ184" i="3" s="1"/>
  <c r="CA184" i="3"/>
  <c r="AM184" i="3"/>
  <c r="BI184" i="3" s="1"/>
  <c r="BO232" i="3"/>
  <c r="BS232" i="3"/>
  <c r="BV232" i="3"/>
  <c r="BU232" i="3"/>
  <c r="BL256" i="3"/>
  <c r="BN256" i="3" s="1"/>
  <c r="BP256" i="3"/>
  <c r="BT256" i="3" s="1"/>
  <c r="AK304" i="3"/>
  <c r="AJ304" i="3"/>
  <c r="BG304" i="3"/>
  <c r="AL304" i="3"/>
  <c r="CB328" i="3"/>
  <c r="AI328" i="3"/>
  <c r="BQ328" i="3"/>
  <c r="Y400" i="3"/>
  <c r="U400" i="3"/>
  <c r="W400" i="3" s="1"/>
  <c r="AQ424" i="3"/>
  <c r="AW424" i="3"/>
  <c r="CH424" i="3"/>
  <c r="CQ424" i="3"/>
  <c r="CI424" i="3"/>
  <c r="CP424" i="3"/>
  <c r="R424" i="3"/>
  <c r="AB424" i="3" s="1"/>
  <c r="F448" i="3" a="1"/>
  <c r="H448" i="3" a="1"/>
  <c r="I448" i="3" a="1"/>
  <c r="J448" i="3" s="1"/>
  <c r="T448" i="3" s="1"/>
  <c r="L448" i="3" a="1"/>
  <c r="M448" i="3" a="1"/>
  <c r="O448" i="3" s="1"/>
  <c r="P448" i="3" a="1"/>
  <c r="Q448" i="3" s="1"/>
  <c r="V448" i="3" s="1"/>
  <c r="AZ448" i="3" a="1"/>
  <c r="BA448" i="3" a="1"/>
  <c r="BC448" i="3" a="1"/>
  <c r="BD448" i="3" a="1"/>
  <c r="BX448" i="3" a="1"/>
  <c r="D472" i="3"/>
  <c r="CO208" i="3"/>
  <c r="BW208" i="3"/>
  <c r="BY208" i="3" s="1"/>
  <c r="CK183" i="3"/>
  <c r="BZ183" i="3"/>
  <c r="CM183" i="3"/>
  <c r="CL183" i="3"/>
  <c r="CJ183" i="3"/>
  <c r="AN183" i="3"/>
  <c r="BJ183" i="3" s="1"/>
  <c r="AM183" i="3"/>
  <c r="BI183" i="3" s="1"/>
  <c r="CA183" i="3"/>
  <c r="BW207" i="3"/>
  <c r="BY207" i="3" s="1"/>
  <c r="CO207" i="3"/>
  <c r="BO231" i="3"/>
  <c r="BS231" i="3"/>
  <c r="BV231" i="3"/>
  <c r="BU231" i="3"/>
  <c r="BF279" i="3"/>
  <c r="CS279" i="3"/>
  <c r="AR279" i="3"/>
  <c r="AS279" i="3" s="1"/>
  <c r="BK279" i="3"/>
  <c r="CT279" i="3"/>
  <c r="BH279" i="3"/>
  <c r="CB327" i="3"/>
  <c r="AI327" i="3"/>
  <c r="BQ327" i="3"/>
  <c r="Y399" i="3"/>
  <c r="U399" i="3"/>
  <c r="W399" i="3" s="1"/>
  <c r="AQ423" i="3"/>
  <c r="AW423" i="3"/>
  <c r="CH423" i="3"/>
  <c r="CQ423" i="3"/>
  <c r="CI423" i="3"/>
  <c r="CP423" i="3"/>
  <c r="R423" i="3"/>
  <c r="AB423" i="3" s="1"/>
  <c r="F447" i="3" a="1"/>
  <c r="H447" i="3" a="1"/>
  <c r="I447" i="3" a="1"/>
  <c r="J447" i="3" s="1"/>
  <c r="T447" i="3" s="1"/>
  <c r="L447" i="3" a="1"/>
  <c r="M447" i="3" a="1"/>
  <c r="O447" i="3" s="1"/>
  <c r="P447" i="3" a="1"/>
  <c r="Q447" i="3" s="1"/>
  <c r="V447" i="3" s="1"/>
  <c r="AZ447" i="3" a="1"/>
  <c r="BA447" i="3" a="1"/>
  <c r="BC447" i="3" a="1"/>
  <c r="BD447" i="3" a="1"/>
  <c r="BX447" i="3" a="1"/>
  <c r="D471" i="3"/>
  <c r="BL255" i="3"/>
  <c r="BN255" i="3" s="1"/>
  <c r="BP255" i="3"/>
  <c r="BT255" i="3" s="1"/>
  <c r="CM182" i="3"/>
  <c r="CL182" i="3"/>
  <c r="CK182" i="3"/>
  <c r="BZ182" i="3"/>
  <c r="CJ182" i="3"/>
  <c r="AN182" i="3"/>
  <c r="BJ182" i="3" s="1"/>
  <c r="AM182" i="3"/>
  <c r="BI182" i="3" s="1"/>
  <c r="CA182" i="3"/>
  <c r="BW206" i="3"/>
  <c r="BY206" i="3" s="1"/>
  <c r="CO206" i="3"/>
  <c r="BO230" i="3"/>
  <c r="BS230" i="3"/>
  <c r="BV230" i="3"/>
  <c r="BU230" i="3"/>
  <c r="BF278" i="3"/>
  <c r="CS278" i="3"/>
  <c r="AR278" i="3"/>
  <c r="AS278" i="3" s="1"/>
  <c r="BK278" i="3"/>
  <c r="CT278" i="3"/>
  <c r="BH278" i="3"/>
  <c r="AK302" i="3"/>
  <c r="BG302" i="3"/>
  <c r="AJ302" i="3"/>
  <c r="AL302" i="3"/>
  <c r="CB326" i="3"/>
  <c r="AI326" i="3"/>
  <c r="BQ326" i="3"/>
  <c r="Y398" i="3"/>
  <c r="U398" i="3"/>
  <c r="W398" i="3" s="1"/>
  <c r="AQ422" i="3"/>
  <c r="AW422" i="3"/>
  <c r="CH422" i="3"/>
  <c r="CQ422" i="3"/>
  <c r="CI422" i="3"/>
  <c r="CP422" i="3"/>
  <c r="R422" i="3"/>
  <c r="AB422" i="3" s="1"/>
  <c r="F446" i="3" a="1"/>
  <c r="H446" i="3" a="1"/>
  <c r="I446" i="3" a="1"/>
  <c r="J446" i="3" s="1"/>
  <c r="T446" i="3" s="1"/>
  <c r="L446" i="3" a="1"/>
  <c r="M446" i="3" a="1"/>
  <c r="O446" i="3" s="1"/>
  <c r="P446" i="3" a="1"/>
  <c r="Q446" i="3" s="1"/>
  <c r="V446" i="3" s="1"/>
  <c r="AZ446" i="3" a="1"/>
  <c r="BA446" i="3" a="1"/>
  <c r="BC446" i="3" a="1"/>
  <c r="BD446" i="3" a="1"/>
  <c r="BX446" i="3" a="1"/>
  <c r="D470" i="3"/>
  <c r="BL254" i="3"/>
  <c r="BN254" i="3" s="1"/>
  <c r="BP254" i="3"/>
  <c r="BT254" i="3" s="1"/>
  <c r="CM181" i="3"/>
  <c r="BZ181" i="3"/>
  <c r="CK181" i="3"/>
  <c r="CL181" i="3"/>
  <c r="CJ181" i="3"/>
  <c r="AN181" i="3"/>
  <c r="BJ181" i="3" s="1"/>
  <c r="CA181" i="3"/>
  <c r="AM181" i="3"/>
  <c r="BI181" i="3" s="1"/>
  <c r="BW205" i="3"/>
  <c r="BY205" i="3" s="1"/>
  <c r="CO205" i="3"/>
  <c r="BO229" i="3"/>
  <c r="BS229" i="3"/>
  <c r="BV229" i="3"/>
  <c r="BU229" i="3"/>
  <c r="BL253" i="3"/>
  <c r="BN253" i="3" s="1"/>
  <c r="BP253" i="3"/>
  <c r="BT253" i="3" s="1"/>
  <c r="BF277" i="3"/>
  <c r="CS277" i="3"/>
  <c r="AR277" i="3"/>
  <c r="AS277" i="3" s="1"/>
  <c r="BK277" i="3"/>
  <c r="CT277" i="3"/>
  <c r="BH277" i="3"/>
  <c r="AK301" i="3"/>
  <c r="AJ301" i="3"/>
  <c r="BG301" i="3"/>
  <c r="AL301" i="3"/>
  <c r="CB325" i="3"/>
  <c r="AI325" i="3"/>
  <c r="BQ325" i="3"/>
  <c r="Y397" i="3"/>
  <c r="U397" i="3"/>
  <c r="W397" i="3" s="1"/>
  <c r="AQ421" i="3"/>
  <c r="AW421" i="3"/>
  <c r="CH421" i="3"/>
  <c r="CQ421" i="3"/>
  <c r="CI421" i="3"/>
  <c r="CP421" i="3"/>
  <c r="R421" i="3"/>
  <c r="AB421" i="3" s="1"/>
  <c r="F445" i="3" a="1"/>
  <c r="H445" i="3" a="1"/>
  <c r="I445" i="3" a="1"/>
  <c r="J445" i="3" s="1"/>
  <c r="T445" i="3" s="1"/>
  <c r="L445" i="3" a="1"/>
  <c r="M445" i="3" a="1"/>
  <c r="O445" i="3" s="1"/>
  <c r="P445" i="3" a="1"/>
  <c r="Q445" i="3" s="1"/>
  <c r="V445" i="3" s="1"/>
  <c r="AZ445" i="3" a="1"/>
  <c r="BA445" i="3" a="1"/>
  <c r="BC445" i="3" a="1"/>
  <c r="BD445" i="3" a="1"/>
  <c r="BX445" i="3" a="1"/>
  <c r="D469" i="3"/>
  <c r="BW204" i="3"/>
  <c r="BY204" i="3" s="1"/>
  <c r="CO204" i="3"/>
  <c r="BO228" i="3"/>
  <c r="BS228" i="3"/>
  <c r="BV228" i="3"/>
  <c r="BU228" i="3"/>
  <c r="BL252" i="3"/>
  <c r="BN252" i="3" s="1"/>
  <c r="BP252" i="3"/>
  <c r="BT252" i="3" s="1"/>
  <c r="BF276" i="3"/>
  <c r="CS276" i="3"/>
  <c r="AR276" i="3"/>
  <c r="AS276" i="3" s="1"/>
  <c r="BK276" i="3"/>
  <c r="CT276" i="3"/>
  <c r="BH276" i="3"/>
  <c r="BG300" i="3"/>
  <c r="AJ300" i="3"/>
  <c r="AK300" i="3"/>
  <c r="AL300" i="3"/>
  <c r="CB324" i="3"/>
  <c r="AI324" i="3"/>
  <c r="BQ324" i="3"/>
  <c r="Y396" i="3"/>
  <c r="U396" i="3"/>
  <c r="W396" i="3" s="1"/>
  <c r="AQ420" i="3"/>
  <c r="AW420" i="3"/>
  <c r="CH420" i="3"/>
  <c r="CQ420" i="3"/>
  <c r="CI420" i="3"/>
  <c r="CP420" i="3"/>
  <c r="R420" i="3"/>
  <c r="AB420" i="3" s="1"/>
  <c r="F444" i="3" a="1"/>
  <c r="H444" i="3" a="1"/>
  <c r="I444" i="3" a="1"/>
  <c r="J444" i="3" s="1"/>
  <c r="T444" i="3" s="1"/>
  <c r="L444" i="3" a="1"/>
  <c r="M444" i="3" a="1"/>
  <c r="O444" i="3" s="1"/>
  <c r="P444" i="3" a="1"/>
  <c r="Q444" i="3" s="1"/>
  <c r="V444" i="3" s="1"/>
  <c r="AZ444" i="3" a="1"/>
  <c r="BA444" i="3" a="1"/>
  <c r="BC444" i="3" a="1"/>
  <c r="BD444" i="3" a="1"/>
  <c r="BX444" i="3" a="1"/>
  <c r="D468" i="3"/>
  <c r="CM180" i="3"/>
  <c r="CK180" i="3"/>
  <c r="BZ180" i="3"/>
  <c r="CL180" i="3"/>
  <c r="CJ180" i="3"/>
  <c r="AN180" i="3"/>
  <c r="BJ180" i="3" s="1"/>
  <c r="AM180" i="3"/>
  <c r="BI180" i="3" s="1"/>
  <c r="CA180" i="3"/>
  <c r="CM179" i="3"/>
  <c r="CL179" i="3"/>
  <c r="BZ179" i="3"/>
  <c r="CK179" i="3"/>
  <c r="CJ179" i="3"/>
  <c r="AN179" i="3"/>
  <c r="BJ179" i="3" s="1"/>
  <c r="AM179" i="3"/>
  <c r="BI179" i="3" s="1"/>
  <c r="CA179" i="3"/>
  <c r="BW203" i="3"/>
  <c r="BY203" i="3" s="1"/>
  <c r="CO203" i="3"/>
  <c r="BO227" i="3"/>
  <c r="BS227" i="3"/>
  <c r="BV227" i="3"/>
  <c r="BU227" i="3"/>
  <c r="BL251" i="3"/>
  <c r="BN251" i="3" s="1"/>
  <c r="BP251" i="3"/>
  <c r="BT251" i="3" s="1"/>
  <c r="BF275" i="3"/>
  <c r="CS275" i="3"/>
  <c r="AR275" i="3"/>
  <c r="AS275" i="3" s="1"/>
  <c r="BK275" i="3"/>
  <c r="CT275" i="3"/>
  <c r="BH275" i="3"/>
  <c r="AJ299" i="3"/>
  <c r="BG299" i="3"/>
  <c r="AK299" i="3"/>
  <c r="AL299" i="3"/>
  <c r="CB323" i="3"/>
  <c r="AI323" i="3"/>
  <c r="BQ323" i="3"/>
  <c r="Y395" i="3"/>
  <c r="U395" i="3"/>
  <c r="W395" i="3" s="1"/>
  <c r="AQ419" i="3"/>
  <c r="AW419" i="3"/>
  <c r="CH419" i="3"/>
  <c r="CQ419" i="3"/>
  <c r="CI419" i="3"/>
  <c r="CP419" i="3"/>
  <c r="R419" i="3"/>
  <c r="AB419" i="3" s="1"/>
  <c r="F443" i="3" a="1"/>
  <c r="H443" i="3" a="1"/>
  <c r="I443" i="3" a="1"/>
  <c r="J443" i="3" s="1"/>
  <c r="T443" i="3" s="1"/>
  <c r="L443" i="3" a="1"/>
  <c r="M443" i="3" a="1"/>
  <c r="O443" i="3" s="1"/>
  <c r="P443" i="3" a="1"/>
  <c r="Q443" i="3" s="1"/>
  <c r="V443" i="3" s="1"/>
  <c r="AZ443" i="3" a="1"/>
  <c r="BA443" i="3" a="1"/>
  <c r="BC443" i="3" a="1"/>
  <c r="BD443" i="3" a="1"/>
  <c r="BX443" i="3" a="1"/>
  <c r="D467" i="3"/>
  <c r="CM178" i="3"/>
  <c r="CL178" i="3"/>
  <c r="BZ178" i="3"/>
  <c r="CK178" i="3"/>
  <c r="CJ178" i="3"/>
  <c r="AN178" i="3"/>
  <c r="BJ178" i="3" s="1"/>
  <c r="CA178" i="3"/>
  <c r="AM178" i="3"/>
  <c r="BI178" i="3" s="1"/>
  <c r="BW202" i="3"/>
  <c r="BY202" i="3" s="1"/>
  <c r="CO202" i="3"/>
  <c r="BO226" i="3"/>
  <c r="BS226" i="3"/>
  <c r="BV226" i="3"/>
  <c r="BU226" i="3"/>
  <c r="BL250" i="3"/>
  <c r="BN250" i="3" s="1"/>
  <c r="BP250" i="3"/>
  <c r="BT250" i="3" s="1"/>
  <c r="BF274" i="3"/>
  <c r="CS274" i="3"/>
  <c r="AR274" i="3"/>
  <c r="AS274" i="3" s="1"/>
  <c r="BK274" i="3"/>
  <c r="CT274" i="3"/>
  <c r="BH274" i="3"/>
  <c r="BG298" i="3"/>
  <c r="AK298" i="3"/>
  <c r="AJ298" i="3"/>
  <c r="AL298" i="3"/>
  <c r="AF346" i="3"/>
  <c r="AG346" i="3" s="1"/>
  <c r="AH346" i="3" s="1"/>
  <c r="Y394" i="3"/>
  <c r="U394" i="3"/>
  <c r="W394" i="3" s="1"/>
  <c r="AQ418" i="3"/>
  <c r="AW418" i="3"/>
  <c r="CH418" i="3"/>
  <c r="CQ418" i="3"/>
  <c r="CI418" i="3"/>
  <c r="CP418" i="3"/>
  <c r="R418" i="3"/>
  <c r="AB418" i="3" s="1"/>
  <c r="F442" i="3" a="1"/>
  <c r="H442" i="3" a="1"/>
  <c r="I442" i="3" a="1"/>
  <c r="J442" i="3" s="1"/>
  <c r="T442" i="3" s="1"/>
  <c r="L442" i="3" a="1"/>
  <c r="M442" i="3" a="1"/>
  <c r="O442" i="3" s="1"/>
  <c r="P442" i="3" a="1"/>
  <c r="Q442" i="3" s="1"/>
  <c r="V442" i="3" s="1"/>
  <c r="AZ442" i="3" a="1"/>
  <c r="BA442" i="3" a="1"/>
  <c r="BC442" i="3" a="1"/>
  <c r="BD442" i="3" a="1"/>
  <c r="BX442" i="3" a="1"/>
  <c r="D466" i="3"/>
  <c r="CM177" i="3"/>
  <c r="BZ177" i="3"/>
  <c r="CK177" i="3"/>
  <c r="CL177" i="3"/>
  <c r="CJ177" i="3"/>
  <c r="AN177" i="3"/>
  <c r="BJ177" i="3" s="1"/>
  <c r="CA177" i="3"/>
  <c r="AM177" i="3"/>
  <c r="BI177" i="3" s="1"/>
  <c r="BW201" i="3"/>
  <c r="BY201" i="3" s="1"/>
  <c r="CO201" i="3"/>
  <c r="BO225" i="3"/>
  <c r="BS225" i="3"/>
  <c r="BV225" i="3"/>
  <c r="BU225" i="3"/>
  <c r="BL249" i="3"/>
  <c r="BN249" i="3" s="1"/>
  <c r="BP249" i="3"/>
  <c r="BT249" i="3" s="1"/>
  <c r="BF273" i="3"/>
  <c r="CS273" i="3"/>
  <c r="AR273" i="3"/>
  <c r="AS273" i="3" s="1"/>
  <c r="BK273" i="3"/>
  <c r="CT273" i="3"/>
  <c r="BH273" i="3"/>
  <c r="AK297" i="3"/>
  <c r="AJ297" i="3"/>
  <c r="BG297" i="3"/>
  <c r="AL297" i="3"/>
  <c r="CB321" i="3"/>
  <c r="AI321" i="3"/>
  <c r="BQ321" i="3"/>
  <c r="Y393" i="3"/>
  <c r="U393" i="3"/>
  <c r="W393" i="3" s="1"/>
  <c r="AQ417" i="3"/>
  <c r="AW417" i="3"/>
  <c r="CH417" i="3"/>
  <c r="CQ417" i="3"/>
  <c r="CI417" i="3"/>
  <c r="CP417" i="3"/>
  <c r="R417" i="3"/>
  <c r="AB417" i="3" s="1"/>
  <c r="F441" i="3" a="1"/>
  <c r="H441" i="3" a="1"/>
  <c r="I441" i="3" a="1"/>
  <c r="J441" i="3" s="1"/>
  <c r="T441" i="3" s="1"/>
  <c r="L441" i="3" a="1"/>
  <c r="M441" i="3" a="1"/>
  <c r="O441" i="3" s="1"/>
  <c r="P441" i="3" a="1"/>
  <c r="Q441" i="3" s="1"/>
  <c r="V441" i="3" s="1"/>
  <c r="AZ441" i="3" a="1"/>
  <c r="BA441" i="3" a="1"/>
  <c r="BC441" i="3" a="1"/>
  <c r="BD441" i="3" a="1"/>
  <c r="BX441" i="3" a="1"/>
  <c r="D465" i="3"/>
  <c r="CK176" i="3"/>
  <c r="CM176" i="3"/>
  <c r="CL176" i="3"/>
  <c r="BZ176" i="3"/>
  <c r="CJ176" i="3"/>
  <c r="AN176" i="3"/>
  <c r="BJ176" i="3" s="1"/>
  <c r="CA176" i="3"/>
  <c r="AM176" i="3"/>
  <c r="BI176" i="3" s="1"/>
  <c r="BW200" i="3"/>
  <c r="BY200" i="3" s="1"/>
  <c r="CO200" i="3"/>
  <c r="BO224" i="3"/>
  <c r="BS224" i="3"/>
  <c r="BV224" i="3"/>
  <c r="BU224" i="3"/>
  <c r="BL248" i="3"/>
  <c r="BN248" i="3" s="1"/>
  <c r="BP248" i="3"/>
  <c r="BT248" i="3" s="1"/>
  <c r="BF272" i="3"/>
  <c r="CS272" i="3"/>
  <c r="AR272" i="3"/>
  <c r="AS272" i="3" s="1"/>
  <c r="BK272" i="3"/>
  <c r="CT272" i="3"/>
  <c r="BH272" i="3"/>
  <c r="AK296" i="3"/>
  <c r="AJ296" i="3"/>
  <c r="BG296" i="3"/>
  <c r="AL296" i="3"/>
  <c r="CB320" i="3"/>
  <c r="AI320" i="3"/>
  <c r="BQ320" i="3"/>
  <c r="Y392" i="3"/>
  <c r="U392" i="3"/>
  <c r="W392" i="3" s="1"/>
  <c r="AQ416" i="3"/>
  <c r="AW416" i="3"/>
  <c r="CH416" i="3"/>
  <c r="CQ416" i="3"/>
  <c r="CI416" i="3"/>
  <c r="CP416" i="3"/>
  <c r="R416" i="3"/>
  <c r="AB416" i="3" s="1"/>
  <c r="F440" i="3" a="1"/>
  <c r="H440" i="3" a="1"/>
  <c r="I440" i="3" a="1"/>
  <c r="J440" i="3" s="1"/>
  <c r="T440" i="3" s="1"/>
  <c r="L440" i="3" a="1"/>
  <c r="M440" i="3" a="1"/>
  <c r="O440" i="3" s="1"/>
  <c r="P440" i="3" a="1"/>
  <c r="Q440" i="3" s="1"/>
  <c r="V440" i="3" s="1"/>
  <c r="AZ440" i="3" a="1"/>
  <c r="BA440" i="3" a="1"/>
  <c r="BC440" i="3" a="1"/>
  <c r="BD440" i="3" a="1"/>
  <c r="BX440" i="3" a="1"/>
  <c r="D464" i="3"/>
  <c r="CM175" i="3"/>
  <c r="BZ175" i="3"/>
  <c r="CK175" i="3"/>
  <c r="CL175" i="3"/>
  <c r="CJ175" i="3"/>
  <c r="AN175" i="3"/>
  <c r="BJ175" i="3" s="1"/>
  <c r="AM175" i="3"/>
  <c r="BI175" i="3" s="1"/>
  <c r="CA175" i="3"/>
  <c r="BW199" i="3"/>
  <c r="BY199" i="3" s="1"/>
  <c r="CO199" i="3"/>
  <c r="BO223" i="3"/>
  <c r="BS223" i="3"/>
  <c r="BV223" i="3"/>
  <c r="BU223" i="3"/>
  <c r="BL247" i="3"/>
  <c r="BN247" i="3" s="1"/>
  <c r="BP247" i="3"/>
  <c r="BT247" i="3" s="1"/>
  <c r="CS271" i="3"/>
  <c r="AR271" i="3"/>
  <c r="AS271" i="3" s="1"/>
  <c r="BK271" i="3"/>
  <c r="BF271" i="3"/>
  <c r="CT271" i="3"/>
  <c r="BH271" i="3"/>
  <c r="AK295" i="3"/>
  <c r="AJ295" i="3"/>
  <c r="BG295" i="3"/>
  <c r="AL295" i="3"/>
  <c r="CB319" i="3"/>
  <c r="AI319" i="3"/>
  <c r="BQ319" i="3"/>
  <c r="Y391" i="3"/>
  <c r="U391" i="3"/>
  <c r="W391" i="3" s="1"/>
  <c r="AQ415" i="3"/>
  <c r="AW415" i="3"/>
  <c r="CH415" i="3"/>
  <c r="CQ415" i="3"/>
  <c r="CI415" i="3"/>
  <c r="CP415" i="3"/>
  <c r="R415" i="3"/>
  <c r="AB415" i="3" s="1"/>
  <c r="F439" i="3" a="1"/>
  <c r="I439" i="3" a="1"/>
  <c r="J439" i="3" s="1"/>
  <c r="T439" i="3" s="1"/>
  <c r="L439" i="3" a="1"/>
  <c r="BA439" i="3" a="1"/>
  <c r="BD439" i="3" a="1"/>
  <c r="BX439" i="3" a="1"/>
  <c r="D463" i="3"/>
  <c r="H439" i="3" a="1"/>
  <c r="M439" i="3" a="1"/>
  <c r="O439" i="3" s="1"/>
  <c r="P439" i="3" a="1"/>
  <c r="Q439" i="3" s="1"/>
  <c r="V439" i="3" s="1"/>
  <c r="AZ439" i="3" a="1"/>
  <c r="BC439" i="3" a="1"/>
  <c r="CM174" i="3"/>
  <c r="CL174" i="3"/>
  <c r="CK174" i="3"/>
  <c r="BZ174" i="3"/>
  <c r="CJ174" i="3"/>
  <c r="AN174" i="3"/>
  <c r="BJ174" i="3" s="1"/>
  <c r="AM174" i="3"/>
  <c r="BI174" i="3" s="1"/>
  <c r="CA174" i="3"/>
  <c r="BW198" i="3"/>
  <c r="BY198" i="3" s="1"/>
  <c r="CO198" i="3"/>
  <c r="BO222" i="3"/>
  <c r="BS222" i="3"/>
  <c r="BV222" i="3"/>
  <c r="BU222" i="3"/>
  <c r="BL246" i="3"/>
  <c r="BN246" i="3" s="1"/>
  <c r="BP246" i="3"/>
  <c r="BT246" i="3" s="1"/>
  <c r="BF270" i="3"/>
  <c r="CS270" i="3"/>
  <c r="AR270" i="3"/>
  <c r="AS270" i="3" s="1"/>
  <c r="BK270" i="3"/>
  <c r="CT270" i="3"/>
  <c r="BH270" i="3"/>
  <c r="AK294" i="3"/>
  <c r="AJ294" i="3"/>
  <c r="BG294" i="3"/>
  <c r="AL294" i="3"/>
  <c r="CB318" i="3"/>
  <c r="AI318" i="3"/>
  <c r="BQ318" i="3"/>
  <c r="Y390" i="3"/>
  <c r="U390" i="3"/>
  <c r="W390" i="3" s="1"/>
  <c r="AQ414" i="3"/>
  <c r="AW414" i="3"/>
  <c r="CH414" i="3"/>
  <c r="CQ414" i="3"/>
  <c r="CI414" i="3"/>
  <c r="CP414" i="3"/>
  <c r="R414" i="3"/>
  <c r="AB414" i="3" s="1"/>
  <c r="F438" i="3" a="1"/>
  <c r="H438" i="3" a="1"/>
  <c r="L438" i="3" a="1"/>
  <c r="P438" i="3" a="1"/>
  <c r="Q438" i="3" s="1"/>
  <c r="V438" i="3" s="1"/>
  <c r="AZ438" i="3" a="1"/>
  <c r="BD438" i="3" a="1"/>
  <c r="I438" i="3" a="1"/>
  <c r="J438" i="3" s="1"/>
  <c r="T438" i="3" s="1"/>
  <c r="M438" i="3" a="1"/>
  <c r="O438" i="3" s="1"/>
  <c r="BA438" i="3" a="1"/>
  <c r="BC438" i="3" a="1"/>
  <c r="BX438" i="3" a="1"/>
  <c r="D462" i="3"/>
  <c r="CO197" i="3"/>
  <c r="BW197" i="3"/>
  <c r="BY197" i="3" s="1"/>
  <c r="BO221" i="3"/>
  <c r="BS221" i="3"/>
  <c r="BV221" i="3"/>
  <c r="BU221" i="3"/>
  <c r="BF269" i="3"/>
  <c r="CS269" i="3"/>
  <c r="AR269" i="3"/>
  <c r="AS269" i="3" s="1"/>
  <c r="BK269" i="3"/>
  <c r="CT269" i="3"/>
  <c r="BH269" i="3"/>
  <c r="AK293" i="3"/>
  <c r="AJ293" i="3"/>
  <c r="BG293" i="3"/>
  <c r="AL293" i="3"/>
  <c r="CB317" i="3"/>
  <c r="AI317" i="3"/>
  <c r="BQ317" i="3"/>
  <c r="Y389" i="3"/>
  <c r="U389" i="3"/>
  <c r="W389" i="3" s="1"/>
  <c r="AQ413" i="3"/>
  <c r="AW413" i="3"/>
  <c r="CH413" i="3"/>
  <c r="CQ413" i="3"/>
  <c r="CI413" i="3"/>
  <c r="CP413" i="3"/>
  <c r="R413" i="3"/>
  <c r="AB413" i="3" s="1"/>
  <c r="F437" i="3" a="1"/>
  <c r="H437" i="3" a="1"/>
  <c r="M437" i="3" a="1"/>
  <c r="O437" i="3" s="1"/>
  <c r="AZ437" i="3" a="1"/>
  <c r="BD437" i="3" a="1"/>
  <c r="I437" i="3" a="1"/>
  <c r="J437" i="3" s="1"/>
  <c r="T437" i="3" s="1"/>
  <c r="L437" i="3" a="1"/>
  <c r="P437" i="3" a="1"/>
  <c r="Q437" i="3" s="1"/>
  <c r="V437" i="3" s="1"/>
  <c r="BA437" i="3" a="1"/>
  <c r="BC437" i="3" a="1"/>
  <c r="BX437" i="3" a="1"/>
  <c r="D461" i="3"/>
  <c r="CM173" i="3"/>
  <c r="CL173" i="3"/>
  <c r="BZ173" i="3"/>
  <c r="CK173" i="3"/>
  <c r="CJ173" i="3"/>
  <c r="AN173" i="3"/>
  <c r="BJ173" i="3" s="1"/>
  <c r="AM173" i="3"/>
  <c r="BI173" i="3" s="1"/>
  <c r="CA173" i="3"/>
  <c r="CM172" i="3"/>
  <c r="BZ172" i="3"/>
  <c r="CK172" i="3"/>
  <c r="CL172" i="3"/>
  <c r="CJ172" i="3"/>
  <c r="AN172" i="3"/>
  <c r="BJ172" i="3" s="1"/>
  <c r="CA172" i="3"/>
  <c r="AM172" i="3"/>
  <c r="BI172" i="3" s="1"/>
  <c r="CO196" i="3"/>
  <c r="BW196" i="3"/>
  <c r="BY196" i="3" s="1"/>
  <c r="BO220" i="3"/>
  <c r="BS220" i="3"/>
  <c r="BV220" i="3"/>
  <c r="BU220" i="3"/>
  <c r="BL244" i="3"/>
  <c r="BN244" i="3" s="1"/>
  <c r="BP244" i="3"/>
  <c r="BT244" i="3" s="1"/>
  <c r="BF268" i="3"/>
  <c r="CS268" i="3"/>
  <c r="AR268" i="3"/>
  <c r="AS268" i="3" s="1"/>
  <c r="BK268" i="3"/>
  <c r="CT268" i="3"/>
  <c r="BH268" i="3"/>
  <c r="AK292" i="3"/>
  <c r="AJ292" i="3"/>
  <c r="BG292" i="3"/>
  <c r="AL292" i="3"/>
  <c r="Y388" i="3"/>
  <c r="U388" i="3"/>
  <c r="W388" i="3" s="1"/>
  <c r="AQ412" i="3"/>
  <c r="AW412" i="3"/>
  <c r="CH412" i="3"/>
  <c r="CQ412" i="3"/>
  <c r="CI412" i="3"/>
  <c r="CP412" i="3"/>
  <c r="R412" i="3"/>
  <c r="AB412" i="3" s="1"/>
  <c r="F436" i="3" a="1"/>
  <c r="H436" i="3" a="1"/>
  <c r="L436" i="3" a="1"/>
  <c r="P436" i="3" a="1"/>
  <c r="Q436" i="3" s="1"/>
  <c r="V436" i="3" s="1"/>
  <c r="AZ436" i="3" a="1"/>
  <c r="BD436" i="3" a="1"/>
  <c r="BX436" i="3" a="1"/>
  <c r="D460" i="3"/>
  <c r="I436" i="3" a="1"/>
  <c r="J436" i="3" s="1"/>
  <c r="T436" i="3" s="1"/>
  <c r="M436" i="3" a="1"/>
  <c r="O436" i="3" s="1"/>
  <c r="BA436" i="3" a="1"/>
  <c r="BC436" i="3" a="1"/>
  <c r="CM171" i="3"/>
  <c r="BZ171" i="3"/>
  <c r="CK171" i="3"/>
  <c r="CL171" i="3"/>
  <c r="CJ171" i="3"/>
  <c r="AN171" i="3"/>
  <c r="BJ171" i="3" s="1"/>
  <c r="CA171" i="3"/>
  <c r="AM171" i="3"/>
  <c r="BI171" i="3" s="1"/>
  <c r="CO195" i="3"/>
  <c r="BW195" i="3"/>
  <c r="BY195" i="3" s="1"/>
  <c r="BO219" i="3"/>
  <c r="BS219" i="3"/>
  <c r="BV219" i="3"/>
  <c r="BU219" i="3"/>
  <c r="BL243" i="3"/>
  <c r="BN243" i="3" s="1"/>
  <c r="BP243" i="3"/>
  <c r="BT243" i="3" s="1"/>
  <c r="BF267" i="3"/>
  <c r="CS267" i="3"/>
  <c r="AR267" i="3"/>
  <c r="AS267" i="3" s="1"/>
  <c r="BK267" i="3"/>
  <c r="CT267" i="3"/>
  <c r="BH267" i="3"/>
  <c r="CB315" i="3"/>
  <c r="AI315" i="3"/>
  <c r="BQ315" i="3"/>
  <c r="Y387" i="3"/>
  <c r="U387" i="3"/>
  <c r="W387" i="3" s="1"/>
  <c r="AQ411" i="3"/>
  <c r="AW411" i="3"/>
  <c r="CH411" i="3"/>
  <c r="CQ411" i="3"/>
  <c r="CI411" i="3"/>
  <c r="CP411" i="3"/>
  <c r="R411" i="3"/>
  <c r="AB411" i="3" s="1"/>
  <c r="F435" i="3" a="1"/>
  <c r="H435" i="3" a="1"/>
  <c r="L435" i="3" a="1"/>
  <c r="BD435" i="3" a="1"/>
  <c r="BX435" i="3" a="1"/>
  <c r="D459" i="3"/>
  <c r="I435" i="3" a="1"/>
  <c r="J435" i="3" s="1"/>
  <c r="T435" i="3" s="1"/>
  <c r="M435" i="3" a="1"/>
  <c r="O435" i="3" s="1"/>
  <c r="P435" i="3" a="1"/>
  <c r="Q435" i="3" s="1"/>
  <c r="V435" i="3" s="1"/>
  <c r="AZ435" i="3" a="1"/>
  <c r="BA435" i="3" a="1"/>
  <c r="BC435" i="3" a="1"/>
  <c r="CO194" i="3"/>
  <c r="BW194" i="3"/>
  <c r="BY194" i="3" s="1"/>
  <c r="BO218" i="3"/>
  <c r="BS218" i="3"/>
  <c r="BV218" i="3"/>
  <c r="BU218" i="3"/>
  <c r="BL242" i="3"/>
  <c r="BN242" i="3" s="1"/>
  <c r="BP242" i="3"/>
  <c r="BT242" i="3" s="1"/>
  <c r="CS266" i="3"/>
  <c r="AR266" i="3"/>
  <c r="AS266" i="3" s="1"/>
  <c r="BK266" i="3"/>
  <c r="BF266" i="3"/>
  <c r="CT266" i="3"/>
  <c r="BH266" i="3"/>
  <c r="AK290" i="3"/>
  <c r="AJ290" i="3"/>
  <c r="BG290" i="3"/>
  <c r="AL290" i="3"/>
  <c r="CB314" i="3"/>
  <c r="AI314" i="3"/>
  <c r="BQ314" i="3"/>
  <c r="Y386" i="3"/>
  <c r="U386" i="3"/>
  <c r="W386" i="3" s="1"/>
  <c r="AQ410" i="3"/>
  <c r="AW410" i="3"/>
  <c r="CH410" i="3"/>
  <c r="CQ410" i="3"/>
  <c r="CI410" i="3"/>
  <c r="CP410" i="3"/>
  <c r="R410" i="3"/>
  <c r="AB410" i="3" s="1"/>
  <c r="F434" i="3" a="1"/>
  <c r="H434" i="3" a="1"/>
  <c r="I434" i="3" a="1"/>
  <c r="J434" i="3" s="1"/>
  <c r="T434" i="3" s="1"/>
  <c r="L434" i="3" a="1"/>
  <c r="M434" i="3" a="1"/>
  <c r="O434" i="3" s="1"/>
  <c r="P434" i="3" a="1"/>
  <c r="Q434" i="3" s="1"/>
  <c r="V434" i="3" s="1"/>
  <c r="AZ434" i="3" a="1"/>
  <c r="BA434" i="3" a="1"/>
  <c r="BC434" i="3" a="1"/>
  <c r="BD434" i="3" a="1"/>
  <c r="BX434" i="3" a="1"/>
  <c r="D458" i="3"/>
  <c r="CM170" i="3"/>
  <c r="BZ170" i="3"/>
  <c r="CK170" i="3"/>
  <c r="CL170" i="3"/>
  <c r="CJ170" i="3"/>
  <c r="AN170" i="3"/>
  <c r="BJ170" i="3" s="1"/>
  <c r="CA170" i="3"/>
  <c r="AM170" i="3"/>
  <c r="BI170" i="3" s="1"/>
  <c r="BO217" i="3"/>
  <c r="BS217" i="3"/>
  <c r="BV217" i="3"/>
  <c r="BU217" i="3"/>
  <c r="BL241" i="3"/>
  <c r="BN241" i="3" s="1"/>
  <c r="BP241" i="3"/>
  <c r="BT241" i="3" s="1"/>
  <c r="AK289" i="3"/>
  <c r="AJ289" i="3"/>
  <c r="BG289" i="3"/>
  <c r="AL289" i="3"/>
  <c r="CB313" i="3"/>
  <c r="AI313" i="3"/>
  <c r="BQ313" i="3"/>
  <c r="Y385" i="3"/>
  <c r="U385" i="3"/>
  <c r="W385" i="3" s="1"/>
  <c r="AQ409" i="3"/>
  <c r="AW409" i="3"/>
  <c r="CH409" i="3"/>
  <c r="CQ409" i="3"/>
  <c r="CI409" i="3"/>
  <c r="CP409" i="3"/>
  <c r="R409" i="3"/>
  <c r="AB409" i="3" s="1"/>
  <c r="F433" i="3" a="1"/>
  <c r="H433" i="3" a="1"/>
  <c r="I433" i="3" a="1"/>
  <c r="J433" i="3" s="1"/>
  <c r="T433" i="3" s="1"/>
  <c r="L433" i="3" a="1"/>
  <c r="M433" i="3" a="1"/>
  <c r="O433" i="3" s="1"/>
  <c r="P433" i="3" a="1"/>
  <c r="Q433" i="3" s="1"/>
  <c r="V433" i="3" s="1"/>
  <c r="AZ433" i="3" a="1"/>
  <c r="BA433" i="3" a="1"/>
  <c r="BC433" i="3" a="1"/>
  <c r="BD433" i="3" a="1"/>
  <c r="BX433" i="3" a="1"/>
  <c r="D457" i="3"/>
  <c r="BW193" i="3"/>
  <c r="BY193" i="3" s="1"/>
  <c r="CO193" i="3"/>
  <c r="CM169" i="3"/>
  <c r="CK169" i="3"/>
  <c r="BZ169" i="3"/>
  <c r="CL169" i="3"/>
  <c r="CJ169" i="3"/>
  <c r="AN169" i="3"/>
  <c r="BJ169" i="3" s="1"/>
  <c r="CA169" i="3"/>
  <c r="AM169" i="3"/>
  <c r="BI169" i="3" s="1"/>
  <c r="CM168" i="3"/>
  <c r="BZ168" i="3"/>
  <c r="CK168" i="3"/>
  <c r="CL168" i="3"/>
  <c r="CJ168" i="3"/>
  <c r="AN168" i="3"/>
  <c r="BJ168" i="3" s="1"/>
  <c r="CA168" i="3"/>
  <c r="AM168" i="3"/>
  <c r="BI168" i="3" s="1"/>
  <c r="CO192" i="3"/>
  <c r="BW192" i="3"/>
  <c r="BY192" i="3" s="1"/>
  <c r="BO216" i="3"/>
  <c r="BS216" i="3"/>
  <c r="BV216" i="3"/>
  <c r="BU216" i="3"/>
  <c r="BL240" i="3"/>
  <c r="BN240" i="3" s="1"/>
  <c r="BP240" i="3"/>
  <c r="BT240" i="3" s="1"/>
  <c r="AK288" i="3"/>
  <c r="AJ288" i="3"/>
  <c r="BG288" i="3"/>
  <c r="AL288" i="3"/>
  <c r="CB312" i="3"/>
  <c r="AI312" i="3"/>
  <c r="BQ312" i="3"/>
  <c r="Y384" i="3"/>
  <c r="U384" i="3"/>
  <c r="W384" i="3" s="1"/>
  <c r="AQ408" i="3"/>
  <c r="AW408" i="3"/>
  <c r="CH408" i="3"/>
  <c r="CQ408" i="3"/>
  <c r="CI408" i="3"/>
  <c r="CP408" i="3"/>
  <c r="R408" i="3"/>
  <c r="AB408" i="3" s="1"/>
  <c r="F432" i="3" a="1"/>
  <c r="H432" i="3" a="1"/>
  <c r="I432" i="3" a="1"/>
  <c r="J432" i="3" s="1"/>
  <c r="T432" i="3" s="1"/>
  <c r="L432" i="3" a="1"/>
  <c r="M432" i="3" a="1"/>
  <c r="O432" i="3" s="1"/>
  <c r="P432" i="3" a="1"/>
  <c r="Q432" i="3" s="1"/>
  <c r="V432" i="3" s="1"/>
  <c r="AZ432" i="3" a="1"/>
  <c r="BA432" i="3" a="1"/>
  <c r="BC432" i="3" a="1"/>
  <c r="BD432" i="3" a="1"/>
  <c r="BX432" i="3" a="1"/>
  <c r="D456" i="3"/>
  <c r="BY21" i="3"/>
  <c r="CA109" i="3"/>
  <c r="AM109" i="3"/>
  <c r="BI109" i="3" s="1"/>
  <c r="AN109" i="3"/>
  <c r="BJ109" i="3" s="1"/>
  <c r="CJ109" i="3"/>
  <c r="CK109" i="3"/>
  <c r="CL109" i="3"/>
  <c r="BZ109" i="3"/>
  <c r="CM109" i="3"/>
  <c r="CO110" i="3"/>
  <c r="BY110" i="3"/>
  <c r="CB110" i="3"/>
  <c r="BX111" i="3" a="1"/>
  <c r="AB198" i="4"/>
  <c r="AA198" i="4" s="1"/>
  <c r="H199" i="4"/>
  <c r="W14" i="4"/>
  <c r="B34" i="19"/>
  <c r="X13" i="4"/>
  <c r="B35" i="13"/>
  <c r="B61" i="13"/>
  <c r="B89" i="13"/>
  <c r="B452" i="3" a="1"/>
  <c r="CE452" i="3" a="1"/>
  <c r="C34" i="13"/>
  <c r="C60" i="13"/>
  <c r="C88" i="13"/>
  <c r="V321" i="4"/>
  <c r="C33" i="19"/>
  <c r="BV70" i="3"/>
  <c r="BU70" i="3"/>
  <c r="BO70" i="3"/>
  <c r="BS70" i="3"/>
  <c r="CM167" i="3"/>
  <c r="CL167" i="3"/>
  <c r="BZ167" i="3"/>
  <c r="CK167" i="3"/>
  <c r="CJ167" i="3"/>
  <c r="AN167" i="3"/>
  <c r="BJ167" i="3" s="1"/>
  <c r="AM167" i="3"/>
  <c r="BI167" i="3" s="1"/>
  <c r="CA167" i="3"/>
  <c r="CK166" i="3"/>
  <c r="CM166" i="3"/>
  <c r="BZ166" i="3"/>
  <c r="CL166" i="3"/>
  <c r="CJ166" i="3"/>
  <c r="AN166" i="3"/>
  <c r="BJ166" i="3" s="1"/>
  <c r="AM166" i="3"/>
  <c r="BI166" i="3" s="1"/>
  <c r="CA166" i="3"/>
  <c r="CO191" i="3"/>
  <c r="BW191" i="3"/>
  <c r="BY191" i="3" s="1"/>
  <c r="CO190" i="3"/>
  <c r="BW190" i="3"/>
  <c r="BY190" i="3" s="1"/>
  <c r="BZ117" i="3"/>
  <c r="CL117" i="3"/>
  <c r="CM117" i="3"/>
  <c r="CK117" i="3"/>
  <c r="CJ117" i="3"/>
  <c r="AN117" i="3"/>
  <c r="CA117" i="3"/>
  <c r="AM117" i="3"/>
  <c r="BV215" i="3"/>
  <c r="BU215" i="3"/>
  <c r="BO215" i="3"/>
  <c r="BS215" i="3"/>
  <c r="BV214" i="3"/>
  <c r="BU214" i="3"/>
  <c r="BO214" i="3"/>
  <c r="BS214" i="3"/>
  <c r="CM94" i="3"/>
  <c r="CL94" i="3"/>
  <c r="BZ94" i="3"/>
  <c r="CK94" i="3"/>
  <c r="CJ94" i="3"/>
  <c r="AN94" i="3"/>
  <c r="CA94" i="3"/>
  <c r="AM94" i="3"/>
  <c r="BI94" i="3" s="1"/>
  <c r="BV189" i="3"/>
  <c r="BU189" i="3"/>
  <c r="BS189" i="3"/>
  <c r="BO189" i="3"/>
  <c r="BP239" i="3"/>
  <c r="BT239" i="3" s="1"/>
  <c r="BL239" i="3"/>
  <c r="BN239" i="3" s="1"/>
  <c r="BP238" i="3"/>
  <c r="BT238" i="3" s="1"/>
  <c r="BL238" i="3"/>
  <c r="BN238" i="3" s="1"/>
  <c r="BW141" i="3"/>
  <c r="BY141" i="3" s="1"/>
  <c r="CO141" i="3"/>
  <c r="BP213" i="3"/>
  <c r="BT213" i="3" s="1"/>
  <c r="BL213" i="3"/>
  <c r="BN213" i="3" s="1"/>
  <c r="BF262" i="3"/>
  <c r="CS262" i="3"/>
  <c r="AR262" i="3"/>
  <c r="AS262" i="3" s="1"/>
  <c r="BK262" i="3"/>
  <c r="CT262" i="3"/>
  <c r="BH262" i="3"/>
  <c r="CS165" i="3"/>
  <c r="AR165" i="3"/>
  <c r="BK165" i="3"/>
  <c r="BF165" i="3"/>
  <c r="CT165" i="3"/>
  <c r="BH165" i="3"/>
  <c r="AK261" i="3"/>
  <c r="AJ261" i="3"/>
  <c r="BG261" i="3"/>
  <c r="AL261" i="3"/>
  <c r="CB310" i="3"/>
  <c r="AI310" i="3"/>
  <c r="BQ310" i="3"/>
  <c r="CB285" i="3"/>
  <c r="AI285" i="3"/>
  <c r="BQ285" i="3"/>
  <c r="CB291" i="3"/>
  <c r="BQ291" i="3"/>
  <c r="AI291" i="3"/>
  <c r="AF332" i="3"/>
  <c r="AG332" i="3" s="1"/>
  <c r="AH332" i="3" s="1"/>
  <c r="Y382" i="3"/>
  <c r="U382" i="3"/>
  <c r="W382" i="3" s="1"/>
  <c r="AK237" i="3"/>
  <c r="AJ237" i="3"/>
  <c r="BG237" i="3"/>
  <c r="AL237" i="3"/>
  <c r="Y357" i="3"/>
  <c r="U357" i="3"/>
  <c r="W357" i="3" s="1"/>
  <c r="AA347" i="3"/>
  <c r="AE347" i="3" s="1"/>
  <c r="BR347" i="3"/>
  <c r="CR347" i="3"/>
  <c r="CQ407" i="3"/>
  <c r="CH407" i="3"/>
  <c r="AW407" i="3"/>
  <c r="AQ407" i="3"/>
  <c r="CP407" i="3"/>
  <c r="CI407" i="3"/>
  <c r="R407" i="3"/>
  <c r="AB407" i="3" s="1"/>
  <c r="CP406" i="3"/>
  <c r="CI406" i="3"/>
  <c r="R406" i="3"/>
  <c r="AB406" i="3" s="1"/>
  <c r="CQ405" i="3"/>
  <c r="CH405" i="3"/>
  <c r="AW405" i="3"/>
  <c r="AQ405" i="3"/>
  <c r="CP405" i="3"/>
  <c r="CI405" i="3"/>
  <c r="T381" i="3"/>
  <c r="R381" i="3"/>
  <c r="AB381" i="3" s="1"/>
  <c r="V381" i="3"/>
  <c r="L431" i="3" a="1"/>
  <c r="BX431" i="3" a="1"/>
  <c r="H431" i="3" a="1"/>
  <c r="I431" i="3" a="1"/>
  <c r="J431" i="3" s="1"/>
  <c r="T431" i="3" s="1"/>
  <c r="M431" i="3" a="1"/>
  <c r="O431" i="3" s="1"/>
  <c r="P431" i="3" a="1"/>
  <c r="Q431" i="3" s="1"/>
  <c r="V431" i="3" s="1"/>
  <c r="AZ431" i="3" a="1"/>
  <c r="BA431" i="3" a="1"/>
  <c r="BC431" i="3" a="1"/>
  <c r="BD431" i="3" a="1"/>
  <c r="AZ430" i="3" a="1"/>
  <c r="H430" i="3" a="1"/>
  <c r="I430" i="3" a="1"/>
  <c r="J430" i="3" s="1"/>
  <c r="T430" i="3" s="1"/>
  <c r="L430" i="3" a="1"/>
  <c r="M430" i="3" a="1"/>
  <c r="O430" i="3" s="1"/>
  <c r="P430" i="3" a="1"/>
  <c r="Q430" i="3" s="1"/>
  <c r="V430" i="3" s="1"/>
  <c r="BA430" i="3" a="1"/>
  <c r="BC430" i="3" a="1"/>
  <c r="BD430" i="3" a="1"/>
  <c r="BX430" i="3" a="1"/>
  <c r="BX429" i="3" a="1"/>
  <c r="L429" i="3" a="1"/>
  <c r="H429" i="3" a="1"/>
  <c r="O33" i="19" s="1"/>
  <c r="E34" i="13" s="1"/>
  <c r="M429" i="3" a="1"/>
  <c r="BA429" i="3" a="1"/>
  <c r="P429" i="3" a="1"/>
  <c r="BC429" i="3" a="1"/>
  <c r="BD429" i="3" a="1"/>
  <c r="AZ429" i="3" a="1"/>
  <c r="I429" i="3" a="1"/>
  <c r="O405" i="3"/>
  <c r="J405" i="3"/>
  <c r="Q405" i="3"/>
  <c r="CR380" i="3" l="1"/>
  <c r="BR380" i="3"/>
  <c r="AA380" i="3"/>
  <c r="AE380" i="3" s="1"/>
  <c r="AF380" i="3" s="1"/>
  <c r="AG380" i="3" s="1"/>
  <c r="AH380" i="3" s="1"/>
  <c r="CR378" i="3"/>
  <c r="BR378" i="3"/>
  <c r="AA378" i="3"/>
  <c r="AE378" i="3" s="1"/>
  <c r="AF378" i="3" s="1"/>
  <c r="AG378" i="3" s="1"/>
  <c r="AH378" i="3" s="1"/>
  <c r="CR379" i="3"/>
  <c r="BR379" i="3"/>
  <c r="AA379" i="3"/>
  <c r="AE379" i="3" s="1"/>
  <c r="AF379" i="3" s="1"/>
  <c r="AG379" i="3" s="1"/>
  <c r="AH379" i="3" s="1"/>
  <c r="CR377" i="3"/>
  <c r="BR377" i="3"/>
  <c r="AA377" i="3"/>
  <c r="AE377" i="3" s="1"/>
  <c r="AF377" i="3" s="1"/>
  <c r="AG377" i="3" s="1"/>
  <c r="AH377" i="3" s="1"/>
  <c r="Z401" i="3"/>
  <c r="AC401" i="3" s="1"/>
  <c r="AD401" i="3" s="1"/>
  <c r="CR369" i="3"/>
  <c r="BR369" i="3"/>
  <c r="AA369" i="3"/>
  <c r="AE369" i="3" s="1"/>
  <c r="AF369" i="3" s="1"/>
  <c r="AG369" i="3" s="1"/>
  <c r="AH369" i="3" s="1"/>
  <c r="CR375" i="3"/>
  <c r="BR375" i="3"/>
  <c r="AA375" i="3"/>
  <c r="AE375" i="3" s="1"/>
  <c r="AF375" i="3" s="1"/>
  <c r="AG375" i="3" s="1"/>
  <c r="AH375" i="3" s="1"/>
  <c r="Z398" i="3"/>
  <c r="AC398" i="3" s="1"/>
  <c r="AD398" i="3" s="1"/>
  <c r="Z392" i="3"/>
  <c r="AC392" i="3" s="1"/>
  <c r="AD392" i="3" s="1"/>
  <c r="CR360" i="3"/>
  <c r="AA360" i="3"/>
  <c r="AE360" i="3" s="1"/>
  <c r="AF360" i="3" s="1"/>
  <c r="AG360" i="3" s="1"/>
  <c r="AH360" i="3" s="1"/>
  <c r="BR360" i="3"/>
  <c r="CR363" i="3"/>
  <c r="BR363" i="3"/>
  <c r="AA363" i="3"/>
  <c r="AE363" i="3" s="1"/>
  <c r="AF363" i="3" s="1"/>
  <c r="AG363" i="3" s="1"/>
  <c r="AH363" i="3" s="1"/>
  <c r="CR358" i="3"/>
  <c r="BR358" i="3"/>
  <c r="AA358" i="3"/>
  <c r="AE358" i="3" s="1"/>
  <c r="AF358" i="3" s="1"/>
  <c r="AG358" i="3" s="1"/>
  <c r="AH358" i="3" s="1"/>
  <c r="CR333" i="3"/>
  <c r="BR333" i="3"/>
  <c r="AA333" i="3"/>
  <c r="AE333" i="3" s="1"/>
  <c r="AF333" i="3" s="1"/>
  <c r="AG333" i="3" s="1"/>
  <c r="AH333" i="3" s="1"/>
  <c r="CR370" i="3"/>
  <c r="BR370" i="3"/>
  <c r="AA370" i="3"/>
  <c r="AE370" i="3" s="1"/>
  <c r="AF370" i="3" s="1"/>
  <c r="AG370" i="3" s="1"/>
  <c r="AH370" i="3" s="1"/>
  <c r="Z402" i="3"/>
  <c r="AC402" i="3" s="1"/>
  <c r="AD402" i="3" s="1"/>
  <c r="Z388" i="3"/>
  <c r="AC388" i="3" s="1"/>
  <c r="AD388" i="3" s="1"/>
  <c r="CR366" i="3"/>
  <c r="BR366" i="3"/>
  <c r="AA366" i="3"/>
  <c r="AE366" i="3" s="1"/>
  <c r="AF366" i="3" s="1"/>
  <c r="AG366" i="3" s="1"/>
  <c r="AH366" i="3" s="1"/>
  <c r="CR373" i="3"/>
  <c r="BR373" i="3"/>
  <c r="AA373" i="3"/>
  <c r="AE373" i="3" s="1"/>
  <c r="AF373" i="3" s="1"/>
  <c r="AG373" i="3" s="1"/>
  <c r="AH373" i="3" s="1"/>
  <c r="CR367" i="3"/>
  <c r="BR367" i="3"/>
  <c r="AA367" i="3"/>
  <c r="AE367" i="3" s="1"/>
  <c r="Z397" i="3"/>
  <c r="AC397" i="3" s="1"/>
  <c r="AD397" i="3" s="1"/>
  <c r="Z389" i="3"/>
  <c r="AC389" i="3" s="1"/>
  <c r="AD389" i="3" s="1"/>
  <c r="Z396" i="3"/>
  <c r="AC396" i="3" s="1"/>
  <c r="AD396" i="3" s="1"/>
  <c r="Z395" i="3"/>
  <c r="AC395" i="3" s="1"/>
  <c r="AD395" i="3" s="1"/>
  <c r="Z393" i="3"/>
  <c r="AC393" i="3" s="1"/>
  <c r="AD393" i="3" s="1"/>
  <c r="Z384" i="3"/>
  <c r="AC384" i="3" s="1"/>
  <c r="AD384" i="3" s="1"/>
  <c r="AF350" i="3"/>
  <c r="AG350" i="3" s="1"/>
  <c r="AH350" i="3" s="1"/>
  <c r="BQ311" i="3"/>
  <c r="AI311" i="3"/>
  <c r="CB311" i="3"/>
  <c r="Z390" i="3"/>
  <c r="AC390" i="3" s="1"/>
  <c r="AD390" i="3" s="1"/>
  <c r="Z386" i="3"/>
  <c r="AC386" i="3" s="1"/>
  <c r="AD386" i="3" s="1"/>
  <c r="Z404" i="3"/>
  <c r="AC404" i="3" s="1"/>
  <c r="AD404" i="3" s="1"/>
  <c r="CR383" i="3"/>
  <c r="BR383" i="3"/>
  <c r="AA383" i="3"/>
  <c r="AE383" i="3" s="1"/>
  <c r="AF383" i="3" s="1"/>
  <c r="AG383" i="3" s="1"/>
  <c r="AH383" i="3" s="1"/>
  <c r="Z387" i="3"/>
  <c r="AC387" i="3" s="1"/>
  <c r="AD387" i="3" s="1"/>
  <c r="Z382" i="3"/>
  <c r="AC382" i="3" s="1"/>
  <c r="AD382" i="3" s="1"/>
  <c r="CR368" i="3"/>
  <c r="BR368" i="3"/>
  <c r="AA368" i="3"/>
  <c r="AE368" i="3" s="1"/>
  <c r="AF368" i="3" s="1"/>
  <c r="AG368" i="3" s="1"/>
  <c r="AH368" i="3" s="1"/>
  <c r="CR365" i="3"/>
  <c r="BR365" i="3"/>
  <c r="AA365" i="3"/>
  <c r="AE365" i="3" s="1"/>
  <c r="AF339" i="3"/>
  <c r="AG339" i="3" s="1"/>
  <c r="AH339" i="3" s="1"/>
  <c r="AJ287" i="3"/>
  <c r="AL287" i="3"/>
  <c r="AK287" i="3"/>
  <c r="BF287" i="3" s="1"/>
  <c r="BG287" i="3"/>
  <c r="BQ322" i="3"/>
  <c r="AI322" i="3"/>
  <c r="CB322" i="3"/>
  <c r="CB316" i="3"/>
  <c r="BQ316" i="3"/>
  <c r="AI316" i="3"/>
  <c r="CR364" i="3"/>
  <c r="AA364" i="3"/>
  <c r="AE364" i="3" s="1"/>
  <c r="AF364" i="3" s="1"/>
  <c r="AG364" i="3" s="1"/>
  <c r="AH364" i="3" s="1"/>
  <c r="BR364" i="3"/>
  <c r="CR362" i="3"/>
  <c r="BR362" i="3"/>
  <c r="AA362" i="3"/>
  <c r="AE362" i="3" s="1"/>
  <c r="BN245" i="3"/>
  <c r="BN258" i="3"/>
  <c r="CR372" i="3"/>
  <c r="BR372" i="3"/>
  <c r="AA372" i="3"/>
  <c r="AE372" i="3" s="1"/>
  <c r="AF372" i="3" s="1"/>
  <c r="AG372" i="3" s="1"/>
  <c r="AH372" i="3" s="1"/>
  <c r="CS280" i="3"/>
  <c r="AR280" i="3"/>
  <c r="AS280" i="3" s="1"/>
  <c r="BK280" i="3"/>
  <c r="BL280" i="3" s="1"/>
  <c r="CT280" i="3"/>
  <c r="BH280" i="3"/>
  <c r="BP280" i="3" s="1"/>
  <c r="BT280" i="3" s="1"/>
  <c r="CR374" i="3"/>
  <c r="BR374" i="3"/>
  <c r="AA374" i="3"/>
  <c r="AE374" i="3" s="1"/>
  <c r="AF374" i="3" s="1"/>
  <c r="AG374" i="3" s="1"/>
  <c r="AH374" i="3" s="1"/>
  <c r="CR371" i="3"/>
  <c r="BR371" i="3"/>
  <c r="AA371" i="3"/>
  <c r="AE371" i="3" s="1"/>
  <c r="AF371" i="3" s="1"/>
  <c r="AG371" i="3" s="1"/>
  <c r="AH371" i="3" s="1"/>
  <c r="CR361" i="3"/>
  <c r="BR361" i="3"/>
  <c r="AA361" i="3"/>
  <c r="AE361" i="3" s="1"/>
  <c r="AF361" i="3" s="1"/>
  <c r="AG361" i="3" s="1"/>
  <c r="AH361" i="3" s="1"/>
  <c r="CS265" i="3"/>
  <c r="AR265" i="3"/>
  <c r="AS265" i="3" s="1"/>
  <c r="BK265" i="3"/>
  <c r="BL265" i="3" s="1"/>
  <c r="CT265" i="3"/>
  <c r="BH265" i="3"/>
  <c r="BP265" i="3" s="1"/>
  <c r="BT265" i="3" s="1"/>
  <c r="CB329" i="3"/>
  <c r="AI329" i="3"/>
  <c r="BQ329" i="3"/>
  <c r="AK303" i="3"/>
  <c r="BF303" i="3" s="1"/>
  <c r="AJ303" i="3"/>
  <c r="BG303" i="3"/>
  <c r="AL303" i="3"/>
  <c r="Z391" i="3"/>
  <c r="AC391" i="3" s="1"/>
  <c r="AD391" i="3" s="1"/>
  <c r="CR376" i="3"/>
  <c r="BR376" i="3"/>
  <c r="AA376" i="3"/>
  <c r="AE376" i="3" s="1"/>
  <c r="AF376" i="3" s="1"/>
  <c r="AG376" i="3" s="1"/>
  <c r="AH376" i="3" s="1"/>
  <c r="CS263" i="3"/>
  <c r="AR263" i="3"/>
  <c r="AS263" i="3" s="1"/>
  <c r="BK263" i="3"/>
  <c r="BL263" i="3" s="1"/>
  <c r="CT263" i="3"/>
  <c r="BH263" i="3"/>
  <c r="BP263" i="3" s="1"/>
  <c r="BT263" i="3" s="1"/>
  <c r="CS264" i="3"/>
  <c r="AR264" i="3"/>
  <c r="AS264" i="3" s="1"/>
  <c r="BK264" i="3"/>
  <c r="BL264" i="3" s="1"/>
  <c r="CT264" i="3"/>
  <c r="BH264" i="3"/>
  <c r="BP264" i="3" s="1"/>
  <c r="BT264" i="3" s="1"/>
  <c r="AK286" i="3"/>
  <c r="BF286" i="3" s="1"/>
  <c r="AJ286" i="3"/>
  <c r="BG286" i="3"/>
  <c r="AL286" i="3"/>
  <c r="Z385" i="3"/>
  <c r="AC385" i="3" s="1"/>
  <c r="AD385" i="3" s="1"/>
  <c r="Z394" i="3"/>
  <c r="AC394" i="3" s="1"/>
  <c r="AD394" i="3" s="1"/>
  <c r="Z399" i="3"/>
  <c r="AC399" i="3" s="1"/>
  <c r="AD399" i="3" s="1"/>
  <c r="Z403" i="3"/>
  <c r="AC403" i="3" s="1"/>
  <c r="AD403" i="3" s="1"/>
  <c r="Z400" i="3"/>
  <c r="AC400" i="3" s="1"/>
  <c r="AD400" i="3" s="1"/>
  <c r="G499" i="3" a="1"/>
  <c r="BB499" i="3" a="1"/>
  <c r="CE499" i="3" a="1"/>
  <c r="B499" i="3" a="1"/>
  <c r="G498" i="3" a="1"/>
  <c r="BB498" i="3" a="1"/>
  <c r="CE498" i="3" a="1"/>
  <c r="B498" i="3" a="1"/>
  <c r="G497" i="3" a="1"/>
  <c r="BB497" i="3" a="1"/>
  <c r="CE497" i="3" a="1"/>
  <c r="B497" i="3" a="1"/>
  <c r="G496" i="3" a="1"/>
  <c r="BB496" i="3" a="1"/>
  <c r="CE496" i="3" a="1"/>
  <c r="B496" i="3" a="1"/>
  <c r="G495" i="3" a="1"/>
  <c r="BB495" i="3" a="1"/>
  <c r="CE495" i="3" a="1"/>
  <c r="B495" i="3" a="1"/>
  <c r="G494" i="3" a="1"/>
  <c r="BB494" i="3" a="1"/>
  <c r="CE494" i="3" a="1"/>
  <c r="B494" i="3" a="1"/>
  <c r="G493" i="3" a="1"/>
  <c r="BB493" i="3" a="1"/>
  <c r="CE493" i="3" a="1"/>
  <c r="B493" i="3" a="1"/>
  <c r="G492" i="3" a="1"/>
  <c r="BB492" i="3" a="1"/>
  <c r="CE492" i="3" a="1"/>
  <c r="B492" i="3" a="1"/>
  <c r="G491" i="3" a="1"/>
  <c r="BB491" i="3" a="1"/>
  <c r="CE491" i="3" a="1"/>
  <c r="B491" i="3" a="1"/>
  <c r="G490" i="3" a="1"/>
  <c r="BB490" i="3" a="1"/>
  <c r="CE490" i="3" a="1"/>
  <c r="B490" i="3" a="1"/>
  <c r="G489" i="3" a="1"/>
  <c r="BB489" i="3" a="1"/>
  <c r="CE489" i="3" a="1"/>
  <c r="B489" i="3" a="1"/>
  <c r="G488" i="3" a="1"/>
  <c r="BB488" i="3" a="1"/>
  <c r="CE488" i="3" a="1"/>
  <c r="B488" i="3" a="1"/>
  <c r="G487" i="3" a="1"/>
  <c r="BB487" i="3" a="1"/>
  <c r="CE487" i="3" a="1"/>
  <c r="B487" i="3" a="1"/>
  <c r="G486" i="3" a="1"/>
  <c r="BB486" i="3" a="1"/>
  <c r="CE486" i="3" a="1"/>
  <c r="B486" i="3" a="1"/>
  <c r="G461" i="3" a="1"/>
  <c r="BB461" i="3" a="1"/>
  <c r="CE461" i="3" a="1"/>
  <c r="B461" i="3" a="1"/>
  <c r="E485" i="3"/>
  <c r="CC485" i="3"/>
  <c r="G460" i="3" a="1"/>
  <c r="BB460" i="3" a="1"/>
  <c r="CE460" i="3" a="1"/>
  <c r="B460" i="3" a="1"/>
  <c r="E484" i="3"/>
  <c r="CC484" i="3"/>
  <c r="G459" i="3" a="1"/>
  <c r="BB459" i="3" a="1"/>
  <c r="CE459" i="3" a="1"/>
  <c r="B459" i="3" a="1"/>
  <c r="E483" i="3"/>
  <c r="CC483" i="3"/>
  <c r="G458" i="3" a="1"/>
  <c r="BB458" i="3" a="1"/>
  <c r="CE458" i="3" a="1"/>
  <c r="B458" i="3" a="1"/>
  <c r="E482" i="3"/>
  <c r="CC482" i="3"/>
  <c r="G457" i="3" a="1"/>
  <c r="BB457" i="3" a="1"/>
  <c r="CE457" i="3" a="1"/>
  <c r="B457" i="3" a="1"/>
  <c r="E481" i="3"/>
  <c r="CC481" i="3"/>
  <c r="G456" i="3" a="1"/>
  <c r="BB456" i="3" a="1"/>
  <c r="CE456" i="3" a="1"/>
  <c r="B456" i="3" a="1"/>
  <c r="E480" i="3"/>
  <c r="CC480" i="3"/>
  <c r="CB359" i="3"/>
  <c r="AI359" i="3"/>
  <c r="BQ359" i="3"/>
  <c r="F479" i="3" a="1"/>
  <c r="G455" i="3" a="1"/>
  <c r="BB455" i="3" a="1"/>
  <c r="CE455" i="3" a="1"/>
  <c r="B455" i="3" a="1"/>
  <c r="E479" i="3"/>
  <c r="CC479" i="3"/>
  <c r="F478" i="3" a="1"/>
  <c r="G454" i="3" a="1"/>
  <c r="BB454" i="3" a="1"/>
  <c r="CE454" i="3" a="1"/>
  <c r="B454" i="3" a="1"/>
  <c r="E478" i="3"/>
  <c r="CC478" i="3"/>
  <c r="F477" i="3" a="1"/>
  <c r="C504" i="3"/>
  <c r="CD477" i="3"/>
  <c r="CD504" i="3" s="1"/>
  <c r="G453" i="3" a="1"/>
  <c r="BB453" i="3" a="1"/>
  <c r="CE453" i="3" a="1"/>
  <c r="B453" i="3" a="1"/>
  <c r="O32" i="19"/>
  <c r="E33" i="13" s="1"/>
  <c r="I16" i="19"/>
  <c r="I72" i="21"/>
  <c r="O16" i="19"/>
  <c r="G80" i="21"/>
  <c r="F28" i="21"/>
  <c r="F67" i="21"/>
  <c r="E30" i="21"/>
  <c r="G79" i="21"/>
  <c r="I100" i="21"/>
  <c r="I92" i="21"/>
  <c r="F35" i="21"/>
  <c r="E35" i="21"/>
  <c r="I103" i="21"/>
  <c r="H105" i="21"/>
  <c r="I113" i="21"/>
  <c r="F42" i="21"/>
  <c r="J99" i="21"/>
  <c r="E91" i="21"/>
  <c r="I109" i="21"/>
  <c r="I98" i="21"/>
  <c r="E60" i="21"/>
  <c r="E45" i="21"/>
  <c r="F40" i="21"/>
  <c r="E51" i="21"/>
  <c r="J95" i="21"/>
  <c r="AL19" i="19"/>
  <c r="O46" i="13" s="1"/>
  <c r="AD46" i="13" s="1"/>
  <c r="H95" i="21"/>
  <c r="J103" i="21"/>
  <c r="J94" i="21"/>
  <c r="H16" i="19"/>
  <c r="K16" i="19"/>
  <c r="G72" i="21"/>
  <c r="F70" i="21"/>
  <c r="I67" i="21"/>
  <c r="E70" i="21"/>
  <c r="AL18" i="19"/>
  <c r="O45" i="13" s="1"/>
  <c r="AD45" i="13" s="1"/>
  <c r="J18" i="19"/>
  <c r="H73" i="13" s="1"/>
  <c r="G63" i="21"/>
  <c r="G95" i="21"/>
  <c r="I97" i="21"/>
  <c r="E44" i="21"/>
  <c r="F37" i="21"/>
  <c r="E33" i="21"/>
  <c r="E63" i="21"/>
  <c r="G102" i="21"/>
  <c r="E101" i="21"/>
  <c r="E110" i="21"/>
  <c r="F78" i="21"/>
  <c r="G91" i="21"/>
  <c r="G94" i="21"/>
  <c r="J98" i="21"/>
  <c r="H97" i="21"/>
  <c r="F111" i="21"/>
  <c r="J109" i="21"/>
  <c r="F97" i="21"/>
  <c r="J111" i="21"/>
  <c r="J100" i="21"/>
  <c r="G73" i="21"/>
  <c r="F72" i="21"/>
  <c r="E69" i="21"/>
  <c r="L16" i="19"/>
  <c r="I70" i="21"/>
  <c r="E28" i="21"/>
  <c r="I74" i="21"/>
  <c r="F73" i="21"/>
  <c r="O17" i="19"/>
  <c r="E18" i="13" s="1"/>
  <c r="E64" i="21"/>
  <c r="G62" i="21"/>
  <c r="I95" i="21"/>
  <c r="F43" i="21"/>
  <c r="F80" i="21"/>
  <c r="I91" i="21"/>
  <c r="G106" i="21"/>
  <c r="F44" i="21"/>
  <c r="E106" i="21"/>
  <c r="I82" i="21"/>
  <c r="E79" i="21"/>
  <c r="F79" i="21"/>
  <c r="F51" i="21"/>
  <c r="E81" i="21"/>
  <c r="O18" i="19"/>
  <c r="E19" i="13" s="1"/>
  <c r="K18" i="19"/>
  <c r="I73" i="13" s="1"/>
  <c r="J105" i="21"/>
  <c r="F77" i="21"/>
  <c r="J112" i="21"/>
  <c r="J91" i="21"/>
  <c r="G19" i="19"/>
  <c r="E74" i="13" s="1"/>
  <c r="F91" i="21"/>
  <c r="O20" i="19"/>
  <c r="E21" i="13" s="1"/>
  <c r="I20" i="19"/>
  <c r="G75" i="13" s="1"/>
  <c r="G69" i="21"/>
  <c r="G67" i="21"/>
  <c r="G70" i="21"/>
  <c r="F75" i="21"/>
  <c r="F68" i="21"/>
  <c r="E68" i="21"/>
  <c r="E71" i="21"/>
  <c r="E75" i="21"/>
  <c r="G77" i="21"/>
  <c r="E108" i="21"/>
  <c r="F64" i="21"/>
  <c r="I64" i="21"/>
  <c r="E38" i="21"/>
  <c r="G97" i="21"/>
  <c r="F48" i="21"/>
  <c r="F93" i="21"/>
  <c r="AL16" i="19"/>
  <c r="H93" i="21"/>
  <c r="E98" i="21"/>
  <c r="H101" i="21"/>
  <c r="E82" i="21"/>
  <c r="J108" i="21"/>
  <c r="J110" i="21"/>
  <c r="I60" i="21"/>
  <c r="E93" i="21"/>
  <c r="E50" i="21"/>
  <c r="G109" i="21"/>
  <c r="K20" i="19"/>
  <c r="I75" i="13" s="1"/>
  <c r="J97" i="21"/>
  <c r="AF19" i="19"/>
  <c r="J92" i="21"/>
  <c r="H91" i="21"/>
  <c r="H100" i="21"/>
  <c r="G66" i="21"/>
  <c r="G16" i="19"/>
  <c r="I69" i="21"/>
  <c r="AF17" i="19"/>
  <c r="I65" i="21"/>
  <c r="F71" i="21"/>
  <c r="G78" i="21"/>
  <c r="I75" i="21"/>
  <c r="I61" i="21"/>
  <c r="E99" i="21"/>
  <c r="E37" i="21"/>
  <c r="I111" i="21"/>
  <c r="E43" i="21"/>
  <c r="F62" i="21"/>
  <c r="I106" i="21"/>
  <c r="I104" i="21"/>
  <c r="E59" i="21"/>
  <c r="G93" i="21"/>
  <c r="E78" i="21"/>
  <c r="E34" i="21"/>
  <c r="H104" i="21"/>
  <c r="L17" i="19"/>
  <c r="J72" i="13" s="1"/>
  <c r="F47" i="21"/>
  <c r="I112" i="21"/>
  <c r="F95" i="21"/>
  <c r="I79" i="21"/>
  <c r="I19" i="19"/>
  <c r="G74" i="13" s="1"/>
  <c r="L19" i="19"/>
  <c r="J74" i="13" s="1"/>
  <c r="H19" i="19"/>
  <c r="F74" i="13" s="1"/>
  <c r="G75" i="21"/>
  <c r="G74" i="21"/>
  <c r="F74" i="21"/>
  <c r="I73" i="21"/>
  <c r="I71" i="21"/>
  <c r="E76" i="21"/>
  <c r="K17" i="19"/>
  <c r="I72" i="13" s="1"/>
  <c r="G61" i="21"/>
  <c r="G92" i="21"/>
  <c r="G100" i="21"/>
  <c r="F38" i="21"/>
  <c r="I105" i="21"/>
  <c r="E80" i="21"/>
  <c r="H102" i="21"/>
  <c r="J93" i="21"/>
  <c r="I110" i="21"/>
  <c r="E36" i="21"/>
  <c r="I76" i="21"/>
  <c r="E47" i="21"/>
  <c r="F110" i="21"/>
  <c r="E90" i="21"/>
  <c r="E62" i="21"/>
  <c r="E49" i="21"/>
  <c r="F50" i="21"/>
  <c r="K90" i="21"/>
  <c r="F92" i="21"/>
  <c r="F94" i="21"/>
  <c r="J19" i="19"/>
  <c r="H74" i="13" s="1"/>
  <c r="F108" i="21"/>
  <c r="E72" i="21"/>
  <c r="E66" i="21"/>
  <c r="G68" i="21"/>
  <c r="G82" i="21"/>
  <c r="I66" i="21"/>
  <c r="H90" i="21"/>
  <c r="I68" i="21"/>
  <c r="I90" i="21"/>
  <c r="L18" i="19"/>
  <c r="J73" i="13" s="1"/>
  <c r="F61" i="21"/>
  <c r="E92" i="21"/>
  <c r="I80" i="21"/>
  <c r="F33" i="21"/>
  <c r="H108" i="21"/>
  <c r="I93" i="21"/>
  <c r="H106" i="21"/>
  <c r="E32" i="21"/>
  <c r="J106" i="21"/>
  <c r="E112" i="21"/>
  <c r="J104" i="21"/>
  <c r="I59" i="21"/>
  <c r="E103" i="21"/>
  <c r="G99" i="21"/>
  <c r="F81" i="21"/>
  <c r="I78" i="21"/>
  <c r="H113" i="21"/>
  <c r="G65" i="21"/>
  <c r="G71" i="21"/>
  <c r="E74" i="21"/>
  <c r="AL17" i="19"/>
  <c r="O44" i="13" s="1"/>
  <c r="AD44" i="13" s="1"/>
  <c r="G105" i="21"/>
  <c r="F76" i="21"/>
  <c r="J90" i="21"/>
  <c r="I17" i="19"/>
  <c r="G72" i="13" s="1"/>
  <c r="G60" i="21"/>
  <c r="E97" i="21"/>
  <c r="G103" i="21"/>
  <c r="G59" i="21"/>
  <c r="E46" i="21"/>
  <c r="E104" i="21"/>
  <c r="E42" i="21"/>
  <c r="G64" i="21"/>
  <c r="E96" i="21"/>
  <c r="H98" i="21"/>
  <c r="H109" i="21"/>
  <c r="F45" i="21"/>
  <c r="J17" i="19"/>
  <c r="H72" i="13" s="1"/>
  <c r="G98" i="21"/>
  <c r="F102" i="21"/>
  <c r="G113" i="21"/>
  <c r="H94" i="21"/>
  <c r="E29" i="21"/>
  <c r="G76" i="21"/>
  <c r="F66" i="21"/>
  <c r="F69" i="21"/>
  <c r="AF16" i="19"/>
  <c r="E73" i="21"/>
  <c r="F30" i="21"/>
  <c r="G17" i="19"/>
  <c r="E72" i="13" s="1"/>
  <c r="J16" i="19"/>
  <c r="E67" i="21"/>
  <c r="F46" i="21"/>
  <c r="E77" i="21"/>
  <c r="G108" i="21"/>
  <c r="E105" i="21"/>
  <c r="G101" i="21"/>
  <c r="G112" i="21"/>
  <c r="H107" i="21"/>
  <c r="F109" i="21"/>
  <c r="F99" i="21"/>
  <c r="E94" i="21"/>
  <c r="I99" i="21"/>
  <c r="H103" i="21"/>
  <c r="F39" i="21"/>
  <c r="I62" i="21"/>
  <c r="I63" i="21"/>
  <c r="G110" i="21"/>
  <c r="F32" i="21"/>
  <c r="G96" i="21"/>
  <c r="F49" i="21"/>
  <c r="F31" i="21"/>
  <c r="I81" i="21"/>
  <c r="F90" i="21"/>
  <c r="G81" i="21"/>
  <c r="E61" i="21"/>
  <c r="G111" i="21"/>
  <c r="I108" i="21"/>
  <c r="E100" i="21"/>
  <c r="G90" i="21"/>
  <c r="F34" i="21"/>
  <c r="F104" i="21"/>
  <c r="I18" i="19"/>
  <c r="G73" i="13" s="1"/>
  <c r="E41" i="21"/>
  <c r="H99" i="21"/>
  <c r="I96" i="21"/>
  <c r="E95" i="21"/>
  <c r="F36" i="21"/>
  <c r="G18" i="19"/>
  <c r="E73" i="13" s="1"/>
  <c r="E65" i="21"/>
  <c r="F100" i="21"/>
  <c r="AL20" i="19"/>
  <c r="O47" i="13" s="1"/>
  <c r="AD47" i="13" s="1"/>
  <c r="F96" i="21"/>
  <c r="F82" i="21"/>
  <c r="F112" i="21"/>
  <c r="J96" i="21"/>
  <c r="AF20" i="19"/>
  <c r="E477" i="3"/>
  <c r="CC477" i="3"/>
  <c r="CC504" i="3" s="1"/>
  <c r="CM212" i="3"/>
  <c r="CL212" i="3"/>
  <c r="BZ212" i="3"/>
  <c r="CK212" i="3"/>
  <c r="CJ212" i="3"/>
  <c r="AN212" i="3"/>
  <c r="BJ212" i="3" s="1"/>
  <c r="CA212" i="3"/>
  <c r="AM212" i="3"/>
  <c r="BI212" i="3" s="1"/>
  <c r="BW236" i="3"/>
  <c r="BY236" i="3" s="1"/>
  <c r="CO236" i="3"/>
  <c r="BO260" i="3"/>
  <c r="BS260" i="3"/>
  <c r="BV260" i="3"/>
  <c r="BU260" i="3"/>
  <c r="BL284" i="3"/>
  <c r="BN284" i="3" s="1"/>
  <c r="BP284" i="3"/>
  <c r="BT284" i="3" s="1"/>
  <c r="BF308" i="3"/>
  <c r="CS308" i="3"/>
  <c r="AR308" i="3"/>
  <c r="AS308" i="3" s="1"/>
  <c r="BK308" i="3"/>
  <c r="CT308" i="3"/>
  <c r="BH308" i="3"/>
  <c r="CB356" i="3"/>
  <c r="AI356" i="3"/>
  <c r="BQ356" i="3"/>
  <c r="Y428" i="3"/>
  <c r="U428" i="3"/>
  <c r="W428" i="3" s="1"/>
  <c r="AQ452" i="3"/>
  <c r="AW452" i="3"/>
  <c r="CH452" i="3"/>
  <c r="CQ452" i="3"/>
  <c r="CI452" i="3"/>
  <c r="CP452" i="3"/>
  <c r="R452" i="3"/>
  <c r="AB452" i="3" s="1"/>
  <c r="F476" i="3" a="1"/>
  <c r="H476" i="3" a="1"/>
  <c r="I476" i="3" a="1"/>
  <c r="J476" i="3" s="1"/>
  <c r="T476" i="3" s="1"/>
  <c r="L476" i="3" a="1"/>
  <c r="M476" i="3" a="1"/>
  <c r="O476" i="3" s="1"/>
  <c r="P476" i="3" a="1"/>
  <c r="Q476" i="3" s="1"/>
  <c r="V476" i="3" s="1"/>
  <c r="AZ476" i="3" a="1"/>
  <c r="BA476" i="3" a="1"/>
  <c r="BC476" i="3" a="1"/>
  <c r="BD476" i="3" a="1"/>
  <c r="BX476" i="3" a="1"/>
  <c r="D500" i="3"/>
  <c r="CM211" i="3"/>
  <c r="CL211" i="3"/>
  <c r="CK211" i="3"/>
  <c r="BZ211" i="3"/>
  <c r="CJ211" i="3"/>
  <c r="AN211" i="3"/>
  <c r="BJ211" i="3" s="1"/>
  <c r="CA211" i="3"/>
  <c r="AM211" i="3"/>
  <c r="BI211" i="3" s="1"/>
  <c r="BW235" i="3"/>
  <c r="BY235" i="3" s="1"/>
  <c r="CO235" i="3"/>
  <c r="BO259" i="3"/>
  <c r="BS259" i="3"/>
  <c r="BV259" i="3"/>
  <c r="BU259" i="3"/>
  <c r="BL283" i="3"/>
  <c r="BN283" i="3" s="1"/>
  <c r="BP283" i="3"/>
  <c r="BT283" i="3" s="1"/>
  <c r="BF307" i="3"/>
  <c r="CS307" i="3"/>
  <c r="AR307" i="3"/>
  <c r="AS307" i="3" s="1"/>
  <c r="BK307" i="3"/>
  <c r="CT307" i="3"/>
  <c r="BH307" i="3"/>
  <c r="AJ331" i="3"/>
  <c r="AK331" i="3"/>
  <c r="BG331" i="3"/>
  <c r="AL331" i="3"/>
  <c r="CB355" i="3"/>
  <c r="AI355" i="3"/>
  <c r="BQ355" i="3"/>
  <c r="Y427" i="3"/>
  <c r="U427" i="3"/>
  <c r="W427" i="3" s="1"/>
  <c r="AQ451" i="3"/>
  <c r="AW451" i="3"/>
  <c r="CH451" i="3"/>
  <c r="CQ451" i="3"/>
  <c r="CI451" i="3"/>
  <c r="CP451" i="3"/>
  <c r="R451" i="3"/>
  <c r="AB451" i="3" s="1"/>
  <c r="F475" i="3" a="1"/>
  <c r="H475" i="3" a="1"/>
  <c r="I475" i="3" a="1"/>
  <c r="J475" i="3" s="1"/>
  <c r="T475" i="3" s="1"/>
  <c r="L475" i="3" a="1"/>
  <c r="M475" i="3" a="1"/>
  <c r="O475" i="3" s="1"/>
  <c r="P475" i="3" a="1"/>
  <c r="Q475" i="3" s="1"/>
  <c r="V475" i="3" s="1"/>
  <c r="AZ475" i="3" a="1"/>
  <c r="BA475" i="3" a="1"/>
  <c r="BC475" i="3" a="1"/>
  <c r="BD475" i="3" a="1"/>
  <c r="BX475" i="3" a="1"/>
  <c r="D499" i="3"/>
  <c r="CM210" i="3"/>
  <c r="CK210" i="3"/>
  <c r="BZ210" i="3"/>
  <c r="CL210" i="3"/>
  <c r="CJ210" i="3"/>
  <c r="AN210" i="3"/>
  <c r="BJ210" i="3" s="1"/>
  <c r="CA210" i="3"/>
  <c r="AM210" i="3"/>
  <c r="BI210" i="3" s="1"/>
  <c r="BW234" i="3"/>
  <c r="BY234" i="3" s="1"/>
  <c r="CO234" i="3"/>
  <c r="BV258" i="3"/>
  <c r="BU258" i="3"/>
  <c r="BL282" i="3"/>
  <c r="BN282" i="3" s="1"/>
  <c r="BP282" i="3"/>
  <c r="BT282" i="3" s="1"/>
  <c r="BF306" i="3"/>
  <c r="CS306" i="3"/>
  <c r="AR306" i="3"/>
  <c r="AS306" i="3" s="1"/>
  <c r="BK306" i="3"/>
  <c r="CT306" i="3"/>
  <c r="BH306" i="3"/>
  <c r="AK330" i="3"/>
  <c r="AJ330" i="3"/>
  <c r="BG330" i="3"/>
  <c r="AL330" i="3"/>
  <c r="CB354" i="3"/>
  <c r="AI354" i="3"/>
  <c r="BQ354" i="3"/>
  <c r="Y426" i="3"/>
  <c r="U426" i="3"/>
  <c r="W426" i="3" s="1"/>
  <c r="AQ450" i="3"/>
  <c r="AW450" i="3"/>
  <c r="CH450" i="3"/>
  <c r="CQ450" i="3"/>
  <c r="CI450" i="3"/>
  <c r="CP450" i="3"/>
  <c r="R450" i="3"/>
  <c r="AB450" i="3" s="1"/>
  <c r="F474" i="3" a="1"/>
  <c r="H474" i="3" a="1"/>
  <c r="I474" i="3" a="1"/>
  <c r="J474" i="3" s="1"/>
  <c r="T474" i="3" s="1"/>
  <c r="L474" i="3" a="1"/>
  <c r="M474" i="3" a="1"/>
  <c r="O474" i="3" s="1"/>
  <c r="P474" i="3" a="1"/>
  <c r="Q474" i="3" s="1"/>
  <c r="V474" i="3" s="1"/>
  <c r="AZ474" i="3" a="1"/>
  <c r="BA474" i="3" a="1"/>
  <c r="BC474" i="3" a="1"/>
  <c r="BD474" i="3" a="1"/>
  <c r="BX474" i="3" a="1"/>
  <c r="D498" i="3"/>
  <c r="CM209" i="3"/>
  <c r="CL209" i="3"/>
  <c r="BZ209" i="3"/>
  <c r="CK209" i="3"/>
  <c r="CJ209" i="3"/>
  <c r="AN209" i="3"/>
  <c r="BJ209" i="3" s="1"/>
  <c r="CA209" i="3"/>
  <c r="AM209" i="3"/>
  <c r="BI209" i="3" s="1"/>
  <c r="BW233" i="3"/>
  <c r="BY233" i="3" s="1"/>
  <c r="CO233" i="3"/>
  <c r="BO257" i="3"/>
  <c r="BS257" i="3"/>
  <c r="BV257" i="3"/>
  <c r="BU257" i="3"/>
  <c r="BL281" i="3"/>
  <c r="BN281" i="3" s="1"/>
  <c r="BP281" i="3"/>
  <c r="BT281" i="3" s="1"/>
  <c r="BF305" i="3"/>
  <c r="CS305" i="3"/>
  <c r="AR305" i="3"/>
  <c r="AS305" i="3" s="1"/>
  <c r="BK305" i="3"/>
  <c r="CT305" i="3"/>
  <c r="BH305" i="3"/>
  <c r="CB353" i="3"/>
  <c r="AI353" i="3"/>
  <c r="BQ353" i="3"/>
  <c r="Y425" i="3"/>
  <c r="U425" i="3"/>
  <c r="W425" i="3" s="1"/>
  <c r="AQ449" i="3"/>
  <c r="AW449" i="3"/>
  <c r="CH449" i="3"/>
  <c r="CQ449" i="3"/>
  <c r="CI449" i="3"/>
  <c r="CP449" i="3"/>
  <c r="R449" i="3"/>
  <c r="AB449" i="3" s="1"/>
  <c r="F473" i="3" a="1"/>
  <c r="H473" i="3" a="1"/>
  <c r="I473" i="3" a="1"/>
  <c r="J473" i="3" s="1"/>
  <c r="T473" i="3" s="1"/>
  <c r="L473" i="3" a="1"/>
  <c r="M473" i="3" a="1"/>
  <c r="O473" i="3" s="1"/>
  <c r="P473" i="3" a="1"/>
  <c r="Q473" i="3" s="1"/>
  <c r="V473" i="3" s="1"/>
  <c r="AZ473" i="3" a="1"/>
  <c r="BA473" i="3" a="1"/>
  <c r="BC473" i="3" a="1"/>
  <c r="BD473" i="3" a="1"/>
  <c r="BX473" i="3" a="1"/>
  <c r="D497" i="3"/>
  <c r="BW232" i="3"/>
  <c r="BY232" i="3" s="1"/>
  <c r="CO232" i="3"/>
  <c r="BO256" i="3"/>
  <c r="BS256" i="3"/>
  <c r="BV256" i="3"/>
  <c r="BU256" i="3"/>
  <c r="BF304" i="3"/>
  <c r="CS304" i="3"/>
  <c r="AR304" i="3"/>
  <c r="AS304" i="3" s="1"/>
  <c r="BK304" i="3"/>
  <c r="CT304" i="3"/>
  <c r="BH304" i="3"/>
  <c r="AK328" i="3"/>
  <c r="AJ328" i="3"/>
  <c r="BG328" i="3"/>
  <c r="AL328" i="3"/>
  <c r="CB352" i="3"/>
  <c r="AI352" i="3"/>
  <c r="BQ352" i="3"/>
  <c r="Y424" i="3"/>
  <c r="U424" i="3"/>
  <c r="W424" i="3" s="1"/>
  <c r="Z424" i="3" s="1"/>
  <c r="AC424" i="3" s="1"/>
  <c r="AD424" i="3" s="1"/>
  <c r="CR424" i="3" s="1"/>
  <c r="AQ448" i="3"/>
  <c r="AW448" i="3"/>
  <c r="CH448" i="3"/>
  <c r="CQ448" i="3"/>
  <c r="CI448" i="3"/>
  <c r="CP448" i="3"/>
  <c r="R448" i="3"/>
  <c r="AB448" i="3" s="1"/>
  <c r="F472" i="3" a="1"/>
  <c r="H472" i="3" a="1"/>
  <c r="I472" i="3" a="1"/>
  <c r="J472" i="3" s="1"/>
  <c r="T472" i="3" s="1"/>
  <c r="L472" i="3" a="1"/>
  <c r="M472" i="3" a="1"/>
  <c r="O472" i="3" s="1"/>
  <c r="P472" i="3" a="1"/>
  <c r="Q472" i="3" s="1"/>
  <c r="V472" i="3" s="1"/>
  <c r="AZ472" i="3" a="1"/>
  <c r="BA472" i="3" a="1"/>
  <c r="BC472" i="3" a="1"/>
  <c r="BD472" i="3" a="1"/>
  <c r="BX472" i="3" a="1"/>
  <c r="D496" i="3"/>
  <c r="CM208" i="3"/>
  <c r="CL208" i="3"/>
  <c r="CK208" i="3"/>
  <c r="BZ208" i="3"/>
  <c r="CJ208" i="3"/>
  <c r="AN208" i="3"/>
  <c r="BJ208" i="3" s="1"/>
  <c r="AM208" i="3"/>
  <c r="BI208" i="3" s="1"/>
  <c r="CA208" i="3"/>
  <c r="CM207" i="3"/>
  <c r="CL207" i="3"/>
  <c r="BZ207" i="3"/>
  <c r="CK207" i="3"/>
  <c r="CJ207" i="3"/>
  <c r="AN207" i="3"/>
  <c r="BJ207" i="3" s="1"/>
  <c r="CA207" i="3"/>
  <c r="AM207" i="3"/>
  <c r="BI207" i="3" s="1"/>
  <c r="BW231" i="3"/>
  <c r="BY231" i="3" s="1"/>
  <c r="CO231" i="3"/>
  <c r="BL279" i="3"/>
  <c r="BN279" i="3" s="1"/>
  <c r="BP279" i="3"/>
  <c r="BT279" i="3" s="1"/>
  <c r="AK327" i="3"/>
  <c r="AJ327" i="3"/>
  <c r="BG327" i="3"/>
  <c r="AL327" i="3"/>
  <c r="CB351" i="3"/>
  <c r="AI351" i="3"/>
  <c r="BQ351" i="3"/>
  <c r="Y423" i="3"/>
  <c r="U423" i="3"/>
  <c r="W423" i="3" s="1"/>
  <c r="AQ447" i="3"/>
  <c r="AW447" i="3"/>
  <c r="CH447" i="3"/>
  <c r="CQ447" i="3"/>
  <c r="CI447" i="3"/>
  <c r="CP447" i="3"/>
  <c r="R447" i="3"/>
  <c r="AB447" i="3" s="1"/>
  <c r="F471" i="3" a="1"/>
  <c r="H471" i="3" a="1"/>
  <c r="I471" i="3" a="1"/>
  <c r="J471" i="3" s="1"/>
  <c r="T471" i="3" s="1"/>
  <c r="L471" i="3" a="1"/>
  <c r="M471" i="3" a="1"/>
  <c r="O471" i="3" s="1"/>
  <c r="P471" i="3" a="1"/>
  <c r="Q471" i="3" s="1"/>
  <c r="V471" i="3" s="1"/>
  <c r="AZ471" i="3" a="1"/>
  <c r="BA471" i="3" a="1"/>
  <c r="BC471" i="3" a="1"/>
  <c r="BD471" i="3" a="1"/>
  <c r="BX471" i="3" a="1"/>
  <c r="D495" i="3"/>
  <c r="BO255" i="3"/>
  <c r="BS255" i="3"/>
  <c r="BV255" i="3"/>
  <c r="BU255" i="3"/>
  <c r="CK206" i="3"/>
  <c r="BZ206" i="3"/>
  <c r="CL206" i="3"/>
  <c r="CM206" i="3"/>
  <c r="CJ206" i="3"/>
  <c r="AN206" i="3"/>
  <c r="BJ206" i="3" s="1"/>
  <c r="CA206" i="3"/>
  <c r="AM206" i="3"/>
  <c r="BI206" i="3" s="1"/>
  <c r="BW230" i="3"/>
  <c r="BY230" i="3" s="1"/>
  <c r="CO230" i="3"/>
  <c r="BL278" i="3"/>
  <c r="BN278" i="3" s="1"/>
  <c r="BP278" i="3"/>
  <c r="BT278" i="3" s="1"/>
  <c r="BF302" i="3"/>
  <c r="CS302" i="3"/>
  <c r="AR302" i="3"/>
  <c r="AS302" i="3" s="1"/>
  <c r="BK302" i="3"/>
  <c r="CT302" i="3"/>
  <c r="BH302" i="3"/>
  <c r="AK326" i="3"/>
  <c r="AJ326" i="3"/>
  <c r="BG326" i="3"/>
  <c r="AL326" i="3"/>
  <c r="Y422" i="3"/>
  <c r="U422" i="3"/>
  <c r="W422" i="3" s="1"/>
  <c r="AQ446" i="3"/>
  <c r="AW446" i="3"/>
  <c r="CH446" i="3"/>
  <c r="CQ446" i="3"/>
  <c r="CI446" i="3"/>
  <c r="CP446" i="3"/>
  <c r="R446" i="3"/>
  <c r="AB446" i="3" s="1"/>
  <c r="F470" i="3" a="1"/>
  <c r="H470" i="3" a="1"/>
  <c r="I470" i="3" a="1"/>
  <c r="J470" i="3" s="1"/>
  <c r="T470" i="3" s="1"/>
  <c r="L470" i="3" a="1"/>
  <c r="M470" i="3" a="1"/>
  <c r="O470" i="3" s="1"/>
  <c r="P470" i="3" a="1"/>
  <c r="Q470" i="3" s="1"/>
  <c r="V470" i="3" s="1"/>
  <c r="AZ470" i="3" a="1"/>
  <c r="BA470" i="3" a="1"/>
  <c r="BC470" i="3" a="1"/>
  <c r="BD470" i="3" a="1"/>
  <c r="BX470" i="3" a="1"/>
  <c r="D494" i="3"/>
  <c r="BO254" i="3"/>
  <c r="BS254" i="3"/>
  <c r="BU254" i="3"/>
  <c r="BV254" i="3"/>
  <c r="CM205" i="3"/>
  <c r="BZ205" i="3"/>
  <c r="CK205" i="3"/>
  <c r="CL205" i="3"/>
  <c r="CJ205" i="3"/>
  <c r="AN205" i="3"/>
  <c r="BJ205" i="3" s="1"/>
  <c r="AM205" i="3"/>
  <c r="BI205" i="3" s="1"/>
  <c r="CA205" i="3"/>
  <c r="BW229" i="3"/>
  <c r="BY229" i="3" s="1"/>
  <c r="CO229" i="3"/>
  <c r="BO253" i="3"/>
  <c r="BS253" i="3"/>
  <c r="BV253" i="3"/>
  <c r="BU253" i="3"/>
  <c r="BL277" i="3"/>
  <c r="BN277" i="3" s="1"/>
  <c r="BP277" i="3"/>
  <c r="BT277" i="3" s="1"/>
  <c r="BF301" i="3"/>
  <c r="CS301" i="3"/>
  <c r="AR301" i="3"/>
  <c r="AS301" i="3" s="1"/>
  <c r="BK301" i="3"/>
  <c r="CT301" i="3"/>
  <c r="BH301" i="3"/>
  <c r="AK325" i="3"/>
  <c r="AJ325" i="3"/>
  <c r="BG325" i="3"/>
  <c r="AL325" i="3"/>
  <c r="CB349" i="3"/>
  <c r="AI349" i="3"/>
  <c r="BQ349" i="3"/>
  <c r="Y421" i="3"/>
  <c r="U421" i="3"/>
  <c r="W421" i="3" s="1"/>
  <c r="AQ445" i="3"/>
  <c r="AW445" i="3"/>
  <c r="CH445" i="3"/>
  <c r="CQ445" i="3"/>
  <c r="CI445" i="3"/>
  <c r="CP445" i="3"/>
  <c r="R445" i="3"/>
  <c r="AB445" i="3" s="1"/>
  <c r="F469" i="3" a="1"/>
  <c r="H469" i="3" a="1"/>
  <c r="I469" i="3" a="1"/>
  <c r="J469" i="3" s="1"/>
  <c r="T469" i="3" s="1"/>
  <c r="L469" i="3" a="1"/>
  <c r="M469" i="3" a="1"/>
  <c r="O469" i="3" s="1"/>
  <c r="P469" i="3" a="1"/>
  <c r="Q469" i="3" s="1"/>
  <c r="V469" i="3" s="1"/>
  <c r="AZ469" i="3" a="1"/>
  <c r="BA469" i="3" a="1"/>
  <c r="BC469" i="3" a="1"/>
  <c r="BD469" i="3" a="1"/>
  <c r="BX469" i="3" a="1"/>
  <c r="D493" i="3"/>
  <c r="CM204" i="3"/>
  <c r="BZ204" i="3"/>
  <c r="CK204" i="3"/>
  <c r="CL204" i="3"/>
  <c r="CJ204" i="3"/>
  <c r="AN204" i="3"/>
  <c r="BJ204" i="3" s="1"/>
  <c r="AM204" i="3"/>
  <c r="BI204" i="3" s="1"/>
  <c r="CA204" i="3"/>
  <c r="BW228" i="3"/>
  <c r="BY228" i="3" s="1"/>
  <c r="CO228" i="3"/>
  <c r="BO252" i="3"/>
  <c r="BS252" i="3"/>
  <c r="BV252" i="3"/>
  <c r="BU252" i="3"/>
  <c r="BL276" i="3"/>
  <c r="BN276" i="3" s="1"/>
  <c r="BP276" i="3"/>
  <c r="BT276" i="3" s="1"/>
  <c r="CS300" i="3"/>
  <c r="AR300" i="3"/>
  <c r="AS300" i="3" s="1"/>
  <c r="BK300" i="3"/>
  <c r="BF300" i="3"/>
  <c r="CT300" i="3"/>
  <c r="BH300" i="3"/>
  <c r="AK324" i="3"/>
  <c r="AJ324" i="3"/>
  <c r="BG324" i="3"/>
  <c r="AL324" i="3"/>
  <c r="CB348" i="3"/>
  <c r="AI348" i="3"/>
  <c r="BQ348" i="3"/>
  <c r="Y420" i="3"/>
  <c r="U420" i="3"/>
  <c r="W420" i="3" s="1"/>
  <c r="AQ444" i="3"/>
  <c r="AW444" i="3"/>
  <c r="CH444" i="3"/>
  <c r="CQ444" i="3"/>
  <c r="CI444" i="3"/>
  <c r="CP444" i="3"/>
  <c r="R444" i="3"/>
  <c r="AB444" i="3" s="1"/>
  <c r="F468" i="3" a="1"/>
  <c r="H468" i="3" a="1"/>
  <c r="I468" i="3" a="1"/>
  <c r="J468" i="3" s="1"/>
  <c r="T468" i="3" s="1"/>
  <c r="L468" i="3" a="1"/>
  <c r="M468" i="3" a="1"/>
  <c r="O468" i="3" s="1"/>
  <c r="P468" i="3" a="1"/>
  <c r="Q468" i="3" s="1"/>
  <c r="V468" i="3" s="1"/>
  <c r="AZ468" i="3" a="1"/>
  <c r="BA468" i="3" a="1"/>
  <c r="BC468" i="3" a="1"/>
  <c r="BD468" i="3" a="1"/>
  <c r="BX468" i="3" a="1"/>
  <c r="D492" i="3"/>
  <c r="CM203" i="3"/>
  <c r="BZ203" i="3"/>
  <c r="CK203" i="3"/>
  <c r="CL203" i="3"/>
  <c r="CJ203" i="3"/>
  <c r="AN203" i="3"/>
  <c r="BJ203" i="3" s="1"/>
  <c r="AM203" i="3"/>
  <c r="BI203" i="3" s="1"/>
  <c r="CA203" i="3"/>
  <c r="BW227" i="3"/>
  <c r="BY227" i="3" s="1"/>
  <c r="CO227" i="3"/>
  <c r="BO251" i="3"/>
  <c r="BS251" i="3"/>
  <c r="BV251" i="3"/>
  <c r="BU251" i="3"/>
  <c r="BL275" i="3"/>
  <c r="BN275" i="3" s="1"/>
  <c r="BP275" i="3"/>
  <c r="BT275" i="3" s="1"/>
  <c r="CS299" i="3"/>
  <c r="AR299" i="3"/>
  <c r="AS299" i="3" s="1"/>
  <c r="BK299" i="3"/>
  <c r="BF299" i="3"/>
  <c r="CT299" i="3"/>
  <c r="BH299" i="3"/>
  <c r="AK323" i="3"/>
  <c r="AJ323" i="3"/>
  <c r="BG323" i="3"/>
  <c r="AL323" i="3"/>
  <c r="Y419" i="3"/>
  <c r="U419" i="3"/>
  <c r="W419" i="3" s="1"/>
  <c r="AQ443" i="3"/>
  <c r="AW443" i="3"/>
  <c r="CH443" i="3"/>
  <c r="CQ443" i="3"/>
  <c r="CI443" i="3"/>
  <c r="CP443" i="3"/>
  <c r="R443" i="3"/>
  <c r="AB443" i="3" s="1"/>
  <c r="F467" i="3" a="1"/>
  <c r="H467" i="3" a="1"/>
  <c r="I467" i="3" a="1"/>
  <c r="J467" i="3" s="1"/>
  <c r="T467" i="3" s="1"/>
  <c r="L467" i="3" a="1"/>
  <c r="M467" i="3" a="1"/>
  <c r="O467" i="3" s="1"/>
  <c r="P467" i="3" a="1"/>
  <c r="Q467" i="3" s="1"/>
  <c r="V467" i="3" s="1"/>
  <c r="AZ467" i="3" a="1"/>
  <c r="BA467" i="3" a="1"/>
  <c r="BC467" i="3" a="1"/>
  <c r="BD467" i="3" a="1"/>
  <c r="BX467" i="3" a="1"/>
  <c r="D491" i="3"/>
  <c r="CM202" i="3"/>
  <c r="BZ202" i="3"/>
  <c r="CK202" i="3"/>
  <c r="CL202" i="3"/>
  <c r="CJ202" i="3"/>
  <c r="AN202" i="3"/>
  <c r="BJ202" i="3" s="1"/>
  <c r="AM202" i="3"/>
  <c r="BI202" i="3" s="1"/>
  <c r="CA202" i="3"/>
  <c r="BW226" i="3"/>
  <c r="BY226" i="3" s="1"/>
  <c r="CO226" i="3"/>
  <c r="BO250" i="3"/>
  <c r="BS250" i="3"/>
  <c r="BV250" i="3"/>
  <c r="BU250" i="3"/>
  <c r="BL274" i="3"/>
  <c r="BN274" i="3" s="1"/>
  <c r="BP274" i="3"/>
  <c r="BT274" i="3" s="1"/>
  <c r="BF298" i="3"/>
  <c r="CS298" i="3"/>
  <c r="AR298" i="3"/>
  <c r="AS298" i="3" s="1"/>
  <c r="BK298" i="3"/>
  <c r="CT298" i="3"/>
  <c r="BH298" i="3"/>
  <c r="CB346" i="3"/>
  <c r="AI346" i="3"/>
  <c r="BQ346" i="3"/>
  <c r="Y418" i="3"/>
  <c r="U418" i="3"/>
  <c r="W418" i="3" s="1"/>
  <c r="AQ442" i="3"/>
  <c r="AW442" i="3"/>
  <c r="CH442" i="3"/>
  <c r="CQ442" i="3"/>
  <c r="CI442" i="3"/>
  <c r="CP442" i="3"/>
  <c r="R442" i="3"/>
  <c r="AB442" i="3" s="1"/>
  <c r="F466" i="3" a="1"/>
  <c r="H466" i="3" a="1"/>
  <c r="I466" i="3" a="1"/>
  <c r="J466" i="3" s="1"/>
  <c r="T466" i="3" s="1"/>
  <c r="L466" i="3" a="1"/>
  <c r="M466" i="3" a="1"/>
  <c r="O466" i="3" s="1"/>
  <c r="P466" i="3" a="1"/>
  <c r="Q466" i="3" s="1"/>
  <c r="V466" i="3" s="1"/>
  <c r="AZ466" i="3" a="1"/>
  <c r="BA466" i="3" a="1"/>
  <c r="BC466" i="3" a="1"/>
  <c r="BD466" i="3" a="1"/>
  <c r="BX466" i="3" a="1"/>
  <c r="D490" i="3"/>
  <c r="CM201" i="3"/>
  <c r="BZ201" i="3"/>
  <c r="CK201" i="3"/>
  <c r="CL201" i="3"/>
  <c r="CJ201" i="3"/>
  <c r="AN201" i="3"/>
  <c r="BJ201" i="3" s="1"/>
  <c r="AM201" i="3"/>
  <c r="BI201" i="3" s="1"/>
  <c r="CA201" i="3"/>
  <c r="BW225" i="3"/>
  <c r="BY225" i="3" s="1"/>
  <c r="CO225" i="3"/>
  <c r="BO249" i="3"/>
  <c r="BS249" i="3"/>
  <c r="BV249" i="3"/>
  <c r="BU249" i="3"/>
  <c r="BL273" i="3"/>
  <c r="BN273" i="3" s="1"/>
  <c r="BP273" i="3"/>
  <c r="BT273" i="3" s="1"/>
  <c r="BF297" i="3"/>
  <c r="CS297" i="3"/>
  <c r="AR297" i="3"/>
  <c r="AS297" i="3" s="1"/>
  <c r="BK297" i="3"/>
  <c r="CT297" i="3"/>
  <c r="BH297" i="3"/>
  <c r="AK321" i="3"/>
  <c r="AJ321" i="3"/>
  <c r="BG321" i="3"/>
  <c r="AL321" i="3"/>
  <c r="CB345" i="3"/>
  <c r="AI345" i="3"/>
  <c r="BQ345" i="3"/>
  <c r="Y417" i="3"/>
  <c r="U417" i="3"/>
  <c r="W417" i="3" s="1"/>
  <c r="AQ441" i="3"/>
  <c r="AW441" i="3"/>
  <c r="CH441" i="3"/>
  <c r="CQ441" i="3"/>
  <c r="CI441" i="3"/>
  <c r="CP441" i="3"/>
  <c r="R441" i="3"/>
  <c r="AB441" i="3" s="1"/>
  <c r="F465" i="3" a="1"/>
  <c r="H465" i="3" a="1"/>
  <c r="I465" i="3" a="1"/>
  <c r="J465" i="3" s="1"/>
  <c r="T465" i="3" s="1"/>
  <c r="L465" i="3" a="1"/>
  <c r="M465" i="3" a="1"/>
  <c r="O465" i="3" s="1"/>
  <c r="P465" i="3" a="1"/>
  <c r="Q465" i="3" s="1"/>
  <c r="V465" i="3" s="1"/>
  <c r="AZ465" i="3" a="1"/>
  <c r="BA465" i="3" a="1"/>
  <c r="BC465" i="3" a="1"/>
  <c r="BD465" i="3" a="1"/>
  <c r="BX465" i="3" a="1"/>
  <c r="D489" i="3"/>
  <c r="CM200" i="3"/>
  <c r="BZ200" i="3"/>
  <c r="CK200" i="3"/>
  <c r="CL200" i="3"/>
  <c r="CJ200" i="3"/>
  <c r="AN200" i="3"/>
  <c r="BJ200" i="3" s="1"/>
  <c r="AM200" i="3"/>
  <c r="BI200" i="3" s="1"/>
  <c r="CA200" i="3"/>
  <c r="BW224" i="3"/>
  <c r="BY224" i="3" s="1"/>
  <c r="CO224" i="3"/>
  <c r="BO248" i="3"/>
  <c r="BS248" i="3"/>
  <c r="BV248" i="3"/>
  <c r="BU248" i="3"/>
  <c r="BL272" i="3"/>
  <c r="BN272" i="3" s="1"/>
  <c r="BP272" i="3"/>
  <c r="BT272" i="3" s="1"/>
  <c r="BF296" i="3"/>
  <c r="CS296" i="3"/>
  <c r="AR296" i="3"/>
  <c r="AS296" i="3" s="1"/>
  <c r="BK296" i="3"/>
  <c r="CT296" i="3"/>
  <c r="BH296" i="3"/>
  <c r="AK320" i="3"/>
  <c r="AJ320" i="3"/>
  <c r="BG320" i="3"/>
  <c r="AL320" i="3"/>
  <c r="CB344" i="3"/>
  <c r="AI344" i="3"/>
  <c r="BQ344" i="3"/>
  <c r="Y416" i="3"/>
  <c r="U416" i="3"/>
  <c r="W416" i="3" s="1"/>
  <c r="AQ440" i="3"/>
  <c r="AW440" i="3"/>
  <c r="CH440" i="3"/>
  <c r="CQ440" i="3"/>
  <c r="CI440" i="3"/>
  <c r="CP440" i="3"/>
  <c r="R440" i="3"/>
  <c r="AB440" i="3" s="1"/>
  <c r="F464" i="3" a="1"/>
  <c r="H464" i="3" a="1"/>
  <c r="I464" i="3" a="1"/>
  <c r="J464" i="3" s="1"/>
  <c r="T464" i="3" s="1"/>
  <c r="L464" i="3" a="1"/>
  <c r="M464" i="3" a="1"/>
  <c r="O464" i="3" s="1"/>
  <c r="P464" i="3" a="1"/>
  <c r="Q464" i="3" s="1"/>
  <c r="V464" i="3" s="1"/>
  <c r="AZ464" i="3" a="1"/>
  <c r="BA464" i="3" a="1"/>
  <c r="BC464" i="3" a="1"/>
  <c r="BD464" i="3" a="1"/>
  <c r="BX464" i="3" a="1"/>
  <c r="D488" i="3"/>
  <c r="CM199" i="3"/>
  <c r="BZ199" i="3"/>
  <c r="CK199" i="3"/>
  <c r="CL199" i="3"/>
  <c r="CJ199" i="3"/>
  <c r="AN199" i="3"/>
  <c r="BJ199" i="3" s="1"/>
  <c r="AM199" i="3"/>
  <c r="BI199" i="3" s="1"/>
  <c r="CA199" i="3"/>
  <c r="BW223" i="3"/>
  <c r="BY223" i="3" s="1"/>
  <c r="CO223" i="3"/>
  <c r="BO247" i="3"/>
  <c r="BS247" i="3"/>
  <c r="BV247" i="3"/>
  <c r="BU247" i="3"/>
  <c r="BL271" i="3"/>
  <c r="BN271" i="3" s="1"/>
  <c r="BP271" i="3"/>
  <c r="BT271" i="3" s="1"/>
  <c r="BF295" i="3"/>
  <c r="CS295" i="3"/>
  <c r="AR295" i="3"/>
  <c r="AS295" i="3" s="1"/>
  <c r="BK295" i="3"/>
  <c r="CT295" i="3"/>
  <c r="BH295" i="3"/>
  <c r="AK319" i="3"/>
  <c r="AJ319" i="3"/>
  <c r="BG319" i="3"/>
  <c r="AL319" i="3"/>
  <c r="CB343" i="3"/>
  <c r="AI343" i="3"/>
  <c r="BQ343" i="3"/>
  <c r="Y415" i="3"/>
  <c r="U415" i="3"/>
  <c r="W415" i="3" s="1"/>
  <c r="CI439" i="3"/>
  <c r="CP439" i="3"/>
  <c r="F463" i="3" a="1"/>
  <c r="H463" i="3" a="1"/>
  <c r="I463" i="3" a="1"/>
  <c r="J463" i="3" s="1"/>
  <c r="T463" i="3" s="1"/>
  <c r="L463" i="3" a="1"/>
  <c r="M463" i="3" a="1"/>
  <c r="O463" i="3" s="1"/>
  <c r="P463" i="3" a="1"/>
  <c r="Q463" i="3" s="1"/>
  <c r="V463" i="3" s="1"/>
  <c r="AZ463" i="3" a="1"/>
  <c r="BA463" i="3" a="1"/>
  <c r="BC463" i="3" a="1"/>
  <c r="BD463" i="3" a="1"/>
  <c r="BX463" i="3" a="1"/>
  <c r="D487" i="3"/>
  <c r="AQ439" i="3"/>
  <c r="AW439" i="3"/>
  <c r="CH439" i="3"/>
  <c r="CQ439" i="3"/>
  <c r="R439" i="3"/>
  <c r="AB439" i="3" s="1"/>
  <c r="CM198" i="3"/>
  <c r="BZ198" i="3"/>
  <c r="CK198" i="3"/>
  <c r="CL198" i="3"/>
  <c r="CJ198" i="3"/>
  <c r="AN198" i="3"/>
  <c r="BJ198" i="3" s="1"/>
  <c r="CA198" i="3"/>
  <c r="AM198" i="3"/>
  <c r="BI198" i="3" s="1"/>
  <c r="BW222" i="3"/>
  <c r="BY222" i="3" s="1"/>
  <c r="CO222" i="3"/>
  <c r="BO246" i="3"/>
  <c r="BS246" i="3"/>
  <c r="BV246" i="3"/>
  <c r="BU246" i="3"/>
  <c r="BL270" i="3"/>
  <c r="BN270" i="3" s="1"/>
  <c r="BP270" i="3"/>
  <c r="BT270" i="3" s="1"/>
  <c r="BF294" i="3"/>
  <c r="CS294" i="3"/>
  <c r="AR294" i="3"/>
  <c r="AS294" i="3" s="1"/>
  <c r="BK294" i="3"/>
  <c r="CT294" i="3"/>
  <c r="BH294" i="3"/>
  <c r="AK318" i="3"/>
  <c r="AJ318" i="3"/>
  <c r="BG318" i="3"/>
  <c r="AL318" i="3"/>
  <c r="CB342" i="3"/>
  <c r="BQ342" i="3"/>
  <c r="AI342" i="3"/>
  <c r="Y414" i="3"/>
  <c r="U414" i="3"/>
  <c r="W414" i="3" s="1"/>
  <c r="AQ438" i="3"/>
  <c r="AW438" i="3"/>
  <c r="CH438" i="3"/>
  <c r="CQ438" i="3"/>
  <c r="CI438" i="3"/>
  <c r="CP438" i="3"/>
  <c r="R438" i="3"/>
  <c r="AB438" i="3" s="1"/>
  <c r="F462" i="3" a="1"/>
  <c r="H462" i="3" a="1"/>
  <c r="I462" i="3" a="1"/>
  <c r="J462" i="3" s="1"/>
  <c r="T462" i="3" s="1"/>
  <c r="L462" i="3" a="1"/>
  <c r="M462" i="3" a="1"/>
  <c r="O462" i="3" s="1"/>
  <c r="P462" i="3" a="1"/>
  <c r="Q462" i="3" s="1"/>
  <c r="V462" i="3" s="1"/>
  <c r="AZ462" i="3" a="1"/>
  <c r="BA462" i="3" a="1"/>
  <c r="BC462" i="3" a="1"/>
  <c r="BD462" i="3" a="1"/>
  <c r="BX462" i="3" a="1"/>
  <c r="D486" i="3"/>
  <c r="CM197" i="3"/>
  <c r="CL197" i="3"/>
  <c r="BZ197" i="3"/>
  <c r="CK197" i="3"/>
  <c r="CJ197" i="3"/>
  <c r="AN197" i="3"/>
  <c r="BJ197" i="3" s="1"/>
  <c r="AM197" i="3"/>
  <c r="BI197" i="3" s="1"/>
  <c r="CA197" i="3"/>
  <c r="BW221" i="3"/>
  <c r="BY221" i="3" s="1"/>
  <c r="CO221" i="3"/>
  <c r="BV245" i="3"/>
  <c r="BU245" i="3"/>
  <c r="BL269" i="3"/>
  <c r="BN269" i="3" s="1"/>
  <c r="BP269" i="3"/>
  <c r="BT269" i="3" s="1"/>
  <c r="BF293" i="3"/>
  <c r="CS293" i="3"/>
  <c r="AR293" i="3"/>
  <c r="AS293" i="3" s="1"/>
  <c r="BK293" i="3"/>
  <c r="CT293" i="3"/>
  <c r="BH293" i="3"/>
  <c r="AK317" i="3"/>
  <c r="AJ317" i="3"/>
  <c r="BG317" i="3"/>
  <c r="AL317" i="3"/>
  <c r="CB341" i="3"/>
  <c r="BQ341" i="3"/>
  <c r="AI341" i="3"/>
  <c r="Y413" i="3"/>
  <c r="U413" i="3"/>
  <c r="W413" i="3" s="1"/>
  <c r="AQ437" i="3"/>
  <c r="AW437" i="3"/>
  <c r="CH437" i="3"/>
  <c r="CQ437" i="3"/>
  <c r="R437" i="3"/>
  <c r="AB437" i="3" s="1"/>
  <c r="CI437" i="3"/>
  <c r="CP437" i="3"/>
  <c r="F461" i="3" a="1"/>
  <c r="H461" i="3" a="1"/>
  <c r="I461" i="3" a="1"/>
  <c r="J461" i="3" s="1"/>
  <c r="T461" i="3" s="1"/>
  <c r="L461" i="3" a="1"/>
  <c r="M461" i="3" a="1"/>
  <c r="O461" i="3" s="1"/>
  <c r="P461" i="3" a="1"/>
  <c r="Q461" i="3" s="1"/>
  <c r="V461" i="3" s="1"/>
  <c r="AZ461" i="3" a="1"/>
  <c r="BA461" i="3" a="1"/>
  <c r="BC461" i="3" a="1"/>
  <c r="BD461" i="3" a="1"/>
  <c r="BX461" i="3" a="1"/>
  <c r="D485" i="3"/>
  <c r="CM196" i="3"/>
  <c r="CL196" i="3"/>
  <c r="BZ196" i="3"/>
  <c r="CK196" i="3"/>
  <c r="CJ196" i="3"/>
  <c r="AN196" i="3"/>
  <c r="BJ196" i="3" s="1"/>
  <c r="AM196" i="3"/>
  <c r="BI196" i="3" s="1"/>
  <c r="CA196" i="3"/>
  <c r="BW220" i="3"/>
  <c r="BY220" i="3" s="1"/>
  <c r="CO220" i="3"/>
  <c r="BO244" i="3"/>
  <c r="BS244" i="3"/>
  <c r="BV244" i="3"/>
  <c r="BU244" i="3"/>
  <c r="BL268" i="3"/>
  <c r="BN268" i="3" s="1"/>
  <c r="BP268" i="3"/>
  <c r="BT268" i="3" s="1"/>
  <c r="BF292" i="3"/>
  <c r="CS292" i="3"/>
  <c r="AR292" i="3"/>
  <c r="AS292" i="3" s="1"/>
  <c r="BK292" i="3"/>
  <c r="CT292" i="3"/>
  <c r="BH292" i="3"/>
  <c r="CB340" i="3"/>
  <c r="BQ340" i="3"/>
  <c r="AI340" i="3"/>
  <c r="Y412" i="3"/>
  <c r="U412" i="3"/>
  <c r="W412" i="3" s="1"/>
  <c r="AQ436" i="3"/>
  <c r="AW436" i="3"/>
  <c r="CH436" i="3"/>
  <c r="CQ436" i="3"/>
  <c r="CP436" i="3"/>
  <c r="CI436" i="3"/>
  <c r="F460" i="3" a="1"/>
  <c r="H460" i="3" a="1"/>
  <c r="I460" i="3" a="1"/>
  <c r="J460" i="3" s="1"/>
  <c r="T460" i="3" s="1"/>
  <c r="L460" i="3" a="1"/>
  <c r="M460" i="3" a="1"/>
  <c r="O460" i="3" s="1"/>
  <c r="P460" i="3" a="1"/>
  <c r="Q460" i="3" s="1"/>
  <c r="V460" i="3" s="1"/>
  <c r="AZ460" i="3" a="1"/>
  <c r="BA460" i="3" a="1"/>
  <c r="BC460" i="3" a="1"/>
  <c r="BD460" i="3" a="1"/>
  <c r="BX460" i="3" a="1"/>
  <c r="D484" i="3"/>
  <c r="R436" i="3"/>
  <c r="AB436" i="3" s="1"/>
  <c r="CM195" i="3"/>
  <c r="CL195" i="3"/>
  <c r="BZ195" i="3"/>
  <c r="CK195" i="3"/>
  <c r="CJ195" i="3"/>
  <c r="AN195" i="3"/>
  <c r="BJ195" i="3" s="1"/>
  <c r="CA195" i="3"/>
  <c r="AM195" i="3"/>
  <c r="BI195" i="3" s="1"/>
  <c r="BW219" i="3"/>
  <c r="BY219" i="3" s="1"/>
  <c r="CO219" i="3"/>
  <c r="BO243" i="3"/>
  <c r="BS243" i="3"/>
  <c r="BV243" i="3"/>
  <c r="BU243" i="3"/>
  <c r="BL267" i="3"/>
  <c r="BN267" i="3" s="1"/>
  <c r="BP267" i="3"/>
  <c r="BT267" i="3" s="1"/>
  <c r="AK315" i="3"/>
  <c r="AJ315" i="3"/>
  <c r="BG315" i="3"/>
  <c r="AL315" i="3"/>
  <c r="Y411" i="3"/>
  <c r="U411" i="3"/>
  <c r="W411" i="3" s="1"/>
  <c r="AQ435" i="3"/>
  <c r="AW435" i="3"/>
  <c r="CQ435" i="3"/>
  <c r="CH435" i="3"/>
  <c r="CI435" i="3"/>
  <c r="CP435" i="3"/>
  <c r="F459" i="3" a="1"/>
  <c r="H459" i="3" a="1"/>
  <c r="I459" i="3" a="1"/>
  <c r="J459" i="3" s="1"/>
  <c r="T459" i="3" s="1"/>
  <c r="L459" i="3" a="1"/>
  <c r="M459" i="3" a="1"/>
  <c r="O459" i="3" s="1"/>
  <c r="P459" i="3" a="1"/>
  <c r="Q459" i="3" s="1"/>
  <c r="V459" i="3" s="1"/>
  <c r="AZ459" i="3" a="1"/>
  <c r="BA459" i="3" a="1"/>
  <c r="BC459" i="3" a="1"/>
  <c r="BD459" i="3" a="1"/>
  <c r="BX459" i="3" a="1"/>
  <c r="D483" i="3"/>
  <c r="R435" i="3"/>
  <c r="AB435" i="3" s="1"/>
  <c r="CM194" i="3"/>
  <c r="CK194" i="3"/>
  <c r="BZ194" i="3"/>
  <c r="CL194" i="3"/>
  <c r="CJ194" i="3"/>
  <c r="AN194" i="3"/>
  <c r="BJ194" i="3" s="1"/>
  <c r="AM194" i="3"/>
  <c r="BI194" i="3" s="1"/>
  <c r="CA194" i="3"/>
  <c r="BW218" i="3"/>
  <c r="BY218" i="3" s="1"/>
  <c r="CO218" i="3"/>
  <c r="BO242" i="3"/>
  <c r="BS242" i="3"/>
  <c r="BV242" i="3"/>
  <c r="BU242" i="3"/>
  <c r="BL266" i="3"/>
  <c r="BN266" i="3" s="1"/>
  <c r="BP266" i="3"/>
  <c r="BT266" i="3" s="1"/>
  <c r="BF290" i="3"/>
  <c r="CS290" i="3"/>
  <c r="AR290" i="3"/>
  <c r="AS290" i="3" s="1"/>
  <c r="BK290" i="3"/>
  <c r="CT290" i="3"/>
  <c r="BH290" i="3"/>
  <c r="AK314" i="3"/>
  <c r="AJ314" i="3"/>
  <c r="BG314" i="3"/>
  <c r="AL314" i="3"/>
  <c r="CB338" i="3"/>
  <c r="BQ338" i="3"/>
  <c r="AI338" i="3"/>
  <c r="Y410" i="3"/>
  <c r="U410" i="3"/>
  <c r="W410" i="3" s="1"/>
  <c r="AQ434" i="3"/>
  <c r="AW434" i="3"/>
  <c r="CH434" i="3"/>
  <c r="CQ434" i="3"/>
  <c r="CI434" i="3"/>
  <c r="CP434" i="3"/>
  <c r="R434" i="3"/>
  <c r="AB434" i="3" s="1"/>
  <c r="F458" i="3" a="1"/>
  <c r="H458" i="3" a="1"/>
  <c r="I458" i="3" a="1"/>
  <c r="J458" i="3" s="1"/>
  <c r="T458" i="3" s="1"/>
  <c r="L458" i="3" a="1"/>
  <c r="M458" i="3" a="1"/>
  <c r="O458" i="3" s="1"/>
  <c r="P458" i="3" a="1"/>
  <c r="Q458" i="3" s="1"/>
  <c r="V458" i="3" s="1"/>
  <c r="AZ458" i="3" a="1"/>
  <c r="BA458" i="3" a="1"/>
  <c r="BC458" i="3" a="1"/>
  <c r="BD458" i="3" a="1"/>
  <c r="BX458" i="3" a="1"/>
  <c r="D482" i="3"/>
  <c r="BW217" i="3"/>
  <c r="BY217" i="3" s="1"/>
  <c r="CO217" i="3"/>
  <c r="BO241" i="3"/>
  <c r="BS241" i="3"/>
  <c r="BV241" i="3"/>
  <c r="BU241" i="3"/>
  <c r="BF289" i="3"/>
  <c r="CS289" i="3"/>
  <c r="AR289" i="3"/>
  <c r="AS289" i="3" s="1"/>
  <c r="BK289" i="3"/>
  <c r="CT289" i="3"/>
  <c r="BH289" i="3"/>
  <c r="AK313" i="3"/>
  <c r="AJ313" i="3"/>
  <c r="BG313" i="3"/>
  <c r="AL313" i="3"/>
  <c r="CB337" i="3"/>
  <c r="BQ337" i="3"/>
  <c r="AI337" i="3"/>
  <c r="Y409" i="3"/>
  <c r="U409" i="3"/>
  <c r="W409" i="3" s="1"/>
  <c r="AQ433" i="3"/>
  <c r="AW433" i="3"/>
  <c r="CH433" i="3"/>
  <c r="CQ433" i="3"/>
  <c r="CI433" i="3"/>
  <c r="CP433" i="3"/>
  <c r="R433" i="3"/>
  <c r="AB433" i="3" s="1"/>
  <c r="F457" i="3" a="1"/>
  <c r="H457" i="3" a="1"/>
  <c r="I457" i="3" a="1"/>
  <c r="J457" i="3" s="1"/>
  <c r="T457" i="3" s="1"/>
  <c r="L457" i="3" a="1"/>
  <c r="M457" i="3" a="1"/>
  <c r="O457" i="3" s="1"/>
  <c r="P457" i="3" a="1"/>
  <c r="Q457" i="3" s="1"/>
  <c r="V457" i="3" s="1"/>
  <c r="AZ457" i="3" a="1"/>
  <c r="BA457" i="3" a="1"/>
  <c r="BC457" i="3" a="1"/>
  <c r="BD457" i="3" a="1"/>
  <c r="BX457" i="3" a="1"/>
  <c r="D481" i="3"/>
  <c r="CM193" i="3"/>
  <c r="BZ193" i="3"/>
  <c r="CK193" i="3"/>
  <c r="CL193" i="3"/>
  <c r="CJ193" i="3"/>
  <c r="AN193" i="3"/>
  <c r="BJ193" i="3" s="1"/>
  <c r="CA193" i="3"/>
  <c r="AM193" i="3"/>
  <c r="BI193" i="3" s="1"/>
  <c r="CM192" i="3"/>
  <c r="BZ192" i="3"/>
  <c r="CK192" i="3"/>
  <c r="CL192" i="3"/>
  <c r="CJ192" i="3"/>
  <c r="AN192" i="3"/>
  <c r="BJ192" i="3" s="1"/>
  <c r="CA192" i="3"/>
  <c r="AM192" i="3"/>
  <c r="BI192" i="3" s="1"/>
  <c r="BW216" i="3"/>
  <c r="BY216" i="3" s="1"/>
  <c r="CO216" i="3"/>
  <c r="BO240" i="3"/>
  <c r="BS240" i="3"/>
  <c r="BV240" i="3"/>
  <c r="BU240" i="3"/>
  <c r="BF288" i="3"/>
  <c r="CS288" i="3"/>
  <c r="AR288" i="3"/>
  <c r="AS288" i="3" s="1"/>
  <c r="BK288" i="3"/>
  <c r="CT288" i="3"/>
  <c r="BH288" i="3"/>
  <c r="AK312" i="3"/>
  <c r="AJ312" i="3"/>
  <c r="BG312" i="3"/>
  <c r="AL312" i="3"/>
  <c r="CB336" i="3"/>
  <c r="BQ336" i="3"/>
  <c r="AI336" i="3"/>
  <c r="Y408" i="3"/>
  <c r="U408" i="3"/>
  <c r="W408" i="3" s="1"/>
  <c r="AQ432" i="3"/>
  <c r="AW432" i="3"/>
  <c r="CH432" i="3"/>
  <c r="CQ432" i="3"/>
  <c r="CI432" i="3"/>
  <c r="CP432" i="3"/>
  <c r="R432" i="3"/>
  <c r="AB432" i="3" s="1"/>
  <c r="F456" i="3" a="1"/>
  <c r="H456" i="3" a="1"/>
  <c r="I456" i="3" a="1"/>
  <c r="J456" i="3" s="1"/>
  <c r="T456" i="3" s="1"/>
  <c r="L456" i="3" a="1"/>
  <c r="M456" i="3" a="1"/>
  <c r="O456" i="3" s="1"/>
  <c r="P456" i="3" a="1"/>
  <c r="Q456" i="3" s="1"/>
  <c r="V456" i="3" s="1"/>
  <c r="AZ456" i="3" a="1"/>
  <c r="BA456" i="3" a="1"/>
  <c r="BC456" i="3" a="1"/>
  <c r="BD456" i="3" a="1"/>
  <c r="BX456" i="3" a="1"/>
  <c r="D480" i="3"/>
  <c r="CM21" i="3"/>
  <c r="CK21" i="3"/>
  <c r="BZ21" i="3"/>
  <c r="CL21" i="3"/>
  <c r="CJ21" i="3"/>
  <c r="AN21" i="3"/>
  <c r="Z16" i="19"/>
  <c r="W16" i="19"/>
  <c r="AM16" i="19"/>
  <c r="AA16" i="19"/>
  <c r="AD16" i="19"/>
  <c r="Q16" i="19"/>
  <c r="R16" i="19"/>
  <c r="AB16" i="19"/>
  <c r="AE16" i="19"/>
  <c r="P16" i="19"/>
  <c r="S16" i="19"/>
  <c r="X16" i="19"/>
  <c r="Y16" i="19"/>
  <c r="AC16" i="19"/>
  <c r="CA21" i="3"/>
  <c r="AM21" i="3"/>
  <c r="CA110" i="3"/>
  <c r="AM110" i="3"/>
  <c r="BI110" i="3" s="1"/>
  <c r="AN110" i="3"/>
  <c r="CJ110" i="3"/>
  <c r="CL110" i="3"/>
  <c r="CK110" i="3"/>
  <c r="BZ110" i="3"/>
  <c r="CM110" i="3"/>
  <c r="BY111" i="3"/>
  <c r="CO111" i="3"/>
  <c r="CB111" i="3"/>
  <c r="BX112" i="3" a="1"/>
  <c r="AB199" i="4"/>
  <c r="AA199" i="4" s="1"/>
  <c r="H200" i="4"/>
  <c r="CE476" i="3" a="1"/>
  <c r="B476" i="3" a="1"/>
  <c r="W321" i="4"/>
  <c r="C35" i="13"/>
  <c r="C61" i="13"/>
  <c r="C89" i="13"/>
  <c r="C34" i="19"/>
  <c r="B36" i="13"/>
  <c r="B62" i="13"/>
  <c r="B90" i="13"/>
  <c r="B35" i="19"/>
  <c r="Z34" i="13"/>
  <c r="Z60" i="13" s="1"/>
  <c r="E60" i="13"/>
  <c r="H60" i="21"/>
  <c r="BW70" i="3"/>
  <c r="CO70" i="3"/>
  <c r="CM191" i="3"/>
  <c r="BZ191" i="3"/>
  <c r="CK191" i="3"/>
  <c r="CL191" i="3"/>
  <c r="CJ191" i="3"/>
  <c r="AN191" i="3"/>
  <c r="BJ191" i="3" s="1"/>
  <c r="AM191" i="3"/>
  <c r="BI191" i="3" s="1"/>
  <c r="CA191" i="3"/>
  <c r="CM190" i="3"/>
  <c r="CL190" i="3"/>
  <c r="BZ190" i="3"/>
  <c r="CK190" i="3"/>
  <c r="CJ190" i="3"/>
  <c r="AN190" i="3"/>
  <c r="BJ190" i="3" s="1"/>
  <c r="CA190" i="3"/>
  <c r="AM190" i="3"/>
  <c r="BI190" i="3" s="1"/>
  <c r="BJ117" i="3"/>
  <c r="AK20" i="19" s="1"/>
  <c r="N47" i="13" s="1"/>
  <c r="AC47" i="13" s="1"/>
  <c r="U20" i="19"/>
  <c r="H47" i="13" s="1"/>
  <c r="AG47" i="13" s="1"/>
  <c r="BW215" i="3"/>
  <c r="BY215" i="3" s="1"/>
  <c r="CO215" i="3"/>
  <c r="BW214" i="3"/>
  <c r="BY214" i="3" s="1"/>
  <c r="CO214" i="3"/>
  <c r="BJ94" i="3"/>
  <c r="CO189" i="3"/>
  <c r="BW189" i="3"/>
  <c r="BY189" i="3" s="1"/>
  <c r="BV239" i="3"/>
  <c r="BU239" i="3"/>
  <c r="BO239" i="3"/>
  <c r="BS239" i="3"/>
  <c r="BV238" i="3"/>
  <c r="BU238" i="3"/>
  <c r="BO238" i="3"/>
  <c r="BS238" i="3"/>
  <c r="CM141" i="3"/>
  <c r="BZ141" i="3"/>
  <c r="M21" i="19" s="1"/>
  <c r="G22" i="13" s="1"/>
  <c r="X22" i="13" s="1"/>
  <c r="CK141" i="3"/>
  <c r="CL141" i="3"/>
  <c r="CJ141" i="3"/>
  <c r="AN141" i="3"/>
  <c r="AE21" i="19"/>
  <c r="T22" i="13" s="1"/>
  <c r="AN22" i="13" s="1"/>
  <c r="W21" i="19"/>
  <c r="S21" i="19"/>
  <c r="I22" i="13" s="1"/>
  <c r="AB22" i="13" s="1"/>
  <c r="R21" i="19"/>
  <c r="K22" i="13" s="1"/>
  <c r="AD22" i="13" s="1"/>
  <c r="Q21" i="19"/>
  <c r="J22" i="13" s="1"/>
  <c r="AC22" i="13" s="1"/>
  <c r="AM21" i="19"/>
  <c r="P48" i="13" s="1"/>
  <c r="AE48" i="13" s="1"/>
  <c r="AK48" i="13" s="1"/>
  <c r="T21" i="19"/>
  <c r="G48" i="13" s="1"/>
  <c r="AF48" i="13" s="1"/>
  <c r="AJ21" i="19"/>
  <c r="M48" i="13" s="1"/>
  <c r="AB48" i="13" s="1"/>
  <c r="AP48" i="13" s="1"/>
  <c r="X21" i="19"/>
  <c r="M22" i="13" s="1"/>
  <c r="AF22" i="13" s="1"/>
  <c r="Y21" i="19"/>
  <c r="N22" i="13" s="1"/>
  <c r="AG22" i="13" s="1"/>
  <c r="P21" i="19"/>
  <c r="F22" i="13" s="1"/>
  <c r="AD21" i="19"/>
  <c r="U22" i="13" s="1"/>
  <c r="AO22" i="13" s="1"/>
  <c r="AA21" i="19"/>
  <c r="P22" i="13" s="1"/>
  <c r="AI22" i="13" s="1"/>
  <c r="Z21" i="19"/>
  <c r="O22" i="13" s="1"/>
  <c r="AH22" i="13" s="1"/>
  <c r="AC21" i="19"/>
  <c r="R22" i="13" s="1"/>
  <c r="AK22" i="13" s="1"/>
  <c r="AB21" i="19"/>
  <c r="Q22" i="13" s="1"/>
  <c r="AJ22" i="13" s="1"/>
  <c r="CA141" i="3"/>
  <c r="N21" i="19" s="1"/>
  <c r="H22" i="13" s="1"/>
  <c r="Y22" i="13" s="1"/>
  <c r="AM141" i="3"/>
  <c r="BI141" i="3" s="1"/>
  <c r="BV213" i="3"/>
  <c r="BU213" i="3"/>
  <c r="BO213" i="3"/>
  <c r="BS213" i="3"/>
  <c r="BP262" i="3"/>
  <c r="BT262" i="3" s="1"/>
  <c r="BL262" i="3"/>
  <c r="BN262" i="3" s="1"/>
  <c r="AS165" i="3"/>
  <c r="BP165" i="3"/>
  <c r="BL165" i="3"/>
  <c r="BF261" i="3"/>
  <c r="CS261" i="3"/>
  <c r="AR261" i="3"/>
  <c r="AS261" i="3" s="1"/>
  <c r="BK261" i="3"/>
  <c r="CT261" i="3"/>
  <c r="BH261" i="3"/>
  <c r="AK310" i="3"/>
  <c r="AJ310" i="3"/>
  <c r="BG310" i="3"/>
  <c r="AL310" i="3"/>
  <c r="AK285" i="3"/>
  <c r="AJ285" i="3"/>
  <c r="BG285" i="3"/>
  <c r="AL285" i="3"/>
  <c r="CB335" i="3"/>
  <c r="AI335" i="3"/>
  <c r="BQ335" i="3"/>
  <c r="CB334" i="3"/>
  <c r="AI334" i="3"/>
  <c r="BQ334" i="3"/>
  <c r="CB309" i="3"/>
  <c r="AI309" i="3"/>
  <c r="BQ309" i="3"/>
  <c r="BG291" i="3"/>
  <c r="AK291" i="3"/>
  <c r="AJ291" i="3"/>
  <c r="AL291" i="3"/>
  <c r="CB332" i="3"/>
  <c r="AI332" i="3"/>
  <c r="BQ332" i="3"/>
  <c r="BF237" i="3"/>
  <c r="CS237" i="3"/>
  <c r="AR237" i="3"/>
  <c r="BK237" i="3"/>
  <c r="CT237" i="3"/>
  <c r="BH237" i="3"/>
  <c r="AF347" i="3"/>
  <c r="AG347" i="3" s="1"/>
  <c r="AH347" i="3" s="1"/>
  <c r="Y407" i="3"/>
  <c r="U407" i="3"/>
  <c r="W407" i="3" s="1"/>
  <c r="Y406" i="3"/>
  <c r="U406" i="3"/>
  <c r="W406" i="3" s="1"/>
  <c r="Y381" i="3"/>
  <c r="U381" i="3"/>
  <c r="W381" i="3" s="1"/>
  <c r="CP431" i="3"/>
  <c r="CI431" i="3"/>
  <c r="CQ431" i="3"/>
  <c r="CH431" i="3"/>
  <c r="AW431" i="3"/>
  <c r="AQ431" i="3"/>
  <c r="R431" i="3"/>
  <c r="AB431" i="3" s="1"/>
  <c r="CQ430" i="3"/>
  <c r="CH430" i="3"/>
  <c r="AW430" i="3"/>
  <c r="AQ430" i="3"/>
  <c r="CP430" i="3"/>
  <c r="CI430" i="3"/>
  <c r="R430" i="3"/>
  <c r="AB430" i="3" s="1"/>
  <c r="CP429" i="3"/>
  <c r="CI429" i="3"/>
  <c r="CQ429" i="3"/>
  <c r="CH429" i="3"/>
  <c r="AW429" i="3"/>
  <c r="AQ429" i="3"/>
  <c r="R405" i="3"/>
  <c r="AB405" i="3" s="1"/>
  <c r="J32" i="19"/>
  <c r="H87" i="13" s="1"/>
  <c r="H32" i="19"/>
  <c r="F87" i="13" s="1"/>
  <c r="T405" i="3"/>
  <c r="L32" i="19"/>
  <c r="J87" i="13" s="1"/>
  <c r="V405" i="3"/>
  <c r="AL32" i="19"/>
  <c r="O59" i="13" s="1"/>
  <c r="AD59" i="13" s="1"/>
  <c r="M20" i="19"/>
  <c r="G21" i="13" s="1"/>
  <c r="X21" i="13" s="1"/>
  <c r="N20" i="19"/>
  <c r="H21" i="13" s="1"/>
  <c r="Y21" i="13" s="1"/>
  <c r="AF32" i="19"/>
  <c r="Z357" i="3"/>
  <c r="AC357" i="3" s="1"/>
  <c r="AD357" i="3" s="1"/>
  <c r="H63" i="21"/>
  <c r="Z17" i="19"/>
  <c r="O18" i="13" s="1"/>
  <c r="AH18" i="13" s="1"/>
  <c r="K29" i="19"/>
  <c r="I84" i="13" s="1"/>
  <c r="Y17" i="19"/>
  <c r="N18" i="13" s="1"/>
  <c r="AG18" i="13" s="1"/>
  <c r="H28" i="19"/>
  <c r="F83" i="13" s="1"/>
  <c r="H80" i="21"/>
  <c r="H62" i="21"/>
  <c r="H64" i="21"/>
  <c r="AL29" i="19"/>
  <c r="O56" i="13" s="1"/>
  <c r="AD56" i="13" s="1"/>
  <c r="AF29" i="19"/>
  <c r="R17" i="19"/>
  <c r="K18" i="13" s="1"/>
  <c r="AD18" i="13" s="1"/>
  <c r="J28" i="19"/>
  <c r="H83" i="13" s="1"/>
  <c r="AD17" i="19"/>
  <c r="U18" i="13" s="1"/>
  <c r="AO18" i="13" s="1"/>
  <c r="H79" i="21"/>
  <c r="AA17" i="19"/>
  <c r="P18" i="13" s="1"/>
  <c r="AI18" i="13" s="1"/>
  <c r="H81" i="21"/>
  <c r="P17" i="19"/>
  <c r="F18" i="13" s="1"/>
  <c r="M17" i="19"/>
  <c r="G18" i="13" s="1"/>
  <c r="X18" i="13" s="1"/>
  <c r="AC17" i="19"/>
  <c r="R18" i="13" s="1"/>
  <c r="AK18" i="13" s="1"/>
  <c r="N17" i="19"/>
  <c r="H18" i="13" s="1"/>
  <c r="Y18" i="13" s="1"/>
  <c r="H61" i="21"/>
  <c r="O30" i="19"/>
  <c r="E31" i="13" s="1"/>
  <c r="W17" i="19"/>
  <c r="AZ455" i="3" a="1"/>
  <c r="BC455" i="3" a="1"/>
  <c r="BD455" i="3" a="1"/>
  <c r="BX455" i="3" a="1"/>
  <c r="I455" i="3" a="1"/>
  <c r="J455" i="3" s="1"/>
  <c r="T455" i="3" s="1"/>
  <c r="H455" i="3" a="1"/>
  <c r="BA455" i="3" a="1"/>
  <c r="L455" i="3" a="1"/>
  <c r="M455" i="3" a="1"/>
  <c r="O455" i="3" s="1"/>
  <c r="P455" i="3" a="1"/>
  <c r="Q455" i="3" s="1"/>
  <c r="V455" i="3" s="1"/>
  <c r="X17" i="19"/>
  <c r="M18" i="13" s="1"/>
  <c r="AF18" i="13" s="1"/>
  <c r="AB17" i="19"/>
  <c r="Q18" i="13" s="1"/>
  <c r="AJ18" i="13" s="1"/>
  <c r="S17" i="19"/>
  <c r="I18" i="13" s="1"/>
  <c r="AB18" i="13" s="1"/>
  <c r="G29" i="19"/>
  <c r="E84" i="13" s="1"/>
  <c r="AM17" i="19"/>
  <c r="P44" i="13" s="1"/>
  <c r="AE44" i="13" s="1"/>
  <c r="AK44" i="13" s="1"/>
  <c r="Q17" i="19"/>
  <c r="J18" i="13" s="1"/>
  <c r="AC18" i="13" s="1"/>
  <c r="I29" i="19"/>
  <c r="G84" i="13" s="1"/>
  <c r="M454" i="3" a="1"/>
  <c r="O454" i="3" s="1"/>
  <c r="P454" i="3" a="1"/>
  <c r="Q454" i="3" s="1"/>
  <c r="V454" i="3" s="1"/>
  <c r="AZ454" i="3" a="1"/>
  <c r="BA454" i="3" a="1"/>
  <c r="BC454" i="3" a="1"/>
  <c r="BD454" i="3" a="1"/>
  <c r="BX454" i="3" a="1"/>
  <c r="H454" i="3" a="1"/>
  <c r="I454" i="3" a="1"/>
  <c r="J454" i="3" s="1"/>
  <c r="T454" i="3" s="1"/>
  <c r="L454" i="3" a="1"/>
  <c r="BD453" i="3" a="1"/>
  <c r="H453" i="3" a="1"/>
  <c r="O34" i="19" s="1"/>
  <c r="E35" i="13" s="1"/>
  <c r="I453" i="3" a="1"/>
  <c r="L453" i="3" a="1"/>
  <c r="M453" i="3" a="1"/>
  <c r="BX453" i="3" a="1"/>
  <c r="P453" i="3" a="1"/>
  <c r="AZ453" i="3" a="1"/>
  <c r="BA453" i="3" a="1"/>
  <c r="BC453" i="3" a="1"/>
  <c r="H68" i="21"/>
  <c r="H65" i="21"/>
  <c r="G27" i="19"/>
  <c r="E82" i="13" s="1"/>
  <c r="K27" i="19"/>
  <c r="I82" i="13" s="1"/>
  <c r="O28" i="19"/>
  <c r="E29" i="13" s="1"/>
  <c r="H72" i="21"/>
  <c r="H28" i="21"/>
  <c r="H69" i="21"/>
  <c r="H70" i="21"/>
  <c r="H75" i="21"/>
  <c r="H67" i="21"/>
  <c r="J28" i="21"/>
  <c r="H66" i="21"/>
  <c r="G26" i="19"/>
  <c r="E81" i="13" s="1"/>
  <c r="O27" i="19"/>
  <c r="E28" i="13" s="1"/>
  <c r="H71" i="21"/>
  <c r="I26" i="19"/>
  <c r="G81" i="13" s="1"/>
  <c r="K26" i="19"/>
  <c r="I81" i="13" s="1"/>
  <c r="U17" i="19"/>
  <c r="H44" i="13" s="1"/>
  <c r="AG44" i="13" s="1"/>
  <c r="G33" i="21"/>
  <c r="J65" i="21"/>
  <c r="I34" i="21"/>
  <c r="J34" i="21"/>
  <c r="I30" i="19"/>
  <c r="G85" i="13" s="1"/>
  <c r="J33" i="21"/>
  <c r="G36" i="21"/>
  <c r="J36" i="21"/>
  <c r="AJ17" i="19"/>
  <c r="M44" i="13" s="1"/>
  <c r="AB44" i="13" s="1"/>
  <c r="AP44" i="13" s="1"/>
  <c r="G30" i="21"/>
  <c r="I33" i="21"/>
  <c r="G38" i="21"/>
  <c r="J42" i="21"/>
  <c r="G42" i="21"/>
  <c r="G47" i="21"/>
  <c r="I47" i="21"/>
  <c r="O31" i="19"/>
  <c r="E32" i="13" s="1"/>
  <c r="L29" i="19"/>
  <c r="J84" i="13" s="1"/>
  <c r="J61" i="21"/>
  <c r="H30" i="21"/>
  <c r="J62" i="21"/>
  <c r="G31" i="21"/>
  <c r="I31" i="21"/>
  <c r="H31" i="21"/>
  <c r="J31" i="21"/>
  <c r="J63" i="21"/>
  <c r="G32" i="21"/>
  <c r="I32" i="21"/>
  <c r="K30" i="19"/>
  <c r="I85" i="13" s="1"/>
  <c r="H76" i="21"/>
  <c r="I30" i="21"/>
  <c r="H33" i="21"/>
  <c r="G34" i="21"/>
  <c r="H34" i="21"/>
  <c r="J66" i="21"/>
  <c r="AK17" i="19"/>
  <c r="N44" i="13" s="1"/>
  <c r="AC44" i="13" s="1"/>
  <c r="J30" i="21"/>
  <c r="J67" i="21"/>
  <c r="H36" i="21"/>
  <c r="I36" i="21"/>
  <c r="L28" i="19"/>
  <c r="J83" i="13" s="1"/>
  <c r="J64" i="21"/>
  <c r="J69" i="21"/>
  <c r="H42" i="21"/>
  <c r="J41" i="21"/>
  <c r="J73" i="21"/>
  <c r="G50" i="21"/>
  <c r="H17" i="19"/>
  <c r="F72" i="13" s="1"/>
  <c r="F63" i="21"/>
  <c r="F59" i="21"/>
  <c r="E40" i="21"/>
  <c r="E48" i="21"/>
  <c r="F107" i="21"/>
  <c r="E39" i="21"/>
  <c r="I94" i="21"/>
  <c r="K102" i="21"/>
  <c r="I49" i="21"/>
  <c r="J21" i="19"/>
  <c r="H76" i="13" s="1"/>
  <c r="I39" i="21"/>
  <c r="P20" i="19"/>
  <c r="F21" i="13" s="1"/>
  <c r="AB20" i="19"/>
  <c r="Q21" i="13" s="1"/>
  <c r="AJ21" i="13" s="1"/>
  <c r="J70" i="21"/>
  <c r="H74" i="21"/>
  <c r="J27" i="19"/>
  <c r="H82" i="13" s="1"/>
  <c r="L26" i="19"/>
  <c r="J81" i="13" s="1"/>
  <c r="AL21" i="19"/>
  <c r="O48" i="13" s="1"/>
  <c r="AD48" i="13" s="1"/>
  <c r="G107" i="21"/>
  <c r="L30" i="19"/>
  <c r="J85" i="13" s="1"/>
  <c r="I23" i="19"/>
  <c r="G78" i="13" s="1"/>
  <c r="H32" i="21"/>
  <c r="K98" i="21"/>
  <c r="J32" i="21"/>
  <c r="K105" i="21"/>
  <c r="AL30" i="19"/>
  <c r="O57" i="13" s="1"/>
  <c r="AD57" i="13" s="1"/>
  <c r="K92" i="21"/>
  <c r="H37" i="21"/>
  <c r="AF24" i="19"/>
  <c r="G25" i="19"/>
  <c r="E80" i="13" s="1"/>
  <c r="J40" i="21"/>
  <c r="I40" i="21"/>
  <c r="G40" i="21"/>
  <c r="H78" i="21"/>
  <c r="I22" i="19"/>
  <c r="G77" i="13" s="1"/>
  <c r="F113" i="21"/>
  <c r="O24" i="19"/>
  <c r="E25" i="13" s="1"/>
  <c r="I46" i="21"/>
  <c r="AL24" i="19"/>
  <c r="O51" i="13" s="1"/>
  <c r="AD51" i="13" s="1"/>
  <c r="K99" i="21"/>
  <c r="AL26" i="19"/>
  <c r="O53" i="13" s="1"/>
  <c r="AD53" i="13" s="1"/>
  <c r="K106" i="21"/>
  <c r="AF30" i="19"/>
  <c r="J38" i="21"/>
  <c r="J43" i="21"/>
  <c r="G45" i="21"/>
  <c r="J47" i="21"/>
  <c r="H73" i="21"/>
  <c r="I28" i="19"/>
  <c r="G83" i="13" s="1"/>
  <c r="AF27" i="19"/>
  <c r="AL22" i="19"/>
  <c r="O49" i="13" s="1"/>
  <c r="AD49" i="13" s="1"/>
  <c r="J102" i="21"/>
  <c r="L20" i="19"/>
  <c r="J75" i="13" s="1"/>
  <c r="H44" i="21"/>
  <c r="K91" i="21"/>
  <c r="G37" i="21"/>
  <c r="O21" i="19"/>
  <c r="E22" i="13" s="1"/>
  <c r="J29" i="19"/>
  <c r="H84" i="13" s="1"/>
  <c r="J113" i="21"/>
  <c r="H24" i="19"/>
  <c r="F79" i="13" s="1"/>
  <c r="H18" i="19"/>
  <c r="F73" i="13" s="1"/>
  <c r="J80" i="21"/>
  <c r="K96" i="21"/>
  <c r="J35" i="21"/>
  <c r="I38" i="21"/>
  <c r="H43" i="21"/>
  <c r="J45" i="21"/>
  <c r="H48" i="21"/>
  <c r="H51" i="21"/>
  <c r="AC20" i="19"/>
  <c r="R21" i="13" s="1"/>
  <c r="AK21" i="13" s="1"/>
  <c r="AD20" i="19"/>
  <c r="U21" i="13" s="1"/>
  <c r="AO21" i="13" s="1"/>
  <c r="H31" i="19"/>
  <c r="F86" i="13" s="1"/>
  <c r="I27" i="19"/>
  <c r="G82" i="13" s="1"/>
  <c r="AF28" i="19"/>
  <c r="AL27" i="19"/>
  <c r="O54" i="13" s="1"/>
  <c r="AD54" i="13" s="1"/>
  <c r="K23" i="19"/>
  <c r="I78" i="13" s="1"/>
  <c r="E102" i="21"/>
  <c r="I102" i="21"/>
  <c r="O19" i="19"/>
  <c r="E20" i="13" s="1"/>
  <c r="L23" i="19"/>
  <c r="J78" i="13" s="1"/>
  <c r="K108" i="21"/>
  <c r="J23" i="19"/>
  <c r="H78" i="13" s="1"/>
  <c r="F29" i="21"/>
  <c r="J24" i="19"/>
  <c r="H79" i="13" s="1"/>
  <c r="H92" i="21"/>
  <c r="G24" i="19"/>
  <c r="E79" i="13" s="1"/>
  <c r="I21" i="19"/>
  <c r="G76" i="13" s="1"/>
  <c r="G31" i="19"/>
  <c r="E86" i="13" s="1"/>
  <c r="G21" i="19"/>
  <c r="E76" i="13" s="1"/>
  <c r="H39" i="21"/>
  <c r="K32" i="19"/>
  <c r="I87" i="13" s="1"/>
  <c r="J74" i="21"/>
  <c r="J76" i="21"/>
  <c r="J72" i="21"/>
  <c r="G41" i="21"/>
  <c r="H22" i="19"/>
  <c r="F77" i="13" s="1"/>
  <c r="Y20" i="19"/>
  <c r="N21" i="13" s="1"/>
  <c r="AG21" i="13" s="1"/>
  <c r="W20" i="19"/>
  <c r="L31" i="19"/>
  <c r="J86" i="13" s="1"/>
  <c r="J68" i="21"/>
  <c r="G28" i="21"/>
  <c r="J26" i="19"/>
  <c r="H81" i="13" s="1"/>
  <c r="K104" i="21"/>
  <c r="AF18" i="19"/>
  <c r="F98" i="21"/>
  <c r="J30" i="19"/>
  <c r="H85" i="13" s="1"/>
  <c r="L22" i="19"/>
  <c r="J77" i="13" s="1"/>
  <c r="J46" i="21"/>
  <c r="G22" i="19"/>
  <c r="E77" i="13" s="1"/>
  <c r="J37" i="21"/>
  <c r="K110" i="21"/>
  <c r="G39" i="21"/>
  <c r="O23" i="19"/>
  <c r="E24" i="13" s="1"/>
  <c r="I35" i="21"/>
  <c r="H21" i="19"/>
  <c r="F76" i="13" s="1"/>
  <c r="E111" i="21"/>
  <c r="I32" i="19"/>
  <c r="G87" i="13" s="1"/>
  <c r="G43" i="21"/>
  <c r="I45" i="21"/>
  <c r="G48" i="21"/>
  <c r="I51" i="21"/>
  <c r="R20" i="19"/>
  <c r="K21" i="13" s="1"/>
  <c r="AD21" i="13" s="1"/>
  <c r="Z20" i="19"/>
  <c r="O21" i="13" s="1"/>
  <c r="AH21" i="13" s="1"/>
  <c r="AF31" i="19"/>
  <c r="L27" i="19"/>
  <c r="J82" i="13" s="1"/>
  <c r="J59" i="21"/>
  <c r="H26" i="19"/>
  <c r="F81" i="13" s="1"/>
  <c r="F60" i="21"/>
  <c r="G23" i="19"/>
  <c r="E78" i="13" s="1"/>
  <c r="H49" i="21"/>
  <c r="AL25" i="19"/>
  <c r="O52" i="13" s="1"/>
  <c r="AD52" i="13" s="1"/>
  <c r="K22" i="19"/>
  <c r="I77" i="13" s="1"/>
  <c r="K111" i="21"/>
  <c r="J39" i="21"/>
  <c r="K100" i="21"/>
  <c r="I44" i="21"/>
  <c r="AF23" i="19"/>
  <c r="G44" i="21"/>
  <c r="O25" i="19"/>
  <c r="E26" i="13" s="1"/>
  <c r="H46" i="21"/>
  <c r="G32" i="19"/>
  <c r="E87" i="13" s="1"/>
  <c r="I43" i="21"/>
  <c r="H45" i="21"/>
  <c r="J79" i="21"/>
  <c r="J82" i="21"/>
  <c r="Q20" i="19"/>
  <c r="J21" i="13" s="1"/>
  <c r="AC21" i="13" s="1"/>
  <c r="X20" i="19"/>
  <c r="M21" i="13" s="1"/>
  <c r="AF21" i="13" s="1"/>
  <c r="J31" i="19"/>
  <c r="H86" i="13" s="1"/>
  <c r="H27" i="19"/>
  <c r="F82" i="13" s="1"/>
  <c r="I28" i="21"/>
  <c r="H59" i="21"/>
  <c r="AF25" i="19"/>
  <c r="K107" i="21"/>
  <c r="E113" i="21"/>
  <c r="O22" i="19"/>
  <c r="E23" i="13" s="1"/>
  <c r="K103" i="21"/>
  <c r="J49" i="21"/>
  <c r="K31" i="19"/>
  <c r="I86" i="13" s="1"/>
  <c r="K109" i="21"/>
  <c r="L24" i="19"/>
  <c r="J79" i="13" s="1"/>
  <c r="J44" i="21"/>
  <c r="AF22" i="19"/>
  <c r="I31" i="19"/>
  <c r="G86" i="13" s="1"/>
  <c r="K94" i="21"/>
  <c r="K19" i="19"/>
  <c r="I74" i="13" s="1"/>
  <c r="J22" i="19"/>
  <c r="H77" i="13" s="1"/>
  <c r="G20" i="19"/>
  <c r="E75" i="13" s="1"/>
  <c r="H38" i="21"/>
  <c r="T17" i="19"/>
  <c r="G44" i="13" s="1"/>
  <c r="AF44" i="13" s="1"/>
  <c r="G30" i="19"/>
  <c r="E85" i="13" s="1"/>
  <c r="H40" i="21"/>
  <c r="I37" i="21"/>
  <c r="AE20" i="19"/>
  <c r="T21" i="13" s="1"/>
  <c r="AN21" i="13" s="1"/>
  <c r="AM20" i="19"/>
  <c r="P47" i="13" s="1"/>
  <c r="AE47" i="13" s="1"/>
  <c r="AK47" i="13" s="1"/>
  <c r="AL31" i="19"/>
  <c r="O58" i="13" s="1"/>
  <c r="AD58" i="13" s="1"/>
  <c r="G28" i="19"/>
  <c r="E83" i="13" s="1"/>
  <c r="O29" i="19"/>
  <c r="E30" i="13" s="1"/>
  <c r="L25" i="19"/>
  <c r="J80" i="13" s="1"/>
  <c r="I24" i="19"/>
  <c r="G79" i="13" s="1"/>
  <c r="F41" i="21"/>
  <c r="F103" i="21"/>
  <c r="AL23" i="19"/>
  <c r="O50" i="13" s="1"/>
  <c r="AD50" i="13" s="1"/>
  <c r="H30" i="19"/>
  <c r="F85" i="13" s="1"/>
  <c r="G35" i="21"/>
  <c r="K101" i="21"/>
  <c r="I25" i="19"/>
  <c r="G80" i="13" s="1"/>
  <c r="H111" i="21"/>
  <c r="H25" i="19"/>
  <c r="F80" i="13" s="1"/>
  <c r="K97" i="21"/>
  <c r="O26" i="19"/>
  <c r="E27" i="13" s="1"/>
  <c r="AF21" i="19"/>
  <c r="G49" i="21"/>
  <c r="K25" i="19"/>
  <c r="I80" i="13" s="1"/>
  <c r="K21" i="19"/>
  <c r="I76" i="13" s="1"/>
  <c r="H96" i="21"/>
  <c r="I41" i="21"/>
  <c r="H77" i="21"/>
  <c r="G46" i="21"/>
  <c r="I48" i="21"/>
  <c r="H50" i="21"/>
  <c r="AA20" i="19"/>
  <c r="P21" i="13" s="1"/>
  <c r="AI21" i="13" s="1"/>
  <c r="S20" i="19"/>
  <c r="I21" i="13" s="1"/>
  <c r="AB21" i="13" s="1"/>
  <c r="K28" i="19"/>
  <c r="I83" i="13" s="1"/>
  <c r="AL28" i="19"/>
  <c r="O55" i="13" s="1"/>
  <c r="AD55" i="13" s="1"/>
  <c r="J25" i="19"/>
  <c r="H80" i="13" s="1"/>
  <c r="K112" i="21"/>
  <c r="J20" i="19"/>
  <c r="H75" i="13" s="1"/>
  <c r="K95" i="21"/>
  <c r="I42" i="21"/>
  <c r="K93" i="21"/>
  <c r="H29" i="19"/>
  <c r="F84" i="13" s="1"/>
  <c r="H20" i="19"/>
  <c r="F75" i="13" s="1"/>
  <c r="K24" i="19"/>
  <c r="I79" i="13" s="1"/>
  <c r="H35" i="21"/>
  <c r="L21" i="19"/>
  <c r="J76" i="13" s="1"/>
  <c r="AF26" i="19"/>
  <c r="K113" i="21"/>
  <c r="H112" i="21"/>
  <c r="H23" i="19"/>
  <c r="F78" i="13" s="1"/>
  <c r="J75" i="21"/>
  <c r="J77" i="21"/>
  <c r="J48" i="21"/>
  <c r="E31" i="21"/>
  <c r="E109" i="21"/>
  <c r="H110" i="21"/>
  <c r="F106" i="21"/>
  <c r="I77" i="21"/>
  <c r="J101" i="21"/>
  <c r="G104" i="21"/>
  <c r="F101" i="21"/>
  <c r="I101" i="21"/>
  <c r="J107" i="21"/>
  <c r="F105" i="21"/>
  <c r="I107" i="21"/>
  <c r="F65" i="21"/>
  <c r="E107" i="21"/>
  <c r="BI117" i="3"/>
  <c r="AJ20" i="19" s="1"/>
  <c r="M47" i="13" s="1"/>
  <c r="AB47" i="13" s="1"/>
  <c r="AP47" i="13" s="1"/>
  <c r="T20" i="19"/>
  <c r="G47" i="13" s="1"/>
  <c r="AF47" i="13" s="1"/>
  <c r="O429" i="3"/>
  <c r="I33" i="19"/>
  <c r="G88" i="13" s="1"/>
  <c r="Q429" i="3"/>
  <c r="K33" i="19"/>
  <c r="I88" i="13" s="1"/>
  <c r="J429" i="3"/>
  <c r="G33" i="19"/>
  <c r="E88" i="13" s="1"/>
  <c r="CR401" i="3" l="1"/>
  <c r="BR401" i="3"/>
  <c r="AA401" i="3"/>
  <c r="AE401" i="3" s="1"/>
  <c r="AF401" i="3" s="1"/>
  <c r="AG401" i="3" s="1"/>
  <c r="AH401" i="3" s="1"/>
  <c r="Z416" i="3"/>
  <c r="AC416" i="3" s="1"/>
  <c r="AD416" i="3" s="1"/>
  <c r="Z408" i="3"/>
  <c r="AC408" i="3" s="1"/>
  <c r="AD408" i="3" s="1"/>
  <c r="Z421" i="3"/>
  <c r="AC421" i="3" s="1"/>
  <c r="AD421" i="3" s="1"/>
  <c r="CR392" i="3"/>
  <c r="BR392" i="3"/>
  <c r="AA392" i="3"/>
  <c r="AE392" i="3" s="1"/>
  <c r="AF392" i="3" s="1"/>
  <c r="AG392" i="3" s="1"/>
  <c r="AH392" i="3" s="1"/>
  <c r="CR398" i="3"/>
  <c r="BR398" i="3"/>
  <c r="AA398" i="3"/>
  <c r="AE398" i="3" s="1"/>
  <c r="AF398" i="3" s="1"/>
  <c r="AG398" i="3" s="1"/>
  <c r="AH398" i="3" s="1"/>
  <c r="Z422" i="3"/>
  <c r="AC422" i="3" s="1"/>
  <c r="AD422" i="3" s="1"/>
  <c r="Z420" i="3"/>
  <c r="AC420" i="3" s="1"/>
  <c r="AD420" i="3" s="1"/>
  <c r="CR402" i="3"/>
  <c r="BR402" i="3"/>
  <c r="AA402" i="3"/>
  <c r="AE402" i="3" s="1"/>
  <c r="AF402" i="3" s="1"/>
  <c r="AG402" i="3" s="1"/>
  <c r="AH402" i="3" s="1"/>
  <c r="CR388" i="3"/>
  <c r="BR388" i="3"/>
  <c r="AA388" i="3"/>
  <c r="AE388" i="3" s="1"/>
  <c r="AF388" i="3" s="1"/>
  <c r="AG388" i="3" s="1"/>
  <c r="AH388" i="3" s="1"/>
  <c r="AF367" i="3"/>
  <c r="AG367" i="3"/>
  <c r="AH367" i="3" s="1"/>
  <c r="CR397" i="3"/>
  <c r="BR397" i="3"/>
  <c r="AA397" i="3"/>
  <c r="AE397" i="3" s="1"/>
  <c r="AF397" i="3" s="1"/>
  <c r="AG397" i="3" s="1"/>
  <c r="AH397" i="3" s="1"/>
  <c r="CR389" i="3"/>
  <c r="BR389" i="3"/>
  <c r="AA389" i="3"/>
  <c r="AE389" i="3" s="1"/>
  <c r="AF389" i="3" s="1"/>
  <c r="AG389" i="3" s="1"/>
  <c r="AH389" i="3" s="1"/>
  <c r="CR396" i="3"/>
  <c r="BR396" i="3"/>
  <c r="AA396" i="3"/>
  <c r="AE396" i="3" s="1"/>
  <c r="AF396" i="3" s="1"/>
  <c r="AG396" i="3" s="1"/>
  <c r="AH396" i="3" s="1"/>
  <c r="CR395" i="3"/>
  <c r="BR395" i="3"/>
  <c r="AA395" i="3"/>
  <c r="AE395" i="3" s="1"/>
  <c r="AF395" i="3" s="1"/>
  <c r="AG395" i="3" s="1"/>
  <c r="AH395" i="3" s="1"/>
  <c r="CR393" i="3"/>
  <c r="AA393" i="3"/>
  <c r="AE393" i="3" s="1"/>
  <c r="AF393" i="3" s="1"/>
  <c r="AG393" i="3" s="1"/>
  <c r="AH393" i="3" s="1"/>
  <c r="BR393" i="3"/>
  <c r="CR384" i="3"/>
  <c r="BR384" i="3"/>
  <c r="AA384" i="3"/>
  <c r="AE384" i="3" s="1"/>
  <c r="AF384" i="3" s="1"/>
  <c r="AG384" i="3" s="1"/>
  <c r="AH384" i="3" s="1"/>
  <c r="AK311" i="3"/>
  <c r="BF311" i="3" s="1"/>
  <c r="AJ311" i="3"/>
  <c r="BG311" i="3"/>
  <c r="AL311" i="3"/>
  <c r="CR404" i="3"/>
  <c r="BR404" i="3"/>
  <c r="AA404" i="3"/>
  <c r="AE404" i="3" s="1"/>
  <c r="AF404" i="3" s="1"/>
  <c r="AG404" i="3" s="1"/>
  <c r="AH404" i="3" s="1"/>
  <c r="BO258" i="3"/>
  <c r="BS258" i="3"/>
  <c r="BN280" i="3"/>
  <c r="Z426" i="3"/>
  <c r="AC426" i="3" s="1"/>
  <c r="AD426" i="3" s="1"/>
  <c r="CB350" i="3"/>
  <c r="AI350" i="3"/>
  <c r="BQ350" i="3"/>
  <c r="AK329" i="3"/>
  <c r="BF329" i="3" s="1"/>
  <c r="AJ329" i="3"/>
  <c r="BG329" i="3"/>
  <c r="AL329" i="3"/>
  <c r="Z417" i="3"/>
  <c r="AC417" i="3" s="1"/>
  <c r="AD417" i="3" s="1"/>
  <c r="BN265" i="3"/>
  <c r="Z419" i="3"/>
  <c r="AC419" i="3" s="1"/>
  <c r="AD419" i="3" s="1"/>
  <c r="Z413" i="3"/>
  <c r="AC413" i="3" s="1"/>
  <c r="AD413" i="3" s="1"/>
  <c r="Z411" i="3"/>
  <c r="AC411" i="3" s="1"/>
  <c r="AD411" i="3" s="1"/>
  <c r="Z407" i="3"/>
  <c r="AC407" i="3" s="1"/>
  <c r="AD407" i="3" s="1"/>
  <c r="Z406" i="3"/>
  <c r="AC406" i="3" s="1"/>
  <c r="AD406" i="3" s="1"/>
  <c r="Z381" i="3"/>
  <c r="AC381" i="3" s="1"/>
  <c r="AD381" i="3" s="1"/>
  <c r="Z427" i="3"/>
  <c r="AC427" i="3" s="1"/>
  <c r="AD427" i="3" s="1"/>
  <c r="Z425" i="3"/>
  <c r="AC425" i="3" s="1"/>
  <c r="AD425" i="3" s="1"/>
  <c r="Z423" i="3"/>
  <c r="AC423" i="3" s="1"/>
  <c r="AD423" i="3" s="1"/>
  <c r="CR390" i="3"/>
  <c r="AA390" i="3"/>
  <c r="AE390" i="3" s="1"/>
  <c r="AF390" i="3" s="1"/>
  <c r="AG390" i="3" s="1"/>
  <c r="AH390" i="3" s="1"/>
  <c r="BR390" i="3"/>
  <c r="CR386" i="3"/>
  <c r="BR386" i="3"/>
  <c r="AA386" i="3"/>
  <c r="AE386" i="3" s="1"/>
  <c r="AF386" i="3" s="1"/>
  <c r="AG386" i="3" s="1"/>
  <c r="AH386" i="3" s="1"/>
  <c r="CR387" i="3"/>
  <c r="BR387" i="3"/>
  <c r="AA387" i="3"/>
  <c r="AE387" i="3" s="1"/>
  <c r="AF387" i="3" s="1"/>
  <c r="AG387" i="3" s="1"/>
  <c r="AH387" i="3" s="1"/>
  <c r="CR382" i="3"/>
  <c r="AA382" i="3"/>
  <c r="AE382" i="3" s="1"/>
  <c r="BR382" i="3"/>
  <c r="AF365" i="3"/>
  <c r="AG365" i="3" s="1"/>
  <c r="AH365" i="3" s="1"/>
  <c r="CB339" i="3"/>
  <c r="BQ339" i="3"/>
  <c r="AI339" i="3"/>
  <c r="CS287" i="3"/>
  <c r="AR287" i="3"/>
  <c r="AS287" i="3" s="1"/>
  <c r="BK287" i="3"/>
  <c r="BL287" i="3" s="1"/>
  <c r="CT287" i="3"/>
  <c r="BH287" i="3"/>
  <c r="BP287" i="3" s="1"/>
  <c r="BT287" i="3" s="1"/>
  <c r="AK322" i="3"/>
  <c r="BF322" i="3" s="1"/>
  <c r="AJ322" i="3"/>
  <c r="BG322" i="3"/>
  <c r="AL322" i="3"/>
  <c r="AK316" i="3"/>
  <c r="BF316" i="3" s="1"/>
  <c r="AJ316" i="3"/>
  <c r="BG316" i="3"/>
  <c r="AL316" i="3"/>
  <c r="AF362" i="3"/>
  <c r="AG362" i="3" s="1"/>
  <c r="AH362" i="3" s="1"/>
  <c r="BO245" i="3"/>
  <c r="BS245" i="3"/>
  <c r="Z428" i="3"/>
  <c r="AC428" i="3" s="1"/>
  <c r="AD428" i="3" s="1"/>
  <c r="Z415" i="3"/>
  <c r="AC415" i="3" s="1"/>
  <c r="AD415" i="3" s="1"/>
  <c r="Z410" i="3"/>
  <c r="AC410" i="3" s="1"/>
  <c r="AD410" i="3" s="1"/>
  <c r="Z409" i="3"/>
  <c r="AC409" i="3" s="1"/>
  <c r="AD409" i="3" s="1"/>
  <c r="CS303" i="3"/>
  <c r="AR303" i="3"/>
  <c r="AS303" i="3" s="1"/>
  <c r="BK303" i="3"/>
  <c r="BL303" i="3" s="1"/>
  <c r="CT303" i="3"/>
  <c r="BH303" i="3"/>
  <c r="BP303" i="3" s="1"/>
  <c r="BT303" i="3" s="1"/>
  <c r="Z414" i="3"/>
  <c r="AC414" i="3" s="1"/>
  <c r="AD414" i="3" s="1"/>
  <c r="CR391" i="3"/>
  <c r="BR391" i="3"/>
  <c r="AA391" i="3"/>
  <c r="AE391" i="3" s="1"/>
  <c r="AF391" i="3" s="1"/>
  <c r="AG391" i="3" s="1"/>
  <c r="AH391" i="3" s="1"/>
  <c r="CS286" i="3"/>
  <c r="AR286" i="3"/>
  <c r="AS286" i="3" s="1"/>
  <c r="BK286" i="3"/>
  <c r="BL286" i="3" s="1"/>
  <c r="CR385" i="3"/>
  <c r="BR385" i="3"/>
  <c r="AA385" i="3"/>
  <c r="AE385" i="3" s="1"/>
  <c r="AF385" i="3" s="1"/>
  <c r="AG385" i="3" s="1"/>
  <c r="AH385" i="3" s="1"/>
  <c r="CR399" i="3"/>
  <c r="BR399" i="3"/>
  <c r="AA399" i="3"/>
  <c r="AE399" i="3" s="1"/>
  <c r="AF399" i="3" s="1"/>
  <c r="AG399" i="3" s="1"/>
  <c r="AH399" i="3" s="1"/>
  <c r="BN263" i="3"/>
  <c r="BN264" i="3"/>
  <c r="CT286" i="3"/>
  <c r="BH286" i="3"/>
  <c r="BP286" i="3" s="1"/>
  <c r="BT286" i="3" s="1"/>
  <c r="CR394" i="3"/>
  <c r="BR394" i="3"/>
  <c r="AA394" i="3"/>
  <c r="AE394" i="3" s="1"/>
  <c r="Z418" i="3"/>
  <c r="AC418" i="3" s="1"/>
  <c r="AD418" i="3" s="1"/>
  <c r="CR403" i="3"/>
  <c r="BR403" i="3"/>
  <c r="AA403" i="3"/>
  <c r="AE403" i="3" s="1"/>
  <c r="Z412" i="3"/>
  <c r="AC412" i="3" s="1"/>
  <c r="AD412" i="3" s="1"/>
  <c r="CR400" i="3"/>
  <c r="BR400" i="3"/>
  <c r="AA400" i="3"/>
  <c r="AE400" i="3" s="1"/>
  <c r="G485" i="3" a="1"/>
  <c r="BB485" i="3" a="1"/>
  <c r="CE485" i="3" a="1"/>
  <c r="B485" i="3" a="1"/>
  <c r="G484" i="3" a="1"/>
  <c r="BB484" i="3" a="1"/>
  <c r="CE484" i="3" a="1"/>
  <c r="B484" i="3" a="1"/>
  <c r="G483" i="3" a="1"/>
  <c r="BB483" i="3" a="1"/>
  <c r="CE483" i="3" a="1"/>
  <c r="B483" i="3" a="1"/>
  <c r="G482" i="3" a="1"/>
  <c r="BB482" i="3" a="1"/>
  <c r="CE482" i="3" a="1"/>
  <c r="B482" i="3" a="1"/>
  <c r="G481" i="3" a="1"/>
  <c r="BB481" i="3" a="1"/>
  <c r="CE481" i="3" a="1"/>
  <c r="B481" i="3" a="1"/>
  <c r="B480" i="3" a="1"/>
  <c r="BB480" i="3" a="1"/>
  <c r="G480" i="3" a="1"/>
  <c r="CE480" i="3" a="1"/>
  <c r="AK359" i="3"/>
  <c r="AJ359" i="3"/>
  <c r="BG359" i="3"/>
  <c r="AL359" i="3"/>
  <c r="CB383" i="3"/>
  <c r="BQ383" i="3"/>
  <c r="AI383" i="3"/>
  <c r="B479" i="3" a="1"/>
  <c r="BB479" i="3" a="1"/>
  <c r="CE479" i="3" a="1"/>
  <c r="G479" i="3" a="1"/>
  <c r="B478" i="3" a="1"/>
  <c r="BB478" i="3" a="1"/>
  <c r="CE478" i="3" a="1"/>
  <c r="G478" i="3" a="1"/>
  <c r="E59" i="13"/>
  <c r="Z33" i="13"/>
  <c r="Z59" i="13" s="1"/>
  <c r="G71" i="13"/>
  <c r="E17" i="13"/>
  <c r="F71" i="13"/>
  <c r="I71" i="13"/>
  <c r="J71" i="13"/>
  <c r="E44" i="13"/>
  <c r="Z18" i="13"/>
  <c r="Z44" i="13" s="1"/>
  <c r="E45" i="13"/>
  <c r="Z19" i="13"/>
  <c r="Z45" i="13" s="1"/>
  <c r="Z21" i="13"/>
  <c r="Z47" i="13" s="1"/>
  <c r="E47" i="13"/>
  <c r="O43" i="13"/>
  <c r="AD43" i="13" s="1"/>
  <c r="V20" i="13"/>
  <c r="AP20" i="13" s="1"/>
  <c r="AO19" i="19"/>
  <c r="R46" i="13" s="1"/>
  <c r="AI46" i="13" s="1"/>
  <c r="E71" i="13"/>
  <c r="V18" i="13"/>
  <c r="AP18" i="13" s="1"/>
  <c r="AO17" i="19"/>
  <c r="R44" i="13" s="1"/>
  <c r="AI44" i="13" s="1"/>
  <c r="V17" i="13"/>
  <c r="AP17" i="13" s="1"/>
  <c r="AO16" i="19"/>
  <c r="H71" i="13"/>
  <c r="AO20" i="19"/>
  <c r="R47" i="13" s="1"/>
  <c r="AI47" i="13" s="1"/>
  <c r="V21" i="13"/>
  <c r="AP21" i="13" s="1"/>
  <c r="B477" i="3" a="1"/>
  <c r="BB477" i="3" a="1"/>
  <c r="BB504" i="3" s="1"/>
  <c r="CE477" i="3" a="1"/>
  <c r="CE504" i="3" s="1"/>
  <c r="G477" i="3" a="1"/>
  <c r="G504" i="3" s="1"/>
  <c r="CM236" i="3"/>
  <c r="BZ236" i="3"/>
  <c r="CK236" i="3"/>
  <c r="CL236" i="3"/>
  <c r="CJ236" i="3"/>
  <c r="AN236" i="3"/>
  <c r="BJ236" i="3" s="1"/>
  <c r="CA236" i="3"/>
  <c r="AM236" i="3"/>
  <c r="BI236" i="3" s="1"/>
  <c r="BW260" i="3"/>
  <c r="BY260" i="3" s="1"/>
  <c r="CO260" i="3"/>
  <c r="BO284" i="3"/>
  <c r="BS284" i="3"/>
  <c r="BV284" i="3"/>
  <c r="BU284" i="3"/>
  <c r="BL308" i="3"/>
  <c r="BN308" i="3" s="1"/>
  <c r="BP308" i="3"/>
  <c r="BT308" i="3" s="1"/>
  <c r="AK356" i="3"/>
  <c r="AJ356" i="3"/>
  <c r="BG356" i="3"/>
  <c r="AL356" i="3"/>
  <c r="CB380" i="3"/>
  <c r="AI380" i="3"/>
  <c r="BQ380" i="3"/>
  <c r="Y452" i="3"/>
  <c r="U452" i="3"/>
  <c r="W452" i="3" s="1"/>
  <c r="AQ476" i="3"/>
  <c r="AW476" i="3"/>
  <c r="CH476" i="3"/>
  <c r="CQ476" i="3"/>
  <c r="CI476" i="3"/>
  <c r="CP476" i="3"/>
  <c r="R476" i="3"/>
  <c r="AB476" i="3" s="1"/>
  <c r="D504" i="3"/>
  <c r="F500" i="3" a="1"/>
  <c r="F504" i="3" s="1"/>
  <c r="H500" i="3" a="1"/>
  <c r="I500" i="3" a="1"/>
  <c r="L500" i="3" a="1"/>
  <c r="M500" i="3" a="1"/>
  <c r="P500" i="3" a="1"/>
  <c r="AZ500" i="3" a="1"/>
  <c r="BA500" i="3" a="1"/>
  <c r="BC500" i="3" a="1"/>
  <c r="BC504" i="3" s="1"/>
  <c r="BD500" i="3" a="1"/>
  <c r="BD504" i="3" s="1"/>
  <c r="BX500" i="3" a="1"/>
  <c r="CM235" i="3"/>
  <c r="BZ235" i="3"/>
  <c r="CK235" i="3"/>
  <c r="CL235" i="3"/>
  <c r="CJ235" i="3"/>
  <c r="AN235" i="3"/>
  <c r="BJ235" i="3" s="1"/>
  <c r="CA235" i="3"/>
  <c r="AM235" i="3"/>
  <c r="BI235" i="3" s="1"/>
  <c r="BW259" i="3"/>
  <c r="BY259" i="3" s="1"/>
  <c r="CO259" i="3"/>
  <c r="BO283" i="3"/>
  <c r="BS283" i="3"/>
  <c r="BV283" i="3"/>
  <c r="BU283" i="3"/>
  <c r="BL307" i="3"/>
  <c r="BN307" i="3" s="1"/>
  <c r="BP307" i="3"/>
  <c r="BT307" i="3" s="1"/>
  <c r="CS331" i="3"/>
  <c r="AR331" i="3"/>
  <c r="AS331" i="3" s="1"/>
  <c r="BK331" i="3"/>
  <c r="BF331" i="3"/>
  <c r="CT331" i="3"/>
  <c r="BH331" i="3"/>
  <c r="AK355" i="3"/>
  <c r="AJ355" i="3"/>
  <c r="BG355" i="3"/>
  <c r="AL355" i="3"/>
  <c r="CB379" i="3"/>
  <c r="AI379" i="3"/>
  <c r="BQ379" i="3"/>
  <c r="Y451" i="3"/>
  <c r="U451" i="3"/>
  <c r="W451" i="3" s="1"/>
  <c r="AQ475" i="3"/>
  <c r="AW475" i="3"/>
  <c r="CH475" i="3"/>
  <c r="CQ475" i="3"/>
  <c r="CI475" i="3"/>
  <c r="CP475" i="3"/>
  <c r="R475" i="3"/>
  <c r="AB475" i="3" s="1"/>
  <c r="F499" i="3" a="1"/>
  <c r="H499" i="3" a="1"/>
  <c r="I499" i="3" a="1"/>
  <c r="J499" i="3" s="1"/>
  <c r="T499" i="3" s="1"/>
  <c r="L499" i="3" a="1"/>
  <c r="M499" i="3" a="1"/>
  <c r="O499" i="3" s="1"/>
  <c r="P499" i="3" a="1"/>
  <c r="Q499" i="3" s="1"/>
  <c r="V499" i="3" s="1"/>
  <c r="AZ499" i="3" a="1"/>
  <c r="BA499" i="3" a="1"/>
  <c r="BC499" i="3" a="1"/>
  <c r="BD499" i="3" a="1"/>
  <c r="BX499" i="3" a="1"/>
  <c r="CM234" i="3"/>
  <c r="BZ234" i="3"/>
  <c r="CK234" i="3"/>
  <c r="CL234" i="3"/>
  <c r="CJ234" i="3"/>
  <c r="AN234" i="3"/>
  <c r="BJ234" i="3" s="1"/>
  <c r="CA234" i="3"/>
  <c r="AM234" i="3"/>
  <c r="BI234" i="3" s="1"/>
  <c r="BW258" i="3"/>
  <c r="BY258" i="3" s="1"/>
  <c r="CO258" i="3"/>
  <c r="BO282" i="3"/>
  <c r="BS282" i="3"/>
  <c r="BV282" i="3"/>
  <c r="BU282" i="3"/>
  <c r="BL306" i="3"/>
  <c r="BN306" i="3" s="1"/>
  <c r="BP306" i="3"/>
  <c r="BT306" i="3" s="1"/>
  <c r="BF330" i="3"/>
  <c r="CS330" i="3"/>
  <c r="AR330" i="3"/>
  <c r="AS330" i="3" s="1"/>
  <c r="BK330" i="3"/>
  <c r="CT330" i="3"/>
  <c r="BH330" i="3"/>
  <c r="AK354" i="3"/>
  <c r="AJ354" i="3"/>
  <c r="BG354" i="3"/>
  <c r="AL354" i="3"/>
  <c r="CB378" i="3"/>
  <c r="AI378" i="3"/>
  <c r="BQ378" i="3"/>
  <c r="Y450" i="3"/>
  <c r="U450" i="3"/>
  <c r="W450" i="3" s="1"/>
  <c r="AQ474" i="3"/>
  <c r="AW474" i="3"/>
  <c r="CH474" i="3"/>
  <c r="CQ474" i="3"/>
  <c r="CI474" i="3"/>
  <c r="CP474" i="3"/>
  <c r="R474" i="3"/>
  <c r="AB474" i="3" s="1"/>
  <c r="F498" i="3" a="1"/>
  <c r="H498" i="3" a="1"/>
  <c r="I498" i="3" a="1"/>
  <c r="J498" i="3" s="1"/>
  <c r="T498" i="3" s="1"/>
  <c r="L498" i="3" a="1"/>
  <c r="M498" i="3" a="1"/>
  <c r="O498" i="3" s="1"/>
  <c r="P498" i="3" a="1"/>
  <c r="Q498" i="3" s="1"/>
  <c r="V498" i="3" s="1"/>
  <c r="AZ498" i="3" a="1"/>
  <c r="BA498" i="3" a="1"/>
  <c r="BC498" i="3" a="1"/>
  <c r="BD498" i="3" a="1"/>
  <c r="BX498" i="3" a="1"/>
  <c r="CM233" i="3"/>
  <c r="BZ233" i="3"/>
  <c r="CK233" i="3"/>
  <c r="CL233" i="3"/>
  <c r="CJ233" i="3"/>
  <c r="AN233" i="3"/>
  <c r="BJ233" i="3" s="1"/>
  <c r="CA233" i="3"/>
  <c r="AM233" i="3"/>
  <c r="BI233" i="3" s="1"/>
  <c r="BW257" i="3"/>
  <c r="BY257" i="3" s="1"/>
  <c r="CO257" i="3"/>
  <c r="BO281" i="3"/>
  <c r="BS281" i="3"/>
  <c r="BV281" i="3"/>
  <c r="BU281" i="3"/>
  <c r="BL305" i="3"/>
  <c r="BN305" i="3" s="1"/>
  <c r="BP305" i="3"/>
  <c r="BT305" i="3" s="1"/>
  <c r="AK353" i="3"/>
  <c r="AJ353" i="3"/>
  <c r="BG353" i="3"/>
  <c r="AL353" i="3"/>
  <c r="CB377" i="3"/>
  <c r="AI377" i="3"/>
  <c r="BQ377" i="3"/>
  <c r="Y449" i="3"/>
  <c r="U449" i="3"/>
  <c r="W449" i="3" s="1"/>
  <c r="AQ473" i="3"/>
  <c r="AW473" i="3"/>
  <c r="CH473" i="3"/>
  <c r="CQ473" i="3"/>
  <c r="CI473" i="3"/>
  <c r="CP473" i="3"/>
  <c r="R473" i="3"/>
  <c r="AB473" i="3" s="1"/>
  <c r="F497" i="3" a="1"/>
  <c r="H497" i="3" a="1"/>
  <c r="I497" i="3" a="1"/>
  <c r="J497" i="3" s="1"/>
  <c r="T497" i="3" s="1"/>
  <c r="L497" i="3" a="1"/>
  <c r="M497" i="3" a="1"/>
  <c r="O497" i="3" s="1"/>
  <c r="P497" i="3" a="1"/>
  <c r="Q497" i="3" s="1"/>
  <c r="V497" i="3" s="1"/>
  <c r="AZ497" i="3" a="1"/>
  <c r="BA497" i="3" a="1"/>
  <c r="BC497" i="3" a="1"/>
  <c r="BD497" i="3" a="1"/>
  <c r="BX497" i="3" a="1"/>
  <c r="CM232" i="3"/>
  <c r="BZ232" i="3"/>
  <c r="CK232" i="3"/>
  <c r="CL232" i="3"/>
  <c r="CJ232" i="3"/>
  <c r="AN232" i="3"/>
  <c r="BJ232" i="3" s="1"/>
  <c r="CA232" i="3"/>
  <c r="AM232" i="3"/>
  <c r="BI232" i="3" s="1"/>
  <c r="BW256" i="3"/>
  <c r="BY256" i="3" s="1"/>
  <c r="CO256" i="3"/>
  <c r="BV280" i="3"/>
  <c r="BU280" i="3"/>
  <c r="BL304" i="3"/>
  <c r="BN304" i="3" s="1"/>
  <c r="BP304" i="3"/>
  <c r="BT304" i="3" s="1"/>
  <c r="BF328" i="3"/>
  <c r="CS328" i="3"/>
  <c r="AR328" i="3"/>
  <c r="AS328" i="3" s="1"/>
  <c r="BK328" i="3"/>
  <c r="CT328" i="3"/>
  <c r="BH328" i="3"/>
  <c r="AK352" i="3"/>
  <c r="AJ352" i="3"/>
  <c r="BG352" i="3"/>
  <c r="AL352" i="3"/>
  <c r="CB376" i="3"/>
  <c r="AI376" i="3"/>
  <c r="BQ376" i="3"/>
  <c r="BR424" i="3"/>
  <c r="AA424" i="3"/>
  <c r="AE424" i="3" s="1"/>
  <c r="Y448" i="3"/>
  <c r="U448" i="3"/>
  <c r="W448" i="3" s="1"/>
  <c r="AQ472" i="3"/>
  <c r="AW472" i="3"/>
  <c r="CH472" i="3"/>
  <c r="CQ472" i="3"/>
  <c r="CI472" i="3"/>
  <c r="CP472" i="3"/>
  <c r="R472" i="3"/>
  <c r="AB472" i="3" s="1"/>
  <c r="F496" i="3" a="1"/>
  <c r="H496" i="3" a="1"/>
  <c r="I496" i="3" a="1"/>
  <c r="J496" i="3" s="1"/>
  <c r="T496" i="3" s="1"/>
  <c r="L496" i="3" a="1"/>
  <c r="M496" i="3" a="1"/>
  <c r="O496" i="3" s="1"/>
  <c r="P496" i="3" a="1"/>
  <c r="Q496" i="3" s="1"/>
  <c r="V496" i="3" s="1"/>
  <c r="AZ496" i="3" a="1"/>
  <c r="BA496" i="3" a="1"/>
  <c r="BC496" i="3" a="1"/>
  <c r="BD496" i="3" a="1"/>
  <c r="BX496" i="3" a="1"/>
  <c r="CM231" i="3"/>
  <c r="BZ231" i="3"/>
  <c r="CK231" i="3"/>
  <c r="CL231" i="3"/>
  <c r="CJ231" i="3"/>
  <c r="AN231" i="3"/>
  <c r="BJ231" i="3" s="1"/>
  <c r="CA231" i="3"/>
  <c r="AM231" i="3"/>
  <c r="BI231" i="3" s="1"/>
  <c r="BO279" i="3"/>
  <c r="BS279" i="3"/>
  <c r="BV279" i="3"/>
  <c r="BU279" i="3"/>
  <c r="BF327" i="3"/>
  <c r="CS327" i="3"/>
  <c r="AR327" i="3"/>
  <c r="AS327" i="3" s="1"/>
  <c r="BK327" i="3"/>
  <c r="CT327" i="3"/>
  <c r="BH327" i="3"/>
  <c r="AK351" i="3"/>
  <c r="AJ351" i="3"/>
  <c r="BG351" i="3"/>
  <c r="AL351" i="3"/>
  <c r="CB375" i="3"/>
  <c r="AI375" i="3"/>
  <c r="BQ375" i="3"/>
  <c r="Y447" i="3"/>
  <c r="U447" i="3"/>
  <c r="W447" i="3" s="1"/>
  <c r="AQ471" i="3"/>
  <c r="AW471" i="3"/>
  <c r="CH471" i="3"/>
  <c r="CQ471" i="3"/>
  <c r="CI471" i="3"/>
  <c r="CP471" i="3"/>
  <c r="R471" i="3"/>
  <c r="AB471" i="3" s="1"/>
  <c r="F495" i="3" a="1"/>
  <c r="H495" i="3" a="1"/>
  <c r="I495" i="3" a="1"/>
  <c r="J495" i="3" s="1"/>
  <c r="T495" i="3" s="1"/>
  <c r="L495" i="3" a="1"/>
  <c r="M495" i="3" a="1"/>
  <c r="O495" i="3" s="1"/>
  <c r="P495" i="3" a="1"/>
  <c r="Q495" i="3" s="1"/>
  <c r="V495" i="3" s="1"/>
  <c r="AZ495" i="3" a="1"/>
  <c r="BA495" i="3" a="1"/>
  <c r="BC495" i="3" a="1"/>
  <c r="BD495" i="3" a="1"/>
  <c r="BX495" i="3" a="1"/>
  <c r="BW255" i="3"/>
  <c r="BY255" i="3" s="1"/>
  <c r="CO255" i="3"/>
  <c r="CK230" i="3"/>
  <c r="CL230" i="3"/>
  <c r="CM230" i="3"/>
  <c r="BZ230" i="3"/>
  <c r="CJ230" i="3"/>
  <c r="AN230" i="3"/>
  <c r="BJ230" i="3" s="1"/>
  <c r="CA230" i="3"/>
  <c r="AM230" i="3"/>
  <c r="BI230" i="3" s="1"/>
  <c r="BO278" i="3"/>
  <c r="BS278" i="3"/>
  <c r="BV278" i="3"/>
  <c r="BU278" i="3"/>
  <c r="BL302" i="3"/>
  <c r="BN302" i="3" s="1"/>
  <c r="BP302" i="3"/>
  <c r="BT302" i="3" s="1"/>
  <c r="BF326" i="3"/>
  <c r="CS326" i="3"/>
  <c r="AR326" i="3"/>
  <c r="AS326" i="3" s="1"/>
  <c r="BK326" i="3"/>
  <c r="CT326" i="3"/>
  <c r="BH326" i="3"/>
  <c r="CB374" i="3"/>
  <c r="AI374" i="3"/>
  <c r="BQ374" i="3"/>
  <c r="Y446" i="3"/>
  <c r="U446" i="3"/>
  <c r="W446" i="3" s="1"/>
  <c r="Z446" i="3" s="1"/>
  <c r="AC446" i="3" s="1"/>
  <c r="AD446" i="3" s="1"/>
  <c r="CR446" i="3" s="1"/>
  <c r="AQ470" i="3"/>
  <c r="AW470" i="3"/>
  <c r="CH470" i="3"/>
  <c r="CQ470" i="3"/>
  <c r="CI470" i="3"/>
  <c r="CP470" i="3"/>
  <c r="R470" i="3"/>
  <c r="AB470" i="3" s="1"/>
  <c r="F494" i="3" a="1"/>
  <c r="H494" i="3" a="1"/>
  <c r="I494" i="3" a="1"/>
  <c r="J494" i="3" s="1"/>
  <c r="T494" i="3" s="1"/>
  <c r="L494" i="3" a="1"/>
  <c r="M494" i="3" a="1"/>
  <c r="O494" i="3" s="1"/>
  <c r="P494" i="3" a="1"/>
  <c r="Q494" i="3" s="1"/>
  <c r="V494" i="3" s="1"/>
  <c r="AZ494" i="3" a="1"/>
  <c r="BA494" i="3" a="1"/>
  <c r="BC494" i="3" a="1"/>
  <c r="BD494" i="3" a="1"/>
  <c r="BX494" i="3" a="1"/>
  <c r="BW254" i="3"/>
  <c r="BY254" i="3" s="1"/>
  <c r="CO254" i="3"/>
  <c r="CM229" i="3"/>
  <c r="BZ229" i="3"/>
  <c r="CK229" i="3"/>
  <c r="CL229" i="3"/>
  <c r="CJ229" i="3"/>
  <c r="AN229" i="3"/>
  <c r="BJ229" i="3" s="1"/>
  <c r="CA229" i="3"/>
  <c r="AM229" i="3"/>
  <c r="BI229" i="3" s="1"/>
  <c r="CO253" i="3"/>
  <c r="BW253" i="3"/>
  <c r="BY253" i="3" s="1"/>
  <c r="BO277" i="3"/>
  <c r="BS277" i="3"/>
  <c r="BV277" i="3"/>
  <c r="BU277" i="3"/>
  <c r="BL301" i="3"/>
  <c r="BN301" i="3" s="1"/>
  <c r="BP301" i="3"/>
  <c r="BT301" i="3" s="1"/>
  <c r="BF325" i="3"/>
  <c r="CS325" i="3"/>
  <c r="AR325" i="3"/>
  <c r="AS325" i="3" s="1"/>
  <c r="BK325" i="3"/>
  <c r="CT325" i="3"/>
  <c r="BH325" i="3"/>
  <c r="AK349" i="3"/>
  <c r="AJ349" i="3"/>
  <c r="BG349" i="3"/>
  <c r="AL349" i="3"/>
  <c r="CB373" i="3"/>
  <c r="AI373" i="3"/>
  <c r="BQ373" i="3"/>
  <c r="Y445" i="3"/>
  <c r="U445" i="3"/>
  <c r="W445" i="3" s="1"/>
  <c r="AQ469" i="3"/>
  <c r="AW469" i="3"/>
  <c r="CH469" i="3"/>
  <c r="CQ469" i="3"/>
  <c r="CI469" i="3"/>
  <c r="CP469" i="3"/>
  <c r="R469" i="3"/>
  <c r="AB469" i="3" s="1"/>
  <c r="F493" i="3" a="1"/>
  <c r="H493" i="3" a="1"/>
  <c r="I493" i="3" a="1"/>
  <c r="J493" i="3" s="1"/>
  <c r="T493" i="3" s="1"/>
  <c r="L493" i="3" a="1"/>
  <c r="M493" i="3" a="1"/>
  <c r="O493" i="3" s="1"/>
  <c r="P493" i="3" a="1"/>
  <c r="Q493" i="3" s="1"/>
  <c r="V493" i="3" s="1"/>
  <c r="AZ493" i="3" a="1"/>
  <c r="BA493" i="3" a="1"/>
  <c r="BC493" i="3" a="1"/>
  <c r="BD493" i="3" a="1"/>
  <c r="BX493" i="3" a="1"/>
  <c r="CM228" i="3"/>
  <c r="BZ228" i="3"/>
  <c r="CK228" i="3"/>
  <c r="CL228" i="3"/>
  <c r="CJ228" i="3"/>
  <c r="AN228" i="3"/>
  <c r="BJ228" i="3" s="1"/>
  <c r="CA228" i="3"/>
  <c r="AM228" i="3"/>
  <c r="BI228" i="3" s="1"/>
  <c r="BW252" i="3"/>
  <c r="BY252" i="3" s="1"/>
  <c r="CO252" i="3"/>
  <c r="BO276" i="3"/>
  <c r="BS276" i="3"/>
  <c r="BV276" i="3"/>
  <c r="BU276" i="3"/>
  <c r="BL300" i="3"/>
  <c r="BN300" i="3" s="1"/>
  <c r="BP300" i="3"/>
  <c r="BT300" i="3" s="1"/>
  <c r="BF324" i="3"/>
  <c r="CS324" i="3"/>
  <c r="AR324" i="3"/>
  <c r="AS324" i="3" s="1"/>
  <c r="BK324" i="3"/>
  <c r="CT324" i="3"/>
  <c r="BH324" i="3"/>
  <c r="AJ348" i="3"/>
  <c r="AK348" i="3"/>
  <c r="BG348" i="3"/>
  <c r="AL348" i="3"/>
  <c r="CB372" i="3"/>
  <c r="AI372" i="3"/>
  <c r="BQ372" i="3"/>
  <c r="Y444" i="3"/>
  <c r="U444" i="3"/>
  <c r="W444" i="3" s="1"/>
  <c r="AQ468" i="3"/>
  <c r="AW468" i="3"/>
  <c r="CH468" i="3"/>
  <c r="CQ468" i="3"/>
  <c r="CI468" i="3"/>
  <c r="CP468" i="3"/>
  <c r="R468" i="3"/>
  <c r="AB468" i="3" s="1"/>
  <c r="F492" i="3" a="1"/>
  <c r="H492" i="3" a="1"/>
  <c r="I492" i="3" a="1"/>
  <c r="J492" i="3" s="1"/>
  <c r="T492" i="3" s="1"/>
  <c r="L492" i="3" a="1"/>
  <c r="M492" i="3" a="1"/>
  <c r="O492" i="3" s="1"/>
  <c r="P492" i="3" a="1"/>
  <c r="Q492" i="3" s="1"/>
  <c r="V492" i="3" s="1"/>
  <c r="AZ492" i="3" a="1"/>
  <c r="BA492" i="3" a="1"/>
  <c r="BC492" i="3" a="1"/>
  <c r="BD492" i="3" a="1"/>
  <c r="BX492" i="3" a="1"/>
  <c r="CM227" i="3"/>
  <c r="BZ227" i="3"/>
  <c r="CL227" i="3"/>
  <c r="CK227" i="3"/>
  <c r="CJ227" i="3"/>
  <c r="AN227" i="3"/>
  <c r="BJ227" i="3" s="1"/>
  <c r="CA227" i="3"/>
  <c r="AM227" i="3"/>
  <c r="BI227" i="3" s="1"/>
  <c r="BW251" i="3"/>
  <c r="BY251" i="3" s="1"/>
  <c r="CO251" i="3"/>
  <c r="BO275" i="3"/>
  <c r="BS275" i="3"/>
  <c r="BV275" i="3"/>
  <c r="BU275" i="3"/>
  <c r="BL299" i="3"/>
  <c r="BN299" i="3" s="1"/>
  <c r="BP299" i="3"/>
  <c r="BT299" i="3" s="1"/>
  <c r="BF323" i="3"/>
  <c r="CS323" i="3"/>
  <c r="AR323" i="3"/>
  <c r="AS323" i="3" s="1"/>
  <c r="BK323" i="3"/>
  <c r="CT323" i="3"/>
  <c r="BH323" i="3"/>
  <c r="CB371" i="3"/>
  <c r="AI371" i="3"/>
  <c r="BQ371" i="3"/>
  <c r="Y443" i="3"/>
  <c r="U443" i="3"/>
  <c r="W443" i="3" s="1"/>
  <c r="AQ467" i="3"/>
  <c r="AW467" i="3"/>
  <c r="CH467" i="3"/>
  <c r="CQ467" i="3"/>
  <c r="CI467" i="3"/>
  <c r="CP467" i="3"/>
  <c r="R467" i="3"/>
  <c r="AB467" i="3" s="1"/>
  <c r="F491" i="3" a="1"/>
  <c r="H491" i="3" a="1"/>
  <c r="I491" i="3" a="1"/>
  <c r="J491" i="3" s="1"/>
  <c r="T491" i="3" s="1"/>
  <c r="L491" i="3" a="1"/>
  <c r="M491" i="3" a="1"/>
  <c r="O491" i="3" s="1"/>
  <c r="P491" i="3" a="1"/>
  <c r="Q491" i="3" s="1"/>
  <c r="V491" i="3" s="1"/>
  <c r="AZ491" i="3" a="1"/>
  <c r="BA491" i="3" a="1"/>
  <c r="BC491" i="3" a="1"/>
  <c r="BD491" i="3" a="1"/>
  <c r="BX491" i="3" a="1"/>
  <c r="BZ226" i="3"/>
  <c r="CL226" i="3"/>
  <c r="CM226" i="3"/>
  <c r="CK226" i="3"/>
  <c r="CJ226" i="3"/>
  <c r="AN226" i="3"/>
  <c r="BJ226" i="3" s="1"/>
  <c r="CA226" i="3"/>
  <c r="AM226" i="3"/>
  <c r="BI226" i="3" s="1"/>
  <c r="BW250" i="3"/>
  <c r="BY250" i="3" s="1"/>
  <c r="CO250" i="3"/>
  <c r="BO274" i="3"/>
  <c r="BS274" i="3"/>
  <c r="BV274" i="3"/>
  <c r="BU274" i="3"/>
  <c r="BL298" i="3"/>
  <c r="BN298" i="3" s="1"/>
  <c r="BP298" i="3"/>
  <c r="BT298" i="3" s="1"/>
  <c r="AK346" i="3"/>
  <c r="AJ346" i="3"/>
  <c r="BG346" i="3"/>
  <c r="AL346" i="3"/>
  <c r="CB370" i="3"/>
  <c r="AI370" i="3"/>
  <c r="BQ370" i="3"/>
  <c r="Y442" i="3"/>
  <c r="U442" i="3"/>
  <c r="W442" i="3" s="1"/>
  <c r="AQ466" i="3"/>
  <c r="AW466" i="3"/>
  <c r="CH466" i="3"/>
  <c r="CQ466" i="3"/>
  <c r="CI466" i="3"/>
  <c r="CP466" i="3"/>
  <c r="R466" i="3"/>
  <c r="AB466" i="3" s="1"/>
  <c r="F490" i="3" a="1"/>
  <c r="H490" i="3" a="1"/>
  <c r="I490" i="3" a="1"/>
  <c r="J490" i="3" s="1"/>
  <c r="T490" i="3" s="1"/>
  <c r="L490" i="3" a="1"/>
  <c r="M490" i="3" a="1"/>
  <c r="O490" i="3" s="1"/>
  <c r="P490" i="3" a="1"/>
  <c r="Q490" i="3" s="1"/>
  <c r="V490" i="3" s="1"/>
  <c r="AZ490" i="3" a="1"/>
  <c r="BA490" i="3" a="1"/>
  <c r="BC490" i="3" a="1"/>
  <c r="BD490" i="3" a="1"/>
  <c r="BX490" i="3" a="1"/>
  <c r="CM225" i="3"/>
  <c r="BZ225" i="3"/>
  <c r="CK225" i="3"/>
  <c r="CL225" i="3"/>
  <c r="CJ225" i="3"/>
  <c r="AN225" i="3"/>
  <c r="BJ225" i="3" s="1"/>
  <c r="CA225" i="3"/>
  <c r="AM225" i="3"/>
  <c r="BI225" i="3" s="1"/>
  <c r="BW249" i="3"/>
  <c r="BY249" i="3" s="1"/>
  <c r="CO249" i="3"/>
  <c r="BO273" i="3"/>
  <c r="BS273" i="3"/>
  <c r="BV273" i="3"/>
  <c r="BU273" i="3"/>
  <c r="BL297" i="3"/>
  <c r="BN297" i="3" s="1"/>
  <c r="BP297" i="3"/>
  <c r="BT297" i="3" s="1"/>
  <c r="BF321" i="3"/>
  <c r="CS321" i="3"/>
  <c r="AR321" i="3"/>
  <c r="AS321" i="3" s="1"/>
  <c r="BK321" i="3"/>
  <c r="CT321" i="3"/>
  <c r="BH321" i="3"/>
  <c r="AK345" i="3"/>
  <c r="AJ345" i="3"/>
  <c r="BG345" i="3"/>
  <c r="AL345" i="3"/>
  <c r="CB369" i="3"/>
  <c r="AI369" i="3"/>
  <c r="BQ369" i="3"/>
  <c r="Y441" i="3"/>
  <c r="U441" i="3"/>
  <c r="W441" i="3" s="1"/>
  <c r="AQ465" i="3"/>
  <c r="AW465" i="3"/>
  <c r="CH465" i="3"/>
  <c r="CQ465" i="3"/>
  <c r="CI465" i="3"/>
  <c r="CP465" i="3"/>
  <c r="R465" i="3"/>
  <c r="AB465" i="3" s="1"/>
  <c r="F489" i="3" a="1"/>
  <c r="H489" i="3" a="1"/>
  <c r="I489" i="3" a="1"/>
  <c r="J489" i="3" s="1"/>
  <c r="T489" i="3" s="1"/>
  <c r="L489" i="3" a="1"/>
  <c r="M489" i="3" a="1"/>
  <c r="O489" i="3" s="1"/>
  <c r="P489" i="3" a="1"/>
  <c r="Q489" i="3" s="1"/>
  <c r="V489" i="3" s="1"/>
  <c r="AZ489" i="3" a="1"/>
  <c r="BA489" i="3" a="1"/>
  <c r="BC489" i="3" a="1"/>
  <c r="BD489" i="3" a="1"/>
  <c r="BX489" i="3" a="1"/>
  <c r="CM224" i="3"/>
  <c r="BZ224" i="3"/>
  <c r="CK224" i="3"/>
  <c r="CL224" i="3"/>
  <c r="CJ224" i="3"/>
  <c r="AN224" i="3"/>
  <c r="BJ224" i="3" s="1"/>
  <c r="CA224" i="3"/>
  <c r="AM224" i="3"/>
  <c r="BI224" i="3" s="1"/>
  <c r="BW248" i="3"/>
  <c r="BY248" i="3" s="1"/>
  <c r="CO248" i="3"/>
  <c r="BO272" i="3"/>
  <c r="BS272" i="3"/>
  <c r="BV272" i="3"/>
  <c r="BU272" i="3"/>
  <c r="BL296" i="3"/>
  <c r="BN296" i="3" s="1"/>
  <c r="BP296" i="3"/>
  <c r="BT296" i="3" s="1"/>
  <c r="BF320" i="3"/>
  <c r="CS320" i="3"/>
  <c r="AR320" i="3"/>
  <c r="AS320" i="3" s="1"/>
  <c r="BK320" i="3"/>
  <c r="CT320" i="3"/>
  <c r="BH320" i="3"/>
  <c r="AK344" i="3"/>
  <c r="AJ344" i="3"/>
  <c r="BG344" i="3"/>
  <c r="AL344" i="3"/>
  <c r="CB368" i="3"/>
  <c r="AI368" i="3"/>
  <c r="BQ368" i="3"/>
  <c r="Y440" i="3"/>
  <c r="U440" i="3"/>
  <c r="W440" i="3" s="1"/>
  <c r="AQ464" i="3"/>
  <c r="AW464" i="3"/>
  <c r="CH464" i="3"/>
  <c r="CQ464" i="3"/>
  <c r="CI464" i="3"/>
  <c r="CP464" i="3"/>
  <c r="R464" i="3"/>
  <c r="AB464" i="3" s="1"/>
  <c r="F488" i="3" a="1"/>
  <c r="H488" i="3" a="1"/>
  <c r="I488" i="3" a="1"/>
  <c r="J488" i="3" s="1"/>
  <c r="T488" i="3" s="1"/>
  <c r="L488" i="3" a="1"/>
  <c r="M488" i="3" a="1"/>
  <c r="O488" i="3" s="1"/>
  <c r="P488" i="3" a="1"/>
  <c r="Q488" i="3" s="1"/>
  <c r="V488" i="3" s="1"/>
  <c r="AZ488" i="3" a="1"/>
  <c r="BA488" i="3" a="1"/>
  <c r="BC488" i="3" a="1"/>
  <c r="BD488" i="3" a="1"/>
  <c r="BX488" i="3" a="1"/>
  <c r="CM223" i="3"/>
  <c r="BZ223" i="3"/>
  <c r="CK223" i="3"/>
  <c r="CL223" i="3"/>
  <c r="CJ223" i="3"/>
  <c r="AN223" i="3"/>
  <c r="BJ223" i="3" s="1"/>
  <c r="CA223" i="3"/>
  <c r="AM223" i="3"/>
  <c r="BI223" i="3" s="1"/>
  <c r="BW247" i="3"/>
  <c r="BY247" i="3" s="1"/>
  <c r="CO247" i="3"/>
  <c r="BO271" i="3"/>
  <c r="BS271" i="3"/>
  <c r="BV271" i="3"/>
  <c r="BU271" i="3"/>
  <c r="BL295" i="3"/>
  <c r="BN295" i="3" s="1"/>
  <c r="BP295" i="3"/>
  <c r="BT295" i="3" s="1"/>
  <c r="BF319" i="3"/>
  <c r="CS319" i="3"/>
  <c r="AR319" i="3"/>
  <c r="AS319" i="3" s="1"/>
  <c r="BK319" i="3"/>
  <c r="CT319" i="3"/>
  <c r="BH319" i="3"/>
  <c r="AK343" i="3"/>
  <c r="AJ343" i="3"/>
  <c r="BG343" i="3"/>
  <c r="AL343" i="3"/>
  <c r="AQ463" i="3"/>
  <c r="AW463" i="3"/>
  <c r="CH463" i="3"/>
  <c r="CQ463" i="3"/>
  <c r="CI463" i="3"/>
  <c r="CP463" i="3"/>
  <c r="R463" i="3"/>
  <c r="AB463" i="3" s="1"/>
  <c r="F487" i="3" a="1"/>
  <c r="H487" i="3" a="1"/>
  <c r="I487" i="3" a="1"/>
  <c r="J487" i="3" s="1"/>
  <c r="T487" i="3" s="1"/>
  <c r="L487" i="3" a="1"/>
  <c r="M487" i="3" a="1"/>
  <c r="O487" i="3" s="1"/>
  <c r="P487" i="3" a="1"/>
  <c r="Q487" i="3" s="1"/>
  <c r="V487" i="3" s="1"/>
  <c r="AZ487" i="3" a="1"/>
  <c r="BA487" i="3" a="1"/>
  <c r="BC487" i="3" a="1"/>
  <c r="BD487" i="3" a="1"/>
  <c r="BX487" i="3" a="1"/>
  <c r="Y439" i="3"/>
  <c r="U439" i="3"/>
  <c r="W439" i="3" s="1"/>
  <c r="CM222" i="3"/>
  <c r="BZ222" i="3"/>
  <c r="CK222" i="3"/>
  <c r="CL222" i="3"/>
  <c r="CJ222" i="3"/>
  <c r="AN222" i="3"/>
  <c r="BJ222" i="3" s="1"/>
  <c r="CA222" i="3"/>
  <c r="AM222" i="3"/>
  <c r="BI222" i="3" s="1"/>
  <c r="BW246" i="3"/>
  <c r="BY246" i="3" s="1"/>
  <c r="CO246" i="3"/>
  <c r="BO270" i="3"/>
  <c r="BS270" i="3"/>
  <c r="BV270" i="3"/>
  <c r="BU270" i="3"/>
  <c r="BL294" i="3"/>
  <c r="BN294" i="3" s="1"/>
  <c r="BP294" i="3"/>
  <c r="BT294" i="3" s="1"/>
  <c r="BF318" i="3"/>
  <c r="CS318" i="3"/>
  <c r="AR318" i="3"/>
  <c r="AS318" i="3" s="1"/>
  <c r="BK318" i="3"/>
  <c r="CT318" i="3"/>
  <c r="BH318" i="3"/>
  <c r="AK342" i="3"/>
  <c r="AJ342" i="3"/>
  <c r="BG342" i="3"/>
  <c r="AL342" i="3"/>
  <c r="CB366" i="3"/>
  <c r="AI366" i="3"/>
  <c r="BQ366" i="3"/>
  <c r="Y438" i="3"/>
  <c r="U438" i="3"/>
  <c r="W438" i="3" s="1"/>
  <c r="AQ462" i="3"/>
  <c r="AW462" i="3"/>
  <c r="CH462" i="3"/>
  <c r="CQ462" i="3"/>
  <c r="CI462" i="3"/>
  <c r="CP462" i="3"/>
  <c r="R462" i="3"/>
  <c r="AB462" i="3" s="1"/>
  <c r="F486" i="3" a="1"/>
  <c r="H486" i="3" a="1"/>
  <c r="I486" i="3" a="1"/>
  <c r="J486" i="3" s="1"/>
  <c r="T486" i="3" s="1"/>
  <c r="L486" i="3" a="1"/>
  <c r="M486" i="3" a="1"/>
  <c r="O486" i="3" s="1"/>
  <c r="P486" i="3" a="1"/>
  <c r="Q486" i="3" s="1"/>
  <c r="V486" i="3" s="1"/>
  <c r="AZ486" i="3" a="1"/>
  <c r="BA486" i="3" a="1"/>
  <c r="BC486" i="3" a="1"/>
  <c r="BD486" i="3" a="1"/>
  <c r="BX486" i="3" a="1"/>
  <c r="CM221" i="3"/>
  <c r="BZ221" i="3"/>
  <c r="CK221" i="3"/>
  <c r="CL221" i="3"/>
  <c r="CJ221" i="3"/>
  <c r="AN221" i="3"/>
  <c r="BJ221" i="3" s="1"/>
  <c r="CA221" i="3"/>
  <c r="AM221" i="3"/>
  <c r="BI221" i="3" s="1"/>
  <c r="BW245" i="3"/>
  <c r="BY245" i="3" s="1"/>
  <c r="CO245" i="3"/>
  <c r="BO269" i="3"/>
  <c r="BS269" i="3"/>
  <c r="BV269" i="3"/>
  <c r="BU269" i="3"/>
  <c r="BL293" i="3"/>
  <c r="BN293" i="3" s="1"/>
  <c r="BP293" i="3"/>
  <c r="BT293" i="3" s="1"/>
  <c r="BF317" i="3"/>
  <c r="CS317" i="3"/>
  <c r="AR317" i="3"/>
  <c r="AS317" i="3" s="1"/>
  <c r="BK317" i="3"/>
  <c r="CT317" i="3"/>
  <c r="BH317" i="3"/>
  <c r="AK341" i="3"/>
  <c r="BG341" i="3"/>
  <c r="AJ341" i="3"/>
  <c r="AL341" i="3"/>
  <c r="Y437" i="3"/>
  <c r="U437" i="3"/>
  <c r="W437" i="3" s="1"/>
  <c r="AQ461" i="3"/>
  <c r="AW461" i="3"/>
  <c r="CH461" i="3"/>
  <c r="CQ461" i="3"/>
  <c r="CI461" i="3"/>
  <c r="CP461" i="3"/>
  <c r="R461" i="3"/>
  <c r="AB461" i="3" s="1"/>
  <c r="F485" i="3" a="1"/>
  <c r="H485" i="3" a="1"/>
  <c r="I485" i="3" a="1"/>
  <c r="J485" i="3" s="1"/>
  <c r="T485" i="3" s="1"/>
  <c r="L485" i="3" a="1"/>
  <c r="M485" i="3" a="1"/>
  <c r="O485" i="3" s="1"/>
  <c r="P485" i="3" a="1"/>
  <c r="Q485" i="3" s="1"/>
  <c r="V485" i="3" s="1"/>
  <c r="AZ485" i="3" a="1"/>
  <c r="BA485" i="3" a="1"/>
  <c r="BC485" i="3" a="1"/>
  <c r="BD485" i="3" a="1"/>
  <c r="BX485" i="3" a="1"/>
  <c r="CM220" i="3"/>
  <c r="BZ220" i="3"/>
  <c r="CK220" i="3"/>
  <c r="CL220" i="3"/>
  <c r="CJ220" i="3"/>
  <c r="AN220" i="3"/>
  <c r="BJ220" i="3" s="1"/>
  <c r="CA220" i="3"/>
  <c r="AM220" i="3"/>
  <c r="BI220" i="3" s="1"/>
  <c r="BW244" i="3"/>
  <c r="BY244" i="3" s="1"/>
  <c r="CO244" i="3"/>
  <c r="BO268" i="3"/>
  <c r="BS268" i="3"/>
  <c r="BV268" i="3"/>
  <c r="BU268" i="3"/>
  <c r="BL292" i="3"/>
  <c r="BN292" i="3" s="1"/>
  <c r="BP292" i="3"/>
  <c r="BT292" i="3" s="1"/>
  <c r="AK340" i="3"/>
  <c r="AJ340" i="3"/>
  <c r="BG340" i="3"/>
  <c r="AL340" i="3"/>
  <c r="CB364" i="3"/>
  <c r="AI364" i="3"/>
  <c r="BQ364" i="3"/>
  <c r="AQ460" i="3"/>
  <c r="AW460" i="3"/>
  <c r="CH460" i="3"/>
  <c r="CQ460" i="3"/>
  <c r="CI460" i="3"/>
  <c r="CP460" i="3"/>
  <c r="R460" i="3"/>
  <c r="AB460" i="3" s="1"/>
  <c r="F484" i="3" a="1"/>
  <c r="H484" i="3" a="1"/>
  <c r="I484" i="3" a="1"/>
  <c r="J484" i="3" s="1"/>
  <c r="T484" i="3" s="1"/>
  <c r="L484" i="3" a="1"/>
  <c r="M484" i="3" a="1"/>
  <c r="O484" i="3" s="1"/>
  <c r="P484" i="3" a="1"/>
  <c r="Q484" i="3" s="1"/>
  <c r="V484" i="3" s="1"/>
  <c r="AZ484" i="3" a="1"/>
  <c r="BA484" i="3" a="1"/>
  <c r="BC484" i="3" a="1"/>
  <c r="BD484" i="3" a="1"/>
  <c r="BX484" i="3" a="1"/>
  <c r="Y436" i="3"/>
  <c r="U436" i="3"/>
  <c r="W436" i="3" s="1"/>
  <c r="CM219" i="3"/>
  <c r="CL219" i="3"/>
  <c r="BZ219" i="3"/>
  <c r="CK219" i="3"/>
  <c r="CJ219" i="3"/>
  <c r="AN219" i="3"/>
  <c r="BJ219" i="3" s="1"/>
  <c r="CA219" i="3"/>
  <c r="AM219" i="3"/>
  <c r="BI219" i="3" s="1"/>
  <c r="BW243" i="3"/>
  <c r="BY243" i="3" s="1"/>
  <c r="CO243" i="3"/>
  <c r="BO267" i="3"/>
  <c r="BS267" i="3"/>
  <c r="BV267" i="3"/>
  <c r="BU267" i="3"/>
  <c r="BF315" i="3"/>
  <c r="CS315" i="3"/>
  <c r="AR315" i="3"/>
  <c r="AS315" i="3" s="1"/>
  <c r="BK315" i="3"/>
  <c r="CT315" i="3"/>
  <c r="BH315" i="3"/>
  <c r="CB363" i="3"/>
  <c r="AI363" i="3"/>
  <c r="BQ363" i="3"/>
  <c r="AQ459" i="3"/>
  <c r="AW459" i="3"/>
  <c r="CH459" i="3"/>
  <c r="CQ459" i="3"/>
  <c r="CI459" i="3"/>
  <c r="CP459" i="3"/>
  <c r="R459" i="3"/>
  <c r="AB459" i="3" s="1"/>
  <c r="F483" i="3" a="1"/>
  <c r="H483" i="3" a="1"/>
  <c r="I483" i="3" a="1"/>
  <c r="J483" i="3" s="1"/>
  <c r="T483" i="3" s="1"/>
  <c r="L483" i="3" a="1"/>
  <c r="M483" i="3" a="1"/>
  <c r="O483" i="3" s="1"/>
  <c r="P483" i="3" a="1"/>
  <c r="Q483" i="3" s="1"/>
  <c r="V483" i="3" s="1"/>
  <c r="AZ483" i="3" a="1"/>
  <c r="BA483" i="3" a="1"/>
  <c r="BC483" i="3" a="1"/>
  <c r="BD483" i="3" a="1"/>
  <c r="BX483" i="3" a="1"/>
  <c r="Y435" i="3"/>
  <c r="U435" i="3"/>
  <c r="W435" i="3" s="1"/>
  <c r="CM218" i="3"/>
  <c r="BZ218" i="3"/>
  <c r="CK218" i="3"/>
  <c r="CL218" i="3"/>
  <c r="CJ218" i="3"/>
  <c r="AN218" i="3"/>
  <c r="BJ218" i="3" s="1"/>
  <c r="CA218" i="3"/>
  <c r="AM218" i="3"/>
  <c r="BI218" i="3" s="1"/>
  <c r="BW242" i="3"/>
  <c r="BY242" i="3" s="1"/>
  <c r="CO242" i="3"/>
  <c r="BO266" i="3"/>
  <c r="BS266" i="3"/>
  <c r="BV266" i="3"/>
  <c r="BU266" i="3"/>
  <c r="BL290" i="3"/>
  <c r="BN290" i="3" s="1"/>
  <c r="BP290" i="3"/>
  <c r="BT290" i="3" s="1"/>
  <c r="BF314" i="3"/>
  <c r="CS314" i="3"/>
  <c r="AR314" i="3"/>
  <c r="AS314" i="3" s="1"/>
  <c r="BK314" i="3"/>
  <c r="CT314" i="3"/>
  <c r="BH314" i="3"/>
  <c r="AJ338" i="3"/>
  <c r="AK338" i="3"/>
  <c r="BG338" i="3"/>
  <c r="AL338" i="3"/>
  <c r="Y434" i="3"/>
  <c r="U434" i="3"/>
  <c r="W434" i="3" s="1"/>
  <c r="AQ458" i="3"/>
  <c r="AW458" i="3"/>
  <c r="CH458" i="3"/>
  <c r="CQ458" i="3"/>
  <c r="CI458" i="3"/>
  <c r="CP458" i="3"/>
  <c r="R458" i="3"/>
  <c r="AB458" i="3" s="1"/>
  <c r="F482" i="3" a="1"/>
  <c r="H482" i="3" a="1"/>
  <c r="I482" i="3" a="1"/>
  <c r="J482" i="3" s="1"/>
  <c r="T482" i="3" s="1"/>
  <c r="L482" i="3" a="1"/>
  <c r="M482" i="3" a="1"/>
  <c r="O482" i="3" s="1"/>
  <c r="P482" i="3" a="1"/>
  <c r="Q482" i="3" s="1"/>
  <c r="V482" i="3" s="1"/>
  <c r="AZ482" i="3" a="1"/>
  <c r="BA482" i="3" a="1"/>
  <c r="BC482" i="3" a="1"/>
  <c r="BD482" i="3" a="1"/>
  <c r="BX482" i="3" a="1"/>
  <c r="CM217" i="3"/>
  <c r="BZ217" i="3"/>
  <c r="CK217" i="3"/>
  <c r="CL217" i="3"/>
  <c r="CJ217" i="3"/>
  <c r="AN217" i="3"/>
  <c r="BJ217" i="3" s="1"/>
  <c r="CA217" i="3"/>
  <c r="AM217" i="3"/>
  <c r="BI217" i="3" s="1"/>
  <c r="BW241" i="3"/>
  <c r="BY241" i="3" s="1"/>
  <c r="CO241" i="3"/>
  <c r="BV265" i="3"/>
  <c r="BU265" i="3"/>
  <c r="BL289" i="3"/>
  <c r="BN289" i="3" s="1"/>
  <c r="BP289" i="3"/>
  <c r="BT289" i="3" s="1"/>
  <c r="BF313" i="3"/>
  <c r="CS313" i="3"/>
  <c r="AR313" i="3"/>
  <c r="AS313" i="3" s="1"/>
  <c r="BK313" i="3"/>
  <c r="CT313" i="3"/>
  <c r="BH313" i="3"/>
  <c r="AK337" i="3"/>
  <c r="AJ337" i="3"/>
  <c r="BG337" i="3"/>
  <c r="AL337" i="3"/>
  <c r="CB361" i="3"/>
  <c r="AI361" i="3"/>
  <c r="BQ361" i="3"/>
  <c r="Y433" i="3"/>
  <c r="U433" i="3"/>
  <c r="W433" i="3" s="1"/>
  <c r="AQ457" i="3"/>
  <c r="AW457" i="3"/>
  <c r="CH457" i="3"/>
  <c r="CQ457" i="3"/>
  <c r="CI457" i="3"/>
  <c r="CP457" i="3"/>
  <c r="R457" i="3"/>
  <c r="AB457" i="3" s="1"/>
  <c r="F481" i="3" a="1"/>
  <c r="H481" i="3" a="1"/>
  <c r="I481" i="3" a="1"/>
  <c r="J481" i="3" s="1"/>
  <c r="T481" i="3" s="1"/>
  <c r="L481" i="3" a="1"/>
  <c r="M481" i="3" a="1"/>
  <c r="O481" i="3" s="1"/>
  <c r="P481" i="3" a="1"/>
  <c r="Q481" i="3" s="1"/>
  <c r="V481" i="3" s="1"/>
  <c r="AZ481" i="3" a="1"/>
  <c r="BA481" i="3" a="1"/>
  <c r="BC481" i="3" a="1"/>
  <c r="BD481" i="3" a="1"/>
  <c r="BX481" i="3" a="1"/>
  <c r="CM216" i="3"/>
  <c r="BZ216" i="3"/>
  <c r="CK216" i="3"/>
  <c r="CL216" i="3"/>
  <c r="CJ216" i="3"/>
  <c r="AN216" i="3"/>
  <c r="BJ216" i="3" s="1"/>
  <c r="CA216" i="3"/>
  <c r="AM216" i="3"/>
  <c r="BI216" i="3" s="1"/>
  <c r="BW240" i="3"/>
  <c r="BY240" i="3" s="1"/>
  <c r="CO240" i="3"/>
  <c r="BV264" i="3"/>
  <c r="BU264" i="3"/>
  <c r="BL288" i="3"/>
  <c r="BN288" i="3" s="1"/>
  <c r="BP288" i="3"/>
  <c r="BT288" i="3" s="1"/>
  <c r="BF312" i="3"/>
  <c r="CS312" i="3"/>
  <c r="AR312" i="3"/>
  <c r="AS312" i="3" s="1"/>
  <c r="BK312" i="3"/>
  <c r="CT312" i="3"/>
  <c r="BH312" i="3"/>
  <c r="AK336" i="3"/>
  <c r="AJ336" i="3"/>
  <c r="BG336" i="3"/>
  <c r="AL336" i="3"/>
  <c r="CB360" i="3"/>
  <c r="AI360" i="3"/>
  <c r="BQ360" i="3"/>
  <c r="Y432" i="3"/>
  <c r="U432" i="3"/>
  <c r="W432" i="3" s="1"/>
  <c r="AQ456" i="3"/>
  <c r="AW456" i="3"/>
  <c r="CH456" i="3"/>
  <c r="CQ456" i="3"/>
  <c r="CI456" i="3"/>
  <c r="CP456" i="3"/>
  <c r="R456" i="3"/>
  <c r="AB456" i="3" s="1"/>
  <c r="F480" i="3" a="1"/>
  <c r="H480" i="3" a="1"/>
  <c r="I480" i="3" a="1"/>
  <c r="J480" i="3" s="1"/>
  <c r="T480" i="3" s="1"/>
  <c r="L480" i="3" a="1"/>
  <c r="M480" i="3" a="1"/>
  <c r="O480" i="3" s="1"/>
  <c r="P480" i="3" a="1"/>
  <c r="Q480" i="3" s="1"/>
  <c r="V480" i="3" s="1"/>
  <c r="AZ480" i="3" a="1"/>
  <c r="BA480" i="3" a="1"/>
  <c r="BC480" i="3" a="1"/>
  <c r="BD480" i="3" a="1"/>
  <c r="BX480" i="3" a="1"/>
  <c r="M16" i="19"/>
  <c r="BJ21" i="3"/>
  <c r="U16" i="19"/>
  <c r="O17" i="13"/>
  <c r="AH17" i="13" s="1"/>
  <c r="AN16" i="19"/>
  <c r="L17" i="13"/>
  <c r="AE17" i="13" s="1"/>
  <c r="P43" i="13"/>
  <c r="AE43" i="13" s="1"/>
  <c r="P17" i="13"/>
  <c r="AI17" i="13" s="1"/>
  <c r="U17" i="13"/>
  <c r="AO17" i="13" s="1"/>
  <c r="J17" i="13"/>
  <c r="AC17" i="13" s="1"/>
  <c r="K17" i="13"/>
  <c r="AD17" i="13" s="1"/>
  <c r="Q17" i="13"/>
  <c r="AJ17" i="13" s="1"/>
  <c r="T17" i="13"/>
  <c r="AN17" i="13" s="1"/>
  <c r="F17" i="13"/>
  <c r="I17" i="13"/>
  <c r="AB17" i="13" s="1"/>
  <c r="M17" i="13"/>
  <c r="AF17" i="13" s="1"/>
  <c r="N17" i="13"/>
  <c r="AG17" i="13" s="1"/>
  <c r="R17" i="13"/>
  <c r="AK17" i="13" s="1"/>
  <c r="N16" i="19"/>
  <c r="BI21" i="3"/>
  <c r="CA111" i="3"/>
  <c r="AM111" i="3"/>
  <c r="BI111" i="3" s="1"/>
  <c r="AN111" i="3"/>
  <c r="BJ111" i="3" s="1"/>
  <c r="CJ111" i="3"/>
  <c r="CL111" i="3"/>
  <c r="CK111" i="3"/>
  <c r="BZ111" i="3"/>
  <c r="CM111" i="3"/>
  <c r="CO112" i="3"/>
  <c r="BY112" i="3"/>
  <c r="CB112" i="3"/>
  <c r="BX113" i="3" a="1"/>
  <c r="AB200" i="4"/>
  <c r="AA200" i="4" s="1"/>
  <c r="H201" i="4"/>
  <c r="Z35" i="13"/>
  <c r="Z61" i="13" s="1"/>
  <c r="E61" i="13"/>
  <c r="BY70" i="3"/>
  <c r="BZ215" i="3"/>
  <c r="CM215" i="3"/>
  <c r="CL215" i="3"/>
  <c r="CK215" i="3"/>
  <c r="CJ215" i="3"/>
  <c r="AN215" i="3"/>
  <c r="BJ215" i="3" s="1"/>
  <c r="CA215" i="3"/>
  <c r="AM215" i="3"/>
  <c r="BI215" i="3" s="1"/>
  <c r="CK214" i="3"/>
  <c r="CL214" i="3"/>
  <c r="CM214" i="3"/>
  <c r="BZ214" i="3"/>
  <c r="CJ214" i="3"/>
  <c r="AN214" i="3"/>
  <c r="BJ214" i="3" s="1"/>
  <c r="CA214" i="3"/>
  <c r="AM214" i="3"/>
  <c r="BI214" i="3" s="1"/>
  <c r="CM189" i="3"/>
  <c r="BZ189" i="3"/>
  <c r="M23" i="19" s="1"/>
  <c r="G24" i="13" s="1"/>
  <c r="X24" i="13" s="1"/>
  <c r="CK189" i="3"/>
  <c r="CL189" i="3"/>
  <c r="CJ189" i="3"/>
  <c r="AN189" i="3"/>
  <c r="AD23" i="19"/>
  <c r="U24" i="13" s="1"/>
  <c r="AO24" i="13" s="1"/>
  <c r="T23" i="19"/>
  <c r="G50" i="13" s="1"/>
  <c r="AF50" i="13" s="1"/>
  <c r="AM23" i="19"/>
  <c r="P50" i="13" s="1"/>
  <c r="AE50" i="13" s="1"/>
  <c r="AK50" i="13" s="1"/>
  <c r="AE23" i="19"/>
  <c r="T24" i="13" s="1"/>
  <c r="AN24" i="13" s="1"/>
  <c r="AC23" i="19"/>
  <c r="R24" i="13" s="1"/>
  <c r="AK24" i="13" s="1"/>
  <c r="Z23" i="19"/>
  <c r="O24" i="13" s="1"/>
  <c r="AH24" i="13" s="1"/>
  <c r="W23" i="19"/>
  <c r="X23" i="19"/>
  <c r="M24" i="13" s="1"/>
  <c r="AF24" i="13" s="1"/>
  <c r="AJ23" i="19"/>
  <c r="M50" i="13" s="1"/>
  <c r="AB50" i="13" s="1"/>
  <c r="AP50" i="13" s="1"/>
  <c r="AA23" i="19"/>
  <c r="P24" i="13" s="1"/>
  <c r="AI24" i="13" s="1"/>
  <c r="Q23" i="19"/>
  <c r="J24" i="13" s="1"/>
  <c r="AC24" i="13" s="1"/>
  <c r="R23" i="19"/>
  <c r="K24" i="13" s="1"/>
  <c r="AD24" i="13" s="1"/>
  <c r="S23" i="19"/>
  <c r="I24" i="13" s="1"/>
  <c r="AB24" i="13" s="1"/>
  <c r="Y23" i="19"/>
  <c r="N24" i="13" s="1"/>
  <c r="AG24" i="13" s="1"/>
  <c r="AB23" i="19"/>
  <c r="Q24" i="13" s="1"/>
  <c r="AJ24" i="13" s="1"/>
  <c r="P23" i="19"/>
  <c r="F24" i="13" s="1"/>
  <c r="CA189" i="3"/>
  <c r="N23" i="19" s="1"/>
  <c r="H24" i="13" s="1"/>
  <c r="Y24" i="13" s="1"/>
  <c r="AM189" i="3"/>
  <c r="BI189" i="3" s="1"/>
  <c r="BW239" i="3"/>
  <c r="BY239" i="3" s="1"/>
  <c r="CO239" i="3"/>
  <c r="BW238" i="3"/>
  <c r="BY238" i="3" s="1"/>
  <c r="CO238" i="3"/>
  <c r="BJ141" i="3"/>
  <c r="AK21" i="19" s="1"/>
  <c r="N48" i="13" s="1"/>
  <c r="AC48" i="13" s="1"/>
  <c r="U21" i="19"/>
  <c r="H48" i="13" s="1"/>
  <c r="AG48" i="13" s="1"/>
  <c r="L22" i="13"/>
  <c r="AE22" i="13" s="1"/>
  <c r="AN21" i="19"/>
  <c r="Q48" i="13" s="1"/>
  <c r="AH48" i="13" s="1"/>
  <c r="F48" i="13"/>
  <c r="AA22" i="13"/>
  <c r="AA48" i="13" s="1"/>
  <c r="BW213" i="3"/>
  <c r="BY213" i="3" s="1"/>
  <c r="CO213" i="3"/>
  <c r="BV263" i="3"/>
  <c r="BU263" i="3"/>
  <c r="BV262" i="3"/>
  <c r="BU262" i="3"/>
  <c r="BO262" i="3"/>
  <c r="BS262" i="3"/>
  <c r="BT165" i="3"/>
  <c r="BN165" i="3"/>
  <c r="BP261" i="3"/>
  <c r="BT261" i="3" s="1"/>
  <c r="BL261" i="3"/>
  <c r="BN261" i="3" s="1"/>
  <c r="BF310" i="3"/>
  <c r="CS310" i="3"/>
  <c r="AR310" i="3"/>
  <c r="AS310" i="3" s="1"/>
  <c r="BK310" i="3"/>
  <c r="CT310" i="3"/>
  <c r="BH310" i="3"/>
  <c r="BF285" i="3"/>
  <c r="CS285" i="3"/>
  <c r="AR285" i="3"/>
  <c r="AS285" i="3" s="1"/>
  <c r="BK285" i="3"/>
  <c r="CT285" i="3"/>
  <c r="BH285" i="3"/>
  <c r="AK335" i="3"/>
  <c r="AJ335" i="3"/>
  <c r="BG335" i="3"/>
  <c r="AL335" i="3"/>
  <c r="BG334" i="3"/>
  <c r="AJ334" i="3"/>
  <c r="AK334" i="3"/>
  <c r="AL334" i="3"/>
  <c r="AK309" i="3"/>
  <c r="BG309" i="3"/>
  <c r="AJ309" i="3"/>
  <c r="AL309" i="3"/>
  <c r="BF291" i="3"/>
  <c r="CS291" i="3"/>
  <c r="AR291" i="3"/>
  <c r="AS291" i="3" s="1"/>
  <c r="BK291" i="3"/>
  <c r="CT291" i="3"/>
  <c r="BH291" i="3"/>
  <c r="CB358" i="3"/>
  <c r="AI358" i="3"/>
  <c r="BQ358" i="3"/>
  <c r="CB333" i="3"/>
  <c r="AI333" i="3"/>
  <c r="BQ333" i="3"/>
  <c r="BG332" i="3"/>
  <c r="AK332" i="3"/>
  <c r="AJ332" i="3"/>
  <c r="AL332" i="3"/>
  <c r="BP237" i="3"/>
  <c r="BL237" i="3"/>
  <c r="CB347" i="3"/>
  <c r="AI347" i="3"/>
  <c r="BQ347" i="3"/>
  <c r="Y431" i="3"/>
  <c r="U431" i="3"/>
  <c r="W431" i="3" s="1"/>
  <c r="Y430" i="3"/>
  <c r="U430" i="3"/>
  <c r="W430" i="3" s="1"/>
  <c r="Y405" i="3"/>
  <c r="U405" i="3"/>
  <c r="W405" i="3" s="1"/>
  <c r="AO32" i="19"/>
  <c r="R59" i="13" s="1"/>
  <c r="AI59" i="13" s="1"/>
  <c r="V33" i="13"/>
  <c r="AP33" i="13" s="1"/>
  <c r="AA357" i="3"/>
  <c r="AE357" i="3" s="1"/>
  <c r="BR357" i="3"/>
  <c r="CR357" i="3"/>
  <c r="AO29" i="19"/>
  <c r="R56" i="13" s="1"/>
  <c r="AI56" i="13" s="1"/>
  <c r="V30" i="13"/>
  <c r="AP30" i="13" s="1"/>
  <c r="AA18" i="13"/>
  <c r="AA44" i="13" s="1"/>
  <c r="F44" i="13"/>
  <c r="E57" i="13"/>
  <c r="Z31" i="13"/>
  <c r="Z57" i="13" s="1"/>
  <c r="AN17" i="19"/>
  <c r="Q44" i="13" s="1"/>
  <c r="AH44" i="13" s="1"/>
  <c r="L18" i="13"/>
  <c r="AE18" i="13" s="1"/>
  <c r="CQ455" i="3"/>
  <c r="CH455" i="3"/>
  <c r="AW455" i="3"/>
  <c r="AQ455" i="3"/>
  <c r="CP455" i="3"/>
  <c r="CI455" i="3"/>
  <c r="R455" i="3"/>
  <c r="AB455" i="3" s="1"/>
  <c r="R454" i="3"/>
  <c r="AB454" i="3" s="1"/>
  <c r="CQ454" i="3"/>
  <c r="CH454" i="3"/>
  <c r="AW454" i="3"/>
  <c r="AQ454" i="3"/>
  <c r="CP454" i="3"/>
  <c r="CI454" i="3"/>
  <c r="CQ453" i="3"/>
  <c r="CH453" i="3"/>
  <c r="AW453" i="3"/>
  <c r="AQ453" i="3"/>
  <c r="CP453" i="3"/>
  <c r="CI453" i="3"/>
  <c r="Z29" i="13"/>
  <c r="Z55" i="13" s="1"/>
  <c r="E55" i="13"/>
  <c r="Z28" i="13"/>
  <c r="Z54" i="13" s="1"/>
  <c r="E54" i="13"/>
  <c r="Z32" i="13"/>
  <c r="Z58" i="13" s="1"/>
  <c r="E58" i="13"/>
  <c r="AA21" i="13"/>
  <c r="AA47" i="13" s="1"/>
  <c r="F47" i="13"/>
  <c r="AO24" i="19"/>
  <c r="R51" i="13" s="1"/>
  <c r="AI51" i="13" s="1"/>
  <c r="V25" i="13"/>
  <c r="AP25" i="13" s="1"/>
  <c r="E51" i="13"/>
  <c r="Z25" i="13"/>
  <c r="Z51" i="13" s="1"/>
  <c r="V31" i="13"/>
  <c r="AP31" i="13" s="1"/>
  <c r="AO30" i="19"/>
  <c r="R57" i="13" s="1"/>
  <c r="AI57" i="13" s="1"/>
  <c r="AO27" i="19"/>
  <c r="R54" i="13" s="1"/>
  <c r="AI54" i="13" s="1"/>
  <c r="V28" i="13"/>
  <c r="AP28" i="13" s="1"/>
  <c r="E48" i="13"/>
  <c r="Z22" i="13"/>
  <c r="Z48" i="13" s="1"/>
  <c r="V29" i="13"/>
  <c r="AP29" i="13" s="1"/>
  <c r="AO28" i="19"/>
  <c r="R55" i="13" s="1"/>
  <c r="AI55" i="13" s="1"/>
  <c r="Z20" i="13"/>
  <c r="Z46" i="13" s="1"/>
  <c r="E46" i="13"/>
  <c r="L21" i="13"/>
  <c r="AE21" i="13" s="1"/>
  <c r="AN20" i="19"/>
  <c r="Q47" i="13" s="1"/>
  <c r="AH47" i="13" s="1"/>
  <c r="V19" i="13"/>
  <c r="AP19" i="13" s="1"/>
  <c r="AO18" i="19"/>
  <c r="R45" i="13" s="1"/>
  <c r="AI45" i="13" s="1"/>
  <c r="E50" i="13"/>
  <c r="Z24" i="13"/>
  <c r="Z50" i="13" s="1"/>
  <c r="V32" i="13"/>
  <c r="AP32" i="13" s="1"/>
  <c r="AO31" i="19"/>
  <c r="R58" i="13" s="1"/>
  <c r="AI58" i="13" s="1"/>
  <c r="AO23" i="19"/>
  <c r="R50" i="13" s="1"/>
  <c r="AI50" i="13" s="1"/>
  <c r="V24" i="13"/>
  <c r="AP24" i="13" s="1"/>
  <c r="E52" i="13"/>
  <c r="Z26" i="13"/>
  <c r="Z52" i="13" s="1"/>
  <c r="AO25" i="19"/>
  <c r="R52" i="13" s="1"/>
  <c r="AI52" i="13" s="1"/>
  <c r="V26" i="13"/>
  <c r="AP26" i="13" s="1"/>
  <c r="E49" i="13"/>
  <c r="Z23" i="13"/>
  <c r="Z49" i="13" s="1"/>
  <c r="AO22" i="19"/>
  <c r="R49" i="13" s="1"/>
  <c r="AI49" i="13" s="1"/>
  <c r="V23" i="13"/>
  <c r="AP23" i="13" s="1"/>
  <c r="Z30" i="13"/>
  <c r="Z56" i="13" s="1"/>
  <c r="E56" i="13"/>
  <c r="E53" i="13"/>
  <c r="Z27" i="13"/>
  <c r="Z53" i="13" s="1"/>
  <c r="AO21" i="19"/>
  <c r="R48" i="13" s="1"/>
  <c r="AI48" i="13" s="1"/>
  <c r="V22" i="13"/>
  <c r="AP22" i="13" s="1"/>
  <c r="AO26" i="19"/>
  <c r="R53" i="13" s="1"/>
  <c r="AI53" i="13" s="1"/>
  <c r="V27" i="13"/>
  <c r="AP27" i="13" s="1"/>
  <c r="R429" i="3"/>
  <c r="AB429" i="3" s="1"/>
  <c r="J33" i="19"/>
  <c r="H88" i="13" s="1"/>
  <c r="L33" i="19"/>
  <c r="V429" i="3"/>
  <c r="H33" i="19"/>
  <c r="T429" i="3"/>
  <c r="AF33" i="19"/>
  <c r="AL33" i="19"/>
  <c r="H479" i="3" a="1"/>
  <c r="I479" i="3" a="1"/>
  <c r="J479" i="3" s="1"/>
  <c r="T479" i="3" s="1"/>
  <c r="L479" i="3" a="1"/>
  <c r="M479" i="3" a="1"/>
  <c r="O479" i="3" s="1"/>
  <c r="P479" i="3" a="1"/>
  <c r="Q479" i="3" s="1"/>
  <c r="V479" i="3" s="1"/>
  <c r="AZ479" i="3" a="1"/>
  <c r="BA479" i="3" a="1"/>
  <c r="BC479" i="3" a="1"/>
  <c r="BD479" i="3" a="1"/>
  <c r="BX479" i="3" a="1"/>
  <c r="H478" i="3" a="1"/>
  <c r="I478" i="3" a="1"/>
  <c r="J478" i="3" s="1"/>
  <c r="T478" i="3" s="1"/>
  <c r="L478" i="3" a="1"/>
  <c r="M478" i="3" a="1"/>
  <c r="O478" i="3" s="1"/>
  <c r="P478" i="3" a="1"/>
  <c r="Q478" i="3" s="1"/>
  <c r="V478" i="3" s="1"/>
  <c r="AZ478" i="3" a="1"/>
  <c r="BA478" i="3" a="1"/>
  <c r="BC478" i="3" a="1"/>
  <c r="BD478" i="3" a="1"/>
  <c r="BX478" i="3" a="1"/>
  <c r="H477" i="3" a="1"/>
  <c r="O35" i="19" s="1"/>
  <c r="I477" i="3" a="1"/>
  <c r="L477" i="3" a="1"/>
  <c r="M477" i="3" a="1"/>
  <c r="P477" i="3" a="1"/>
  <c r="AZ477" i="3" a="1"/>
  <c r="BA477" i="3" a="1"/>
  <c r="BC477" i="3" a="1"/>
  <c r="BD477" i="3" a="1"/>
  <c r="BX477" i="3" a="1"/>
  <c r="E504" i="3"/>
  <c r="T16" i="19"/>
  <c r="BJ110" i="3"/>
  <c r="AS237" i="3"/>
  <c r="J453" i="3"/>
  <c r="G34" i="19"/>
  <c r="O453" i="3"/>
  <c r="I34" i="19"/>
  <c r="Q453" i="3"/>
  <c r="K34" i="19"/>
  <c r="Z443" i="3" l="1"/>
  <c r="AC443" i="3" s="1"/>
  <c r="AD443" i="3" s="1"/>
  <c r="Z444" i="3"/>
  <c r="AC444" i="3" s="1"/>
  <c r="AD444" i="3" s="1"/>
  <c r="Z441" i="3"/>
  <c r="AC441" i="3" s="1"/>
  <c r="AD441" i="3" s="1"/>
  <c r="Z438" i="3"/>
  <c r="AC438" i="3" s="1"/>
  <c r="AD438" i="3" s="1"/>
  <c r="CR416" i="3"/>
  <c r="AA416" i="3"/>
  <c r="AE416" i="3" s="1"/>
  <c r="AF416" i="3" s="1"/>
  <c r="AG416" i="3" s="1"/>
  <c r="AH416" i="3" s="1"/>
  <c r="BR416" i="3"/>
  <c r="CR408" i="3"/>
  <c r="AA408" i="3"/>
  <c r="AE408" i="3" s="1"/>
  <c r="AF408" i="3" s="1"/>
  <c r="AG408" i="3" s="1"/>
  <c r="AH408" i="3" s="1"/>
  <c r="BR408" i="3"/>
  <c r="Z439" i="3"/>
  <c r="AC439" i="3" s="1"/>
  <c r="AD439" i="3" s="1"/>
  <c r="Z445" i="3"/>
  <c r="AC445" i="3" s="1"/>
  <c r="AD445" i="3" s="1"/>
  <c r="CR421" i="3"/>
  <c r="BR421" i="3"/>
  <c r="AA421" i="3"/>
  <c r="AE421" i="3" s="1"/>
  <c r="Z447" i="3"/>
  <c r="AC447" i="3" s="1"/>
  <c r="AD447" i="3" s="1"/>
  <c r="Z432" i="3"/>
  <c r="AC432" i="3" s="1"/>
  <c r="AD432" i="3" s="1"/>
  <c r="CR422" i="3"/>
  <c r="BR422" i="3"/>
  <c r="AA422" i="3"/>
  <c r="AE422" i="3" s="1"/>
  <c r="AF422" i="3" s="1"/>
  <c r="AG422" i="3" s="1"/>
  <c r="AH422" i="3" s="1"/>
  <c r="CR420" i="3"/>
  <c r="BR420" i="3"/>
  <c r="AA420" i="3"/>
  <c r="AE420" i="3" s="1"/>
  <c r="AF420" i="3" s="1"/>
  <c r="AG420" i="3" s="1"/>
  <c r="AH420" i="3" s="1"/>
  <c r="Z442" i="3"/>
  <c r="AC442" i="3" s="1"/>
  <c r="AD442" i="3" s="1"/>
  <c r="Z405" i="3"/>
  <c r="AC405" i="3" s="1"/>
  <c r="AD405" i="3" s="1"/>
  <c r="BQ367" i="3"/>
  <c r="AI367" i="3"/>
  <c r="CB367" i="3"/>
  <c r="CS311" i="3"/>
  <c r="AR311" i="3"/>
  <c r="AS311" i="3" s="1"/>
  <c r="BK311" i="3"/>
  <c r="BL311" i="3" s="1"/>
  <c r="CT311" i="3"/>
  <c r="BH311" i="3"/>
  <c r="BP311" i="3" s="1"/>
  <c r="BT311" i="3" s="1"/>
  <c r="BO280" i="3"/>
  <c r="BS280" i="3"/>
  <c r="CR426" i="3"/>
  <c r="BR426" i="3"/>
  <c r="AA426" i="3"/>
  <c r="AE426" i="3" s="1"/>
  <c r="AK350" i="3"/>
  <c r="BF350" i="3" s="1"/>
  <c r="AJ350" i="3"/>
  <c r="AL350" i="3"/>
  <c r="BG350" i="3"/>
  <c r="CS329" i="3"/>
  <c r="AR329" i="3"/>
  <c r="AS329" i="3" s="1"/>
  <c r="BK329" i="3"/>
  <c r="BL329" i="3" s="1"/>
  <c r="CT329" i="3"/>
  <c r="BH329" i="3"/>
  <c r="BP329" i="3" s="1"/>
  <c r="BT329" i="3" s="1"/>
  <c r="Z452" i="3"/>
  <c r="AC452" i="3" s="1"/>
  <c r="AD452" i="3" s="1"/>
  <c r="Z449" i="3"/>
  <c r="AC449" i="3" s="1"/>
  <c r="AD449" i="3" s="1"/>
  <c r="Z450" i="3"/>
  <c r="AC450" i="3" s="1"/>
  <c r="AD450" i="3" s="1"/>
  <c r="CR417" i="3"/>
  <c r="BR417" i="3"/>
  <c r="AA417" i="3"/>
  <c r="AE417" i="3" s="1"/>
  <c r="AF417" i="3" s="1"/>
  <c r="AG417" i="3" s="1"/>
  <c r="AH417" i="3" s="1"/>
  <c r="BN287" i="3"/>
  <c r="BN303" i="3"/>
  <c r="Z430" i="3"/>
  <c r="AC430" i="3" s="1"/>
  <c r="AD430" i="3" s="1"/>
  <c r="BO265" i="3"/>
  <c r="BS265" i="3"/>
  <c r="CR419" i="3"/>
  <c r="AA419" i="3"/>
  <c r="AE419" i="3" s="1"/>
  <c r="AF419" i="3" s="1"/>
  <c r="AG419" i="3" s="1"/>
  <c r="AH419" i="3" s="1"/>
  <c r="BR419" i="3"/>
  <c r="CR413" i="3"/>
  <c r="AA413" i="3"/>
  <c r="AE413" i="3" s="1"/>
  <c r="AF413" i="3" s="1"/>
  <c r="AG413" i="3" s="1"/>
  <c r="AH413" i="3" s="1"/>
  <c r="BR413" i="3"/>
  <c r="CR411" i="3"/>
  <c r="AA411" i="3"/>
  <c r="AE411" i="3" s="1"/>
  <c r="AF411" i="3" s="1"/>
  <c r="AG411" i="3" s="1"/>
  <c r="AH411" i="3" s="1"/>
  <c r="BR411" i="3"/>
  <c r="CR407" i="3"/>
  <c r="AA407" i="3"/>
  <c r="AE407" i="3" s="1"/>
  <c r="BR407" i="3"/>
  <c r="CR406" i="3"/>
  <c r="AA406" i="3"/>
  <c r="AE406" i="3" s="1"/>
  <c r="BR406" i="3"/>
  <c r="CR381" i="3"/>
  <c r="BR381" i="3"/>
  <c r="AA381" i="3"/>
  <c r="AE381" i="3" s="1"/>
  <c r="CR427" i="3"/>
  <c r="BR427" i="3"/>
  <c r="AA427" i="3"/>
  <c r="AE427" i="3" s="1"/>
  <c r="AF427" i="3" s="1"/>
  <c r="AG427" i="3" s="1"/>
  <c r="AH427" i="3" s="1"/>
  <c r="CR425" i="3"/>
  <c r="BR425" i="3"/>
  <c r="AA425" i="3"/>
  <c r="AE425" i="3" s="1"/>
  <c r="AF425" i="3" s="1"/>
  <c r="AG425" i="3" s="1"/>
  <c r="AH425" i="3" s="1"/>
  <c r="CR423" i="3"/>
  <c r="BR423" i="3"/>
  <c r="AA423" i="3"/>
  <c r="AE423" i="3" s="1"/>
  <c r="AF423" i="3" s="1"/>
  <c r="AG423" i="3" s="1"/>
  <c r="AH423" i="3" s="1"/>
  <c r="Z435" i="3"/>
  <c r="AC435" i="3" s="1"/>
  <c r="AD435" i="3" s="1"/>
  <c r="AF382" i="3"/>
  <c r="AG382" i="3" s="1"/>
  <c r="AH382" i="3" s="1"/>
  <c r="AI365" i="3"/>
  <c r="CB365" i="3"/>
  <c r="BQ365" i="3"/>
  <c r="BG339" i="3"/>
  <c r="AK339" i="3"/>
  <c r="BF339" i="3" s="1"/>
  <c r="AJ339" i="3"/>
  <c r="AL339" i="3"/>
  <c r="AR322" i="3"/>
  <c r="AS322" i="3" s="1"/>
  <c r="BK322" i="3"/>
  <c r="BL322" i="3" s="1"/>
  <c r="CS322" i="3"/>
  <c r="CT322" i="3"/>
  <c r="BH322" i="3"/>
  <c r="BP322" i="3" s="1"/>
  <c r="BT322" i="3" s="1"/>
  <c r="CS316" i="3"/>
  <c r="BK316" i="3"/>
  <c r="BL316" i="3" s="1"/>
  <c r="AR316" i="3"/>
  <c r="AS316" i="3" s="1"/>
  <c r="CT316" i="3"/>
  <c r="BH316" i="3"/>
  <c r="BP316" i="3" s="1"/>
  <c r="BT316" i="3" s="1"/>
  <c r="CB362" i="3"/>
  <c r="BQ362" i="3"/>
  <c r="AI362" i="3"/>
  <c r="CR428" i="3"/>
  <c r="AA428" i="3"/>
  <c r="AE428" i="3" s="1"/>
  <c r="AF428" i="3" s="1"/>
  <c r="AG428" i="3" s="1"/>
  <c r="AH428" i="3" s="1"/>
  <c r="BR428" i="3"/>
  <c r="CR415" i="3"/>
  <c r="BR415" i="3"/>
  <c r="AA415" i="3"/>
  <c r="AE415" i="3" s="1"/>
  <c r="AF415" i="3" s="1"/>
  <c r="AG415" i="3" s="1"/>
  <c r="AH415" i="3" s="1"/>
  <c r="CR410" i="3"/>
  <c r="AA410" i="3"/>
  <c r="AE410" i="3" s="1"/>
  <c r="BR410" i="3"/>
  <c r="CR409" i="3"/>
  <c r="BR409" i="3"/>
  <c r="AA409" i="3"/>
  <c r="AE409" i="3" s="1"/>
  <c r="AF409" i="3" s="1"/>
  <c r="AG409" i="3" s="1"/>
  <c r="AH409" i="3" s="1"/>
  <c r="Z434" i="3"/>
  <c r="AC434" i="3" s="1"/>
  <c r="AD434" i="3" s="1"/>
  <c r="Z451" i="3"/>
  <c r="AC451" i="3" s="1"/>
  <c r="AD451" i="3" s="1"/>
  <c r="Z431" i="3"/>
  <c r="AC431" i="3" s="1"/>
  <c r="AD431" i="3" s="1"/>
  <c r="CR414" i="3"/>
  <c r="BR414" i="3"/>
  <c r="AA414" i="3"/>
  <c r="AE414" i="3" s="1"/>
  <c r="AF414" i="3" s="1"/>
  <c r="AG414" i="3" s="1"/>
  <c r="AH414" i="3" s="1"/>
  <c r="AF394" i="3"/>
  <c r="AG394" i="3" s="1"/>
  <c r="AH394" i="3" s="1"/>
  <c r="AO48" i="13"/>
  <c r="BN286" i="3"/>
  <c r="AO44" i="13"/>
  <c r="BO263" i="3"/>
  <c r="BS263" i="3"/>
  <c r="BO264" i="3"/>
  <c r="BS264" i="3"/>
  <c r="CR418" i="3"/>
  <c r="BR418" i="3"/>
  <c r="AA418" i="3"/>
  <c r="AE418" i="3" s="1"/>
  <c r="AF418" i="3" s="1"/>
  <c r="AG418" i="3" s="1"/>
  <c r="AH418" i="3" s="1"/>
  <c r="AF403" i="3"/>
  <c r="AG403" i="3" s="1"/>
  <c r="AH403" i="3" s="1"/>
  <c r="CR412" i="3"/>
  <c r="BR412" i="3"/>
  <c r="AA412" i="3"/>
  <c r="AE412" i="3" s="1"/>
  <c r="Z448" i="3"/>
  <c r="AC448" i="3" s="1"/>
  <c r="AD448" i="3" s="1"/>
  <c r="Z440" i="3"/>
  <c r="AC440" i="3" s="1"/>
  <c r="AD440" i="3" s="1"/>
  <c r="Z436" i="3"/>
  <c r="AC436" i="3" s="1"/>
  <c r="AD436" i="3" s="1"/>
  <c r="Z437" i="3"/>
  <c r="AC437" i="3" s="1"/>
  <c r="AD437" i="3" s="1"/>
  <c r="AF400" i="3"/>
  <c r="AG400" i="3" s="1"/>
  <c r="AH400" i="3" s="1"/>
  <c r="BF359" i="3"/>
  <c r="CS359" i="3"/>
  <c r="AR359" i="3"/>
  <c r="AS359" i="3" s="1"/>
  <c r="BK359" i="3"/>
  <c r="CT359" i="3"/>
  <c r="BH359" i="3"/>
  <c r="AK383" i="3"/>
  <c r="AJ383" i="3"/>
  <c r="BG383" i="3"/>
  <c r="AL383" i="3"/>
  <c r="Z17" i="13"/>
  <c r="E43" i="13"/>
  <c r="R43" i="13"/>
  <c r="AI43" i="13" s="1"/>
  <c r="CM260" i="3"/>
  <c r="BZ260" i="3"/>
  <c r="CK260" i="3"/>
  <c r="CL260" i="3"/>
  <c r="CJ260" i="3"/>
  <c r="AN260" i="3"/>
  <c r="BJ260" i="3" s="1"/>
  <c r="CA260" i="3"/>
  <c r="AM260" i="3"/>
  <c r="BI260" i="3" s="1"/>
  <c r="BW284" i="3"/>
  <c r="BY284" i="3" s="1"/>
  <c r="CO284" i="3"/>
  <c r="BO308" i="3"/>
  <c r="BS308" i="3"/>
  <c r="BV308" i="3"/>
  <c r="BU308" i="3"/>
  <c r="BF356" i="3"/>
  <c r="CS356" i="3"/>
  <c r="AR356" i="3"/>
  <c r="AS356" i="3" s="1"/>
  <c r="BK356" i="3"/>
  <c r="CT356" i="3"/>
  <c r="BH356" i="3"/>
  <c r="BG380" i="3"/>
  <c r="AJ380" i="3"/>
  <c r="AK380" i="3"/>
  <c r="AL380" i="3"/>
  <c r="CB404" i="3"/>
  <c r="AI404" i="3"/>
  <c r="BQ404" i="3"/>
  <c r="Y476" i="3"/>
  <c r="U476" i="3"/>
  <c r="W476" i="3" s="1"/>
  <c r="H504" i="3"/>
  <c r="O40" i="19" s="1"/>
  <c r="AQ500" i="3"/>
  <c r="AW500" i="3"/>
  <c r="CH500" i="3"/>
  <c r="CQ500" i="3"/>
  <c r="I504" i="3"/>
  <c r="G40" i="19" s="1"/>
  <c r="J500" i="3"/>
  <c r="L504" i="3"/>
  <c r="CI500" i="3"/>
  <c r="CP500" i="3"/>
  <c r="M504" i="3"/>
  <c r="I40" i="19" s="1"/>
  <c r="O500" i="3"/>
  <c r="P504" i="3"/>
  <c r="K40" i="19" s="1"/>
  <c r="Q500" i="3"/>
  <c r="AZ504" i="3"/>
  <c r="BA504" i="3"/>
  <c r="CM259" i="3"/>
  <c r="BZ259" i="3"/>
  <c r="CL259" i="3"/>
  <c r="CK259" i="3"/>
  <c r="CJ259" i="3"/>
  <c r="AN259" i="3"/>
  <c r="BJ259" i="3" s="1"/>
  <c r="CA259" i="3"/>
  <c r="AM259" i="3"/>
  <c r="BI259" i="3" s="1"/>
  <c r="BW283" i="3"/>
  <c r="BY283" i="3" s="1"/>
  <c r="CO283" i="3"/>
  <c r="BO307" i="3"/>
  <c r="BS307" i="3"/>
  <c r="BV307" i="3"/>
  <c r="BU307" i="3"/>
  <c r="BL331" i="3"/>
  <c r="BN331" i="3" s="1"/>
  <c r="BP331" i="3"/>
  <c r="BT331" i="3" s="1"/>
  <c r="BF355" i="3"/>
  <c r="CS355" i="3"/>
  <c r="AR355" i="3"/>
  <c r="AS355" i="3" s="1"/>
  <c r="BK355" i="3"/>
  <c r="CT355" i="3"/>
  <c r="BH355" i="3"/>
  <c r="AK379" i="3"/>
  <c r="AJ379" i="3"/>
  <c r="BG379" i="3"/>
  <c r="AL379" i="3"/>
  <c r="Y475" i="3"/>
  <c r="U475" i="3"/>
  <c r="W475" i="3" s="1"/>
  <c r="AQ499" i="3"/>
  <c r="AW499" i="3"/>
  <c r="CH499" i="3"/>
  <c r="CQ499" i="3"/>
  <c r="CI499" i="3"/>
  <c r="CP499" i="3"/>
  <c r="R499" i="3"/>
  <c r="AB499" i="3" s="1"/>
  <c r="CM258" i="3"/>
  <c r="BZ258" i="3"/>
  <c r="CK258" i="3"/>
  <c r="CL258" i="3"/>
  <c r="CJ258" i="3"/>
  <c r="AN258" i="3"/>
  <c r="BJ258" i="3" s="1"/>
  <c r="CA258" i="3"/>
  <c r="AM258" i="3"/>
  <c r="BI258" i="3" s="1"/>
  <c r="BW282" i="3"/>
  <c r="BY282" i="3" s="1"/>
  <c r="CO282" i="3"/>
  <c r="BO306" i="3"/>
  <c r="BS306" i="3"/>
  <c r="BV306" i="3"/>
  <c r="BU306" i="3"/>
  <c r="BL330" i="3"/>
  <c r="BN330" i="3" s="1"/>
  <c r="BP330" i="3"/>
  <c r="BT330" i="3" s="1"/>
  <c r="BF354" i="3"/>
  <c r="CS354" i="3"/>
  <c r="AR354" i="3"/>
  <c r="AS354" i="3" s="1"/>
  <c r="BK354" i="3"/>
  <c r="CT354" i="3"/>
  <c r="BH354" i="3"/>
  <c r="AK378" i="3"/>
  <c r="AJ378" i="3"/>
  <c r="BG378" i="3"/>
  <c r="AL378" i="3"/>
  <c r="CB402" i="3"/>
  <c r="AI402" i="3"/>
  <c r="BQ402" i="3"/>
  <c r="Y474" i="3"/>
  <c r="U474" i="3"/>
  <c r="W474" i="3" s="1"/>
  <c r="AQ498" i="3"/>
  <c r="AW498" i="3"/>
  <c r="CH498" i="3"/>
  <c r="CQ498" i="3"/>
  <c r="CI498" i="3"/>
  <c r="CP498" i="3"/>
  <c r="R498" i="3"/>
  <c r="AB498" i="3" s="1"/>
  <c r="CM257" i="3"/>
  <c r="BZ257" i="3"/>
  <c r="CK257" i="3"/>
  <c r="CL257" i="3"/>
  <c r="CJ257" i="3"/>
  <c r="AN257" i="3"/>
  <c r="BJ257" i="3" s="1"/>
  <c r="CA257" i="3"/>
  <c r="AM257" i="3"/>
  <c r="BI257" i="3" s="1"/>
  <c r="BW281" i="3"/>
  <c r="BY281" i="3" s="1"/>
  <c r="CO281" i="3"/>
  <c r="BO305" i="3"/>
  <c r="BS305" i="3"/>
  <c r="BV305" i="3"/>
  <c r="BU305" i="3"/>
  <c r="BF353" i="3"/>
  <c r="CS353" i="3"/>
  <c r="AR353" i="3"/>
  <c r="AS353" i="3" s="1"/>
  <c r="BK353" i="3"/>
  <c r="CT353" i="3"/>
  <c r="BH353" i="3"/>
  <c r="AK377" i="3"/>
  <c r="AJ377" i="3"/>
  <c r="BG377" i="3"/>
  <c r="AL377" i="3"/>
  <c r="CB401" i="3"/>
  <c r="AI401" i="3"/>
  <c r="BQ401" i="3"/>
  <c r="Y473" i="3"/>
  <c r="U473" i="3"/>
  <c r="W473" i="3" s="1"/>
  <c r="AQ497" i="3"/>
  <c r="AW497" i="3"/>
  <c r="CH497" i="3"/>
  <c r="CQ497" i="3"/>
  <c r="CI497" i="3"/>
  <c r="CP497" i="3"/>
  <c r="R497" i="3"/>
  <c r="AB497" i="3" s="1"/>
  <c r="CM256" i="3"/>
  <c r="CL256" i="3"/>
  <c r="BZ256" i="3"/>
  <c r="CK256" i="3"/>
  <c r="CJ256" i="3"/>
  <c r="AN256" i="3"/>
  <c r="BJ256" i="3" s="1"/>
  <c r="CA256" i="3"/>
  <c r="AM256" i="3"/>
  <c r="BI256" i="3" s="1"/>
  <c r="BW280" i="3"/>
  <c r="BY280" i="3" s="1"/>
  <c r="CO280" i="3"/>
  <c r="BO304" i="3"/>
  <c r="BS304" i="3"/>
  <c r="BV304" i="3"/>
  <c r="BU304" i="3"/>
  <c r="BL328" i="3"/>
  <c r="BN328" i="3" s="1"/>
  <c r="BP328" i="3"/>
  <c r="BT328" i="3" s="1"/>
  <c r="BF352" i="3"/>
  <c r="CS352" i="3"/>
  <c r="AR352" i="3"/>
  <c r="AS352" i="3" s="1"/>
  <c r="BK352" i="3"/>
  <c r="CT352" i="3"/>
  <c r="BH352" i="3"/>
  <c r="AK376" i="3"/>
  <c r="AJ376" i="3"/>
  <c r="BG376" i="3"/>
  <c r="AL376" i="3"/>
  <c r="AF424" i="3"/>
  <c r="AG424" i="3" s="1"/>
  <c r="AH424" i="3" s="1"/>
  <c r="Y472" i="3"/>
  <c r="U472" i="3"/>
  <c r="W472" i="3" s="1"/>
  <c r="AQ496" i="3"/>
  <c r="AW496" i="3"/>
  <c r="CH496" i="3"/>
  <c r="CQ496" i="3"/>
  <c r="CI496" i="3"/>
  <c r="CP496" i="3"/>
  <c r="R496" i="3"/>
  <c r="AB496" i="3" s="1"/>
  <c r="BW279" i="3"/>
  <c r="BY279" i="3" s="1"/>
  <c r="CO279" i="3"/>
  <c r="BV303" i="3"/>
  <c r="BU303" i="3"/>
  <c r="BL327" i="3"/>
  <c r="BN327" i="3" s="1"/>
  <c r="BP327" i="3"/>
  <c r="BT327" i="3" s="1"/>
  <c r="BF351" i="3"/>
  <c r="CS351" i="3"/>
  <c r="AR351" i="3"/>
  <c r="AS351" i="3" s="1"/>
  <c r="BK351" i="3"/>
  <c r="CT351" i="3"/>
  <c r="BH351" i="3"/>
  <c r="AK375" i="3"/>
  <c r="AJ375" i="3"/>
  <c r="BG375" i="3"/>
  <c r="AL375" i="3"/>
  <c r="CB399" i="3"/>
  <c r="AI399" i="3"/>
  <c r="BQ399" i="3"/>
  <c r="Y471" i="3"/>
  <c r="U471" i="3"/>
  <c r="W471" i="3" s="1"/>
  <c r="AQ495" i="3"/>
  <c r="AW495" i="3"/>
  <c r="CH495" i="3"/>
  <c r="CQ495" i="3"/>
  <c r="CI495" i="3"/>
  <c r="CP495" i="3"/>
  <c r="R495" i="3"/>
  <c r="AB495" i="3" s="1"/>
  <c r="CM255" i="3"/>
  <c r="BZ255" i="3"/>
  <c r="CK255" i="3"/>
  <c r="CL255" i="3"/>
  <c r="CJ255" i="3"/>
  <c r="AN255" i="3"/>
  <c r="BJ255" i="3" s="1"/>
  <c r="CA255" i="3"/>
  <c r="AM255" i="3"/>
  <c r="BI255" i="3" s="1"/>
  <c r="BW278" i="3"/>
  <c r="BY278" i="3" s="1"/>
  <c r="CO278" i="3"/>
  <c r="BO302" i="3"/>
  <c r="BS302" i="3"/>
  <c r="BV302" i="3"/>
  <c r="BU302" i="3"/>
  <c r="BL326" i="3"/>
  <c r="BN326" i="3" s="1"/>
  <c r="BP326" i="3"/>
  <c r="BT326" i="3" s="1"/>
  <c r="AJ374" i="3"/>
  <c r="AK374" i="3"/>
  <c r="BG374" i="3"/>
  <c r="AL374" i="3"/>
  <c r="CB398" i="3"/>
  <c r="AI398" i="3"/>
  <c r="BQ398" i="3"/>
  <c r="BR446" i="3"/>
  <c r="AA446" i="3"/>
  <c r="AE446" i="3" s="1"/>
  <c r="Y470" i="3"/>
  <c r="U470" i="3"/>
  <c r="W470" i="3" s="1"/>
  <c r="AQ494" i="3"/>
  <c r="AW494" i="3"/>
  <c r="CH494" i="3"/>
  <c r="CQ494" i="3"/>
  <c r="CI494" i="3"/>
  <c r="CP494" i="3"/>
  <c r="R494" i="3"/>
  <c r="AB494" i="3" s="1"/>
  <c r="CM254" i="3"/>
  <c r="BZ254" i="3"/>
  <c r="CK254" i="3"/>
  <c r="CL254" i="3"/>
  <c r="CJ254" i="3"/>
  <c r="AN254" i="3"/>
  <c r="BJ254" i="3" s="1"/>
  <c r="CA254" i="3"/>
  <c r="AM254" i="3"/>
  <c r="BI254" i="3" s="1"/>
  <c r="CM253" i="3"/>
  <c r="BZ253" i="3"/>
  <c r="CK253" i="3"/>
  <c r="CL253" i="3"/>
  <c r="CJ253" i="3"/>
  <c r="AN253" i="3"/>
  <c r="BJ253" i="3" s="1"/>
  <c r="AM253" i="3"/>
  <c r="BI253" i="3" s="1"/>
  <c r="CA253" i="3"/>
  <c r="BW277" i="3"/>
  <c r="BY277" i="3" s="1"/>
  <c r="CO277" i="3"/>
  <c r="BO301" i="3"/>
  <c r="BS301" i="3"/>
  <c r="BV301" i="3"/>
  <c r="BU301" i="3"/>
  <c r="BL325" i="3"/>
  <c r="BN325" i="3" s="1"/>
  <c r="BP325" i="3"/>
  <c r="BT325" i="3" s="1"/>
  <c r="BF349" i="3"/>
  <c r="CS349" i="3"/>
  <c r="AR349" i="3"/>
  <c r="AS349" i="3" s="1"/>
  <c r="BK349" i="3"/>
  <c r="CT349" i="3"/>
  <c r="BH349" i="3"/>
  <c r="AK373" i="3"/>
  <c r="AJ373" i="3"/>
  <c r="BG373" i="3"/>
  <c r="AL373" i="3"/>
  <c r="CB397" i="3"/>
  <c r="AI397" i="3"/>
  <c r="BQ397" i="3"/>
  <c r="Y469" i="3"/>
  <c r="U469" i="3"/>
  <c r="W469" i="3" s="1"/>
  <c r="AQ493" i="3"/>
  <c r="AW493" i="3"/>
  <c r="CH493" i="3"/>
  <c r="CQ493" i="3"/>
  <c r="CI493" i="3"/>
  <c r="CP493" i="3"/>
  <c r="R493" i="3"/>
  <c r="AB493" i="3" s="1"/>
  <c r="CM252" i="3"/>
  <c r="BZ252" i="3"/>
  <c r="CK252" i="3"/>
  <c r="CL252" i="3"/>
  <c r="CJ252" i="3"/>
  <c r="AN252" i="3"/>
  <c r="BJ252" i="3" s="1"/>
  <c r="CA252" i="3"/>
  <c r="AM252" i="3"/>
  <c r="BI252" i="3" s="1"/>
  <c r="BW276" i="3"/>
  <c r="BY276" i="3" s="1"/>
  <c r="CO276" i="3"/>
  <c r="BO300" i="3"/>
  <c r="BS300" i="3"/>
  <c r="BV300" i="3"/>
  <c r="BU300" i="3"/>
  <c r="BL324" i="3"/>
  <c r="BN324" i="3" s="1"/>
  <c r="BP324" i="3"/>
  <c r="BT324" i="3" s="1"/>
  <c r="CS348" i="3"/>
  <c r="AR348" i="3"/>
  <c r="AS348" i="3" s="1"/>
  <c r="BK348" i="3"/>
  <c r="BF348" i="3"/>
  <c r="CT348" i="3"/>
  <c r="BH348" i="3"/>
  <c r="AJ372" i="3"/>
  <c r="BG372" i="3"/>
  <c r="AK372" i="3"/>
  <c r="AL372" i="3"/>
  <c r="CB396" i="3"/>
  <c r="AI396" i="3"/>
  <c r="BQ396" i="3"/>
  <c r="Y468" i="3"/>
  <c r="U468" i="3"/>
  <c r="W468" i="3" s="1"/>
  <c r="Z468" i="3" s="1"/>
  <c r="AC468" i="3" s="1"/>
  <c r="AD468" i="3" s="1"/>
  <c r="CR468" i="3" s="1"/>
  <c r="AQ492" i="3"/>
  <c r="AW492" i="3"/>
  <c r="CH492" i="3"/>
  <c r="CQ492" i="3"/>
  <c r="CI492" i="3"/>
  <c r="CP492" i="3"/>
  <c r="R492" i="3"/>
  <c r="AB492" i="3" s="1"/>
  <c r="CM251" i="3"/>
  <c r="BZ251" i="3"/>
  <c r="CK251" i="3"/>
  <c r="CL251" i="3"/>
  <c r="CJ251" i="3"/>
  <c r="AN251" i="3"/>
  <c r="BJ251" i="3" s="1"/>
  <c r="AM251" i="3"/>
  <c r="BI251" i="3" s="1"/>
  <c r="CA251" i="3"/>
  <c r="BW275" i="3"/>
  <c r="BY275" i="3" s="1"/>
  <c r="CO275" i="3"/>
  <c r="BO299" i="3"/>
  <c r="BS299" i="3"/>
  <c r="BV299" i="3"/>
  <c r="BU299" i="3"/>
  <c r="BL323" i="3"/>
  <c r="BN323" i="3" s="1"/>
  <c r="BP323" i="3"/>
  <c r="BT323" i="3" s="1"/>
  <c r="AJ371" i="3"/>
  <c r="AK371" i="3"/>
  <c r="BG371" i="3"/>
  <c r="AL371" i="3"/>
  <c r="CB395" i="3"/>
  <c r="AI395" i="3"/>
  <c r="BQ395" i="3"/>
  <c r="Y467" i="3"/>
  <c r="U467" i="3"/>
  <c r="W467" i="3" s="1"/>
  <c r="AQ491" i="3"/>
  <c r="AW491" i="3"/>
  <c r="CH491" i="3"/>
  <c r="CQ491" i="3"/>
  <c r="CI491" i="3"/>
  <c r="CP491" i="3"/>
  <c r="R491" i="3"/>
  <c r="AB491" i="3" s="1"/>
  <c r="CM250" i="3"/>
  <c r="BZ250" i="3"/>
  <c r="CK250" i="3"/>
  <c r="CL250" i="3"/>
  <c r="CJ250" i="3"/>
  <c r="AN250" i="3"/>
  <c r="BJ250" i="3" s="1"/>
  <c r="AM250" i="3"/>
  <c r="BI250" i="3" s="1"/>
  <c r="CA250" i="3"/>
  <c r="BW274" i="3"/>
  <c r="BY274" i="3" s="1"/>
  <c r="CO274" i="3"/>
  <c r="BO298" i="3"/>
  <c r="BS298" i="3"/>
  <c r="BV298" i="3"/>
  <c r="BU298" i="3"/>
  <c r="BF346" i="3"/>
  <c r="CS346" i="3"/>
  <c r="AR346" i="3"/>
  <c r="AS346" i="3" s="1"/>
  <c r="BK346" i="3"/>
  <c r="CT346" i="3"/>
  <c r="BH346" i="3"/>
  <c r="AJ370" i="3"/>
  <c r="AK370" i="3"/>
  <c r="BG370" i="3"/>
  <c r="AL370" i="3"/>
  <c r="Y466" i="3"/>
  <c r="U466" i="3"/>
  <c r="W466" i="3" s="1"/>
  <c r="AQ490" i="3"/>
  <c r="AW490" i="3"/>
  <c r="CH490" i="3"/>
  <c r="CQ490" i="3"/>
  <c r="CI490" i="3"/>
  <c r="CP490" i="3"/>
  <c r="R490" i="3"/>
  <c r="AB490" i="3" s="1"/>
  <c r="CM249" i="3"/>
  <c r="BZ249" i="3"/>
  <c r="CK249" i="3"/>
  <c r="CL249" i="3"/>
  <c r="CJ249" i="3"/>
  <c r="AN249" i="3"/>
  <c r="BJ249" i="3" s="1"/>
  <c r="AM249" i="3"/>
  <c r="BI249" i="3" s="1"/>
  <c r="CA249" i="3"/>
  <c r="BW273" i="3"/>
  <c r="BY273" i="3" s="1"/>
  <c r="CO273" i="3"/>
  <c r="BO297" i="3"/>
  <c r="BS297" i="3"/>
  <c r="BV297" i="3"/>
  <c r="BU297" i="3"/>
  <c r="BL321" i="3"/>
  <c r="BN321" i="3" s="1"/>
  <c r="BP321" i="3"/>
  <c r="BT321" i="3" s="1"/>
  <c r="BF345" i="3"/>
  <c r="CS345" i="3"/>
  <c r="AR345" i="3"/>
  <c r="AS345" i="3" s="1"/>
  <c r="BK345" i="3"/>
  <c r="CT345" i="3"/>
  <c r="BH345" i="3"/>
  <c r="AK369" i="3"/>
  <c r="AJ369" i="3"/>
  <c r="BG369" i="3"/>
  <c r="AL369" i="3"/>
  <c r="CB393" i="3"/>
  <c r="AI393" i="3"/>
  <c r="BQ393" i="3"/>
  <c r="Y465" i="3"/>
  <c r="U465" i="3"/>
  <c r="W465" i="3" s="1"/>
  <c r="AQ489" i="3"/>
  <c r="AW489" i="3"/>
  <c r="CH489" i="3"/>
  <c r="CQ489" i="3"/>
  <c r="CI489" i="3"/>
  <c r="CP489" i="3"/>
  <c r="R489" i="3"/>
  <c r="AB489" i="3" s="1"/>
  <c r="CM248" i="3"/>
  <c r="BZ248" i="3"/>
  <c r="CK248" i="3"/>
  <c r="CL248" i="3"/>
  <c r="CJ248" i="3"/>
  <c r="AN248" i="3"/>
  <c r="BJ248" i="3" s="1"/>
  <c r="AM248" i="3"/>
  <c r="BI248" i="3" s="1"/>
  <c r="CA248" i="3"/>
  <c r="BW272" i="3"/>
  <c r="BY272" i="3" s="1"/>
  <c r="CO272" i="3"/>
  <c r="BO296" i="3"/>
  <c r="BS296" i="3"/>
  <c r="BV296" i="3"/>
  <c r="BU296" i="3"/>
  <c r="BL320" i="3"/>
  <c r="BN320" i="3" s="1"/>
  <c r="BP320" i="3"/>
  <c r="BT320" i="3" s="1"/>
  <c r="BF344" i="3"/>
  <c r="CS344" i="3"/>
  <c r="AR344" i="3"/>
  <c r="AS344" i="3" s="1"/>
  <c r="BK344" i="3"/>
  <c r="CT344" i="3"/>
  <c r="BH344" i="3"/>
  <c r="AK368" i="3"/>
  <c r="AJ368" i="3"/>
  <c r="BG368" i="3"/>
  <c r="AL368" i="3"/>
  <c r="CB392" i="3"/>
  <c r="AI392" i="3"/>
  <c r="BQ392" i="3"/>
  <c r="Y464" i="3"/>
  <c r="U464" i="3"/>
  <c r="W464" i="3" s="1"/>
  <c r="AQ488" i="3"/>
  <c r="AW488" i="3"/>
  <c r="CH488" i="3"/>
  <c r="CQ488" i="3"/>
  <c r="CI488" i="3"/>
  <c r="CP488" i="3"/>
  <c r="R488" i="3"/>
  <c r="AB488" i="3" s="1"/>
  <c r="CM247" i="3"/>
  <c r="BZ247" i="3"/>
  <c r="CK247" i="3"/>
  <c r="CL247" i="3"/>
  <c r="CJ247" i="3"/>
  <c r="AN247" i="3"/>
  <c r="BJ247" i="3" s="1"/>
  <c r="AM247" i="3"/>
  <c r="BI247" i="3" s="1"/>
  <c r="CA247" i="3"/>
  <c r="BW271" i="3"/>
  <c r="BY271" i="3" s="1"/>
  <c r="CO271" i="3"/>
  <c r="BO295" i="3"/>
  <c r="BS295" i="3"/>
  <c r="BV295" i="3"/>
  <c r="BU295" i="3"/>
  <c r="BL319" i="3"/>
  <c r="BN319" i="3" s="1"/>
  <c r="BP319" i="3"/>
  <c r="BT319" i="3" s="1"/>
  <c r="BF343" i="3"/>
  <c r="CS343" i="3"/>
  <c r="AR343" i="3"/>
  <c r="AS343" i="3" s="1"/>
  <c r="BK343" i="3"/>
  <c r="CT343" i="3"/>
  <c r="BH343" i="3"/>
  <c r="CB391" i="3"/>
  <c r="AI391" i="3"/>
  <c r="BQ391" i="3"/>
  <c r="Y463" i="3"/>
  <c r="U463" i="3"/>
  <c r="W463" i="3" s="1"/>
  <c r="AQ487" i="3"/>
  <c r="AW487" i="3"/>
  <c r="CH487" i="3"/>
  <c r="CQ487" i="3"/>
  <c r="CI487" i="3"/>
  <c r="CP487" i="3"/>
  <c r="R487" i="3"/>
  <c r="AB487" i="3" s="1"/>
  <c r="CM246" i="3"/>
  <c r="BZ246" i="3"/>
  <c r="CK246" i="3"/>
  <c r="CL246" i="3"/>
  <c r="CJ246" i="3"/>
  <c r="AN246" i="3"/>
  <c r="BJ246" i="3" s="1"/>
  <c r="AM246" i="3"/>
  <c r="BI246" i="3" s="1"/>
  <c r="CA246" i="3"/>
  <c r="BW270" i="3"/>
  <c r="BY270" i="3" s="1"/>
  <c r="CO270" i="3"/>
  <c r="BO294" i="3"/>
  <c r="BS294" i="3"/>
  <c r="BV294" i="3"/>
  <c r="BU294" i="3"/>
  <c r="BL318" i="3"/>
  <c r="BN318" i="3" s="1"/>
  <c r="BP318" i="3"/>
  <c r="BT318" i="3" s="1"/>
  <c r="BF342" i="3"/>
  <c r="CS342" i="3"/>
  <c r="AR342" i="3"/>
  <c r="AS342" i="3" s="1"/>
  <c r="BK342" i="3"/>
  <c r="CT342" i="3"/>
  <c r="BH342" i="3"/>
  <c r="AK366" i="3"/>
  <c r="AJ366" i="3"/>
  <c r="BG366" i="3"/>
  <c r="AL366" i="3"/>
  <c r="CB390" i="3"/>
  <c r="AI390" i="3"/>
  <c r="BQ390" i="3"/>
  <c r="Y462" i="3"/>
  <c r="U462" i="3"/>
  <c r="W462" i="3" s="1"/>
  <c r="AQ486" i="3"/>
  <c r="AW486" i="3"/>
  <c r="CH486" i="3"/>
  <c r="CQ486" i="3"/>
  <c r="CI486" i="3"/>
  <c r="CP486" i="3"/>
  <c r="R486" i="3"/>
  <c r="AB486" i="3" s="1"/>
  <c r="CM245" i="3"/>
  <c r="BZ245" i="3"/>
  <c r="CK245" i="3"/>
  <c r="CL245" i="3"/>
  <c r="CJ245" i="3"/>
  <c r="AN245" i="3"/>
  <c r="BJ245" i="3" s="1"/>
  <c r="AM245" i="3"/>
  <c r="BI245" i="3" s="1"/>
  <c r="CA245" i="3"/>
  <c r="BW269" i="3"/>
  <c r="BY269" i="3" s="1"/>
  <c r="CO269" i="3"/>
  <c r="BO293" i="3"/>
  <c r="BS293" i="3"/>
  <c r="BV293" i="3"/>
  <c r="BU293" i="3"/>
  <c r="BL317" i="3"/>
  <c r="BN317" i="3" s="1"/>
  <c r="BP317" i="3"/>
  <c r="BT317" i="3" s="1"/>
  <c r="BF341" i="3"/>
  <c r="CS341" i="3"/>
  <c r="AR341" i="3"/>
  <c r="AS341" i="3" s="1"/>
  <c r="BK341" i="3"/>
  <c r="CT341" i="3"/>
  <c r="BH341" i="3"/>
  <c r="CB389" i="3"/>
  <c r="AI389" i="3"/>
  <c r="BQ389" i="3"/>
  <c r="Y461" i="3"/>
  <c r="U461" i="3"/>
  <c r="W461" i="3" s="1"/>
  <c r="AQ485" i="3"/>
  <c r="AW485" i="3"/>
  <c r="CH485" i="3"/>
  <c r="CQ485" i="3"/>
  <c r="CI485" i="3"/>
  <c r="CP485" i="3"/>
  <c r="R485" i="3"/>
  <c r="AB485" i="3" s="1"/>
  <c r="CM244" i="3"/>
  <c r="CL244" i="3"/>
  <c r="BZ244" i="3"/>
  <c r="CK244" i="3"/>
  <c r="CJ244" i="3"/>
  <c r="AN244" i="3"/>
  <c r="BJ244" i="3" s="1"/>
  <c r="AM244" i="3"/>
  <c r="BI244" i="3" s="1"/>
  <c r="CA244" i="3"/>
  <c r="BW268" i="3"/>
  <c r="BY268" i="3" s="1"/>
  <c r="CO268" i="3"/>
  <c r="BO292" i="3"/>
  <c r="BS292" i="3"/>
  <c r="BV292" i="3"/>
  <c r="BU292" i="3"/>
  <c r="BF340" i="3"/>
  <c r="CS340" i="3"/>
  <c r="AR340" i="3"/>
  <c r="AS340" i="3" s="1"/>
  <c r="BK340" i="3"/>
  <c r="CT340" i="3"/>
  <c r="BH340" i="3"/>
  <c r="AK364" i="3"/>
  <c r="AJ364" i="3"/>
  <c r="BG364" i="3"/>
  <c r="AL364" i="3"/>
  <c r="CB388" i="3"/>
  <c r="BQ388" i="3"/>
  <c r="AI388" i="3"/>
  <c r="Y460" i="3"/>
  <c r="U460" i="3"/>
  <c r="W460" i="3" s="1"/>
  <c r="AQ484" i="3"/>
  <c r="AW484" i="3"/>
  <c r="CH484" i="3"/>
  <c r="CQ484" i="3"/>
  <c r="CI484" i="3"/>
  <c r="CP484" i="3"/>
  <c r="R484" i="3"/>
  <c r="AB484" i="3" s="1"/>
  <c r="CM243" i="3"/>
  <c r="BZ243" i="3"/>
  <c r="CK243" i="3"/>
  <c r="CL243" i="3"/>
  <c r="CJ243" i="3"/>
  <c r="AN243" i="3"/>
  <c r="BJ243" i="3" s="1"/>
  <c r="AM243" i="3"/>
  <c r="BI243" i="3" s="1"/>
  <c r="CA243" i="3"/>
  <c r="BW267" i="3"/>
  <c r="BY267" i="3" s="1"/>
  <c r="CO267" i="3"/>
  <c r="BL315" i="3"/>
  <c r="BN315" i="3" s="1"/>
  <c r="BP315" i="3"/>
  <c r="BT315" i="3" s="1"/>
  <c r="AK363" i="3"/>
  <c r="AJ363" i="3"/>
  <c r="BG363" i="3"/>
  <c r="AL363" i="3"/>
  <c r="CB387" i="3"/>
  <c r="BQ387" i="3"/>
  <c r="AI387" i="3"/>
  <c r="Y459" i="3"/>
  <c r="U459" i="3"/>
  <c r="W459" i="3" s="1"/>
  <c r="AQ483" i="3"/>
  <c r="AW483" i="3"/>
  <c r="CH483" i="3"/>
  <c r="CQ483" i="3"/>
  <c r="CI483" i="3"/>
  <c r="CP483" i="3"/>
  <c r="R483" i="3"/>
  <c r="AB483" i="3" s="1"/>
  <c r="CM242" i="3"/>
  <c r="BZ242" i="3"/>
  <c r="CK242" i="3"/>
  <c r="CL242" i="3"/>
  <c r="CJ242" i="3"/>
  <c r="AN242" i="3"/>
  <c r="BJ242" i="3" s="1"/>
  <c r="AM242" i="3"/>
  <c r="BI242" i="3" s="1"/>
  <c r="CA242" i="3"/>
  <c r="BW266" i="3"/>
  <c r="BY266" i="3" s="1"/>
  <c r="CO266" i="3"/>
  <c r="BO290" i="3"/>
  <c r="BS290" i="3"/>
  <c r="BV290" i="3"/>
  <c r="BU290" i="3"/>
  <c r="BL314" i="3"/>
  <c r="BN314" i="3" s="1"/>
  <c r="BP314" i="3"/>
  <c r="BT314" i="3" s="1"/>
  <c r="CS338" i="3"/>
  <c r="AR338" i="3"/>
  <c r="AS338" i="3" s="1"/>
  <c r="BK338" i="3"/>
  <c r="BF338" i="3"/>
  <c r="CT338" i="3"/>
  <c r="BH338" i="3"/>
  <c r="CB386" i="3"/>
  <c r="BQ386" i="3"/>
  <c r="AI386" i="3"/>
  <c r="Y458" i="3"/>
  <c r="U458" i="3"/>
  <c r="W458" i="3" s="1"/>
  <c r="AQ482" i="3"/>
  <c r="AW482" i="3"/>
  <c r="CH482" i="3"/>
  <c r="CQ482" i="3"/>
  <c r="CI482" i="3"/>
  <c r="CP482" i="3"/>
  <c r="R482" i="3"/>
  <c r="AB482" i="3" s="1"/>
  <c r="CM241" i="3"/>
  <c r="BZ241" i="3"/>
  <c r="CK241" i="3"/>
  <c r="CL241" i="3"/>
  <c r="CJ241" i="3"/>
  <c r="AN241" i="3"/>
  <c r="BJ241" i="3" s="1"/>
  <c r="CA241" i="3"/>
  <c r="AM241" i="3"/>
  <c r="BI241" i="3" s="1"/>
  <c r="BW265" i="3"/>
  <c r="BY265" i="3" s="1"/>
  <c r="CO265" i="3"/>
  <c r="BO289" i="3"/>
  <c r="BS289" i="3"/>
  <c r="BV289" i="3"/>
  <c r="BU289" i="3"/>
  <c r="BL313" i="3"/>
  <c r="BN313" i="3" s="1"/>
  <c r="BP313" i="3"/>
  <c r="BT313" i="3" s="1"/>
  <c r="BF337" i="3"/>
  <c r="CS337" i="3"/>
  <c r="AR337" i="3"/>
  <c r="AS337" i="3" s="1"/>
  <c r="BK337" i="3"/>
  <c r="CT337" i="3"/>
  <c r="BH337" i="3"/>
  <c r="BG361" i="3"/>
  <c r="AK361" i="3"/>
  <c r="AJ361" i="3"/>
  <c r="AL361" i="3"/>
  <c r="CB385" i="3"/>
  <c r="BQ385" i="3"/>
  <c r="AI385" i="3"/>
  <c r="Y457" i="3"/>
  <c r="U457" i="3"/>
  <c r="W457" i="3" s="1"/>
  <c r="AQ481" i="3"/>
  <c r="AW481" i="3"/>
  <c r="CH481" i="3"/>
  <c r="CQ481" i="3"/>
  <c r="CI481" i="3"/>
  <c r="CP481" i="3"/>
  <c r="R481" i="3"/>
  <c r="AB481" i="3" s="1"/>
  <c r="CM240" i="3"/>
  <c r="BZ240" i="3"/>
  <c r="CK240" i="3"/>
  <c r="CL240" i="3"/>
  <c r="CJ240" i="3"/>
  <c r="AN240" i="3"/>
  <c r="BJ240" i="3" s="1"/>
  <c r="CA240" i="3"/>
  <c r="AM240" i="3"/>
  <c r="BI240" i="3" s="1"/>
  <c r="BW264" i="3"/>
  <c r="BY264" i="3" s="1"/>
  <c r="CO264" i="3"/>
  <c r="BO288" i="3"/>
  <c r="BS288" i="3"/>
  <c r="BV288" i="3"/>
  <c r="BU288" i="3"/>
  <c r="BL312" i="3"/>
  <c r="BN312" i="3" s="1"/>
  <c r="BP312" i="3"/>
  <c r="BT312" i="3" s="1"/>
  <c r="BF336" i="3"/>
  <c r="CS336" i="3"/>
  <c r="AR336" i="3"/>
  <c r="AS336" i="3" s="1"/>
  <c r="BK336" i="3"/>
  <c r="CT336" i="3"/>
  <c r="BH336" i="3"/>
  <c r="BG360" i="3"/>
  <c r="AK360" i="3"/>
  <c r="AJ360" i="3"/>
  <c r="AL360" i="3"/>
  <c r="CB384" i="3"/>
  <c r="BQ384" i="3"/>
  <c r="AI384" i="3"/>
  <c r="Y456" i="3"/>
  <c r="U456" i="3"/>
  <c r="W456" i="3" s="1"/>
  <c r="AQ480" i="3"/>
  <c r="AW480" i="3"/>
  <c r="CH480" i="3"/>
  <c r="CQ480" i="3"/>
  <c r="CI480" i="3"/>
  <c r="CP480" i="3"/>
  <c r="R480" i="3"/>
  <c r="AB480" i="3" s="1"/>
  <c r="G17" i="13"/>
  <c r="X17" i="13" s="1"/>
  <c r="AK16" i="19"/>
  <c r="H43" i="13"/>
  <c r="AG43" i="13" s="1"/>
  <c r="Q43" i="13"/>
  <c r="AH43" i="13" s="1"/>
  <c r="AK43" i="13"/>
  <c r="AA17" i="13"/>
  <c r="F43" i="13"/>
  <c r="H17" i="13"/>
  <c r="Y17" i="13" s="1"/>
  <c r="AJ16" i="19"/>
  <c r="CA112" i="3"/>
  <c r="AM112" i="3"/>
  <c r="BI112" i="3" s="1"/>
  <c r="AN112" i="3"/>
  <c r="BJ112" i="3" s="1"/>
  <c r="CJ112" i="3"/>
  <c r="CL112" i="3"/>
  <c r="CK112" i="3"/>
  <c r="BZ112" i="3"/>
  <c r="CM112" i="3"/>
  <c r="BY113" i="3"/>
  <c r="CO113" i="3"/>
  <c r="CB113" i="3"/>
  <c r="BX114" i="3" a="1"/>
  <c r="H202" i="4"/>
  <c r="AB201" i="4"/>
  <c r="AA201" i="4" s="1"/>
  <c r="BZ70" i="3"/>
  <c r="CK70" i="3"/>
  <c r="CM70" i="3"/>
  <c r="CL70" i="3"/>
  <c r="W18" i="19"/>
  <c r="AD18" i="19"/>
  <c r="Q18" i="19"/>
  <c r="S18" i="19"/>
  <c r="AM18" i="19"/>
  <c r="Y18" i="19"/>
  <c r="X18" i="19"/>
  <c r="AA18" i="19"/>
  <c r="AB18" i="19"/>
  <c r="P18" i="19"/>
  <c r="R18" i="19"/>
  <c r="Z18" i="19"/>
  <c r="AC18" i="19"/>
  <c r="AE18" i="19"/>
  <c r="CJ70" i="3"/>
  <c r="AN70" i="3"/>
  <c r="J60" i="21"/>
  <c r="CA70" i="3"/>
  <c r="AM70" i="3"/>
  <c r="BJ189" i="3"/>
  <c r="AK23" i="19" s="1"/>
  <c r="N50" i="13" s="1"/>
  <c r="AC50" i="13" s="1"/>
  <c r="U23" i="19"/>
  <c r="H50" i="13" s="1"/>
  <c r="AG50" i="13" s="1"/>
  <c r="L24" i="13"/>
  <c r="AE24" i="13" s="1"/>
  <c r="AN23" i="19"/>
  <c r="Q50" i="13" s="1"/>
  <c r="AH50" i="13" s="1"/>
  <c r="AO50" i="13" s="1"/>
  <c r="F50" i="13"/>
  <c r="AA24" i="13"/>
  <c r="AA50" i="13" s="1"/>
  <c r="CM239" i="3"/>
  <c r="BZ239" i="3"/>
  <c r="CK239" i="3"/>
  <c r="CL239" i="3"/>
  <c r="CJ239" i="3"/>
  <c r="AN239" i="3"/>
  <c r="BJ239" i="3" s="1"/>
  <c r="CA239" i="3"/>
  <c r="AM239" i="3"/>
  <c r="BI239" i="3" s="1"/>
  <c r="CM238" i="3"/>
  <c r="BZ238" i="3"/>
  <c r="CK238" i="3"/>
  <c r="CL238" i="3"/>
  <c r="CJ238" i="3"/>
  <c r="AN238" i="3"/>
  <c r="BJ238" i="3" s="1"/>
  <c r="CA238" i="3"/>
  <c r="AM238" i="3"/>
  <c r="BI238" i="3" s="1"/>
  <c r="CM213" i="3"/>
  <c r="BZ213" i="3"/>
  <c r="M24" i="19" s="1"/>
  <c r="G25" i="13" s="1"/>
  <c r="X25" i="13" s="1"/>
  <c r="CK213" i="3"/>
  <c r="CL213" i="3"/>
  <c r="CJ213" i="3"/>
  <c r="AN213" i="3"/>
  <c r="AE24" i="19"/>
  <c r="T25" i="13" s="1"/>
  <c r="AN25" i="13" s="1"/>
  <c r="Q24" i="19"/>
  <c r="J25" i="13" s="1"/>
  <c r="AC25" i="13" s="1"/>
  <c r="AA24" i="19"/>
  <c r="P25" i="13" s="1"/>
  <c r="AI25" i="13" s="1"/>
  <c r="Y24" i="19"/>
  <c r="N25" i="13" s="1"/>
  <c r="AG25" i="13" s="1"/>
  <c r="X24" i="19"/>
  <c r="M25" i="13" s="1"/>
  <c r="AF25" i="13" s="1"/>
  <c r="S24" i="19"/>
  <c r="I25" i="13" s="1"/>
  <c r="AB25" i="13" s="1"/>
  <c r="T24" i="19"/>
  <c r="G51" i="13" s="1"/>
  <c r="AF51" i="13" s="1"/>
  <c r="AD24" i="19"/>
  <c r="U25" i="13" s="1"/>
  <c r="AO25" i="13" s="1"/>
  <c r="AM24" i="19"/>
  <c r="P51" i="13" s="1"/>
  <c r="AE51" i="13" s="1"/>
  <c r="AK51" i="13" s="1"/>
  <c r="AC24" i="19"/>
  <c r="R25" i="13" s="1"/>
  <c r="AK25" i="13" s="1"/>
  <c r="Z24" i="19"/>
  <c r="O25" i="13" s="1"/>
  <c r="AH25" i="13" s="1"/>
  <c r="W24" i="19"/>
  <c r="R24" i="19"/>
  <c r="K25" i="13" s="1"/>
  <c r="AD25" i="13" s="1"/>
  <c r="P24" i="19"/>
  <c r="F25" i="13" s="1"/>
  <c r="AJ24" i="19"/>
  <c r="M51" i="13" s="1"/>
  <c r="AB51" i="13" s="1"/>
  <c r="AP51" i="13" s="1"/>
  <c r="AB24" i="19"/>
  <c r="Q25" i="13" s="1"/>
  <c r="AJ25" i="13" s="1"/>
  <c r="CA213" i="3"/>
  <c r="N24" i="19" s="1"/>
  <c r="H25" i="13" s="1"/>
  <c r="Y25" i="13" s="1"/>
  <c r="AM213" i="3"/>
  <c r="BI213" i="3" s="1"/>
  <c r="BW263" i="3"/>
  <c r="BY263" i="3" s="1"/>
  <c r="CO263" i="3"/>
  <c r="BW262" i="3"/>
  <c r="BY262" i="3" s="1"/>
  <c r="CO262" i="3"/>
  <c r="BU165" i="3"/>
  <c r="BV165" i="3"/>
  <c r="BS165" i="3"/>
  <c r="BO165" i="3"/>
  <c r="BV287" i="3"/>
  <c r="BU287" i="3"/>
  <c r="BV286" i="3"/>
  <c r="BU286" i="3"/>
  <c r="BV261" i="3"/>
  <c r="BU261" i="3"/>
  <c r="BO261" i="3"/>
  <c r="BS261" i="3"/>
  <c r="BP310" i="3"/>
  <c r="BT310" i="3" s="1"/>
  <c r="BL310" i="3"/>
  <c r="BN310" i="3" s="1"/>
  <c r="BP285" i="3"/>
  <c r="BT285" i="3" s="1"/>
  <c r="BL285" i="3"/>
  <c r="BN285" i="3" s="1"/>
  <c r="BF335" i="3"/>
  <c r="CS335" i="3"/>
  <c r="AR335" i="3"/>
  <c r="AS335" i="3" s="1"/>
  <c r="BK335" i="3"/>
  <c r="CT335" i="3"/>
  <c r="BH335" i="3"/>
  <c r="CS334" i="3"/>
  <c r="AR334" i="3"/>
  <c r="AS334" i="3" s="1"/>
  <c r="BK334" i="3"/>
  <c r="BF334" i="3"/>
  <c r="CT334" i="3"/>
  <c r="BH334" i="3"/>
  <c r="BF309" i="3"/>
  <c r="CS309" i="3"/>
  <c r="AR309" i="3"/>
  <c r="AS309" i="3" s="1"/>
  <c r="BK309" i="3"/>
  <c r="CT309" i="3"/>
  <c r="BH309" i="3"/>
  <c r="BL291" i="3"/>
  <c r="BN291" i="3" s="1"/>
  <c r="BP291" i="3"/>
  <c r="BT291" i="3" s="1"/>
  <c r="AK358" i="3"/>
  <c r="BG358" i="3"/>
  <c r="AJ358" i="3"/>
  <c r="AL358" i="3"/>
  <c r="AK333" i="3"/>
  <c r="BG333" i="3"/>
  <c r="AJ333" i="3"/>
  <c r="AL333" i="3"/>
  <c r="BF332" i="3"/>
  <c r="CS332" i="3"/>
  <c r="AR332" i="3"/>
  <c r="AS332" i="3" s="1"/>
  <c r="BK332" i="3"/>
  <c r="CT332" i="3"/>
  <c r="BH332" i="3"/>
  <c r="BG347" i="3"/>
  <c r="AK347" i="3"/>
  <c r="AJ347" i="3"/>
  <c r="AL347" i="3"/>
  <c r="AF357" i="3"/>
  <c r="AG357" i="3" s="1"/>
  <c r="AH357" i="3" s="1"/>
  <c r="Y455" i="3"/>
  <c r="U455" i="3"/>
  <c r="W455" i="3" s="1"/>
  <c r="Y454" i="3"/>
  <c r="U454" i="3"/>
  <c r="W454" i="3" s="1"/>
  <c r="Y429" i="3"/>
  <c r="U429" i="3"/>
  <c r="W429" i="3" s="1"/>
  <c r="V34" i="13"/>
  <c r="AP34" i="13" s="1"/>
  <c r="AO33" i="19"/>
  <c r="R60" i="13" s="1"/>
  <c r="AI60" i="13" s="1"/>
  <c r="CQ479" i="3"/>
  <c r="CH479" i="3"/>
  <c r="AW479" i="3"/>
  <c r="AQ479" i="3"/>
  <c r="CP479" i="3"/>
  <c r="CI479" i="3"/>
  <c r="R479" i="3"/>
  <c r="AB479" i="3" s="1"/>
  <c r="CQ478" i="3"/>
  <c r="CH478" i="3"/>
  <c r="AW478" i="3"/>
  <c r="AQ478" i="3"/>
  <c r="CP478" i="3"/>
  <c r="CI478" i="3"/>
  <c r="R478" i="3"/>
  <c r="AB478" i="3" s="1"/>
  <c r="CQ477" i="3"/>
  <c r="CH477" i="3"/>
  <c r="AW477" i="3"/>
  <c r="AQ477" i="3"/>
  <c r="CP477" i="3"/>
  <c r="CI477" i="3"/>
  <c r="G43" i="13"/>
  <c r="AF43" i="13" s="1"/>
  <c r="H34" i="19"/>
  <c r="F89" i="13" s="1"/>
  <c r="T453" i="3"/>
  <c r="R453" i="3"/>
  <c r="AB453" i="3" s="1"/>
  <c r="J34" i="19"/>
  <c r="L34" i="19"/>
  <c r="J89" i="13" s="1"/>
  <c r="V453" i="3"/>
  <c r="Z433" i="3"/>
  <c r="AC433" i="3" s="1"/>
  <c r="AD433" i="3" s="1"/>
  <c r="AF34" i="19"/>
  <c r="AL34" i="19"/>
  <c r="O61" i="13" s="1"/>
  <c r="AD61" i="13" s="1"/>
  <c r="AO47" i="13"/>
  <c r="BT237" i="3"/>
  <c r="BN237" i="3"/>
  <c r="J88" i="13"/>
  <c r="F88" i="13"/>
  <c r="O60" i="13"/>
  <c r="AD60" i="13" s="1"/>
  <c r="O38" i="19"/>
  <c r="E36" i="13"/>
  <c r="J477" i="3"/>
  <c r="G35" i="19"/>
  <c r="O477" i="3"/>
  <c r="I35" i="19"/>
  <c r="Q477" i="3"/>
  <c r="K35" i="19"/>
  <c r="E89" i="13"/>
  <c r="G89" i="13"/>
  <c r="I89" i="13"/>
  <c r="CR443" i="3" l="1"/>
  <c r="BR443" i="3"/>
  <c r="AA443" i="3"/>
  <c r="AE443" i="3" s="1"/>
  <c r="AF443" i="3" s="1"/>
  <c r="AG443" i="3" s="1"/>
  <c r="AH443" i="3" s="1"/>
  <c r="Z465" i="3"/>
  <c r="AC465" i="3" s="1"/>
  <c r="AD465" i="3" s="1"/>
  <c r="CR444" i="3"/>
  <c r="BR444" i="3"/>
  <c r="AA444" i="3"/>
  <c r="AE444" i="3" s="1"/>
  <c r="AF444" i="3" s="1"/>
  <c r="AG444" i="3" s="1"/>
  <c r="AH444" i="3" s="1"/>
  <c r="CR441" i="3"/>
  <c r="AA441" i="3"/>
  <c r="AE441" i="3" s="1"/>
  <c r="AF441" i="3" s="1"/>
  <c r="AG441" i="3" s="1"/>
  <c r="AH441" i="3" s="1"/>
  <c r="BR441" i="3"/>
  <c r="CR438" i="3"/>
  <c r="AA438" i="3"/>
  <c r="AE438" i="3" s="1"/>
  <c r="AF438" i="3" s="1"/>
  <c r="AG438" i="3" s="1"/>
  <c r="AH438" i="3" s="1"/>
  <c r="BR438" i="3"/>
  <c r="Z458" i="3"/>
  <c r="AC458" i="3" s="1"/>
  <c r="AD458" i="3" s="1"/>
  <c r="CR439" i="3"/>
  <c r="AA439" i="3"/>
  <c r="AE439" i="3" s="1"/>
  <c r="AF439" i="3" s="1"/>
  <c r="AG439" i="3" s="1"/>
  <c r="AH439" i="3" s="1"/>
  <c r="BR439" i="3"/>
  <c r="Z472" i="3"/>
  <c r="AC472" i="3" s="1"/>
  <c r="AD472" i="3" s="1"/>
  <c r="CR445" i="3"/>
  <c r="BR445" i="3"/>
  <c r="AA445" i="3"/>
  <c r="AE445" i="3" s="1"/>
  <c r="AF445" i="3" s="1"/>
  <c r="AG445" i="3" s="1"/>
  <c r="AH445" i="3" s="1"/>
  <c r="Z429" i="3"/>
  <c r="AC429" i="3" s="1"/>
  <c r="AD429" i="3" s="1"/>
  <c r="AF421" i="3"/>
  <c r="AG421" i="3"/>
  <c r="AH421" i="3" s="1"/>
  <c r="Z454" i="3"/>
  <c r="AC454" i="3" s="1"/>
  <c r="AD454" i="3" s="1"/>
  <c r="Z461" i="3"/>
  <c r="AC461" i="3" s="1"/>
  <c r="AD461" i="3" s="1"/>
  <c r="Z467" i="3"/>
  <c r="AC467" i="3" s="1"/>
  <c r="AD467" i="3" s="1"/>
  <c r="CR447" i="3"/>
  <c r="BR447" i="3"/>
  <c r="AA447" i="3"/>
  <c r="AE447" i="3" s="1"/>
  <c r="AF447" i="3" s="1"/>
  <c r="AG447" i="3" s="1"/>
  <c r="AH447" i="3" s="1"/>
  <c r="CR432" i="3"/>
  <c r="BR432" i="3"/>
  <c r="AA432" i="3"/>
  <c r="AE432" i="3" s="1"/>
  <c r="AF432" i="3" s="1"/>
  <c r="AG432" i="3" s="1"/>
  <c r="AH432" i="3" s="1"/>
  <c r="BN311" i="3"/>
  <c r="BN329" i="3"/>
  <c r="Z474" i="3"/>
  <c r="AC474" i="3" s="1"/>
  <c r="AD474" i="3" s="1"/>
  <c r="CR442" i="3"/>
  <c r="BR442" i="3"/>
  <c r="AA442" i="3"/>
  <c r="AE442" i="3" s="1"/>
  <c r="AF442" i="3" s="1"/>
  <c r="AG442" i="3" s="1"/>
  <c r="AH442" i="3" s="1"/>
  <c r="CR405" i="3"/>
  <c r="BR405" i="3"/>
  <c r="AA405" i="3"/>
  <c r="AE405" i="3" s="1"/>
  <c r="AF405" i="3" s="1"/>
  <c r="AG405" i="3" s="1"/>
  <c r="AH405" i="3" s="1"/>
  <c r="Z476" i="3"/>
  <c r="AC476" i="3" s="1"/>
  <c r="AD476" i="3" s="1"/>
  <c r="Z471" i="3"/>
  <c r="AC471" i="3" s="1"/>
  <c r="AD471" i="3" s="1"/>
  <c r="AK367" i="3"/>
  <c r="BF367" i="3" s="1"/>
  <c r="AJ367" i="3"/>
  <c r="BG367" i="3"/>
  <c r="AL367" i="3"/>
  <c r="AF426" i="3"/>
  <c r="AG426" i="3"/>
  <c r="AH426" i="3" s="1"/>
  <c r="CS350" i="3"/>
  <c r="AR350" i="3"/>
  <c r="AS350" i="3" s="1"/>
  <c r="BK350" i="3"/>
  <c r="BL350" i="3" s="1"/>
  <c r="CT350" i="3"/>
  <c r="BH350" i="3"/>
  <c r="BP350" i="3" s="1"/>
  <c r="BT350" i="3" s="1"/>
  <c r="CR449" i="3"/>
  <c r="BR449" i="3"/>
  <c r="AA449" i="3"/>
  <c r="AE449" i="3" s="1"/>
  <c r="AF449" i="3" s="1"/>
  <c r="AG449" i="3" s="1"/>
  <c r="AH449" i="3" s="1"/>
  <c r="CR452" i="3"/>
  <c r="BR452" i="3"/>
  <c r="AA452" i="3"/>
  <c r="AE452" i="3" s="1"/>
  <c r="Z463" i="3"/>
  <c r="AC463" i="3" s="1"/>
  <c r="AD463" i="3" s="1"/>
  <c r="CR450" i="3"/>
  <c r="BR450" i="3"/>
  <c r="AA450" i="3"/>
  <c r="AE450" i="3" s="1"/>
  <c r="Z455" i="3"/>
  <c r="AC455" i="3" s="1"/>
  <c r="AD455" i="3" s="1"/>
  <c r="BO287" i="3"/>
  <c r="BS287" i="3"/>
  <c r="BO303" i="3"/>
  <c r="BS303" i="3"/>
  <c r="CR430" i="3"/>
  <c r="BR430" i="3"/>
  <c r="AA430" i="3"/>
  <c r="AE430" i="3" s="1"/>
  <c r="AF430" i="3" s="1"/>
  <c r="AG430" i="3" s="1"/>
  <c r="AH430" i="3" s="1"/>
  <c r="BN322" i="3"/>
  <c r="BN316" i="3"/>
  <c r="AF407" i="3"/>
  <c r="AG407" i="3" s="1"/>
  <c r="AH407" i="3" s="1"/>
  <c r="AF406" i="3"/>
  <c r="AG406" i="3" s="1"/>
  <c r="AH406" i="3" s="1"/>
  <c r="AF381" i="3"/>
  <c r="AG381" i="3" s="1"/>
  <c r="AH381" i="3" s="1"/>
  <c r="CR435" i="3"/>
  <c r="BR435" i="3"/>
  <c r="AA435" i="3"/>
  <c r="AE435" i="3" s="1"/>
  <c r="AF435" i="3" s="1"/>
  <c r="AG435" i="3" s="1"/>
  <c r="AH435" i="3" s="1"/>
  <c r="AI382" i="3"/>
  <c r="BQ382" i="3"/>
  <c r="CB382" i="3"/>
  <c r="AK365" i="3"/>
  <c r="BF365" i="3" s="1"/>
  <c r="BG365" i="3"/>
  <c r="AL365" i="3"/>
  <c r="AJ365" i="3"/>
  <c r="CS339" i="3"/>
  <c r="AR339" i="3"/>
  <c r="AS339" i="3" s="1"/>
  <c r="BK339" i="3"/>
  <c r="BL339" i="3" s="1"/>
  <c r="CT339" i="3"/>
  <c r="BH339" i="3"/>
  <c r="BP339" i="3" s="1"/>
  <c r="BT339" i="3" s="1"/>
  <c r="AK362" i="3"/>
  <c r="BF362" i="3" s="1"/>
  <c r="AJ362" i="3"/>
  <c r="BG362" i="3"/>
  <c r="AL362" i="3"/>
  <c r="AF410" i="3"/>
  <c r="AG410" i="3" s="1"/>
  <c r="AH410" i="3" s="1"/>
  <c r="CR434" i="3"/>
  <c r="BR434" i="3"/>
  <c r="AA434" i="3"/>
  <c r="AE434" i="3" s="1"/>
  <c r="AF434" i="3" s="1"/>
  <c r="AG434" i="3" s="1"/>
  <c r="AH434" i="3" s="1"/>
  <c r="Z460" i="3"/>
  <c r="AC460" i="3" s="1"/>
  <c r="AD460" i="3" s="1"/>
  <c r="CR451" i="3"/>
  <c r="BR451" i="3"/>
  <c r="AA451" i="3"/>
  <c r="AE451" i="3" s="1"/>
  <c r="CR431" i="3"/>
  <c r="BR431" i="3"/>
  <c r="AA431" i="3"/>
  <c r="AE431" i="3" s="1"/>
  <c r="BO286" i="3"/>
  <c r="BS286" i="3"/>
  <c r="CB403" i="3"/>
  <c r="AI403" i="3"/>
  <c r="BQ403" i="3"/>
  <c r="Z475" i="3"/>
  <c r="AC475" i="3" s="1"/>
  <c r="AD475" i="3" s="1"/>
  <c r="CB394" i="3"/>
  <c r="BQ394" i="3"/>
  <c r="AI394" i="3"/>
  <c r="AF412" i="3"/>
  <c r="AG412" i="3" s="1"/>
  <c r="AH412" i="3" s="1"/>
  <c r="CR436" i="3"/>
  <c r="BR436" i="3"/>
  <c r="AA436" i="3"/>
  <c r="AE436" i="3" s="1"/>
  <c r="AF436" i="3" s="1"/>
  <c r="AG436" i="3" s="1"/>
  <c r="AH436" i="3" s="1"/>
  <c r="Z466" i="3"/>
  <c r="AC466" i="3" s="1"/>
  <c r="AD466" i="3" s="1"/>
  <c r="CI504" i="3"/>
  <c r="Z470" i="3"/>
  <c r="AC470" i="3" s="1"/>
  <c r="AD470" i="3" s="1"/>
  <c r="Z473" i="3"/>
  <c r="AC473" i="3" s="1"/>
  <c r="AD473" i="3" s="1"/>
  <c r="Z459" i="3"/>
  <c r="AC459" i="3" s="1"/>
  <c r="AD459" i="3" s="1"/>
  <c r="CR448" i="3"/>
  <c r="AA448" i="3"/>
  <c r="AE448" i="3" s="1"/>
  <c r="AF448" i="3" s="1"/>
  <c r="AG448" i="3" s="1"/>
  <c r="AH448" i="3" s="1"/>
  <c r="BR448" i="3"/>
  <c r="CR440" i="3"/>
  <c r="BR440" i="3"/>
  <c r="AA440" i="3"/>
  <c r="AE440" i="3" s="1"/>
  <c r="Z457" i="3"/>
  <c r="AC457" i="3" s="1"/>
  <c r="AD457" i="3" s="1"/>
  <c r="CB400" i="3"/>
  <c r="AI400" i="3"/>
  <c r="BQ400" i="3"/>
  <c r="AW504" i="3"/>
  <c r="AF40" i="19" s="1"/>
  <c r="AO40" i="19" s="1"/>
  <c r="CH504" i="3"/>
  <c r="Z469" i="3"/>
  <c r="AC469" i="3" s="1"/>
  <c r="AD469" i="3" s="1"/>
  <c r="Z456" i="3"/>
  <c r="AC456" i="3" s="1"/>
  <c r="AD456" i="3" s="1"/>
  <c r="Z462" i="3"/>
  <c r="AC462" i="3" s="1"/>
  <c r="AD462" i="3" s="1"/>
  <c r="CR437" i="3"/>
  <c r="BR437" i="3"/>
  <c r="AA437" i="3"/>
  <c r="AE437" i="3" s="1"/>
  <c r="AF437" i="3" s="1"/>
  <c r="AG437" i="3" s="1"/>
  <c r="AH437" i="3" s="1"/>
  <c r="BL359" i="3"/>
  <c r="BN359" i="3" s="1"/>
  <c r="BP359" i="3"/>
  <c r="BT359" i="3" s="1"/>
  <c r="BF383" i="3"/>
  <c r="CS383" i="3"/>
  <c r="AR383" i="3"/>
  <c r="AS383" i="3" s="1"/>
  <c r="BK383" i="3"/>
  <c r="CT383" i="3"/>
  <c r="BH383" i="3"/>
  <c r="Z43" i="13"/>
  <c r="CM284" i="3"/>
  <c r="BZ284" i="3"/>
  <c r="CK284" i="3"/>
  <c r="CL284" i="3"/>
  <c r="CJ284" i="3"/>
  <c r="AN284" i="3"/>
  <c r="BJ284" i="3" s="1"/>
  <c r="CA284" i="3"/>
  <c r="AM284" i="3"/>
  <c r="BI284" i="3" s="1"/>
  <c r="BW308" i="3"/>
  <c r="BY308" i="3" s="1"/>
  <c r="CO308" i="3"/>
  <c r="BL356" i="3"/>
  <c r="BN356" i="3" s="1"/>
  <c r="BP356" i="3"/>
  <c r="BT356" i="3" s="1"/>
  <c r="CS380" i="3"/>
  <c r="AR380" i="3"/>
  <c r="AS380" i="3" s="1"/>
  <c r="BK380" i="3"/>
  <c r="BF380" i="3"/>
  <c r="CT380" i="3"/>
  <c r="BH380" i="3"/>
  <c r="AK404" i="3"/>
  <c r="AJ404" i="3"/>
  <c r="BG404" i="3"/>
  <c r="AL404" i="3"/>
  <c r="CB428" i="3"/>
  <c r="AI428" i="3"/>
  <c r="BQ428" i="3"/>
  <c r="J504" i="3"/>
  <c r="H40" i="19" s="1"/>
  <c r="T500" i="3"/>
  <c r="O504" i="3"/>
  <c r="J40" i="19" s="1"/>
  <c r="R500" i="3"/>
  <c r="AB500" i="3" s="1"/>
  <c r="Q504" i="3"/>
  <c r="L40" i="19" s="1"/>
  <c r="V500" i="3"/>
  <c r="CK283" i="3"/>
  <c r="CL283" i="3"/>
  <c r="BZ283" i="3"/>
  <c r="CM283" i="3"/>
  <c r="CJ283" i="3"/>
  <c r="AN283" i="3"/>
  <c r="BJ283" i="3" s="1"/>
  <c r="CA283" i="3"/>
  <c r="AM283" i="3"/>
  <c r="BI283" i="3" s="1"/>
  <c r="BW307" i="3"/>
  <c r="BY307" i="3" s="1"/>
  <c r="CO307" i="3"/>
  <c r="BO331" i="3"/>
  <c r="BS331" i="3"/>
  <c r="BV331" i="3"/>
  <c r="BU331" i="3"/>
  <c r="BL355" i="3"/>
  <c r="BN355" i="3" s="1"/>
  <c r="BP355" i="3"/>
  <c r="BT355" i="3" s="1"/>
  <c r="BF379" i="3"/>
  <c r="CS379" i="3"/>
  <c r="AR379" i="3"/>
  <c r="AS379" i="3" s="1"/>
  <c r="BK379" i="3"/>
  <c r="CT379" i="3"/>
  <c r="BH379" i="3"/>
  <c r="CB427" i="3"/>
  <c r="AI427" i="3"/>
  <c r="BQ427" i="3"/>
  <c r="Y499" i="3"/>
  <c r="U499" i="3"/>
  <c r="W499" i="3" s="1"/>
  <c r="CM282" i="3"/>
  <c r="BZ282" i="3"/>
  <c r="CK282" i="3"/>
  <c r="CL282" i="3"/>
  <c r="CJ282" i="3"/>
  <c r="AN282" i="3"/>
  <c r="BJ282" i="3" s="1"/>
  <c r="CA282" i="3"/>
  <c r="AM282" i="3"/>
  <c r="BI282" i="3" s="1"/>
  <c r="BW306" i="3"/>
  <c r="BY306" i="3" s="1"/>
  <c r="CO306" i="3"/>
  <c r="BO330" i="3"/>
  <c r="BS330" i="3"/>
  <c r="BV330" i="3"/>
  <c r="BU330" i="3"/>
  <c r="BL354" i="3"/>
  <c r="BN354" i="3" s="1"/>
  <c r="BP354" i="3"/>
  <c r="BT354" i="3" s="1"/>
  <c r="BF378" i="3"/>
  <c r="CS378" i="3"/>
  <c r="AR378" i="3"/>
  <c r="AS378" i="3" s="1"/>
  <c r="BK378" i="3"/>
  <c r="CT378" i="3"/>
  <c r="BH378" i="3"/>
  <c r="AK402" i="3"/>
  <c r="AJ402" i="3"/>
  <c r="BG402" i="3"/>
  <c r="AL402" i="3"/>
  <c r="Y498" i="3"/>
  <c r="U498" i="3"/>
  <c r="W498" i="3" s="1"/>
  <c r="CM281" i="3"/>
  <c r="BZ281" i="3"/>
  <c r="CK281" i="3"/>
  <c r="CL281" i="3"/>
  <c r="CJ281" i="3"/>
  <c r="AN281" i="3"/>
  <c r="BJ281" i="3" s="1"/>
  <c r="CA281" i="3"/>
  <c r="AM281" i="3"/>
  <c r="BI281" i="3" s="1"/>
  <c r="BW305" i="3"/>
  <c r="BY305" i="3" s="1"/>
  <c r="CO305" i="3"/>
  <c r="BV329" i="3"/>
  <c r="BU329" i="3"/>
  <c r="BL353" i="3"/>
  <c r="BN353" i="3" s="1"/>
  <c r="BP353" i="3"/>
  <c r="BT353" i="3" s="1"/>
  <c r="BF377" i="3"/>
  <c r="CS377" i="3"/>
  <c r="AR377" i="3"/>
  <c r="AS377" i="3" s="1"/>
  <c r="BK377" i="3"/>
  <c r="CT377" i="3"/>
  <c r="BH377" i="3"/>
  <c r="AK401" i="3"/>
  <c r="AJ401" i="3"/>
  <c r="BG401" i="3"/>
  <c r="AL401" i="3"/>
  <c r="CB425" i="3"/>
  <c r="AI425" i="3"/>
  <c r="BQ425" i="3"/>
  <c r="Y497" i="3"/>
  <c r="U497" i="3"/>
  <c r="W497" i="3" s="1"/>
  <c r="CM280" i="3"/>
  <c r="BZ280" i="3"/>
  <c r="CK280" i="3"/>
  <c r="CL280" i="3"/>
  <c r="CJ280" i="3"/>
  <c r="AN280" i="3"/>
  <c r="BJ280" i="3" s="1"/>
  <c r="CA280" i="3"/>
  <c r="AM280" i="3"/>
  <c r="BI280" i="3" s="1"/>
  <c r="BW304" i="3"/>
  <c r="BY304" i="3" s="1"/>
  <c r="CO304" i="3"/>
  <c r="BO328" i="3"/>
  <c r="BS328" i="3"/>
  <c r="BV328" i="3"/>
  <c r="BU328" i="3"/>
  <c r="BL352" i="3"/>
  <c r="BN352" i="3" s="1"/>
  <c r="BP352" i="3"/>
  <c r="BT352" i="3" s="1"/>
  <c r="BF376" i="3"/>
  <c r="CS376" i="3"/>
  <c r="AR376" i="3"/>
  <c r="AS376" i="3" s="1"/>
  <c r="BK376" i="3"/>
  <c r="CT376" i="3"/>
  <c r="BH376" i="3"/>
  <c r="CB424" i="3"/>
  <c r="AI424" i="3"/>
  <c r="BQ424" i="3"/>
  <c r="Y496" i="3"/>
  <c r="U496" i="3"/>
  <c r="W496" i="3" s="1"/>
  <c r="CM279" i="3"/>
  <c r="BZ279" i="3"/>
  <c r="CK279" i="3"/>
  <c r="CL279" i="3"/>
  <c r="CJ279" i="3"/>
  <c r="AN279" i="3"/>
  <c r="BJ279" i="3" s="1"/>
  <c r="CA279" i="3"/>
  <c r="AM279" i="3"/>
  <c r="BI279" i="3" s="1"/>
  <c r="BW303" i="3"/>
  <c r="BY303" i="3" s="1"/>
  <c r="CO303" i="3"/>
  <c r="BO327" i="3"/>
  <c r="BS327" i="3"/>
  <c r="BV327" i="3"/>
  <c r="BU327" i="3"/>
  <c r="BL351" i="3"/>
  <c r="BN351" i="3" s="1"/>
  <c r="BP351" i="3"/>
  <c r="BT351" i="3" s="1"/>
  <c r="BF375" i="3"/>
  <c r="CS375" i="3"/>
  <c r="AR375" i="3"/>
  <c r="AS375" i="3" s="1"/>
  <c r="BK375" i="3"/>
  <c r="CT375" i="3"/>
  <c r="BH375" i="3"/>
  <c r="AK399" i="3"/>
  <c r="AJ399" i="3"/>
  <c r="BG399" i="3"/>
  <c r="AL399" i="3"/>
  <c r="CB423" i="3"/>
  <c r="AI423" i="3"/>
  <c r="BQ423" i="3"/>
  <c r="Y495" i="3"/>
  <c r="U495" i="3"/>
  <c r="W495" i="3" s="1"/>
  <c r="CM278" i="3"/>
  <c r="BZ278" i="3"/>
  <c r="CK278" i="3"/>
  <c r="CL278" i="3"/>
  <c r="CJ278" i="3"/>
  <c r="AN278" i="3"/>
  <c r="BJ278" i="3" s="1"/>
  <c r="CA278" i="3"/>
  <c r="AM278" i="3"/>
  <c r="BI278" i="3" s="1"/>
  <c r="BW302" i="3"/>
  <c r="BY302" i="3" s="1"/>
  <c r="CO302" i="3"/>
  <c r="BO326" i="3"/>
  <c r="BS326" i="3"/>
  <c r="BV326" i="3"/>
  <c r="BU326" i="3"/>
  <c r="CS374" i="3"/>
  <c r="AR374" i="3"/>
  <c r="AS374" i="3" s="1"/>
  <c r="BK374" i="3"/>
  <c r="BF374" i="3"/>
  <c r="CT374" i="3"/>
  <c r="BH374" i="3"/>
  <c r="AK398" i="3"/>
  <c r="AJ398" i="3"/>
  <c r="BG398" i="3"/>
  <c r="AL398" i="3"/>
  <c r="CB422" i="3"/>
  <c r="AI422" i="3"/>
  <c r="BQ422" i="3"/>
  <c r="AF446" i="3"/>
  <c r="AG446" i="3" s="1"/>
  <c r="AH446" i="3" s="1"/>
  <c r="Y494" i="3"/>
  <c r="U494" i="3"/>
  <c r="W494" i="3" s="1"/>
  <c r="CM277" i="3"/>
  <c r="BZ277" i="3"/>
  <c r="CK277" i="3"/>
  <c r="CL277" i="3"/>
  <c r="CJ277" i="3"/>
  <c r="AN277" i="3"/>
  <c r="BJ277" i="3" s="1"/>
  <c r="CA277" i="3"/>
  <c r="AM277" i="3"/>
  <c r="BI277" i="3" s="1"/>
  <c r="BW301" i="3"/>
  <c r="BY301" i="3" s="1"/>
  <c r="CO301" i="3"/>
  <c r="BO325" i="3"/>
  <c r="BS325" i="3"/>
  <c r="BV325" i="3"/>
  <c r="BU325" i="3"/>
  <c r="BL349" i="3"/>
  <c r="BN349" i="3" s="1"/>
  <c r="BP349" i="3"/>
  <c r="BT349" i="3" s="1"/>
  <c r="BF373" i="3"/>
  <c r="CS373" i="3"/>
  <c r="AR373" i="3"/>
  <c r="AS373" i="3" s="1"/>
  <c r="BK373" i="3"/>
  <c r="CT373" i="3"/>
  <c r="BH373" i="3"/>
  <c r="AK397" i="3"/>
  <c r="AJ397" i="3"/>
  <c r="BG397" i="3"/>
  <c r="AL397" i="3"/>
  <c r="Y493" i="3"/>
  <c r="U493" i="3"/>
  <c r="W493" i="3" s="1"/>
  <c r="BZ276" i="3"/>
  <c r="CL276" i="3"/>
  <c r="CM276" i="3"/>
  <c r="CK276" i="3"/>
  <c r="CJ276" i="3"/>
  <c r="AN276" i="3"/>
  <c r="BJ276" i="3" s="1"/>
  <c r="CA276" i="3"/>
  <c r="AM276" i="3"/>
  <c r="BI276" i="3" s="1"/>
  <c r="CO300" i="3"/>
  <c r="BW300" i="3"/>
  <c r="BY300" i="3" s="1"/>
  <c r="BO324" i="3"/>
  <c r="BS324" i="3"/>
  <c r="BV324" i="3"/>
  <c r="BU324" i="3"/>
  <c r="BL348" i="3"/>
  <c r="BN348" i="3" s="1"/>
  <c r="BP348" i="3"/>
  <c r="BT348" i="3" s="1"/>
  <c r="CS372" i="3"/>
  <c r="AR372" i="3"/>
  <c r="AS372" i="3" s="1"/>
  <c r="BK372" i="3"/>
  <c r="BF372" i="3"/>
  <c r="CT372" i="3"/>
  <c r="BH372" i="3"/>
  <c r="AK396" i="3"/>
  <c r="AJ396" i="3"/>
  <c r="BG396" i="3"/>
  <c r="AL396" i="3"/>
  <c r="CB420" i="3"/>
  <c r="AI420" i="3"/>
  <c r="BQ420" i="3"/>
  <c r="BR468" i="3"/>
  <c r="AA468" i="3"/>
  <c r="AE468" i="3" s="1"/>
  <c r="Y492" i="3"/>
  <c r="U492" i="3"/>
  <c r="W492" i="3" s="1"/>
  <c r="CM275" i="3"/>
  <c r="CK275" i="3"/>
  <c r="BZ275" i="3"/>
  <c r="CL275" i="3"/>
  <c r="CJ275" i="3"/>
  <c r="AN275" i="3"/>
  <c r="BJ275" i="3" s="1"/>
  <c r="CA275" i="3"/>
  <c r="AM275" i="3"/>
  <c r="BI275" i="3" s="1"/>
  <c r="BW299" i="3"/>
  <c r="BY299" i="3" s="1"/>
  <c r="CO299" i="3"/>
  <c r="BO323" i="3"/>
  <c r="BS323" i="3"/>
  <c r="BV323" i="3"/>
  <c r="BU323" i="3"/>
  <c r="CS371" i="3"/>
  <c r="AR371" i="3"/>
  <c r="AS371" i="3" s="1"/>
  <c r="BK371" i="3"/>
  <c r="BF371" i="3"/>
  <c r="CT371" i="3"/>
  <c r="BH371" i="3"/>
  <c r="AK395" i="3"/>
  <c r="AJ395" i="3"/>
  <c r="BG395" i="3"/>
  <c r="AL395" i="3"/>
  <c r="CB419" i="3"/>
  <c r="AI419" i="3"/>
  <c r="BQ419" i="3"/>
  <c r="Y491" i="3"/>
  <c r="U491" i="3"/>
  <c r="W491" i="3" s="1"/>
  <c r="CM274" i="3"/>
  <c r="BZ274" i="3"/>
  <c r="CK274" i="3"/>
  <c r="CL274" i="3"/>
  <c r="CJ274" i="3"/>
  <c r="AN274" i="3"/>
  <c r="BJ274" i="3" s="1"/>
  <c r="CA274" i="3"/>
  <c r="AM274" i="3"/>
  <c r="BI274" i="3" s="1"/>
  <c r="CO298" i="3"/>
  <c r="BW298" i="3"/>
  <c r="BY298" i="3" s="1"/>
  <c r="BV322" i="3"/>
  <c r="BU322" i="3"/>
  <c r="BL346" i="3"/>
  <c r="BN346" i="3" s="1"/>
  <c r="BP346" i="3"/>
  <c r="BT346" i="3" s="1"/>
  <c r="CS370" i="3"/>
  <c r="AR370" i="3"/>
  <c r="AS370" i="3" s="1"/>
  <c r="BK370" i="3"/>
  <c r="BF370" i="3"/>
  <c r="CT370" i="3"/>
  <c r="BH370" i="3"/>
  <c r="CB418" i="3"/>
  <c r="AI418" i="3"/>
  <c r="BQ418" i="3"/>
  <c r="Y490" i="3"/>
  <c r="U490" i="3"/>
  <c r="W490" i="3" s="1"/>
  <c r="CM273" i="3"/>
  <c r="BZ273" i="3"/>
  <c r="CK273" i="3"/>
  <c r="CL273" i="3"/>
  <c r="CJ273" i="3"/>
  <c r="AN273" i="3"/>
  <c r="BJ273" i="3" s="1"/>
  <c r="CA273" i="3"/>
  <c r="AM273" i="3"/>
  <c r="BI273" i="3" s="1"/>
  <c r="BW297" i="3"/>
  <c r="BY297" i="3" s="1"/>
  <c r="CO297" i="3"/>
  <c r="BO321" i="3"/>
  <c r="BS321" i="3"/>
  <c r="BV321" i="3"/>
  <c r="BU321" i="3"/>
  <c r="BL345" i="3"/>
  <c r="BN345" i="3" s="1"/>
  <c r="BP345" i="3"/>
  <c r="BT345" i="3" s="1"/>
  <c r="BF369" i="3"/>
  <c r="CS369" i="3"/>
  <c r="AR369" i="3"/>
  <c r="AS369" i="3" s="1"/>
  <c r="BK369" i="3"/>
  <c r="CT369" i="3"/>
  <c r="BH369" i="3"/>
  <c r="AK393" i="3"/>
  <c r="AJ393" i="3"/>
  <c r="BG393" i="3"/>
  <c r="AL393" i="3"/>
  <c r="CB417" i="3"/>
  <c r="AI417" i="3"/>
  <c r="BQ417" i="3"/>
  <c r="Y489" i="3"/>
  <c r="U489" i="3"/>
  <c r="W489" i="3" s="1"/>
  <c r="CM272" i="3"/>
  <c r="BZ272" i="3"/>
  <c r="CK272" i="3"/>
  <c r="CL272" i="3"/>
  <c r="CJ272" i="3"/>
  <c r="AN272" i="3"/>
  <c r="BJ272" i="3" s="1"/>
  <c r="CA272" i="3"/>
  <c r="AM272" i="3"/>
  <c r="BI272" i="3" s="1"/>
  <c r="BW296" i="3"/>
  <c r="BY296" i="3" s="1"/>
  <c r="CO296" i="3"/>
  <c r="BO320" i="3"/>
  <c r="BS320" i="3"/>
  <c r="BV320" i="3"/>
  <c r="BU320" i="3"/>
  <c r="BL344" i="3"/>
  <c r="BN344" i="3" s="1"/>
  <c r="BP344" i="3"/>
  <c r="BT344" i="3" s="1"/>
  <c r="BF368" i="3"/>
  <c r="CS368" i="3"/>
  <c r="AR368" i="3"/>
  <c r="AS368" i="3" s="1"/>
  <c r="BK368" i="3"/>
  <c r="CT368" i="3"/>
  <c r="BH368" i="3"/>
  <c r="BG392" i="3"/>
  <c r="AK392" i="3"/>
  <c r="AJ392" i="3"/>
  <c r="AL392" i="3"/>
  <c r="CB416" i="3"/>
  <c r="AI416" i="3"/>
  <c r="BQ416" i="3"/>
  <c r="Y488" i="3"/>
  <c r="U488" i="3"/>
  <c r="W488" i="3" s="1"/>
  <c r="CM271" i="3"/>
  <c r="CL271" i="3"/>
  <c r="BZ271" i="3"/>
  <c r="CK271" i="3"/>
  <c r="CJ271" i="3"/>
  <c r="AN271" i="3"/>
  <c r="BJ271" i="3" s="1"/>
  <c r="CA271" i="3"/>
  <c r="AM271" i="3"/>
  <c r="BI271" i="3" s="1"/>
  <c r="BW295" i="3"/>
  <c r="BY295" i="3" s="1"/>
  <c r="CO295" i="3"/>
  <c r="BO319" i="3"/>
  <c r="BS319" i="3"/>
  <c r="BV319" i="3"/>
  <c r="BU319" i="3"/>
  <c r="BL343" i="3"/>
  <c r="BN343" i="3" s="1"/>
  <c r="BP343" i="3"/>
  <c r="BT343" i="3" s="1"/>
  <c r="BG391" i="3"/>
  <c r="AK391" i="3"/>
  <c r="AJ391" i="3"/>
  <c r="AL391" i="3"/>
  <c r="CB415" i="3"/>
  <c r="AI415" i="3"/>
  <c r="BQ415" i="3"/>
  <c r="Y487" i="3"/>
  <c r="U487" i="3"/>
  <c r="W487" i="3" s="1"/>
  <c r="CM270" i="3"/>
  <c r="BZ270" i="3"/>
  <c r="CK270" i="3"/>
  <c r="CL270" i="3"/>
  <c r="CJ270" i="3"/>
  <c r="AN270" i="3"/>
  <c r="BJ270" i="3" s="1"/>
  <c r="CA270" i="3"/>
  <c r="AM270" i="3"/>
  <c r="BI270" i="3" s="1"/>
  <c r="BW294" i="3"/>
  <c r="BY294" i="3" s="1"/>
  <c r="CO294" i="3"/>
  <c r="BO318" i="3"/>
  <c r="BS318" i="3"/>
  <c r="BV318" i="3"/>
  <c r="BU318" i="3"/>
  <c r="BL342" i="3"/>
  <c r="BN342" i="3" s="1"/>
  <c r="BP342" i="3"/>
  <c r="BT342" i="3" s="1"/>
  <c r="BF366" i="3"/>
  <c r="CS366" i="3"/>
  <c r="AR366" i="3"/>
  <c r="AS366" i="3" s="1"/>
  <c r="BK366" i="3"/>
  <c r="CT366" i="3"/>
  <c r="BH366" i="3"/>
  <c r="AK390" i="3"/>
  <c r="AJ390" i="3"/>
  <c r="BG390" i="3"/>
  <c r="AL390" i="3"/>
  <c r="CB414" i="3"/>
  <c r="AI414" i="3"/>
  <c r="BQ414" i="3"/>
  <c r="Y486" i="3"/>
  <c r="U486" i="3"/>
  <c r="W486" i="3" s="1"/>
  <c r="CK269" i="3"/>
  <c r="CM269" i="3"/>
  <c r="BZ269" i="3"/>
  <c r="CL269" i="3"/>
  <c r="CJ269" i="3"/>
  <c r="AN269" i="3"/>
  <c r="BJ269" i="3" s="1"/>
  <c r="CA269" i="3"/>
  <c r="AM269" i="3"/>
  <c r="BI269" i="3" s="1"/>
  <c r="BW293" i="3"/>
  <c r="BY293" i="3" s="1"/>
  <c r="CO293" i="3"/>
  <c r="BO317" i="3"/>
  <c r="BS317" i="3"/>
  <c r="BV317" i="3"/>
  <c r="BU317" i="3"/>
  <c r="BL341" i="3"/>
  <c r="BN341" i="3" s="1"/>
  <c r="BP341" i="3"/>
  <c r="BT341" i="3" s="1"/>
  <c r="AJ389" i="3"/>
  <c r="AK389" i="3"/>
  <c r="BG389" i="3"/>
  <c r="AL389" i="3"/>
  <c r="CB413" i="3"/>
  <c r="AI413" i="3"/>
  <c r="BQ413" i="3"/>
  <c r="Y485" i="3"/>
  <c r="U485" i="3"/>
  <c r="W485" i="3" s="1"/>
  <c r="CM268" i="3"/>
  <c r="BZ268" i="3"/>
  <c r="CK268" i="3"/>
  <c r="CL268" i="3"/>
  <c r="CJ268" i="3"/>
  <c r="AN268" i="3"/>
  <c r="BJ268" i="3" s="1"/>
  <c r="CA268" i="3"/>
  <c r="AM268" i="3"/>
  <c r="BI268" i="3" s="1"/>
  <c r="BW292" i="3"/>
  <c r="BY292" i="3" s="1"/>
  <c r="CO292" i="3"/>
  <c r="BV316" i="3"/>
  <c r="BU316" i="3"/>
  <c r="BL340" i="3"/>
  <c r="BN340" i="3" s="1"/>
  <c r="BP340" i="3"/>
  <c r="BT340" i="3" s="1"/>
  <c r="BF364" i="3"/>
  <c r="CS364" i="3"/>
  <c r="AR364" i="3"/>
  <c r="AS364" i="3" s="1"/>
  <c r="BK364" i="3"/>
  <c r="CT364" i="3"/>
  <c r="BH364" i="3"/>
  <c r="AK388" i="3"/>
  <c r="AJ388" i="3"/>
  <c r="BG388" i="3"/>
  <c r="AL388" i="3"/>
  <c r="Y484" i="3"/>
  <c r="U484" i="3"/>
  <c r="W484" i="3" s="1"/>
  <c r="CM267" i="3"/>
  <c r="BZ267" i="3"/>
  <c r="CK267" i="3"/>
  <c r="CL267" i="3"/>
  <c r="CJ267" i="3"/>
  <c r="AN267" i="3"/>
  <c r="BJ267" i="3" s="1"/>
  <c r="CA267" i="3"/>
  <c r="AM267" i="3"/>
  <c r="BI267" i="3" s="1"/>
  <c r="BO315" i="3"/>
  <c r="BS315" i="3"/>
  <c r="BV315" i="3"/>
  <c r="BU315" i="3"/>
  <c r="BF363" i="3"/>
  <c r="CS363" i="3"/>
  <c r="AR363" i="3"/>
  <c r="AS363" i="3" s="1"/>
  <c r="BK363" i="3"/>
  <c r="CT363" i="3"/>
  <c r="BH363" i="3"/>
  <c r="AK387" i="3"/>
  <c r="AJ387" i="3"/>
  <c r="BG387" i="3"/>
  <c r="AL387" i="3"/>
  <c r="CB411" i="3"/>
  <c r="AI411" i="3"/>
  <c r="BQ411" i="3"/>
  <c r="Y483" i="3"/>
  <c r="U483" i="3"/>
  <c r="W483" i="3" s="1"/>
  <c r="CL266" i="3"/>
  <c r="CM266" i="3"/>
  <c r="BZ266" i="3"/>
  <c r="CK266" i="3"/>
  <c r="CJ266" i="3"/>
  <c r="AN266" i="3"/>
  <c r="BJ266" i="3" s="1"/>
  <c r="CA266" i="3"/>
  <c r="AM266" i="3"/>
  <c r="BI266" i="3" s="1"/>
  <c r="BW290" i="3"/>
  <c r="BY290" i="3" s="1"/>
  <c r="CO290" i="3"/>
  <c r="BO314" i="3"/>
  <c r="BS314" i="3"/>
  <c r="BV314" i="3"/>
  <c r="BU314" i="3"/>
  <c r="BL338" i="3"/>
  <c r="BN338" i="3" s="1"/>
  <c r="BP338" i="3"/>
  <c r="BT338" i="3" s="1"/>
  <c r="AK386" i="3"/>
  <c r="AJ386" i="3"/>
  <c r="BG386" i="3"/>
  <c r="AL386" i="3"/>
  <c r="Y482" i="3"/>
  <c r="U482" i="3"/>
  <c r="W482" i="3" s="1"/>
  <c r="CM265" i="3"/>
  <c r="BZ265" i="3"/>
  <c r="CK265" i="3"/>
  <c r="CL265" i="3"/>
  <c r="CJ265" i="3"/>
  <c r="AN265" i="3"/>
  <c r="BJ265" i="3" s="1"/>
  <c r="CA265" i="3"/>
  <c r="AM265" i="3"/>
  <c r="BI265" i="3" s="1"/>
  <c r="BW289" i="3"/>
  <c r="BY289" i="3" s="1"/>
  <c r="CO289" i="3"/>
  <c r="BO313" i="3"/>
  <c r="BS313" i="3"/>
  <c r="BV313" i="3"/>
  <c r="BU313" i="3"/>
  <c r="BL337" i="3"/>
  <c r="BN337" i="3" s="1"/>
  <c r="BP337" i="3"/>
  <c r="BT337" i="3" s="1"/>
  <c r="BF361" i="3"/>
  <c r="CS361" i="3"/>
  <c r="AR361" i="3"/>
  <c r="AS361" i="3" s="1"/>
  <c r="BK361" i="3"/>
  <c r="CT361" i="3"/>
  <c r="BH361" i="3"/>
  <c r="BG385" i="3"/>
  <c r="AK385" i="3"/>
  <c r="AJ385" i="3"/>
  <c r="AL385" i="3"/>
  <c r="CB409" i="3"/>
  <c r="AI409" i="3"/>
  <c r="BQ409" i="3"/>
  <c r="Y481" i="3"/>
  <c r="U481" i="3"/>
  <c r="W481" i="3" s="1"/>
  <c r="CM264" i="3"/>
  <c r="BZ264" i="3"/>
  <c r="CK264" i="3"/>
  <c r="CL264" i="3"/>
  <c r="CJ264" i="3"/>
  <c r="AN264" i="3"/>
  <c r="BJ264" i="3" s="1"/>
  <c r="CA264" i="3"/>
  <c r="AM264" i="3"/>
  <c r="BI264" i="3" s="1"/>
  <c r="BW288" i="3"/>
  <c r="BY288" i="3" s="1"/>
  <c r="CO288" i="3"/>
  <c r="BO312" i="3"/>
  <c r="BS312" i="3"/>
  <c r="BV312" i="3"/>
  <c r="BU312" i="3"/>
  <c r="BL336" i="3"/>
  <c r="BN336" i="3" s="1"/>
  <c r="BP336" i="3"/>
  <c r="BT336" i="3" s="1"/>
  <c r="BF360" i="3"/>
  <c r="CS360" i="3"/>
  <c r="AR360" i="3"/>
  <c r="AS360" i="3" s="1"/>
  <c r="BK360" i="3"/>
  <c r="CT360" i="3"/>
  <c r="BH360" i="3"/>
  <c r="AK384" i="3"/>
  <c r="AJ384" i="3"/>
  <c r="BG384" i="3"/>
  <c r="AL384" i="3"/>
  <c r="CB408" i="3"/>
  <c r="AI408" i="3"/>
  <c r="BQ408" i="3"/>
  <c r="Y480" i="3"/>
  <c r="U480" i="3"/>
  <c r="W480" i="3" s="1"/>
  <c r="N43" i="13"/>
  <c r="AC43" i="13" s="1"/>
  <c r="AO43" i="13"/>
  <c r="AA43" i="13"/>
  <c r="M43" i="13"/>
  <c r="AB43" i="13" s="1"/>
  <c r="CA113" i="3"/>
  <c r="AM113" i="3"/>
  <c r="BI113" i="3" s="1"/>
  <c r="AN113" i="3"/>
  <c r="BJ113" i="3" s="1"/>
  <c r="CJ113" i="3"/>
  <c r="CL113" i="3"/>
  <c r="CK113" i="3"/>
  <c r="BZ113" i="3"/>
  <c r="CM113" i="3"/>
  <c r="CO114" i="3"/>
  <c r="BY114" i="3"/>
  <c r="CB114" i="3"/>
  <c r="BX115" i="3" a="1"/>
  <c r="AB202" i="4"/>
  <c r="AA202" i="4" s="1"/>
  <c r="H203" i="4"/>
  <c r="M18" i="19"/>
  <c r="H29" i="21"/>
  <c r="J29" i="21"/>
  <c r="I29" i="21"/>
  <c r="L19" i="13"/>
  <c r="AE19" i="13" s="1"/>
  <c r="AN18" i="19"/>
  <c r="U19" i="13"/>
  <c r="AO19" i="13" s="1"/>
  <c r="J19" i="13"/>
  <c r="AC19" i="13" s="1"/>
  <c r="I19" i="13"/>
  <c r="AB19" i="13" s="1"/>
  <c r="P45" i="13"/>
  <c r="AE45" i="13" s="1"/>
  <c r="N19" i="13"/>
  <c r="AG19" i="13" s="1"/>
  <c r="M19" i="13"/>
  <c r="AF19" i="13" s="1"/>
  <c r="P19" i="13"/>
  <c r="AI19" i="13" s="1"/>
  <c r="Q19" i="13"/>
  <c r="AJ19" i="13" s="1"/>
  <c r="F19" i="13"/>
  <c r="K19" i="13"/>
  <c r="AD19" i="13" s="1"/>
  <c r="O19" i="13"/>
  <c r="AH19" i="13" s="1"/>
  <c r="R19" i="13"/>
  <c r="AK19" i="13" s="1"/>
  <c r="T19" i="13"/>
  <c r="AN19" i="13" s="1"/>
  <c r="G29" i="21"/>
  <c r="U18" i="19"/>
  <c r="BJ70" i="3"/>
  <c r="N18" i="19"/>
  <c r="BI70" i="3"/>
  <c r="BJ213" i="3"/>
  <c r="AK24" i="19" s="1"/>
  <c r="N51" i="13" s="1"/>
  <c r="AC51" i="13" s="1"/>
  <c r="U24" i="19"/>
  <c r="H51" i="13" s="1"/>
  <c r="AG51" i="13" s="1"/>
  <c r="AN24" i="19"/>
  <c r="Q51" i="13" s="1"/>
  <c r="AH51" i="13" s="1"/>
  <c r="AO51" i="13" s="1"/>
  <c r="L25" i="13"/>
  <c r="AE25" i="13" s="1"/>
  <c r="F51" i="13"/>
  <c r="AA25" i="13"/>
  <c r="AA51" i="13" s="1"/>
  <c r="CM263" i="3"/>
  <c r="BZ263" i="3"/>
  <c r="CL263" i="3"/>
  <c r="CK263" i="3"/>
  <c r="CJ263" i="3"/>
  <c r="AN263" i="3"/>
  <c r="BJ263" i="3" s="1"/>
  <c r="CA263" i="3"/>
  <c r="AM263" i="3"/>
  <c r="BI263" i="3" s="1"/>
  <c r="CM262" i="3"/>
  <c r="BZ262" i="3"/>
  <c r="CL262" i="3"/>
  <c r="CK262" i="3"/>
  <c r="CJ262" i="3"/>
  <c r="AN262" i="3"/>
  <c r="BJ262" i="3" s="1"/>
  <c r="CA262" i="3"/>
  <c r="AM262" i="3"/>
  <c r="BI262" i="3" s="1"/>
  <c r="BW165" i="3"/>
  <c r="CO165" i="3"/>
  <c r="BW287" i="3"/>
  <c r="BY287" i="3" s="1"/>
  <c r="CO287" i="3"/>
  <c r="BW286" i="3"/>
  <c r="BY286" i="3" s="1"/>
  <c r="CO286" i="3"/>
  <c r="BW261" i="3"/>
  <c r="BY261" i="3" s="1"/>
  <c r="CO261" i="3"/>
  <c r="BV311" i="3"/>
  <c r="BU311" i="3"/>
  <c r="BV310" i="3"/>
  <c r="BU310" i="3"/>
  <c r="BO310" i="3"/>
  <c r="BS310" i="3"/>
  <c r="BV285" i="3"/>
  <c r="BU285" i="3"/>
  <c r="BO285" i="3"/>
  <c r="BS285" i="3"/>
  <c r="BP335" i="3"/>
  <c r="BT335" i="3" s="1"/>
  <c r="BL335" i="3"/>
  <c r="BN335" i="3" s="1"/>
  <c r="BP334" i="3"/>
  <c r="BT334" i="3" s="1"/>
  <c r="BL334" i="3"/>
  <c r="BN334" i="3" s="1"/>
  <c r="BP309" i="3"/>
  <c r="BT309" i="3" s="1"/>
  <c r="BL309" i="3"/>
  <c r="BN309" i="3" s="1"/>
  <c r="BO291" i="3"/>
  <c r="BS291" i="3"/>
  <c r="BV291" i="3"/>
  <c r="BU291" i="3"/>
  <c r="BF358" i="3"/>
  <c r="CS358" i="3"/>
  <c r="AR358" i="3"/>
  <c r="AS358" i="3" s="1"/>
  <c r="BK358" i="3"/>
  <c r="CT358" i="3"/>
  <c r="BH358" i="3"/>
  <c r="BF333" i="3"/>
  <c r="CS333" i="3"/>
  <c r="AR333" i="3"/>
  <c r="AS333" i="3" s="1"/>
  <c r="BK333" i="3"/>
  <c r="CT333" i="3"/>
  <c r="BH333" i="3"/>
  <c r="BL332" i="3"/>
  <c r="BN332" i="3" s="1"/>
  <c r="BP332" i="3"/>
  <c r="BT332" i="3" s="1"/>
  <c r="BF347" i="3"/>
  <c r="CS347" i="3"/>
  <c r="AR347" i="3"/>
  <c r="AS347" i="3" s="1"/>
  <c r="BK347" i="3"/>
  <c r="CT347" i="3"/>
  <c r="BH347" i="3"/>
  <c r="CB357" i="3"/>
  <c r="AI357" i="3"/>
  <c r="BQ357" i="3"/>
  <c r="Y479" i="3"/>
  <c r="U479" i="3"/>
  <c r="W479" i="3" s="1"/>
  <c r="Y478" i="3"/>
  <c r="U478" i="3"/>
  <c r="W478" i="3" s="1"/>
  <c r="Y453" i="3"/>
  <c r="U453" i="3"/>
  <c r="W453" i="3" s="1"/>
  <c r="H89" i="13"/>
  <c r="AA433" i="3"/>
  <c r="AE433" i="3" s="1"/>
  <c r="BR433" i="3"/>
  <c r="CR433" i="3"/>
  <c r="V35" i="13"/>
  <c r="AP35" i="13" s="1"/>
  <c r="AO34" i="19"/>
  <c r="BU237" i="3"/>
  <c r="BV237" i="3"/>
  <c r="BS237" i="3"/>
  <c r="BO237" i="3"/>
  <c r="E62" i="13"/>
  <c r="Z36" i="13"/>
  <c r="H35" i="19"/>
  <c r="T477" i="3"/>
  <c r="R477" i="3"/>
  <c r="AB477" i="3" s="1"/>
  <c r="J35" i="19"/>
  <c r="L35" i="19"/>
  <c r="V477" i="3"/>
  <c r="O41" i="19"/>
  <c r="AQ504" i="3"/>
  <c r="AL40" i="19" s="1"/>
  <c r="Z464" i="3"/>
  <c r="AC464" i="3" s="1"/>
  <c r="AD464" i="3" s="1"/>
  <c r="AF35" i="19"/>
  <c r="AF38" i="19" s="1"/>
  <c r="AL35" i="19"/>
  <c r="E90" i="13"/>
  <c r="E93" i="13" s="1"/>
  <c r="T5" i="24" s="1"/>
  <c r="S5" i="24" s="1"/>
  <c r="G38" i="19"/>
  <c r="G41" i="19" s="1"/>
  <c r="G90" i="13"/>
  <c r="G93" i="13" s="1"/>
  <c r="T9" i="24" s="1"/>
  <c r="S9" i="24" s="1"/>
  <c r="I38" i="19"/>
  <c r="I41" i="19" s="1"/>
  <c r="I90" i="13"/>
  <c r="I93" i="13" s="1"/>
  <c r="T10" i="24" s="1"/>
  <c r="S10" i="24" s="1"/>
  <c r="K38" i="19"/>
  <c r="K41" i="19" s="1"/>
  <c r="Z493" i="3" l="1"/>
  <c r="AC493" i="3" s="1"/>
  <c r="AD493" i="3" s="1"/>
  <c r="CR465" i="3"/>
  <c r="BR465" i="3"/>
  <c r="AA465" i="3"/>
  <c r="AE465" i="3" s="1"/>
  <c r="AF465" i="3" s="1"/>
  <c r="AG465" i="3" s="1"/>
  <c r="AH465" i="3" s="1"/>
  <c r="CR429" i="3"/>
  <c r="BR429" i="3"/>
  <c r="AA429" i="3"/>
  <c r="AE429" i="3" s="1"/>
  <c r="AF429" i="3" s="1"/>
  <c r="AG429" i="3" s="1"/>
  <c r="AH429" i="3" s="1"/>
  <c r="CR458" i="3"/>
  <c r="BR458" i="3"/>
  <c r="AA458" i="3"/>
  <c r="AE458" i="3" s="1"/>
  <c r="AF458" i="3" s="1"/>
  <c r="AG458" i="3" s="1"/>
  <c r="AH458" i="3" s="1"/>
  <c r="CR472" i="3"/>
  <c r="AA472" i="3"/>
  <c r="AE472" i="3" s="1"/>
  <c r="AF472" i="3" s="1"/>
  <c r="AG472" i="3" s="1"/>
  <c r="AH472" i="3" s="1"/>
  <c r="BR472" i="3"/>
  <c r="CB421" i="3"/>
  <c r="AI421" i="3"/>
  <c r="BQ421" i="3"/>
  <c r="CR454" i="3"/>
  <c r="AA454" i="3"/>
  <c r="AE454" i="3" s="1"/>
  <c r="AF454" i="3" s="1"/>
  <c r="AG454" i="3" s="1"/>
  <c r="AH454" i="3" s="1"/>
  <c r="BR454" i="3"/>
  <c r="CR474" i="3"/>
  <c r="BR474" i="3"/>
  <c r="AA474" i="3"/>
  <c r="AE474" i="3" s="1"/>
  <c r="AF474" i="3" s="1"/>
  <c r="AG474" i="3" s="1"/>
  <c r="AH474" i="3" s="1"/>
  <c r="CR467" i="3"/>
  <c r="BR467" i="3"/>
  <c r="AA467" i="3"/>
  <c r="AE467" i="3" s="1"/>
  <c r="AF467" i="3" s="1"/>
  <c r="AG467" i="3" s="1"/>
  <c r="AH467" i="3" s="1"/>
  <c r="CR461" i="3"/>
  <c r="BR461" i="3"/>
  <c r="AA461" i="3"/>
  <c r="AE461" i="3" s="1"/>
  <c r="AF461" i="3" s="1"/>
  <c r="AG461" i="3" s="1"/>
  <c r="AH461" i="3" s="1"/>
  <c r="BO311" i="3"/>
  <c r="BS311" i="3"/>
  <c r="BO329" i="3"/>
  <c r="BS329" i="3"/>
  <c r="Z489" i="3"/>
  <c r="AC489" i="3" s="1"/>
  <c r="AD489" i="3" s="1"/>
  <c r="Z453" i="3"/>
  <c r="AC453" i="3" s="1"/>
  <c r="AD453" i="3" s="1"/>
  <c r="CR476" i="3"/>
  <c r="BR476" i="3"/>
  <c r="AA476" i="3"/>
  <c r="AE476" i="3" s="1"/>
  <c r="AF476" i="3" s="1"/>
  <c r="AG476" i="3" s="1"/>
  <c r="AH476" i="3" s="1"/>
  <c r="BN350" i="3"/>
  <c r="CR471" i="3"/>
  <c r="BR471" i="3"/>
  <c r="AA471" i="3"/>
  <c r="AE471" i="3" s="1"/>
  <c r="AF471" i="3" s="1"/>
  <c r="AG471" i="3" s="1"/>
  <c r="AH471" i="3" s="1"/>
  <c r="CS367" i="3"/>
  <c r="AR367" i="3"/>
  <c r="AS367" i="3" s="1"/>
  <c r="BK367" i="3"/>
  <c r="BL367" i="3" s="1"/>
  <c r="CT367" i="3"/>
  <c r="BH367" i="3"/>
  <c r="BP367" i="3" s="1"/>
  <c r="BT367" i="3" s="1"/>
  <c r="CB426" i="3"/>
  <c r="AI426" i="3"/>
  <c r="BQ426" i="3"/>
  <c r="CR463" i="3"/>
  <c r="BR463" i="3"/>
  <c r="AA463" i="3"/>
  <c r="AE463" i="3" s="1"/>
  <c r="CR455" i="3"/>
  <c r="BR455" i="3"/>
  <c r="AA455" i="3"/>
  <c r="AE455" i="3" s="1"/>
  <c r="AF455" i="3" s="1"/>
  <c r="AG455" i="3" s="1"/>
  <c r="AH455" i="3" s="1"/>
  <c r="Z498" i="3"/>
  <c r="AC498" i="3" s="1"/>
  <c r="AD498" i="3" s="1"/>
  <c r="Z494" i="3"/>
  <c r="AC494" i="3" s="1"/>
  <c r="AD494" i="3" s="1"/>
  <c r="Z478" i="3"/>
  <c r="AC478" i="3" s="1"/>
  <c r="AD478" i="3" s="1"/>
  <c r="AF452" i="3"/>
  <c r="AG452" i="3" s="1"/>
  <c r="AH452" i="3" s="1"/>
  <c r="AF450" i="3"/>
  <c r="AG450" i="3" s="1"/>
  <c r="AH450" i="3" s="1"/>
  <c r="BN339" i="3"/>
  <c r="Z496" i="3"/>
  <c r="AC496" i="3" s="1"/>
  <c r="AD496" i="3" s="1"/>
  <c r="Z495" i="3"/>
  <c r="AC495" i="3" s="1"/>
  <c r="AD495" i="3" s="1"/>
  <c r="Z492" i="3"/>
  <c r="AC492" i="3" s="1"/>
  <c r="AD492" i="3" s="1"/>
  <c r="BS322" i="3"/>
  <c r="BO322" i="3"/>
  <c r="BS316" i="3"/>
  <c r="BO316" i="3"/>
  <c r="BQ407" i="3"/>
  <c r="AI407" i="3"/>
  <c r="CB407" i="3"/>
  <c r="BQ406" i="3"/>
  <c r="AI406" i="3"/>
  <c r="CB406" i="3"/>
  <c r="BQ381" i="3"/>
  <c r="AI381" i="3"/>
  <c r="CB381" i="3"/>
  <c r="AJ382" i="3"/>
  <c r="AL382" i="3"/>
  <c r="AK382" i="3"/>
  <c r="BF382" i="3" s="1"/>
  <c r="BG382" i="3"/>
  <c r="BH365" i="3"/>
  <c r="BP365" i="3" s="1"/>
  <c r="BT365" i="3" s="1"/>
  <c r="CT365" i="3"/>
  <c r="CS365" i="3"/>
  <c r="BK365" i="3"/>
  <c r="BL365" i="3" s="1"/>
  <c r="AR365" i="3"/>
  <c r="AS365" i="3" s="1"/>
  <c r="BK362" i="3"/>
  <c r="BL362" i="3" s="1"/>
  <c r="AR362" i="3"/>
  <c r="AS362" i="3" s="1"/>
  <c r="CS362" i="3"/>
  <c r="BH362" i="3"/>
  <c r="BP362" i="3" s="1"/>
  <c r="BT362" i="3" s="1"/>
  <c r="CT362" i="3"/>
  <c r="AI410" i="3"/>
  <c r="CB410" i="3"/>
  <c r="BQ410" i="3"/>
  <c r="Z488" i="3"/>
  <c r="AC488" i="3" s="1"/>
  <c r="AD488" i="3" s="1"/>
  <c r="Z479" i="3"/>
  <c r="AC479" i="3" s="1"/>
  <c r="AD479" i="3" s="1"/>
  <c r="Z497" i="3"/>
  <c r="AC497" i="3" s="1"/>
  <c r="AD497" i="3" s="1"/>
  <c r="Z499" i="3"/>
  <c r="AC499" i="3" s="1"/>
  <c r="AD499" i="3" s="1"/>
  <c r="CR460" i="3"/>
  <c r="AA460" i="3"/>
  <c r="AE460" i="3" s="1"/>
  <c r="AF460" i="3" s="1"/>
  <c r="AG460" i="3" s="1"/>
  <c r="AH460" i="3" s="1"/>
  <c r="BR460" i="3"/>
  <c r="Z491" i="3"/>
  <c r="AC491" i="3" s="1"/>
  <c r="AD491" i="3" s="1"/>
  <c r="Z480" i="3"/>
  <c r="AC480" i="3" s="1"/>
  <c r="AD480" i="3" s="1"/>
  <c r="Z482" i="3"/>
  <c r="AC482" i="3" s="1"/>
  <c r="AD482" i="3" s="1"/>
  <c r="AF451" i="3"/>
  <c r="AG451" i="3" s="1"/>
  <c r="AH451" i="3" s="1"/>
  <c r="AF431" i="3"/>
  <c r="AG431" i="3" s="1"/>
  <c r="AH431" i="3" s="1"/>
  <c r="AK403" i="3"/>
  <c r="BF403" i="3" s="1"/>
  <c r="AJ403" i="3"/>
  <c r="BG403" i="3"/>
  <c r="AL403" i="3"/>
  <c r="AF41" i="19"/>
  <c r="CR475" i="3"/>
  <c r="BR475" i="3"/>
  <c r="AA475" i="3"/>
  <c r="AE475" i="3" s="1"/>
  <c r="AF475" i="3" s="1"/>
  <c r="AG475" i="3" s="1"/>
  <c r="AH475" i="3" s="1"/>
  <c r="AJ394" i="3"/>
  <c r="AL394" i="3"/>
  <c r="AK394" i="3"/>
  <c r="BF394" i="3" s="1"/>
  <c r="BG394" i="3"/>
  <c r="AI412" i="3"/>
  <c r="CB412" i="3"/>
  <c r="BQ412" i="3"/>
  <c r="CR466" i="3"/>
  <c r="BR466" i="3"/>
  <c r="AA466" i="3"/>
  <c r="AE466" i="3" s="1"/>
  <c r="CR470" i="3"/>
  <c r="BR470" i="3"/>
  <c r="AA470" i="3"/>
  <c r="AE470" i="3" s="1"/>
  <c r="AK400" i="3"/>
  <c r="BF400" i="3" s="1"/>
  <c r="AJ400" i="3"/>
  <c r="BG400" i="3"/>
  <c r="AL400" i="3"/>
  <c r="Z62" i="13"/>
  <c r="Z63" i="13" s="1"/>
  <c r="Z37" i="13"/>
  <c r="E67" i="15" s="1"/>
  <c r="CR473" i="3"/>
  <c r="BR473" i="3"/>
  <c r="AA473" i="3"/>
  <c r="AE473" i="3" s="1"/>
  <c r="AF473" i="3" s="1"/>
  <c r="AG473" i="3" s="1"/>
  <c r="AH473" i="3" s="1"/>
  <c r="CR459" i="3"/>
  <c r="BR459" i="3"/>
  <c r="AA459" i="3"/>
  <c r="AE459" i="3" s="1"/>
  <c r="AF459" i="3" s="1"/>
  <c r="AG459" i="3" s="1"/>
  <c r="AH459" i="3" s="1"/>
  <c r="AF440" i="3"/>
  <c r="AG440" i="3" s="1"/>
  <c r="AH440" i="3" s="1"/>
  <c r="V504" i="3"/>
  <c r="Z484" i="3"/>
  <c r="AC484" i="3" s="1"/>
  <c r="AD484" i="3" s="1"/>
  <c r="CR469" i="3"/>
  <c r="BR469" i="3"/>
  <c r="AA469" i="3"/>
  <c r="AE469" i="3" s="1"/>
  <c r="AF469" i="3" s="1"/>
  <c r="AG469" i="3" s="1"/>
  <c r="AH469" i="3" s="1"/>
  <c r="Z486" i="3"/>
  <c r="AC486" i="3" s="1"/>
  <c r="AD486" i="3" s="1"/>
  <c r="CR457" i="3"/>
  <c r="BR457" i="3"/>
  <c r="AA457" i="3"/>
  <c r="AE457" i="3" s="1"/>
  <c r="AF457" i="3" s="1"/>
  <c r="AG457" i="3" s="1"/>
  <c r="AH457" i="3" s="1"/>
  <c r="Z487" i="3"/>
  <c r="AC487" i="3" s="1"/>
  <c r="AD487" i="3" s="1"/>
  <c r="AA487" i="3" s="1"/>
  <c r="AE487" i="3" s="1"/>
  <c r="Z485" i="3"/>
  <c r="AC485" i="3" s="1"/>
  <c r="AD485" i="3" s="1"/>
  <c r="CR456" i="3"/>
  <c r="BR456" i="3"/>
  <c r="AA456" i="3"/>
  <c r="AE456" i="3" s="1"/>
  <c r="CR462" i="3"/>
  <c r="AA462" i="3"/>
  <c r="AE462" i="3" s="1"/>
  <c r="BR462" i="3"/>
  <c r="Z481" i="3"/>
  <c r="AC481" i="3" s="1"/>
  <c r="AD481" i="3" s="1"/>
  <c r="BO359" i="3"/>
  <c r="BS359" i="3"/>
  <c r="BV359" i="3"/>
  <c r="BU359" i="3"/>
  <c r="BL383" i="3"/>
  <c r="BN383" i="3" s="1"/>
  <c r="BP383" i="3"/>
  <c r="BT383" i="3" s="1"/>
  <c r="CM308" i="3"/>
  <c r="BZ308" i="3"/>
  <c r="CK308" i="3"/>
  <c r="CL308" i="3"/>
  <c r="CJ308" i="3"/>
  <c r="AN308" i="3"/>
  <c r="BJ308" i="3" s="1"/>
  <c r="CA308" i="3"/>
  <c r="AM308" i="3"/>
  <c r="BI308" i="3" s="1"/>
  <c r="BO356" i="3"/>
  <c r="BS356" i="3"/>
  <c r="BV356" i="3"/>
  <c r="BU356" i="3"/>
  <c r="BL380" i="3"/>
  <c r="BN380" i="3" s="1"/>
  <c r="BP380" i="3"/>
  <c r="BT380" i="3" s="1"/>
  <c r="BF404" i="3"/>
  <c r="CS404" i="3"/>
  <c r="AR404" i="3"/>
  <c r="AS404" i="3" s="1"/>
  <c r="BK404" i="3"/>
  <c r="CT404" i="3"/>
  <c r="BH404" i="3"/>
  <c r="AK428" i="3"/>
  <c r="AJ428" i="3"/>
  <c r="BG428" i="3"/>
  <c r="AL428" i="3"/>
  <c r="T504" i="3"/>
  <c r="AB504" i="3"/>
  <c r="R504" i="3"/>
  <c r="Y500" i="3"/>
  <c r="U500" i="3"/>
  <c r="W500" i="3" s="1"/>
  <c r="CM307" i="3"/>
  <c r="BZ307" i="3"/>
  <c r="CK307" i="3"/>
  <c r="CL307" i="3"/>
  <c r="CJ307" i="3"/>
  <c r="AN307" i="3"/>
  <c r="BJ307" i="3" s="1"/>
  <c r="CA307" i="3"/>
  <c r="AM307" i="3"/>
  <c r="BI307" i="3" s="1"/>
  <c r="BW331" i="3"/>
  <c r="BY331" i="3" s="1"/>
  <c r="CO331" i="3"/>
  <c r="BO355" i="3"/>
  <c r="BS355" i="3"/>
  <c r="BV355" i="3"/>
  <c r="BU355" i="3"/>
  <c r="BL379" i="3"/>
  <c r="BN379" i="3" s="1"/>
  <c r="BP379" i="3"/>
  <c r="BT379" i="3" s="1"/>
  <c r="AJ427" i="3"/>
  <c r="BG427" i="3"/>
  <c r="AK427" i="3"/>
  <c r="AL427" i="3"/>
  <c r="CM306" i="3"/>
  <c r="BZ306" i="3"/>
  <c r="CK306" i="3"/>
  <c r="CL306" i="3"/>
  <c r="CJ306" i="3"/>
  <c r="AN306" i="3"/>
  <c r="BJ306" i="3" s="1"/>
  <c r="CA306" i="3"/>
  <c r="AM306" i="3"/>
  <c r="BI306" i="3" s="1"/>
  <c r="BW330" i="3"/>
  <c r="BY330" i="3" s="1"/>
  <c r="CO330" i="3"/>
  <c r="BO354" i="3"/>
  <c r="BS354" i="3"/>
  <c r="BV354" i="3"/>
  <c r="BU354" i="3"/>
  <c r="BL378" i="3"/>
  <c r="BN378" i="3" s="1"/>
  <c r="BP378" i="3"/>
  <c r="BT378" i="3" s="1"/>
  <c r="BF402" i="3"/>
  <c r="CS402" i="3"/>
  <c r="AR402" i="3"/>
  <c r="AS402" i="3" s="1"/>
  <c r="BK402" i="3"/>
  <c r="CT402" i="3"/>
  <c r="BH402" i="3"/>
  <c r="CM305" i="3"/>
  <c r="BZ305" i="3"/>
  <c r="CK305" i="3"/>
  <c r="CL305" i="3"/>
  <c r="CJ305" i="3"/>
  <c r="AN305" i="3"/>
  <c r="BJ305" i="3" s="1"/>
  <c r="CA305" i="3"/>
  <c r="AM305" i="3"/>
  <c r="BI305" i="3" s="1"/>
  <c r="BW329" i="3"/>
  <c r="BY329" i="3" s="1"/>
  <c r="CO329" i="3"/>
  <c r="BO353" i="3"/>
  <c r="BS353" i="3"/>
  <c r="BV353" i="3"/>
  <c r="BU353" i="3"/>
  <c r="BL377" i="3"/>
  <c r="BN377" i="3" s="1"/>
  <c r="BP377" i="3"/>
  <c r="BT377" i="3" s="1"/>
  <c r="BF401" i="3"/>
  <c r="CS401" i="3"/>
  <c r="AR401" i="3"/>
  <c r="AS401" i="3" s="1"/>
  <c r="BK401" i="3"/>
  <c r="CT401" i="3"/>
  <c r="BH401" i="3"/>
  <c r="AK425" i="3"/>
  <c r="AJ425" i="3"/>
  <c r="BG425" i="3"/>
  <c r="AL425" i="3"/>
  <c r="CB449" i="3"/>
  <c r="AI449" i="3"/>
  <c r="BQ449" i="3"/>
  <c r="CM304" i="3"/>
  <c r="BZ304" i="3"/>
  <c r="CK304" i="3"/>
  <c r="CL304" i="3"/>
  <c r="CJ304" i="3"/>
  <c r="AN304" i="3"/>
  <c r="BJ304" i="3" s="1"/>
  <c r="CA304" i="3"/>
  <c r="AM304" i="3"/>
  <c r="BI304" i="3" s="1"/>
  <c r="BW328" i="3"/>
  <c r="BY328" i="3" s="1"/>
  <c r="CO328" i="3"/>
  <c r="BO352" i="3"/>
  <c r="BS352" i="3"/>
  <c r="BV352" i="3"/>
  <c r="BU352" i="3"/>
  <c r="BL376" i="3"/>
  <c r="BN376" i="3" s="1"/>
  <c r="BP376" i="3"/>
  <c r="BT376" i="3" s="1"/>
  <c r="AK424" i="3"/>
  <c r="AJ424" i="3"/>
  <c r="BG424" i="3"/>
  <c r="AL424" i="3"/>
  <c r="CB448" i="3"/>
  <c r="AI448" i="3"/>
  <c r="BQ448" i="3"/>
  <c r="CK303" i="3"/>
  <c r="CM303" i="3"/>
  <c r="BZ303" i="3"/>
  <c r="CL303" i="3"/>
  <c r="CJ303" i="3"/>
  <c r="AN303" i="3"/>
  <c r="BJ303" i="3" s="1"/>
  <c r="CA303" i="3"/>
  <c r="AM303" i="3"/>
  <c r="BI303" i="3" s="1"/>
  <c r="BW327" i="3"/>
  <c r="BY327" i="3" s="1"/>
  <c r="CO327" i="3"/>
  <c r="BO351" i="3"/>
  <c r="BS351" i="3"/>
  <c r="BV351" i="3"/>
  <c r="BU351" i="3"/>
  <c r="BL375" i="3"/>
  <c r="BN375" i="3" s="1"/>
  <c r="BP375" i="3"/>
  <c r="BT375" i="3" s="1"/>
  <c r="BF399" i="3"/>
  <c r="CS399" i="3"/>
  <c r="AR399" i="3"/>
  <c r="AS399" i="3" s="1"/>
  <c r="BK399" i="3"/>
  <c r="CT399" i="3"/>
  <c r="BH399" i="3"/>
  <c r="AK423" i="3"/>
  <c r="AJ423" i="3"/>
  <c r="BG423" i="3"/>
  <c r="AL423" i="3"/>
  <c r="CB447" i="3"/>
  <c r="AI447" i="3"/>
  <c r="BQ447" i="3"/>
  <c r="CK302" i="3"/>
  <c r="CM302" i="3"/>
  <c r="BZ302" i="3"/>
  <c r="CL302" i="3"/>
  <c r="CJ302" i="3"/>
  <c r="AN302" i="3"/>
  <c r="BJ302" i="3" s="1"/>
  <c r="CA302" i="3"/>
  <c r="AM302" i="3"/>
  <c r="BI302" i="3" s="1"/>
  <c r="BW326" i="3"/>
  <c r="BY326" i="3" s="1"/>
  <c r="CO326" i="3"/>
  <c r="BV350" i="3"/>
  <c r="BU350" i="3"/>
  <c r="BL374" i="3"/>
  <c r="BN374" i="3" s="1"/>
  <c r="BP374" i="3"/>
  <c r="BT374" i="3" s="1"/>
  <c r="BF398" i="3"/>
  <c r="CS398" i="3"/>
  <c r="AR398" i="3"/>
  <c r="AS398" i="3" s="1"/>
  <c r="BK398" i="3"/>
  <c r="CT398" i="3"/>
  <c r="BH398" i="3"/>
  <c r="AK422" i="3"/>
  <c r="AJ422" i="3"/>
  <c r="BG422" i="3"/>
  <c r="AL422" i="3"/>
  <c r="CB446" i="3"/>
  <c r="AI446" i="3"/>
  <c r="BQ446" i="3"/>
  <c r="BZ301" i="3"/>
  <c r="CK301" i="3"/>
  <c r="CM301" i="3"/>
  <c r="CL301" i="3"/>
  <c r="CJ301" i="3"/>
  <c r="AN301" i="3"/>
  <c r="BJ301" i="3" s="1"/>
  <c r="CA301" i="3"/>
  <c r="AM301" i="3"/>
  <c r="BI301" i="3" s="1"/>
  <c r="BW325" i="3"/>
  <c r="BY325" i="3" s="1"/>
  <c r="CO325" i="3"/>
  <c r="BO349" i="3"/>
  <c r="BS349" i="3"/>
  <c r="BV349" i="3"/>
  <c r="BU349" i="3"/>
  <c r="BL373" i="3"/>
  <c r="BN373" i="3" s="1"/>
  <c r="BP373" i="3"/>
  <c r="BT373" i="3" s="1"/>
  <c r="BF397" i="3"/>
  <c r="CS397" i="3"/>
  <c r="AR397" i="3"/>
  <c r="AS397" i="3" s="1"/>
  <c r="BK397" i="3"/>
  <c r="CT397" i="3"/>
  <c r="BH397" i="3"/>
  <c r="CB445" i="3"/>
  <c r="AI445" i="3"/>
  <c r="BQ445" i="3"/>
  <c r="CM300" i="3"/>
  <c r="BZ300" i="3"/>
  <c r="CL300" i="3"/>
  <c r="CK300" i="3"/>
  <c r="CJ300" i="3"/>
  <c r="AN300" i="3"/>
  <c r="BJ300" i="3" s="1"/>
  <c r="CA300" i="3"/>
  <c r="AM300" i="3"/>
  <c r="BI300" i="3" s="1"/>
  <c r="BW324" i="3"/>
  <c r="BY324" i="3" s="1"/>
  <c r="CO324" i="3"/>
  <c r="BO348" i="3"/>
  <c r="BS348" i="3"/>
  <c r="BV348" i="3"/>
  <c r="BU348" i="3"/>
  <c r="BL372" i="3"/>
  <c r="BN372" i="3" s="1"/>
  <c r="BP372" i="3"/>
  <c r="BT372" i="3" s="1"/>
  <c r="BF396" i="3"/>
  <c r="CS396" i="3"/>
  <c r="AR396" i="3"/>
  <c r="AS396" i="3" s="1"/>
  <c r="BK396" i="3"/>
  <c r="CT396" i="3"/>
  <c r="BH396" i="3"/>
  <c r="AK420" i="3"/>
  <c r="AJ420" i="3"/>
  <c r="BG420" i="3"/>
  <c r="AL420" i="3"/>
  <c r="CB444" i="3"/>
  <c r="AI444" i="3"/>
  <c r="BQ444" i="3"/>
  <c r="AF468" i="3"/>
  <c r="AG468" i="3" s="1"/>
  <c r="AH468" i="3" s="1"/>
  <c r="CK299" i="3"/>
  <c r="CM299" i="3"/>
  <c r="CL299" i="3"/>
  <c r="BZ299" i="3"/>
  <c r="CJ299" i="3"/>
  <c r="AN299" i="3"/>
  <c r="BJ299" i="3" s="1"/>
  <c r="CA299" i="3"/>
  <c r="AM299" i="3"/>
  <c r="BI299" i="3" s="1"/>
  <c r="BW323" i="3"/>
  <c r="BY323" i="3" s="1"/>
  <c r="CO323" i="3"/>
  <c r="BL371" i="3"/>
  <c r="BN371" i="3" s="1"/>
  <c r="BP371" i="3"/>
  <c r="BT371" i="3" s="1"/>
  <c r="BF395" i="3"/>
  <c r="CS395" i="3"/>
  <c r="AR395" i="3"/>
  <c r="AS395" i="3" s="1"/>
  <c r="BK395" i="3"/>
  <c r="CT395" i="3"/>
  <c r="BH395" i="3"/>
  <c r="AK419" i="3"/>
  <c r="AJ419" i="3"/>
  <c r="BG419" i="3"/>
  <c r="AL419" i="3"/>
  <c r="CB443" i="3"/>
  <c r="AI443" i="3"/>
  <c r="BQ443" i="3"/>
  <c r="CK298" i="3"/>
  <c r="CL298" i="3"/>
  <c r="BZ298" i="3"/>
  <c r="CM298" i="3"/>
  <c r="CJ298" i="3"/>
  <c r="AN298" i="3"/>
  <c r="BJ298" i="3" s="1"/>
  <c r="CA298" i="3"/>
  <c r="AM298" i="3"/>
  <c r="BI298" i="3" s="1"/>
  <c r="BW322" i="3"/>
  <c r="BY322" i="3" s="1"/>
  <c r="CO322" i="3"/>
  <c r="BO346" i="3"/>
  <c r="BS346" i="3"/>
  <c r="BV346" i="3"/>
  <c r="BU346" i="3"/>
  <c r="BL370" i="3"/>
  <c r="BN370" i="3" s="1"/>
  <c r="BP370" i="3"/>
  <c r="BT370" i="3" s="1"/>
  <c r="AK418" i="3"/>
  <c r="AJ418" i="3"/>
  <c r="BG418" i="3"/>
  <c r="AL418" i="3"/>
  <c r="CB442" i="3"/>
  <c r="AI442" i="3"/>
  <c r="BQ442" i="3"/>
  <c r="CM297" i="3"/>
  <c r="BZ297" i="3"/>
  <c r="CK297" i="3"/>
  <c r="CL297" i="3"/>
  <c r="CJ297" i="3"/>
  <c r="AN297" i="3"/>
  <c r="BJ297" i="3" s="1"/>
  <c r="AM297" i="3"/>
  <c r="BI297" i="3" s="1"/>
  <c r="CA297" i="3"/>
  <c r="BW321" i="3"/>
  <c r="BY321" i="3" s="1"/>
  <c r="CO321" i="3"/>
  <c r="BO345" i="3"/>
  <c r="BS345" i="3"/>
  <c r="BV345" i="3"/>
  <c r="BU345" i="3"/>
  <c r="BL369" i="3"/>
  <c r="BN369" i="3" s="1"/>
  <c r="BP369" i="3"/>
  <c r="BT369" i="3" s="1"/>
  <c r="BF393" i="3"/>
  <c r="CS393" i="3"/>
  <c r="AR393" i="3"/>
  <c r="AS393" i="3" s="1"/>
  <c r="BK393" i="3"/>
  <c r="CT393" i="3"/>
  <c r="BH393" i="3"/>
  <c r="AK417" i="3"/>
  <c r="AJ417" i="3"/>
  <c r="BG417" i="3"/>
  <c r="AL417" i="3"/>
  <c r="CB441" i="3"/>
  <c r="AI441" i="3"/>
  <c r="BQ441" i="3"/>
  <c r="CM296" i="3"/>
  <c r="BZ296" i="3"/>
  <c r="CK296" i="3"/>
  <c r="CL296" i="3"/>
  <c r="CJ296" i="3"/>
  <c r="AN296" i="3"/>
  <c r="BJ296" i="3" s="1"/>
  <c r="AM296" i="3"/>
  <c r="BI296" i="3" s="1"/>
  <c r="CA296" i="3"/>
  <c r="BW320" i="3"/>
  <c r="BY320" i="3" s="1"/>
  <c r="CO320" i="3"/>
  <c r="BO344" i="3"/>
  <c r="BS344" i="3"/>
  <c r="BV344" i="3"/>
  <c r="BU344" i="3"/>
  <c r="BL368" i="3"/>
  <c r="BN368" i="3" s="1"/>
  <c r="BP368" i="3"/>
  <c r="BT368" i="3" s="1"/>
  <c r="BF392" i="3"/>
  <c r="CS392" i="3"/>
  <c r="AR392" i="3"/>
  <c r="AS392" i="3" s="1"/>
  <c r="BK392" i="3"/>
  <c r="CT392" i="3"/>
  <c r="BH392" i="3"/>
  <c r="AJ416" i="3"/>
  <c r="AK416" i="3"/>
  <c r="BG416" i="3"/>
  <c r="AL416" i="3"/>
  <c r="CM295" i="3"/>
  <c r="BZ295" i="3"/>
  <c r="CK295" i="3"/>
  <c r="CL295" i="3"/>
  <c r="CJ295" i="3"/>
  <c r="AN295" i="3"/>
  <c r="BJ295" i="3" s="1"/>
  <c r="AM295" i="3"/>
  <c r="BI295" i="3" s="1"/>
  <c r="CA295" i="3"/>
  <c r="BW319" i="3"/>
  <c r="BY319" i="3" s="1"/>
  <c r="CO319" i="3"/>
  <c r="BO343" i="3"/>
  <c r="BS343" i="3"/>
  <c r="BV343" i="3"/>
  <c r="BU343" i="3"/>
  <c r="BF391" i="3"/>
  <c r="CS391" i="3"/>
  <c r="AR391" i="3"/>
  <c r="AS391" i="3" s="1"/>
  <c r="BK391" i="3"/>
  <c r="CT391" i="3"/>
  <c r="BH391" i="3"/>
  <c r="AJ415" i="3"/>
  <c r="AK415" i="3"/>
  <c r="BG415" i="3"/>
  <c r="AL415" i="3"/>
  <c r="CB439" i="3"/>
  <c r="BQ439" i="3"/>
  <c r="AI439" i="3"/>
  <c r="CM294" i="3"/>
  <c r="BZ294" i="3"/>
  <c r="CK294" i="3"/>
  <c r="CL294" i="3"/>
  <c r="CJ294" i="3"/>
  <c r="AN294" i="3"/>
  <c r="BJ294" i="3" s="1"/>
  <c r="AM294" i="3"/>
  <c r="BI294" i="3" s="1"/>
  <c r="CA294" i="3"/>
  <c r="BW318" i="3"/>
  <c r="BY318" i="3" s="1"/>
  <c r="CO318" i="3"/>
  <c r="BO342" i="3"/>
  <c r="BS342" i="3"/>
  <c r="BV342" i="3"/>
  <c r="BU342" i="3"/>
  <c r="BL366" i="3"/>
  <c r="BN366" i="3" s="1"/>
  <c r="BP366" i="3"/>
  <c r="BT366" i="3" s="1"/>
  <c r="BF390" i="3"/>
  <c r="CS390" i="3"/>
  <c r="AR390" i="3"/>
  <c r="AS390" i="3" s="1"/>
  <c r="BK390" i="3"/>
  <c r="CT390" i="3"/>
  <c r="BH390" i="3"/>
  <c r="AJ414" i="3"/>
  <c r="AK414" i="3"/>
  <c r="BG414" i="3"/>
  <c r="AL414" i="3"/>
  <c r="CB438" i="3"/>
  <c r="AI438" i="3"/>
  <c r="BQ438" i="3"/>
  <c r="CM293" i="3"/>
  <c r="BZ293" i="3"/>
  <c r="CK293" i="3"/>
  <c r="CL293" i="3"/>
  <c r="CJ293" i="3"/>
  <c r="AN293" i="3"/>
  <c r="BJ293" i="3" s="1"/>
  <c r="AM293" i="3"/>
  <c r="BI293" i="3" s="1"/>
  <c r="CA293" i="3"/>
  <c r="BW317" i="3"/>
  <c r="BY317" i="3" s="1"/>
  <c r="CO317" i="3"/>
  <c r="BO341" i="3"/>
  <c r="BS341" i="3"/>
  <c r="BV341" i="3"/>
  <c r="BU341" i="3"/>
  <c r="CS389" i="3"/>
  <c r="AR389" i="3"/>
  <c r="AS389" i="3" s="1"/>
  <c r="BK389" i="3"/>
  <c r="BF389" i="3"/>
  <c r="CT389" i="3"/>
  <c r="BH389" i="3"/>
  <c r="BG413" i="3"/>
  <c r="AJ413" i="3"/>
  <c r="AK413" i="3"/>
  <c r="AL413" i="3"/>
  <c r="CB437" i="3"/>
  <c r="AI437" i="3"/>
  <c r="BQ437" i="3"/>
  <c r="CM292" i="3"/>
  <c r="BZ292" i="3"/>
  <c r="CK292" i="3"/>
  <c r="CL292" i="3"/>
  <c r="CJ292" i="3"/>
  <c r="AN292" i="3"/>
  <c r="BJ292" i="3" s="1"/>
  <c r="AM292" i="3"/>
  <c r="BI292" i="3" s="1"/>
  <c r="CA292" i="3"/>
  <c r="BW316" i="3"/>
  <c r="BY316" i="3" s="1"/>
  <c r="CO316" i="3"/>
  <c r="BO340" i="3"/>
  <c r="BS340" i="3"/>
  <c r="BV340" i="3"/>
  <c r="BU340" i="3"/>
  <c r="BL364" i="3"/>
  <c r="BN364" i="3" s="1"/>
  <c r="BP364" i="3"/>
  <c r="BT364" i="3" s="1"/>
  <c r="BF388" i="3"/>
  <c r="CS388" i="3"/>
  <c r="AR388" i="3"/>
  <c r="AS388" i="3" s="1"/>
  <c r="BK388" i="3"/>
  <c r="CT388" i="3"/>
  <c r="BH388" i="3"/>
  <c r="CB436" i="3"/>
  <c r="AI436" i="3"/>
  <c r="BQ436" i="3"/>
  <c r="BW315" i="3"/>
  <c r="BY315" i="3" s="1"/>
  <c r="CO315" i="3"/>
  <c r="BV339" i="3"/>
  <c r="BU339" i="3"/>
  <c r="BL363" i="3"/>
  <c r="BN363" i="3" s="1"/>
  <c r="BP363" i="3"/>
  <c r="BT363" i="3" s="1"/>
  <c r="BF387" i="3"/>
  <c r="CS387" i="3"/>
  <c r="AR387" i="3"/>
  <c r="AS387" i="3" s="1"/>
  <c r="BK387" i="3"/>
  <c r="CT387" i="3"/>
  <c r="BH387" i="3"/>
  <c r="AK411" i="3"/>
  <c r="AJ411" i="3"/>
  <c r="BG411" i="3"/>
  <c r="AL411" i="3"/>
  <c r="CB435" i="3"/>
  <c r="AI435" i="3"/>
  <c r="BQ435" i="3"/>
  <c r="BZ290" i="3"/>
  <c r="CM290" i="3"/>
  <c r="CK290" i="3"/>
  <c r="CL290" i="3"/>
  <c r="CJ290" i="3"/>
  <c r="AN290" i="3"/>
  <c r="BJ290" i="3" s="1"/>
  <c r="AM290" i="3"/>
  <c r="BI290" i="3" s="1"/>
  <c r="CA290" i="3"/>
  <c r="BW314" i="3"/>
  <c r="BY314" i="3" s="1"/>
  <c r="CO314" i="3"/>
  <c r="BO338" i="3"/>
  <c r="BS338" i="3"/>
  <c r="BV338" i="3"/>
  <c r="BU338" i="3"/>
  <c r="BF386" i="3"/>
  <c r="CS386" i="3"/>
  <c r="AR386" i="3"/>
  <c r="AS386" i="3" s="1"/>
  <c r="BK386" i="3"/>
  <c r="CT386" i="3"/>
  <c r="BH386" i="3"/>
  <c r="CB434" i="3"/>
  <c r="BQ434" i="3"/>
  <c r="AI434" i="3"/>
  <c r="CM289" i="3"/>
  <c r="BZ289" i="3"/>
  <c r="CK289" i="3"/>
  <c r="CL289" i="3"/>
  <c r="CJ289" i="3"/>
  <c r="AN289" i="3"/>
  <c r="BJ289" i="3" s="1"/>
  <c r="CA289" i="3"/>
  <c r="AM289" i="3"/>
  <c r="BI289" i="3" s="1"/>
  <c r="BW313" i="3"/>
  <c r="BY313" i="3" s="1"/>
  <c r="CO313" i="3"/>
  <c r="BO337" i="3"/>
  <c r="BS337" i="3"/>
  <c r="BV337" i="3"/>
  <c r="BU337" i="3"/>
  <c r="BL361" i="3"/>
  <c r="BN361" i="3" s="1"/>
  <c r="BP361" i="3"/>
  <c r="BT361" i="3" s="1"/>
  <c r="BF385" i="3"/>
  <c r="CS385" i="3"/>
  <c r="AR385" i="3"/>
  <c r="AS385" i="3" s="1"/>
  <c r="BK385" i="3"/>
  <c r="CT385" i="3"/>
  <c r="BH385" i="3"/>
  <c r="AK409" i="3"/>
  <c r="AJ409" i="3"/>
  <c r="BG409" i="3"/>
  <c r="AL409" i="3"/>
  <c r="CM288" i="3"/>
  <c r="CK288" i="3"/>
  <c r="BZ288" i="3"/>
  <c r="CL288" i="3"/>
  <c r="CJ288" i="3"/>
  <c r="AN288" i="3"/>
  <c r="BJ288" i="3" s="1"/>
  <c r="CA288" i="3"/>
  <c r="AM288" i="3"/>
  <c r="BI288" i="3" s="1"/>
  <c r="BW312" i="3"/>
  <c r="BY312" i="3" s="1"/>
  <c r="CO312" i="3"/>
  <c r="BO336" i="3"/>
  <c r="BS336" i="3"/>
  <c r="BV336" i="3"/>
  <c r="BU336" i="3"/>
  <c r="BL360" i="3"/>
  <c r="BN360" i="3" s="1"/>
  <c r="BP360" i="3"/>
  <c r="BT360" i="3" s="1"/>
  <c r="BF384" i="3"/>
  <c r="CS384" i="3"/>
  <c r="AR384" i="3"/>
  <c r="AS384" i="3" s="1"/>
  <c r="BK384" i="3"/>
  <c r="CT384" i="3"/>
  <c r="BH384" i="3"/>
  <c r="AK408" i="3"/>
  <c r="AJ408" i="3"/>
  <c r="BG408" i="3"/>
  <c r="AL408" i="3"/>
  <c r="CB432" i="3"/>
  <c r="BQ432" i="3"/>
  <c r="AI432" i="3"/>
  <c r="AP43" i="13"/>
  <c r="CA114" i="3"/>
  <c r="AM114" i="3"/>
  <c r="AN114" i="3"/>
  <c r="CJ114" i="3"/>
  <c r="CL114" i="3"/>
  <c r="CK114" i="3"/>
  <c r="BZ114" i="3"/>
  <c r="CM114" i="3"/>
  <c r="CO115" i="3"/>
  <c r="BY115" i="3"/>
  <c r="CB115" i="3"/>
  <c r="BX116" i="3" a="1"/>
  <c r="BX504" i="3" s="1"/>
  <c r="H204" i="4"/>
  <c r="AB203" i="4"/>
  <c r="AA203" i="4" s="1"/>
  <c r="G19" i="13"/>
  <c r="X19" i="13" s="1"/>
  <c r="Q45" i="13"/>
  <c r="AH45" i="13" s="1"/>
  <c r="AK45" i="13"/>
  <c r="AA19" i="13"/>
  <c r="F45" i="13"/>
  <c r="H45" i="13"/>
  <c r="AG45" i="13" s="1"/>
  <c r="AK18" i="19"/>
  <c r="H19" i="13"/>
  <c r="Y19" i="13" s="1"/>
  <c r="BY165" i="3"/>
  <c r="CM287" i="3"/>
  <c r="CK287" i="3"/>
  <c r="BZ287" i="3"/>
  <c r="CL287" i="3"/>
  <c r="CJ287" i="3"/>
  <c r="AN287" i="3"/>
  <c r="BJ287" i="3" s="1"/>
  <c r="CA287" i="3"/>
  <c r="AM287" i="3"/>
  <c r="BI287" i="3" s="1"/>
  <c r="CK286" i="3"/>
  <c r="CL286" i="3"/>
  <c r="CM286" i="3"/>
  <c r="BZ286" i="3"/>
  <c r="CJ286" i="3"/>
  <c r="AN286" i="3"/>
  <c r="BJ286" i="3" s="1"/>
  <c r="CA286" i="3"/>
  <c r="AM286" i="3"/>
  <c r="BI286" i="3" s="1"/>
  <c r="BZ261" i="3"/>
  <c r="M26" i="19" s="1"/>
  <c r="G27" i="13" s="1"/>
  <c r="X27" i="13" s="1"/>
  <c r="CL261" i="3"/>
  <c r="CM261" i="3"/>
  <c r="CK261" i="3"/>
  <c r="CJ261" i="3"/>
  <c r="AN261" i="3"/>
  <c r="AA26" i="19"/>
  <c r="P27" i="13" s="1"/>
  <c r="AI27" i="13" s="1"/>
  <c r="T26" i="19"/>
  <c r="G53" i="13" s="1"/>
  <c r="AF53" i="13" s="1"/>
  <c r="AB26" i="19"/>
  <c r="Q27" i="13" s="1"/>
  <c r="AJ27" i="13" s="1"/>
  <c r="Q26" i="19"/>
  <c r="J27" i="13" s="1"/>
  <c r="AC27" i="13" s="1"/>
  <c r="AE26" i="19"/>
  <c r="T27" i="13" s="1"/>
  <c r="AN27" i="13" s="1"/>
  <c r="P26" i="19"/>
  <c r="F27" i="13" s="1"/>
  <c r="AM26" i="19"/>
  <c r="P53" i="13" s="1"/>
  <c r="AE53" i="13" s="1"/>
  <c r="AK53" i="13" s="1"/>
  <c r="Z26" i="19"/>
  <c r="O27" i="13" s="1"/>
  <c r="AH27" i="13" s="1"/>
  <c r="Y26" i="19"/>
  <c r="N27" i="13" s="1"/>
  <c r="AG27" i="13" s="1"/>
  <c r="AD26" i="19"/>
  <c r="U27" i="13" s="1"/>
  <c r="AO27" i="13" s="1"/>
  <c r="X26" i="19"/>
  <c r="M27" i="13" s="1"/>
  <c r="AF27" i="13" s="1"/>
  <c r="W26" i="19"/>
  <c r="R26" i="19"/>
  <c r="K27" i="13" s="1"/>
  <c r="AD27" i="13" s="1"/>
  <c r="AJ26" i="19"/>
  <c r="M53" i="13" s="1"/>
  <c r="AB53" i="13" s="1"/>
  <c r="AP53" i="13" s="1"/>
  <c r="S26" i="19"/>
  <c r="I27" i="13" s="1"/>
  <c r="AB27" i="13" s="1"/>
  <c r="AC26" i="19"/>
  <c r="R27" i="13" s="1"/>
  <c r="AK27" i="13" s="1"/>
  <c r="CA261" i="3"/>
  <c r="N26" i="19" s="1"/>
  <c r="H27" i="13" s="1"/>
  <c r="Y27" i="13" s="1"/>
  <c r="AM261" i="3"/>
  <c r="BI261" i="3" s="1"/>
  <c r="BW311" i="3"/>
  <c r="BY311" i="3" s="1"/>
  <c r="CO311" i="3"/>
  <c r="BW310" i="3"/>
  <c r="BY310" i="3" s="1"/>
  <c r="CO310" i="3"/>
  <c r="BW285" i="3"/>
  <c r="CO285" i="3"/>
  <c r="BV335" i="3"/>
  <c r="BU335" i="3"/>
  <c r="BO335" i="3"/>
  <c r="BS335" i="3"/>
  <c r="BV334" i="3"/>
  <c r="BU334" i="3"/>
  <c r="BO334" i="3"/>
  <c r="BS334" i="3"/>
  <c r="BV309" i="3"/>
  <c r="BU309" i="3"/>
  <c r="BO309" i="3"/>
  <c r="BS309" i="3"/>
  <c r="BW291" i="3"/>
  <c r="BY291" i="3" s="1"/>
  <c r="CO291" i="3"/>
  <c r="BP358" i="3"/>
  <c r="BT358" i="3" s="1"/>
  <c r="BL358" i="3"/>
  <c r="BN358" i="3" s="1"/>
  <c r="BP333" i="3"/>
  <c r="BT333" i="3" s="1"/>
  <c r="BL333" i="3"/>
  <c r="BN333" i="3" s="1"/>
  <c r="BO332" i="3"/>
  <c r="BS332" i="3"/>
  <c r="BV332" i="3"/>
  <c r="BU332" i="3"/>
  <c r="BL347" i="3"/>
  <c r="BN347" i="3" s="1"/>
  <c r="BP347" i="3"/>
  <c r="BT347" i="3" s="1"/>
  <c r="CB430" i="3"/>
  <c r="BQ430" i="3"/>
  <c r="AI430" i="3"/>
  <c r="CB405" i="3"/>
  <c r="AI405" i="3"/>
  <c r="BQ405" i="3"/>
  <c r="BG357" i="3"/>
  <c r="AK357" i="3"/>
  <c r="AJ357" i="3"/>
  <c r="AL357" i="3"/>
  <c r="AF433" i="3"/>
  <c r="AG433" i="3" s="1"/>
  <c r="AH433" i="3" s="1"/>
  <c r="R61" i="13"/>
  <c r="AI61" i="13" s="1"/>
  <c r="BW237" i="3"/>
  <c r="BY237" i="3" s="1"/>
  <c r="CO237" i="3"/>
  <c r="H38" i="19"/>
  <c r="H41" i="19" s="1"/>
  <c r="F90" i="13"/>
  <c r="F93" i="13" s="1"/>
  <c r="T6" i="24" s="1"/>
  <c r="S6" i="24" s="1"/>
  <c r="Y477" i="3"/>
  <c r="U477" i="3"/>
  <c r="W477" i="3" s="1"/>
  <c r="L38" i="19"/>
  <c r="L41" i="19" s="1"/>
  <c r="J90" i="13"/>
  <c r="J93" i="13" s="1"/>
  <c r="T7" i="24" s="1"/>
  <c r="S7" i="24" s="1"/>
  <c r="AA464" i="3"/>
  <c r="AE464" i="3" s="1"/>
  <c r="BR464" i="3"/>
  <c r="CR464" i="3"/>
  <c r="AO35" i="19"/>
  <c r="V36" i="13"/>
  <c r="AP36" i="13" s="1"/>
  <c r="AP37" i="13" s="1"/>
  <c r="AL38" i="19"/>
  <c r="AL41" i="19" s="1"/>
  <c r="O62" i="13"/>
  <c r="AD62" i="13" s="1"/>
  <c r="AD63" i="13" s="1"/>
  <c r="BG16" i="13" s="1"/>
  <c r="Z490" i="3"/>
  <c r="AC490" i="3" s="1"/>
  <c r="AD490" i="3" s="1"/>
  <c r="Z483" i="3"/>
  <c r="AC483" i="3" s="1"/>
  <c r="AD483" i="3" s="1"/>
  <c r="H90" i="13"/>
  <c r="H93" i="13" s="1"/>
  <c r="T8" i="24" s="1"/>
  <c r="S8" i="24" s="1"/>
  <c r="J38" i="19"/>
  <c r="J41" i="19" s="1"/>
  <c r="CR493" i="3" l="1"/>
  <c r="BR493" i="3"/>
  <c r="AA493" i="3"/>
  <c r="AE493" i="3" s="1"/>
  <c r="AF493" i="3" s="1"/>
  <c r="AG493" i="3" s="1"/>
  <c r="AH493" i="3" s="1"/>
  <c r="Z477" i="3"/>
  <c r="AC477" i="3" s="1"/>
  <c r="AD477" i="3" s="1"/>
  <c r="CR477" i="3" s="1"/>
  <c r="AK426" i="3"/>
  <c r="BF426" i="3" s="1"/>
  <c r="AJ426" i="3"/>
  <c r="BG426" i="3"/>
  <c r="AL426" i="3"/>
  <c r="CR478" i="3"/>
  <c r="BR478" i="3"/>
  <c r="AA478" i="3"/>
  <c r="AE478" i="3" s="1"/>
  <c r="AF478" i="3" s="1"/>
  <c r="AG478" i="3" s="1"/>
  <c r="AH478" i="3" s="1"/>
  <c r="AK421" i="3"/>
  <c r="BF421" i="3" s="1"/>
  <c r="AJ421" i="3"/>
  <c r="BG421" i="3"/>
  <c r="AL421" i="3"/>
  <c r="CR453" i="3"/>
  <c r="BR453" i="3"/>
  <c r="AA453" i="3"/>
  <c r="AE453" i="3" s="1"/>
  <c r="AF453" i="3" s="1"/>
  <c r="AG453" i="3" s="1"/>
  <c r="AH453" i="3" s="1"/>
  <c r="CR489" i="3"/>
  <c r="AA489" i="3"/>
  <c r="AE489" i="3" s="1"/>
  <c r="AF489" i="3" s="1"/>
  <c r="AG489" i="3" s="1"/>
  <c r="AH489" i="3" s="1"/>
  <c r="BR489" i="3"/>
  <c r="BN365" i="3"/>
  <c r="BN367" i="3"/>
  <c r="BO350" i="3"/>
  <c r="BS350" i="3"/>
  <c r="AF463" i="3"/>
  <c r="AG463" i="3" s="1"/>
  <c r="AH463" i="3" s="1"/>
  <c r="CR498" i="3"/>
  <c r="BR498" i="3"/>
  <c r="AA498" i="3"/>
  <c r="AE498" i="3" s="1"/>
  <c r="AF498" i="3" s="1"/>
  <c r="AG498" i="3" s="1"/>
  <c r="AH498" i="3" s="1"/>
  <c r="CR494" i="3"/>
  <c r="BR494" i="3"/>
  <c r="AA494" i="3"/>
  <c r="AE494" i="3" s="1"/>
  <c r="AF494" i="3" s="1"/>
  <c r="AG494" i="3" s="1"/>
  <c r="AH494" i="3" s="1"/>
  <c r="CB452" i="3"/>
  <c r="AI452" i="3"/>
  <c r="BQ452" i="3"/>
  <c r="CB450" i="3"/>
  <c r="AI450" i="3"/>
  <c r="BQ450" i="3"/>
  <c r="BN362" i="3"/>
  <c r="BO339" i="3"/>
  <c r="BS339" i="3"/>
  <c r="CR496" i="3"/>
  <c r="BR496" i="3"/>
  <c r="AA496" i="3"/>
  <c r="AE496" i="3" s="1"/>
  <c r="AF496" i="3" s="1"/>
  <c r="AG496" i="3" s="1"/>
  <c r="AH496" i="3" s="1"/>
  <c r="CR495" i="3"/>
  <c r="BR495" i="3"/>
  <c r="AA495" i="3"/>
  <c r="AE495" i="3" s="1"/>
  <c r="AF495" i="3" s="1"/>
  <c r="AG495" i="3" s="1"/>
  <c r="AH495" i="3" s="1"/>
  <c r="CR492" i="3"/>
  <c r="BR492" i="3"/>
  <c r="AA492" i="3"/>
  <c r="AE492" i="3" s="1"/>
  <c r="AF492" i="3" s="1"/>
  <c r="AG492" i="3" s="1"/>
  <c r="AH492" i="3" s="1"/>
  <c r="AJ407" i="3"/>
  <c r="BG407" i="3"/>
  <c r="AL407" i="3"/>
  <c r="AK407" i="3"/>
  <c r="BF407" i="3" s="1"/>
  <c r="AJ406" i="3"/>
  <c r="AK406" i="3"/>
  <c r="BF406" i="3" s="1"/>
  <c r="AL406" i="3"/>
  <c r="BG406" i="3"/>
  <c r="BG381" i="3"/>
  <c r="AJ381" i="3"/>
  <c r="AK381" i="3"/>
  <c r="BF381" i="3" s="1"/>
  <c r="AL381" i="3"/>
  <c r="CS382" i="3"/>
  <c r="BK382" i="3"/>
  <c r="BL382" i="3" s="1"/>
  <c r="AR382" i="3"/>
  <c r="AS382" i="3" s="1"/>
  <c r="BH382" i="3"/>
  <c r="BP382" i="3" s="1"/>
  <c r="BT382" i="3" s="1"/>
  <c r="CT382" i="3"/>
  <c r="BG410" i="3"/>
  <c r="AK410" i="3"/>
  <c r="BF410" i="3" s="1"/>
  <c r="AJ410" i="3"/>
  <c r="AL410" i="3"/>
  <c r="CR488" i="3"/>
  <c r="BR488" i="3"/>
  <c r="AA488" i="3"/>
  <c r="AE488" i="3" s="1"/>
  <c r="CR479" i="3"/>
  <c r="BR479" i="3"/>
  <c r="AA479" i="3"/>
  <c r="AE479" i="3" s="1"/>
  <c r="AF479" i="3" s="1"/>
  <c r="AG479" i="3" s="1"/>
  <c r="AH479" i="3" s="1"/>
  <c r="CR497" i="3"/>
  <c r="AA497" i="3"/>
  <c r="AE497" i="3" s="1"/>
  <c r="AF497" i="3" s="1"/>
  <c r="AG497" i="3" s="1"/>
  <c r="AH497" i="3" s="1"/>
  <c r="BR497" i="3"/>
  <c r="CR499" i="3"/>
  <c r="AA499" i="3"/>
  <c r="AE499" i="3" s="1"/>
  <c r="BR499" i="3"/>
  <c r="S12" i="33"/>
  <c r="C67" i="15"/>
  <c r="T19" i="24"/>
  <c r="S19" i="24" s="1"/>
  <c r="CR491" i="3"/>
  <c r="BR491" i="3"/>
  <c r="AA491" i="3"/>
  <c r="AE491" i="3" s="1"/>
  <c r="CR480" i="3"/>
  <c r="BR480" i="3"/>
  <c r="AA480" i="3"/>
  <c r="AE480" i="3" s="1"/>
  <c r="AF480" i="3" s="1"/>
  <c r="AG480" i="3" s="1"/>
  <c r="AH480" i="3" s="1"/>
  <c r="CR482" i="3"/>
  <c r="BR482" i="3"/>
  <c r="AA482" i="3"/>
  <c r="AE482" i="3" s="1"/>
  <c r="AF482" i="3" s="1"/>
  <c r="AG482" i="3" s="1"/>
  <c r="AH482" i="3" s="1"/>
  <c r="CS394" i="3"/>
  <c r="AR394" i="3"/>
  <c r="AS394" i="3" s="1"/>
  <c r="BK394" i="3"/>
  <c r="BL394" i="3" s="1"/>
  <c r="CT394" i="3"/>
  <c r="BH394" i="3"/>
  <c r="BP394" i="3" s="1"/>
  <c r="BT394" i="3" s="1"/>
  <c r="AK412" i="3"/>
  <c r="BF412" i="3" s="1"/>
  <c r="AL412" i="3"/>
  <c r="BG412" i="3"/>
  <c r="AJ412" i="3"/>
  <c r="CB451" i="3"/>
  <c r="AI451" i="3"/>
  <c r="BQ451" i="3"/>
  <c r="BQ431" i="3"/>
  <c r="AI431" i="3"/>
  <c r="CB431" i="3"/>
  <c r="CS403" i="3"/>
  <c r="AR403" i="3"/>
  <c r="AS403" i="3" s="1"/>
  <c r="BK403" i="3"/>
  <c r="BL403" i="3" s="1"/>
  <c r="CT403" i="3"/>
  <c r="BH403" i="3"/>
  <c r="BP403" i="3" s="1"/>
  <c r="BT403" i="3" s="1"/>
  <c r="AF466" i="3"/>
  <c r="AG466" i="3" s="1"/>
  <c r="AH466" i="3" s="1"/>
  <c r="AF470" i="3"/>
  <c r="AG470" i="3" s="1"/>
  <c r="AH470" i="3" s="1"/>
  <c r="CS400" i="3"/>
  <c r="AR400" i="3"/>
  <c r="AS400" i="3" s="1"/>
  <c r="BK400" i="3"/>
  <c r="BL400" i="3" s="1"/>
  <c r="CT400" i="3"/>
  <c r="BH400" i="3"/>
  <c r="BP400" i="3" s="1"/>
  <c r="BT400" i="3" s="1"/>
  <c r="G51" i="15"/>
  <c r="G48" i="15"/>
  <c r="G53" i="15"/>
  <c r="G49" i="15"/>
  <c r="G50" i="15"/>
  <c r="CB440" i="3"/>
  <c r="BQ440" i="3"/>
  <c r="AI440" i="3"/>
  <c r="CR484" i="3"/>
  <c r="AA484" i="3"/>
  <c r="AE484" i="3" s="1"/>
  <c r="BR484" i="3"/>
  <c r="CR486" i="3"/>
  <c r="AA486" i="3"/>
  <c r="AE486" i="3" s="1"/>
  <c r="BR486" i="3"/>
  <c r="CR485" i="3"/>
  <c r="BR485" i="3"/>
  <c r="AA485" i="3"/>
  <c r="AE485" i="3" s="1"/>
  <c r="AF485" i="3" s="1"/>
  <c r="AG485" i="3" s="1"/>
  <c r="AH485" i="3" s="1"/>
  <c r="AF462" i="3"/>
  <c r="AG462" i="3" s="1"/>
  <c r="AH462" i="3" s="1"/>
  <c r="CR487" i="3"/>
  <c r="BR487" i="3"/>
  <c r="AF456" i="3"/>
  <c r="AG456" i="3" s="1"/>
  <c r="AH456" i="3" s="1"/>
  <c r="CR481" i="3"/>
  <c r="BR481" i="3"/>
  <c r="AA481" i="3"/>
  <c r="AE481" i="3" s="1"/>
  <c r="BW359" i="3"/>
  <c r="BY359" i="3" s="1"/>
  <c r="CO359" i="3"/>
  <c r="BO383" i="3"/>
  <c r="BS383" i="3"/>
  <c r="BV383" i="3"/>
  <c r="BU383" i="3"/>
  <c r="BW356" i="3"/>
  <c r="BY356" i="3" s="1"/>
  <c r="CO356" i="3"/>
  <c r="BO380" i="3"/>
  <c r="BS380" i="3"/>
  <c r="BV380" i="3"/>
  <c r="BU380" i="3"/>
  <c r="BL404" i="3"/>
  <c r="BN404" i="3" s="1"/>
  <c r="BP404" i="3"/>
  <c r="BT404" i="3" s="1"/>
  <c r="BF428" i="3"/>
  <c r="CS428" i="3"/>
  <c r="AR428" i="3"/>
  <c r="AS428" i="3" s="1"/>
  <c r="BK428" i="3"/>
  <c r="CT428" i="3"/>
  <c r="BH428" i="3"/>
  <c r="CB476" i="3"/>
  <c r="BQ476" i="3"/>
  <c r="AI476" i="3"/>
  <c r="Z500" i="3"/>
  <c r="W504" i="3"/>
  <c r="CM331" i="3"/>
  <c r="CL331" i="3"/>
  <c r="BZ331" i="3"/>
  <c r="CK331" i="3"/>
  <c r="CJ331" i="3"/>
  <c r="AN331" i="3"/>
  <c r="BJ331" i="3" s="1"/>
  <c r="CA331" i="3"/>
  <c r="AM331" i="3"/>
  <c r="BI331" i="3" s="1"/>
  <c r="BW355" i="3"/>
  <c r="BY355" i="3" s="1"/>
  <c r="CO355" i="3"/>
  <c r="BO379" i="3"/>
  <c r="BS379" i="3"/>
  <c r="BV379" i="3"/>
  <c r="BU379" i="3"/>
  <c r="CS427" i="3"/>
  <c r="AR427" i="3"/>
  <c r="AS427" i="3" s="1"/>
  <c r="BK427" i="3"/>
  <c r="BF427" i="3"/>
  <c r="CT427" i="3"/>
  <c r="BH427" i="3"/>
  <c r="CB475" i="3"/>
  <c r="BQ475" i="3"/>
  <c r="AI475" i="3"/>
  <c r="CM330" i="3"/>
  <c r="BZ330" i="3"/>
  <c r="CK330" i="3"/>
  <c r="CL330" i="3"/>
  <c r="CJ330" i="3"/>
  <c r="AN330" i="3"/>
  <c r="BJ330" i="3" s="1"/>
  <c r="CA330" i="3"/>
  <c r="AM330" i="3"/>
  <c r="BI330" i="3" s="1"/>
  <c r="BW354" i="3"/>
  <c r="BY354" i="3" s="1"/>
  <c r="CO354" i="3"/>
  <c r="BO378" i="3"/>
  <c r="BS378" i="3"/>
  <c r="BV378" i="3"/>
  <c r="BU378" i="3"/>
  <c r="BL402" i="3"/>
  <c r="BN402" i="3" s="1"/>
  <c r="BP402" i="3"/>
  <c r="BT402" i="3" s="1"/>
  <c r="CB474" i="3"/>
  <c r="BQ474" i="3"/>
  <c r="AI474" i="3"/>
  <c r="CM329" i="3"/>
  <c r="BZ329" i="3"/>
  <c r="CK329" i="3"/>
  <c r="CL329" i="3"/>
  <c r="CJ329" i="3"/>
  <c r="AN329" i="3"/>
  <c r="BJ329" i="3" s="1"/>
  <c r="CA329" i="3"/>
  <c r="AM329" i="3"/>
  <c r="BI329" i="3" s="1"/>
  <c r="BW353" i="3"/>
  <c r="BY353" i="3" s="1"/>
  <c r="CO353" i="3"/>
  <c r="BO377" i="3"/>
  <c r="BS377" i="3"/>
  <c r="BV377" i="3"/>
  <c r="BU377" i="3"/>
  <c r="BL401" i="3"/>
  <c r="BN401" i="3" s="1"/>
  <c r="BP401" i="3"/>
  <c r="BT401" i="3" s="1"/>
  <c r="BF425" i="3"/>
  <c r="CS425" i="3"/>
  <c r="AR425" i="3"/>
  <c r="AS425" i="3" s="1"/>
  <c r="BK425" i="3"/>
  <c r="CT425" i="3"/>
  <c r="BH425" i="3"/>
  <c r="AJ449" i="3"/>
  <c r="AK449" i="3"/>
  <c r="BG449" i="3"/>
  <c r="AL449" i="3"/>
  <c r="CB473" i="3"/>
  <c r="BQ473" i="3"/>
  <c r="AI473" i="3"/>
  <c r="CM328" i="3"/>
  <c r="BZ328" i="3"/>
  <c r="CK328" i="3"/>
  <c r="CL328" i="3"/>
  <c r="CJ328" i="3"/>
  <c r="AN328" i="3"/>
  <c r="BJ328" i="3" s="1"/>
  <c r="CA328" i="3"/>
  <c r="AM328" i="3"/>
  <c r="BI328" i="3" s="1"/>
  <c r="BW352" i="3"/>
  <c r="BY352" i="3" s="1"/>
  <c r="CO352" i="3"/>
  <c r="BO376" i="3"/>
  <c r="BS376" i="3"/>
  <c r="BV376" i="3"/>
  <c r="BU376" i="3"/>
  <c r="BF424" i="3"/>
  <c r="CS424" i="3"/>
  <c r="AR424" i="3"/>
  <c r="AS424" i="3" s="1"/>
  <c r="BK424" i="3"/>
  <c r="CT424" i="3"/>
  <c r="BH424" i="3"/>
  <c r="AK448" i="3"/>
  <c r="AJ448" i="3"/>
  <c r="BG448" i="3"/>
  <c r="AL448" i="3"/>
  <c r="CB472" i="3"/>
  <c r="AI472" i="3"/>
  <c r="BQ472" i="3"/>
  <c r="CM327" i="3"/>
  <c r="BZ327" i="3"/>
  <c r="CK327" i="3"/>
  <c r="CL327" i="3"/>
  <c r="CJ327" i="3"/>
  <c r="AN327" i="3"/>
  <c r="BJ327" i="3" s="1"/>
  <c r="CA327" i="3"/>
  <c r="AM327" i="3"/>
  <c r="BI327" i="3" s="1"/>
  <c r="BW351" i="3"/>
  <c r="BY351" i="3" s="1"/>
  <c r="CO351" i="3"/>
  <c r="BO375" i="3"/>
  <c r="BS375" i="3"/>
  <c r="BV375" i="3"/>
  <c r="BU375" i="3"/>
  <c r="BL399" i="3"/>
  <c r="BN399" i="3" s="1"/>
  <c r="BP399" i="3"/>
  <c r="BT399" i="3" s="1"/>
  <c r="BF423" i="3"/>
  <c r="CS423" i="3"/>
  <c r="AR423" i="3"/>
  <c r="AS423" i="3" s="1"/>
  <c r="BK423" i="3"/>
  <c r="CT423" i="3"/>
  <c r="BH423" i="3"/>
  <c r="BG447" i="3"/>
  <c r="AJ447" i="3"/>
  <c r="AK447" i="3"/>
  <c r="AL447" i="3"/>
  <c r="CB471" i="3"/>
  <c r="AI471" i="3"/>
  <c r="BQ471" i="3"/>
  <c r="CM326" i="3"/>
  <c r="BZ326" i="3"/>
  <c r="CK326" i="3"/>
  <c r="CL326" i="3"/>
  <c r="CJ326" i="3"/>
  <c r="AN326" i="3"/>
  <c r="BJ326" i="3" s="1"/>
  <c r="CA326" i="3"/>
  <c r="AM326" i="3"/>
  <c r="BI326" i="3" s="1"/>
  <c r="BW350" i="3"/>
  <c r="BY350" i="3" s="1"/>
  <c r="CO350" i="3"/>
  <c r="BO374" i="3"/>
  <c r="BS374" i="3"/>
  <c r="BV374" i="3"/>
  <c r="BU374" i="3"/>
  <c r="BL398" i="3"/>
  <c r="BN398" i="3" s="1"/>
  <c r="BP398" i="3"/>
  <c r="BT398" i="3" s="1"/>
  <c r="BF422" i="3"/>
  <c r="CS422" i="3"/>
  <c r="AR422" i="3"/>
  <c r="AS422" i="3" s="1"/>
  <c r="BK422" i="3"/>
  <c r="CT422" i="3"/>
  <c r="BH422" i="3"/>
  <c r="AK446" i="3"/>
  <c r="AJ446" i="3"/>
  <c r="BG446" i="3"/>
  <c r="AL446" i="3"/>
  <c r="CM325" i="3"/>
  <c r="BZ325" i="3"/>
  <c r="CK325" i="3"/>
  <c r="CL325" i="3"/>
  <c r="CJ325" i="3"/>
  <c r="AN325" i="3"/>
  <c r="BJ325" i="3" s="1"/>
  <c r="CA325" i="3"/>
  <c r="AM325" i="3"/>
  <c r="BI325" i="3" s="1"/>
  <c r="BW349" i="3"/>
  <c r="BY349" i="3" s="1"/>
  <c r="CO349" i="3"/>
  <c r="BO373" i="3"/>
  <c r="BS373" i="3"/>
  <c r="BV373" i="3"/>
  <c r="BU373" i="3"/>
  <c r="BL397" i="3"/>
  <c r="BN397" i="3" s="1"/>
  <c r="BP397" i="3"/>
  <c r="BT397" i="3" s="1"/>
  <c r="AK445" i="3"/>
  <c r="AJ445" i="3"/>
  <c r="BG445" i="3"/>
  <c r="AL445" i="3"/>
  <c r="CB469" i="3"/>
  <c r="AI469" i="3"/>
  <c r="BQ469" i="3"/>
  <c r="CM324" i="3"/>
  <c r="BZ324" i="3"/>
  <c r="CK324" i="3"/>
  <c r="CL324" i="3"/>
  <c r="CJ324" i="3"/>
  <c r="AN324" i="3"/>
  <c r="BJ324" i="3" s="1"/>
  <c r="CA324" i="3"/>
  <c r="AM324" i="3"/>
  <c r="BI324" i="3" s="1"/>
  <c r="BW348" i="3"/>
  <c r="BY348" i="3" s="1"/>
  <c r="CO348" i="3"/>
  <c r="BO372" i="3"/>
  <c r="BS372" i="3"/>
  <c r="BV372" i="3"/>
  <c r="BU372" i="3"/>
  <c r="BL396" i="3"/>
  <c r="BN396" i="3" s="1"/>
  <c r="BP396" i="3"/>
  <c r="BT396" i="3" s="1"/>
  <c r="BF420" i="3"/>
  <c r="CS420" i="3"/>
  <c r="AR420" i="3"/>
  <c r="AS420" i="3" s="1"/>
  <c r="BK420" i="3"/>
  <c r="CT420" i="3"/>
  <c r="BH420" i="3"/>
  <c r="AK444" i="3"/>
  <c r="AJ444" i="3"/>
  <c r="BG444" i="3"/>
  <c r="AL444" i="3"/>
  <c r="CB468" i="3"/>
  <c r="AI468" i="3"/>
  <c r="BQ468" i="3"/>
  <c r="CM323" i="3"/>
  <c r="BZ323" i="3"/>
  <c r="CK323" i="3"/>
  <c r="CL323" i="3"/>
  <c r="CJ323" i="3"/>
  <c r="AN323" i="3"/>
  <c r="BJ323" i="3" s="1"/>
  <c r="CA323" i="3"/>
  <c r="AM323" i="3"/>
  <c r="BI323" i="3" s="1"/>
  <c r="BO371" i="3"/>
  <c r="BS371" i="3"/>
  <c r="BV371" i="3"/>
  <c r="BU371" i="3"/>
  <c r="BL395" i="3"/>
  <c r="BN395" i="3" s="1"/>
  <c r="BP395" i="3"/>
  <c r="BT395" i="3" s="1"/>
  <c r="BF419" i="3"/>
  <c r="CS419" i="3"/>
  <c r="AR419" i="3"/>
  <c r="AS419" i="3" s="1"/>
  <c r="BK419" i="3"/>
  <c r="CT419" i="3"/>
  <c r="BH419" i="3"/>
  <c r="AK443" i="3"/>
  <c r="AJ443" i="3"/>
  <c r="BG443" i="3"/>
  <c r="AL443" i="3"/>
  <c r="CB467" i="3"/>
  <c r="AI467" i="3"/>
  <c r="BQ467" i="3"/>
  <c r="CM322" i="3"/>
  <c r="BZ322" i="3"/>
  <c r="CK322" i="3"/>
  <c r="CL322" i="3"/>
  <c r="CJ322" i="3"/>
  <c r="AN322" i="3"/>
  <c r="BJ322" i="3" s="1"/>
  <c r="CA322" i="3"/>
  <c r="AM322" i="3"/>
  <c r="BI322" i="3" s="1"/>
  <c r="BW346" i="3"/>
  <c r="BY346" i="3" s="1"/>
  <c r="CO346" i="3"/>
  <c r="BO370" i="3"/>
  <c r="BS370" i="3"/>
  <c r="BV370" i="3"/>
  <c r="BU370" i="3"/>
  <c r="BF418" i="3"/>
  <c r="CS418" i="3"/>
  <c r="AR418" i="3"/>
  <c r="AS418" i="3" s="1"/>
  <c r="BK418" i="3"/>
  <c r="CT418" i="3"/>
  <c r="BH418" i="3"/>
  <c r="AK442" i="3"/>
  <c r="AJ442" i="3"/>
  <c r="BG442" i="3"/>
  <c r="AL442" i="3"/>
  <c r="CM321" i="3"/>
  <c r="BZ321" i="3"/>
  <c r="CK321" i="3"/>
  <c r="CL321" i="3"/>
  <c r="CJ321" i="3"/>
  <c r="AN321" i="3"/>
  <c r="BJ321" i="3" s="1"/>
  <c r="CA321" i="3"/>
  <c r="AM321" i="3"/>
  <c r="BI321" i="3" s="1"/>
  <c r="BW345" i="3"/>
  <c r="BY345" i="3" s="1"/>
  <c r="CO345" i="3"/>
  <c r="BO369" i="3"/>
  <c r="BS369" i="3"/>
  <c r="BV369" i="3"/>
  <c r="BU369" i="3"/>
  <c r="BL393" i="3"/>
  <c r="BN393" i="3" s="1"/>
  <c r="BP393" i="3"/>
  <c r="BT393" i="3" s="1"/>
  <c r="BF417" i="3"/>
  <c r="CS417" i="3"/>
  <c r="AR417" i="3"/>
  <c r="AS417" i="3" s="1"/>
  <c r="BK417" i="3"/>
  <c r="CT417" i="3"/>
  <c r="BH417" i="3"/>
  <c r="AK441" i="3"/>
  <c r="AJ441" i="3"/>
  <c r="BG441" i="3"/>
  <c r="AL441" i="3"/>
  <c r="CB465" i="3"/>
  <c r="AI465" i="3"/>
  <c r="BQ465" i="3"/>
  <c r="CM320" i="3"/>
  <c r="BZ320" i="3"/>
  <c r="CK320" i="3"/>
  <c r="CL320" i="3"/>
  <c r="CJ320" i="3"/>
  <c r="AN320" i="3"/>
  <c r="BJ320" i="3" s="1"/>
  <c r="CA320" i="3"/>
  <c r="AM320" i="3"/>
  <c r="BI320" i="3" s="1"/>
  <c r="BW344" i="3"/>
  <c r="BY344" i="3" s="1"/>
  <c r="CO344" i="3"/>
  <c r="BO368" i="3"/>
  <c r="BS368" i="3"/>
  <c r="BV368" i="3"/>
  <c r="BU368" i="3"/>
  <c r="BL392" i="3"/>
  <c r="BN392" i="3" s="1"/>
  <c r="BP392" i="3"/>
  <c r="BT392" i="3" s="1"/>
  <c r="CS416" i="3"/>
  <c r="AR416" i="3"/>
  <c r="AS416" i="3" s="1"/>
  <c r="BK416" i="3"/>
  <c r="BF416" i="3"/>
  <c r="CT416" i="3"/>
  <c r="BH416" i="3"/>
  <c r="CM319" i="3"/>
  <c r="BZ319" i="3"/>
  <c r="CK319" i="3"/>
  <c r="CL319" i="3"/>
  <c r="CJ319" i="3"/>
  <c r="AN319" i="3"/>
  <c r="BJ319" i="3" s="1"/>
  <c r="CA319" i="3"/>
  <c r="AM319" i="3"/>
  <c r="BI319" i="3" s="1"/>
  <c r="BW343" i="3"/>
  <c r="BY343" i="3" s="1"/>
  <c r="CO343" i="3"/>
  <c r="BV367" i="3"/>
  <c r="BU367" i="3"/>
  <c r="BL391" i="3"/>
  <c r="BN391" i="3" s="1"/>
  <c r="BP391" i="3"/>
  <c r="BT391" i="3" s="1"/>
  <c r="CS415" i="3"/>
  <c r="AR415" i="3"/>
  <c r="AS415" i="3" s="1"/>
  <c r="BK415" i="3"/>
  <c r="BF415" i="3"/>
  <c r="CT415" i="3"/>
  <c r="BH415" i="3"/>
  <c r="AF487" i="3"/>
  <c r="AG487" i="3" s="1"/>
  <c r="AH487" i="3" s="1"/>
  <c r="AJ439" i="3"/>
  <c r="AK439" i="3"/>
  <c r="BG439" i="3"/>
  <c r="AL439" i="3"/>
  <c r="CM318" i="3"/>
  <c r="BZ318" i="3"/>
  <c r="CK318" i="3"/>
  <c r="CL318" i="3"/>
  <c r="CJ318" i="3"/>
  <c r="AN318" i="3"/>
  <c r="BJ318" i="3" s="1"/>
  <c r="CA318" i="3"/>
  <c r="AM318" i="3"/>
  <c r="BI318" i="3" s="1"/>
  <c r="BW342" i="3"/>
  <c r="BY342" i="3" s="1"/>
  <c r="CO342" i="3"/>
  <c r="BO366" i="3"/>
  <c r="BS366" i="3"/>
  <c r="BV366" i="3"/>
  <c r="BU366" i="3"/>
  <c r="BL390" i="3"/>
  <c r="BN390" i="3" s="1"/>
  <c r="BP390" i="3"/>
  <c r="BT390" i="3" s="1"/>
  <c r="CS414" i="3"/>
  <c r="AR414" i="3"/>
  <c r="AS414" i="3" s="1"/>
  <c r="BK414" i="3"/>
  <c r="BF414" i="3"/>
  <c r="CT414" i="3"/>
  <c r="BH414" i="3"/>
  <c r="AK438" i="3"/>
  <c r="AJ438" i="3"/>
  <c r="BG438" i="3"/>
  <c r="AL438" i="3"/>
  <c r="CM317" i="3"/>
  <c r="BZ317" i="3"/>
  <c r="CK317" i="3"/>
  <c r="CL317" i="3"/>
  <c r="CJ317" i="3"/>
  <c r="AN317" i="3"/>
  <c r="BJ317" i="3" s="1"/>
  <c r="CA317" i="3"/>
  <c r="AM317" i="3"/>
  <c r="BI317" i="3" s="1"/>
  <c r="BW341" i="3"/>
  <c r="BY341" i="3" s="1"/>
  <c r="CO341" i="3"/>
  <c r="BV365" i="3"/>
  <c r="BU365" i="3"/>
  <c r="BL389" i="3"/>
  <c r="BN389" i="3" s="1"/>
  <c r="BP389" i="3"/>
  <c r="BT389" i="3" s="1"/>
  <c r="CS413" i="3"/>
  <c r="AR413" i="3"/>
  <c r="AS413" i="3" s="1"/>
  <c r="BK413" i="3"/>
  <c r="BF413" i="3"/>
  <c r="CT413" i="3"/>
  <c r="BH413" i="3"/>
  <c r="AJ437" i="3"/>
  <c r="AK437" i="3"/>
  <c r="BG437" i="3"/>
  <c r="AL437" i="3"/>
  <c r="CB461" i="3"/>
  <c r="AI461" i="3"/>
  <c r="BQ461" i="3"/>
  <c r="CM316" i="3"/>
  <c r="BZ316" i="3"/>
  <c r="CK316" i="3"/>
  <c r="CL316" i="3"/>
  <c r="CJ316" i="3"/>
  <c r="AN316" i="3"/>
  <c r="BJ316" i="3" s="1"/>
  <c r="CA316" i="3"/>
  <c r="AM316" i="3"/>
  <c r="BI316" i="3" s="1"/>
  <c r="BW340" i="3"/>
  <c r="BY340" i="3" s="1"/>
  <c r="CO340" i="3"/>
  <c r="BO364" i="3"/>
  <c r="BS364" i="3"/>
  <c r="BV364" i="3"/>
  <c r="BU364" i="3"/>
  <c r="BL388" i="3"/>
  <c r="BN388" i="3" s="1"/>
  <c r="BP388" i="3"/>
  <c r="BT388" i="3" s="1"/>
  <c r="CB460" i="3"/>
  <c r="AI460" i="3"/>
  <c r="BQ460" i="3"/>
  <c r="AK436" i="3"/>
  <c r="AJ436" i="3"/>
  <c r="BG436" i="3"/>
  <c r="AL436" i="3"/>
  <c r="CM315" i="3"/>
  <c r="BZ315" i="3"/>
  <c r="CK315" i="3"/>
  <c r="CL315" i="3"/>
  <c r="CJ315" i="3"/>
  <c r="AN315" i="3"/>
  <c r="BJ315" i="3" s="1"/>
  <c r="CA315" i="3"/>
  <c r="AM315" i="3"/>
  <c r="BI315" i="3" s="1"/>
  <c r="BW339" i="3"/>
  <c r="BY339" i="3" s="1"/>
  <c r="CO339" i="3"/>
  <c r="BO363" i="3"/>
  <c r="BS363" i="3"/>
  <c r="BV363" i="3"/>
  <c r="BU363" i="3"/>
  <c r="BL387" i="3"/>
  <c r="BN387" i="3" s="1"/>
  <c r="BP387" i="3"/>
  <c r="BT387" i="3" s="1"/>
  <c r="BF411" i="3"/>
  <c r="CS411" i="3"/>
  <c r="AR411" i="3"/>
  <c r="AS411" i="3" s="1"/>
  <c r="BK411" i="3"/>
  <c r="CT411" i="3"/>
  <c r="BH411" i="3"/>
  <c r="CB459" i="3"/>
  <c r="AI459" i="3"/>
  <c r="BQ459" i="3"/>
  <c r="AJ435" i="3"/>
  <c r="BG435" i="3"/>
  <c r="AK435" i="3"/>
  <c r="AL435" i="3"/>
  <c r="CM314" i="3"/>
  <c r="BZ314" i="3"/>
  <c r="CK314" i="3"/>
  <c r="CL314" i="3"/>
  <c r="CJ314" i="3"/>
  <c r="AN314" i="3"/>
  <c r="BJ314" i="3" s="1"/>
  <c r="CA314" i="3"/>
  <c r="AM314" i="3"/>
  <c r="BI314" i="3" s="1"/>
  <c r="BW338" i="3"/>
  <c r="BY338" i="3" s="1"/>
  <c r="CO338" i="3"/>
  <c r="BV362" i="3"/>
  <c r="BU362" i="3"/>
  <c r="BL386" i="3"/>
  <c r="BN386" i="3" s="1"/>
  <c r="BP386" i="3"/>
  <c r="BT386" i="3" s="1"/>
  <c r="AK434" i="3"/>
  <c r="AJ434" i="3"/>
  <c r="BG434" i="3"/>
  <c r="AL434" i="3"/>
  <c r="CB458" i="3"/>
  <c r="AI458" i="3"/>
  <c r="BQ458" i="3"/>
  <c r="CM313" i="3"/>
  <c r="BZ313" i="3"/>
  <c r="CK313" i="3"/>
  <c r="CL313" i="3"/>
  <c r="CJ313" i="3"/>
  <c r="AN313" i="3"/>
  <c r="BJ313" i="3" s="1"/>
  <c r="CA313" i="3"/>
  <c r="AM313" i="3"/>
  <c r="BI313" i="3" s="1"/>
  <c r="BW337" i="3"/>
  <c r="BY337" i="3" s="1"/>
  <c r="CO337" i="3"/>
  <c r="BO361" i="3"/>
  <c r="BS361" i="3"/>
  <c r="BV361" i="3"/>
  <c r="BU361" i="3"/>
  <c r="BL385" i="3"/>
  <c r="BN385" i="3" s="1"/>
  <c r="BP385" i="3"/>
  <c r="BT385" i="3" s="1"/>
  <c r="BF409" i="3"/>
  <c r="CS409" i="3"/>
  <c r="AR409" i="3"/>
  <c r="AS409" i="3" s="1"/>
  <c r="BK409" i="3"/>
  <c r="CT409" i="3"/>
  <c r="BH409" i="3"/>
  <c r="CB457" i="3"/>
  <c r="AI457" i="3"/>
  <c r="BQ457" i="3"/>
  <c r="CK312" i="3"/>
  <c r="CM312" i="3"/>
  <c r="BZ312" i="3"/>
  <c r="CL312" i="3"/>
  <c r="CJ312" i="3"/>
  <c r="AN312" i="3"/>
  <c r="BJ312" i="3" s="1"/>
  <c r="CA312" i="3"/>
  <c r="AM312" i="3"/>
  <c r="BI312" i="3" s="1"/>
  <c r="BW336" i="3"/>
  <c r="BY336" i="3" s="1"/>
  <c r="CO336" i="3"/>
  <c r="BO360" i="3"/>
  <c r="BS360" i="3"/>
  <c r="BV360" i="3"/>
  <c r="BU360" i="3"/>
  <c r="BL384" i="3"/>
  <c r="BN384" i="3" s="1"/>
  <c r="BP384" i="3"/>
  <c r="BT384" i="3" s="1"/>
  <c r="BF408" i="3"/>
  <c r="CS408" i="3"/>
  <c r="AR408" i="3"/>
  <c r="AS408" i="3" s="1"/>
  <c r="BK408" i="3"/>
  <c r="CT408" i="3"/>
  <c r="BH408" i="3"/>
  <c r="AK432" i="3"/>
  <c r="AJ432" i="3"/>
  <c r="BG432" i="3"/>
  <c r="AL432" i="3"/>
  <c r="BI114" i="3"/>
  <c r="BJ114" i="3"/>
  <c r="AM115" i="3"/>
  <c r="CA115" i="3"/>
  <c r="AN115" i="3"/>
  <c r="CJ115" i="3"/>
  <c r="CL115" i="3"/>
  <c r="CK115" i="3"/>
  <c r="BZ115" i="3"/>
  <c r="CM115" i="3"/>
  <c r="BY116" i="3"/>
  <c r="CO116" i="3"/>
  <c r="CB116" i="3"/>
  <c r="AO45" i="13"/>
  <c r="AA45" i="13"/>
  <c r="N45" i="13"/>
  <c r="AC45" i="13" s="1"/>
  <c r="CL165" i="3"/>
  <c r="BZ165" i="3"/>
  <c r="M22" i="19" s="1"/>
  <c r="G23" i="13" s="1"/>
  <c r="X23" i="13" s="1"/>
  <c r="CM165" i="3"/>
  <c r="CK165" i="3"/>
  <c r="CJ165" i="3"/>
  <c r="AN165" i="3"/>
  <c r="AC22" i="19"/>
  <c r="R23" i="13" s="1"/>
  <c r="AK23" i="13" s="1"/>
  <c r="AB22" i="19"/>
  <c r="Q23" i="13" s="1"/>
  <c r="AJ23" i="13" s="1"/>
  <c r="Y22" i="19"/>
  <c r="N23" i="13" s="1"/>
  <c r="AG23" i="13" s="1"/>
  <c r="T22" i="19"/>
  <c r="G49" i="13" s="1"/>
  <c r="AF49" i="13" s="1"/>
  <c r="R22" i="19"/>
  <c r="K23" i="13" s="1"/>
  <c r="AD23" i="13" s="1"/>
  <c r="P22" i="19"/>
  <c r="F23" i="13" s="1"/>
  <c r="W22" i="19"/>
  <c r="AM22" i="19"/>
  <c r="P49" i="13" s="1"/>
  <c r="AE49" i="13" s="1"/>
  <c r="AK49" i="13" s="1"/>
  <c r="AE22" i="19"/>
  <c r="T23" i="13" s="1"/>
  <c r="AN23" i="13" s="1"/>
  <c r="S22" i="19"/>
  <c r="I23" i="13" s="1"/>
  <c r="AB23" i="13" s="1"/>
  <c r="AD22" i="19"/>
  <c r="U23" i="13" s="1"/>
  <c r="AO23" i="13" s="1"/>
  <c r="Z22" i="19"/>
  <c r="O23" i="13" s="1"/>
  <c r="AH23" i="13" s="1"/>
  <c r="AA22" i="19"/>
  <c r="P23" i="13" s="1"/>
  <c r="AI23" i="13" s="1"/>
  <c r="AJ22" i="19"/>
  <c r="M49" i="13" s="1"/>
  <c r="AB49" i="13" s="1"/>
  <c r="AP49" i="13" s="1"/>
  <c r="Q22" i="19"/>
  <c r="J23" i="13" s="1"/>
  <c r="AC23" i="13" s="1"/>
  <c r="X22" i="19"/>
  <c r="M23" i="13" s="1"/>
  <c r="AF23" i="13" s="1"/>
  <c r="CA165" i="3"/>
  <c r="N22" i="19" s="1"/>
  <c r="H23" i="13" s="1"/>
  <c r="Y23" i="13" s="1"/>
  <c r="AM165" i="3"/>
  <c r="BI165" i="3" s="1"/>
  <c r="BJ261" i="3"/>
  <c r="AK26" i="19" s="1"/>
  <c r="N53" i="13" s="1"/>
  <c r="AC53" i="13" s="1"/>
  <c r="U26" i="19"/>
  <c r="H53" i="13" s="1"/>
  <c r="AG53" i="13" s="1"/>
  <c r="F53" i="13"/>
  <c r="AA27" i="13"/>
  <c r="AA53" i="13" s="1"/>
  <c r="AN26" i="19"/>
  <c r="Q53" i="13" s="1"/>
  <c r="AH53" i="13" s="1"/>
  <c r="AO53" i="13" s="1"/>
  <c r="L27" i="13"/>
  <c r="AE27" i="13" s="1"/>
  <c r="CL311" i="3"/>
  <c r="CK311" i="3"/>
  <c r="CM311" i="3"/>
  <c r="BZ311" i="3"/>
  <c r="CJ311" i="3"/>
  <c r="AN311" i="3"/>
  <c r="BJ311" i="3" s="1"/>
  <c r="CA311" i="3"/>
  <c r="AM311" i="3"/>
  <c r="BI311" i="3" s="1"/>
  <c r="BZ310" i="3"/>
  <c r="CL310" i="3"/>
  <c r="CK310" i="3"/>
  <c r="CM310" i="3"/>
  <c r="CJ310" i="3"/>
  <c r="AN310" i="3"/>
  <c r="BJ310" i="3" s="1"/>
  <c r="CA310" i="3"/>
  <c r="AM310" i="3"/>
  <c r="BI310" i="3" s="1"/>
  <c r="BW335" i="3"/>
  <c r="BY335" i="3" s="1"/>
  <c r="CO335" i="3"/>
  <c r="BW334" i="3"/>
  <c r="BY334" i="3" s="1"/>
  <c r="CO334" i="3"/>
  <c r="BW309" i="3"/>
  <c r="BY309" i="3" s="1"/>
  <c r="CO309" i="3"/>
  <c r="CL291" i="3"/>
  <c r="BZ291" i="3"/>
  <c r="CM291" i="3"/>
  <c r="CK291" i="3"/>
  <c r="CJ291" i="3"/>
  <c r="AN291" i="3"/>
  <c r="BJ291" i="3" s="1"/>
  <c r="AM291" i="3"/>
  <c r="BI291" i="3" s="1"/>
  <c r="CA291" i="3"/>
  <c r="BV358" i="3"/>
  <c r="BU358" i="3"/>
  <c r="BO358" i="3"/>
  <c r="BS358" i="3"/>
  <c r="BV333" i="3"/>
  <c r="BU333" i="3"/>
  <c r="BO333" i="3"/>
  <c r="BS333" i="3"/>
  <c r="BW332" i="3"/>
  <c r="BY332" i="3" s="1"/>
  <c r="CO332" i="3"/>
  <c r="BO347" i="3"/>
  <c r="BS347" i="3"/>
  <c r="BV347" i="3"/>
  <c r="BU347" i="3"/>
  <c r="AK430" i="3"/>
  <c r="AJ430" i="3"/>
  <c r="BG430" i="3"/>
  <c r="AL430" i="3"/>
  <c r="AK405" i="3"/>
  <c r="AJ405" i="3"/>
  <c r="BG405" i="3"/>
  <c r="AL405" i="3"/>
  <c r="BF357" i="3"/>
  <c r="CS357" i="3"/>
  <c r="AR357" i="3"/>
  <c r="AS357" i="3" s="1"/>
  <c r="BK357" i="3"/>
  <c r="CT357" i="3"/>
  <c r="BH357" i="3"/>
  <c r="CB455" i="3"/>
  <c r="AI455" i="3"/>
  <c r="BQ455" i="3"/>
  <c r="CB454" i="3"/>
  <c r="AI454" i="3"/>
  <c r="BQ454" i="3"/>
  <c r="CB429" i="3"/>
  <c r="BQ429" i="3"/>
  <c r="AI429" i="3"/>
  <c r="CB433" i="3"/>
  <c r="BQ433" i="3"/>
  <c r="AI433" i="3"/>
  <c r="BZ237" i="3"/>
  <c r="M25" i="19" s="1"/>
  <c r="G26" i="13" s="1"/>
  <c r="X26" i="13" s="1"/>
  <c r="CL237" i="3"/>
  <c r="CK237" i="3"/>
  <c r="CM237" i="3"/>
  <c r="CJ237" i="3"/>
  <c r="AN237" i="3"/>
  <c r="AJ25" i="19"/>
  <c r="M52" i="13" s="1"/>
  <c r="AB52" i="13" s="1"/>
  <c r="AP52" i="13" s="1"/>
  <c r="X25" i="19"/>
  <c r="M26" i="13" s="1"/>
  <c r="AF26" i="13" s="1"/>
  <c r="S25" i="19"/>
  <c r="I26" i="13" s="1"/>
  <c r="AB26" i="13" s="1"/>
  <c r="T25" i="19"/>
  <c r="G52" i="13" s="1"/>
  <c r="AF52" i="13" s="1"/>
  <c r="Z25" i="19"/>
  <c r="O26" i="13" s="1"/>
  <c r="AH26" i="13" s="1"/>
  <c r="Q25" i="19"/>
  <c r="J26" i="13" s="1"/>
  <c r="AC26" i="13" s="1"/>
  <c r="Y25" i="19"/>
  <c r="N26" i="13" s="1"/>
  <c r="AG26" i="13" s="1"/>
  <c r="W25" i="19"/>
  <c r="AC25" i="19"/>
  <c r="R26" i="13" s="1"/>
  <c r="AK26" i="13" s="1"/>
  <c r="AB25" i="19"/>
  <c r="Q26" i="13" s="1"/>
  <c r="AJ26" i="13" s="1"/>
  <c r="AA25" i="19"/>
  <c r="P26" i="13" s="1"/>
  <c r="AI26" i="13" s="1"/>
  <c r="AE25" i="19"/>
  <c r="T26" i="13" s="1"/>
  <c r="AN26" i="13" s="1"/>
  <c r="R25" i="19"/>
  <c r="K26" i="13" s="1"/>
  <c r="AD26" i="13" s="1"/>
  <c r="AM25" i="19"/>
  <c r="P52" i="13" s="1"/>
  <c r="AE52" i="13" s="1"/>
  <c r="AK52" i="13" s="1"/>
  <c r="P25" i="19"/>
  <c r="F26" i="13" s="1"/>
  <c r="AD25" i="19"/>
  <c r="U26" i="13" s="1"/>
  <c r="AO26" i="13" s="1"/>
  <c r="CA237" i="3"/>
  <c r="N25" i="19" s="1"/>
  <c r="H26" i="13" s="1"/>
  <c r="Y26" i="13" s="1"/>
  <c r="AM237" i="3"/>
  <c r="BI237" i="3" s="1"/>
  <c r="BR477" i="3"/>
  <c r="AA477" i="3"/>
  <c r="AE477" i="3" s="1"/>
  <c r="AF464" i="3"/>
  <c r="AG464" i="3" s="1"/>
  <c r="AH464" i="3" s="1"/>
  <c r="AY19" i="13"/>
  <c r="BG17" i="13"/>
  <c r="BP16" i="13"/>
  <c r="AY25" i="13"/>
  <c r="AY26" i="13" s="1"/>
  <c r="K21" i="24"/>
  <c r="K23" i="24" s="1"/>
  <c r="K26" i="33"/>
  <c r="K28" i="33" s="1"/>
  <c r="AA490" i="3"/>
  <c r="AE490" i="3" s="1"/>
  <c r="BR490" i="3"/>
  <c r="CR490" i="3"/>
  <c r="AA483" i="3"/>
  <c r="AE483" i="3" s="1"/>
  <c r="BR483" i="3"/>
  <c r="CR483" i="3"/>
  <c r="Y504" i="3"/>
  <c r="U504" i="3"/>
  <c r="BY285" i="3"/>
  <c r="R62" i="13"/>
  <c r="AI62" i="13" s="1"/>
  <c r="AI63" i="13" s="1"/>
  <c r="AO38" i="19"/>
  <c r="AO41" i="19" s="1"/>
  <c r="CS426" i="3" l="1"/>
  <c r="AR426" i="3"/>
  <c r="AS426" i="3" s="1"/>
  <c r="BK426" i="3"/>
  <c r="BL426" i="3" s="1"/>
  <c r="CT426" i="3"/>
  <c r="BH426" i="3"/>
  <c r="BP426" i="3" s="1"/>
  <c r="BT426" i="3" s="1"/>
  <c r="CS421" i="3"/>
  <c r="BK421" i="3"/>
  <c r="BL421" i="3" s="1"/>
  <c r="AR421" i="3"/>
  <c r="AS421" i="3" s="1"/>
  <c r="BH421" i="3"/>
  <c r="BP421" i="3" s="1"/>
  <c r="BT421" i="3" s="1"/>
  <c r="CT421" i="3"/>
  <c r="BO365" i="3"/>
  <c r="BS365" i="3"/>
  <c r="BS367" i="3"/>
  <c r="BO367" i="3"/>
  <c r="BQ463" i="3"/>
  <c r="CB463" i="3"/>
  <c r="AI463" i="3"/>
  <c r="AK452" i="3"/>
  <c r="BF452" i="3" s="1"/>
  <c r="AJ452" i="3"/>
  <c r="BG452" i="3"/>
  <c r="AL452" i="3"/>
  <c r="AK450" i="3"/>
  <c r="BF450" i="3" s="1"/>
  <c r="AJ450" i="3"/>
  <c r="BG450" i="3"/>
  <c r="AL450" i="3"/>
  <c r="BN382" i="3"/>
  <c r="BO362" i="3"/>
  <c r="BS362" i="3"/>
  <c r="AF499" i="3"/>
  <c r="AG499" i="3" s="1"/>
  <c r="AH499" i="3" s="1"/>
  <c r="BK407" i="3"/>
  <c r="BL407" i="3" s="1"/>
  <c r="CS407" i="3"/>
  <c r="AR407" i="3"/>
  <c r="AS407" i="3" s="1"/>
  <c r="BH407" i="3"/>
  <c r="BP407" i="3" s="1"/>
  <c r="BT407" i="3" s="1"/>
  <c r="CT407" i="3"/>
  <c r="BK406" i="3"/>
  <c r="BL406" i="3" s="1"/>
  <c r="CS406" i="3"/>
  <c r="AR406" i="3"/>
  <c r="AS406" i="3" s="1"/>
  <c r="BH406" i="3"/>
  <c r="BP406" i="3" s="1"/>
  <c r="BT406" i="3" s="1"/>
  <c r="CT406" i="3"/>
  <c r="CS381" i="3"/>
  <c r="BK381" i="3"/>
  <c r="BL381" i="3" s="1"/>
  <c r="AR381" i="3"/>
  <c r="AS381" i="3" s="1"/>
  <c r="CT381" i="3"/>
  <c r="BH381" i="3"/>
  <c r="BP381" i="3" s="1"/>
  <c r="BT381" i="3" s="1"/>
  <c r="AR410" i="3"/>
  <c r="AS410" i="3" s="1"/>
  <c r="BK410" i="3"/>
  <c r="BL410" i="3" s="1"/>
  <c r="CS410" i="3"/>
  <c r="CT410" i="3"/>
  <c r="BH410" i="3"/>
  <c r="BP410" i="3" s="1"/>
  <c r="BT410" i="3" s="1"/>
  <c r="AF488" i="3"/>
  <c r="AG488" i="3" s="1"/>
  <c r="AH488" i="3" s="1"/>
  <c r="BN394" i="3"/>
  <c r="BN403" i="3"/>
  <c r="BN400" i="3"/>
  <c r="AF491" i="3"/>
  <c r="AG491" i="3" s="1"/>
  <c r="AH491" i="3" s="1"/>
  <c r="CT412" i="3"/>
  <c r="BH412" i="3"/>
  <c r="BP412" i="3" s="1"/>
  <c r="BT412" i="3" s="1"/>
  <c r="CS412" i="3"/>
  <c r="AR412" i="3"/>
  <c r="AS412" i="3" s="1"/>
  <c r="BK412" i="3"/>
  <c r="BL412" i="3" s="1"/>
  <c r="AK451" i="3"/>
  <c r="BF451" i="3" s="1"/>
  <c r="AJ451" i="3"/>
  <c r="BG451" i="3"/>
  <c r="AL451" i="3"/>
  <c r="AK431" i="3"/>
  <c r="BF431" i="3" s="1"/>
  <c r="BG431" i="3"/>
  <c r="AJ431" i="3"/>
  <c r="AL431" i="3"/>
  <c r="AI466" i="3"/>
  <c r="CB466" i="3"/>
  <c r="BQ466" i="3"/>
  <c r="BQ470" i="3"/>
  <c r="AI470" i="3"/>
  <c r="CB470" i="3"/>
  <c r="AK440" i="3"/>
  <c r="BF440" i="3" s="1"/>
  <c r="BG440" i="3"/>
  <c r="AJ440" i="3"/>
  <c r="AL440" i="3"/>
  <c r="AF486" i="3"/>
  <c r="AG486" i="3" s="1"/>
  <c r="AH486" i="3" s="1"/>
  <c r="AF484" i="3"/>
  <c r="AG484" i="3" s="1"/>
  <c r="AH484" i="3" s="1"/>
  <c r="CB462" i="3"/>
  <c r="AI462" i="3"/>
  <c r="BQ462" i="3"/>
  <c r="CB456" i="3"/>
  <c r="AI456" i="3"/>
  <c r="BQ456" i="3"/>
  <c r="AF481" i="3"/>
  <c r="AG481" i="3" s="1"/>
  <c r="AH481" i="3" s="1"/>
  <c r="CM359" i="3"/>
  <c r="BZ359" i="3"/>
  <c r="CK359" i="3"/>
  <c r="CL359" i="3"/>
  <c r="CJ359" i="3"/>
  <c r="AN359" i="3"/>
  <c r="BJ359" i="3" s="1"/>
  <c r="CA359" i="3"/>
  <c r="AM359" i="3"/>
  <c r="BI359" i="3" s="1"/>
  <c r="BW383" i="3"/>
  <c r="BY383" i="3" s="1"/>
  <c r="CO383" i="3"/>
  <c r="CM356" i="3"/>
  <c r="BZ356" i="3"/>
  <c r="CK356" i="3"/>
  <c r="CL356" i="3"/>
  <c r="CJ356" i="3"/>
  <c r="AN356" i="3"/>
  <c r="BJ356" i="3" s="1"/>
  <c r="CA356" i="3"/>
  <c r="AM356" i="3"/>
  <c r="BI356" i="3" s="1"/>
  <c r="BW380" i="3"/>
  <c r="BY380" i="3" s="1"/>
  <c r="CO380" i="3"/>
  <c r="BO404" i="3"/>
  <c r="BS404" i="3"/>
  <c r="BV404" i="3"/>
  <c r="BU404" i="3"/>
  <c r="BL428" i="3"/>
  <c r="BN428" i="3" s="1"/>
  <c r="BP428" i="3"/>
  <c r="BT428" i="3" s="1"/>
  <c r="AK476" i="3"/>
  <c r="AJ476" i="3"/>
  <c r="BG476" i="3"/>
  <c r="AL476" i="3"/>
  <c r="AC500" i="3"/>
  <c r="Z504" i="3"/>
  <c r="BZ355" i="3"/>
  <c r="CK355" i="3"/>
  <c r="CM355" i="3"/>
  <c r="CL355" i="3"/>
  <c r="CJ355" i="3"/>
  <c r="AN355" i="3"/>
  <c r="BJ355" i="3" s="1"/>
  <c r="CA355" i="3"/>
  <c r="AM355" i="3"/>
  <c r="BI355" i="3" s="1"/>
  <c r="BW379" i="3"/>
  <c r="BY379" i="3" s="1"/>
  <c r="CO379" i="3"/>
  <c r="BV403" i="3"/>
  <c r="BU403" i="3"/>
  <c r="BL427" i="3"/>
  <c r="BN427" i="3" s="1"/>
  <c r="BP427" i="3"/>
  <c r="BT427" i="3" s="1"/>
  <c r="AK475" i="3"/>
  <c r="AJ475" i="3"/>
  <c r="BG475" i="3"/>
  <c r="AL475" i="3"/>
  <c r="CM354" i="3"/>
  <c r="BZ354" i="3"/>
  <c r="CK354" i="3"/>
  <c r="CL354" i="3"/>
  <c r="CJ354" i="3"/>
  <c r="AN354" i="3"/>
  <c r="BJ354" i="3" s="1"/>
  <c r="CA354" i="3"/>
  <c r="AM354" i="3"/>
  <c r="BI354" i="3" s="1"/>
  <c r="BW378" i="3"/>
  <c r="BY378" i="3" s="1"/>
  <c r="CO378" i="3"/>
  <c r="BO402" i="3"/>
  <c r="BS402" i="3"/>
  <c r="BV402" i="3"/>
  <c r="BU402" i="3"/>
  <c r="AK474" i="3"/>
  <c r="AJ474" i="3"/>
  <c r="BG474" i="3"/>
  <c r="AL474" i="3"/>
  <c r="CB498" i="3"/>
  <c r="AI498" i="3"/>
  <c r="BQ498" i="3"/>
  <c r="CM353" i="3"/>
  <c r="BZ353" i="3"/>
  <c r="CK353" i="3"/>
  <c r="CL353" i="3"/>
  <c r="CJ353" i="3"/>
  <c r="AN353" i="3"/>
  <c r="BJ353" i="3" s="1"/>
  <c r="CA353" i="3"/>
  <c r="AM353" i="3"/>
  <c r="BI353" i="3" s="1"/>
  <c r="BW377" i="3"/>
  <c r="BY377" i="3" s="1"/>
  <c r="CO377" i="3"/>
  <c r="BO401" i="3"/>
  <c r="BS401" i="3"/>
  <c r="BV401" i="3"/>
  <c r="BU401" i="3"/>
  <c r="BL425" i="3"/>
  <c r="BN425" i="3" s="1"/>
  <c r="BP425" i="3"/>
  <c r="BT425" i="3" s="1"/>
  <c r="CS449" i="3"/>
  <c r="AR449" i="3"/>
  <c r="AS449" i="3" s="1"/>
  <c r="BK449" i="3"/>
  <c r="BF449" i="3"/>
  <c r="CT449" i="3"/>
  <c r="BH449" i="3"/>
  <c r="BG473" i="3"/>
  <c r="AK473" i="3"/>
  <c r="AJ473" i="3"/>
  <c r="AL473" i="3"/>
  <c r="CB497" i="3"/>
  <c r="AI497" i="3"/>
  <c r="BQ497" i="3"/>
  <c r="CM352" i="3"/>
  <c r="BZ352" i="3"/>
  <c r="CK352" i="3"/>
  <c r="CL352" i="3"/>
  <c r="CJ352" i="3"/>
  <c r="AN352" i="3"/>
  <c r="BJ352" i="3" s="1"/>
  <c r="CA352" i="3"/>
  <c r="AM352" i="3"/>
  <c r="BI352" i="3" s="1"/>
  <c r="BW376" i="3"/>
  <c r="BY376" i="3" s="1"/>
  <c r="CO376" i="3"/>
  <c r="BV400" i="3"/>
  <c r="BU400" i="3"/>
  <c r="BL424" i="3"/>
  <c r="BN424" i="3" s="1"/>
  <c r="BP424" i="3"/>
  <c r="BT424" i="3" s="1"/>
  <c r="BF448" i="3"/>
  <c r="CS448" i="3"/>
  <c r="AR448" i="3"/>
  <c r="AS448" i="3" s="1"/>
  <c r="BK448" i="3"/>
  <c r="CT448" i="3"/>
  <c r="BH448" i="3"/>
  <c r="AK472" i="3"/>
  <c r="AJ472" i="3"/>
  <c r="BG472" i="3"/>
  <c r="AL472" i="3"/>
  <c r="CB496" i="3"/>
  <c r="AI496" i="3"/>
  <c r="BQ496" i="3"/>
  <c r="CM351" i="3"/>
  <c r="BZ351" i="3"/>
  <c r="CK351" i="3"/>
  <c r="CL351" i="3"/>
  <c r="CJ351" i="3"/>
  <c r="AN351" i="3"/>
  <c r="BJ351" i="3" s="1"/>
  <c r="CA351" i="3"/>
  <c r="AM351" i="3"/>
  <c r="BI351" i="3" s="1"/>
  <c r="BW375" i="3"/>
  <c r="BY375" i="3" s="1"/>
  <c r="CO375" i="3"/>
  <c r="BO399" i="3"/>
  <c r="BS399" i="3"/>
  <c r="BV399" i="3"/>
  <c r="BU399" i="3"/>
  <c r="BL423" i="3"/>
  <c r="BN423" i="3" s="1"/>
  <c r="BP423" i="3"/>
  <c r="BT423" i="3" s="1"/>
  <c r="CS447" i="3"/>
  <c r="AR447" i="3"/>
  <c r="AS447" i="3" s="1"/>
  <c r="BK447" i="3"/>
  <c r="BF447" i="3"/>
  <c r="CT447" i="3"/>
  <c r="BH447" i="3"/>
  <c r="AK471" i="3"/>
  <c r="AJ471" i="3"/>
  <c r="BG471" i="3"/>
  <c r="AL471" i="3"/>
  <c r="CB495" i="3"/>
  <c r="AI495" i="3"/>
  <c r="BQ495" i="3"/>
  <c r="CM350" i="3"/>
  <c r="BZ350" i="3"/>
  <c r="CK350" i="3"/>
  <c r="CL350" i="3"/>
  <c r="CJ350" i="3"/>
  <c r="AN350" i="3"/>
  <c r="BJ350" i="3" s="1"/>
  <c r="CA350" i="3"/>
  <c r="AM350" i="3"/>
  <c r="BI350" i="3" s="1"/>
  <c r="BW374" i="3"/>
  <c r="BY374" i="3" s="1"/>
  <c r="CO374" i="3"/>
  <c r="BO398" i="3"/>
  <c r="BS398" i="3"/>
  <c r="BV398" i="3"/>
  <c r="BU398" i="3"/>
  <c r="BL422" i="3"/>
  <c r="BN422" i="3" s="1"/>
  <c r="BP422" i="3"/>
  <c r="BT422" i="3" s="1"/>
  <c r="BF446" i="3"/>
  <c r="CS446" i="3"/>
  <c r="AR446" i="3"/>
  <c r="AS446" i="3" s="1"/>
  <c r="BK446" i="3"/>
  <c r="CT446" i="3"/>
  <c r="BH446" i="3"/>
  <c r="CB494" i="3"/>
  <c r="AI494" i="3"/>
  <c r="BQ494" i="3"/>
  <c r="CM349" i="3"/>
  <c r="BZ349" i="3"/>
  <c r="CK349" i="3"/>
  <c r="CL349" i="3"/>
  <c r="CJ349" i="3"/>
  <c r="AN349" i="3"/>
  <c r="BJ349" i="3" s="1"/>
  <c r="CA349" i="3"/>
  <c r="AM349" i="3"/>
  <c r="BI349" i="3" s="1"/>
  <c r="BW373" i="3"/>
  <c r="BY373" i="3" s="1"/>
  <c r="CO373" i="3"/>
  <c r="BO397" i="3"/>
  <c r="BS397" i="3"/>
  <c r="BV397" i="3"/>
  <c r="BU397" i="3"/>
  <c r="BF445" i="3"/>
  <c r="CS445" i="3"/>
  <c r="AR445" i="3"/>
  <c r="AS445" i="3" s="1"/>
  <c r="BK445" i="3"/>
  <c r="CT445" i="3"/>
  <c r="BH445" i="3"/>
  <c r="AJ469" i="3"/>
  <c r="BG469" i="3"/>
  <c r="AK469" i="3"/>
  <c r="AL469" i="3"/>
  <c r="CB493" i="3"/>
  <c r="AI493" i="3"/>
  <c r="BQ493" i="3"/>
  <c r="CM348" i="3"/>
  <c r="CL348" i="3"/>
  <c r="BZ348" i="3"/>
  <c r="CK348" i="3"/>
  <c r="CJ348" i="3"/>
  <c r="AN348" i="3"/>
  <c r="BJ348" i="3" s="1"/>
  <c r="CA348" i="3"/>
  <c r="AM348" i="3"/>
  <c r="BI348" i="3" s="1"/>
  <c r="BW372" i="3"/>
  <c r="BY372" i="3" s="1"/>
  <c r="CO372" i="3"/>
  <c r="BO396" i="3"/>
  <c r="BS396" i="3"/>
  <c r="BV396" i="3"/>
  <c r="BU396" i="3"/>
  <c r="BL420" i="3"/>
  <c r="BN420" i="3" s="1"/>
  <c r="BP420" i="3"/>
  <c r="BT420" i="3" s="1"/>
  <c r="BF444" i="3"/>
  <c r="CS444" i="3"/>
  <c r="AR444" i="3"/>
  <c r="AS444" i="3" s="1"/>
  <c r="BK444" i="3"/>
  <c r="CT444" i="3"/>
  <c r="BH444" i="3"/>
  <c r="AK468" i="3"/>
  <c r="AJ468" i="3"/>
  <c r="BG468" i="3"/>
  <c r="AL468" i="3"/>
  <c r="CB492" i="3"/>
  <c r="AI492" i="3"/>
  <c r="BQ492" i="3"/>
  <c r="BW371" i="3"/>
  <c r="BY371" i="3" s="1"/>
  <c r="CO371" i="3"/>
  <c r="BO395" i="3"/>
  <c r="BS395" i="3"/>
  <c r="BV395" i="3"/>
  <c r="BU395" i="3"/>
  <c r="BL419" i="3"/>
  <c r="BN419" i="3" s="1"/>
  <c r="BP419" i="3"/>
  <c r="BT419" i="3" s="1"/>
  <c r="BF443" i="3"/>
  <c r="CS443" i="3"/>
  <c r="AR443" i="3"/>
  <c r="AS443" i="3" s="1"/>
  <c r="BK443" i="3"/>
  <c r="CT443" i="3"/>
  <c r="BH443" i="3"/>
  <c r="AJ467" i="3"/>
  <c r="AK467" i="3"/>
  <c r="BG467" i="3"/>
  <c r="AL467" i="3"/>
  <c r="CM346" i="3"/>
  <c r="BZ346" i="3"/>
  <c r="CK346" i="3"/>
  <c r="CL346" i="3"/>
  <c r="CJ346" i="3"/>
  <c r="AN346" i="3"/>
  <c r="BJ346" i="3" s="1"/>
  <c r="CA346" i="3"/>
  <c r="AM346" i="3"/>
  <c r="BI346" i="3" s="1"/>
  <c r="BW370" i="3"/>
  <c r="BY370" i="3" s="1"/>
  <c r="CO370" i="3"/>
  <c r="BV394" i="3"/>
  <c r="BU394" i="3"/>
  <c r="BL418" i="3"/>
  <c r="BN418" i="3" s="1"/>
  <c r="BP418" i="3"/>
  <c r="BT418" i="3" s="1"/>
  <c r="BF442" i="3"/>
  <c r="CS442" i="3"/>
  <c r="AR442" i="3"/>
  <c r="AS442" i="3" s="1"/>
  <c r="BK442" i="3"/>
  <c r="CT442" i="3"/>
  <c r="BH442" i="3"/>
  <c r="CM345" i="3"/>
  <c r="BZ345" i="3"/>
  <c r="CK345" i="3"/>
  <c r="CL345" i="3"/>
  <c r="CJ345" i="3"/>
  <c r="AN345" i="3"/>
  <c r="BJ345" i="3" s="1"/>
  <c r="CA345" i="3"/>
  <c r="AM345" i="3"/>
  <c r="BI345" i="3" s="1"/>
  <c r="BW369" i="3"/>
  <c r="BY369" i="3" s="1"/>
  <c r="CO369" i="3"/>
  <c r="BO393" i="3"/>
  <c r="BS393" i="3"/>
  <c r="BV393" i="3"/>
  <c r="BU393" i="3"/>
  <c r="BL417" i="3"/>
  <c r="BN417" i="3" s="1"/>
  <c r="BP417" i="3"/>
  <c r="BT417" i="3" s="1"/>
  <c r="BF441" i="3"/>
  <c r="CS441" i="3"/>
  <c r="AR441" i="3"/>
  <c r="AS441" i="3" s="1"/>
  <c r="BK441" i="3"/>
  <c r="CT441" i="3"/>
  <c r="BH441" i="3"/>
  <c r="AK465" i="3"/>
  <c r="AJ465" i="3"/>
  <c r="BG465" i="3"/>
  <c r="AL465" i="3"/>
  <c r="CB489" i="3"/>
  <c r="AI489" i="3"/>
  <c r="BQ489" i="3"/>
  <c r="CM344" i="3"/>
  <c r="BZ344" i="3"/>
  <c r="CK344" i="3"/>
  <c r="CL344" i="3"/>
  <c r="CJ344" i="3"/>
  <c r="AN344" i="3"/>
  <c r="BJ344" i="3" s="1"/>
  <c r="CA344" i="3"/>
  <c r="AM344" i="3"/>
  <c r="BI344" i="3" s="1"/>
  <c r="BW368" i="3"/>
  <c r="BY368" i="3" s="1"/>
  <c r="CO368" i="3"/>
  <c r="BO392" i="3"/>
  <c r="BS392" i="3"/>
  <c r="BV392" i="3"/>
  <c r="BU392" i="3"/>
  <c r="BL416" i="3"/>
  <c r="BN416" i="3" s="1"/>
  <c r="BP416" i="3"/>
  <c r="BT416" i="3" s="1"/>
  <c r="CK343" i="3"/>
  <c r="CM343" i="3"/>
  <c r="BZ343" i="3"/>
  <c r="CL343" i="3"/>
  <c r="CJ343" i="3"/>
  <c r="AN343" i="3"/>
  <c r="BJ343" i="3" s="1"/>
  <c r="CA343" i="3"/>
  <c r="AM343" i="3"/>
  <c r="BI343" i="3" s="1"/>
  <c r="BW367" i="3"/>
  <c r="BY367" i="3" s="1"/>
  <c r="CO367" i="3"/>
  <c r="BO391" i="3"/>
  <c r="BS391" i="3"/>
  <c r="BV391" i="3"/>
  <c r="BU391" i="3"/>
  <c r="BL415" i="3"/>
  <c r="BN415" i="3" s="1"/>
  <c r="BP415" i="3"/>
  <c r="BT415" i="3" s="1"/>
  <c r="CB487" i="3"/>
  <c r="AI487" i="3"/>
  <c r="BQ487" i="3"/>
  <c r="CS439" i="3"/>
  <c r="AR439" i="3"/>
  <c r="AS439" i="3" s="1"/>
  <c r="BK439" i="3"/>
  <c r="BF439" i="3"/>
  <c r="CT439" i="3"/>
  <c r="BH439" i="3"/>
  <c r="CM342" i="3"/>
  <c r="CK342" i="3"/>
  <c r="BZ342" i="3"/>
  <c r="CL342" i="3"/>
  <c r="CJ342" i="3"/>
  <c r="AN342" i="3"/>
  <c r="BJ342" i="3" s="1"/>
  <c r="AM342" i="3"/>
  <c r="BI342" i="3" s="1"/>
  <c r="CA342" i="3"/>
  <c r="BW366" i="3"/>
  <c r="BY366" i="3" s="1"/>
  <c r="CO366" i="3"/>
  <c r="BO390" i="3"/>
  <c r="BS390" i="3"/>
  <c r="BV390" i="3"/>
  <c r="BU390" i="3"/>
  <c r="BL414" i="3"/>
  <c r="BN414" i="3" s="1"/>
  <c r="BP414" i="3"/>
  <c r="BT414" i="3" s="1"/>
  <c r="BF438" i="3"/>
  <c r="AR438" i="3"/>
  <c r="AS438" i="3" s="1"/>
  <c r="CS438" i="3"/>
  <c r="BK438" i="3"/>
  <c r="CT438" i="3"/>
  <c r="BH438" i="3"/>
  <c r="CM341" i="3"/>
  <c r="BZ341" i="3"/>
  <c r="CL341" i="3"/>
  <c r="CK341" i="3"/>
  <c r="CJ341" i="3"/>
  <c r="AN341" i="3"/>
  <c r="BJ341" i="3" s="1"/>
  <c r="AM341" i="3"/>
  <c r="BI341" i="3" s="1"/>
  <c r="CA341" i="3"/>
  <c r="BW365" i="3"/>
  <c r="BY365" i="3" s="1"/>
  <c r="CO365" i="3"/>
  <c r="BO389" i="3"/>
  <c r="BS389" i="3"/>
  <c r="BV389" i="3"/>
  <c r="BU389" i="3"/>
  <c r="BL413" i="3"/>
  <c r="BN413" i="3" s="1"/>
  <c r="BP413" i="3"/>
  <c r="BT413" i="3" s="1"/>
  <c r="CS437" i="3"/>
  <c r="AR437" i="3"/>
  <c r="AS437" i="3" s="1"/>
  <c r="BK437" i="3"/>
  <c r="BF437" i="3"/>
  <c r="CT437" i="3"/>
  <c r="BH437" i="3"/>
  <c r="AK461" i="3"/>
  <c r="AJ461" i="3"/>
  <c r="BG461" i="3"/>
  <c r="AL461" i="3"/>
  <c r="CB485" i="3"/>
  <c r="AI485" i="3"/>
  <c r="BQ485" i="3"/>
  <c r="CK340" i="3"/>
  <c r="CM340" i="3"/>
  <c r="BZ340" i="3"/>
  <c r="CL340" i="3"/>
  <c r="CJ340" i="3"/>
  <c r="AN340" i="3"/>
  <c r="BJ340" i="3" s="1"/>
  <c r="AM340" i="3"/>
  <c r="BI340" i="3" s="1"/>
  <c r="CA340" i="3"/>
  <c r="BW364" i="3"/>
  <c r="BY364" i="3" s="1"/>
  <c r="CO364" i="3"/>
  <c r="BO388" i="3"/>
  <c r="BS388" i="3"/>
  <c r="BV388" i="3"/>
  <c r="BU388" i="3"/>
  <c r="AJ460" i="3"/>
  <c r="BG460" i="3"/>
  <c r="AK460" i="3"/>
  <c r="AL460" i="3"/>
  <c r="BF436" i="3"/>
  <c r="CS436" i="3"/>
  <c r="AR436" i="3"/>
  <c r="AS436" i="3" s="1"/>
  <c r="BK436" i="3"/>
  <c r="CT436" i="3"/>
  <c r="BH436" i="3"/>
  <c r="CM339" i="3"/>
  <c r="BZ339" i="3"/>
  <c r="CK339" i="3"/>
  <c r="CL339" i="3"/>
  <c r="CJ339" i="3"/>
  <c r="AN339" i="3"/>
  <c r="BJ339" i="3" s="1"/>
  <c r="AM339" i="3"/>
  <c r="BI339" i="3" s="1"/>
  <c r="CA339" i="3"/>
  <c r="BW363" i="3"/>
  <c r="BY363" i="3" s="1"/>
  <c r="CO363" i="3"/>
  <c r="BO387" i="3"/>
  <c r="BS387" i="3"/>
  <c r="BV387" i="3"/>
  <c r="BU387" i="3"/>
  <c r="BL411" i="3"/>
  <c r="BN411" i="3" s="1"/>
  <c r="BP411" i="3"/>
  <c r="BT411" i="3" s="1"/>
  <c r="AK459" i="3"/>
  <c r="AJ459" i="3"/>
  <c r="BG459" i="3"/>
  <c r="AL459" i="3"/>
  <c r="CS435" i="3"/>
  <c r="AR435" i="3"/>
  <c r="AS435" i="3" s="1"/>
  <c r="BK435" i="3"/>
  <c r="BF435" i="3"/>
  <c r="CT435" i="3"/>
  <c r="BH435" i="3"/>
  <c r="CM338" i="3"/>
  <c r="CL338" i="3"/>
  <c r="BZ338" i="3"/>
  <c r="CK338" i="3"/>
  <c r="CJ338" i="3"/>
  <c r="AN338" i="3"/>
  <c r="BJ338" i="3" s="1"/>
  <c r="AM338" i="3"/>
  <c r="BI338" i="3" s="1"/>
  <c r="CA338" i="3"/>
  <c r="BW362" i="3"/>
  <c r="BY362" i="3" s="1"/>
  <c r="CO362" i="3"/>
  <c r="BO386" i="3"/>
  <c r="BS386" i="3"/>
  <c r="BV386" i="3"/>
  <c r="BU386" i="3"/>
  <c r="BF434" i="3"/>
  <c r="CS434" i="3"/>
  <c r="AR434" i="3"/>
  <c r="AS434" i="3" s="1"/>
  <c r="BK434" i="3"/>
  <c r="CT434" i="3"/>
  <c r="BH434" i="3"/>
  <c r="AK458" i="3"/>
  <c r="AJ458" i="3"/>
  <c r="BG458" i="3"/>
  <c r="AL458" i="3"/>
  <c r="CB482" i="3"/>
  <c r="AI482" i="3"/>
  <c r="BQ482" i="3"/>
  <c r="CM337" i="3"/>
  <c r="BZ337" i="3"/>
  <c r="CK337" i="3"/>
  <c r="CL337" i="3"/>
  <c r="CJ337" i="3"/>
  <c r="AN337" i="3"/>
  <c r="BJ337" i="3" s="1"/>
  <c r="AM337" i="3"/>
  <c r="BI337" i="3" s="1"/>
  <c r="CA337" i="3"/>
  <c r="BW361" i="3"/>
  <c r="BY361" i="3" s="1"/>
  <c r="CO361" i="3"/>
  <c r="BO385" i="3"/>
  <c r="BS385" i="3"/>
  <c r="BV385" i="3"/>
  <c r="BU385" i="3"/>
  <c r="BL409" i="3"/>
  <c r="BN409" i="3" s="1"/>
  <c r="BP409" i="3"/>
  <c r="BT409" i="3" s="1"/>
  <c r="AK457" i="3"/>
  <c r="AJ457" i="3"/>
  <c r="BG457" i="3"/>
  <c r="AL457" i="3"/>
  <c r="CM336" i="3"/>
  <c r="BZ336" i="3"/>
  <c r="CK336" i="3"/>
  <c r="CL336" i="3"/>
  <c r="CJ336" i="3"/>
  <c r="AN336" i="3"/>
  <c r="BJ336" i="3" s="1"/>
  <c r="AM336" i="3"/>
  <c r="BI336" i="3" s="1"/>
  <c r="CA336" i="3"/>
  <c r="BW360" i="3"/>
  <c r="BY360" i="3" s="1"/>
  <c r="CO360" i="3"/>
  <c r="BO384" i="3"/>
  <c r="BS384" i="3"/>
  <c r="BV384" i="3"/>
  <c r="BU384" i="3"/>
  <c r="BL408" i="3"/>
  <c r="BN408" i="3" s="1"/>
  <c r="BP408" i="3"/>
  <c r="BT408" i="3" s="1"/>
  <c r="BF432" i="3"/>
  <c r="CS432" i="3"/>
  <c r="AR432" i="3"/>
  <c r="AS432" i="3" s="1"/>
  <c r="BK432" i="3"/>
  <c r="CT432" i="3"/>
  <c r="BH432" i="3"/>
  <c r="CB480" i="3"/>
  <c r="AI480" i="3"/>
  <c r="BQ480" i="3"/>
  <c r="AM116" i="3"/>
  <c r="BI116" i="3" s="1"/>
  <c r="CA116" i="3"/>
  <c r="AN116" i="3"/>
  <c r="BJ116" i="3" s="1"/>
  <c r="CJ116" i="3"/>
  <c r="CL116" i="3"/>
  <c r="CK116" i="3"/>
  <c r="BZ116" i="3"/>
  <c r="CM116" i="3"/>
  <c r="BJ165" i="3"/>
  <c r="AK22" i="19" s="1"/>
  <c r="N49" i="13" s="1"/>
  <c r="AC49" i="13" s="1"/>
  <c r="U22" i="19"/>
  <c r="H49" i="13" s="1"/>
  <c r="AG49" i="13" s="1"/>
  <c r="F49" i="13"/>
  <c r="AA23" i="13"/>
  <c r="AA49" i="13" s="1"/>
  <c r="AN22" i="19"/>
  <c r="Q49" i="13" s="1"/>
  <c r="AH49" i="13" s="1"/>
  <c r="AO49" i="13" s="1"/>
  <c r="L23" i="13"/>
  <c r="AE23" i="13" s="1"/>
  <c r="BZ335" i="3"/>
  <c r="CL335" i="3"/>
  <c r="CM335" i="3"/>
  <c r="CK335" i="3"/>
  <c r="CJ335" i="3"/>
  <c r="AN335" i="3"/>
  <c r="BJ335" i="3" s="1"/>
  <c r="CA335" i="3"/>
  <c r="AM335" i="3"/>
  <c r="BI335" i="3" s="1"/>
  <c r="CL334" i="3"/>
  <c r="CM334" i="3"/>
  <c r="BZ334" i="3"/>
  <c r="CK334" i="3"/>
  <c r="CJ334" i="3"/>
  <c r="AN334" i="3"/>
  <c r="BJ334" i="3" s="1"/>
  <c r="CA334" i="3"/>
  <c r="AM334" i="3"/>
  <c r="BI334" i="3" s="1"/>
  <c r="CM309" i="3"/>
  <c r="BZ309" i="3"/>
  <c r="CL309" i="3"/>
  <c r="CK309" i="3"/>
  <c r="CJ309" i="3"/>
  <c r="AN309" i="3"/>
  <c r="P28" i="19"/>
  <c r="F29" i="13" s="1"/>
  <c r="Z28" i="19"/>
  <c r="O29" i="13" s="1"/>
  <c r="AH29" i="13" s="1"/>
  <c r="Q28" i="19"/>
  <c r="J29" i="13" s="1"/>
  <c r="AC29" i="13" s="1"/>
  <c r="AM28" i="19"/>
  <c r="P55" i="13" s="1"/>
  <c r="AE55" i="13" s="1"/>
  <c r="AK55" i="13" s="1"/>
  <c r="AC28" i="19"/>
  <c r="R29" i="13" s="1"/>
  <c r="AK29" i="13" s="1"/>
  <c r="AE28" i="19"/>
  <c r="T29" i="13" s="1"/>
  <c r="AN29" i="13" s="1"/>
  <c r="AD28" i="19"/>
  <c r="U29" i="13" s="1"/>
  <c r="AO29" i="13" s="1"/>
  <c r="S28" i="19"/>
  <c r="I29" i="13" s="1"/>
  <c r="AB29" i="13" s="1"/>
  <c r="W28" i="19"/>
  <c r="X28" i="19"/>
  <c r="M29" i="13" s="1"/>
  <c r="AF29" i="13" s="1"/>
  <c r="AB28" i="19"/>
  <c r="Q29" i="13" s="1"/>
  <c r="AJ29" i="13" s="1"/>
  <c r="Y28" i="19"/>
  <c r="N29" i="13" s="1"/>
  <c r="AG29" i="13" s="1"/>
  <c r="AA28" i="19"/>
  <c r="P29" i="13" s="1"/>
  <c r="AI29" i="13" s="1"/>
  <c r="AJ28" i="19"/>
  <c r="M55" i="13" s="1"/>
  <c r="AB55" i="13" s="1"/>
  <c r="AP55" i="13" s="1"/>
  <c r="R28" i="19"/>
  <c r="K29" i="13" s="1"/>
  <c r="AD29" i="13" s="1"/>
  <c r="T28" i="19"/>
  <c r="G55" i="13" s="1"/>
  <c r="AF55" i="13" s="1"/>
  <c r="CA309" i="3"/>
  <c r="AM309" i="3"/>
  <c r="BI309" i="3" s="1"/>
  <c r="BW358" i="3"/>
  <c r="BY358" i="3" s="1"/>
  <c r="CO358" i="3"/>
  <c r="BW333" i="3"/>
  <c r="BY333" i="3" s="1"/>
  <c r="CO333" i="3"/>
  <c r="CM332" i="3"/>
  <c r="BZ332" i="3"/>
  <c r="CK332" i="3"/>
  <c r="CL332" i="3"/>
  <c r="CJ332" i="3"/>
  <c r="AN332" i="3"/>
  <c r="BJ332" i="3" s="1"/>
  <c r="CA332" i="3"/>
  <c r="AM332" i="3"/>
  <c r="BI332" i="3" s="1"/>
  <c r="BV382" i="3"/>
  <c r="BU382" i="3"/>
  <c r="BW347" i="3"/>
  <c r="BY347" i="3" s="1"/>
  <c r="CO347" i="3"/>
  <c r="BF430" i="3"/>
  <c r="CS430" i="3"/>
  <c r="AR430" i="3"/>
  <c r="AS430" i="3" s="1"/>
  <c r="BK430" i="3"/>
  <c r="CT430" i="3"/>
  <c r="BH430" i="3"/>
  <c r="BF405" i="3"/>
  <c r="CS405" i="3"/>
  <c r="AR405" i="3"/>
  <c r="AS405" i="3" s="1"/>
  <c r="BK405" i="3"/>
  <c r="CT405" i="3"/>
  <c r="BH405" i="3"/>
  <c r="BP357" i="3"/>
  <c r="BT357" i="3" s="1"/>
  <c r="BL357" i="3"/>
  <c r="BN357" i="3" s="1"/>
  <c r="AK455" i="3"/>
  <c r="AJ455" i="3"/>
  <c r="BG455" i="3"/>
  <c r="AL455" i="3"/>
  <c r="AK454" i="3"/>
  <c r="AJ454" i="3"/>
  <c r="BG454" i="3"/>
  <c r="AL454" i="3"/>
  <c r="AK429" i="3"/>
  <c r="AJ429" i="3"/>
  <c r="BG429" i="3"/>
  <c r="AL429" i="3"/>
  <c r="CB479" i="3"/>
  <c r="BQ479" i="3"/>
  <c r="AI479" i="3"/>
  <c r="CB478" i="3"/>
  <c r="BQ478" i="3"/>
  <c r="AI478" i="3"/>
  <c r="CB453" i="3"/>
  <c r="AI453" i="3"/>
  <c r="BQ453" i="3"/>
  <c r="BG433" i="3"/>
  <c r="AK433" i="3"/>
  <c r="AJ433" i="3"/>
  <c r="AL433" i="3"/>
  <c r="BJ237" i="3"/>
  <c r="AK25" i="19" s="1"/>
  <c r="N52" i="13" s="1"/>
  <c r="AC52" i="13" s="1"/>
  <c r="U25" i="19"/>
  <c r="H52" i="13" s="1"/>
  <c r="AG52" i="13" s="1"/>
  <c r="L26" i="13"/>
  <c r="AE26" i="13" s="1"/>
  <c r="AN25" i="19"/>
  <c r="Q52" i="13" s="1"/>
  <c r="AH52" i="13" s="1"/>
  <c r="AO52" i="13" s="1"/>
  <c r="F52" i="13"/>
  <c r="AA26" i="13"/>
  <c r="AA52" i="13" s="1"/>
  <c r="AF477" i="3"/>
  <c r="AG477" i="3" s="1"/>
  <c r="AH477" i="3" s="1"/>
  <c r="CB464" i="3"/>
  <c r="AI464" i="3"/>
  <c r="BQ464" i="3"/>
  <c r="AY22" i="13"/>
  <c r="E15" i="15"/>
  <c r="T96" i="33"/>
  <c r="S96" i="33" s="1"/>
  <c r="T51" i="24"/>
  <c r="BP17" i="13"/>
  <c r="E54" i="15"/>
  <c r="E21" i="15"/>
  <c r="E22" i="15" s="1"/>
  <c r="E24" i="15" s="1"/>
  <c r="T100" i="33"/>
  <c r="T67" i="24"/>
  <c r="S67" i="24" s="1"/>
  <c r="J31" i="24"/>
  <c r="K36" i="33"/>
  <c r="T55" i="24"/>
  <c r="AF490" i="3"/>
  <c r="AG490" i="3" s="1"/>
  <c r="AH490" i="3" s="1"/>
  <c r="AF483" i="3"/>
  <c r="AG483" i="3" s="1"/>
  <c r="AH483" i="3" s="1"/>
  <c r="AM285" i="3"/>
  <c r="BI285" i="3" s="1"/>
  <c r="CA285" i="3"/>
  <c r="N27" i="19" s="1"/>
  <c r="H28" i="13" s="1"/>
  <c r="Y28" i="13" s="1"/>
  <c r="R27" i="19"/>
  <c r="K28" i="13" s="1"/>
  <c r="AD28" i="13" s="1"/>
  <c r="T27" i="19"/>
  <c r="G54" i="13" s="1"/>
  <c r="AF54" i="13" s="1"/>
  <c r="AA27" i="19"/>
  <c r="P28" i="13" s="1"/>
  <c r="AI28" i="13" s="1"/>
  <c r="AM27" i="19"/>
  <c r="P54" i="13" s="1"/>
  <c r="AE54" i="13" s="1"/>
  <c r="AK54" i="13" s="1"/>
  <c r="AE27" i="19"/>
  <c r="T28" i="13" s="1"/>
  <c r="AN28" i="13" s="1"/>
  <c r="AC27" i="19"/>
  <c r="R28" i="13" s="1"/>
  <c r="AK28" i="13" s="1"/>
  <c r="W27" i="19"/>
  <c r="AJ27" i="19"/>
  <c r="M54" i="13" s="1"/>
  <c r="AB54" i="13" s="1"/>
  <c r="AP54" i="13" s="1"/>
  <c r="AB27" i="19"/>
  <c r="Q28" i="13" s="1"/>
  <c r="AJ28" i="13" s="1"/>
  <c r="X27" i="19"/>
  <c r="M28" i="13" s="1"/>
  <c r="AF28" i="13" s="1"/>
  <c r="P27" i="19"/>
  <c r="F28" i="13" s="1"/>
  <c r="AD27" i="19"/>
  <c r="U28" i="13" s="1"/>
  <c r="AO28" i="13" s="1"/>
  <c r="Y27" i="19"/>
  <c r="N28" i="13" s="1"/>
  <c r="AG28" i="13" s="1"/>
  <c r="Q27" i="19"/>
  <c r="J28" i="13" s="1"/>
  <c r="AC28" i="13" s="1"/>
  <c r="S27" i="19"/>
  <c r="I28" i="13" s="1"/>
  <c r="AB28" i="13" s="1"/>
  <c r="Z27" i="19"/>
  <c r="O28" i="13" s="1"/>
  <c r="AH28" i="13" s="1"/>
  <c r="AN285" i="3"/>
  <c r="CJ285" i="3"/>
  <c r="BZ285" i="3"/>
  <c r="M27" i="19" s="1"/>
  <c r="G28" i="13" s="1"/>
  <c r="X28" i="13" s="1"/>
  <c r="CL285" i="3"/>
  <c r="CM285" i="3"/>
  <c r="CK285" i="3"/>
  <c r="BI115" i="3"/>
  <c r="BJ115" i="3"/>
  <c r="BN426" i="3" l="1"/>
  <c r="BN421" i="3"/>
  <c r="BN412" i="3"/>
  <c r="AK463" i="3"/>
  <c r="BF463" i="3" s="1"/>
  <c r="AJ463" i="3"/>
  <c r="BG463" i="3"/>
  <c r="AL463" i="3"/>
  <c r="CS452" i="3"/>
  <c r="AR452" i="3"/>
  <c r="AS452" i="3" s="1"/>
  <c r="BK452" i="3"/>
  <c r="BL452" i="3" s="1"/>
  <c r="CT452" i="3"/>
  <c r="BH452" i="3"/>
  <c r="BP452" i="3" s="1"/>
  <c r="BT452" i="3" s="1"/>
  <c r="CS450" i="3"/>
  <c r="AR450" i="3"/>
  <c r="AS450" i="3" s="1"/>
  <c r="BK450" i="3"/>
  <c r="BL450" i="3" s="1"/>
  <c r="CT450" i="3"/>
  <c r="BH450" i="3"/>
  <c r="BP450" i="3" s="1"/>
  <c r="BT450" i="3" s="1"/>
  <c r="E23" i="15"/>
  <c r="E25" i="15" s="1"/>
  <c r="BO382" i="3"/>
  <c r="BS382" i="3"/>
  <c r="CB499" i="3"/>
  <c r="AI499" i="3"/>
  <c r="BQ499" i="3"/>
  <c r="BO403" i="3"/>
  <c r="BS403" i="3"/>
  <c r="CS451" i="3"/>
  <c r="AR451" i="3"/>
  <c r="AS451" i="3" s="1"/>
  <c r="BK451" i="3"/>
  <c r="BL451" i="3" s="1"/>
  <c r="CT451" i="3"/>
  <c r="BH451" i="3"/>
  <c r="BP451" i="3" s="1"/>
  <c r="BT451" i="3" s="1"/>
  <c r="BN407" i="3"/>
  <c r="BN406" i="3"/>
  <c r="BN381" i="3"/>
  <c r="BN410" i="3"/>
  <c r="N28" i="19"/>
  <c r="H29" i="13" s="1"/>
  <c r="Y29" i="13" s="1"/>
  <c r="AI488" i="3"/>
  <c r="CB488" i="3"/>
  <c r="BQ488" i="3"/>
  <c r="BO394" i="3"/>
  <c r="BS394" i="3"/>
  <c r="BO400" i="3"/>
  <c r="BS400" i="3"/>
  <c r="CB491" i="3"/>
  <c r="AI491" i="3"/>
  <c r="BQ491" i="3"/>
  <c r="CS431" i="3"/>
  <c r="AR431" i="3"/>
  <c r="AS431" i="3" s="1"/>
  <c r="BK431" i="3"/>
  <c r="BL431" i="3" s="1"/>
  <c r="CT431" i="3"/>
  <c r="BH431" i="3"/>
  <c r="BP431" i="3" s="1"/>
  <c r="BT431" i="3" s="1"/>
  <c r="AK466" i="3"/>
  <c r="BF466" i="3" s="1"/>
  <c r="AJ466" i="3"/>
  <c r="BG466" i="3"/>
  <c r="AL466" i="3"/>
  <c r="AK470" i="3"/>
  <c r="BF470" i="3" s="1"/>
  <c r="AJ470" i="3"/>
  <c r="BG470" i="3"/>
  <c r="AL470" i="3"/>
  <c r="CS440" i="3"/>
  <c r="AR440" i="3"/>
  <c r="AS440" i="3" s="1"/>
  <c r="BK440" i="3"/>
  <c r="BL440" i="3" s="1"/>
  <c r="CT440" i="3"/>
  <c r="BH440" i="3"/>
  <c r="BP440" i="3" s="1"/>
  <c r="BT440" i="3" s="1"/>
  <c r="CB486" i="3"/>
  <c r="AI486" i="3"/>
  <c r="BQ486" i="3"/>
  <c r="CB484" i="3"/>
  <c r="BQ484" i="3"/>
  <c r="AI484" i="3"/>
  <c r="AK462" i="3"/>
  <c r="BF462" i="3" s="1"/>
  <c r="AJ462" i="3"/>
  <c r="BG462" i="3"/>
  <c r="AL462" i="3"/>
  <c r="AK456" i="3"/>
  <c r="BF456" i="3" s="1"/>
  <c r="AJ456" i="3"/>
  <c r="BG456" i="3"/>
  <c r="AL456" i="3"/>
  <c r="CB481" i="3"/>
  <c r="AI481" i="3"/>
  <c r="BQ481" i="3"/>
  <c r="CM383" i="3"/>
  <c r="BZ383" i="3"/>
  <c r="CK383" i="3"/>
  <c r="CL383" i="3"/>
  <c r="CJ383" i="3"/>
  <c r="AN383" i="3"/>
  <c r="BJ383" i="3" s="1"/>
  <c r="AM383" i="3"/>
  <c r="BI383" i="3" s="1"/>
  <c r="CA383" i="3"/>
  <c r="CM380" i="3"/>
  <c r="CL380" i="3"/>
  <c r="BZ380" i="3"/>
  <c r="CK380" i="3"/>
  <c r="CJ380" i="3"/>
  <c r="AN380" i="3"/>
  <c r="BJ380" i="3" s="1"/>
  <c r="CA380" i="3"/>
  <c r="AM380" i="3"/>
  <c r="BI380" i="3" s="1"/>
  <c r="BW404" i="3"/>
  <c r="BY404" i="3" s="1"/>
  <c r="CO404" i="3"/>
  <c r="BO428" i="3"/>
  <c r="BS428" i="3"/>
  <c r="BV428" i="3"/>
  <c r="BU428" i="3"/>
  <c r="BF476" i="3"/>
  <c r="CS476" i="3"/>
  <c r="AR476" i="3"/>
  <c r="AS476" i="3" s="1"/>
  <c r="BK476" i="3"/>
  <c r="CT476" i="3"/>
  <c r="BH476" i="3"/>
  <c r="AD500" i="3"/>
  <c r="AC504" i="3"/>
  <c r="AC19" i="3"/>
  <c r="G55" i="10" s="1"/>
  <c r="CM379" i="3"/>
  <c r="BZ379" i="3"/>
  <c r="CK379" i="3"/>
  <c r="CL379" i="3"/>
  <c r="CJ379" i="3"/>
  <c r="AN379" i="3"/>
  <c r="BJ379" i="3" s="1"/>
  <c r="CA379" i="3"/>
  <c r="AM379" i="3"/>
  <c r="BI379" i="3" s="1"/>
  <c r="BW403" i="3"/>
  <c r="BY403" i="3" s="1"/>
  <c r="CO403" i="3"/>
  <c r="BO427" i="3"/>
  <c r="BS427" i="3"/>
  <c r="BV427" i="3"/>
  <c r="BU427" i="3"/>
  <c r="BF475" i="3"/>
  <c r="CS475" i="3"/>
  <c r="AR475" i="3"/>
  <c r="AS475" i="3" s="1"/>
  <c r="BK475" i="3"/>
  <c r="CT475" i="3"/>
  <c r="BH475" i="3"/>
  <c r="CM378" i="3"/>
  <c r="BZ378" i="3"/>
  <c r="CK378" i="3"/>
  <c r="CL378" i="3"/>
  <c r="CJ378" i="3"/>
  <c r="AN378" i="3"/>
  <c r="BJ378" i="3" s="1"/>
  <c r="CA378" i="3"/>
  <c r="AM378" i="3"/>
  <c r="BI378" i="3" s="1"/>
  <c r="BW402" i="3"/>
  <c r="BY402" i="3" s="1"/>
  <c r="CO402" i="3"/>
  <c r="BV426" i="3"/>
  <c r="BU426" i="3"/>
  <c r="BF474" i="3"/>
  <c r="CS474" i="3"/>
  <c r="AR474" i="3"/>
  <c r="AS474" i="3" s="1"/>
  <c r="BK474" i="3"/>
  <c r="CT474" i="3"/>
  <c r="BH474" i="3"/>
  <c r="AK498" i="3"/>
  <c r="AJ498" i="3"/>
  <c r="BG498" i="3"/>
  <c r="AL498" i="3"/>
  <c r="CM377" i="3"/>
  <c r="BZ377" i="3"/>
  <c r="CK377" i="3"/>
  <c r="CL377" i="3"/>
  <c r="CJ377" i="3"/>
  <c r="AN377" i="3"/>
  <c r="BJ377" i="3" s="1"/>
  <c r="CA377" i="3"/>
  <c r="AM377" i="3"/>
  <c r="BI377" i="3" s="1"/>
  <c r="BW401" i="3"/>
  <c r="BY401" i="3" s="1"/>
  <c r="CO401" i="3"/>
  <c r="BO425" i="3"/>
  <c r="BS425" i="3"/>
  <c r="BV425" i="3"/>
  <c r="BU425" i="3"/>
  <c r="BL449" i="3"/>
  <c r="BN449" i="3" s="1"/>
  <c r="BP449" i="3"/>
  <c r="BT449" i="3" s="1"/>
  <c r="BF473" i="3"/>
  <c r="CS473" i="3"/>
  <c r="AR473" i="3"/>
  <c r="AS473" i="3" s="1"/>
  <c r="BK473" i="3"/>
  <c r="CT473" i="3"/>
  <c r="BH473" i="3"/>
  <c r="AK497" i="3"/>
  <c r="AJ497" i="3"/>
  <c r="BG497" i="3"/>
  <c r="AL497" i="3"/>
  <c r="CM376" i="3"/>
  <c r="BZ376" i="3"/>
  <c r="CK376" i="3"/>
  <c r="CL376" i="3"/>
  <c r="CJ376" i="3"/>
  <c r="AN376" i="3"/>
  <c r="BJ376" i="3" s="1"/>
  <c r="CA376" i="3"/>
  <c r="AM376" i="3"/>
  <c r="BI376" i="3" s="1"/>
  <c r="BW400" i="3"/>
  <c r="BY400" i="3" s="1"/>
  <c r="CO400" i="3"/>
  <c r="BO424" i="3"/>
  <c r="BS424" i="3"/>
  <c r="BV424" i="3"/>
  <c r="BU424" i="3"/>
  <c r="BL448" i="3"/>
  <c r="BN448" i="3" s="1"/>
  <c r="BP448" i="3"/>
  <c r="BT448" i="3" s="1"/>
  <c r="BF472" i="3"/>
  <c r="CS472" i="3"/>
  <c r="AR472" i="3"/>
  <c r="AS472" i="3" s="1"/>
  <c r="BK472" i="3"/>
  <c r="CT472" i="3"/>
  <c r="BH472" i="3"/>
  <c r="AJ496" i="3"/>
  <c r="AK496" i="3"/>
  <c r="BG496" i="3"/>
  <c r="AL496" i="3"/>
  <c r="CM375" i="3"/>
  <c r="BZ375" i="3"/>
  <c r="CK375" i="3"/>
  <c r="CL375" i="3"/>
  <c r="CJ375" i="3"/>
  <c r="AN375" i="3"/>
  <c r="BJ375" i="3" s="1"/>
  <c r="CA375" i="3"/>
  <c r="AM375" i="3"/>
  <c r="BI375" i="3" s="1"/>
  <c r="BW399" i="3"/>
  <c r="BY399" i="3" s="1"/>
  <c r="CO399" i="3"/>
  <c r="BO423" i="3"/>
  <c r="BS423" i="3"/>
  <c r="BV423" i="3"/>
  <c r="BU423" i="3"/>
  <c r="BL447" i="3"/>
  <c r="BN447" i="3" s="1"/>
  <c r="BP447" i="3"/>
  <c r="BT447" i="3" s="1"/>
  <c r="BF471" i="3"/>
  <c r="CS471" i="3"/>
  <c r="AR471" i="3"/>
  <c r="AS471" i="3" s="1"/>
  <c r="BK471" i="3"/>
  <c r="CT471" i="3"/>
  <c r="BH471" i="3"/>
  <c r="AK495" i="3"/>
  <c r="AJ495" i="3"/>
  <c r="BG495" i="3"/>
  <c r="AL495" i="3"/>
  <c r="CK374" i="3"/>
  <c r="CM374" i="3"/>
  <c r="CL374" i="3"/>
  <c r="BZ374" i="3"/>
  <c r="CJ374" i="3"/>
  <c r="AN374" i="3"/>
  <c r="BJ374" i="3" s="1"/>
  <c r="CA374" i="3"/>
  <c r="AM374" i="3"/>
  <c r="BI374" i="3" s="1"/>
  <c r="BW398" i="3"/>
  <c r="BY398" i="3" s="1"/>
  <c r="CO398" i="3"/>
  <c r="BO422" i="3"/>
  <c r="BS422" i="3"/>
  <c r="BV422" i="3"/>
  <c r="BU422" i="3"/>
  <c r="BL446" i="3"/>
  <c r="BN446" i="3" s="1"/>
  <c r="BP446" i="3"/>
  <c r="BT446" i="3" s="1"/>
  <c r="AK494" i="3"/>
  <c r="AJ494" i="3"/>
  <c r="BG494" i="3"/>
  <c r="AL494" i="3"/>
  <c r="CM373" i="3"/>
  <c r="BZ373" i="3"/>
  <c r="CK373" i="3"/>
  <c r="CL373" i="3"/>
  <c r="CJ373" i="3"/>
  <c r="AN373" i="3"/>
  <c r="BJ373" i="3" s="1"/>
  <c r="CA373" i="3"/>
  <c r="AM373" i="3"/>
  <c r="BI373" i="3" s="1"/>
  <c r="BW397" i="3"/>
  <c r="BY397" i="3" s="1"/>
  <c r="CO397" i="3"/>
  <c r="BV421" i="3"/>
  <c r="BU421" i="3"/>
  <c r="BL445" i="3"/>
  <c r="BN445" i="3" s="1"/>
  <c r="BP445" i="3"/>
  <c r="BT445" i="3" s="1"/>
  <c r="CS469" i="3"/>
  <c r="AR469" i="3"/>
  <c r="AS469" i="3" s="1"/>
  <c r="BK469" i="3"/>
  <c r="BF469" i="3"/>
  <c r="CT469" i="3"/>
  <c r="BH469" i="3"/>
  <c r="AK493" i="3"/>
  <c r="AJ493" i="3"/>
  <c r="BG493" i="3"/>
  <c r="AL493" i="3"/>
  <c r="CM372" i="3"/>
  <c r="CL372" i="3"/>
  <c r="BZ372" i="3"/>
  <c r="CK372" i="3"/>
  <c r="CJ372" i="3"/>
  <c r="AN372" i="3"/>
  <c r="BJ372" i="3" s="1"/>
  <c r="CA372" i="3"/>
  <c r="AM372" i="3"/>
  <c r="BI372" i="3" s="1"/>
  <c r="BW396" i="3"/>
  <c r="BY396" i="3" s="1"/>
  <c r="CO396" i="3"/>
  <c r="BO420" i="3"/>
  <c r="BS420" i="3"/>
  <c r="BV420" i="3"/>
  <c r="BU420" i="3"/>
  <c r="BL444" i="3"/>
  <c r="BN444" i="3" s="1"/>
  <c r="BP444" i="3"/>
  <c r="BT444" i="3" s="1"/>
  <c r="BF468" i="3"/>
  <c r="CS468" i="3"/>
  <c r="AR468" i="3"/>
  <c r="AS468" i="3" s="1"/>
  <c r="BK468" i="3"/>
  <c r="CT468" i="3"/>
  <c r="BH468" i="3"/>
  <c r="AK492" i="3"/>
  <c r="AJ492" i="3"/>
  <c r="BG492" i="3"/>
  <c r="AL492" i="3"/>
  <c r="CM371" i="3"/>
  <c r="CL371" i="3"/>
  <c r="BZ371" i="3"/>
  <c r="CK371" i="3"/>
  <c r="CJ371" i="3"/>
  <c r="AN371" i="3"/>
  <c r="BJ371" i="3" s="1"/>
  <c r="CA371" i="3"/>
  <c r="AM371" i="3"/>
  <c r="BI371" i="3" s="1"/>
  <c r="BW395" i="3"/>
  <c r="BY395" i="3" s="1"/>
  <c r="CO395" i="3"/>
  <c r="BO419" i="3"/>
  <c r="BS419" i="3"/>
  <c r="BV419" i="3"/>
  <c r="BU419" i="3"/>
  <c r="BL443" i="3"/>
  <c r="BN443" i="3" s="1"/>
  <c r="BP443" i="3"/>
  <c r="BT443" i="3" s="1"/>
  <c r="CS467" i="3"/>
  <c r="AR467" i="3"/>
  <c r="AS467" i="3" s="1"/>
  <c r="BK467" i="3"/>
  <c r="BF467" i="3"/>
  <c r="CT467" i="3"/>
  <c r="BH467" i="3"/>
  <c r="CM370" i="3"/>
  <c r="CL370" i="3"/>
  <c r="BZ370" i="3"/>
  <c r="CK370" i="3"/>
  <c r="CJ370" i="3"/>
  <c r="AN370" i="3"/>
  <c r="BJ370" i="3" s="1"/>
  <c r="CA370" i="3"/>
  <c r="AM370" i="3"/>
  <c r="BI370" i="3" s="1"/>
  <c r="BW394" i="3"/>
  <c r="BY394" i="3" s="1"/>
  <c r="CO394" i="3"/>
  <c r="BO418" i="3"/>
  <c r="BS418" i="3"/>
  <c r="BV418" i="3"/>
  <c r="BU418" i="3"/>
  <c r="BL442" i="3"/>
  <c r="BN442" i="3" s="1"/>
  <c r="BP442" i="3"/>
  <c r="BT442" i="3" s="1"/>
  <c r="CM369" i="3"/>
  <c r="BZ369" i="3"/>
  <c r="CK369" i="3"/>
  <c r="CL369" i="3"/>
  <c r="CJ369" i="3"/>
  <c r="AN369" i="3"/>
  <c r="BJ369" i="3" s="1"/>
  <c r="CA369" i="3"/>
  <c r="AM369" i="3"/>
  <c r="BI369" i="3" s="1"/>
  <c r="BW393" i="3"/>
  <c r="BY393" i="3" s="1"/>
  <c r="CO393" i="3"/>
  <c r="BO417" i="3"/>
  <c r="BS417" i="3"/>
  <c r="BV417" i="3"/>
  <c r="BU417" i="3"/>
  <c r="BL441" i="3"/>
  <c r="BN441" i="3" s="1"/>
  <c r="BP441" i="3"/>
  <c r="BT441" i="3" s="1"/>
  <c r="BF465" i="3"/>
  <c r="CS465" i="3"/>
  <c r="AR465" i="3"/>
  <c r="AS465" i="3" s="1"/>
  <c r="BK465" i="3"/>
  <c r="CT465" i="3"/>
  <c r="BH465" i="3"/>
  <c r="AK489" i="3"/>
  <c r="AJ489" i="3"/>
  <c r="BG489" i="3"/>
  <c r="AL489" i="3"/>
  <c r="CM368" i="3"/>
  <c r="BZ368" i="3"/>
  <c r="CK368" i="3"/>
  <c r="CL368" i="3"/>
  <c r="CJ368" i="3"/>
  <c r="AN368" i="3"/>
  <c r="BJ368" i="3" s="1"/>
  <c r="CA368" i="3"/>
  <c r="AM368" i="3"/>
  <c r="BI368" i="3" s="1"/>
  <c r="BW392" i="3"/>
  <c r="BY392" i="3" s="1"/>
  <c r="CO392" i="3"/>
  <c r="BO416" i="3"/>
  <c r="BS416" i="3"/>
  <c r="BV416" i="3"/>
  <c r="BU416" i="3"/>
  <c r="CM367" i="3"/>
  <c r="BZ367" i="3"/>
  <c r="CK367" i="3"/>
  <c r="CL367" i="3"/>
  <c r="CJ367" i="3"/>
  <c r="AN367" i="3"/>
  <c r="BJ367" i="3" s="1"/>
  <c r="CA367" i="3"/>
  <c r="AM367" i="3"/>
  <c r="BI367" i="3" s="1"/>
  <c r="BW391" i="3"/>
  <c r="BY391" i="3" s="1"/>
  <c r="CO391" i="3"/>
  <c r="BO415" i="3"/>
  <c r="BS415" i="3"/>
  <c r="BV415" i="3"/>
  <c r="BU415" i="3"/>
  <c r="AJ487" i="3"/>
  <c r="AK487" i="3"/>
  <c r="BG487" i="3"/>
  <c r="AL487" i="3"/>
  <c r="BL439" i="3"/>
  <c r="BN439" i="3" s="1"/>
  <c r="BP439" i="3"/>
  <c r="BT439" i="3" s="1"/>
  <c r="CM366" i="3"/>
  <c r="BZ366" i="3"/>
  <c r="CK366" i="3"/>
  <c r="CL366" i="3"/>
  <c r="CJ366" i="3"/>
  <c r="AN366" i="3"/>
  <c r="BJ366" i="3" s="1"/>
  <c r="CA366" i="3"/>
  <c r="AM366" i="3"/>
  <c r="BI366" i="3" s="1"/>
  <c r="BW390" i="3"/>
  <c r="BY390" i="3" s="1"/>
  <c r="CO390" i="3"/>
  <c r="BO414" i="3"/>
  <c r="BS414" i="3"/>
  <c r="BV414" i="3"/>
  <c r="BU414" i="3"/>
  <c r="BL438" i="3"/>
  <c r="BN438" i="3" s="1"/>
  <c r="BP438" i="3"/>
  <c r="BT438" i="3" s="1"/>
  <c r="CM365" i="3"/>
  <c r="BZ365" i="3"/>
  <c r="CK365" i="3"/>
  <c r="CL365" i="3"/>
  <c r="CJ365" i="3"/>
  <c r="AN365" i="3"/>
  <c r="BJ365" i="3" s="1"/>
  <c r="CA365" i="3"/>
  <c r="AM365" i="3"/>
  <c r="BI365" i="3" s="1"/>
  <c r="BW389" i="3"/>
  <c r="BY389" i="3" s="1"/>
  <c r="CO389" i="3"/>
  <c r="BO413" i="3"/>
  <c r="BS413" i="3"/>
  <c r="BV413" i="3"/>
  <c r="BU413" i="3"/>
  <c r="BL437" i="3"/>
  <c r="BN437" i="3" s="1"/>
  <c r="BP437" i="3"/>
  <c r="BT437" i="3" s="1"/>
  <c r="BF461" i="3"/>
  <c r="CS461" i="3"/>
  <c r="AR461" i="3"/>
  <c r="AS461" i="3" s="1"/>
  <c r="BK461" i="3"/>
  <c r="CT461" i="3"/>
  <c r="BH461" i="3"/>
  <c r="AK485" i="3"/>
  <c r="AJ485" i="3"/>
  <c r="BG485" i="3"/>
  <c r="AL485" i="3"/>
  <c r="CM364" i="3"/>
  <c r="BZ364" i="3"/>
  <c r="CK364" i="3"/>
  <c r="CL364" i="3"/>
  <c r="CJ364" i="3"/>
  <c r="AN364" i="3"/>
  <c r="BJ364" i="3" s="1"/>
  <c r="CA364" i="3"/>
  <c r="AM364" i="3"/>
  <c r="BI364" i="3" s="1"/>
  <c r="BW388" i="3"/>
  <c r="BY388" i="3" s="1"/>
  <c r="CO388" i="3"/>
  <c r="BV412" i="3"/>
  <c r="BU412" i="3"/>
  <c r="CS460" i="3"/>
  <c r="AR460" i="3"/>
  <c r="AS460" i="3" s="1"/>
  <c r="BK460" i="3"/>
  <c r="BF460" i="3"/>
  <c r="CT460" i="3"/>
  <c r="BH460" i="3"/>
  <c r="BL436" i="3"/>
  <c r="BN436" i="3" s="1"/>
  <c r="BP436" i="3"/>
  <c r="BT436" i="3" s="1"/>
  <c r="CM363" i="3"/>
  <c r="CK363" i="3"/>
  <c r="BZ363" i="3"/>
  <c r="CL363" i="3"/>
  <c r="CJ363" i="3"/>
  <c r="AN363" i="3"/>
  <c r="BJ363" i="3" s="1"/>
  <c r="CA363" i="3"/>
  <c r="AM363" i="3"/>
  <c r="BI363" i="3" s="1"/>
  <c r="BW387" i="3"/>
  <c r="BY387" i="3" s="1"/>
  <c r="CO387" i="3"/>
  <c r="BO411" i="3"/>
  <c r="BS411" i="3"/>
  <c r="BV411" i="3"/>
  <c r="BU411" i="3"/>
  <c r="BF459" i="3"/>
  <c r="CS459" i="3"/>
  <c r="AR459" i="3"/>
  <c r="AS459" i="3" s="1"/>
  <c r="BK459" i="3"/>
  <c r="CT459" i="3"/>
  <c r="BH459" i="3"/>
  <c r="BL435" i="3"/>
  <c r="BN435" i="3" s="1"/>
  <c r="BP435" i="3"/>
  <c r="BT435" i="3" s="1"/>
  <c r="CM362" i="3"/>
  <c r="CK362" i="3"/>
  <c r="BZ362" i="3"/>
  <c r="CL362" i="3"/>
  <c r="CJ362" i="3"/>
  <c r="AN362" i="3"/>
  <c r="BJ362" i="3" s="1"/>
  <c r="CA362" i="3"/>
  <c r="AM362" i="3"/>
  <c r="BI362" i="3" s="1"/>
  <c r="BW386" i="3"/>
  <c r="BY386" i="3" s="1"/>
  <c r="CO386" i="3"/>
  <c r="BV410" i="3"/>
  <c r="BU410" i="3"/>
  <c r="BL434" i="3"/>
  <c r="BN434" i="3" s="1"/>
  <c r="BP434" i="3"/>
  <c r="BT434" i="3" s="1"/>
  <c r="BF458" i="3"/>
  <c r="CS458" i="3"/>
  <c r="AR458" i="3"/>
  <c r="AS458" i="3" s="1"/>
  <c r="BK458" i="3"/>
  <c r="CT458" i="3"/>
  <c r="BH458" i="3"/>
  <c r="BG482" i="3"/>
  <c r="AK482" i="3"/>
  <c r="AJ482" i="3"/>
  <c r="AL482" i="3"/>
  <c r="CM361" i="3"/>
  <c r="BZ361" i="3"/>
  <c r="CK361" i="3"/>
  <c r="CL361" i="3"/>
  <c r="CJ361" i="3"/>
  <c r="AN361" i="3"/>
  <c r="BJ361" i="3" s="1"/>
  <c r="CA361" i="3"/>
  <c r="AM361" i="3"/>
  <c r="BI361" i="3" s="1"/>
  <c r="BW385" i="3"/>
  <c r="BY385" i="3" s="1"/>
  <c r="CO385" i="3"/>
  <c r="BO409" i="3"/>
  <c r="BS409" i="3"/>
  <c r="BV409" i="3"/>
  <c r="BU409" i="3"/>
  <c r="BF457" i="3"/>
  <c r="CS457" i="3"/>
  <c r="AR457" i="3"/>
  <c r="AS457" i="3" s="1"/>
  <c r="BK457" i="3"/>
  <c r="CT457" i="3"/>
  <c r="BH457" i="3"/>
  <c r="CM360" i="3"/>
  <c r="BZ360" i="3"/>
  <c r="CK360" i="3"/>
  <c r="CL360" i="3"/>
  <c r="CJ360" i="3"/>
  <c r="AN360" i="3"/>
  <c r="BJ360" i="3" s="1"/>
  <c r="CA360" i="3"/>
  <c r="AM360" i="3"/>
  <c r="BI360" i="3" s="1"/>
  <c r="BW384" i="3"/>
  <c r="BY384" i="3" s="1"/>
  <c r="CO384" i="3"/>
  <c r="BO408" i="3"/>
  <c r="BS408" i="3"/>
  <c r="BV408" i="3"/>
  <c r="BU408" i="3"/>
  <c r="BL432" i="3"/>
  <c r="BN432" i="3" s="1"/>
  <c r="BP432" i="3"/>
  <c r="BT432" i="3" s="1"/>
  <c r="AJ480" i="3"/>
  <c r="BG480" i="3"/>
  <c r="AK480" i="3"/>
  <c r="AL480" i="3"/>
  <c r="BJ309" i="3"/>
  <c r="AK28" i="19" s="1"/>
  <c r="N55" i="13" s="1"/>
  <c r="AC55" i="13" s="1"/>
  <c r="U28" i="19"/>
  <c r="H55" i="13" s="1"/>
  <c r="AG55" i="13" s="1"/>
  <c r="F55" i="13"/>
  <c r="AA29" i="13"/>
  <c r="AA55" i="13" s="1"/>
  <c r="L29" i="13"/>
  <c r="AE29" i="13" s="1"/>
  <c r="AN28" i="19"/>
  <c r="Q55" i="13" s="1"/>
  <c r="AH55" i="13" s="1"/>
  <c r="AO55" i="13" s="1"/>
  <c r="CM358" i="3"/>
  <c r="BZ358" i="3"/>
  <c r="CK358" i="3"/>
  <c r="CL358" i="3"/>
  <c r="CJ358" i="3"/>
  <c r="AN358" i="3"/>
  <c r="BJ358" i="3" s="1"/>
  <c r="CA358" i="3"/>
  <c r="AM358" i="3"/>
  <c r="BI358" i="3" s="1"/>
  <c r="CM333" i="3"/>
  <c r="BZ333" i="3"/>
  <c r="CK333" i="3"/>
  <c r="CL333" i="3"/>
  <c r="CJ333" i="3"/>
  <c r="AN333" i="3"/>
  <c r="Y29" i="19"/>
  <c r="N30" i="13" s="1"/>
  <c r="AG30" i="13" s="1"/>
  <c r="AD29" i="19"/>
  <c r="U30" i="13" s="1"/>
  <c r="AO30" i="13" s="1"/>
  <c r="S29" i="19"/>
  <c r="I30" i="13" s="1"/>
  <c r="AB30" i="13" s="1"/>
  <c r="Q29" i="19"/>
  <c r="J30" i="13" s="1"/>
  <c r="AC30" i="13" s="1"/>
  <c r="AA29" i="19"/>
  <c r="P30" i="13" s="1"/>
  <c r="AI30" i="13" s="1"/>
  <c r="AC29" i="19"/>
  <c r="R30" i="13" s="1"/>
  <c r="AK30" i="13" s="1"/>
  <c r="AE29" i="19"/>
  <c r="T30" i="13" s="1"/>
  <c r="AN30" i="13" s="1"/>
  <c r="AJ29" i="19"/>
  <c r="M56" i="13" s="1"/>
  <c r="AB56" i="13" s="1"/>
  <c r="AP56" i="13" s="1"/>
  <c r="R29" i="19"/>
  <c r="K30" i="13" s="1"/>
  <c r="AD30" i="13" s="1"/>
  <c r="T29" i="19"/>
  <c r="G56" i="13" s="1"/>
  <c r="AF56" i="13" s="1"/>
  <c r="W29" i="19"/>
  <c r="AM29" i="19"/>
  <c r="P56" i="13" s="1"/>
  <c r="AE56" i="13" s="1"/>
  <c r="AK56" i="13" s="1"/>
  <c r="P29" i="19"/>
  <c r="F30" i="13" s="1"/>
  <c r="AB29" i="19"/>
  <c r="Q30" i="13" s="1"/>
  <c r="AJ30" i="13" s="1"/>
  <c r="Z29" i="19"/>
  <c r="O30" i="13" s="1"/>
  <c r="AH30" i="13" s="1"/>
  <c r="X29" i="19"/>
  <c r="M30" i="13" s="1"/>
  <c r="AF30" i="13" s="1"/>
  <c r="CA333" i="3"/>
  <c r="AM333" i="3"/>
  <c r="BI333" i="3" s="1"/>
  <c r="BW382" i="3"/>
  <c r="BY382" i="3" s="1"/>
  <c r="CO382" i="3"/>
  <c r="CM347" i="3"/>
  <c r="BZ347" i="3"/>
  <c r="CK347" i="3"/>
  <c r="CL347" i="3"/>
  <c r="CJ347" i="3"/>
  <c r="AN347" i="3"/>
  <c r="BJ347" i="3" s="1"/>
  <c r="CA347" i="3"/>
  <c r="AM347" i="3"/>
  <c r="BI347" i="3" s="1"/>
  <c r="BV407" i="3"/>
  <c r="BU407" i="3"/>
  <c r="BV406" i="3"/>
  <c r="BU406" i="3"/>
  <c r="BV381" i="3"/>
  <c r="BU381" i="3"/>
  <c r="BP430" i="3"/>
  <c r="BT430" i="3" s="1"/>
  <c r="BL430" i="3"/>
  <c r="BN430" i="3" s="1"/>
  <c r="BP405" i="3"/>
  <c r="BT405" i="3" s="1"/>
  <c r="BL405" i="3"/>
  <c r="BN405" i="3" s="1"/>
  <c r="BV357" i="3"/>
  <c r="BU357" i="3"/>
  <c r="BO357" i="3"/>
  <c r="BS357" i="3"/>
  <c r="BF455" i="3"/>
  <c r="CS455" i="3"/>
  <c r="AR455" i="3"/>
  <c r="AS455" i="3" s="1"/>
  <c r="BK455" i="3"/>
  <c r="CT455" i="3"/>
  <c r="BH455" i="3"/>
  <c r="BF454" i="3"/>
  <c r="CS454" i="3"/>
  <c r="AR454" i="3"/>
  <c r="AS454" i="3" s="1"/>
  <c r="BK454" i="3"/>
  <c r="CT454" i="3"/>
  <c r="BH454" i="3"/>
  <c r="BF429" i="3"/>
  <c r="CS429" i="3"/>
  <c r="AR429" i="3"/>
  <c r="AS429" i="3" s="1"/>
  <c r="BK429" i="3"/>
  <c r="CT429" i="3"/>
  <c r="BH429" i="3"/>
  <c r="AK479" i="3"/>
  <c r="AJ479" i="3"/>
  <c r="BG479" i="3"/>
  <c r="AL479" i="3"/>
  <c r="AK478" i="3"/>
  <c r="AJ478" i="3"/>
  <c r="BG478" i="3"/>
  <c r="AL478" i="3"/>
  <c r="AK453" i="3"/>
  <c r="AJ453" i="3"/>
  <c r="BG453" i="3"/>
  <c r="AL453" i="3"/>
  <c r="BF433" i="3"/>
  <c r="CS433" i="3"/>
  <c r="AR433" i="3"/>
  <c r="AS433" i="3" s="1"/>
  <c r="BK433" i="3"/>
  <c r="CT433" i="3"/>
  <c r="BH433" i="3"/>
  <c r="CB477" i="3"/>
  <c r="BQ477" i="3"/>
  <c r="AI477" i="3"/>
  <c r="AK464" i="3"/>
  <c r="BG464" i="3"/>
  <c r="AJ464" i="3"/>
  <c r="AL464" i="3"/>
  <c r="U67" i="24"/>
  <c r="S51" i="24"/>
  <c r="E31" i="24"/>
  <c r="T71" i="24"/>
  <c r="T104" i="33"/>
  <c r="E36" i="33"/>
  <c r="T59" i="24"/>
  <c r="E55" i="15"/>
  <c r="G54" i="15"/>
  <c r="U100" i="33"/>
  <c r="S100" i="33"/>
  <c r="S55" i="24"/>
  <c r="U55" i="24"/>
  <c r="CB490" i="3"/>
  <c r="AI490" i="3"/>
  <c r="BQ490" i="3"/>
  <c r="CB483" i="3"/>
  <c r="AI483" i="3"/>
  <c r="BQ483" i="3"/>
  <c r="L28" i="13"/>
  <c r="AE28" i="13" s="1"/>
  <c r="AN27" i="19"/>
  <c r="Q54" i="13" s="1"/>
  <c r="AH54" i="13" s="1"/>
  <c r="AO54" i="13" s="1"/>
  <c r="F54" i="13"/>
  <c r="AA28" i="13"/>
  <c r="AA54" i="13" s="1"/>
  <c r="BJ285" i="3"/>
  <c r="AK27" i="19" s="1"/>
  <c r="N54" i="13" s="1"/>
  <c r="AC54" i="13" s="1"/>
  <c r="U27" i="19"/>
  <c r="H54" i="13" s="1"/>
  <c r="AG54" i="13" s="1"/>
  <c r="M28" i="19"/>
  <c r="G29" i="13" s="1"/>
  <c r="X29" i="13" s="1"/>
  <c r="BO426" i="3" l="1"/>
  <c r="BS426" i="3"/>
  <c r="BO421" i="3"/>
  <c r="BS421" i="3"/>
  <c r="BO412" i="3"/>
  <c r="BS412" i="3"/>
  <c r="BN452" i="3"/>
  <c r="BN450" i="3"/>
  <c r="BK463" i="3"/>
  <c r="BL463" i="3" s="1"/>
  <c r="AR463" i="3"/>
  <c r="AS463" i="3" s="1"/>
  <c r="CS463" i="3"/>
  <c r="CT463" i="3"/>
  <c r="BH463" i="3"/>
  <c r="BP463" i="3" s="1"/>
  <c r="BT463" i="3" s="1"/>
  <c r="BN451" i="3"/>
  <c r="N29" i="19"/>
  <c r="H30" i="13" s="1"/>
  <c r="Y30" i="13" s="1"/>
  <c r="AK499" i="3"/>
  <c r="BF499" i="3" s="1"/>
  <c r="AJ499" i="3"/>
  <c r="BG499" i="3"/>
  <c r="AL499" i="3"/>
  <c r="BO407" i="3"/>
  <c r="BS407" i="3"/>
  <c r="BO406" i="3"/>
  <c r="BS406" i="3"/>
  <c r="BO381" i="3"/>
  <c r="BS381" i="3"/>
  <c r="BO410" i="3"/>
  <c r="BS410" i="3"/>
  <c r="AK488" i="3"/>
  <c r="BF488" i="3" s="1"/>
  <c r="AJ488" i="3"/>
  <c r="BG488" i="3"/>
  <c r="AL488" i="3"/>
  <c r="BN431" i="3"/>
  <c r="BN440" i="3"/>
  <c r="AK491" i="3"/>
  <c r="BF491" i="3" s="1"/>
  <c r="AJ491" i="3"/>
  <c r="BG491" i="3"/>
  <c r="AL491" i="3"/>
  <c r="CS466" i="3"/>
  <c r="AR466" i="3"/>
  <c r="AS466" i="3" s="1"/>
  <c r="BK466" i="3"/>
  <c r="BL466" i="3" s="1"/>
  <c r="CT466" i="3"/>
  <c r="BH466" i="3"/>
  <c r="BP466" i="3" s="1"/>
  <c r="BT466" i="3" s="1"/>
  <c r="CS470" i="3"/>
  <c r="AR470" i="3"/>
  <c r="AS470" i="3" s="1"/>
  <c r="BK470" i="3"/>
  <c r="BL470" i="3" s="1"/>
  <c r="CT470" i="3"/>
  <c r="BH470" i="3"/>
  <c r="BP470" i="3" s="1"/>
  <c r="BT470" i="3" s="1"/>
  <c r="AK486" i="3"/>
  <c r="BF486" i="3" s="1"/>
  <c r="BG486" i="3"/>
  <c r="AJ486" i="3"/>
  <c r="AL486" i="3"/>
  <c r="AK484" i="3"/>
  <c r="BF484" i="3" s="1"/>
  <c r="BG484" i="3"/>
  <c r="AJ484" i="3"/>
  <c r="AL484" i="3"/>
  <c r="CS462" i="3"/>
  <c r="AR462" i="3"/>
  <c r="AS462" i="3" s="1"/>
  <c r="BK462" i="3"/>
  <c r="BL462" i="3" s="1"/>
  <c r="CT462" i="3"/>
  <c r="BH462" i="3"/>
  <c r="BP462" i="3" s="1"/>
  <c r="BT462" i="3" s="1"/>
  <c r="BK456" i="3"/>
  <c r="BL456" i="3" s="1"/>
  <c r="AR456" i="3"/>
  <c r="AS456" i="3" s="1"/>
  <c r="CS456" i="3"/>
  <c r="CT456" i="3"/>
  <c r="BH456" i="3"/>
  <c r="BP456" i="3" s="1"/>
  <c r="BT456" i="3" s="1"/>
  <c r="AK481" i="3"/>
  <c r="BF481" i="3" s="1"/>
  <c r="AJ481" i="3"/>
  <c r="AL481" i="3"/>
  <c r="BG481" i="3"/>
  <c r="CM404" i="3"/>
  <c r="BZ404" i="3"/>
  <c r="CK404" i="3"/>
  <c r="CL404" i="3"/>
  <c r="CJ404" i="3"/>
  <c r="AN404" i="3"/>
  <c r="BJ404" i="3" s="1"/>
  <c r="CA404" i="3"/>
  <c r="AM404" i="3"/>
  <c r="BI404" i="3" s="1"/>
  <c r="BW428" i="3"/>
  <c r="BY428" i="3" s="1"/>
  <c r="CO428" i="3"/>
  <c r="BV452" i="3"/>
  <c r="BU452" i="3"/>
  <c r="BL476" i="3"/>
  <c r="BN476" i="3" s="1"/>
  <c r="BP476" i="3"/>
  <c r="BT476" i="3" s="1"/>
  <c r="CR500" i="3"/>
  <c r="S84" i="24" s="1"/>
  <c r="I40" i="24" s="1"/>
  <c r="AD504" i="3"/>
  <c r="BR500" i="3"/>
  <c r="BR504" i="3" s="1"/>
  <c r="AA500" i="3"/>
  <c r="AE500" i="3" s="1"/>
  <c r="CM403" i="3"/>
  <c r="BZ403" i="3"/>
  <c r="CK403" i="3"/>
  <c r="CL403" i="3"/>
  <c r="CJ403" i="3"/>
  <c r="AN403" i="3"/>
  <c r="BJ403" i="3" s="1"/>
  <c r="CA403" i="3"/>
  <c r="AM403" i="3"/>
  <c r="BI403" i="3" s="1"/>
  <c r="BW427" i="3"/>
  <c r="BY427" i="3" s="1"/>
  <c r="CO427" i="3"/>
  <c r="BV451" i="3"/>
  <c r="BU451" i="3"/>
  <c r="BL475" i="3"/>
  <c r="BN475" i="3" s="1"/>
  <c r="BP475" i="3"/>
  <c r="BT475" i="3" s="1"/>
  <c r="CM402" i="3"/>
  <c r="BZ402" i="3"/>
  <c r="CK402" i="3"/>
  <c r="CL402" i="3"/>
  <c r="CJ402" i="3"/>
  <c r="AN402" i="3"/>
  <c r="BJ402" i="3" s="1"/>
  <c r="CA402" i="3"/>
  <c r="AM402" i="3"/>
  <c r="BI402" i="3" s="1"/>
  <c r="BW426" i="3"/>
  <c r="BY426" i="3" s="1"/>
  <c r="CO426" i="3"/>
  <c r="BV450" i="3"/>
  <c r="BU450" i="3"/>
  <c r="BL474" i="3"/>
  <c r="BN474" i="3" s="1"/>
  <c r="BP474" i="3"/>
  <c r="BT474" i="3" s="1"/>
  <c r="BF498" i="3"/>
  <c r="CS498" i="3"/>
  <c r="AR498" i="3"/>
  <c r="AS498" i="3" s="1"/>
  <c r="BK498" i="3"/>
  <c r="CT498" i="3"/>
  <c r="BH498" i="3"/>
  <c r="CM401" i="3"/>
  <c r="CK401" i="3"/>
  <c r="BZ401" i="3"/>
  <c r="CL401" i="3"/>
  <c r="CJ401" i="3"/>
  <c r="AN401" i="3"/>
  <c r="BJ401" i="3" s="1"/>
  <c r="CA401" i="3"/>
  <c r="AM401" i="3"/>
  <c r="BI401" i="3" s="1"/>
  <c r="BW425" i="3"/>
  <c r="BY425" i="3" s="1"/>
  <c r="CO425" i="3"/>
  <c r="BO449" i="3"/>
  <c r="BS449" i="3"/>
  <c r="BV449" i="3"/>
  <c r="BU449" i="3"/>
  <c r="BL473" i="3"/>
  <c r="BN473" i="3" s="1"/>
  <c r="BP473" i="3"/>
  <c r="BT473" i="3" s="1"/>
  <c r="BF497" i="3"/>
  <c r="CS497" i="3"/>
  <c r="AR497" i="3"/>
  <c r="AS497" i="3" s="1"/>
  <c r="BK497" i="3"/>
  <c r="CT497" i="3"/>
  <c r="BH497" i="3"/>
  <c r="CM400" i="3"/>
  <c r="BZ400" i="3"/>
  <c r="CK400" i="3"/>
  <c r="CL400" i="3"/>
  <c r="CJ400" i="3"/>
  <c r="AN400" i="3"/>
  <c r="BJ400" i="3" s="1"/>
  <c r="CA400" i="3"/>
  <c r="AM400" i="3"/>
  <c r="BI400" i="3" s="1"/>
  <c r="BW424" i="3"/>
  <c r="BY424" i="3" s="1"/>
  <c r="CO424" i="3"/>
  <c r="BO448" i="3"/>
  <c r="BS448" i="3"/>
  <c r="BV448" i="3"/>
  <c r="BU448" i="3"/>
  <c r="BL472" i="3"/>
  <c r="BN472" i="3" s="1"/>
  <c r="BP472" i="3"/>
  <c r="BT472" i="3" s="1"/>
  <c r="CS496" i="3"/>
  <c r="AR496" i="3"/>
  <c r="AS496" i="3" s="1"/>
  <c r="BK496" i="3"/>
  <c r="BF496" i="3"/>
  <c r="CT496" i="3"/>
  <c r="BH496" i="3"/>
  <c r="CM399" i="3"/>
  <c r="BZ399" i="3"/>
  <c r="CK399" i="3"/>
  <c r="CL399" i="3"/>
  <c r="CJ399" i="3"/>
  <c r="AN399" i="3"/>
  <c r="BJ399" i="3" s="1"/>
  <c r="CA399" i="3"/>
  <c r="AM399" i="3"/>
  <c r="BI399" i="3" s="1"/>
  <c r="BW423" i="3"/>
  <c r="BY423" i="3" s="1"/>
  <c r="CO423" i="3"/>
  <c r="BO447" i="3"/>
  <c r="BS447" i="3"/>
  <c r="BV447" i="3"/>
  <c r="BU447" i="3"/>
  <c r="BL471" i="3"/>
  <c r="BN471" i="3" s="1"/>
  <c r="BP471" i="3"/>
  <c r="BT471" i="3" s="1"/>
  <c r="BF495" i="3"/>
  <c r="CS495" i="3"/>
  <c r="AR495" i="3"/>
  <c r="AS495" i="3" s="1"/>
  <c r="BK495" i="3"/>
  <c r="CT495" i="3"/>
  <c r="BH495" i="3"/>
  <c r="CM398" i="3"/>
  <c r="BZ398" i="3"/>
  <c r="CK398" i="3"/>
  <c r="CL398" i="3"/>
  <c r="CJ398" i="3"/>
  <c r="AN398" i="3"/>
  <c r="BJ398" i="3" s="1"/>
  <c r="CA398" i="3"/>
  <c r="AM398" i="3"/>
  <c r="BI398" i="3" s="1"/>
  <c r="BW422" i="3"/>
  <c r="BY422" i="3" s="1"/>
  <c r="CO422" i="3"/>
  <c r="BO446" i="3"/>
  <c r="BS446" i="3"/>
  <c r="BV446" i="3"/>
  <c r="BU446" i="3"/>
  <c r="BF494" i="3"/>
  <c r="CS494" i="3"/>
  <c r="AR494" i="3"/>
  <c r="AS494" i="3" s="1"/>
  <c r="BK494" i="3"/>
  <c r="CT494" i="3"/>
  <c r="BH494" i="3"/>
  <c r="CM397" i="3"/>
  <c r="BZ397" i="3"/>
  <c r="CK397" i="3"/>
  <c r="CL397" i="3"/>
  <c r="CJ397" i="3"/>
  <c r="AN397" i="3"/>
  <c r="BJ397" i="3" s="1"/>
  <c r="CA397" i="3"/>
  <c r="AM397" i="3"/>
  <c r="BI397" i="3" s="1"/>
  <c r="BW421" i="3"/>
  <c r="BY421" i="3" s="1"/>
  <c r="CO421" i="3"/>
  <c r="BO445" i="3"/>
  <c r="BS445" i="3"/>
  <c r="BV445" i="3"/>
  <c r="BU445" i="3"/>
  <c r="BL469" i="3"/>
  <c r="BN469" i="3" s="1"/>
  <c r="BP469" i="3"/>
  <c r="BT469" i="3" s="1"/>
  <c r="BF493" i="3"/>
  <c r="CS493" i="3"/>
  <c r="AR493" i="3"/>
  <c r="AS493" i="3" s="1"/>
  <c r="BK493" i="3"/>
  <c r="CT493" i="3"/>
  <c r="BH493" i="3"/>
  <c r="CM396" i="3"/>
  <c r="BZ396" i="3"/>
  <c r="CK396" i="3"/>
  <c r="CL396" i="3"/>
  <c r="CJ396" i="3"/>
  <c r="AN396" i="3"/>
  <c r="BJ396" i="3" s="1"/>
  <c r="CA396" i="3"/>
  <c r="AM396" i="3"/>
  <c r="BI396" i="3" s="1"/>
  <c r="BW420" i="3"/>
  <c r="BY420" i="3" s="1"/>
  <c r="CO420" i="3"/>
  <c r="BO444" i="3"/>
  <c r="BS444" i="3"/>
  <c r="BV444" i="3"/>
  <c r="BU444" i="3"/>
  <c r="BL468" i="3"/>
  <c r="BN468" i="3" s="1"/>
  <c r="BP468" i="3"/>
  <c r="BT468" i="3" s="1"/>
  <c r="BF492" i="3"/>
  <c r="CS492" i="3"/>
  <c r="AR492" i="3"/>
  <c r="AS492" i="3" s="1"/>
  <c r="BK492" i="3"/>
  <c r="CT492" i="3"/>
  <c r="BH492" i="3"/>
  <c r="CK395" i="3"/>
  <c r="CM395" i="3"/>
  <c r="BZ395" i="3"/>
  <c r="CL395" i="3"/>
  <c r="CJ395" i="3"/>
  <c r="AN395" i="3"/>
  <c r="BJ395" i="3" s="1"/>
  <c r="CA395" i="3"/>
  <c r="AM395" i="3"/>
  <c r="BI395" i="3" s="1"/>
  <c r="BW419" i="3"/>
  <c r="BY419" i="3" s="1"/>
  <c r="CO419" i="3"/>
  <c r="BO443" i="3"/>
  <c r="BS443" i="3"/>
  <c r="BV443" i="3"/>
  <c r="BU443" i="3"/>
  <c r="BL467" i="3"/>
  <c r="BN467" i="3" s="1"/>
  <c r="BP467" i="3"/>
  <c r="BT467" i="3" s="1"/>
  <c r="CK394" i="3"/>
  <c r="CL394" i="3"/>
  <c r="CM394" i="3"/>
  <c r="BZ394" i="3"/>
  <c r="CJ394" i="3"/>
  <c r="AN394" i="3"/>
  <c r="BJ394" i="3" s="1"/>
  <c r="CA394" i="3"/>
  <c r="AM394" i="3"/>
  <c r="BI394" i="3" s="1"/>
  <c r="BW418" i="3"/>
  <c r="BY418" i="3" s="1"/>
  <c r="CO418" i="3"/>
  <c r="BO442" i="3"/>
  <c r="BS442" i="3"/>
  <c r="BV442" i="3"/>
  <c r="BU442" i="3"/>
  <c r="BZ393" i="3"/>
  <c r="CL393" i="3"/>
  <c r="CM393" i="3"/>
  <c r="CK393" i="3"/>
  <c r="CJ393" i="3"/>
  <c r="AN393" i="3"/>
  <c r="BJ393" i="3" s="1"/>
  <c r="CA393" i="3"/>
  <c r="AM393" i="3"/>
  <c r="BI393" i="3" s="1"/>
  <c r="BW417" i="3"/>
  <c r="BY417" i="3" s="1"/>
  <c r="CO417" i="3"/>
  <c r="BO441" i="3"/>
  <c r="BS441" i="3"/>
  <c r="BV441" i="3"/>
  <c r="BU441" i="3"/>
  <c r="BL465" i="3"/>
  <c r="BN465" i="3" s="1"/>
  <c r="BP465" i="3"/>
  <c r="BT465" i="3" s="1"/>
  <c r="BF489" i="3"/>
  <c r="CS489" i="3"/>
  <c r="AR489" i="3"/>
  <c r="AS489" i="3" s="1"/>
  <c r="BK489" i="3"/>
  <c r="CT489" i="3"/>
  <c r="BH489" i="3"/>
  <c r="CM392" i="3"/>
  <c r="BZ392" i="3"/>
  <c r="CK392" i="3"/>
  <c r="CL392" i="3"/>
  <c r="CJ392" i="3"/>
  <c r="AN392" i="3"/>
  <c r="BJ392" i="3" s="1"/>
  <c r="CA392" i="3"/>
  <c r="AM392" i="3"/>
  <c r="BI392" i="3" s="1"/>
  <c r="BW416" i="3"/>
  <c r="BY416" i="3" s="1"/>
  <c r="CO416" i="3"/>
  <c r="BV440" i="3"/>
  <c r="BU440" i="3"/>
  <c r="CM391" i="3"/>
  <c r="BZ391" i="3"/>
  <c r="CK391" i="3"/>
  <c r="CL391" i="3"/>
  <c r="CJ391" i="3"/>
  <c r="AN391" i="3"/>
  <c r="BJ391" i="3" s="1"/>
  <c r="CA391" i="3"/>
  <c r="AM391" i="3"/>
  <c r="BI391" i="3" s="1"/>
  <c r="BW415" i="3"/>
  <c r="BY415" i="3" s="1"/>
  <c r="CO415" i="3"/>
  <c r="CS487" i="3"/>
  <c r="AR487" i="3"/>
  <c r="AS487" i="3" s="1"/>
  <c r="BK487" i="3"/>
  <c r="BF487" i="3"/>
  <c r="CT487" i="3"/>
  <c r="BH487" i="3"/>
  <c r="BO439" i="3"/>
  <c r="BS439" i="3"/>
  <c r="BV439" i="3"/>
  <c r="BU439" i="3"/>
  <c r="CM390" i="3"/>
  <c r="BZ390" i="3"/>
  <c r="CK390" i="3"/>
  <c r="CL390" i="3"/>
  <c r="CJ390" i="3"/>
  <c r="AN390" i="3"/>
  <c r="BJ390" i="3" s="1"/>
  <c r="CA390" i="3"/>
  <c r="AM390" i="3"/>
  <c r="BI390" i="3" s="1"/>
  <c r="BW414" i="3"/>
  <c r="BY414" i="3" s="1"/>
  <c r="CO414" i="3"/>
  <c r="BO438" i="3"/>
  <c r="BS438" i="3"/>
  <c r="BV438" i="3"/>
  <c r="BU438" i="3"/>
  <c r="CM389" i="3"/>
  <c r="CL389" i="3"/>
  <c r="BZ389" i="3"/>
  <c r="CK389" i="3"/>
  <c r="CJ389" i="3"/>
  <c r="AN389" i="3"/>
  <c r="BJ389" i="3" s="1"/>
  <c r="CA389" i="3"/>
  <c r="AM389" i="3"/>
  <c r="BI389" i="3" s="1"/>
  <c r="BW413" i="3"/>
  <c r="BY413" i="3" s="1"/>
  <c r="CO413" i="3"/>
  <c r="BO437" i="3"/>
  <c r="BS437" i="3"/>
  <c r="BV437" i="3"/>
  <c r="BU437" i="3"/>
  <c r="BL461" i="3"/>
  <c r="BN461" i="3" s="1"/>
  <c r="BP461" i="3"/>
  <c r="BT461" i="3" s="1"/>
  <c r="BF485" i="3"/>
  <c r="CS485" i="3"/>
  <c r="AR485" i="3"/>
  <c r="AS485" i="3" s="1"/>
  <c r="BK485" i="3"/>
  <c r="CT485" i="3"/>
  <c r="BH485" i="3"/>
  <c r="BZ388" i="3"/>
  <c r="CL388" i="3"/>
  <c r="CM388" i="3"/>
  <c r="CK388" i="3"/>
  <c r="CJ388" i="3"/>
  <c r="AN388" i="3"/>
  <c r="BJ388" i="3" s="1"/>
  <c r="AM388" i="3"/>
  <c r="BI388" i="3" s="1"/>
  <c r="CA388" i="3"/>
  <c r="BW412" i="3"/>
  <c r="BY412" i="3" s="1"/>
  <c r="CO412" i="3"/>
  <c r="BL460" i="3"/>
  <c r="BN460" i="3" s="1"/>
  <c r="BP460" i="3"/>
  <c r="BT460" i="3" s="1"/>
  <c r="BO436" i="3"/>
  <c r="BS436" i="3"/>
  <c r="BV436" i="3"/>
  <c r="BU436" i="3"/>
  <c r="CM387" i="3"/>
  <c r="BZ387" i="3"/>
  <c r="CK387" i="3"/>
  <c r="CL387" i="3"/>
  <c r="CJ387" i="3"/>
  <c r="AN387" i="3"/>
  <c r="BJ387" i="3" s="1"/>
  <c r="AM387" i="3"/>
  <c r="BI387" i="3" s="1"/>
  <c r="CA387" i="3"/>
  <c r="BW411" i="3"/>
  <c r="BY411" i="3" s="1"/>
  <c r="CO411" i="3"/>
  <c r="BL459" i="3"/>
  <c r="BN459" i="3" s="1"/>
  <c r="BP459" i="3"/>
  <c r="BT459" i="3" s="1"/>
  <c r="BO435" i="3"/>
  <c r="BS435" i="3"/>
  <c r="BV435" i="3"/>
  <c r="BU435" i="3"/>
  <c r="CM386" i="3"/>
  <c r="BZ386" i="3"/>
  <c r="CK386" i="3"/>
  <c r="CL386" i="3"/>
  <c r="CJ386" i="3"/>
  <c r="AN386" i="3"/>
  <c r="BJ386" i="3" s="1"/>
  <c r="AM386" i="3"/>
  <c r="BI386" i="3" s="1"/>
  <c r="CA386" i="3"/>
  <c r="BW410" i="3"/>
  <c r="BY410" i="3" s="1"/>
  <c r="CO410" i="3"/>
  <c r="BO434" i="3"/>
  <c r="BS434" i="3"/>
  <c r="BV434" i="3"/>
  <c r="BU434" i="3"/>
  <c r="BL458" i="3"/>
  <c r="BN458" i="3" s="1"/>
  <c r="BP458" i="3"/>
  <c r="BT458" i="3" s="1"/>
  <c r="BF482" i="3"/>
  <c r="CS482" i="3"/>
  <c r="AR482" i="3"/>
  <c r="AS482" i="3" s="1"/>
  <c r="BK482" i="3"/>
  <c r="CT482" i="3"/>
  <c r="BH482" i="3"/>
  <c r="CM385" i="3"/>
  <c r="BZ385" i="3"/>
  <c r="CK385" i="3"/>
  <c r="CL385" i="3"/>
  <c r="CJ385" i="3"/>
  <c r="AN385" i="3"/>
  <c r="BJ385" i="3" s="1"/>
  <c r="AM385" i="3"/>
  <c r="BI385" i="3" s="1"/>
  <c r="CA385" i="3"/>
  <c r="BW409" i="3"/>
  <c r="BY409" i="3" s="1"/>
  <c r="CO409" i="3"/>
  <c r="BL457" i="3"/>
  <c r="BN457" i="3" s="1"/>
  <c r="BP457" i="3"/>
  <c r="BT457" i="3" s="1"/>
  <c r="CM384" i="3"/>
  <c r="BZ384" i="3"/>
  <c r="CK384" i="3"/>
  <c r="CL384" i="3"/>
  <c r="CJ384" i="3"/>
  <c r="AN384" i="3"/>
  <c r="BJ384" i="3" s="1"/>
  <c r="AM384" i="3"/>
  <c r="BI384" i="3" s="1"/>
  <c r="CA384" i="3"/>
  <c r="BW408" i="3"/>
  <c r="BY408" i="3" s="1"/>
  <c r="CO408" i="3"/>
  <c r="BO432" i="3"/>
  <c r="BS432" i="3"/>
  <c r="BV432" i="3"/>
  <c r="BU432" i="3"/>
  <c r="CS480" i="3"/>
  <c r="AR480" i="3"/>
  <c r="AS480" i="3" s="1"/>
  <c r="BK480" i="3"/>
  <c r="BF480" i="3"/>
  <c r="CT480" i="3"/>
  <c r="BH480" i="3"/>
  <c r="BJ333" i="3"/>
  <c r="AK29" i="19" s="1"/>
  <c r="N56" i="13" s="1"/>
  <c r="AC56" i="13" s="1"/>
  <c r="U29" i="19"/>
  <c r="H56" i="13" s="1"/>
  <c r="AG56" i="13" s="1"/>
  <c r="L30" i="13"/>
  <c r="AE30" i="13" s="1"/>
  <c r="AN29" i="19"/>
  <c r="Q56" i="13" s="1"/>
  <c r="AH56" i="13" s="1"/>
  <c r="AO56" i="13" s="1"/>
  <c r="F56" i="13"/>
  <c r="AA30" i="13"/>
  <c r="AA56" i="13" s="1"/>
  <c r="BZ382" i="3"/>
  <c r="CM382" i="3"/>
  <c r="CL382" i="3"/>
  <c r="CK382" i="3"/>
  <c r="CJ382" i="3"/>
  <c r="AN382" i="3"/>
  <c r="BJ382" i="3" s="1"/>
  <c r="AM382" i="3"/>
  <c r="BI382" i="3" s="1"/>
  <c r="CA382" i="3"/>
  <c r="BW407" i="3"/>
  <c r="BY407" i="3" s="1"/>
  <c r="CO407" i="3"/>
  <c r="BW406" i="3"/>
  <c r="BY406" i="3" s="1"/>
  <c r="CO406" i="3"/>
  <c r="BW381" i="3"/>
  <c r="BY381" i="3" s="1"/>
  <c r="CO381" i="3"/>
  <c r="BV431" i="3"/>
  <c r="BU431" i="3"/>
  <c r="BV430" i="3"/>
  <c r="BU430" i="3"/>
  <c r="BO430" i="3"/>
  <c r="BS430" i="3"/>
  <c r="BV405" i="3"/>
  <c r="BU405" i="3"/>
  <c r="BO405" i="3"/>
  <c r="BS405" i="3"/>
  <c r="BW357" i="3"/>
  <c r="BY357" i="3" s="1"/>
  <c r="CO357" i="3"/>
  <c r="BP455" i="3"/>
  <c r="BT455" i="3" s="1"/>
  <c r="BL455" i="3"/>
  <c r="BN455" i="3" s="1"/>
  <c r="BP454" i="3"/>
  <c r="BT454" i="3" s="1"/>
  <c r="BL454" i="3"/>
  <c r="BN454" i="3" s="1"/>
  <c r="BP429" i="3"/>
  <c r="BT429" i="3" s="1"/>
  <c r="BL429" i="3"/>
  <c r="BN429" i="3" s="1"/>
  <c r="BF479" i="3"/>
  <c r="CS479" i="3"/>
  <c r="AR479" i="3"/>
  <c r="AS479" i="3" s="1"/>
  <c r="BK479" i="3"/>
  <c r="CT479" i="3"/>
  <c r="BH479" i="3"/>
  <c r="BF478" i="3"/>
  <c r="CS478" i="3"/>
  <c r="AR478" i="3"/>
  <c r="AS478" i="3" s="1"/>
  <c r="BK478" i="3"/>
  <c r="CT478" i="3"/>
  <c r="BH478" i="3"/>
  <c r="BF453" i="3"/>
  <c r="CS453" i="3"/>
  <c r="AR453" i="3"/>
  <c r="AS453" i="3" s="1"/>
  <c r="BK453" i="3"/>
  <c r="CT453" i="3"/>
  <c r="BH453" i="3"/>
  <c r="BL433" i="3"/>
  <c r="BN433" i="3" s="1"/>
  <c r="BP433" i="3"/>
  <c r="BT433" i="3" s="1"/>
  <c r="AK477" i="3"/>
  <c r="AJ477" i="3"/>
  <c r="BG477" i="3"/>
  <c r="AL477" i="3"/>
  <c r="BF464" i="3"/>
  <c r="CS464" i="3"/>
  <c r="AR464" i="3"/>
  <c r="AS464" i="3" s="1"/>
  <c r="BK464" i="3"/>
  <c r="CT464" i="3"/>
  <c r="BH464" i="3"/>
  <c r="C18" i="30"/>
  <c r="G18" i="30" s="1"/>
  <c r="T78" i="33"/>
  <c r="S78" i="33" s="1"/>
  <c r="G31" i="24"/>
  <c r="S104" i="33"/>
  <c r="U104" i="33"/>
  <c r="U96" i="33" s="1"/>
  <c r="F36" i="33"/>
  <c r="U59" i="24"/>
  <c r="U51" i="24" s="1"/>
  <c r="S59" i="24"/>
  <c r="G55" i="15"/>
  <c r="C33" i="30"/>
  <c r="G33" i="30" s="1"/>
  <c r="BG490" i="3"/>
  <c r="AK490" i="3"/>
  <c r="AJ490" i="3"/>
  <c r="AL490" i="3"/>
  <c r="BG483" i="3"/>
  <c r="AK483" i="3"/>
  <c r="AJ483" i="3"/>
  <c r="AL483" i="3"/>
  <c r="M29" i="19"/>
  <c r="G30" i="13" s="1"/>
  <c r="X30" i="13" s="1"/>
  <c r="S71" i="24"/>
  <c r="U71" i="24"/>
  <c r="BO452" i="3" l="1"/>
  <c r="BS452" i="3"/>
  <c r="BN463" i="3"/>
  <c r="BO450" i="3"/>
  <c r="BS450" i="3"/>
  <c r="BO451" i="3"/>
  <c r="BS451" i="3"/>
  <c r="CS499" i="3"/>
  <c r="AR499" i="3"/>
  <c r="AS499" i="3" s="1"/>
  <c r="BK499" i="3"/>
  <c r="BL499" i="3" s="1"/>
  <c r="CT499" i="3"/>
  <c r="BH499" i="3"/>
  <c r="BP499" i="3" s="1"/>
  <c r="BT499" i="3" s="1"/>
  <c r="CS488" i="3"/>
  <c r="AR488" i="3"/>
  <c r="AS488" i="3" s="1"/>
  <c r="BK488" i="3"/>
  <c r="BL488" i="3" s="1"/>
  <c r="CT488" i="3"/>
  <c r="BH488" i="3"/>
  <c r="BP488" i="3" s="1"/>
  <c r="BT488" i="3" s="1"/>
  <c r="BS431" i="3"/>
  <c r="BO431" i="3"/>
  <c r="BO440" i="3"/>
  <c r="BS440" i="3"/>
  <c r="BN470" i="3"/>
  <c r="BN466" i="3"/>
  <c r="CS491" i="3"/>
  <c r="AR491" i="3"/>
  <c r="AS491" i="3" s="1"/>
  <c r="BK491" i="3"/>
  <c r="BL491" i="3" s="1"/>
  <c r="CT491" i="3"/>
  <c r="BH491" i="3"/>
  <c r="BP491" i="3" s="1"/>
  <c r="BT491" i="3" s="1"/>
  <c r="CS486" i="3"/>
  <c r="AR486" i="3"/>
  <c r="AS486" i="3" s="1"/>
  <c r="BK486" i="3"/>
  <c r="BL486" i="3" s="1"/>
  <c r="CT486" i="3"/>
  <c r="BH486" i="3"/>
  <c r="BP486" i="3" s="1"/>
  <c r="BT486" i="3" s="1"/>
  <c r="CS484" i="3"/>
  <c r="AR484" i="3"/>
  <c r="AS484" i="3" s="1"/>
  <c r="BK484" i="3"/>
  <c r="BL484" i="3" s="1"/>
  <c r="CT484" i="3"/>
  <c r="BH484" i="3"/>
  <c r="BP484" i="3" s="1"/>
  <c r="BT484" i="3" s="1"/>
  <c r="BN462" i="3"/>
  <c r="BN456" i="3"/>
  <c r="CS481" i="3"/>
  <c r="AR481" i="3"/>
  <c r="AS481" i="3" s="1"/>
  <c r="BK481" i="3"/>
  <c r="BL481" i="3" s="1"/>
  <c r="CT481" i="3"/>
  <c r="BH481" i="3"/>
  <c r="BP481" i="3" s="1"/>
  <c r="BT481" i="3" s="1"/>
  <c r="CM428" i="3"/>
  <c r="BZ428" i="3"/>
  <c r="CK428" i="3"/>
  <c r="CL428" i="3"/>
  <c r="CJ428" i="3"/>
  <c r="AN428" i="3"/>
  <c r="BJ428" i="3" s="1"/>
  <c r="CA428" i="3"/>
  <c r="AM428" i="3"/>
  <c r="BI428" i="3" s="1"/>
  <c r="BW452" i="3"/>
  <c r="BY452" i="3" s="1"/>
  <c r="CO452" i="3"/>
  <c r="BO476" i="3"/>
  <c r="BS476" i="3"/>
  <c r="BV476" i="3"/>
  <c r="BU476" i="3"/>
  <c r="AE504" i="3"/>
  <c r="AF500" i="3"/>
  <c r="AA504" i="3"/>
  <c r="CM427" i="3"/>
  <c r="CL427" i="3"/>
  <c r="BZ427" i="3"/>
  <c r="CK427" i="3"/>
  <c r="CJ427" i="3"/>
  <c r="AN427" i="3"/>
  <c r="BJ427" i="3" s="1"/>
  <c r="CA427" i="3"/>
  <c r="AM427" i="3"/>
  <c r="BI427" i="3" s="1"/>
  <c r="BW451" i="3"/>
  <c r="BY451" i="3" s="1"/>
  <c r="CO451" i="3"/>
  <c r="BO475" i="3"/>
  <c r="BS475" i="3"/>
  <c r="BV475" i="3"/>
  <c r="BU475" i="3"/>
  <c r="CM426" i="3"/>
  <c r="BZ426" i="3"/>
  <c r="CK426" i="3"/>
  <c r="CL426" i="3"/>
  <c r="CJ426" i="3"/>
  <c r="AN426" i="3"/>
  <c r="BJ426" i="3" s="1"/>
  <c r="CA426" i="3"/>
  <c r="AM426" i="3"/>
  <c r="BI426" i="3" s="1"/>
  <c r="BW450" i="3"/>
  <c r="BY450" i="3" s="1"/>
  <c r="CO450" i="3"/>
  <c r="BO474" i="3"/>
  <c r="BS474" i="3"/>
  <c r="BV474" i="3"/>
  <c r="BU474" i="3"/>
  <c r="BL498" i="3"/>
  <c r="BN498" i="3" s="1"/>
  <c r="BP498" i="3"/>
  <c r="BT498" i="3" s="1"/>
  <c r="BZ425" i="3"/>
  <c r="CL425" i="3"/>
  <c r="CM425" i="3"/>
  <c r="CK425" i="3"/>
  <c r="CJ425" i="3"/>
  <c r="AN425" i="3"/>
  <c r="BJ425" i="3" s="1"/>
  <c r="CA425" i="3"/>
  <c r="AM425" i="3"/>
  <c r="BI425" i="3" s="1"/>
  <c r="BW449" i="3"/>
  <c r="BY449" i="3" s="1"/>
  <c r="CO449" i="3"/>
  <c r="BO473" i="3"/>
  <c r="BS473" i="3"/>
  <c r="BV473" i="3"/>
  <c r="BU473" i="3"/>
  <c r="BL497" i="3"/>
  <c r="BN497" i="3" s="1"/>
  <c r="BP497" i="3"/>
  <c r="BT497" i="3" s="1"/>
  <c r="CM424" i="3"/>
  <c r="BZ424" i="3"/>
  <c r="CK424" i="3"/>
  <c r="CL424" i="3"/>
  <c r="CJ424" i="3"/>
  <c r="AN424" i="3"/>
  <c r="BJ424" i="3" s="1"/>
  <c r="CA424" i="3"/>
  <c r="AM424" i="3"/>
  <c r="BI424" i="3" s="1"/>
  <c r="BW448" i="3"/>
  <c r="BY448" i="3" s="1"/>
  <c r="CO448" i="3"/>
  <c r="BO472" i="3"/>
  <c r="BS472" i="3"/>
  <c r="BV472" i="3"/>
  <c r="BU472" i="3"/>
  <c r="BL496" i="3"/>
  <c r="BN496" i="3" s="1"/>
  <c r="BP496" i="3"/>
  <c r="BT496" i="3" s="1"/>
  <c r="CM423" i="3"/>
  <c r="BZ423" i="3"/>
  <c r="CK423" i="3"/>
  <c r="CL423" i="3"/>
  <c r="CJ423" i="3"/>
  <c r="AN423" i="3"/>
  <c r="BJ423" i="3" s="1"/>
  <c r="CA423" i="3"/>
  <c r="AM423" i="3"/>
  <c r="BI423" i="3" s="1"/>
  <c r="BW447" i="3"/>
  <c r="BY447" i="3" s="1"/>
  <c r="CO447" i="3"/>
  <c r="BO471" i="3"/>
  <c r="BS471" i="3"/>
  <c r="BV471" i="3"/>
  <c r="BU471" i="3"/>
  <c r="BL495" i="3"/>
  <c r="BN495" i="3" s="1"/>
  <c r="BP495" i="3"/>
  <c r="BT495" i="3" s="1"/>
  <c r="CM422" i="3"/>
  <c r="BZ422" i="3"/>
  <c r="CK422" i="3"/>
  <c r="CL422" i="3"/>
  <c r="CJ422" i="3"/>
  <c r="AN422" i="3"/>
  <c r="BJ422" i="3" s="1"/>
  <c r="CA422" i="3"/>
  <c r="AM422" i="3"/>
  <c r="BI422" i="3" s="1"/>
  <c r="BW446" i="3"/>
  <c r="BY446" i="3" s="1"/>
  <c r="CO446" i="3"/>
  <c r="BV470" i="3"/>
  <c r="BU470" i="3"/>
  <c r="BL494" i="3"/>
  <c r="BN494" i="3" s="1"/>
  <c r="BP494" i="3"/>
  <c r="BT494" i="3" s="1"/>
  <c r="CM421" i="3"/>
  <c r="BZ421" i="3"/>
  <c r="CK421" i="3"/>
  <c r="CL421" i="3"/>
  <c r="CJ421" i="3"/>
  <c r="AN421" i="3"/>
  <c r="BJ421" i="3" s="1"/>
  <c r="CA421" i="3"/>
  <c r="AM421" i="3"/>
  <c r="BI421" i="3" s="1"/>
  <c r="BW445" i="3"/>
  <c r="BY445" i="3" s="1"/>
  <c r="CO445" i="3"/>
  <c r="BO469" i="3"/>
  <c r="BS469" i="3"/>
  <c r="BV469" i="3"/>
  <c r="BU469" i="3"/>
  <c r="BL493" i="3"/>
  <c r="BN493" i="3" s="1"/>
  <c r="BP493" i="3"/>
  <c r="BT493" i="3" s="1"/>
  <c r="CM420" i="3"/>
  <c r="BZ420" i="3"/>
  <c r="CK420" i="3"/>
  <c r="CL420" i="3"/>
  <c r="CJ420" i="3"/>
  <c r="AN420" i="3"/>
  <c r="BJ420" i="3" s="1"/>
  <c r="CA420" i="3"/>
  <c r="AM420" i="3"/>
  <c r="BI420" i="3" s="1"/>
  <c r="BW444" i="3"/>
  <c r="BY444" i="3" s="1"/>
  <c r="CO444" i="3"/>
  <c r="BO468" i="3"/>
  <c r="BS468" i="3"/>
  <c r="BV468" i="3"/>
  <c r="BU468" i="3"/>
  <c r="BL492" i="3"/>
  <c r="BN492" i="3" s="1"/>
  <c r="BP492" i="3"/>
  <c r="BT492" i="3" s="1"/>
  <c r="CK419" i="3"/>
  <c r="CL419" i="3"/>
  <c r="CM419" i="3"/>
  <c r="BZ419" i="3"/>
  <c r="CJ419" i="3"/>
  <c r="AN419" i="3"/>
  <c r="BJ419" i="3" s="1"/>
  <c r="CA419" i="3"/>
  <c r="AM419" i="3"/>
  <c r="BI419" i="3" s="1"/>
  <c r="BW443" i="3"/>
  <c r="BY443" i="3" s="1"/>
  <c r="CO443" i="3"/>
  <c r="BO467" i="3"/>
  <c r="BS467" i="3"/>
  <c r="BV467" i="3"/>
  <c r="BU467" i="3"/>
  <c r="CM418" i="3"/>
  <c r="BZ418" i="3"/>
  <c r="CK418" i="3"/>
  <c r="CL418" i="3"/>
  <c r="CJ418" i="3"/>
  <c r="AN418" i="3"/>
  <c r="BJ418" i="3" s="1"/>
  <c r="CA418" i="3"/>
  <c r="AM418" i="3"/>
  <c r="BI418" i="3" s="1"/>
  <c r="BW442" i="3"/>
  <c r="BY442" i="3" s="1"/>
  <c r="CO442" i="3"/>
  <c r="BV466" i="3"/>
  <c r="BU466" i="3"/>
  <c r="CM417" i="3"/>
  <c r="BZ417" i="3"/>
  <c r="CK417" i="3"/>
  <c r="CL417" i="3"/>
  <c r="CJ417" i="3"/>
  <c r="AN417" i="3"/>
  <c r="BJ417" i="3" s="1"/>
  <c r="CA417" i="3"/>
  <c r="AM417" i="3"/>
  <c r="BI417" i="3" s="1"/>
  <c r="BW441" i="3"/>
  <c r="BY441" i="3" s="1"/>
  <c r="CO441" i="3"/>
  <c r="BO465" i="3"/>
  <c r="BS465" i="3"/>
  <c r="BV465" i="3"/>
  <c r="BU465" i="3"/>
  <c r="BL489" i="3"/>
  <c r="BN489" i="3" s="1"/>
  <c r="BP489" i="3"/>
  <c r="BT489" i="3" s="1"/>
  <c r="CM416" i="3"/>
  <c r="CL416" i="3"/>
  <c r="BZ416" i="3"/>
  <c r="CK416" i="3"/>
  <c r="CJ416" i="3"/>
  <c r="AN416" i="3"/>
  <c r="BJ416" i="3" s="1"/>
  <c r="CA416" i="3"/>
  <c r="AM416" i="3"/>
  <c r="BI416" i="3" s="1"/>
  <c r="BW440" i="3"/>
  <c r="BY440" i="3" s="1"/>
  <c r="CO440" i="3"/>
  <c r="CM415" i="3"/>
  <c r="CL415" i="3"/>
  <c r="BZ415" i="3"/>
  <c r="CK415" i="3"/>
  <c r="CJ415" i="3"/>
  <c r="AN415" i="3"/>
  <c r="BJ415" i="3" s="1"/>
  <c r="CA415" i="3"/>
  <c r="AM415" i="3"/>
  <c r="BI415" i="3" s="1"/>
  <c r="BV463" i="3"/>
  <c r="BU463" i="3"/>
  <c r="BL487" i="3"/>
  <c r="BN487" i="3" s="1"/>
  <c r="BP487" i="3"/>
  <c r="BT487" i="3" s="1"/>
  <c r="BW439" i="3"/>
  <c r="BY439" i="3" s="1"/>
  <c r="CO439" i="3"/>
  <c r="CL414" i="3"/>
  <c r="BZ414" i="3"/>
  <c r="CK414" i="3"/>
  <c r="CM414" i="3"/>
  <c r="CJ414" i="3"/>
  <c r="AN414" i="3"/>
  <c r="BJ414" i="3" s="1"/>
  <c r="CA414" i="3"/>
  <c r="AM414" i="3"/>
  <c r="BI414" i="3" s="1"/>
  <c r="BW438" i="3"/>
  <c r="BY438" i="3" s="1"/>
  <c r="CO438" i="3"/>
  <c r="BV462" i="3"/>
  <c r="BU462" i="3"/>
  <c r="CM413" i="3"/>
  <c r="CL413" i="3"/>
  <c r="BZ413" i="3"/>
  <c r="CK413" i="3"/>
  <c r="CJ413" i="3"/>
  <c r="AN413" i="3"/>
  <c r="BJ413" i="3" s="1"/>
  <c r="CA413" i="3"/>
  <c r="AM413" i="3"/>
  <c r="BI413" i="3" s="1"/>
  <c r="BW437" i="3"/>
  <c r="BY437" i="3" s="1"/>
  <c r="CO437" i="3"/>
  <c r="BO461" i="3"/>
  <c r="BS461" i="3"/>
  <c r="BV461" i="3"/>
  <c r="BU461" i="3"/>
  <c r="BL485" i="3"/>
  <c r="BN485" i="3" s="1"/>
  <c r="BP485" i="3"/>
  <c r="BT485" i="3" s="1"/>
  <c r="CM412" i="3"/>
  <c r="BZ412" i="3"/>
  <c r="CK412" i="3"/>
  <c r="CL412" i="3"/>
  <c r="CJ412" i="3"/>
  <c r="AN412" i="3"/>
  <c r="BJ412" i="3" s="1"/>
  <c r="CA412" i="3"/>
  <c r="AM412" i="3"/>
  <c r="BI412" i="3" s="1"/>
  <c r="BO460" i="3"/>
  <c r="BS460" i="3"/>
  <c r="BV460" i="3"/>
  <c r="BU460" i="3"/>
  <c r="BW436" i="3"/>
  <c r="BY436" i="3" s="1"/>
  <c r="CO436" i="3"/>
  <c r="CM411" i="3"/>
  <c r="BZ411" i="3"/>
  <c r="CK411" i="3"/>
  <c r="CL411" i="3"/>
  <c r="CJ411" i="3"/>
  <c r="AN411" i="3"/>
  <c r="BJ411" i="3" s="1"/>
  <c r="CA411" i="3"/>
  <c r="AM411" i="3"/>
  <c r="BI411" i="3" s="1"/>
  <c r="BO459" i="3"/>
  <c r="BS459" i="3"/>
  <c r="BV459" i="3"/>
  <c r="BU459" i="3"/>
  <c r="CO435" i="3"/>
  <c r="BW435" i="3"/>
  <c r="BY435" i="3" s="1"/>
  <c r="CM410" i="3"/>
  <c r="BZ410" i="3"/>
  <c r="CK410" i="3"/>
  <c r="CL410" i="3"/>
  <c r="CJ410" i="3"/>
  <c r="AN410" i="3"/>
  <c r="BJ410" i="3" s="1"/>
  <c r="CA410" i="3"/>
  <c r="AM410" i="3"/>
  <c r="BI410" i="3" s="1"/>
  <c r="BW434" i="3"/>
  <c r="BY434" i="3" s="1"/>
  <c r="CO434" i="3"/>
  <c r="BO458" i="3"/>
  <c r="BS458" i="3"/>
  <c r="BV458" i="3"/>
  <c r="BU458" i="3"/>
  <c r="BL482" i="3"/>
  <c r="BN482" i="3" s="1"/>
  <c r="BP482" i="3"/>
  <c r="BT482" i="3" s="1"/>
  <c r="CM409" i="3"/>
  <c r="BZ409" i="3"/>
  <c r="CK409" i="3"/>
  <c r="CL409" i="3"/>
  <c r="CJ409" i="3"/>
  <c r="AN409" i="3"/>
  <c r="BJ409" i="3" s="1"/>
  <c r="CA409" i="3"/>
  <c r="AM409" i="3"/>
  <c r="BI409" i="3" s="1"/>
  <c r="BO457" i="3"/>
  <c r="BS457" i="3"/>
  <c r="BV457" i="3"/>
  <c r="BU457" i="3"/>
  <c r="CK408" i="3"/>
  <c r="CM408" i="3"/>
  <c r="BZ408" i="3"/>
  <c r="CL408" i="3"/>
  <c r="CJ408" i="3"/>
  <c r="AN408" i="3"/>
  <c r="BJ408" i="3" s="1"/>
  <c r="CA408" i="3"/>
  <c r="AM408" i="3"/>
  <c r="BI408" i="3" s="1"/>
  <c r="BW432" i="3"/>
  <c r="BY432" i="3" s="1"/>
  <c r="CO432" i="3"/>
  <c r="BV456" i="3"/>
  <c r="BU456" i="3"/>
  <c r="BL480" i="3"/>
  <c r="BN480" i="3" s="1"/>
  <c r="BP480" i="3"/>
  <c r="BT480" i="3" s="1"/>
  <c r="CM407" i="3"/>
  <c r="BZ407" i="3"/>
  <c r="CL407" i="3"/>
  <c r="CK407" i="3"/>
  <c r="CJ407" i="3"/>
  <c r="AN407" i="3"/>
  <c r="BJ407" i="3" s="1"/>
  <c r="CA407" i="3"/>
  <c r="AM407" i="3"/>
  <c r="BI407" i="3" s="1"/>
  <c r="CM406" i="3"/>
  <c r="BZ406" i="3"/>
  <c r="CK406" i="3"/>
  <c r="CL406" i="3"/>
  <c r="CJ406" i="3"/>
  <c r="AN406" i="3"/>
  <c r="BJ406" i="3" s="1"/>
  <c r="CA406" i="3"/>
  <c r="AM406" i="3"/>
  <c r="BI406" i="3" s="1"/>
  <c r="CM381" i="3"/>
  <c r="BZ381" i="3"/>
  <c r="M31" i="19" s="1"/>
  <c r="G32" i="13" s="1"/>
  <c r="X32" i="13" s="1"/>
  <c r="CK381" i="3"/>
  <c r="CL381" i="3"/>
  <c r="CJ381" i="3"/>
  <c r="AN381" i="3"/>
  <c r="P31" i="19"/>
  <c r="F32" i="13" s="1"/>
  <c r="AJ31" i="19"/>
  <c r="M58" i="13" s="1"/>
  <c r="AB58" i="13" s="1"/>
  <c r="AP58" i="13" s="1"/>
  <c r="AD31" i="19"/>
  <c r="U32" i="13" s="1"/>
  <c r="AO32" i="13" s="1"/>
  <c r="AB31" i="19"/>
  <c r="Q32" i="13" s="1"/>
  <c r="AJ32" i="13" s="1"/>
  <c r="X31" i="19"/>
  <c r="M32" i="13" s="1"/>
  <c r="AF32" i="13" s="1"/>
  <c r="T31" i="19"/>
  <c r="G58" i="13" s="1"/>
  <c r="AF58" i="13" s="1"/>
  <c r="Q31" i="19"/>
  <c r="J32" i="13" s="1"/>
  <c r="AC32" i="13" s="1"/>
  <c r="AM31" i="19"/>
  <c r="P58" i="13" s="1"/>
  <c r="AE58" i="13" s="1"/>
  <c r="AK58" i="13" s="1"/>
  <c r="AE31" i="19"/>
  <c r="T32" i="13" s="1"/>
  <c r="AN32" i="13" s="1"/>
  <c r="AC31" i="19"/>
  <c r="R32" i="13" s="1"/>
  <c r="AK32" i="13" s="1"/>
  <c r="Z31" i="19"/>
  <c r="O32" i="13" s="1"/>
  <c r="AH32" i="13" s="1"/>
  <c r="W31" i="19"/>
  <c r="S31" i="19"/>
  <c r="I32" i="13" s="1"/>
  <c r="AB32" i="13" s="1"/>
  <c r="R31" i="19"/>
  <c r="K32" i="13" s="1"/>
  <c r="AD32" i="13" s="1"/>
  <c r="Y31" i="19"/>
  <c r="N32" i="13" s="1"/>
  <c r="AG32" i="13" s="1"/>
  <c r="AA31" i="19"/>
  <c r="P32" i="13" s="1"/>
  <c r="AI32" i="13" s="1"/>
  <c r="CA381" i="3"/>
  <c r="N31" i="19" s="1"/>
  <c r="H32" i="13" s="1"/>
  <c r="Y32" i="13" s="1"/>
  <c r="AM381" i="3"/>
  <c r="BI381" i="3" s="1"/>
  <c r="BW431" i="3"/>
  <c r="BY431" i="3" s="1"/>
  <c r="CO431" i="3"/>
  <c r="BW430" i="3"/>
  <c r="BY430" i="3" s="1"/>
  <c r="CO430" i="3"/>
  <c r="BW405" i="3"/>
  <c r="BY405" i="3" s="1"/>
  <c r="CO405" i="3"/>
  <c r="CM357" i="3"/>
  <c r="BZ357" i="3"/>
  <c r="M30" i="19" s="1"/>
  <c r="G31" i="13" s="1"/>
  <c r="X31" i="13" s="1"/>
  <c r="CK357" i="3"/>
  <c r="CL357" i="3"/>
  <c r="CJ357" i="3"/>
  <c r="AN357" i="3"/>
  <c r="AD30" i="19"/>
  <c r="U31" i="13" s="1"/>
  <c r="AO31" i="13" s="1"/>
  <c r="AA30" i="19"/>
  <c r="P31" i="13" s="1"/>
  <c r="AI31" i="13" s="1"/>
  <c r="Q30" i="19"/>
  <c r="J31" i="13" s="1"/>
  <c r="AC31" i="13" s="1"/>
  <c r="Z30" i="19"/>
  <c r="O31" i="13" s="1"/>
  <c r="AH31" i="13" s="1"/>
  <c r="T30" i="19"/>
  <c r="G57" i="13" s="1"/>
  <c r="AF57" i="13" s="1"/>
  <c r="S30" i="19"/>
  <c r="I31" i="13" s="1"/>
  <c r="AB31" i="13" s="1"/>
  <c r="AE30" i="19"/>
  <c r="T31" i="13" s="1"/>
  <c r="AN31" i="13" s="1"/>
  <c r="R30" i="19"/>
  <c r="K31" i="13" s="1"/>
  <c r="AD31" i="13" s="1"/>
  <c r="P30" i="19"/>
  <c r="F31" i="13" s="1"/>
  <c r="AM30" i="19"/>
  <c r="P57" i="13" s="1"/>
  <c r="AE57" i="13" s="1"/>
  <c r="AK57" i="13" s="1"/>
  <c r="X30" i="19"/>
  <c r="M31" i="13" s="1"/>
  <c r="AF31" i="13" s="1"/>
  <c r="AB30" i="19"/>
  <c r="Q31" i="13" s="1"/>
  <c r="AJ31" i="13" s="1"/>
  <c r="W30" i="19"/>
  <c r="AJ30" i="19"/>
  <c r="M57" i="13" s="1"/>
  <c r="AB57" i="13" s="1"/>
  <c r="AP57" i="13" s="1"/>
  <c r="Y30" i="19"/>
  <c r="N31" i="13" s="1"/>
  <c r="AG31" i="13" s="1"/>
  <c r="AC30" i="19"/>
  <c r="R31" i="13" s="1"/>
  <c r="AK31" i="13" s="1"/>
  <c r="CA357" i="3"/>
  <c r="N30" i="19" s="1"/>
  <c r="H31" i="13" s="1"/>
  <c r="Y31" i="13" s="1"/>
  <c r="AM357" i="3"/>
  <c r="BI357" i="3" s="1"/>
  <c r="BV455" i="3"/>
  <c r="BU455" i="3"/>
  <c r="BO455" i="3"/>
  <c r="BS455" i="3"/>
  <c r="BV454" i="3"/>
  <c r="BU454" i="3"/>
  <c r="BO454" i="3"/>
  <c r="BS454" i="3"/>
  <c r="BV429" i="3"/>
  <c r="BU429" i="3"/>
  <c r="BO429" i="3"/>
  <c r="BS429" i="3"/>
  <c r="BP479" i="3"/>
  <c r="BT479" i="3" s="1"/>
  <c r="BL479" i="3"/>
  <c r="BN479" i="3" s="1"/>
  <c r="BP478" i="3"/>
  <c r="BT478" i="3" s="1"/>
  <c r="BL478" i="3"/>
  <c r="BN478" i="3" s="1"/>
  <c r="BP453" i="3"/>
  <c r="BT453" i="3" s="1"/>
  <c r="BL453" i="3"/>
  <c r="BN453" i="3" s="1"/>
  <c r="BO433" i="3"/>
  <c r="BS433" i="3"/>
  <c r="BV433" i="3"/>
  <c r="BU433" i="3"/>
  <c r="BF477" i="3"/>
  <c r="CS477" i="3"/>
  <c r="AR477" i="3"/>
  <c r="AS477" i="3" s="1"/>
  <c r="BK477" i="3"/>
  <c r="CT477" i="3"/>
  <c r="BH477" i="3"/>
  <c r="BL464" i="3"/>
  <c r="BN464" i="3" s="1"/>
  <c r="BP464" i="3"/>
  <c r="BT464" i="3" s="1"/>
  <c r="H18" i="30"/>
  <c r="I18" i="30" s="1"/>
  <c r="J18" i="30" s="1"/>
  <c r="K18" i="30" s="1"/>
  <c r="L18" i="30" s="1"/>
  <c r="M18" i="30" s="1"/>
  <c r="N18" i="30" s="1"/>
  <c r="O18" i="30" s="1"/>
  <c r="P18" i="30" s="1"/>
  <c r="Q18" i="30" s="1"/>
  <c r="R18" i="30" s="1"/>
  <c r="S18" i="30" s="1"/>
  <c r="T18" i="30" s="1"/>
  <c r="U18" i="30" s="1"/>
  <c r="H33" i="30"/>
  <c r="I33" i="30" s="1"/>
  <c r="J33" i="30" s="1"/>
  <c r="K33" i="30" s="1"/>
  <c r="L33" i="30" s="1"/>
  <c r="M33" i="30" s="1"/>
  <c r="N33" i="30" s="1"/>
  <c r="O33" i="30" s="1"/>
  <c r="P33" i="30" s="1"/>
  <c r="Q33" i="30" s="1"/>
  <c r="R33" i="30" s="1"/>
  <c r="S33" i="30" s="1"/>
  <c r="T33" i="30" s="1"/>
  <c r="U33" i="30" s="1"/>
  <c r="BF490" i="3"/>
  <c r="CS490" i="3"/>
  <c r="AR490" i="3"/>
  <c r="AS490" i="3" s="1"/>
  <c r="BK490" i="3"/>
  <c r="CT490" i="3"/>
  <c r="BH490" i="3"/>
  <c r="BF483" i="3"/>
  <c r="CS483" i="3"/>
  <c r="AR483" i="3"/>
  <c r="AS483" i="3" s="1"/>
  <c r="BK483" i="3"/>
  <c r="CT483" i="3"/>
  <c r="BH483" i="3"/>
  <c r="K31" i="24"/>
  <c r="F31" i="24"/>
  <c r="BN499" i="3" l="1"/>
  <c r="AF504" i="3"/>
  <c r="AG500" i="3"/>
  <c r="BO463" i="3"/>
  <c r="BS463" i="3"/>
  <c r="BN488" i="3"/>
  <c r="BN491" i="3"/>
  <c r="BN484" i="3"/>
  <c r="BO470" i="3"/>
  <c r="BS470" i="3"/>
  <c r="BN486" i="3"/>
  <c r="BO466" i="3"/>
  <c r="BS466" i="3"/>
  <c r="BO462" i="3"/>
  <c r="BS462" i="3"/>
  <c r="BO456" i="3"/>
  <c r="BS456" i="3"/>
  <c r="BN481" i="3"/>
  <c r="CM452" i="3"/>
  <c r="BZ452" i="3"/>
  <c r="CK452" i="3"/>
  <c r="CL452" i="3"/>
  <c r="CJ452" i="3"/>
  <c r="AN452" i="3"/>
  <c r="BJ452" i="3" s="1"/>
  <c r="CA452" i="3"/>
  <c r="AM452" i="3"/>
  <c r="BI452" i="3" s="1"/>
  <c r="BW476" i="3"/>
  <c r="BY476" i="3" s="1"/>
  <c r="CO476" i="3"/>
  <c r="CM451" i="3"/>
  <c r="BZ451" i="3"/>
  <c r="CK451" i="3"/>
  <c r="CL451" i="3"/>
  <c r="CJ451" i="3"/>
  <c r="AN451" i="3"/>
  <c r="BJ451" i="3" s="1"/>
  <c r="CA451" i="3"/>
  <c r="AM451" i="3"/>
  <c r="BI451" i="3" s="1"/>
  <c r="BW475" i="3"/>
  <c r="BY475" i="3" s="1"/>
  <c r="CO475" i="3"/>
  <c r="BV499" i="3"/>
  <c r="BU499" i="3"/>
  <c r="CM450" i="3"/>
  <c r="BZ450" i="3"/>
  <c r="CK450" i="3"/>
  <c r="CL450" i="3"/>
  <c r="CJ450" i="3"/>
  <c r="AN450" i="3"/>
  <c r="BJ450" i="3" s="1"/>
  <c r="CA450" i="3"/>
  <c r="AM450" i="3"/>
  <c r="BI450" i="3" s="1"/>
  <c r="BW474" i="3"/>
  <c r="BY474" i="3" s="1"/>
  <c r="CO474" i="3"/>
  <c r="BO498" i="3"/>
  <c r="BS498" i="3"/>
  <c r="BV498" i="3"/>
  <c r="BU498" i="3"/>
  <c r="CM449" i="3"/>
  <c r="CL449" i="3"/>
  <c r="BZ449" i="3"/>
  <c r="CK449" i="3"/>
  <c r="CJ449" i="3"/>
  <c r="AN449" i="3"/>
  <c r="BJ449" i="3" s="1"/>
  <c r="CA449" i="3"/>
  <c r="AM449" i="3"/>
  <c r="BI449" i="3" s="1"/>
  <c r="BW473" i="3"/>
  <c r="BY473" i="3" s="1"/>
  <c r="CO473" i="3"/>
  <c r="BO497" i="3"/>
  <c r="BS497" i="3"/>
  <c r="BV497" i="3"/>
  <c r="BU497" i="3"/>
  <c r="CM448" i="3"/>
  <c r="BZ448" i="3"/>
  <c r="CK448" i="3"/>
  <c r="CL448" i="3"/>
  <c r="CJ448" i="3"/>
  <c r="AN448" i="3"/>
  <c r="BJ448" i="3" s="1"/>
  <c r="CA448" i="3"/>
  <c r="AM448" i="3"/>
  <c r="BI448" i="3" s="1"/>
  <c r="BW472" i="3"/>
  <c r="BY472" i="3" s="1"/>
  <c r="CO472" i="3"/>
  <c r="BO496" i="3"/>
  <c r="BS496" i="3"/>
  <c r="BV496" i="3"/>
  <c r="BU496" i="3"/>
  <c r="CM447" i="3"/>
  <c r="CL447" i="3"/>
  <c r="BZ447" i="3"/>
  <c r="CK447" i="3"/>
  <c r="CJ447" i="3"/>
  <c r="AN447" i="3"/>
  <c r="BJ447" i="3" s="1"/>
  <c r="CA447" i="3"/>
  <c r="AM447" i="3"/>
  <c r="BI447" i="3" s="1"/>
  <c r="BW471" i="3"/>
  <c r="BY471" i="3" s="1"/>
  <c r="CO471" i="3"/>
  <c r="BO495" i="3"/>
  <c r="BS495" i="3"/>
  <c r="BV495" i="3"/>
  <c r="BU495" i="3"/>
  <c r="CM446" i="3"/>
  <c r="BZ446" i="3"/>
  <c r="CK446" i="3"/>
  <c r="CL446" i="3"/>
  <c r="CJ446" i="3"/>
  <c r="AN446" i="3"/>
  <c r="BJ446" i="3" s="1"/>
  <c r="CA446" i="3"/>
  <c r="AM446" i="3"/>
  <c r="BI446" i="3" s="1"/>
  <c r="BW470" i="3"/>
  <c r="BY470" i="3" s="1"/>
  <c r="CO470" i="3"/>
  <c r="BO494" i="3"/>
  <c r="BS494" i="3"/>
  <c r="BV494" i="3"/>
  <c r="BU494" i="3"/>
  <c r="CM445" i="3"/>
  <c r="BZ445" i="3"/>
  <c r="CK445" i="3"/>
  <c r="CL445" i="3"/>
  <c r="CJ445" i="3"/>
  <c r="AN445" i="3"/>
  <c r="BJ445" i="3" s="1"/>
  <c r="CA445" i="3"/>
  <c r="AM445" i="3"/>
  <c r="BI445" i="3" s="1"/>
  <c r="BW469" i="3"/>
  <c r="BY469" i="3" s="1"/>
  <c r="CO469" i="3"/>
  <c r="BO493" i="3"/>
  <c r="BS493" i="3"/>
  <c r="BV493" i="3"/>
  <c r="BU493" i="3"/>
  <c r="CM444" i="3"/>
  <c r="BZ444" i="3"/>
  <c r="CK444" i="3"/>
  <c r="CL444" i="3"/>
  <c r="CJ444" i="3"/>
  <c r="AN444" i="3"/>
  <c r="BJ444" i="3" s="1"/>
  <c r="CA444" i="3"/>
  <c r="AM444" i="3"/>
  <c r="BI444" i="3" s="1"/>
  <c r="BW468" i="3"/>
  <c r="BY468" i="3" s="1"/>
  <c r="CO468" i="3"/>
  <c r="BO492" i="3"/>
  <c r="BS492" i="3"/>
  <c r="BV492" i="3"/>
  <c r="BU492" i="3"/>
  <c r="CM443" i="3"/>
  <c r="BZ443" i="3"/>
  <c r="CK443" i="3"/>
  <c r="CL443" i="3"/>
  <c r="CJ443" i="3"/>
  <c r="AN443" i="3"/>
  <c r="BJ443" i="3" s="1"/>
  <c r="CA443" i="3"/>
  <c r="AM443" i="3"/>
  <c r="BI443" i="3" s="1"/>
  <c r="BW467" i="3"/>
  <c r="BY467" i="3" s="1"/>
  <c r="CO467" i="3"/>
  <c r="BV491" i="3"/>
  <c r="BU491" i="3"/>
  <c r="CM442" i="3"/>
  <c r="BZ442" i="3"/>
  <c r="CK442" i="3"/>
  <c r="CL442" i="3"/>
  <c r="CJ442" i="3"/>
  <c r="AN442" i="3"/>
  <c r="BJ442" i="3" s="1"/>
  <c r="CA442" i="3"/>
  <c r="AM442" i="3"/>
  <c r="BI442" i="3" s="1"/>
  <c r="BW466" i="3"/>
  <c r="BY466" i="3" s="1"/>
  <c r="CO466" i="3"/>
  <c r="CM441" i="3"/>
  <c r="CK441" i="3"/>
  <c r="BZ441" i="3"/>
  <c r="CL441" i="3"/>
  <c r="CJ441" i="3"/>
  <c r="AN441" i="3"/>
  <c r="BJ441" i="3" s="1"/>
  <c r="CA441" i="3"/>
  <c r="AM441" i="3"/>
  <c r="BI441" i="3" s="1"/>
  <c r="BW465" i="3"/>
  <c r="BY465" i="3" s="1"/>
  <c r="CO465" i="3"/>
  <c r="BO489" i="3"/>
  <c r="BS489" i="3"/>
  <c r="BV489" i="3"/>
  <c r="BU489" i="3"/>
  <c r="CM440" i="3"/>
  <c r="BZ440" i="3"/>
  <c r="CL440" i="3"/>
  <c r="CK440" i="3"/>
  <c r="CJ440" i="3"/>
  <c r="AN440" i="3"/>
  <c r="BJ440" i="3" s="1"/>
  <c r="CA440" i="3"/>
  <c r="AM440" i="3"/>
  <c r="BI440" i="3" s="1"/>
  <c r="BV488" i="3"/>
  <c r="BU488" i="3"/>
  <c r="BW463" i="3"/>
  <c r="BY463" i="3" s="1"/>
  <c r="CO463" i="3"/>
  <c r="BO487" i="3"/>
  <c r="BS487" i="3"/>
  <c r="BV487" i="3"/>
  <c r="BU487" i="3"/>
  <c r="CM439" i="3"/>
  <c r="CK439" i="3"/>
  <c r="CL439" i="3"/>
  <c r="BZ439" i="3"/>
  <c r="CJ439" i="3"/>
  <c r="AN439" i="3"/>
  <c r="BJ439" i="3" s="1"/>
  <c r="CA439" i="3"/>
  <c r="AM439" i="3"/>
  <c r="BI439" i="3" s="1"/>
  <c r="CK438" i="3"/>
  <c r="BZ438" i="3"/>
  <c r="CL438" i="3"/>
  <c r="CM438" i="3"/>
  <c r="CJ438" i="3"/>
  <c r="AN438" i="3"/>
  <c r="BJ438" i="3" s="1"/>
  <c r="CA438" i="3"/>
  <c r="AM438" i="3"/>
  <c r="BI438" i="3" s="1"/>
  <c r="BW462" i="3"/>
  <c r="BY462" i="3" s="1"/>
  <c r="CO462" i="3"/>
  <c r="BV486" i="3"/>
  <c r="BU486" i="3"/>
  <c r="CM437" i="3"/>
  <c r="CL437" i="3"/>
  <c r="CK437" i="3"/>
  <c r="BZ437" i="3"/>
  <c r="CJ437" i="3"/>
  <c r="AN437" i="3"/>
  <c r="BJ437" i="3" s="1"/>
  <c r="CA437" i="3"/>
  <c r="AM437" i="3"/>
  <c r="BI437" i="3" s="1"/>
  <c r="BW461" i="3"/>
  <c r="BY461" i="3" s="1"/>
  <c r="CO461" i="3"/>
  <c r="BO485" i="3"/>
  <c r="BS485" i="3"/>
  <c r="BV485" i="3"/>
  <c r="BU485" i="3"/>
  <c r="BW460" i="3"/>
  <c r="BY460" i="3" s="1"/>
  <c r="CO460" i="3"/>
  <c r="BV484" i="3"/>
  <c r="BU484" i="3"/>
  <c r="BZ436" i="3"/>
  <c r="CK436" i="3"/>
  <c r="CM436" i="3"/>
  <c r="CL436" i="3"/>
  <c r="CJ436" i="3"/>
  <c r="AN436" i="3"/>
  <c r="BJ436" i="3" s="1"/>
  <c r="CA436" i="3"/>
  <c r="AM436" i="3"/>
  <c r="BI436" i="3" s="1"/>
  <c r="BW459" i="3"/>
  <c r="BY459" i="3" s="1"/>
  <c r="CO459" i="3"/>
  <c r="CM435" i="3"/>
  <c r="CL435" i="3"/>
  <c r="BZ435" i="3"/>
  <c r="CK435" i="3"/>
  <c r="CJ435" i="3"/>
  <c r="AN435" i="3"/>
  <c r="BJ435" i="3" s="1"/>
  <c r="CA435" i="3"/>
  <c r="AM435" i="3"/>
  <c r="BI435" i="3" s="1"/>
  <c r="CM434" i="3"/>
  <c r="BZ434" i="3"/>
  <c r="CK434" i="3"/>
  <c r="CL434" i="3"/>
  <c r="CJ434" i="3"/>
  <c r="AN434" i="3"/>
  <c r="BJ434" i="3" s="1"/>
  <c r="AM434" i="3"/>
  <c r="BI434" i="3" s="1"/>
  <c r="CA434" i="3"/>
  <c r="BW458" i="3"/>
  <c r="BY458" i="3" s="1"/>
  <c r="CO458" i="3"/>
  <c r="BO482" i="3"/>
  <c r="BS482" i="3"/>
  <c r="BV482" i="3"/>
  <c r="BU482" i="3"/>
  <c r="BW457" i="3"/>
  <c r="BY457" i="3" s="1"/>
  <c r="CO457" i="3"/>
  <c r="BV481" i="3"/>
  <c r="BU481" i="3"/>
  <c r="CM432" i="3"/>
  <c r="BZ432" i="3"/>
  <c r="CK432" i="3"/>
  <c r="CL432" i="3"/>
  <c r="CJ432" i="3"/>
  <c r="AN432" i="3"/>
  <c r="BJ432" i="3" s="1"/>
  <c r="AM432" i="3"/>
  <c r="BI432" i="3" s="1"/>
  <c r="CA432" i="3"/>
  <c r="BW456" i="3"/>
  <c r="BY456" i="3" s="1"/>
  <c r="CO456" i="3"/>
  <c r="BO480" i="3"/>
  <c r="BS480" i="3"/>
  <c r="BV480" i="3"/>
  <c r="BU480" i="3"/>
  <c r="BJ381" i="3"/>
  <c r="AK31" i="19" s="1"/>
  <c r="N58" i="13" s="1"/>
  <c r="AC58" i="13" s="1"/>
  <c r="U31" i="19"/>
  <c r="H58" i="13" s="1"/>
  <c r="AG58" i="13" s="1"/>
  <c r="F58" i="13"/>
  <c r="AA32" i="13"/>
  <c r="AA58" i="13" s="1"/>
  <c r="AN31" i="19"/>
  <c r="Q58" i="13" s="1"/>
  <c r="AH58" i="13" s="1"/>
  <c r="AO58" i="13" s="1"/>
  <c r="L32" i="13"/>
  <c r="AE32" i="13" s="1"/>
  <c r="CM431" i="3"/>
  <c r="BZ431" i="3"/>
  <c r="CK431" i="3"/>
  <c r="CL431" i="3"/>
  <c r="CJ431" i="3"/>
  <c r="AN431" i="3"/>
  <c r="BJ431" i="3" s="1"/>
  <c r="AM431" i="3"/>
  <c r="BI431" i="3" s="1"/>
  <c r="CA431" i="3"/>
  <c r="CM430" i="3"/>
  <c r="BZ430" i="3"/>
  <c r="CK430" i="3"/>
  <c r="CL430" i="3"/>
  <c r="CJ430" i="3"/>
  <c r="AN430" i="3"/>
  <c r="BJ430" i="3" s="1"/>
  <c r="AM430" i="3"/>
  <c r="BI430" i="3" s="1"/>
  <c r="CA430" i="3"/>
  <c r="CM405" i="3"/>
  <c r="BZ405" i="3"/>
  <c r="M32" i="19" s="1"/>
  <c r="G33" i="13" s="1"/>
  <c r="X33" i="13" s="1"/>
  <c r="CK405" i="3"/>
  <c r="CL405" i="3"/>
  <c r="CJ405" i="3"/>
  <c r="AN405" i="3"/>
  <c r="AC32" i="19"/>
  <c r="R33" i="13" s="1"/>
  <c r="AK33" i="13" s="1"/>
  <c r="AD32" i="19"/>
  <c r="U33" i="13" s="1"/>
  <c r="AO33" i="13" s="1"/>
  <c r="X32" i="19"/>
  <c r="M33" i="13" s="1"/>
  <c r="AF33" i="13" s="1"/>
  <c r="P32" i="19"/>
  <c r="F33" i="13" s="1"/>
  <c r="AE32" i="19"/>
  <c r="T33" i="13" s="1"/>
  <c r="AN33" i="13" s="1"/>
  <c r="W32" i="19"/>
  <c r="Z32" i="19"/>
  <c r="O33" i="13" s="1"/>
  <c r="AH33" i="13" s="1"/>
  <c r="R32" i="19"/>
  <c r="K33" i="13" s="1"/>
  <c r="AD33" i="13" s="1"/>
  <c r="AJ32" i="19"/>
  <c r="M59" i="13" s="1"/>
  <c r="AB59" i="13" s="1"/>
  <c r="AP59" i="13" s="1"/>
  <c r="Y32" i="19"/>
  <c r="N33" i="13" s="1"/>
  <c r="AG33" i="13" s="1"/>
  <c r="S32" i="19"/>
  <c r="I33" i="13" s="1"/>
  <c r="AB33" i="13" s="1"/>
  <c r="AM32" i="19"/>
  <c r="P59" i="13" s="1"/>
  <c r="AE59" i="13" s="1"/>
  <c r="AK59" i="13" s="1"/>
  <c r="AA32" i="19"/>
  <c r="P33" i="13" s="1"/>
  <c r="AI33" i="13" s="1"/>
  <c r="Q32" i="19"/>
  <c r="J33" i="13" s="1"/>
  <c r="AC33" i="13" s="1"/>
  <c r="AB32" i="19"/>
  <c r="Q33" i="13" s="1"/>
  <c r="AJ33" i="13" s="1"/>
  <c r="T32" i="19"/>
  <c r="G59" i="13" s="1"/>
  <c r="AF59" i="13" s="1"/>
  <c r="CA405" i="3"/>
  <c r="N32" i="19" s="1"/>
  <c r="H33" i="13" s="1"/>
  <c r="Y33" i="13" s="1"/>
  <c r="AM405" i="3"/>
  <c r="BI405" i="3" s="1"/>
  <c r="BJ357" i="3"/>
  <c r="AK30" i="19" s="1"/>
  <c r="N57" i="13" s="1"/>
  <c r="AC57" i="13" s="1"/>
  <c r="U30" i="19"/>
  <c r="H57" i="13" s="1"/>
  <c r="AG57" i="13" s="1"/>
  <c r="F57" i="13"/>
  <c r="AA31" i="13"/>
  <c r="AA57" i="13" s="1"/>
  <c r="L31" i="13"/>
  <c r="AE31" i="13" s="1"/>
  <c r="AN30" i="19"/>
  <c r="Q57" i="13" s="1"/>
  <c r="AH57" i="13" s="1"/>
  <c r="AO57" i="13" s="1"/>
  <c r="BW455" i="3"/>
  <c r="BY455" i="3" s="1"/>
  <c r="CO455" i="3"/>
  <c r="BW454" i="3"/>
  <c r="BY454" i="3" s="1"/>
  <c r="CO454" i="3"/>
  <c r="BW429" i="3"/>
  <c r="BY429" i="3" s="1"/>
  <c r="CO429" i="3"/>
  <c r="BV479" i="3"/>
  <c r="BU479" i="3"/>
  <c r="BO479" i="3"/>
  <c r="BS479" i="3"/>
  <c r="BV478" i="3"/>
  <c r="BU478" i="3"/>
  <c r="BO478" i="3"/>
  <c r="BS478" i="3"/>
  <c r="BV453" i="3"/>
  <c r="BU453" i="3"/>
  <c r="BO453" i="3"/>
  <c r="BS453" i="3"/>
  <c r="BW433" i="3"/>
  <c r="BY433" i="3" s="1"/>
  <c r="CO433" i="3"/>
  <c r="BP477" i="3"/>
  <c r="BT477" i="3" s="1"/>
  <c r="BL477" i="3"/>
  <c r="BN477" i="3" s="1"/>
  <c r="BO464" i="3"/>
  <c r="BS464" i="3"/>
  <c r="BV464" i="3"/>
  <c r="BU464" i="3"/>
  <c r="BL490" i="3"/>
  <c r="BN490" i="3" s="1"/>
  <c r="BP490" i="3"/>
  <c r="BT490" i="3" s="1"/>
  <c r="BL483" i="3"/>
  <c r="BN483" i="3" s="1"/>
  <c r="BP483" i="3"/>
  <c r="BT483" i="3" s="1"/>
  <c r="BO499" i="3" l="1"/>
  <c r="BS499" i="3"/>
  <c r="AG504" i="3"/>
  <c r="AH500" i="3"/>
  <c r="CB500" i="3" s="1"/>
  <c r="CB504" i="3" s="1"/>
  <c r="BS488" i="3"/>
  <c r="BO488" i="3"/>
  <c r="BO484" i="3"/>
  <c r="BS484" i="3"/>
  <c r="BO486" i="3"/>
  <c r="BS486" i="3"/>
  <c r="BO491" i="3"/>
  <c r="BS491" i="3"/>
  <c r="BO481" i="3"/>
  <c r="BS481" i="3"/>
  <c r="CM476" i="3"/>
  <c r="BZ476" i="3"/>
  <c r="CK476" i="3"/>
  <c r="CL476" i="3"/>
  <c r="CJ476" i="3"/>
  <c r="AN476" i="3"/>
  <c r="BJ476" i="3" s="1"/>
  <c r="AM476" i="3"/>
  <c r="BI476" i="3" s="1"/>
  <c r="CA476" i="3"/>
  <c r="CM475" i="3"/>
  <c r="BZ475" i="3"/>
  <c r="CK475" i="3"/>
  <c r="CL475" i="3"/>
  <c r="CJ475" i="3"/>
  <c r="AN475" i="3"/>
  <c r="BJ475" i="3" s="1"/>
  <c r="AM475" i="3"/>
  <c r="BI475" i="3" s="1"/>
  <c r="CA475" i="3"/>
  <c r="BW499" i="3"/>
  <c r="BY499" i="3" s="1"/>
  <c r="CO499" i="3"/>
  <c r="CM474" i="3"/>
  <c r="BZ474" i="3"/>
  <c r="CK474" i="3"/>
  <c r="CL474" i="3"/>
  <c r="CJ474" i="3"/>
  <c r="AN474" i="3"/>
  <c r="BJ474" i="3" s="1"/>
  <c r="AM474" i="3"/>
  <c r="BI474" i="3" s="1"/>
  <c r="CA474" i="3"/>
  <c r="BW498" i="3"/>
  <c r="BY498" i="3" s="1"/>
  <c r="CO498" i="3"/>
  <c r="CM473" i="3"/>
  <c r="BZ473" i="3"/>
  <c r="CK473" i="3"/>
  <c r="CL473" i="3"/>
  <c r="CJ473" i="3"/>
  <c r="AN473" i="3"/>
  <c r="BJ473" i="3" s="1"/>
  <c r="AM473" i="3"/>
  <c r="BI473" i="3" s="1"/>
  <c r="CA473" i="3"/>
  <c r="BW497" i="3"/>
  <c r="BY497" i="3" s="1"/>
  <c r="CO497" i="3"/>
  <c r="CM472" i="3"/>
  <c r="BZ472" i="3"/>
  <c r="CK472" i="3"/>
  <c r="CL472" i="3"/>
  <c r="CJ472" i="3"/>
  <c r="AN472" i="3"/>
  <c r="BJ472" i="3" s="1"/>
  <c r="CA472" i="3"/>
  <c r="AM472" i="3"/>
  <c r="BI472" i="3" s="1"/>
  <c r="BW496" i="3"/>
  <c r="BY496" i="3" s="1"/>
  <c r="CO496" i="3"/>
  <c r="CM471" i="3"/>
  <c r="BZ471" i="3"/>
  <c r="CK471" i="3"/>
  <c r="CL471" i="3"/>
  <c r="CJ471" i="3"/>
  <c r="AN471" i="3"/>
  <c r="BJ471" i="3" s="1"/>
  <c r="CA471" i="3"/>
  <c r="AM471" i="3"/>
  <c r="BI471" i="3" s="1"/>
  <c r="BW495" i="3"/>
  <c r="BY495" i="3" s="1"/>
  <c r="CO495" i="3"/>
  <c r="CM470" i="3"/>
  <c r="BZ470" i="3"/>
  <c r="CK470" i="3"/>
  <c r="CL470" i="3"/>
  <c r="CJ470" i="3"/>
  <c r="AN470" i="3"/>
  <c r="BJ470" i="3" s="1"/>
  <c r="CA470" i="3"/>
  <c r="AM470" i="3"/>
  <c r="BI470" i="3" s="1"/>
  <c r="BW494" i="3"/>
  <c r="BY494" i="3" s="1"/>
  <c r="CO494" i="3"/>
  <c r="CM469" i="3"/>
  <c r="CL469" i="3"/>
  <c r="BZ469" i="3"/>
  <c r="CK469" i="3"/>
  <c r="CJ469" i="3"/>
  <c r="AN469" i="3"/>
  <c r="BJ469" i="3" s="1"/>
  <c r="CA469" i="3"/>
  <c r="AM469" i="3"/>
  <c r="BI469" i="3" s="1"/>
  <c r="BW493" i="3"/>
  <c r="BY493" i="3" s="1"/>
  <c r="CO493" i="3"/>
  <c r="CM468" i="3"/>
  <c r="BZ468" i="3"/>
  <c r="CK468" i="3"/>
  <c r="CL468" i="3"/>
  <c r="CJ468" i="3"/>
  <c r="AN468" i="3"/>
  <c r="BJ468" i="3" s="1"/>
  <c r="CA468" i="3"/>
  <c r="AM468" i="3"/>
  <c r="BI468" i="3" s="1"/>
  <c r="BW492" i="3"/>
  <c r="BY492" i="3" s="1"/>
  <c r="CO492" i="3"/>
  <c r="CM467" i="3"/>
  <c r="CL467" i="3"/>
  <c r="BZ467" i="3"/>
  <c r="CK467" i="3"/>
  <c r="CJ467" i="3"/>
  <c r="AN467" i="3"/>
  <c r="BJ467" i="3" s="1"/>
  <c r="CA467" i="3"/>
  <c r="AM467" i="3"/>
  <c r="BI467" i="3" s="1"/>
  <c r="BW491" i="3"/>
  <c r="BY491" i="3" s="1"/>
  <c r="CO491" i="3"/>
  <c r="BZ466" i="3"/>
  <c r="CM466" i="3"/>
  <c r="CK466" i="3"/>
  <c r="CL466" i="3"/>
  <c r="CJ466" i="3"/>
  <c r="AN466" i="3"/>
  <c r="BJ466" i="3" s="1"/>
  <c r="CA466" i="3"/>
  <c r="AM466" i="3"/>
  <c r="BI466" i="3" s="1"/>
  <c r="CM465" i="3"/>
  <c r="BZ465" i="3"/>
  <c r="CK465" i="3"/>
  <c r="CL465" i="3"/>
  <c r="CJ465" i="3"/>
  <c r="AN465" i="3"/>
  <c r="BJ465" i="3" s="1"/>
  <c r="CA465" i="3"/>
  <c r="AM465" i="3"/>
  <c r="BI465" i="3" s="1"/>
  <c r="BW489" i="3"/>
  <c r="BY489" i="3" s="1"/>
  <c r="CO489" i="3"/>
  <c r="BW488" i="3"/>
  <c r="BY488" i="3" s="1"/>
  <c r="CO488" i="3"/>
  <c r="CM463" i="3"/>
  <c r="BZ463" i="3"/>
  <c r="CK463" i="3"/>
  <c r="CL463" i="3"/>
  <c r="CJ463" i="3"/>
  <c r="AN463" i="3"/>
  <c r="BJ463" i="3" s="1"/>
  <c r="CA463" i="3"/>
  <c r="AM463" i="3"/>
  <c r="BI463" i="3" s="1"/>
  <c r="BW487" i="3"/>
  <c r="BY487" i="3" s="1"/>
  <c r="CO487" i="3"/>
  <c r="CM462" i="3"/>
  <c r="BZ462" i="3"/>
  <c r="CK462" i="3"/>
  <c r="CL462" i="3"/>
  <c r="CJ462" i="3"/>
  <c r="AN462" i="3"/>
  <c r="BJ462" i="3" s="1"/>
  <c r="CA462" i="3"/>
  <c r="AM462" i="3"/>
  <c r="BI462" i="3" s="1"/>
  <c r="BW486" i="3"/>
  <c r="BY486" i="3" s="1"/>
  <c r="CO486" i="3"/>
  <c r="CM461" i="3"/>
  <c r="BZ461" i="3"/>
  <c r="CK461" i="3"/>
  <c r="CL461" i="3"/>
  <c r="CJ461" i="3"/>
  <c r="AN461" i="3"/>
  <c r="BJ461" i="3" s="1"/>
  <c r="CA461" i="3"/>
  <c r="AM461" i="3"/>
  <c r="BI461" i="3" s="1"/>
  <c r="BW485" i="3"/>
  <c r="BY485" i="3" s="1"/>
  <c r="CO485" i="3"/>
  <c r="CM460" i="3"/>
  <c r="CL460" i="3"/>
  <c r="BZ460" i="3"/>
  <c r="CK460" i="3"/>
  <c r="CJ460" i="3"/>
  <c r="AN460" i="3"/>
  <c r="BJ460" i="3" s="1"/>
  <c r="CA460" i="3"/>
  <c r="AM460" i="3"/>
  <c r="BI460" i="3" s="1"/>
  <c r="BW484" i="3"/>
  <c r="BY484" i="3" s="1"/>
  <c r="CO484" i="3"/>
  <c r="CM459" i="3"/>
  <c r="BZ459" i="3"/>
  <c r="CK459" i="3"/>
  <c r="CL459" i="3"/>
  <c r="CJ459" i="3"/>
  <c r="AN459" i="3"/>
  <c r="BJ459" i="3" s="1"/>
  <c r="CA459" i="3"/>
  <c r="AM459" i="3"/>
  <c r="BI459" i="3" s="1"/>
  <c r="CM458" i="3"/>
  <c r="BZ458" i="3"/>
  <c r="CK458" i="3"/>
  <c r="CL458" i="3"/>
  <c r="CJ458" i="3"/>
  <c r="AN458" i="3"/>
  <c r="BJ458" i="3" s="1"/>
  <c r="CA458" i="3"/>
  <c r="AM458" i="3"/>
  <c r="BI458" i="3" s="1"/>
  <c r="BW482" i="3"/>
  <c r="BY482" i="3" s="1"/>
  <c r="CO482" i="3"/>
  <c r="CM457" i="3"/>
  <c r="BZ457" i="3"/>
  <c r="CK457" i="3"/>
  <c r="CL457" i="3"/>
  <c r="CJ457" i="3"/>
  <c r="AN457" i="3"/>
  <c r="BJ457" i="3" s="1"/>
  <c r="CA457" i="3"/>
  <c r="AM457" i="3"/>
  <c r="BI457" i="3" s="1"/>
  <c r="BW481" i="3"/>
  <c r="BY481" i="3" s="1"/>
  <c r="CO481" i="3"/>
  <c r="CM456" i="3"/>
  <c r="BZ456" i="3"/>
  <c r="CK456" i="3"/>
  <c r="CL456" i="3"/>
  <c r="CJ456" i="3"/>
  <c r="AN456" i="3"/>
  <c r="BJ456" i="3" s="1"/>
  <c r="CA456" i="3"/>
  <c r="AM456" i="3"/>
  <c r="BI456" i="3" s="1"/>
  <c r="BW480" i="3"/>
  <c r="BY480" i="3" s="1"/>
  <c r="CO480" i="3"/>
  <c r="BJ405" i="3"/>
  <c r="AK32" i="19" s="1"/>
  <c r="N59" i="13" s="1"/>
  <c r="AC59" i="13" s="1"/>
  <c r="U32" i="19"/>
  <c r="H59" i="13" s="1"/>
  <c r="AG59" i="13" s="1"/>
  <c r="F59" i="13"/>
  <c r="AA33" i="13"/>
  <c r="AA59" i="13" s="1"/>
  <c r="AN32" i="19"/>
  <c r="Q59" i="13" s="1"/>
  <c r="AH59" i="13" s="1"/>
  <c r="AO59" i="13" s="1"/>
  <c r="L33" i="13"/>
  <c r="AE33" i="13" s="1"/>
  <c r="CM455" i="3"/>
  <c r="BZ455" i="3"/>
  <c r="CK455" i="3"/>
  <c r="CL455" i="3"/>
  <c r="CJ455" i="3"/>
  <c r="AN455" i="3"/>
  <c r="BJ455" i="3" s="1"/>
  <c r="CA455" i="3"/>
  <c r="AM455" i="3"/>
  <c r="BI455" i="3" s="1"/>
  <c r="CM454" i="3"/>
  <c r="CK454" i="3"/>
  <c r="BZ454" i="3"/>
  <c r="CL454" i="3"/>
  <c r="CJ454" i="3"/>
  <c r="AN454" i="3"/>
  <c r="BJ454" i="3" s="1"/>
  <c r="CA454" i="3"/>
  <c r="AM454" i="3"/>
  <c r="BI454" i="3" s="1"/>
  <c r="CK429" i="3"/>
  <c r="BZ429" i="3"/>
  <c r="CM429" i="3"/>
  <c r="CL429" i="3"/>
  <c r="CJ429" i="3"/>
  <c r="AN429" i="3"/>
  <c r="AB33" i="19"/>
  <c r="Q34" i="13" s="1"/>
  <c r="AJ34" i="13" s="1"/>
  <c r="Q33" i="19"/>
  <c r="J34" i="13" s="1"/>
  <c r="AC34" i="13" s="1"/>
  <c r="AC33" i="19"/>
  <c r="R34" i="13" s="1"/>
  <c r="AK34" i="13" s="1"/>
  <c r="Z33" i="19"/>
  <c r="O34" i="13" s="1"/>
  <c r="AH34" i="13" s="1"/>
  <c r="AM33" i="19"/>
  <c r="P60" i="13" s="1"/>
  <c r="AE60" i="13" s="1"/>
  <c r="AK60" i="13" s="1"/>
  <c r="AE33" i="19"/>
  <c r="T34" i="13" s="1"/>
  <c r="AN34" i="13" s="1"/>
  <c r="X33" i="19"/>
  <c r="M34" i="13" s="1"/>
  <c r="AF34" i="13" s="1"/>
  <c r="Y33" i="19"/>
  <c r="N34" i="13" s="1"/>
  <c r="AG34" i="13" s="1"/>
  <c r="S33" i="19"/>
  <c r="I34" i="13" s="1"/>
  <c r="AB34" i="13" s="1"/>
  <c r="P33" i="19"/>
  <c r="F34" i="13" s="1"/>
  <c r="R33" i="19"/>
  <c r="K34" i="13" s="1"/>
  <c r="AD34" i="13" s="1"/>
  <c r="AJ33" i="19"/>
  <c r="M60" i="13" s="1"/>
  <c r="AB60" i="13" s="1"/>
  <c r="AP60" i="13" s="1"/>
  <c r="T33" i="19"/>
  <c r="G60" i="13" s="1"/>
  <c r="AF60" i="13" s="1"/>
  <c r="AD33" i="19"/>
  <c r="U34" i="13" s="1"/>
  <c r="AO34" i="13" s="1"/>
  <c r="W33" i="19"/>
  <c r="AA33" i="19"/>
  <c r="P34" i="13" s="1"/>
  <c r="AI34" i="13" s="1"/>
  <c r="AM429" i="3"/>
  <c r="BI429" i="3" s="1"/>
  <c r="CA429" i="3"/>
  <c r="BW479" i="3"/>
  <c r="BY479" i="3" s="1"/>
  <c r="CO479" i="3"/>
  <c r="BW478" i="3"/>
  <c r="BY478" i="3" s="1"/>
  <c r="CO478" i="3"/>
  <c r="BW453" i="3"/>
  <c r="BY453" i="3" s="1"/>
  <c r="CO453" i="3"/>
  <c r="CM433" i="3"/>
  <c r="BZ433" i="3"/>
  <c r="CK433" i="3"/>
  <c r="CL433" i="3"/>
  <c r="CJ433" i="3"/>
  <c r="AN433" i="3"/>
  <c r="BJ433" i="3" s="1"/>
  <c r="AM433" i="3"/>
  <c r="BI433" i="3" s="1"/>
  <c r="CA433" i="3"/>
  <c r="BV477" i="3"/>
  <c r="BU477" i="3"/>
  <c r="BO477" i="3"/>
  <c r="BS477" i="3"/>
  <c r="BW464" i="3"/>
  <c r="BY464" i="3" s="1"/>
  <c r="CO464" i="3"/>
  <c r="BO490" i="3"/>
  <c r="BS490" i="3"/>
  <c r="BV490" i="3"/>
  <c r="BU490" i="3"/>
  <c r="BO483" i="3"/>
  <c r="BS483" i="3"/>
  <c r="BV483" i="3"/>
  <c r="BU483" i="3"/>
  <c r="AH504" i="3" l="1"/>
  <c r="AI500" i="3"/>
  <c r="BQ500" i="3"/>
  <c r="BQ504" i="3" s="1"/>
  <c r="N33" i="19"/>
  <c r="H34" i="13" s="1"/>
  <c r="Y34" i="13" s="1"/>
  <c r="M33" i="19"/>
  <c r="G34" i="13" s="1"/>
  <c r="X34" i="13" s="1"/>
  <c r="AK500" i="3"/>
  <c r="AJ500" i="3"/>
  <c r="BG500" i="3"/>
  <c r="BG504" i="3" s="1"/>
  <c r="AL500" i="3"/>
  <c r="AI504" i="3"/>
  <c r="CM499" i="3"/>
  <c r="BZ499" i="3"/>
  <c r="CK499" i="3"/>
  <c r="CL499" i="3"/>
  <c r="CJ499" i="3"/>
  <c r="AN499" i="3"/>
  <c r="BJ499" i="3" s="1"/>
  <c r="CA499" i="3"/>
  <c r="AM499" i="3"/>
  <c r="BI499" i="3" s="1"/>
  <c r="CM498" i="3"/>
  <c r="BZ498" i="3"/>
  <c r="CK498" i="3"/>
  <c r="CL498" i="3"/>
  <c r="CJ498" i="3"/>
  <c r="AN498" i="3"/>
  <c r="BJ498" i="3" s="1"/>
  <c r="CA498" i="3"/>
  <c r="AM498" i="3"/>
  <c r="BI498" i="3" s="1"/>
  <c r="CM497" i="3"/>
  <c r="BZ497" i="3"/>
  <c r="CK497" i="3"/>
  <c r="CL497" i="3"/>
  <c r="CJ497" i="3"/>
  <c r="AN497" i="3"/>
  <c r="BJ497" i="3" s="1"/>
  <c r="CA497" i="3"/>
  <c r="AM497" i="3"/>
  <c r="BI497" i="3" s="1"/>
  <c r="CM496" i="3"/>
  <c r="CL496" i="3"/>
  <c r="BZ496" i="3"/>
  <c r="CK496" i="3"/>
  <c r="CJ496" i="3"/>
  <c r="AN496" i="3"/>
  <c r="BJ496" i="3" s="1"/>
  <c r="CA496" i="3"/>
  <c r="AM496" i="3"/>
  <c r="BI496" i="3" s="1"/>
  <c r="CM495" i="3"/>
  <c r="BZ495" i="3"/>
  <c r="CL495" i="3"/>
  <c r="CK495" i="3"/>
  <c r="CJ495" i="3"/>
  <c r="AN495" i="3"/>
  <c r="BJ495" i="3" s="1"/>
  <c r="CA495" i="3"/>
  <c r="AM495" i="3"/>
  <c r="BI495" i="3" s="1"/>
  <c r="CM494" i="3"/>
  <c r="BZ494" i="3"/>
  <c r="CL494" i="3"/>
  <c r="CK494" i="3"/>
  <c r="CJ494" i="3"/>
  <c r="AN494" i="3"/>
  <c r="BJ494" i="3" s="1"/>
  <c r="CA494" i="3"/>
  <c r="AM494" i="3"/>
  <c r="BI494" i="3" s="1"/>
  <c r="BZ493" i="3"/>
  <c r="CL493" i="3"/>
  <c r="CM493" i="3"/>
  <c r="CK493" i="3"/>
  <c r="CJ493" i="3"/>
  <c r="AN493" i="3"/>
  <c r="BJ493" i="3" s="1"/>
  <c r="CA493" i="3"/>
  <c r="AM493" i="3"/>
  <c r="BI493" i="3" s="1"/>
  <c r="CM492" i="3"/>
  <c r="BZ492" i="3"/>
  <c r="CK492" i="3"/>
  <c r="CL492" i="3"/>
  <c r="CJ492" i="3"/>
  <c r="AN492" i="3"/>
  <c r="BJ492" i="3" s="1"/>
  <c r="CA492" i="3"/>
  <c r="AM492" i="3"/>
  <c r="BI492" i="3" s="1"/>
  <c r="CM491" i="3"/>
  <c r="BZ491" i="3"/>
  <c r="CK491" i="3"/>
  <c r="CL491" i="3"/>
  <c r="CJ491" i="3"/>
  <c r="AN491" i="3"/>
  <c r="BJ491" i="3" s="1"/>
  <c r="CA491" i="3"/>
  <c r="AM491" i="3"/>
  <c r="BI491" i="3" s="1"/>
  <c r="CK489" i="3"/>
  <c r="CL489" i="3"/>
  <c r="CM489" i="3"/>
  <c r="BZ489" i="3"/>
  <c r="CJ489" i="3"/>
  <c r="AN489" i="3"/>
  <c r="BJ489" i="3" s="1"/>
  <c r="CA489" i="3"/>
  <c r="AM489" i="3"/>
  <c r="BI489" i="3" s="1"/>
  <c r="CM488" i="3"/>
  <c r="BZ488" i="3"/>
  <c r="CK488" i="3"/>
  <c r="CL488" i="3"/>
  <c r="CJ488" i="3"/>
  <c r="AN488" i="3"/>
  <c r="BJ488" i="3" s="1"/>
  <c r="CA488" i="3"/>
  <c r="AM488" i="3"/>
  <c r="BI488" i="3" s="1"/>
  <c r="CL487" i="3"/>
  <c r="CM487" i="3"/>
  <c r="CK487" i="3"/>
  <c r="BZ487" i="3"/>
  <c r="CJ487" i="3"/>
  <c r="AN487" i="3"/>
  <c r="BJ487" i="3" s="1"/>
  <c r="CA487" i="3"/>
  <c r="AM487" i="3"/>
  <c r="BI487" i="3" s="1"/>
  <c r="CK486" i="3"/>
  <c r="BZ486" i="3"/>
  <c r="CL486" i="3"/>
  <c r="CM486" i="3"/>
  <c r="CJ486" i="3"/>
  <c r="AN486" i="3"/>
  <c r="BJ486" i="3" s="1"/>
  <c r="CA486" i="3"/>
  <c r="AM486" i="3"/>
  <c r="BI486" i="3" s="1"/>
  <c r="CM485" i="3"/>
  <c r="BZ485" i="3"/>
  <c r="CK485" i="3"/>
  <c r="CL485" i="3"/>
  <c r="CJ485" i="3"/>
  <c r="AN485" i="3"/>
  <c r="BJ485" i="3" s="1"/>
  <c r="CA485" i="3"/>
  <c r="AM485" i="3"/>
  <c r="BI485" i="3" s="1"/>
  <c r="CM484" i="3"/>
  <c r="BZ484" i="3"/>
  <c r="CK484" i="3"/>
  <c r="CL484" i="3"/>
  <c r="CJ484" i="3"/>
  <c r="AN484" i="3"/>
  <c r="BJ484" i="3" s="1"/>
  <c r="CA484" i="3"/>
  <c r="AM484" i="3"/>
  <c r="BI484" i="3" s="1"/>
  <c r="CM482" i="3"/>
  <c r="BZ482" i="3"/>
  <c r="CK482" i="3"/>
  <c r="CL482" i="3"/>
  <c r="CJ482" i="3"/>
  <c r="AN482" i="3"/>
  <c r="BJ482" i="3" s="1"/>
  <c r="CA482" i="3"/>
  <c r="AM482" i="3"/>
  <c r="BI482" i="3" s="1"/>
  <c r="CM481" i="3"/>
  <c r="BZ481" i="3"/>
  <c r="CK481" i="3"/>
  <c r="CL481" i="3"/>
  <c r="CJ481" i="3"/>
  <c r="AN481" i="3"/>
  <c r="BJ481" i="3" s="1"/>
  <c r="CA481" i="3"/>
  <c r="AM481" i="3"/>
  <c r="BI481" i="3" s="1"/>
  <c r="BZ480" i="3"/>
  <c r="CK480" i="3"/>
  <c r="CM480" i="3"/>
  <c r="CL480" i="3"/>
  <c r="CJ480" i="3"/>
  <c r="AN480" i="3"/>
  <c r="BJ480" i="3" s="1"/>
  <c r="CA480" i="3"/>
  <c r="AM480" i="3"/>
  <c r="BI480" i="3" s="1"/>
  <c r="BJ429" i="3"/>
  <c r="AK33" i="19" s="1"/>
  <c r="N60" i="13" s="1"/>
  <c r="AC60" i="13" s="1"/>
  <c r="U33" i="19"/>
  <c r="H60" i="13" s="1"/>
  <c r="AG60" i="13" s="1"/>
  <c r="F60" i="13"/>
  <c r="AA34" i="13"/>
  <c r="AA60" i="13" s="1"/>
  <c r="AN33" i="19"/>
  <c r="Q60" i="13" s="1"/>
  <c r="AH60" i="13" s="1"/>
  <c r="AO60" i="13" s="1"/>
  <c r="L34" i="13"/>
  <c r="AE34" i="13" s="1"/>
  <c r="CM479" i="3"/>
  <c r="BZ479" i="3"/>
  <c r="CK479" i="3"/>
  <c r="CL479" i="3"/>
  <c r="CJ479" i="3"/>
  <c r="AN479" i="3"/>
  <c r="BJ479" i="3" s="1"/>
  <c r="AM479" i="3"/>
  <c r="BI479" i="3" s="1"/>
  <c r="CA479" i="3"/>
  <c r="CM478" i="3"/>
  <c r="BZ478" i="3"/>
  <c r="CK478" i="3"/>
  <c r="CL478" i="3"/>
  <c r="CJ478" i="3"/>
  <c r="AN478" i="3"/>
  <c r="BJ478" i="3" s="1"/>
  <c r="AM478" i="3"/>
  <c r="BI478" i="3" s="1"/>
  <c r="CA478" i="3"/>
  <c r="CM453" i="3"/>
  <c r="BZ453" i="3"/>
  <c r="CK453" i="3"/>
  <c r="CL453" i="3"/>
  <c r="CJ453" i="3"/>
  <c r="AN453" i="3"/>
  <c r="T34" i="19"/>
  <c r="G61" i="13" s="1"/>
  <c r="AF61" i="13" s="1"/>
  <c r="AD34" i="19"/>
  <c r="U35" i="13" s="1"/>
  <c r="AO35" i="13" s="1"/>
  <c r="R34" i="19"/>
  <c r="K35" i="13" s="1"/>
  <c r="AD35" i="13" s="1"/>
  <c r="AE34" i="19"/>
  <c r="T35" i="13" s="1"/>
  <c r="AN35" i="13" s="1"/>
  <c r="Z34" i="19"/>
  <c r="O35" i="13" s="1"/>
  <c r="AH35" i="13" s="1"/>
  <c r="AJ34" i="19"/>
  <c r="M61" i="13" s="1"/>
  <c r="AB61" i="13" s="1"/>
  <c r="AP61" i="13" s="1"/>
  <c r="AA34" i="19"/>
  <c r="P35" i="13" s="1"/>
  <c r="AI35" i="13" s="1"/>
  <c r="S34" i="19"/>
  <c r="I35" i="13" s="1"/>
  <c r="AB35" i="13" s="1"/>
  <c r="AB34" i="19"/>
  <c r="Q35" i="13" s="1"/>
  <c r="AJ35" i="13" s="1"/>
  <c r="W34" i="19"/>
  <c r="Q34" i="19"/>
  <c r="J35" i="13" s="1"/>
  <c r="AC35" i="13" s="1"/>
  <c r="AC34" i="19"/>
  <c r="R35" i="13" s="1"/>
  <c r="AK35" i="13" s="1"/>
  <c r="AM34" i="19"/>
  <c r="P61" i="13" s="1"/>
  <c r="AE61" i="13" s="1"/>
  <c r="AK61" i="13" s="1"/>
  <c r="P34" i="19"/>
  <c r="F35" i="13" s="1"/>
  <c r="X34" i="19"/>
  <c r="M35" i="13" s="1"/>
  <c r="AF35" i="13" s="1"/>
  <c r="Y34" i="19"/>
  <c r="N35" i="13" s="1"/>
  <c r="AG35" i="13" s="1"/>
  <c r="CA453" i="3"/>
  <c r="AM453" i="3"/>
  <c r="BI453" i="3" s="1"/>
  <c r="BW477" i="3"/>
  <c r="BY477" i="3" s="1"/>
  <c r="CO477" i="3"/>
  <c r="CM464" i="3"/>
  <c r="BZ464" i="3"/>
  <c r="CK464" i="3"/>
  <c r="CL464" i="3"/>
  <c r="CJ464" i="3"/>
  <c r="AN464" i="3"/>
  <c r="BJ464" i="3" s="1"/>
  <c r="CA464" i="3"/>
  <c r="AM464" i="3"/>
  <c r="BI464" i="3" s="1"/>
  <c r="BW490" i="3"/>
  <c r="BY490" i="3" s="1"/>
  <c r="CO490" i="3"/>
  <c r="BW483" i="3"/>
  <c r="BY483" i="3" s="1"/>
  <c r="CO483" i="3"/>
  <c r="N34" i="19" l="1"/>
  <c r="H35" i="13" s="1"/>
  <c r="Y35" i="13" s="1"/>
  <c r="AK504" i="3"/>
  <c r="BF500" i="3"/>
  <c r="CS500" i="3"/>
  <c r="AR500" i="3"/>
  <c r="BK500" i="3"/>
  <c r="BK504" i="3" s="1"/>
  <c r="AJ504" i="3"/>
  <c r="CT500" i="3"/>
  <c r="AL504" i="3"/>
  <c r="BH500" i="3"/>
  <c r="BH504" i="3" s="1"/>
  <c r="BJ453" i="3"/>
  <c r="AK34" i="19" s="1"/>
  <c r="N61" i="13" s="1"/>
  <c r="AC61" i="13" s="1"/>
  <c r="U34" i="19"/>
  <c r="H61" i="13" s="1"/>
  <c r="AG61" i="13" s="1"/>
  <c r="AN34" i="19"/>
  <c r="Q61" i="13" s="1"/>
  <c r="AH61" i="13" s="1"/>
  <c r="AO61" i="13" s="1"/>
  <c r="L35" i="13"/>
  <c r="AE35" i="13" s="1"/>
  <c r="F61" i="13"/>
  <c r="AA35" i="13"/>
  <c r="AA61" i="13" s="1"/>
  <c r="CM477" i="3"/>
  <c r="BZ477" i="3"/>
  <c r="CK477" i="3"/>
  <c r="CL477" i="3"/>
  <c r="CJ477" i="3"/>
  <c r="AN477" i="3"/>
  <c r="AM477" i="3"/>
  <c r="BI477" i="3" s="1"/>
  <c r="CA477" i="3"/>
  <c r="CM490" i="3"/>
  <c r="BZ490" i="3"/>
  <c r="CK490" i="3"/>
  <c r="CL490" i="3"/>
  <c r="CJ490" i="3"/>
  <c r="AN490" i="3"/>
  <c r="BJ490" i="3" s="1"/>
  <c r="CA490" i="3"/>
  <c r="AM490" i="3"/>
  <c r="BI490" i="3" s="1"/>
  <c r="CM483" i="3"/>
  <c r="BZ483" i="3"/>
  <c r="CK483" i="3"/>
  <c r="CL483" i="3"/>
  <c r="CJ483" i="3"/>
  <c r="AN483" i="3"/>
  <c r="BJ483" i="3" s="1"/>
  <c r="CA483" i="3"/>
  <c r="AM483" i="3"/>
  <c r="BI483" i="3" s="1"/>
  <c r="M34" i="19"/>
  <c r="G35" i="13" s="1"/>
  <c r="X35" i="13" s="1"/>
  <c r="BL500" i="3" l="1"/>
  <c r="BP500" i="3"/>
  <c r="BF504" i="3"/>
  <c r="AR504" i="3"/>
  <c r="AS500" i="3"/>
  <c r="AS504" i="3" s="1"/>
  <c r="BJ477" i="3"/>
  <c r="BL504" i="3" l="1"/>
  <c r="BN500" i="3"/>
  <c r="BP504" i="3"/>
  <c r="BT500" i="3"/>
  <c r="BN504" i="3" l="1"/>
  <c r="BO500" i="3"/>
  <c r="BO504" i="3" s="1"/>
  <c r="BS500" i="3"/>
  <c r="BS504" i="3" s="1"/>
  <c r="BT504" i="3"/>
  <c r="BV500" i="3"/>
  <c r="BV504" i="3" s="1"/>
  <c r="BU500" i="3"/>
  <c r="BU504" i="3" l="1"/>
  <c r="BW500" i="3"/>
  <c r="CO500" i="3"/>
  <c r="BW504" i="3" l="1"/>
  <c r="BY500" i="3"/>
  <c r="Z35" i="19" l="1"/>
  <c r="O36" i="13" s="1"/>
  <c r="AH36" i="13" s="1"/>
  <c r="BZ500" i="3"/>
  <c r="CK500" i="3"/>
  <c r="Y35" i="19"/>
  <c r="N36" i="13" s="1"/>
  <c r="AG36" i="13" s="1"/>
  <c r="T35" i="19"/>
  <c r="G62" i="13" s="1"/>
  <c r="AF62" i="13" s="1"/>
  <c r="Q35" i="19"/>
  <c r="J36" i="13" s="1"/>
  <c r="AC36" i="13" s="1"/>
  <c r="P35" i="19"/>
  <c r="F36" i="13" s="1"/>
  <c r="AJ35" i="19"/>
  <c r="M62" i="13" s="1"/>
  <c r="AB62" i="13" s="1"/>
  <c r="AP62" i="13" s="1"/>
  <c r="AD35" i="19"/>
  <c r="U36" i="13" s="1"/>
  <c r="AO36" i="13" s="1"/>
  <c r="AA35" i="19"/>
  <c r="P36" i="13" s="1"/>
  <c r="AI36" i="13" s="1"/>
  <c r="AC35" i="19"/>
  <c r="R36" i="13" s="1"/>
  <c r="AK36" i="13" s="1"/>
  <c r="X35" i="19"/>
  <c r="M36" i="13" s="1"/>
  <c r="AF36" i="13" s="1"/>
  <c r="AE35" i="19"/>
  <c r="T36" i="13" s="1"/>
  <c r="AN36" i="13" s="1"/>
  <c r="R35" i="19"/>
  <c r="K36" i="13" s="1"/>
  <c r="AD36" i="13" s="1"/>
  <c r="W35" i="19"/>
  <c r="AM35" i="19"/>
  <c r="P62" i="13" s="1"/>
  <c r="AE62" i="13" s="1"/>
  <c r="AK62" i="13" s="1"/>
  <c r="S35" i="19"/>
  <c r="I36" i="13" s="1"/>
  <c r="AB36" i="13" s="1"/>
  <c r="CM500" i="3"/>
  <c r="AB35" i="19"/>
  <c r="Q36" i="13" s="1"/>
  <c r="AJ36" i="13" s="1"/>
  <c r="CL500" i="3"/>
  <c r="CJ500" i="3"/>
  <c r="P503" i="3"/>
  <c r="E503" i="3"/>
  <c r="AB503" i="3"/>
  <c r="AC503" i="3"/>
  <c r="BO503" i="3"/>
  <c r="BK503" i="3"/>
  <c r="J503" i="3"/>
  <c r="CB503" i="3"/>
  <c r="AE40" i="19" s="1"/>
  <c r="BQ503" i="3"/>
  <c r="AA40" i="19" s="1"/>
  <c r="I503" i="3"/>
  <c r="CH503" i="3"/>
  <c r="AA503" i="3"/>
  <c r="CI503" i="3"/>
  <c r="AV503" i="3"/>
  <c r="D503" i="3"/>
  <c r="AG503" i="3"/>
  <c r="AQ503" i="3"/>
  <c r="BB503" i="3"/>
  <c r="BL503" i="3"/>
  <c r="AD40" i="19" s="1"/>
  <c r="G503" i="3"/>
  <c r="AP503" i="3"/>
  <c r="BE503" i="3"/>
  <c r="AX503" i="3"/>
  <c r="W40" i="19" s="1"/>
  <c r="M503" i="3"/>
  <c r="BN503" i="3"/>
  <c r="O503" i="3"/>
  <c r="K503" i="3"/>
  <c r="AI503" i="3"/>
  <c r="BX503" i="3"/>
  <c r="BW503" i="3"/>
  <c r="BR503" i="3"/>
  <c r="AB40" i="19" s="1"/>
  <c r="BS503" i="3"/>
  <c r="Q503" i="3"/>
  <c r="H503" i="3"/>
  <c r="L503" i="3"/>
  <c r="W503" i="3"/>
  <c r="Z503" i="3"/>
  <c r="BD503" i="3"/>
  <c r="F503" i="3"/>
  <c r="BG503" i="3"/>
  <c r="Y40" i="19" s="1"/>
  <c r="CD503" i="3"/>
  <c r="C503" i="3"/>
  <c r="AE503" i="3"/>
  <c r="V503" i="3"/>
  <c r="AM503" i="3"/>
  <c r="T40" i="19" s="1"/>
  <c r="BT503" i="3"/>
  <c r="AC40" i="19" s="1"/>
  <c r="BU503" i="3"/>
  <c r="BP503" i="3"/>
  <c r="AH503" i="3"/>
  <c r="S40" i="19" s="1"/>
  <c r="BC503" i="3"/>
  <c r="BA503" i="3"/>
  <c r="T503" i="3"/>
  <c r="AW503" i="3"/>
  <c r="BY504" i="3"/>
  <c r="CE503" i="3"/>
  <c r="U503" i="3"/>
  <c r="BY503" i="3"/>
  <c r="AL503" i="3"/>
  <c r="R40" i="19" s="1"/>
  <c r="AU503" i="3"/>
  <c r="BH503" i="3"/>
  <c r="Z40" i="19" s="1"/>
  <c r="S503" i="3"/>
  <c r="Y503" i="3"/>
  <c r="AF503" i="3"/>
  <c r="AK503" i="3"/>
  <c r="Q40" i="19" s="1"/>
  <c r="AS503" i="3"/>
  <c r="AZ503" i="3"/>
  <c r="X503" i="3"/>
  <c r="BV503" i="3"/>
  <c r="N503" i="3"/>
  <c r="R503" i="3"/>
  <c r="AD503" i="3"/>
  <c r="AJ503" i="3"/>
  <c r="P40" i="19" s="1"/>
  <c r="AR503" i="3"/>
  <c r="AM40" i="19" s="1"/>
  <c r="CC503" i="3"/>
  <c r="BF503" i="3"/>
  <c r="X40" i="19" s="1"/>
  <c r="AN500" i="3"/>
  <c r="P19" i="19"/>
  <c r="W19" i="19"/>
  <c r="AM19" i="19"/>
  <c r="AC19" i="19"/>
  <c r="X19" i="19"/>
  <c r="AD19" i="19"/>
  <c r="S19" i="19"/>
  <c r="R19" i="19"/>
  <c r="AB19" i="19"/>
  <c r="AE19" i="19"/>
  <c r="Q19" i="19"/>
  <c r="Z19" i="19"/>
  <c r="AA19" i="19"/>
  <c r="Y19" i="19"/>
  <c r="CA500" i="3"/>
  <c r="AM500" i="3"/>
  <c r="M35" i="19" l="1"/>
  <c r="G36" i="13" s="1"/>
  <c r="X36" i="13" s="1"/>
  <c r="M19" i="19"/>
  <c r="BZ503" i="3"/>
  <c r="M40" i="19" s="1"/>
  <c r="BZ504" i="3"/>
  <c r="CK503" i="3"/>
  <c r="CK504" i="3"/>
  <c r="AA36" i="13"/>
  <c r="AA62" i="13" s="1"/>
  <c r="F62" i="13"/>
  <c r="AN35" i="19"/>
  <c r="Q62" i="13" s="1"/>
  <c r="AH62" i="13" s="1"/>
  <c r="AO62" i="13" s="1"/>
  <c r="L36" i="13"/>
  <c r="AE36" i="13" s="1"/>
  <c r="CM503" i="3"/>
  <c r="CM504" i="3"/>
  <c r="CL503" i="3"/>
  <c r="CL504" i="3"/>
  <c r="CJ503" i="3"/>
  <c r="CJ504" i="3"/>
  <c r="AN40" i="19"/>
  <c r="U35" i="19"/>
  <c r="H62" i="13" s="1"/>
  <c r="AG62" i="13" s="1"/>
  <c r="AN504" i="3"/>
  <c r="AN503" i="3"/>
  <c r="U40" i="19" s="1"/>
  <c r="BJ500" i="3"/>
  <c r="U19" i="19"/>
  <c r="P38" i="19"/>
  <c r="P41" i="19" s="1"/>
  <c r="F20" i="13"/>
  <c r="W38" i="19"/>
  <c r="W41" i="19" s="1"/>
  <c r="AN19" i="19"/>
  <c r="L20" i="13"/>
  <c r="AE20" i="13" s="1"/>
  <c r="AM38" i="19"/>
  <c r="AM41" i="19" s="1"/>
  <c r="P46" i="13"/>
  <c r="AE46" i="13" s="1"/>
  <c r="AC38" i="19"/>
  <c r="AC41" i="19" s="1"/>
  <c r="R20" i="13"/>
  <c r="AK20" i="13" s="1"/>
  <c r="AK37" i="13" s="1"/>
  <c r="X38" i="19"/>
  <c r="X41" i="19" s="1"/>
  <c r="M20" i="13"/>
  <c r="AF20" i="13" s="1"/>
  <c r="AF37" i="13" s="1"/>
  <c r="AY30" i="13" s="1"/>
  <c r="E28" i="15" s="1"/>
  <c r="AD38" i="19"/>
  <c r="AD41" i="19" s="1"/>
  <c r="U20" i="13"/>
  <c r="AO20" i="13" s="1"/>
  <c r="AO37" i="13" s="1"/>
  <c r="S38" i="19"/>
  <c r="S41" i="19" s="1"/>
  <c r="I20" i="13"/>
  <c r="AB20" i="13" s="1"/>
  <c r="AB37" i="13" s="1"/>
  <c r="R38" i="19"/>
  <c r="R41" i="19" s="1"/>
  <c r="K20" i="13"/>
  <c r="AD20" i="13" s="1"/>
  <c r="AD37" i="13" s="1"/>
  <c r="AB38" i="19"/>
  <c r="AB41" i="19" s="1"/>
  <c r="Q20" i="13"/>
  <c r="AJ20" i="13" s="1"/>
  <c r="AJ37" i="13" s="1"/>
  <c r="AY34" i="13" s="1"/>
  <c r="AE38" i="19"/>
  <c r="AE41" i="19" s="1"/>
  <c r="T20" i="13"/>
  <c r="AN20" i="13" s="1"/>
  <c r="AN37" i="13" s="1"/>
  <c r="Q38" i="19"/>
  <c r="Q41" i="19" s="1"/>
  <c r="J20" i="13"/>
  <c r="AC20" i="13" s="1"/>
  <c r="AC37" i="13" s="1"/>
  <c r="Z38" i="19"/>
  <c r="Z41" i="19" s="1"/>
  <c r="O20" i="13"/>
  <c r="AH20" i="13" s="1"/>
  <c r="AH37" i="13" s="1"/>
  <c r="AY32" i="13" s="1"/>
  <c r="E29" i="15" s="1"/>
  <c r="AA38" i="19"/>
  <c r="AA41" i="19" s="1"/>
  <c r="P20" i="13"/>
  <c r="AI20" i="13" s="1"/>
  <c r="AI37" i="13" s="1"/>
  <c r="AY33" i="13" s="1"/>
  <c r="Y38" i="19"/>
  <c r="Y41" i="19" s="1"/>
  <c r="N20" i="13"/>
  <c r="AG20" i="13" s="1"/>
  <c r="AG37" i="13" s="1"/>
  <c r="AY31" i="13" s="1"/>
  <c r="E30" i="15" s="1"/>
  <c r="N35" i="19"/>
  <c r="H36" i="13" s="1"/>
  <c r="Y36" i="13" s="1"/>
  <c r="CA504" i="3"/>
  <c r="CA503" i="3"/>
  <c r="N40" i="19" s="1"/>
  <c r="N19" i="19"/>
  <c r="AM504" i="3"/>
  <c r="T18" i="19"/>
  <c r="T19" i="19"/>
  <c r="G46" i="13" s="1"/>
  <c r="AF46" i="13" s="1"/>
  <c r="BI500" i="3"/>
  <c r="AE37" i="13" l="1"/>
  <c r="AK38" i="13"/>
  <c r="E31" i="15"/>
  <c r="M38" i="19"/>
  <c r="M41" i="19" s="1"/>
  <c r="G20" i="13"/>
  <c r="X20" i="13" s="1"/>
  <c r="X37" i="13" s="1"/>
  <c r="T41" i="24" s="1"/>
  <c r="AK35" i="19"/>
  <c r="N62" i="13" s="1"/>
  <c r="AC62" i="13" s="1"/>
  <c r="BJ504" i="3"/>
  <c r="BJ503" i="3"/>
  <c r="AK40" i="19" s="1"/>
  <c r="AK19" i="19"/>
  <c r="U38" i="19"/>
  <c r="U41" i="19" s="1"/>
  <c r="H46" i="13"/>
  <c r="AG46" i="13" s="1"/>
  <c r="AG63" i="13" s="1"/>
  <c r="AA20" i="13"/>
  <c r="F46" i="13"/>
  <c r="AN38" i="19"/>
  <c r="AN41" i="19" s="1"/>
  <c r="Q46" i="13"/>
  <c r="AH46" i="13" s="1"/>
  <c r="AE63" i="13"/>
  <c r="BG22" i="13" s="1"/>
  <c r="AK46" i="13"/>
  <c r="AK63" i="13" s="1"/>
  <c r="AY49" i="13"/>
  <c r="AP38" i="13"/>
  <c r="AY59" i="13"/>
  <c r="E65" i="15"/>
  <c r="G28" i="15" s="1"/>
  <c r="T24" i="24"/>
  <c r="S24" i="24" s="1"/>
  <c r="T53" i="33"/>
  <c r="S53" i="33" s="1"/>
  <c r="AN38" i="13"/>
  <c r="AY52" i="13"/>
  <c r="E69" i="15"/>
  <c r="T23" i="24"/>
  <c r="S52" i="33"/>
  <c r="N38" i="19"/>
  <c r="N41" i="19" s="1"/>
  <c r="H20" i="13"/>
  <c r="Y20" i="13" s="1"/>
  <c r="Y37" i="13" s="1"/>
  <c r="U41" i="24" s="1"/>
  <c r="T38" i="19"/>
  <c r="T41" i="19" s="1"/>
  <c r="G45" i="13"/>
  <c r="AF45" i="13" s="1"/>
  <c r="AF63" i="13" s="1"/>
  <c r="BI504" i="3"/>
  <c r="BI503" i="3"/>
  <c r="AJ40" i="19" s="1"/>
  <c r="AJ18" i="19"/>
  <c r="AJ19" i="19"/>
  <c r="M46" i="13" s="1"/>
  <c r="AB46" i="13" s="1"/>
  <c r="AP46" i="13" s="1"/>
  <c r="AU48" i="13" l="1"/>
  <c r="AU47" i="13" s="1"/>
  <c r="G91" i="15" s="1"/>
  <c r="AU50" i="13"/>
  <c r="G94" i="15" s="1"/>
  <c r="AY29" i="13"/>
  <c r="AO38" i="13"/>
  <c r="V41" i="24"/>
  <c r="S41" i="24" s="1"/>
  <c r="AK38" i="19"/>
  <c r="AK41" i="19" s="1"/>
  <c r="N46" i="13"/>
  <c r="AC46" i="13" s="1"/>
  <c r="AC63" i="13" s="1"/>
  <c r="BL37" i="13" s="1"/>
  <c r="BL38" i="13" s="1"/>
  <c r="T116" i="33"/>
  <c r="S116" i="33" s="1"/>
  <c r="T77" i="24"/>
  <c r="S77" i="24" s="1"/>
  <c r="AA37" i="13"/>
  <c r="AA46" i="13"/>
  <c r="AA63" i="13" s="1"/>
  <c r="AK64" i="13" s="1"/>
  <c r="AH63" i="13"/>
  <c r="AO46" i="13"/>
  <c r="AO63" i="13" s="1"/>
  <c r="BP22" i="13"/>
  <c r="BG23" i="13"/>
  <c r="AY37" i="13"/>
  <c r="AY38" i="13" s="1"/>
  <c r="AY50" i="13"/>
  <c r="AY54" i="13" s="1"/>
  <c r="E32" i="15"/>
  <c r="G30" i="15"/>
  <c r="G31" i="15"/>
  <c r="G29" i="15"/>
  <c r="G25" i="15"/>
  <c r="G23" i="15"/>
  <c r="G22" i="15"/>
  <c r="G21" i="15"/>
  <c r="G15" i="15"/>
  <c r="G12" i="15"/>
  <c r="G13" i="15"/>
  <c r="G6" i="15"/>
  <c r="G11" i="15"/>
  <c r="G16" i="15"/>
  <c r="G24" i="15"/>
  <c r="G9" i="15"/>
  <c r="G7" i="15"/>
  <c r="G19" i="15"/>
  <c r="G8" i="15"/>
  <c r="G20" i="15"/>
  <c r="G10" i="15"/>
  <c r="G17" i="15"/>
  <c r="G18" i="15"/>
  <c r="T21" i="24"/>
  <c r="S21" i="24" s="1"/>
  <c r="T50" i="33"/>
  <c r="S50" i="33" s="1"/>
  <c r="C65" i="15"/>
  <c r="S57" i="33"/>
  <c r="S28" i="24"/>
  <c r="G69" i="15"/>
  <c r="E39" i="15"/>
  <c r="S23" i="24"/>
  <c r="T115" i="33"/>
  <c r="S115" i="33" s="1"/>
  <c r="T76" i="24"/>
  <c r="S76" i="24" s="1"/>
  <c r="AJ38" i="19"/>
  <c r="AJ41" i="19" s="1"/>
  <c r="M45" i="13"/>
  <c r="AB45" i="13" s="1"/>
  <c r="AU46" i="13" l="1"/>
  <c r="G90" i="15" s="1"/>
  <c r="G92" i="15"/>
  <c r="AY35" i="13"/>
  <c r="AY45" i="13" s="1"/>
  <c r="AY58" i="13" s="1"/>
  <c r="AY60" i="13" s="1"/>
  <c r="E27" i="15"/>
  <c r="T79" i="24"/>
  <c r="S79" i="24" s="1"/>
  <c r="T118" i="33"/>
  <c r="S118" i="33" s="1"/>
  <c r="AU49" i="13"/>
  <c r="G93" i="15" s="1"/>
  <c r="E66" i="15"/>
  <c r="AO64" i="13"/>
  <c r="BP33" i="13"/>
  <c r="BP34" i="13" s="1"/>
  <c r="BP23" i="13"/>
  <c r="E57" i="15"/>
  <c r="K31" i="33"/>
  <c r="K32" i="33" s="1"/>
  <c r="T97" i="33"/>
  <c r="S97" i="33" s="1"/>
  <c r="K26" i="24"/>
  <c r="K27" i="24" s="1"/>
  <c r="T52" i="24"/>
  <c r="AY44" i="13"/>
  <c r="T56" i="24"/>
  <c r="K37" i="33"/>
  <c r="J32" i="24"/>
  <c r="T68" i="24"/>
  <c r="S68" i="24" s="1"/>
  <c r="T101" i="33"/>
  <c r="E33" i="15"/>
  <c r="E34" i="15" s="1"/>
  <c r="E36" i="15" s="1"/>
  <c r="G32" i="15"/>
  <c r="G39" i="15"/>
  <c r="C22" i="30"/>
  <c r="G22" i="30" s="1"/>
  <c r="H22" i="30" s="1"/>
  <c r="I22" i="30" s="1"/>
  <c r="J22" i="30" s="1"/>
  <c r="K22" i="30" s="1"/>
  <c r="L22" i="30" s="1"/>
  <c r="M22" i="30" s="1"/>
  <c r="N22" i="30" s="1"/>
  <c r="O22" i="30" s="1"/>
  <c r="P22" i="30" s="1"/>
  <c r="Q22" i="30" s="1"/>
  <c r="R22" i="30" s="1"/>
  <c r="S22" i="30" s="1"/>
  <c r="T22" i="30" s="1"/>
  <c r="U22" i="30" s="1"/>
  <c r="S83" i="33"/>
  <c r="AB63" i="13"/>
  <c r="AP45" i="13"/>
  <c r="AP63" i="13" s="1"/>
  <c r="G27" i="15" l="1"/>
  <c r="S73" i="33"/>
  <c r="E41" i="15"/>
  <c r="G41" i="15" s="1"/>
  <c r="G33" i="15"/>
  <c r="E35" i="15"/>
  <c r="T20" i="24"/>
  <c r="S49" i="33"/>
  <c r="C66" i="15"/>
  <c r="BP41" i="13"/>
  <c r="E60" i="15"/>
  <c r="BP30" i="13"/>
  <c r="T72" i="24"/>
  <c r="E37" i="33"/>
  <c r="E32" i="24"/>
  <c r="T60" i="24"/>
  <c r="T105" i="33"/>
  <c r="G57" i="15"/>
  <c r="E58" i="15"/>
  <c r="S52" i="24"/>
  <c r="U68" i="24"/>
  <c r="S56" i="24"/>
  <c r="U56" i="24"/>
  <c r="U101" i="33"/>
  <c r="S101" i="33"/>
  <c r="G34" i="15"/>
  <c r="E40" i="15"/>
  <c r="S72" i="33"/>
  <c r="BP37" i="13"/>
  <c r="AP64" i="13"/>
  <c r="S74" i="33" l="1"/>
  <c r="S71" i="33"/>
  <c r="C19" i="30"/>
  <c r="G19" i="30" s="1"/>
  <c r="G35" i="15"/>
  <c r="E37" i="15"/>
  <c r="G37" i="15" s="1"/>
  <c r="T79" i="33"/>
  <c r="S79" i="33" s="1"/>
  <c r="S72" i="24"/>
  <c r="U72" i="24"/>
  <c r="T25" i="24"/>
  <c r="S20" i="24"/>
  <c r="E35" i="24"/>
  <c r="T47" i="24"/>
  <c r="S47" i="24" s="1"/>
  <c r="G60" i="15"/>
  <c r="C37" i="30"/>
  <c r="G37" i="30" s="1"/>
  <c r="H37" i="30" s="1"/>
  <c r="I37" i="30" s="1"/>
  <c r="J37" i="30" s="1"/>
  <c r="K37" i="30" s="1"/>
  <c r="L37" i="30" s="1"/>
  <c r="M37" i="30" s="1"/>
  <c r="N37" i="30" s="1"/>
  <c r="O37" i="30" s="1"/>
  <c r="P37" i="30" s="1"/>
  <c r="Q37" i="30" s="1"/>
  <c r="R37" i="30" s="1"/>
  <c r="S37" i="30" s="1"/>
  <c r="T37" i="30" s="1"/>
  <c r="U37" i="30" s="1"/>
  <c r="E40" i="33"/>
  <c r="T90" i="33"/>
  <c r="S90" i="33" s="1"/>
  <c r="E39" i="33"/>
  <c r="F37" i="33"/>
  <c r="E34" i="24"/>
  <c r="G32" i="24"/>
  <c r="U60" i="24"/>
  <c r="U52" i="24" s="1"/>
  <c r="S60" i="24"/>
  <c r="S105" i="33"/>
  <c r="U105" i="33"/>
  <c r="U97" i="33" s="1"/>
  <c r="S68" i="33"/>
  <c r="S38" i="24"/>
  <c r="E62" i="15"/>
  <c r="G58" i="15"/>
  <c r="C34" i="30"/>
  <c r="G34" i="30" s="1"/>
  <c r="E42" i="15"/>
  <c r="G36" i="15"/>
  <c r="E45" i="15"/>
  <c r="G78" i="15"/>
  <c r="S59" i="33" s="1"/>
  <c r="G79" i="15"/>
  <c r="G40" i="15"/>
  <c r="BP38" i="13"/>
  <c r="E61" i="15"/>
  <c r="G20" i="30" l="1"/>
  <c r="H19" i="30"/>
  <c r="I19" i="30" s="1"/>
  <c r="J19" i="30" s="1"/>
  <c r="K19" i="30" s="1"/>
  <c r="L19" i="30" s="1"/>
  <c r="M19" i="30" s="1"/>
  <c r="N19" i="30" s="1"/>
  <c r="O19" i="30" s="1"/>
  <c r="P19" i="30" s="1"/>
  <c r="Q19" i="30" s="1"/>
  <c r="R19" i="30" s="1"/>
  <c r="S19" i="30" s="1"/>
  <c r="T19" i="30" s="1"/>
  <c r="U19" i="30" s="1"/>
  <c r="E63" i="15"/>
  <c r="S46" i="24" s="1"/>
  <c r="K32" i="24"/>
  <c r="F32" i="24"/>
  <c r="S25" i="24"/>
  <c r="F152" i="10"/>
  <c r="G62" i="15"/>
  <c r="G84" i="15"/>
  <c r="S39" i="24"/>
  <c r="T106" i="33"/>
  <c r="S106" i="33" s="1"/>
  <c r="G85" i="15"/>
  <c r="T61" i="24"/>
  <c r="S61" i="24" s="1"/>
  <c r="T73" i="24"/>
  <c r="S73" i="24" s="1"/>
  <c r="S69" i="33"/>
  <c r="G35" i="30"/>
  <c r="H34" i="30"/>
  <c r="I34" i="30" s="1"/>
  <c r="J34" i="30" s="1"/>
  <c r="K34" i="30" s="1"/>
  <c r="L34" i="30" s="1"/>
  <c r="M34" i="30" s="1"/>
  <c r="N34" i="30" s="1"/>
  <c r="O34" i="30" s="1"/>
  <c r="P34" i="30" s="1"/>
  <c r="Q34" i="30" s="1"/>
  <c r="R34" i="30" s="1"/>
  <c r="S34" i="30" s="1"/>
  <c r="T34" i="30" s="1"/>
  <c r="U34" i="30" s="1"/>
  <c r="E46" i="15"/>
  <c r="G46" i="15" s="1"/>
  <c r="G81" i="15"/>
  <c r="G80" i="15"/>
  <c r="G42" i="15"/>
  <c r="G44" i="15"/>
  <c r="G45" i="15"/>
  <c r="T84" i="33" s="1"/>
  <c r="S84" i="33" s="1"/>
  <c r="G43" i="15"/>
  <c r="T85" i="33" s="1"/>
  <c r="S85" i="33" s="1"/>
  <c r="T86" i="33"/>
  <c r="S86" i="33" s="1"/>
  <c r="S58" i="33"/>
  <c r="T17" i="24"/>
  <c r="S17" i="24" s="1"/>
  <c r="K16" i="24" s="1"/>
  <c r="G71" i="15"/>
  <c r="G77" i="15" s="1"/>
  <c r="S60" i="33" s="1"/>
  <c r="G72" i="15"/>
  <c r="E41" i="33"/>
  <c r="E36" i="24"/>
  <c r="T78" i="24"/>
  <c r="T117" i="33"/>
  <c r="S117" i="33" s="1"/>
  <c r="G61" i="15"/>
  <c r="C38" i="30"/>
  <c r="G38" i="30" s="1"/>
  <c r="H38" i="30" s="1"/>
  <c r="I38" i="30" s="1"/>
  <c r="J38" i="30" s="1"/>
  <c r="K38" i="30" s="1"/>
  <c r="L38" i="30" s="1"/>
  <c r="M38" i="30" s="1"/>
  <c r="N38" i="30" s="1"/>
  <c r="O38" i="30" s="1"/>
  <c r="P38" i="30" s="1"/>
  <c r="Q38" i="30" s="1"/>
  <c r="R38" i="30" s="1"/>
  <c r="S38" i="30" s="1"/>
  <c r="T38" i="30" s="1"/>
  <c r="U38" i="30" s="1"/>
  <c r="G23" i="30" l="1"/>
  <c r="H20" i="30"/>
  <c r="S89" i="33"/>
  <c r="G63" i="15"/>
  <c r="T33" i="24"/>
  <c r="S33" i="24" s="1"/>
  <c r="T62" i="33"/>
  <c r="S62" i="33" s="1"/>
  <c r="T61" i="33"/>
  <c r="S61" i="33" s="1"/>
  <c r="T32" i="24"/>
  <c r="S32" i="24" s="1"/>
  <c r="G39" i="30"/>
  <c r="H35" i="30"/>
  <c r="G74" i="15"/>
  <c r="G73" i="15"/>
  <c r="T48" i="24"/>
  <c r="S48" i="24" s="1"/>
  <c r="S78" i="24"/>
  <c r="I20" i="30" l="1"/>
  <c r="H23" i="30"/>
  <c r="S88" i="33"/>
  <c r="S45" i="24"/>
  <c r="D40" i="24"/>
  <c r="I35" i="30"/>
  <c r="H39" i="30"/>
  <c r="I23" i="30" l="1"/>
  <c r="J20" i="30"/>
  <c r="J35" i="30"/>
  <c r="I39" i="30"/>
  <c r="K20" i="30" l="1"/>
  <c r="J23" i="30"/>
  <c r="K35" i="30"/>
  <c r="J39" i="30"/>
  <c r="K23" i="30" l="1"/>
  <c r="L20" i="30"/>
  <c r="L35" i="30"/>
  <c r="K39" i="30"/>
  <c r="L23" i="30" l="1"/>
  <c r="M20" i="30"/>
  <c r="M35" i="30"/>
  <c r="L39" i="30"/>
  <c r="M23" i="30" l="1"/>
  <c r="N20" i="30"/>
  <c r="N35" i="30"/>
  <c r="M39" i="30"/>
  <c r="O20" i="30" l="1"/>
  <c r="N23" i="30"/>
  <c r="O35" i="30"/>
  <c r="N39" i="30"/>
  <c r="O23" i="30" l="1"/>
  <c r="P20" i="30"/>
  <c r="P35" i="30"/>
  <c r="O39" i="30"/>
  <c r="Q20" i="30" l="1"/>
  <c r="P23" i="30"/>
  <c r="Q35" i="30"/>
  <c r="P39" i="30"/>
  <c r="R20" i="30" l="1"/>
  <c r="Q23" i="30"/>
  <c r="R35" i="30"/>
  <c r="Q39" i="30"/>
  <c r="R23" i="30" l="1"/>
  <c r="S20" i="30"/>
  <c r="S35" i="30"/>
  <c r="R39" i="30"/>
  <c r="T20" i="30" l="1"/>
  <c r="S23" i="30"/>
  <c r="T35" i="30"/>
  <c r="S39" i="30"/>
  <c r="U20" i="30" l="1"/>
  <c r="U23" i="30" s="1"/>
  <c r="T23" i="30"/>
  <c r="U35" i="30"/>
  <c r="U39" i="30" s="1"/>
  <c r="T39" i="30"/>
  <c r="D41" i="30" l="1"/>
  <c r="D25" i="30"/>
  <c r="F25" i="30"/>
  <c r="T65" i="24" l="1"/>
  <c r="S65" i="24" s="1"/>
  <c r="E38" i="24"/>
  <c r="T112" i="33"/>
  <c r="S112" i="33" s="1"/>
  <c r="B43" i="33"/>
  <c r="T64" i="24"/>
  <c r="S64" i="24" s="1"/>
  <c r="T111" i="33"/>
  <c r="S111" i="33" s="1"/>
  <c r="I43" i="33"/>
  <c r="F26" i="30"/>
  <c r="V18" i="24"/>
  <c r="T18" i="24"/>
  <c r="S18" i="24" s="1"/>
  <c r="G36"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<sst xmlns="http://schemas.openxmlformats.org/spreadsheetml/2006/main" count="2395" uniqueCount="1195">
  <si>
    <t xml:space="preserve">Tool for techno-economic analysis of integrating </t>
  </si>
  <si>
    <t>data centre waste heat into district heating</t>
  </si>
  <si>
    <t>Version 1.1 - October 2026</t>
  </si>
  <si>
    <t>© e-think energy research, 2024 - 2026</t>
  </si>
  <si>
    <t>Contact: office@e-think.ac.at</t>
  </si>
  <si>
    <t xml:space="preserve">This tool is intended for purposes such as research and support in estimating costs and benefits of integrating waste heat in district heating. </t>
  </si>
  <si>
    <t>Feedback is highly appreciated.</t>
  </si>
  <si>
    <t>This tool has been developed within the Support DHC project funded by the EU LIFE Programme. It intends to provide a simple method to calculate the break-even heat price for waste heat from data centres. It allows the user to provide techno-economic information on technical equipment necessary to connect the DC with an existing district heating network (i.e. heat pump, booster technology and additional piping).</t>
  </si>
  <si>
    <t>The user can also define a set of typical days with individual energy prices, temperature levels as well as heat demand and heat supply capacities and combine these typical days to a typical year, for which then the break-even calculation is done.</t>
  </si>
  <si>
    <t xml:space="preserve">Note that all economic parameters in the tool are expressed in constant prices (e.g. EUR 2025). </t>
  </si>
  <si>
    <t>It is assumed that all costs and prices increase at the same inflation rate over time.</t>
  </si>
  <si>
    <t>The authors accept no responsibility for the topicality, accuracy, completeness or quality of the tool in general, or the results in particular.</t>
  </si>
  <si>
    <t>A user manual accompanies the tool, explaining the structure of the workbook, the required input parameters, the calculation logic, and the interpretation of results. It is designed to help users apply the tool effectively and carry out preliminary feasibility assessments for waste heat integration projects.</t>
  </si>
  <si>
    <t xml:space="preserve">
This work is licensed under a Creative Commons CC BY 4.0 International License.</t>
  </si>
  <si>
    <t>License-Text: https://spdx.org/licenses/CC-BY-4.0.html</t>
  </si>
  <si>
    <r>
      <t xml:space="preserve">Authors: </t>
    </r>
    <r>
      <rPr>
        <sz val="11"/>
        <color theme="1"/>
        <rFont val="Calibri"/>
        <family val="2"/>
        <scheme val="minor"/>
      </rPr>
      <t>Andreas Müller, Marcus Hummel, Andrea Frank-Stocker, Ardak Akhatova (e-think)</t>
    </r>
  </si>
  <si>
    <r>
      <rPr>
        <b/>
        <sz val="11"/>
        <color theme="1"/>
        <rFont val="Calibri"/>
        <family val="2"/>
        <scheme val="minor"/>
      </rPr>
      <t>Reviewer:</t>
    </r>
    <r>
      <rPr>
        <sz val="11"/>
        <color theme="1"/>
        <rFont val="Calibri"/>
        <family val="2"/>
        <scheme val="minor"/>
      </rPr>
      <t xml:space="preserve"> Thomas Pauschinger (AGFW)</t>
    </r>
  </si>
  <si>
    <t>Change Log</t>
  </si>
  <si>
    <t>Worksheets &amp; Workflow</t>
  </si>
  <si>
    <t>Project Setting</t>
  </si>
  <si>
    <t>Specify the project techno-economic data regarding heat pump, booster, heat recovery system, etc.</t>
  </si>
  <si>
    <t>Grid Costs</t>
  </si>
  <si>
    <t>Calculate additional grid / piping costs to connect the data centre (DC) with the existing district heating (DH) network</t>
  </si>
  <si>
    <t>Definition of Typical Day</t>
  </si>
  <si>
    <t>Define typical days comprising a year and set their parameters such as heat demand &amp; supply, temperature levels and energy prices for typical days</t>
  </si>
  <si>
    <t>Definition of Typical Year</t>
  </si>
  <si>
    <t>Combine "Typical Days" to define the "Typical Year": Define the share of the  "Typical Days" on a "Typical Year"</t>
  </si>
  <si>
    <t>Main Results - IRR DC Operator</t>
  </si>
  <si>
    <t>Visualise the results with different contract types and cost shares, focusing on the waste heat recovery system at the DC plant side</t>
  </si>
  <si>
    <t>Operation at Typical Day</t>
  </si>
  <si>
    <t>Visualise the energy and cost profile of a selected typical day</t>
  </si>
  <si>
    <t>Calculation IRR</t>
  </si>
  <si>
    <t>Calculate the Internal Rate of Return (IRR)</t>
  </si>
  <si>
    <t>Calculation Break-Even</t>
  </si>
  <si>
    <t>Calculate the break-even waste heat price</t>
  </si>
  <si>
    <t>Main Results Extended</t>
  </si>
  <si>
    <t>Visualise the results with different contract types and cost shares for the entire system (waste heat recovery and heat utilisation)</t>
  </si>
  <si>
    <t>Calculation of Typical Day</t>
  </si>
  <si>
    <t>Determine the energy balance and economic parameters of each typical day</t>
  </si>
  <si>
    <t>Calculation of Typical Year</t>
  </si>
  <si>
    <t>Determine the energy balance and economic parameters for the typical year</t>
  </si>
  <si>
    <t>Additional Information</t>
  </si>
  <si>
    <t>Additional explanations of the parameters used in the calculations</t>
  </si>
  <si>
    <t>TechKatalogGWPA</t>
  </si>
  <si>
    <t>Technology sheet "Großwärmepumpe Abwärme (Kompressionswärmepumpe)" from Technology Catalogue for Heat Planning Germany</t>
  </si>
  <si>
    <t>Colour code:</t>
  </si>
  <si>
    <t>Header</t>
  </si>
  <si>
    <t>Item / unit</t>
  </si>
  <si>
    <t>User input</t>
  </si>
  <si>
    <t>Cell with formula</t>
  </si>
  <si>
    <t>Go to content</t>
  </si>
  <si>
    <t>Input - not used for calculation</t>
  </si>
  <si>
    <t>Not used anymore: relevant for future works - do not change</t>
  </si>
  <si>
    <t>Control cells</t>
  </si>
  <si>
    <t>Check settings / input data, there might be some error</t>
  </si>
  <si>
    <t>The main calculation sheets in this workbook are secured with a password in order not to do unintended changes</t>
  </si>
  <si>
    <t>PW: 1234</t>
  </si>
  <si>
    <t>Go to Content</t>
  </si>
  <si>
    <t>Colour Code</t>
  </si>
  <si>
    <t xml:space="preserve"> </t>
  </si>
  <si>
    <t>Category</t>
  </si>
  <si>
    <t>Sub-Category</t>
  </si>
  <si>
    <t>Item</t>
  </si>
  <si>
    <t>Unit</t>
  </si>
  <si>
    <t>Description</t>
  </si>
  <si>
    <t>HEAT PUMP AND BOOSTER SYSTEM INCLUDING HEAT EXCHANGER  AND PIPING TO THE DH GRID (B2 - B3)</t>
  </si>
  <si>
    <t>Heat pump</t>
  </si>
  <si>
    <t>All monetary values are expressed in constant prices (e.g. EUR 2025)</t>
  </si>
  <si>
    <t>CONTRACTOR 1 / DH OPERATOR</t>
  </si>
  <si>
    <t>Technical data</t>
  </si>
  <si>
    <t>Generating capacity</t>
  </si>
  <si>
    <t>MW_th</t>
  </si>
  <si>
    <t>Nominal capacity of heat pump (heat output, MW_th_nominal_out); this value should be based on the available heat from the data Centre (in the sheet "Definition of Typical Day" - Available waste heat (DC heat source)</t>
  </si>
  <si>
    <t>Link to additional information / German translation</t>
  </si>
  <si>
    <t>Technical lifetime</t>
  </si>
  <si>
    <t>Years</t>
  </si>
  <si>
    <t>The typical lifetime of a water-to-water heat pump is between 15 and 25 years, depending on many factors. Average lifetime can thus be estimated as 20 years.</t>
  </si>
  <si>
    <t>COP - nominal</t>
  </si>
  <si>
    <t>[MW / MW]</t>
  </si>
  <si>
    <t>Capacity of waste heat stream (MW) at nominal operation conditions</t>
  </si>
  <si>
    <t>MW_th_nominal_in</t>
  </si>
  <si>
    <t>This is the HP system capacity related to the waste heat stream (waste heat source). This capacity shall be in the order of magnitude of the waste heat energy source or the feed-in capacity of the district heating system. The difference between MW_th_in and MW_th (MW_th_nominal_out) is the electricity input.</t>
  </si>
  <si>
    <t>Nominal temperature - heat pump source in</t>
  </si>
  <si>
    <t>°C</t>
  </si>
  <si>
    <t>Source-side inlet temperature: The temperature of the heat source fluid before it enters the evaporator. Nominal temperature for the selected heat pump (e.g. from specification sheets of the heat pump). The actual temperatur of the waste heat source shall be provided in the sheet &gt;Definition of Typical Day&lt;.</t>
  </si>
  <si>
    <t>Nominal temperature - heat pump source out</t>
  </si>
  <si>
    <t xml:space="preserve">Source-side outlet temperature: The temperature of the heat source fluid after it has passed through the evaporator and given up heat to the refrigerant. Nominal temperature for the selected heat pump (e.g. from specification sheets). </t>
  </si>
  <si>
    <t>Nominal temperature - heat pump sink out</t>
  </si>
  <si>
    <t>Sink-side outlet Temperature: The temperature of the heat sink fluid after it has passed through the condenser and absorbed heat from the refrigerant. Nominal temperature for the selected heat pump (e.g. from specification sheets). The actual temperatur of the heat sink (e.g. district heating network supply line temperature) shall be provided in the sheet &gt;Definition of Typical Day&lt;.</t>
  </si>
  <si>
    <t xml:space="preserve">HEx 2: Heat exchanger (HP - district heating network) delta T </t>
  </si>
  <si>
    <t>K</t>
  </si>
  <si>
    <t>Temperature drop that occurs due to losses in the heat exchanger and heat pipe between the Heat Pump and the DH network.</t>
  </si>
  <si>
    <t xml:space="preserve">HEx 1: Heat exchanger (HP - data centre cooling system) delta T </t>
  </si>
  <si>
    <t>Temperature drop that occurs due to losses in the heat exchanger and heat pipe between the Heat Pump and the Data Centre Cooling System.</t>
  </si>
  <si>
    <t>Nominal Temperature - Heat Pump Sink In</t>
  </si>
  <si>
    <t>Sink-side inlet Temperature: The temperature of the heat sink fluid before it enters the condenser. Nominal temperature for the selected heat pump (e.g. from specification sheets). The actual temperatur of the heat sink (e.g. district heating network return line temperature) shall be provided in the sheet &gt;Definition of Typical Day&lt;.</t>
  </si>
  <si>
    <t>Upper temperature limit - Heat pump Sink Out</t>
  </si>
  <si>
    <r>
      <t>If the heat pump sink temperature (</t>
    </r>
    <r>
      <rPr>
        <sz val="9"/>
        <color rgb="FFFF0000"/>
        <rFont val="Calibri"/>
        <family val="2"/>
        <scheme val="minor"/>
      </rPr>
      <t>district heating supply line temperature + delta T of HEx 2</t>
    </r>
    <r>
      <rPr>
        <sz val="9"/>
        <rFont val="Calibri"/>
        <family val="2"/>
        <scheme val="minor"/>
      </rPr>
      <t>) exceed this limit, then the remaining temperature needs to be provided by the booster.</t>
    </r>
  </si>
  <si>
    <t>Exponent for capacity drop if temperature spread of sink decreases</t>
  </si>
  <si>
    <t>Quantifies how sensitively the heat pump's heating capacity decreases when the temperature spread on the sink side (i.e. between sink outlet and inlet) becomes smaller. A higher exponent indicates a stronger reduction in capacity for small temperature spreads. If Zero, than no impact on capacity, if 1 then a reduction of temperature spread of heat sink reduces the capacity by the some ratio. Set value between 0 and 1.</t>
  </si>
  <si>
    <t>S - Source</t>
  </si>
  <si>
    <t>-</t>
  </si>
  <si>
    <t>Check impact of settings on COP</t>
  </si>
  <si>
    <t>S - Flow</t>
  </si>
  <si>
    <t>S - Return</t>
  </si>
  <si>
    <t>Share of heat loss in heat exchangers &amp; pipes from HP output</t>
  </si>
  <si>
    <t>%</t>
  </si>
  <si>
    <t>The percentage of thermal energy lost between the heat pump’s output and the grid that lead to reduced heat supplied to the grid as compared to the nominal capacity.  This includes losses due to inefficiencies in heat exchangers, as well as thermal losses in piping.</t>
  </si>
  <si>
    <t>Economic data</t>
  </si>
  <si>
    <t>Specific investment costs (equipment, installation)</t>
  </si>
  <si>
    <t>EUR/kW_th</t>
  </si>
  <si>
    <r>
      <t xml:space="preserve">The specific costs (i.e. expressed per unit of installed capacity) of acquiring and installing the heat pump system. </t>
    </r>
    <r>
      <rPr>
        <b/>
        <sz val="9"/>
        <color rgb="FFFF0000"/>
        <rFont val="Calibri"/>
        <family val="2"/>
        <scheme val="minor"/>
      </rPr>
      <t>Please be aware that the costs are defined in EUR/kW_th(out)</t>
    </r>
  </si>
  <si>
    <t>Investment costs</t>
  </si>
  <si>
    <t>EUR</t>
  </si>
  <si>
    <t xml:space="preserve">The total upfront investment needed for acquiring and installing the heat pump system. </t>
  </si>
  <si>
    <t>Other one-time expenses</t>
  </si>
  <si>
    <t xml:space="preserve">Non-recurring costs that arise during the project but are not directly related to equipment or installation (e.g. site preparation, permits and approvals, engineering or administrative fees) excluding planning as these costs are supposed to be provided below. Enter if applicable.  </t>
  </si>
  <si>
    <t>Total one-time expenses and costs excl. planning costs</t>
  </si>
  <si>
    <t>The sum of all upfront costs for the heat pump system except planning-related expenses. It combines investment costs and other one-time expenses.</t>
  </si>
  <si>
    <t>Regular annual expenses (heat pump specific)</t>
  </si>
  <si>
    <t>EUR/yr</t>
  </si>
  <si>
    <t>O&amp;M Costs - fix</t>
  </si>
  <si>
    <t>EUR/MW_th/yr</t>
  </si>
  <si>
    <t>Operation &amp; Maintenance costs that do not depend on system usage. These may include annual inspections, routine maintenance, and service contracts. Has the same impact as the &gt;Regular annual expenses  (heat pump specific)&lt; defined above, but is specified per MW_th (nominal capacity) of the heat pump.</t>
  </si>
  <si>
    <t>Total operation independent O&amp;M costs related to heat pump: regular annual expenses (heat pump specific) + O&amp;M Costs - fix * nominal capacity of heat pump</t>
  </si>
  <si>
    <t>Refers to the total fixed annual costs needed to keep the heat pump in good working condition, regardless of how much heat it delivers.</t>
  </si>
  <si>
    <t>O&amp;M Costs - variable (excl. electricity)</t>
  </si>
  <si>
    <t>EUR/MWh_th</t>
  </si>
  <si>
    <t>These are usage-dependent operational costs, excluding electricity. Examples include replacement of parts due to wear, maintenance that varies with operating hours or load, ronsumables (e.g., refrigerant top-up). Enter if relevant.</t>
  </si>
  <si>
    <t>Electricity - grid fee and other electrical capacity-related costs</t>
  </si>
  <si>
    <t>EUR/kW_electr_HP/yr</t>
  </si>
  <si>
    <t>These are the consumption-independent electricity costs (e.g. grid charge,  "LEISTUNGSPREIS" in German) in EUR/kW/yr that come on top of the electricity price (specified in the sheet &gt;Definition of Typical Day&lt;) that need to be paid per yr</t>
  </si>
  <si>
    <t>Electricity - grid fee and other electricity consumption-related costs</t>
  </si>
  <si>
    <r>
      <t>EUR/</t>
    </r>
    <r>
      <rPr>
        <b/>
        <sz val="9"/>
        <color rgb="FFFF0000"/>
        <rFont val="Calibri"/>
        <family val="2"/>
        <scheme val="minor"/>
      </rPr>
      <t>MWh</t>
    </r>
    <r>
      <rPr>
        <sz val="9"/>
        <rFont val="Calibri"/>
        <family val="2"/>
        <scheme val="minor"/>
      </rPr>
      <t>_electr_fuel</t>
    </r>
  </si>
  <si>
    <t>These are the consumption-dependent electricity costs (e.g. grid charge) that come on top of the electricity price (specified in the sheet &gt;Definition of Typical Day&lt;) that need to be paid when the heat pump system is running. To convert from EURCent/kWh, multiply by 10.</t>
  </si>
  <si>
    <t>Subsidies</t>
  </si>
  <si>
    <t>S1 (one-time, lump sum per MW)</t>
  </si>
  <si>
    <r>
      <t xml:space="preserve">One-time investment grant per unit of installed capacity, e.g. investment funding under the German 'Bundesförderung für effiziente Wärmenetze (BEW)', which covers up to 40% of the eligible capital costs of purchasing and installing the heat pump. </t>
    </r>
    <r>
      <rPr>
        <b/>
        <sz val="9"/>
        <color rgb="FFFF0000"/>
        <rFont val="Calibri"/>
        <family val="2"/>
        <scheme val="minor"/>
      </rPr>
      <t>Please be aware that the costs are defined in EUR/kW_th(out)</t>
    </r>
  </si>
  <si>
    <t>S1 total lump sum subsidies</t>
  </si>
  <si>
    <t>Total one-time investment grant for the heat pump system</t>
  </si>
  <si>
    <t>S2 (annually) for given number of yrs</t>
  </si>
  <si>
    <t>S2 given for number of years</t>
  </si>
  <si>
    <t>Number of years, for which the annual (operation-independent) subsidies S2 (defined above) are given.</t>
  </si>
  <si>
    <t>S2 (annually), average for calculatory project lifetime</t>
  </si>
  <si>
    <r>
      <t>S3 (annually, based on supplied waste heat (WH) by DC).</t>
    </r>
    <r>
      <rPr>
        <b/>
        <sz val="9"/>
        <color rgb="FFFF0000"/>
        <rFont val="Calibri"/>
        <family val="2"/>
        <scheme val="minor"/>
      </rPr>
      <t xml:space="preserve"> PLEASE BE AWARE THAT THIS KIND OF SUBSIDY IS ONLY PROVIDED BY SOME COUNTRIES, E.G. GERMANY</t>
    </r>
  </si>
  <si>
    <t>EUR/MWh_th (utilised waste heat, not HP output or electricity input)</t>
  </si>
  <si>
    <t>Calculate appropriate value according to German BEW (2026)</t>
  </si>
  <si>
    <t>S3 given for number of years</t>
  </si>
  <si>
    <t>Number of years, for which the annual (operation-dependent) subsidies S3 (defined above) are given.</t>
  </si>
  <si>
    <t>S3, average for calculatory project lifetime</t>
  </si>
  <si>
    <t>Subsidy for waste heat utilization. Within the calculation it is ensured that subsidies provided do not exceed the sum of electricity costs for running the heat pump and the auxiliary electricity demand.</t>
  </si>
  <si>
    <t>Consider subsidies (S3) in dispatch</t>
  </si>
  <si>
    <t>1/0</t>
  </si>
  <si>
    <t>Booster</t>
  </si>
  <si>
    <t>Efficiency</t>
  </si>
  <si>
    <t>Specific investment costs</t>
  </si>
  <si>
    <r>
      <t xml:space="preserve">The cost of purchasing and installing the booster system per kilowatt of thermal capacity. </t>
    </r>
    <r>
      <rPr>
        <b/>
        <sz val="9"/>
        <color rgb="FFFF0000"/>
        <rFont val="Calibri"/>
        <family val="2"/>
        <scheme val="minor"/>
      </rPr>
      <t>Please be aware the costs are defined in EUR/kW_th(out)</t>
    </r>
  </si>
  <si>
    <t>The total capital expenditure for the booster, including all equipment and installation costs for the full system (not per unit).</t>
  </si>
  <si>
    <t>Covers all non-recurring project-specific costs, such as site preparation, permitting, and documentation — excluding planning/design costs as they are supposed to be provided below.</t>
  </si>
  <si>
    <t>Total one-time expenses and costs excl. Planning costs</t>
  </si>
  <si>
    <t>The sum of all initial expenditures, including investment costs and other one-time expenses, but excluding planning costs.</t>
  </si>
  <si>
    <t>Regular annual expenses (booster specific)</t>
  </si>
  <si>
    <t>General recurring costs such as rent, personnel, or administrative fees directly related to the booster system.</t>
  </si>
  <si>
    <t>Fixed annual operation &amp; maintenance costs per MW of installed thermal capacity. May include costs like preventive maintenance, inspections, and service contracts. Enter if applicable.</t>
  </si>
  <si>
    <t>Total operation independent O&amp;M costs related to booster</t>
  </si>
  <si>
    <t>The sum of all fixed annual costs associated with the booster system, independent of its usage.</t>
  </si>
  <si>
    <t>O&amp;M Costs - Variable</t>
  </si>
  <si>
    <t xml:space="preserve">Variable costs per unit of thermal energy delivered. This includes usage-dependent expenses like consumables, wear-related replacements, and performance-based servicing. </t>
  </si>
  <si>
    <t>Electricity / fuel - grid fee and other capacity-related costs</t>
  </si>
  <si>
    <r>
      <t xml:space="preserve">These are the consumption-independent fuel/electricity costs (e.g. grid charge) that </t>
    </r>
    <r>
      <rPr>
        <sz val="9"/>
        <color rgb="FFFF0000"/>
        <rFont val="Calibri"/>
        <family val="2"/>
        <scheme val="minor"/>
      </rPr>
      <t>come on top of the electricity/fuel price (specified in the sheet &gt;Definition of Typical Day&lt;)</t>
    </r>
    <r>
      <rPr>
        <sz val="9"/>
        <rFont val="Calibri"/>
        <family val="2"/>
        <scheme val="minor"/>
      </rPr>
      <t xml:space="preserve"> that need to be paid per year</t>
    </r>
  </si>
  <si>
    <t>These are annual consumption-independent electricity (grid) costs ("LEISTUNGSPREIS" in German), calculated by electricity grid fee (cell above) in EUR/MWh for the Booster. This means that the grid fee costs are based on the booster capacity and performance, not the actual rated nominal electricity load capacity of the grid connection.</t>
  </si>
  <si>
    <t>Electricity / fuel - grid fee and other consumption-related costs</t>
  </si>
  <si>
    <t>These are the consumption-dependent electricity/fuel costs (e.g. grid charge) that come on top of the electricity/fuel price (specified in the sheet &gt;Definition of Typical Day&lt;) that need to be paid when the booster system is running. To convert from EURCent/kWh, multiply by 10.</t>
  </si>
  <si>
    <t>Subsidies for booster operation</t>
  </si>
  <si>
    <t>EUR/MW_th</t>
  </si>
  <si>
    <t>If applicable. A one-time financial support granted per installed megawatt of thermal capacity (MW_th) of the heat pump system.</t>
  </si>
  <si>
    <t>Piping (from DH grid to B2) and heat exchanger (HEx 2)</t>
  </si>
  <si>
    <t>Investment costs in HEx2 (equipment, installation, heat exchangers, one-time, lump-sum)</t>
  </si>
  <si>
    <t>Investment costs excluding planning cost and excluding subsidies (if applicable). Covers the full cost of installing piping and heat exchangers, including materials and labour, as a one-time payment.</t>
  </si>
  <si>
    <t>Investment costs for heat network from DH grid to B2 (see &gt;Grid Costs&lt;)</t>
  </si>
  <si>
    <t>Investment costs excluding planning cost and excluding subsidies (if applicable). Refers to the capital costs for the heat distribution network (e.g., main and branch pipelines, valves).</t>
  </si>
  <si>
    <t>Planning costs</t>
  </si>
  <si>
    <t>Planning costs [% total investment costs: Heat pump, booster, heat network, heat exchanger]</t>
  </si>
  <si>
    <t>Share of the total investment allocated to project planning and engineering (e.g., design, permitting, studies).</t>
  </si>
  <si>
    <t>Total Investment costs (HP, booster, heat network, heat exchanger, etc.)</t>
  </si>
  <si>
    <t>Sum of all relevant upfront investments used as the basis for calculating the planning cost share.</t>
  </si>
  <si>
    <t>Planning costs [absolute]</t>
  </si>
  <si>
    <t>Total planning cost calculated from the percentage share above.</t>
  </si>
  <si>
    <t>Other OPEX</t>
  </si>
  <si>
    <t>Auxiliary electricity consumption (share of heat gen.)</t>
  </si>
  <si>
    <t>Proportion of total heat generation requiring auxiliary electricity (e.g., for circulation pumps, control systems).</t>
  </si>
  <si>
    <t>Personnel</t>
  </si>
  <si>
    <t>Annual personnel costs associated with system operation (if applicable).</t>
  </si>
  <si>
    <t>Rent</t>
  </si>
  <si>
    <t>Annual rental costs for land, buildings, or space used by the energy system (if applicable).</t>
  </si>
  <si>
    <t>Other end-of-the-lifetime CAPEX</t>
  </si>
  <si>
    <t>Demolition costs</t>
  </si>
  <si>
    <t>Residual value of investment at the end of the lifetime</t>
  </si>
  <si>
    <t xml:space="preserve">Contractor 1 / district heating operator </t>
  </si>
  <si>
    <t>Economic settings</t>
  </si>
  <si>
    <t>Decommissioning after how many years</t>
  </si>
  <si>
    <t>Depreciation time of project / calculatory lifetime</t>
  </si>
  <si>
    <t>Energy carrier price increase on top of inflation</t>
  </si>
  <si>
    <t>Annual increase in fuel or energy carrier prices in real terms, i.e., beyond inflation (default: 0%).</t>
  </si>
  <si>
    <t xml:space="preserve">Project-specific interest rate </t>
  </si>
  <si>
    <t>a) Based on weighted average costs of capital (WACC)</t>
  </si>
  <si>
    <t>Alternative a) Calculate WACC</t>
  </si>
  <si>
    <t>Average interest rate of loans in real terms (excluding inflation)</t>
  </si>
  <si>
    <t>Effective borrowing cost after adjusting for inflation (default: 2.5%). While banks provide interest rates in nominal terms, economic calculations often require the real interest rate to accurately assess the true cost of capital over time. E.g. a loan is defined as 6M EURIBOR + 1%. If the 6M EURIBOR is at 4%, the inflation rate at 3%, then interest rate in real terms is defined as 4% + 1% - 3% = 2%</t>
  </si>
  <si>
    <t>Expected interest rate on equity, again in real terms</t>
  </si>
  <si>
    <t xml:space="preserve">Return required by equity investors, inflation-excluded (default: 7.0%). Inflation rate is subtracted like above. </t>
  </si>
  <si>
    <t>Share of equity capital on total financing</t>
  </si>
  <si>
    <t>Capital structure of the project (default: 20%).</t>
  </si>
  <si>
    <t>Corporate tax rate</t>
  </si>
  <si>
    <t xml:space="preserve">Tax rate used to calculate WACC after tax (default: 20%). </t>
  </si>
  <si>
    <t>Weighted average costs of capital (WACC)</t>
  </si>
  <si>
    <t>Weighted average cost of capital, combining debt and equity financing.</t>
  </si>
  <si>
    <t>b) Set expected IRR manually</t>
  </si>
  <si>
    <t>Alternative b) Use company-internal expected IRR for such project.</t>
  </si>
  <si>
    <t>Required (company internal) rate of return for such project</t>
  </si>
  <si>
    <t>If expected IRR defined, then this variable is used instead of WACC. Please be aware, that expected IRR excluding inflation shall be used.</t>
  </si>
  <si>
    <t>Rate of return used in the subsequent calculations</t>
  </si>
  <si>
    <t>Expected IRR used for calculation</t>
  </si>
  <si>
    <t>Capital recovery factor (annuity factor)</t>
  </si>
  <si>
    <t>1/yr</t>
  </si>
  <si>
    <t>Factor used to annualize capital costs based on interest rate and lifetime</t>
  </si>
  <si>
    <t>WASTE HEAT RECOVERY SYSTEM FROM DATA CENTRE: B1 - B2</t>
  </si>
  <si>
    <t xml:space="preserve">Investments and running costs </t>
  </si>
  <si>
    <t>CONTRACTOR 2 / DC OPERATOR</t>
  </si>
  <si>
    <t>Economic Data</t>
  </si>
  <si>
    <t>Share paid by Contractor 1</t>
  </si>
  <si>
    <t>Investment costs (equipment, installation, heat exchangers, one-time, lump sum)</t>
  </si>
  <si>
    <t>Investment costs for heat network (see &gt;Grid Costs&lt;)</t>
  </si>
  <si>
    <t>The investment costs for the necessary heat network, can be defined in the sheet Grid Costs</t>
  </si>
  <si>
    <t>Total one-time expenses and costs excl. Planning costs</t>
  </si>
  <si>
    <t>Total investment allocated to project planning and engineering (e.g., design, permitting, studies).</t>
  </si>
  <si>
    <t>Planning costs [%  Investment costs]</t>
  </si>
  <si>
    <t>Regular annual expenses (WASTE HEAT RECOVERY specific)</t>
  </si>
  <si>
    <t xml:space="preserve">General recurring costs such as rent, personnel, or administrative fees directly related to the heat recovery. </t>
  </si>
  <si>
    <t>O&amp;M Costs - Variable (incl. electricity)</t>
  </si>
  <si>
    <t>Variable costs per unit of thermal energy delivered by data centre. Has the same impact as the &gt;Regular annual expenses (waste heat recovery specific)&lt; defined above, but is specified per MWh_th.</t>
  </si>
  <si>
    <t>Heat price (Take-or-Pay)  p_0</t>
  </si>
  <si>
    <t>Price p_0 is the payment for waste heat from the data Centre to an external third party. This price and associated costs are not considered as revenues for either Contractor 1 or Contractor 2 / DC operator but are revenues for a third party not within the scope of this tool. Note that these are to be considered costs that occur before considering the necessary investments by the Contractor 2 / DC operator. If a price is defined, then it is considered under Take-or-Pay conditions.</t>
  </si>
  <si>
    <t>Share received by Contractor 1</t>
  </si>
  <si>
    <t>S1 (one-time, lump sum)</t>
  </si>
  <si>
    <t>One-time investment grant; if applicable</t>
  </si>
  <si>
    <t>Contractor 2 / data centre operator</t>
  </si>
  <si>
    <t>Economic setting</t>
  </si>
  <si>
    <t>Depreciation time of project / Calculatory lifetime</t>
  </si>
  <si>
    <t>If expected IRR is defined, then this variable is used instead of WACC. If empty, than the WACC calculated above is used. Please be aware, that IRR excluding inflation shall be used.</t>
  </si>
  <si>
    <t>Rate of return used for calculation</t>
  </si>
  <si>
    <t>Default active cooling system</t>
  </si>
  <si>
    <t xml:space="preserve">Average weighted annual SCOP of active cooling unit </t>
  </si>
  <si>
    <t>This is the average achieved ratio of removed thermal energy-to-electricity, weighted considering different operation conditions. Only for those hours, where active cooling is running and not considering the periods, where free cooling is applied. The ratio between active cooling and free cooling as well as the electricity price is defined in the sheet &gt;Definition of Typical Day&lt;.</t>
  </si>
  <si>
    <t>Electricity - grid fee</t>
  </si>
  <si>
    <r>
      <t>EUR/</t>
    </r>
    <r>
      <rPr>
        <b/>
        <sz val="9"/>
        <color rgb="FFFF0000"/>
        <rFont val="Calibri"/>
        <family val="2"/>
        <scheme val="minor"/>
      </rPr>
      <t>MWh</t>
    </r>
    <r>
      <rPr>
        <sz val="9"/>
        <rFont val="Calibri"/>
        <family val="2"/>
        <scheme val="minor"/>
      </rPr>
      <t>_electr</t>
    </r>
  </si>
  <si>
    <t>These are the consumption-dependent electricity costs that come on top of the electricity price (specified in the sheet &gt;Definition of Typical Day&lt;) that need to be paid when the active cooling system is running. We do not consider additional capacity-related grid costs. To convert from EURCent/kWh, multiply by 10.</t>
  </si>
  <si>
    <t>Check COP at alternative temperature levels based on settings for  S - Source, S - Flow and S - Return</t>
  </si>
  <si>
    <t>Alternative heat source in temperature (e.g. DC waste heat temperature)</t>
  </si>
  <si>
    <t>Alternative heat sink out temperature (e.g. district heat supply line temperature)</t>
  </si>
  <si>
    <t>Alternative heat sink in temperature (e.g. district heat return line temperature)</t>
  </si>
  <si>
    <t>S - Source, S - Flow and S - Return values as defined above</t>
  </si>
  <si>
    <t>Go to settings above</t>
  </si>
  <si>
    <t>Calculated subsidies based on "Bundesförderung für effiziente Wärmenetze (BEW)", Merkblatt Antragstellung, technische Anforderungen und Verwendungsnachweis, v3, 01.01.2026</t>
  </si>
  <si>
    <t>This is relevant under German law (BEW) only and thus partly in German</t>
  </si>
  <si>
    <t>https://www.bafa.de/SharedDocs/Downloads/DE/Energie/bew_merkblatt_20251216.pdf</t>
  </si>
  <si>
    <t>SCOP, as currently calculated for the project based on this tool (HP_heat_output_per_year /HP_electricity_input_per_year)</t>
  </si>
  <si>
    <t>SCOP</t>
  </si>
  <si>
    <t>Dieser Wert muss manuell eingegeben werden</t>
  </si>
  <si>
    <t>Use appropriate annual SCOP value</t>
  </si>
  <si>
    <r>
      <t xml:space="preserve">Wärmepumpen mit </t>
    </r>
    <r>
      <rPr>
        <b/>
        <sz val="11"/>
        <color rgb="FFFF0000"/>
        <rFont val="Calibri"/>
        <family val="2"/>
        <scheme val="minor"/>
      </rPr>
      <t>allgemeiner Versorgung (§3 Nr. 17EnWG)</t>
    </r>
  </si>
  <si>
    <t>Förderbetrag</t>
  </si>
  <si>
    <t>Cent/kWh</t>
  </si>
  <si>
    <t>As according to formula to the right</t>
  </si>
  <si>
    <t>Fördersumme je 1 kWh Strominput</t>
  </si>
  <si>
    <t>Cent/kWh_Strom</t>
  </si>
  <si>
    <t>Fördersumme je 1 kWh Abwärme</t>
  </si>
  <si>
    <t>Cent/kWh_Abwärme</t>
  </si>
  <si>
    <t>Fördersumme je 1 MWh Abwärme</t>
  </si>
  <si>
    <t>EUR/MWh_Abwärme</t>
  </si>
  <si>
    <t>Dies ist der Wert, der oben manuell (S3) einzusetzen ist; es gibt keine automatische Verknüpfung!</t>
  </si>
  <si>
    <r>
      <t xml:space="preserve">Wärmepumpen mit </t>
    </r>
    <r>
      <rPr>
        <b/>
        <sz val="11"/>
        <color rgb="FFFF0000"/>
        <rFont val="Calibri"/>
        <family val="2"/>
        <scheme val="minor"/>
      </rPr>
      <t>Strom aus EE-Erzeugern ohne Durchleitung öffentliches Netz</t>
    </r>
  </si>
  <si>
    <t>Contractor 1 (district heating operator)</t>
  </si>
  <si>
    <t>Dimension (DN)</t>
  </si>
  <si>
    <t>mm</t>
  </si>
  <si>
    <t>Specific cost (including pipe works and joints)</t>
  </si>
  <si>
    <t>EUR/m</t>
  </si>
  <si>
    <t>Trench / pipe length per DN (Ensure that consistent use of either trench or pipe length is used)</t>
  </si>
  <si>
    <t>Totals</t>
  </si>
  <si>
    <t>Pipe length existing DH network (B3) to heat exchanger 2 (HEx 2), if applicable</t>
  </si>
  <si>
    <t>m</t>
  </si>
  <si>
    <t>Pipe length from HP to Booster</t>
  </si>
  <si>
    <t>Pipe length heat exchanger 2 to heat pump including piping needed to connect booster (if applicable)</t>
  </si>
  <si>
    <t>Pipe length from HP to DH grid</t>
  </si>
  <si>
    <t>Pipe length from heat pump to system boundary B2</t>
  </si>
  <si>
    <t>Pipe length from Booster to DH grid</t>
  </si>
  <si>
    <t>Total pipe length within system boundary: Contractor 1</t>
  </si>
  <si>
    <t>Investment costs for network invested by Contractor 1</t>
  </si>
  <si>
    <t>Total investment</t>
  </si>
  <si>
    <t>Contractor 2 (data centre operator)</t>
  </si>
  <si>
    <t>Trench / pipe length per DN (Ensure consistent use of either trench or pipe length)</t>
  </si>
  <si>
    <t>Total pipe length from within system boundary B2 to system boundary B1 (existing waste heat source): Contrator 2 / data centre operator</t>
  </si>
  <si>
    <t>Pipe length from data centre to HP</t>
  </si>
  <si>
    <t>Investment costs for network invested by Contrator 2 / data centrer operator</t>
  </si>
  <si>
    <t>Define meaningful "typical days" for the desired project and your demands</t>
  </si>
  <si>
    <t>Typical day</t>
  </si>
  <si>
    <t>Name of typical day</t>
  </si>
  <si>
    <t>Winter day</t>
  </si>
  <si>
    <t>Spring / fall weekday</t>
  </si>
  <si>
    <t>Spring / fall weekend</t>
  </si>
  <si>
    <t>Summer weekday</t>
  </si>
  <si>
    <t>Summer weekend</t>
  </si>
  <si>
    <t>Maintenance of HP</t>
  </si>
  <si>
    <t>Season of typical day</t>
  </si>
  <si>
    <t>Winter</t>
  </si>
  <si>
    <t>Spring / Fall</t>
  </si>
  <si>
    <t>Summer</t>
  </si>
  <si>
    <t>Can occur in any season</t>
  </si>
  <si>
    <t>Season</t>
  </si>
  <si>
    <t>Qualitative Description</t>
  </si>
  <si>
    <t>The amount of waste heat is significantly lower than the heat demand.
The grid supply temperature is higher than the maximum heat pump temperature, so additional heating via direct electric heating is required.</t>
  </si>
  <si>
    <t>On a typical fall weekday, the amount of waste heat is clearly lower than the demand in the existing network.
Supply temperatures are not very high yet.</t>
  </si>
  <si>
    <t xml:space="preserve"> Similar to the weekday scenario – on a fall weekend, the amount of waste heat remains lower than demand, and supply temperatures are still not very high.</t>
  </si>
  <si>
    <t>On a summer weekday, the supply temperature is lower, and all the available waste heat can be used.</t>
  </si>
  <si>
    <t>Same as on the weekday – lower supply temperatures allow full utilization of the available waste heat.</t>
  </si>
  <si>
    <t xml:space="preserve">The heat pump is out of operation either due to maintenance or due to no heat demand.
</t>
  </si>
  <si>
    <t>Outside Temperature</t>
  </si>
  <si>
    <t>Available waste heat</t>
  </si>
  <si>
    <t>High</t>
  </si>
  <si>
    <t>Moderate</t>
  </si>
  <si>
    <t>Waste heat higher than demand</t>
  </si>
  <si>
    <t>No</t>
  </si>
  <si>
    <t>Waste heat temperature</t>
  </si>
  <si>
    <t>Constant</t>
  </si>
  <si>
    <t>Grid temperature</t>
  </si>
  <si>
    <t>Medium</t>
  </si>
  <si>
    <t>Low</t>
  </si>
  <si>
    <t>HP outage / maintenance</t>
  </si>
  <si>
    <t>Yes</t>
  </si>
  <si>
    <t xml:space="preserve">Economic parameters </t>
  </si>
  <si>
    <t>Electricity price auxiliary electricity (for simplicity, this price includes already grid fees, etc.).</t>
  </si>
  <si>
    <t>EUR/MWh</t>
  </si>
  <si>
    <t>Technical parameters</t>
  </si>
  <si>
    <t>Filter for Variable</t>
  </si>
  <si>
    <t>Filter for hour of the day</t>
  </si>
  <si>
    <t>Hour of day</t>
  </si>
  <si>
    <t>Available waste heat (DC heat source)</t>
  </si>
  <si>
    <t>Hour of the day</t>
  </si>
  <si>
    <t>Hourly thermal output from the data centre that is available for heat recovery. This represents the maximum potential heat input for the heat pump system. In order to consider a scheduled maintenance of the heat pump, the available waste heat can be set to Zero if there is no need to renumerate the waste heat provided by the DC/waste heat operator (e.g in a pay-as-you-go contract)</t>
  </si>
  <si>
    <t>Daily average</t>
  </si>
  <si>
    <t>Max heat demand - grid (HP heat sink)</t>
  </si>
  <si>
    <r>
      <t xml:space="preserve">Hourly thermal demand  from the district heating network that the heat pump can supply. It sets the upper limit for how much heat can be delivered into the grid. </t>
    </r>
    <r>
      <rPr>
        <sz val="8"/>
        <color rgb="FFFF0000"/>
        <rFont val="Calibri"/>
        <family val="2"/>
        <scheme val="minor"/>
      </rPr>
      <t>In order to consider a scheduled maintenance of the heat pump, the grid demand can be set to Zero (if the entire system shall not run) but the DC / waste heat operator provides heat and is supposed to be renumerated for that heat in a take-or-pay contract</t>
    </r>
  </si>
  <si>
    <t>Heat source temperature (DC) / temperature of the cooling system before HEx 1</t>
  </si>
  <si>
    <t>Temperature of the waste heat source, after the temperature reduction in the HEx 1 this is the temperature that is entering the heat pump. This influences the efficiency of the heat pump.</t>
  </si>
  <si>
    <t>DH supply line temperature*</t>
  </si>
  <si>
    <t>This is the required supply temperature (in °C) that must be delivered to the district heating (DH) network</t>
  </si>
  <si>
    <t xml:space="preserve">DH return line temperature*  </t>
  </si>
  <si>
    <t xml:space="preserve">Temperature (in °C) of the water returning from the district heating network to the heat pump. </t>
  </si>
  <si>
    <t>Short-run marginal costs of alternative heat production</t>
  </si>
  <si>
    <t>EUR/MWh_delivered</t>
  </si>
  <si>
    <t>The cost of producing 1 MWh of heat using alternative sources that the recovered data centre heat replaces. It helps assess the economic competitiveness of using waste heat.</t>
  </si>
  <si>
    <t>Electricity price heat pump</t>
  </si>
  <si>
    <t>EUR/MWh_elec</t>
  </si>
  <si>
    <r>
      <t>Hourly electricity price paid for operating the heat pump. This directly affects the operating cost and economic feasibility.</t>
    </r>
    <r>
      <rPr>
        <sz val="8"/>
        <color rgb="FFFF0000"/>
        <rFont val="Calibri"/>
        <family val="2"/>
        <scheme val="minor"/>
      </rPr>
      <t xml:space="preserve"> Be aware that grid fees (per kW and MWh) can be set in the sheet &gt;Project Setting&lt;. Ensure that the prices and fees are not double counted (e.g grid fees is set in Sheet &gt;Project Setting&lt; AND is included here in the energy price, or the other way round is included in neither cells.</t>
    </r>
  </si>
  <si>
    <t>Energy price for energy used by booster</t>
  </si>
  <si>
    <t>EUR/MWh_fuel</t>
  </si>
  <si>
    <r>
      <t xml:space="preserve">Energy price for energy carrier used by booster. This might be e.g. electricity (with variable price as it is the case for the electricity used by the heat pump) or gas with with a rather flat profile. Ensure that the efficiency defined in the Project Sheet is set accordingly. </t>
    </r>
    <r>
      <rPr>
        <sz val="8"/>
        <color rgb="FFFF0000"/>
        <rFont val="Calibri"/>
        <family val="2"/>
        <scheme val="minor"/>
      </rPr>
      <t>Be aware that grid fees (per kW and MWh) can be set in the sheet &gt;Project Setting&lt;. Ensure that the prices and fees are not double counted (e.g grid fees is set in Sheet &gt;Project Setting&lt; AND is included here in the energy price, or the other way round is included in neither cells.</t>
    </r>
  </si>
  <si>
    <t xml:space="preserve">Data centre operator / waste heat provider: Electricity price for active cooling system </t>
  </si>
  <si>
    <t>Electricity price fo actice cooling system that has to be paid by the data centre operator (Contractor 2) if the heat is not be taken up by the district heating system (Contractor 1). Ensure that the efficiency defined in the Project Sheet is set accordingly. Be aware that grid fees (per MWh) can be set in the sheet &gt;Project Setting&lt;. Ensure that the prices and fees are not double counted (e.g grid fees is set in Sheet &gt;Project Setting&lt; AND is included here in the energy price, or the other way round is included in neither cells.</t>
  </si>
  <si>
    <t>Data centre operator  / waste heat provider: Share of active cooling (if heat is not taken up by Contractor 1)</t>
  </si>
  <si>
    <t>Share between 0% and 100%</t>
  </si>
  <si>
    <t>This is the required share of active cooling (as opposed to free cooling) required, if heat is not taken up by Contract 1 and the district heating system</t>
  </si>
  <si>
    <t>Share of active cooling (=1 - Share of free cooling)</t>
  </si>
  <si>
    <t>Economic Parameters Contractor 1 / DH Operator</t>
  </si>
  <si>
    <t>Economic parameters Contractor 2 / Data centre Operator</t>
  </si>
  <si>
    <t>Typical days</t>
  </si>
  <si>
    <t>Weight of typical day</t>
  </si>
  <si>
    <t>Days of Typical Day in Typical Year</t>
  </si>
  <si>
    <t>Average Flow Temperature of data centre cooling system</t>
  </si>
  <si>
    <t>Average flow temperature HP, source in</t>
  </si>
  <si>
    <t>Average DH supply line temperature</t>
  </si>
  <si>
    <t>Average Required Temperature Sink Out</t>
  </si>
  <si>
    <t>Average DH return line temperature</t>
  </si>
  <si>
    <t>Average Temperature Heat Pump Sink In</t>
  </si>
  <si>
    <t>Hours of Operation per day</t>
  </si>
  <si>
    <t>Hours of operation (full load hour equivalents) per day</t>
  </si>
  <si>
    <t>Available heat from DC per day</t>
  </si>
  <si>
    <t>Used heat from DC per day</t>
  </si>
  <si>
    <t>Electricity used by Heat pump per day</t>
  </si>
  <si>
    <t>Fuel used by Booster per day</t>
  </si>
  <si>
    <t>Heat provided to the grid per day</t>
  </si>
  <si>
    <t>Avoided Electricity demand for cooling</t>
  </si>
  <si>
    <t>Remaining Electricity demand for cooling</t>
  </si>
  <si>
    <t>Waste heat costs in case of pay-as-you-go contract based on negotiated price p_1 between Contractor 1 and Contractor 2</t>
  </si>
  <si>
    <t>Electricity cost HP per day</t>
  </si>
  <si>
    <t>Electricity costs auxiliary energy</t>
  </si>
  <si>
    <t>Fuel costs Booster per day</t>
  </si>
  <si>
    <t>Variable O&amp;M costs HP per day</t>
  </si>
  <si>
    <t>Variable O&amp;M costs Booster per day</t>
  </si>
  <si>
    <t>Total variable costs per day excluding subsidies</t>
  </si>
  <si>
    <t>Subsidies for utilized waste heat provided by DC</t>
  </si>
  <si>
    <t>Avoided costs of alternative production that has been replaced by waste heat utilisation</t>
  </si>
  <si>
    <t>Waste heat costs in case of Take-or-pay contract based on negotiated price p_1 between Contractor 1 and Contractor 2</t>
  </si>
  <si>
    <t>Avoided electricity costs due to reduced active cooling</t>
  </si>
  <si>
    <t>Remaining electricity costs for active cooling</t>
  </si>
  <si>
    <t>Energy costs based on p_0 for waste heat from DC (always Take-or-Pay contract type)</t>
  </si>
  <si>
    <t>Variable O&amp;M costs</t>
  </si>
  <si>
    <t>Waste heat earnings in case of pay-as-you-go contract based on negotiated price p_1 between Contractor 1 and Contractor 2</t>
  </si>
  <si>
    <t>Waste heat earnings in case of Take-or-pay contract based on negotiated price p_1 between Contractor 1 and Contractor 2</t>
  </si>
  <si>
    <t>days</t>
  </si>
  <si>
    <t>hours / day</t>
  </si>
  <si>
    <t>MWh_th / day</t>
  </si>
  <si>
    <t>MWh_el / day</t>
  </si>
  <si>
    <t>MWh / day</t>
  </si>
  <si>
    <t>EUR / day</t>
  </si>
  <si>
    <t>Labels each characteristic day (e.g. Winter day, Summer weekend)</t>
  </si>
  <si>
    <t>Relative share of typical day in analysed typical year. Shares will be scaled automatically to 100% (365 days per year), if total sum of shares don't sum up to 100%</t>
  </si>
  <si>
    <t>Number of days that each typical day represents across the entire year</t>
  </si>
  <si>
    <t>Flow Temperature of the cooling system of the DC</t>
  </si>
  <si>
    <t>Flow Temperature HP equals the temperature of the cooling system reduced by delta T of the heat exchanger</t>
  </si>
  <si>
    <t>The required supply temperature for the district heating grid.</t>
  </si>
  <si>
    <t xml:space="preserve">Temperature required by the DH grid and needs to be provided by HP + booster (may be higher than what HP alone can deliver). </t>
  </si>
  <si>
    <t>The return temperature of the district heating network.</t>
  </si>
  <si>
    <t>Inlet temperature into the heat pump from the sink (DH side).</t>
  </si>
  <si>
    <t>Number of hours the system is running per day</t>
  </si>
  <si>
    <t xml:space="preserve">Number of full-load-hour equivalents per day (MWh_th provided by heat pump / heat pump capacity) </t>
  </si>
  <si>
    <t>Total thermal energy (waste heat) available from the data centre on that typical day</t>
  </si>
  <si>
    <t>Amount of the available waste heat that is actually used in the system (e.g. heat pump)</t>
  </si>
  <si>
    <t>Amount of electricity consumed by the heat pump to extract and upgrade the waste heat</t>
  </si>
  <si>
    <t>If additional heating is needed, this reflects the fuel consumption of a booster heater</t>
  </si>
  <si>
    <t>Total heat delivered to the district heating grid, coming from both the heat pump and booster</t>
  </si>
  <si>
    <t>Total AVOIDED electricity due to less active cooling needs. (THIS ARE SAVINGS)</t>
  </si>
  <si>
    <t>Total remaining electricity demand for active cooling</t>
  </si>
  <si>
    <t>Daily cost for the waste heat based on a variable (usage-based) contract with a negotiated price. These Waste heat costs are part of SRMC.</t>
  </si>
  <si>
    <t>Total electricity cost for operating the heat pump on that day</t>
  </si>
  <si>
    <t>Electricity costs associated with additional or auxiliary components of the system (not the HP) (so SRMC)</t>
  </si>
  <si>
    <t>Cost of fuel used by the booster to supplement heating if necessary</t>
  </si>
  <si>
    <t>Operating and maintenance costs that vary with usage, associated with the heat pump.</t>
  </si>
  <si>
    <t>Operating and maintenance costs that vary with usage, associated with the booster unit.</t>
  </si>
  <si>
    <t>Sum of all daily variable costs (electricity, fuel, O&amp;M), excluding any subsidies.</t>
  </si>
  <si>
    <t>Daily subsidies received for using waste heat from the data centre.
Considered as earnings.</t>
  </si>
  <si>
    <t>Costs saved by not using an alternative (usually more expensive) heat production method.
Considered as earnings.</t>
  </si>
  <si>
    <t>Daily cost under a fixed contract where the buyer pays for a set amount of heat, used or not.
These Waste heat costs are NOT part of SRMC.</t>
  </si>
  <si>
    <t>Total hourly REDUCED electricity costs due to less active cooling needs. (THIS ARE SAVINGS)</t>
  </si>
  <si>
    <t>Total hourly remaining electricity costs for active cooling</t>
  </si>
  <si>
    <t>Waste heat cost based on price p_0 that is paid at the border between data centre cooling and waste heat recovery system under Take-or-Pay conditions</t>
  </si>
  <si>
    <t>These are the operation and maintenance costs that vary depending on how much of the heat recovery system is used</t>
  </si>
  <si>
    <t>Revenue generated for the data centre based on actual usage and negotiated price. These waste heat costs are part of SRMC.</t>
  </si>
  <si>
    <t xml:space="preserve">Guaranteed revenue for the data centre based on fixed contractual payments.
</t>
  </si>
  <si>
    <t>Independent of actual operation, different formular</t>
  </si>
  <si>
    <t>References Control ASSERT WAHR/TRUE</t>
  </si>
  <si>
    <t xml:space="preserve">Go to Content </t>
  </si>
  <si>
    <t>Economics of waste heat recovery system (B1 - B2)</t>
  </si>
  <si>
    <t>Contract type between Contractor 1 and Contractor 2</t>
  </si>
  <si>
    <t>Select contract type: waste heat sold by DC based on (1) take-or-pay contract or (2) pay-as-you-go (utilised heat)</t>
  </si>
  <si>
    <t>Negotiated energy price p_1</t>
  </si>
  <si>
    <t>Price p_1 for waste heat from DC between Contractor 1 / DH operator and Contractor 2 / DC operator. These are costs for Contractor 1 / DH operator and revenues for Contractor 2 / DC operator.</t>
  </si>
  <si>
    <t>Energy price p_0 paid to external entity</t>
  </si>
  <si>
    <t>Take-or-pay [EUR/MWh_waste_heat_provided]</t>
  </si>
  <si>
    <t>Price p_0 represents the payment for waste heat from the data centre to an external third party. This cost is not considered as revenue for either Contractor 1 or Contractor 2 / DH operator price</t>
  </si>
  <si>
    <t xml:space="preserve">Share paid by          Contractor 1 </t>
  </si>
  <si>
    <t>Annual operation independent O&amp;M expenses</t>
  </si>
  <si>
    <t xml:space="preserve">Share paid by      Contractor 1 </t>
  </si>
  <si>
    <t>Energy</t>
  </si>
  <si>
    <t>Investment costs: equipment, installation, heat exchangers</t>
  </si>
  <si>
    <t>Regular annual expenses</t>
  </si>
  <si>
    <t>Heat network</t>
  </si>
  <si>
    <t>Cost for waste heat p_0 (Take-or-pay contract)</t>
  </si>
  <si>
    <t>Planning</t>
  </si>
  <si>
    <t>Total</t>
  </si>
  <si>
    <t>Total annual operation independent expenses</t>
  </si>
  <si>
    <t>CAPEX investment subsidies</t>
  </si>
  <si>
    <t>Annual variable costs</t>
  </si>
  <si>
    <t>Total subsidies</t>
  </si>
  <si>
    <t>Variable O&amp;M costs per year</t>
  </si>
  <si>
    <t>Total annual operation dependent expenses</t>
  </si>
  <si>
    <t>Costs paid by Contractor 2 / DC operator</t>
  </si>
  <si>
    <t>Share</t>
  </si>
  <si>
    <t>Total costs</t>
  </si>
  <si>
    <t>Costs paid by Contractor 1 / DH operator</t>
  </si>
  <si>
    <t>Investments</t>
  </si>
  <si>
    <t>Contractor 2 / DC operator:</t>
  </si>
  <si>
    <t>Total annual expenses (excluding annualised investments)</t>
  </si>
  <si>
    <r>
      <t>Annual earnings (under negotiated price p</t>
    </r>
    <r>
      <rPr>
        <b/>
        <vertAlign val="subscript"/>
        <sz val="10"/>
        <color rgb="FF000000"/>
        <rFont val="Calibri"/>
        <family val="2"/>
        <scheme val="minor"/>
      </rPr>
      <t>1</t>
    </r>
    <r>
      <rPr>
        <b/>
        <sz val="10"/>
        <color rgb="FF000000"/>
        <rFont val="Calibri"/>
        <family val="2"/>
        <scheme val="minor"/>
      </rPr>
      <t>)</t>
    </r>
  </si>
  <si>
    <t>Annual reduced electricity costs for active cooling</t>
  </si>
  <si>
    <t>IRR of Contractor 2 / DC Operator</t>
  </si>
  <si>
    <t>Costs</t>
  </si>
  <si>
    <t>Break-even price for Contractor 2 / DC Operator</t>
  </si>
  <si>
    <t>Total costs for heat recovery system</t>
  </si>
  <si>
    <t>Share paid by Contractor 1 / DH operator</t>
  </si>
  <si>
    <t>Share paid by Contractor 2 / DC operator</t>
  </si>
  <si>
    <t>GWh/yr</t>
  </si>
  <si>
    <t>kEUR/yr</t>
  </si>
  <si>
    <t>Not used any more: relevant for future works - do not change</t>
  </si>
  <si>
    <t xml:space="preserve"> !! The section on 'Economics of heat recovery' of this sheet is for information purposes only. Please do not modify this worksheet !!</t>
  </si>
  <si>
    <t>Economics of heat recovery</t>
  </si>
  <si>
    <t>DO NOT CHANGE VALUES IN THIS SHEET BUT IN SHEET 
&gt;Main Results - IRR DC Operator&lt;</t>
  </si>
  <si>
    <t>Select contract type: Waste heat sold by DC based on (1) take-or-pay contract or (2) pay-as-you-go (utilised heat)</t>
  </si>
  <si>
    <t>Price p_1 for waste heat from DC between Contractor 1 / DH operator and Contractor 2 / data centre operator. These are costs for Contractor 1 / DH operator and earnings for Contractor 2 / DC operator.</t>
  </si>
  <si>
    <t>Take-or-pay</t>
  </si>
  <si>
    <t>Price p_0 for waste heat from DC paid to external party. These are neither earnings for Contractor 1 nor Contractor 2 / DH operator</t>
  </si>
  <si>
    <t>Share paid for by Contractor 1</t>
  </si>
  <si>
    <t>CAPEX Investment subsidies</t>
  </si>
  <si>
    <t xml:space="preserve">Share received by Contractor 1 </t>
  </si>
  <si>
    <t>Costs paid for by Contractor 2 / DC operator</t>
  </si>
  <si>
    <t xml:space="preserve">Total costs </t>
  </si>
  <si>
    <t>Costs paid for by Contractor 1 / DH operator</t>
  </si>
  <si>
    <t>Total annual expenses (excluding annualized investments)</t>
  </si>
  <si>
    <t>Annual earnings (under negotiated price p_1)</t>
  </si>
  <si>
    <t>Internal Rate of Return</t>
  </si>
  <si>
    <t>Contractor 1 / DH Operator:</t>
  </si>
  <si>
    <t>Contractor 2 / DC Operator:</t>
  </si>
  <si>
    <t>Earnings</t>
  </si>
  <si>
    <t>Summary of Results</t>
  </si>
  <si>
    <t>Contractor 1  / DH operator</t>
  </si>
  <si>
    <t>CAPEX: Investment &amp; planning &amp; one-time costs (HP and Booster)</t>
  </si>
  <si>
    <t>EUR/MWh_fed_into_grid</t>
  </si>
  <si>
    <t>CAPEX: Piping and grid connection  costs</t>
  </si>
  <si>
    <t>CAPEX: Decommission costs (HP and Booster, etc.)</t>
  </si>
  <si>
    <t>CAPEX: Residual value (HP and Booster)</t>
  </si>
  <si>
    <t>CAPEX: One-time subsidies (HP and Booster) (Earnings)</t>
  </si>
  <si>
    <t>CAPEX: Waste Heat Recovery System paid for by Contractor 1 / DH operator</t>
  </si>
  <si>
    <t>CAPEX (total, incl. lump-sum subsidies)</t>
  </si>
  <si>
    <t>CAPEX (total, incl. lump-sum subsidies excl. heat extraction system investment costs share paid by contractor 1)</t>
  </si>
  <si>
    <t>OPEX - fix: Waste heat payment to Contractor 2 / DC operator under a take-or-pay contract (based on the negotiated price p_0)</t>
  </si>
  <si>
    <t>OPEX - fix: Regular annual costs (HP and Booster)</t>
  </si>
  <si>
    <t>OPEX - fix: Personnel</t>
  </si>
  <si>
    <t>OPEX - fix: Rent</t>
  </si>
  <si>
    <t>OPEX - fix: Capacity dependent annual subsidies (HP and Booster) ( Earnings)</t>
  </si>
  <si>
    <t>OPEX - fix: Waste Heat Recovery System paid for by Contractor 1 / DH operator</t>
  </si>
  <si>
    <t>OPEX - fix (total) excl. waste heat payment to Contractor 2 / DC operator</t>
  </si>
  <si>
    <t>OPEX - fix (total) incl. waste heat payment to Contractor 2 / DC Operator (take-or-pay)  excluding heat extraction system investment costs share paid by contractor 1</t>
  </si>
  <si>
    <t>OPEX - var: Waste heat payment to Contractor 2 / DC Operator under a pay-as-you-go contract (based on the negotiated price p_1)</t>
  </si>
  <si>
    <t xml:space="preserve">OPEX - var: Electricity costs (HP) </t>
  </si>
  <si>
    <t xml:space="preserve">OPEX - var: Fuel costs (Booster) </t>
  </si>
  <si>
    <t>OPEX - var: Electricity costs (Auxiliary)</t>
  </si>
  <si>
    <t>OPEX - var: O&amp;M Var (w.o. electricity for heat pump and electricity / fuel for booster)</t>
  </si>
  <si>
    <t>OPEX - var: Waste heat dependent annual subsidies (HP and Booster) (Earnings)</t>
  </si>
  <si>
    <t>OPEX - var: Waste Heat Recovery System paid for by Contractor 1 / DH Operator</t>
  </si>
  <si>
    <t>OPEX - var (total) excl. waste heat payment to Contractor 2 / DC operator</t>
  </si>
  <si>
    <t>OPEX - var (total) incl. waste heat payment to Contractor 2 / DC operator (pay-as-you-go)</t>
  </si>
  <si>
    <t>OPEX - var (total) excl. waste heat payment to Contractor 2 / DC operator (pay-as-you-go) excluding heat extraction system investment costs share paid by contractor 1</t>
  </si>
  <si>
    <t>OPEX - var (total) incl. waste heat payment to Contractor 2 / DC operator (pay-as-you-go) excluding heat extraction system investment costs share paid by contractor 1</t>
  </si>
  <si>
    <t>Earnings - Avoided variable costs (SRMC) of alternative production (i.e. refrence marginal heat costs)</t>
  </si>
  <si>
    <t>Expenses / LCOH without payment to Contractor 2 / DC operator</t>
  </si>
  <si>
    <t>Expenses - Payment to Contractor 2 / DC operator</t>
  </si>
  <si>
    <t>Expenses / LCOH without payment to Contractor 2 / DC operator excluding heat extraction system investment costs share paid by contractor 1</t>
  </si>
  <si>
    <t>Total net earnings of Contractor 1 / DH operator</t>
  </si>
  <si>
    <t>EUR/MWh_supplied_by_DC</t>
  </si>
  <si>
    <t>EUR/MWh_waste_heat_utilized_by_HP</t>
  </si>
  <si>
    <t>Net earnings of contractor 1 / DH operator excluding heat extraction system investment costs share paid by contractor 1</t>
  </si>
  <si>
    <t>Contractor 2  / DC Operator</t>
  </si>
  <si>
    <t>CAPEX: Investments heat recovery &amp; planning &amp; heat exchanger, etc., paid for by DC operator</t>
  </si>
  <si>
    <t>EUR/MWh_provided_by_DC</t>
  </si>
  <si>
    <t>CAPEX: Piping, paid for by DC operator</t>
  </si>
  <si>
    <t>CAPEX: One-time subsidies (Earnings), received by DC Operator</t>
  </si>
  <si>
    <t>OPEX - fix: Other operation independent O&amp;M costs, paid for by DC operator</t>
  </si>
  <si>
    <t>OPEX - fix: Energy costs under p_0 paid to external entity</t>
  </si>
  <si>
    <t>OPEX - (total) fixed costs</t>
  </si>
  <si>
    <t>OPEX - var: O&amp;M costs paid by DC operator</t>
  </si>
  <si>
    <t>OPEX - (total) variable costs</t>
  </si>
  <si>
    <t>Earnings: Payment from Contractor 1 / DH operator (take-or-pay OR pay-as-you-go)</t>
  </si>
  <si>
    <t>Earnings: Avoided electricity costs for cooling</t>
  </si>
  <si>
    <t>Total expenses</t>
  </si>
  <si>
    <t>Total net earnings of Contractor 2 / DC operator</t>
  </si>
  <si>
    <t>Produced heat - fed into grid</t>
  </si>
  <si>
    <t>MWh for entire project lifetime</t>
  </si>
  <si>
    <t>MWh/yr</t>
  </si>
  <si>
    <t>Waste heat utilised in heat pump</t>
  </si>
  <si>
    <t>Waste heat provided by DC</t>
  </si>
  <si>
    <t xml:space="preserve">Reference avoided marginal heat costs </t>
  </si>
  <si>
    <t>LCOH - excl. payment to DC operator based on negotiated price p_1 between Contractor 1 and Contractor 2</t>
  </si>
  <si>
    <t>LCOH - incl. payment to DC operator based on negotiated price p_1 between Contractor 1 and Contractor 2</t>
  </si>
  <si>
    <t>LCOH - excl. payment to DC operator based on negotiated price p_1 between Contractor 1 and Contractor 2 excluding heat extraction system investment costs share paid by contractor 1</t>
  </si>
  <si>
    <t>LCOH - incl. payment to DC operator based on negotiated price p_1 between Contractor 1 and Contractor 2 excluding heat extraction system investment costs share paid by contractor 1</t>
  </si>
  <si>
    <t>The calculated break-even price for waste heat is the upper limit the DH operator can afford to pay for the waste heat to reach the break-even point under the pre-defined economic parameters (Expected IRR and calculatory life time as defined in the Project Sheet)</t>
  </si>
  <si>
    <t>Contractor 1: Break-even waste heat price per MWh fed into the grid</t>
  </si>
  <si>
    <t>Contractor 1: Break-even waste heat price per MWh waste heat utilised in heat pump</t>
  </si>
  <si>
    <t>EUR/MWh_utilized_by_HP</t>
  </si>
  <si>
    <t>Contractor 1: Break-even waste heat price per MWh waste heat provided by DC operator</t>
  </si>
  <si>
    <t>Contractor 1: Break-even waste heat price per MWh waste heat utilised in heat pump excluding heat extraction system investment costs share paid by contractor 1</t>
  </si>
  <si>
    <t>Contractor 1: Break-even waste heat price per MWh waste heat provided by DC operator excluding heat extraction system investment costs share paid by contractor 1</t>
  </si>
  <si>
    <t>The calculated break-even price for waste heat is the lower limit for the  DC operator to receive to reach the break-even point under the predefined economic parameters.  (Expected IRR and calculatory life time as defined in the Project Sheet)</t>
  </si>
  <si>
    <t>Contractor 2 / DC operator: Break-even waste heat price per MWh waste heat utilised in heat pump</t>
  </si>
  <si>
    <t>Contractor 2 / DC operator: Break-even waste heat price per MWh waste heat provided by DC operator</t>
  </si>
  <si>
    <t>Underlying assumptions on waste heat contract (used to determine SRMC)</t>
  </si>
  <si>
    <t>Share Take-or-pay (ToP) Contract: In case of ToP contract, the waste heat price is not part of the SRMC, but constitutes annual fix costs</t>
  </si>
  <si>
    <t>Share pay-as-you-go (payg) Contract: In case of payg contract, the waste heat price is part of the SRMC, and has an impact on SRMC</t>
  </si>
  <si>
    <t xml:space="preserve">Average waste heat price (p_1 as negotiated between Contractor 1 and Contractor 2) per heat fed into grid </t>
  </si>
  <si>
    <t>Average waste heat price (p_1 as negotiated between Contractor 1 and Contractor 2) per waste heat utilized by Contractor 1</t>
  </si>
  <si>
    <t>Average waste heat price (p_1 as negotiated between Contractor 1 and Contractor 2) per waste heat provided by DC operator</t>
  </si>
  <si>
    <t>Go to Additional Summary of Cost Structure</t>
  </si>
  <si>
    <t>Go to Content Sheet</t>
  </si>
  <si>
    <t>Input - not used for calculation</t>
  </si>
  <si>
    <t xml:space="preserve">Select typical day </t>
  </si>
  <si>
    <t>SRMC Waste heat price (if Pay-as-you-go contract)</t>
  </si>
  <si>
    <t>SRMC of heat production from waste heat</t>
  </si>
  <si>
    <t>SRMC of alternative heat production</t>
  </si>
  <si>
    <t>Heat pump is running</t>
  </si>
  <si>
    <t>COP under current conditions</t>
  </si>
  <si>
    <t>Typical Day ID</t>
  </si>
  <si>
    <t>Hour</t>
  </si>
  <si>
    <t>Flow temperature of data centre cooling system</t>
  </si>
  <si>
    <t xml:space="preserve">Flow Temperature HP </t>
  </si>
  <si>
    <t>Return temperature HP / Flow temperature DC</t>
  </si>
  <si>
    <t>DH supply line temperature</t>
  </si>
  <si>
    <t>Delta T DH / Heat pump</t>
  </si>
  <si>
    <t>Required temperature sink out</t>
  </si>
  <si>
    <t>DH return line temperature</t>
  </si>
  <si>
    <t>Temperature heat pump sink in</t>
  </si>
  <si>
    <t>Actual Heat pump Temperature Sink Out</t>
  </si>
  <si>
    <t>Nominal COP</t>
  </si>
  <si>
    <t>COP increase due to higher heat source temperature</t>
  </si>
  <si>
    <t>COP increase due to lower heat sink out temperature (eg. DH supply line temperature)</t>
  </si>
  <si>
    <t>COP increase due to higher heat sink in temperature (eg. DH return line temperature)</t>
  </si>
  <si>
    <t>COP at current operation conditions</t>
  </si>
  <si>
    <t>Nominal capacity of heat pump</t>
  </si>
  <si>
    <t>Reduced capacity of heat pump due to volume restrictions</t>
  </si>
  <si>
    <t xml:space="preserve">Potential heat output - HP, including heat losses, not considering </t>
  </si>
  <si>
    <t>HP output due to Booster Capacity restrictions</t>
  </si>
  <si>
    <t>Delta T Booster</t>
  </si>
  <si>
    <t>Required Booster heat output</t>
  </si>
  <si>
    <t>Booster heat output</t>
  </si>
  <si>
    <t>Total heat output before additional losses</t>
  </si>
  <si>
    <t>Heat losses after HP</t>
  </si>
  <si>
    <t>Total heat output after additional losses</t>
  </si>
  <si>
    <t>Total heat output after considering restriction imposed by heat demand</t>
  </si>
  <si>
    <t>Share of heat provided by heat pump and booster utilized by grid</t>
  </si>
  <si>
    <t>Waste heat input from DC</t>
  </si>
  <si>
    <t>Electricity input for heat pump</t>
  </si>
  <si>
    <t>Energy input for booster</t>
  </si>
  <si>
    <t>Avoided electricity demand due to reduced active cooling</t>
  </si>
  <si>
    <t>Remaining electricity demand for active cooling</t>
  </si>
  <si>
    <t>Waste heat price p_0 that is paid at the border between data centre cooling and waste heat recovery system under Take-or-Pay conditions</t>
  </si>
  <si>
    <t>Energy costs p_0 for waste heat from DC</t>
  </si>
  <si>
    <t>Variable O&amp;M costs for heat recovery system operator</t>
  </si>
  <si>
    <t>Total Hourly costs of heat recovery system operator</t>
  </si>
  <si>
    <t>Negotiated Waste heat price p_1</t>
  </si>
  <si>
    <t>Contract type for waste heat between Contractor 1 / DH operator and Contractor 2 / data centre operator</t>
  </si>
  <si>
    <t>Energy costs p_1 for waste heat from DC as provided by DC (take-or-pay) (Contractor 1)</t>
  </si>
  <si>
    <t>Energy costs p_1 for waste heat from DC as taken (Pay-as-you-go) (Contractor 1)</t>
  </si>
  <si>
    <t>Electricity price Heat pump</t>
  </si>
  <si>
    <t>Fuel price booster</t>
  </si>
  <si>
    <t>Electricity price auxiliary energy</t>
  </si>
  <si>
    <t>Data centre operator: Electricity price for cooling unit</t>
  </si>
  <si>
    <t>Data centre operator: Share of active cooling needed if heat is not taken up by DH</t>
  </si>
  <si>
    <t xml:space="preserve">Average Subsidies given Contractor 1 per utilized waste heat </t>
  </si>
  <si>
    <t>Electricity costs for heat pump (Contractor 1)</t>
  </si>
  <si>
    <t>Electricity costs auxiliary energy (Contractor 1)</t>
  </si>
  <si>
    <t>Fuel costs for booster (Contractor 1)</t>
  </si>
  <si>
    <t>Subsidies given per utilized waste heat to Contractor 1 / DH Operator</t>
  </si>
  <si>
    <t>Subsidies given per utilized waste heat to Contractor 1 / DH Operator considering that they must not exceed costs for electricity</t>
  </si>
  <si>
    <t>Total energy costs considering subsidies Contractor 1 / DH operator including subsidies S3 provided for the utilized waste heat</t>
  </si>
  <si>
    <t>Total energy costs per delivered Heat to Grid Contractor 1 / DH Operator</t>
  </si>
  <si>
    <t>Total SRMC energy costs Contractor 1 / DH Operator excluding subsidies S3 provided for the utilized waste heat</t>
  </si>
  <si>
    <t>Variable (MWh-specific) O&amp;M Costs Heat pump Contractor 1 / DH Operator</t>
  </si>
  <si>
    <t>Variable (MWh-specific) O&amp;M Costs Booster Contractor 1 / DH Operator</t>
  </si>
  <si>
    <t>Total Hourly costs of Contractor 1 / DH Operator including subsidies S3 provided for the utilized waste heat</t>
  </si>
  <si>
    <t>Short run marginal costs per hour Contractor 1 / DH Operator excluding subsidies S3 provided for the utilized waste heat</t>
  </si>
  <si>
    <t>Short run marginal costs per MWh Contractor 1 / DH Operator excluding subsidies S3 provided for the utilized waste heat</t>
  </si>
  <si>
    <t>Short run marginal costs per MWh Contractor 1 / DH Operator including subsidies S3 provided for the utilized waste heat</t>
  </si>
  <si>
    <t>Short run marginal costs per MWh Contractor 1 / DH Operator used to compare against reference SRMC alternative production</t>
  </si>
  <si>
    <t>Reference SRMC alternative production [EUR/MWh_delivered]</t>
  </si>
  <si>
    <t>Is Heat production because SRMC lower than alternative, temperature can be met and system is available</t>
  </si>
  <si>
    <t>Operation hours</t>
  </si>
  <si>
    <t>Operation hours in full-load-hours equivalents</t>
  </si>
  <si>
    <t>Reference SRMC alternative production [EUR/h]</t>
  </si>
  <si>
    <t>Waste heat output DC</t>
  </si>
  <si>
    <t>Max heat demand grid</t>
  </si>
  <si>
    <t>Heat fed into grid considering actual operation</t>
  </si>
  <si>
    <t>Waste heat input from DC actual operation</t>
  </si>
  <si>
    <t>Electricity input for heat pump actual operation</t>
  </si>
  <si>
    <t>Energy input for booster actual operation</t>
  </si>
  <si>
    <t>SRMC Heat-pump is lower than SRMC of alternative heat production</t>
  </si>
  <si>
    <t>Heat demand (DH) is given</t>
  </si>
  <si>
    <t>Waste heat is available</t>
  </si>
  <si>
    <t xml:space="preserve">Temperature demand of DH grid is met </t>
  </si>
  <si>
    <t>Booster is running</t>
  </si>
  <si>
    <t>MW_th/hour</t>
  </si>
  <si>
    <t>MW</t>
  </si>
  <si>
    <t>MW_el</t>
  </si>
  <si>
    <t>MWh_el/hour</t>
  </si>
  <si>
    <t>EUR/hour</t>
  </si>
  <si>
    <t>True/False</t>
  </si>
  <si>
    <t>hours</t>
  </si>
  <si>
    <t>EUR/h</t>
  </si>
  <si>
    <t>Look-up row in Definition of typical day sheet</t>
  </si>
  <si>
    <t>Look-up column in Definition of typical day sheet</t>
  </si>
  <si>
    <t>Check reference hours (rows)</t>
  </si>
  <si>
    <t>Check reference typical day (columns)</t>
  </si>
  <si>
    <t xml:space="preserve"> The thermal energy available from the data centre for recovery</t>
  </si>
  <si>
    <t>The maximum heat that the district heating grid can accept per hour (Heat sink)</t>
  </si>
  <si>
    <t xml:space="preserve">Temperature difference between HP and DH due to heat exchanger losses. </t>
  </si>
  <si>
    <t xml:space="preserve">Temperature required by the DH grid and needs to be provided by Heatpump + booster (may be higher than what HP alone can deliver). </t>
  </si>
  <si>
    <t>Temperature that needs to be delivered by heat pump. Restricted by either the upper limit of the heat pump or the grid supply line temperature</t>
  </si>
  <si>
    <t>COP at nominal working conditions</t>
  </si>
  <si>
    <t>Efficiency gain from lower DH supply temp.</t>
  </si>
  <si>
    <t>Efficiency gain from lower DH supply temp.If negative value, than COP decrease</t>
  </si>
  <si>
    <t>Efficiency gains from warmer DH return temp.</t>
  </si>
  <si>
    <t>Real-time COP based on actual temperatures.</t>
  </si>
  <si>
    <t>Max thermal output of the HP at nominal conditions.</t>
  </si>
  <si>
    <t>Reduction of HP capacity due to lower than nominal temperature spread, eg. triggered by volume flow restrictions</t>
  </si>
  <si>
    <t>Potential heat output of heat pump, not yet considering heat losses or restrictions of heat demand in grid</t>
  </si>
  <si>
    <t>This considers heat pump output restrictions due to the limited booster capacity. Otherwise the heat cannot be delivered at the required temperature level</t>
  </si>
  <si>
    <t>The temperature difference that needs to be delivered by the booster</t>
  </si>
  <si>
    <t>The required booster output NOT considering the booster capacity limitation.</t>
  </si>
  <si>
    <t>The actual booster output considering the installed booster capacity</t>
  </si>
  <si>
    <t>Sum of HP and booster outputs (without considering heat losses and limitations due imposed by grid demand)</t>
  </si>
  <si>
    <t>Heat Loss in pipes and heat exchangers</t>
  </si>
  <si>
    <t>Sum of HP and booster outputs considering heat losses but NOT considering the limitations  imposed by grid demand</t>
  </si>
  <si>
    <t>Sum of HP and booster outputs considering heat losses and the limitations imposed by grid demand</t>
  </si>
  <si>
    <t>The percentage of the total thermal energy output (from both the heat pump and the booster) that is actually delivered to and used by the district heating grid.</t>
  </si>
  <si>
    <t xml:space="preserve">Waste heat from DC that is actually used.
</t>
  </si>
  <si>
    <t>Electrical energy used by the HP.</t>
  </si>
  <si>
    <t>Fuel or electricity used by the booster.</t>
  </si>
  <si>
    <t>Total hourly AVOIDED electricity due to less active cooling needs. (THIS ARE SAVINGS)</t>
  </si>
  <si>
    <t>Total hourly remaining electricity demand for active cooling</t>
  </si>
  <si>
    <t>This is the price the contractor needs to pay for the waste heat that is running the waste heat recovery system</t>
  </si>
  <si>
    <t>Fixed energy cost under Take-or-Pay. In this case, waste heat costs are NOT part of SRMC</t>
  </si>
  <si>
    <t>Usage-based maintenance and operational costs of heat recovery system</t>
  </si>
  <si>
    <t>The total operational cost per hour incurred by the operator of the heat recovery system</t>
  </si>
  <si>
    <t>This is the negotiated waste heat price p_1 between Contractor 1 / DH operator and Contractor 2 / data centre operator</t>
  </si>
  <si>
    <t>Contract type defined in Project Sheet:  (1) Take-or-pay contract or (2) Pay-as-you-go (utilized heat)</t>
  </si>
  <si>
    <t>If Take-or-pay contract, then waste heat costs are NOT part of SRMC. These are costs for Contractor 1 / DH Operator and earnings for Contractor 2 / DC Operator</t>
  </si>
  <si>
    <t>If Pay-as-you-go contract, then waste heat costs are part of SRMC. These are costs for Contractor 1 / DH Operator and earnings for Contractor 2 / DC Operator</t>
  </si>
  <si>
    <t>Hourly electricity price used to calculate the operating cost of the heat pump. This price constitutes from the electricity price as defined in the sheet &gt;Definition of Typical Day&lt; plus the constant grid fee costs, as defined in the sheet &gt;Project Setting&lt;</t>
  </si>
  <si>
    <t>Unit price of the energy carrier (e.g. gas, electricity) used by the booster for raising temperatures.</t>
  </si>
  <si>
    <t>Unit price of electricity used for auxiliary components (e.g. pumps, control units).</t>
  </si>
  <si>
    <t>This is the share of required active cooling (as opposed to free cooling) that is required by the data centre operator if heat is not taken up by the DH network (Contractor 1)</t>
  </si>
  <si>
    <t>Average financial incentive received per MWh of waste heat recovered and used by Contractor 1 (DH operator).</t>
  </si>
  <si>
    <t>Total hourly electricity cost for operating the heat pump, based on consumption and price.</t>
  </si>
  <si>
    <t>Total hourly cost for auxiliary systems using electricity (e.g., control systems, water pumps).</t>
  </si>
  <si>
    <t>Total hourly cost of fuel used by the booster unit to provide additional heating.</t>
  </si>
  <si>
    <t>Hourly amount of subsidy received based on the actual volume of utilized waste heat - NOT CONSIDERING that they must not exceed electricity costs</t>
  </si>
  <si>
    <t>Hourly amount of subsidy received based on the actual volume of utilized waste heat.</t>
  </si>
  <si>
    <t>Total hourly energy costs after subtracting any received subsidies.</t>
  </si>
  <si>
    <t>Energy costs per MWh of heat actually fed into the district heating grid (excluding O&amp;M).</t>
  </si>
  <si>
    <t>If take-or-pay contract, then the energy costs for waste heat are not SRMC but fix costs, ALSO subsidies are not considered as SRMC (even if they are)</t>
  </si>
  <si>
    <t xml:space="preserve">Hourly share of operational and maintenance costs for the heat pump.
</t>
  </si>
  <si>
    <t>Operational and maintenance costs for the booster</t>
  </si>
  <si>
    <t>Sum of all variable costs per hour, including energy and O&amp;M for the heat pump and booster.</t>
  </si>
  <si>
    <t>Total variable costs (SRMC) including O&amp;M costs , BE AWARE THAT subsidies are not considered as SRMC (even if they are)</t>
  </si>
  <si>
    <t>Total variable costs (SRMC) including O&amp;M costs excluding the S3 subsidies provided for utilizing waste heat</t>
  </si>
  <si>
    <t>Total variable costs (SRMC) including O&amp;M costs including the S3 subsidies provided for utilizing waste heat</t>
  </si>
  <si>
    <t>These are the Variable costs that are used compare against the reference SRMC of alternative production source</t>
  </si>
  <si>
    <t xml:space="preserve">The cost of producing 1 MWh of heat delivered to heat network using alternative sources that the recovered data centre heat replaces. </t>
  </si>
  <si>
    <t xml:space="preserve">1 if system is running </t>
  </si>
  <si>
    <t>Actual heat output from heat pump / nominal capacity of the heat pump</t>
  </si>
  <si>
    <t xml:space="preserve">The hourly cost of producing 1 MWh of heat delivered using alternative sources that the recovered data centre heat replaces. </t>
  </si>
  <si>
    <t>The total thermal energy available as waste heat from the data centre, before any recovery or use.</t>
  </si>
  <si>
    <t xml:space="preserve">The upper limit for heat that the district heating grid can accept at a given hour. </t>
  </si>
  <si>
    <t>Total heat production considering whether or not system is running</t>
  </si>
  <si>
    <t>Total utilized waste heat considering whether or not system is running</t>
  </si>
  <si>
    <t>Total electricity demand for heat pump considering whether or not system is running</t>
  </si>
  <si>
    <t>Total fuel demand booster considering whether or not system is running</t>
  </si>
  <si>
    <t xml:space="preserve">CHECK Total sum if System is running </t>
  </si>
  <si>
    <t>CHECK Total sum</t>
  </si>
  <si>
    <t>Go to Main Results</t>
  </si>
  <si>
    <t>Contractor 1 / District Heating Operator</t>
  </si>
  <si>
    <t>Economic parameter waste heat recovery system</t>
  </si>
  <si>
    <t>Contractor 2 / Data centre operator</t>
  </si>
  <si>
    <t>Energy-related and economic parameters Contractor 1 / District heating operator</t>
  </si>
  <si>
    <t>Hours of operation per day</t>
  </si>
  <si>
    <t>Hours of operation (Full-load-hours equivalents) per day</t>
  </si>
  <si>
    <t>Heat provided to the grid on a typical day</t>
  </si>
  <si>
    <t>Electricity used by Heat pump per day</t>
  </si>
  <si>
    <t>Electricity / fuel used by booster per day</t>
  </si>
  <si>
    <t>Waste heat costs per day based on negotiated price p_1 between Contractor 1 / DH Operator and Contractor 2 / DC Operator</t>
  </si>
  <si>
    <t>Electricity costs HP per day</t>
  </si>
  <si>
    <t>Electricity costs auxiliary energy per day</t>
  </si>
  <si>
    <t xml:space="preserve">Total variable costs excluding subsidies per day </t>
  </si>
  <si>
    <t>Avoided variable costs (SRMC) of alternative production per day</t>
  </si>
  <si>
    <t>Subsidies for utilized waste heat provided by DC per day</t>
  </si>
  <si>
    <t>Waste heat costs per day for Take-or-pay contract (NOT part of SRMC)</t>
  </si>
  <si>
    <t>Hours of operation per year</t>
  </si>
  <si>
    <t>Hours of operation (Full-load-hours equivalents) per year</t>
  </si>
  <si>
    <t>Available heat from DC per year</t>
  </si>
  <si>
    <t>Used heat from DC per year</t>
  </si>
  <si>
    <t>Heat provided into the grid per year</t>
  </si>
  <si>
    <t>Electricity used by Heat pump per year</t>
  </si>
  <si>
    <t>Electricity / fuel used by booster per year</t>
  </si>
  <si>
    <t>Waste heat costs per year for Pay-as-you-go contract (part of SRMC)</t>
  </si>
  <si>
    <t>Electricity cost HP per year</t>
  </si>
  <si>
    <t>Electricity costs auxiliary energy per year</t>
  </si>
  <si>
    <t>Fuel costs Booster per year</t>
  </si>
  <si>
    <t>Variable O&amp;M costs HP per year</t>
  </si>
  <si>
    <t>Variable O&amp;M costs Booster per year</t>
  </si>
  <si>
    <t>Variable costs excluding subsidies per year</t>
  </si>
  <si>
    <t>Avoided variable costs (SRMC) of alternative production per year</t>
  </si>
  <si>
    <t>Subsidies (earnings) for utilized waste heat provided by DC per year</t>
  </si>
  <si>
    <t>Waste heat costs per year for Take-or-pay contract (NOT part of SRMC)</t>
  </si>
  <si>
    <t>MWh_th/day</t>
  </si>
  <si>
    <t>hours/day</t>
  </si>
  <si>
    <t>MWh_el/day</t>
  </si>
  <si>
    <t>MWh_input/day</t>
  </si>
  <si>
    <t>EUR/day</t>
  </si>
  <si>
    <t>hours/yr</t>
  </si>
  <si>
    <t>MWh_th/yr</t>
  </si>
  <si>
    <t>MWh_el/yr</t>
  </si>
  <si>
    <t>MWh_input/year</t>
  </si>
  <si>
    <t>Number of hours the system is running</t>
  </si>
  <si>
    <t>Number of full-load-hour equivalents (MWh_th provided by heat pump / heat pump capacity)</t>
  </si>
  <si>
    <t>Total thermal energy that the data centre can provide over the year</t>
  </si>
  <si>
    <t>Amount of waste heat actually utilized by the heat recovery system (e.g., heat pump) over the year</t>
  </si>
  <si>
    <t>Final thermal output per year fed into the district heating grid after processing via heat pumps and/or booster</t>
  </si>
  <si>
    <t>Total electricity consumed annually by the heat pump to upgrade low-temperature waste heat</t>
  </si>
  <si>
    <t>Total input energy (electricity or fuel) consumed by the booster unit to meet temperature requirements or supplement the heat pump.</t>
  </si>
  <si>
    <t>Annual cost for purchasing waste heat under a Pay-as-you-go model, where costs are based on actual heat usage. These costs are included in short-run marginal costs (SRMC).</t>
  </si>
  <si>
    <t>Total annual electricity cost for operating the heat pump, based on hourly/daily rates and consumption.</t>
  </si>
  <si>
    <t>Electricity costs for system components other than the heat pump (e.g., circulation pumps, control units).</t>
  </si>
  <si>
    <t>Total cost of fuel or energy used by the booster unit across the year. These are the variable costs of the defined typical day</t>
  </si>
  <si>
    <t>Annual operation and maintenance costs for the heat pump that depend on how much the system is used.</t>
  </si>
  <si>
    <t>Annual operation and maintenance costs for the booster system</t>
  </si>
  <si>
    <t>Sum of all variable operational costs excluding any subsidies or earnings from incentives.</t>
  </si>
  <si>
    <t>Represents the annual savings by replacing traditional heat production (e.g., gas boilers) with recovered waste heat.</t>
  </si>
  <si>
    <t>Financial incentives or payments received for recovering and using waste heat from the data centre.</t>
  </si>
  <si>
    <t>Annual fixed costs for waste heat under a Take-or-pay contract, where payment is required regardless of actual usage. These are not part of SRMC.</t>
  </si>
  <si>
    <t>Other heat pump related one time expenses</t>
  </si>
  <si>
    <t>Grid costs</t>
  </si>
  <si>
    <t>Cost for waste heat (Take-or-pay contract)</t>
  </si>
  <si>
    <t>Heat pump: Electricity - grid fee and other electrical capacity-related costs</t>
  </si>
  <si>
    <t>Booster: Electricity/Fuel - grid fee and other capacity-related costs</t>
  </si>
  <si>
    <t>Variable O&amp;M costs per yr</t>
  </si>
  <si>
    <t>Annual operation independent O&amp;M expenses: heat recovery share paid by Contractor 1</t>
  </si>
  <si>
    <t>CAPEX decommissioning</t>
  </si>
  <si>
    <t>Decommission costs in current EUR</t>
  </si>
  <si>
    <t>Residual value in current EUR</t>
  </si>
  <si>
    <t>CAPEX heat recovery share paid by Contractor 1</t>
  </si>
  <si>
    <t>Waste heat costs per year (Pay-as-you-go contract)</t>
  </si>
  <si>
    <t>Total investment paid by Contractor 1</t>
  </si>
  <si>
    <t>Total net investment needs</t>
  </si>
  <si>
    <t>Total annual costs</t>
  </si>
  <si>
    <t>Subsidies received for heat reciovery received by Contractor 1</t>
  </si>
  <si>
    <t>Capital recovery factor</t>
  </si>
  <si>
    <t>1/year</t>
  </si>
  <si>
    <t>Annualized investment</t>
  </si>
  <si>
    <t>Annual earnings</t>
  </si>
  <si>
    <t>Earnings (waste heat paid by Contractor 1)</t>
  </si>
  <si>
    <t>Total Annual earnings</t>
  </si>
  <si>
    <t>Annual variable costs: heat recovery share paid for by Contractor 1</t>
  </si>
  <si>
    <t>Annual remaining electricity costs for active cooling</t>
  </si>
  <si>
    <t>Annual avoided electricity costs for active cooling</t>
  </si>
  <si>
    <t>Remaining electricity costs for cooling</t>
  </si>
  <si>
    <t>Avoided electricity costs for cooling</t>
  </si>
  <si>
    <t>Average variable costs per MWh and typical year</t>
  </si>
  <si>
    <t>EUR/MWh_provided_to_grid</t>
  </si>
  <si>
    <t>EUR/MWh provided to grid</t>
  </si>
  <si>
    <t>Total Annual avoided costs</t>
  </si>
  <si>
    <t>Technical, energy-related and economic parameters Contractor 2 / Data centre Operator</t>
  </si>
  <si>
    <t>Typical Days</t>
  </si>
  <si>
    <t>Name of Typical Day</t>
  </si>
  <si>
    <t>Avoided electricity demand for active cooling</t>
  </si>
  <si>
    <t>Energy costs under price p_0 per day paid to external entity</t>
  </si>
  <si>
    <t>Variable O&amp;M costs per day</t>
  </si>
  <si>
    <t>Waste heat earnings per day in case of Pay-as-you-go based on negotiated price p_1 between Contractor 1 and Contractor 2</t>
  </si>
  <si>
    <t>Waste heat earnings if Take-or-pay contract based on negotiated price p_1 between Contractor 1 and Contractor 2</t>
  </si>
  <si>
    <t>Energy costs under price p_0 per year paid to external entity</t>
  </si>
  <si>
    <t>Waste heat earnings per day in case of Pay-as-you-go based on negotiated price p_1 between Contractor 1 and Contractor 2 per year</t>
  </si>
  <si>
    <t>Waste heat earnings if Take-or-pay contract based on negotiated price p_1 between Contractor 1 and Contractor 2 per year</t>
  </si>
  <si>
    <t>Costs per year</t>
  </si>
  <si>
    <t>Earnings for utilized waste heat provided by DC per year</t>
  </si>
  <si>
    <t>Earnings due to avoided electricity costs for active cooling</t>
  </si>
  <si>
    <t>MWh_th/year</t>
  </si>
  <si>
    <t>MWh_el/year</t>
  </si>
  <si>
    <t>Total earnings</t>
  </si>
  <si>
    <t>Annual costs for heat recovery paid by Contractor 1</t>
  </si>
  <si>
    <t>Underlying assumptions on Waste heat-contract (used to determine SRMC)</t>
  </si>
  <si>
    <t>Total annual costs, incl. Heat recovery costs paid by Contractor 1</t>
  </si>
  <si>
    <t>Share Take-or-pay Contract</t>
  </si>
  <si>
    <t>Share Pay-as-you-go Contract</t>
  </si>
  <si>
    <t>Annual subsidies (earnings)</t>
  </si>
  <si>
    <t>Average waste heat price per heat feed into grid</t>
  </si>
  <si>
    <t>EUR/MWh_provided to grid</t>
  </si>
  <si>
    <t>Annual operation independent subsidies for heat pump (average for project lifetime)</t>
  </si>
  <si>
    <t>Average waste heat price per waste heat utilized in Heat Pump</t>
  </si>
  <si>
    <t>EUR/MWh_waste_heat_utilized</t>
  </si>
  <si>
    <t>Annual subsidies for utilized waste heat (average for project lifetime)</t>
  </si>
  <si>
    <t>Average waste heat price per heat provided by DC</t>
  </si>
  <si>
    <t>EUR/MWh_waste_heat_provided_by_DC</t>
  </si>
  <si>
    <t>Total Annual subsidies</t>
  </si>
  <si>
    <t>Avoided variable costs (SRMC) of alternative production (earnings)</t>
  </si>
  <si>
    <t>Total avoided SRMC</t>
  </si>
  <si>
    <t>Total annual expenses</t>
  </si>
  <si>
    <t>Total annual heat provided</t>
  </si>
  <si>
    <t>MWh/year</t>
  </si>
  <si>
    <t>Total costs of heat (LRMC)</t>
  </si>
  <si>
    <t>EUR/MWh_used_from_DC</t>
  </si>
  <si>
    <t>Technical, Energy-related and Economic parameters Contractor 1 / District heating Operator</t>
  </si>
  <si>
    <t>Annual averages</t>
  </si>
  <si>
    <t>Contractor 1 / DH Operator</t>
  </si>
  <si>
    <t>Time period</t>
  </si>
  <si>
    <t>t0</t>
  </si>
  <si>
    <t>t1</t>
  </si>
  <si>
    <t>t2</t>
  </si>
  <si>
    <t>t3</t>
  </si>
  <si>
    <t>t4</t>
  </si>
  <si>
    <t>t5</t>
  </si>
  <si>
    <t>t6</t>
  </si>
  <si>
    <t>t7</t>
  </si>
  <si>
    <t>t8</t>
  </si>
  <si>
    <t>t9</t>
  </si>
  <si>
    <t>t10</t>
  </si>
  <si>
    <t>t11</t>
  </si>
  <si>
    <t>t12</t>
  </si>
  <si>
    <t>t13</t>
  </si>
  <si>
    <t>t14</t>
  </si>
  <si>
    <t>t15</t>
  </si>
  <si>
    <t>t16</t>
  </si>
  <si>
    <t>t17</t>
  </si>
  <si>
    <t>t18</t>
  </si>
  <si>
    <t>t19</t>
  </si>
  <si>
    <t>t20</t>
  </si>
  <si>
    <t>t21</t>
  </si>
  <si>
    <t>t22</t>
  </si>
  <si>
    <t>t23</t>
  </si>
  <si>
    <t>t24</t>
  </si>
  <si>
    <t>t25</t>
  </si>
  <si>
    <t>years</t>
  </si>
  <si>
    <t>Year</t>
  </si>
  <si>
    <t>CAPEX (total, incl. Lump-sum subsidies)</t>
  </si>
  <si>
    <t>OPEX - Fixed costs (Total) incl. Waste heat payment to Contractor 2 / DC Operator (Take-or-Pay)</t>
  </si>
  <si>
    <t>OPEX - Variable costs (Total) incl. Waste heat payment to Contractor 2 / DC Operator (Pay-as-you-go)</t>
  </si>
  <si>
    <t>Total Sum</t>
  </si>
  <si>
    <t>Net earnings</t>
  </si>
  <si>
    <t>Expected IRR as defined in Project Sheet</t>
  </si>
  <si>
    <t>Contractor 2 / DC Operator</t>
  </si>
  <si>
    <t>OPEX - fixed costs (total)</t>
  </si>
  <si>
    <t>OPEX - variable costs (total)</t>
  </si>
  <si>
    <t>Earnings - Payments from Contractor 1 / DH Operator</t>
  </si>
  <si>
    <t>Reduced electricity costs for active cooling</t>
  </si>
  <si>
    <t>Abbreviations:</t>
  </si>
  <si>
    <t>HP    …   heat pump</t>
  </si>
  <si>
    <t>DH   …   district heating</t>
  </si>
  <si>
    <t>DC   …   data centre</t>
  </si>
  <si>
    <t>WH …   waste heat</t>
  </si>
  <si>
    <t>Description on how to add additional links is given in the VBA-Macro. Basically add a Excel to the Source cell (e.g. ='Project Setting'!D20)  in Column B in this sheet. Only the xlsb version of the tool contains the Macro.</t>
  </si>
  <si>
    <t>Variable / Link to return</t>
  </si>
  <si>
    <t>Variable (German)  - bislang automatisierte Übersetzung</t>
  </si>
  <si>
    <t>Beschreibung -- automatisierte Übersetzung</t>
  </si>
  <si>
    <t>Project Sheet</t>
  </si>
  <si>
    <t>Erzeugungskapazität</t>
  </si>
  <si>
    <t>Technische Lebensdauer</t>
  </si>
  <si>
    <t>COP – Nennwert</t>
  </si>
  <si>
    <t>Kapazität des Abwärmestroms (MWh) bei Nennbetriebsbedingungen</t>
  </si>
  <si>
    <t>Nenntemperatur – Wärmepumpe Quelle Ein</t>
  </si>
  <si>
    <t>Nenntemperatur – Wärmepumpe Quelle Aus</t>
  </si>
  <si>
    <t>Nenntemperatur – Wärmepumpen-Senke Ausgang</t>
  </si>
  <si>
    <t>HEx 2: Wärmetauscher (HP – Fernwärmenetz) Delta T</t>
  </si>
  <si>
    <t>HEx 1: Wärmetauscher (HP – Rechenzentrumskühlsystem) Delta T</t>
  </si>
  <si>
    <t>Nenntemperatur – Wärmepumpen-Senke Eingang</t>
  </si>
  <si>
    <t>Obergrenze der Temperatur – Wärmepumpen-Senke Ausgang</t>
  </si>
  <si>
    <t>Defines, the upper flow rate capacity compared to the nominal flow rate at nominal temperature difference at the heat sink and nominal capacity of heat pump. If the temperature difference drops, then in order to transfer the same amount of heat, the flow rate must be increased instead. This parameter allows to specifiy the upper limit of the increase flow rate capacity. If this limit is reached, then the heat pump power output must be reduced. Please be aware that this is an aproximation. First, it is not unplausible, that the piping system supports higher low rates than those of nominal capacity and thus a lower temperature difference does not neccessarily lead to decrease capacity. Alternatively, the heat pump could deliver higher-than-neccessary Heat Pump Sink Out Temperature (at the expense of a lower COP) and thus circumvent the flow rate restriction. We propose a default close to Zero.
The actual used formula is as follows:
Nominal_Capacity * MIN(1, (MAX(1,
Temperature_Spread_between_DH_supply_and_return_line)/HP_Temperature_spread_at_nominal_operature)^DEFINED_EXPONENT
)</t>
  </si>
  <si>
    <t>Exponent für Kapazitätsabfall bei sinkender Temperaturdifferenz der Senke</t>
  </si>
  <si>
    <t>Empirical default value for impact of increased source temperature on the COP of the heat pump. Please check thoroughly if the default value is applicable for the intended heat pump.
The actual used formula is as follows: 
=ABS(DEFINED_S_SOURCE_VALUE) * (Actual_T_source_HP_in - Nominal_T_source_HP_in)</t>
  </si>
  <si>
    <t>Definiert die obere Durchflusskapazität im Vergleich zum Nenn-Durchfluss bei Nenn-Temperaturdifferenz am Wärmesenke und Nennleistung der Wärmepumpe. Wenn die Temperaturdifferenz sinkt, muss stattdessen der Durchfluss erhöht werden, um die gleiche Wärmemenge zu übertragen. Mit diesem Parameter kann die Obergrenze der erhöhten Durchflusskapazität festgelegt werden. Wenn diese Grenze erreicht ist, muss die Leistung der Wärmepumpe reduziert werden. Bitte beachten Sie, dass es sich hierbei um eine Annäherung handelt. Erstens ist es nicht unwahrscheinlich, dass das Rohrleitungssystem höhere Durchflussraten als die Nennleistung unterstützt und somit eine geringere Temperaturdifferenz nicht unbedingt zu einer Verringerung der Leistung führt. Alternativ könnte die Wärmepumpe eine höhere als die erforderliche Wärmepumpen-Sink-Out-Temperatur liefern (auf Kosten eines niedrigeren COP) und so die Durchflussbeschränkung umgehen. Wir schlagen einen Standardwert nahe Null vor.
Die tatsächlich verwendete Formel lautet wie folgt:
Nennleistung * MIN(1,
(MAX(1,Temperaturunterschied zwischen Vor- und Rücklaufleitung)/HP_Temperaturunterschied bei Nennbetriebstemperatur)^DEFINED_EXPONENT
)</t>
  </si>
  <si>
    <t>S – Quelle</t>
  </si>
  <si>
    <t>Empirical default value for impact of increasing sink_out temperature (Supply line temperature of District heating network) on the COP of the heat pump. Please check thoroughly if the default value is applicable for the intended heat pump.
The actual used formula is as follows: 
=ABS(DEFINED_S_FLOW_VALUE) * (Nominal_T_sink_HP_out - Actual_T_sink_HP_out)</t>
  </si>
  <si>
    <t>Empirischer Standardwert für den Einfluss einer erhöhten Quellentemperatur auf den COP der Wärmepumpe. Bitte überprüfen Sie sorgfältig, ob der Standardwert für die vorgesehene Wärmepumpe geeignet ist.
Die tatsächlich verwendete Formel lautet wie folgt:
=ABS(DEFINED_S_SOURCE_VALUE) * (Actual_T_source_HP_in - Nominal_T_source_HP_in)</t>
  </si>
  <si>
    <t>S – Vorlauf</t>
  </si>
  <si>
    <t xml:space="preserve">Empirical default value (DIRECT PROPORTIONAL) for the impact of increasing heat sink_in temperature (Return line temperature of district heating network) on the COP of the heat pump. Please check thoroughly if the default value is applicable for the intended heat pump.
The impact of the increasing / decreasing return line temperature of DH is not clear at this stage (to the authors of this tool). Thus we suggest to use a value of Zero (no impact) unless more information is available.
The actual used formula is as follows: 
=DEFINED_S_RETURN_VALUE * (Actual_T_sink_HP_out - Nominal_T_sink_HP_out) 
If a value &gt; 0 (POSITIVE NUMBER) is defined, then the EFFICIENCY of the heat pump INCREASES WITH INCREASING inlet TEMPERATURE on the heat sink side (Return line temperature). 
If a value &lt; 0 (negative number) is defined, then the efficiency of the heat pump decreases with increasing inlet temperature on the heat sink side (Return line temperature). </t>
  </si>
  <si>
    <t>Empirischer Standardwert für den Einfluss einer erhöhten Sink_Out-Temperatur (Vorlauftemperatur des Fernwärmenetzes) auf den COP der Wärmepumpe. Bitte überprüfen Sie sorgfältig, ob der Standardwert für die vorgesehene Wärmepumpe geeignet ist.
Die tatsächlich verwendete Formel lautet wie folgt:
=ABS(DEFINED_S_FLOW_VALUE) * (Nominal_T_sink_HP_out - Actual_T_sink_HP_out)</t>
  </si>
  <si>
    <t>S – Rücklauf</t>
  </si>
  <si>
    <t>Energy losses that occur between the heat pump and the district heating grid. Consider all losses caused by additional piping, heat exchanger HEx 2, etc.</t>
  </si>
  <si>
    <t>Empirischer Standardwert (DIREKT PROPORTIONAL) für den Einfluss einer steigenden Kühlkörpertemperatur (Rücklauftemperatur des Fernwärmenetzes) auf den COP der Wärmepumpe. Bitte überprüfen Sie sorgfältig, ob der Standardwert für die vorgesehene Wärmepumpe geeignet ist.
Der Einfluss der steigenden/fallenden Rücklauftemperatur der Fernwärme ist zum jetzigen Zeitpunkt (den Autoren dieses Tools) nicht klar. Daher empfehlen wir, den Wert Null (kein Einfluss) zu verwenden, sofern keine weiteren Informationen verfügbar sind.
Die tatsächlich verwendete Formel lautet wie folgt:
=DEFINED_S_RETURN_VALUE * (Actual_T_sink_HP_out - Nominal_T_sink_HP_out)
Wenn ein Wert &gt; 0 (POSITIVE ZAHL) definiert ist, steigt die EFFIZIENZ der Wärmepumpe mit steigender Einlasstemperatur auf der Kühlkörperseite (Rücklauftemperatur).
Wenn ein Wert &lt; 0 (negative Zahl) definiert ist, sinkt die Effizienz der Wärmepumpe mit steigender Einlasstemperatur auf der Kühlkörperseite (Rücklauftemperatur).</t>
  </si>
  <si>
    <t>Anteil des Wärmeverlusts in Wärmetauschern und Rohrleitungen aus der Wärmepumpenleistung</t>
  </si>
  <si>
    <t>Energieverluste, die zwischen der Wärmepumpe und dem Fernwärmenetz auftreten. Berücksichtigen Sie alle Verluste, die durch zusätzliche Rohrleitungen, den Wärmetauscher HEx 2 usw. verursacht werden.</t>
  </si>
  <si>
    <t>Spezifische Investitionskosten (Ausrüstung, Installation)</t>
  </si>
  <si>
    <t>Investitionskosten</t>
  </si>
  <si>
    <t>Sonstige einmalige Ausgaben</t>
  </si>
  <si>
    <t>Gesamtbetrag der einmaligen Ausgaben und Kosten ohne Planungskosten</t>
  </si>
  <si>
    <t>Regelmäßige jährliche Ausgaben (wärmepumpenspezifisch)</t>
  </si>
  <si>
    <t>Betriebs- und Wartungskosten – fest</t>
  </si>
  <si>
    <t>Gesamtbetriebskosten unabhängig von Betrieb und Wartung im Zusammenhang mit der Wärmepumpe: Regelmäßige jährliche Ausgaben (wärmepumpenspezifisch) + Betriebskosten – Fix * Nennleistung der Wärmepumpe</t>
  </si>
  <si>
    <t>Betriebskosten – Variabel (ohne Strom)</t>
  </si>
  <si>
    <t>Please make sure, that this cost components are not double counted, i.e. they are considered in &gt;Project Setting&lt; as well as in the electricity/fuel price in sheet &gt;Definition of Typical Day&lt;</t>
  </si>
  <si>
    <r>
      <t>Jährliche leistungsbezogenen, verbrauchs</t>
    </r>
    <r>
      <rPr>
        <b/>
        <sz val="7"/>
        <color rgb="FFFF0000"/>
        <rFont val="Calibri"/>
        <family val="2"/>
        <scheme val="minor"/>
      </rPr>
      <t>un</t>
    </r>
    <r>
      <rPr>
        <sz val="7"/>
        <color theme="3"/>
        <rFont val="Calibri"/>
        <family val="2"/>
        <scheme val="minor"/>
      </rPr>
      <t>abhängigen Netzkosten und sonst. Strombereitstellungskosten (die nicht im Strompreis in Sheet &gt;Definition of Typical Day&gt; integriert sind)</t>
    </r>
  </si>
  <si>
    <t>Bitte stellen Sie sicher, dass diese Kostenkomponenten nicht doppelt berücksichtigt werden, d. h. dass sie sowohl in den &gt;Project Setting&lt; als auch im Strom-/Brennstoffpreis im Blatt &gt;Definition of Typical Day&lt; berücksichtigt werden.</t>
  </si>
  <si>
    <r>
      <t>Verbrauchs</t>
    </r>
    <r>
      <rPr>
        <b/>
        <sz val="7"/>
        <color rgb="FFFF0000"/>
        <rFont val="Calibri"/>
        <family val="2"/>
        <scheme val="minor"/>
      </rPr>
      <t>un</t>
    </r>
    <r>
      <rPr>
        <sz val="7"/>
        <color theme="3"/>
        <rFont val="Calibri"/>
        <family val="2"/>
        <scheme val="minor"/>
      </rPr>
      <t>abhängigen Netz- und sonst. Strom-/Brennstoffbereitstellungskosten (die nicht im Strompreis in Sheet &gt;Definition of Typical Day&gt; integriert sind)</t>
    </r>
  </si>
  <si>
    <t>S1 (einmalig, Pauschalbetrag pro MW)</t>
  </si>
  <si>
    <t>S1 Gesamtpauschalzuschüsse</t>
  </si>
  <si>
    <t>S2 defines subsidies provided by the public per MW_th installed capacity, independant of acual operation. If the subsidies are not provided for the entire project period but for a shorter period, don't adjust the subsidy level, but the number of years, for which these subsidies are given.</t>
  </si>
  <si>
    <t>S2 (jährlich) für eine bestimmte Anzahl von Jahren</t>
  </si>
  <si>
    <t>Define here the number of years, for which the subsidies S2 are granted.</t>
  </si>
  <si>
    <t>S2 definiert die von der öffentlichen Hand gewährten Subventionen pro MW_th installierter Leistung, unabhängig vom tatsächlichen Betrieb. Wenn die Subventionen nicht für die gesamte Projektdauer, sondern für einen kürzeren Zeitraum gewährt werden, passen Sie nicht die Höhe der Subventionen an, sondern die Anzahl der Jahre, für die diese Subventionen gewährt werden.</t>
  </si>
  <si>
    <t>S2 für eine bestimmte Anzahl von Jahren</t>
  </si>
  <si>
    <t>Legen Sie hier die Anzahl der Jahre fest, für die die Subventionen S2 gewährt werden.</t>
  </si>
  <si>
    <t>S2 (jährlich, diskontiert), Durchschnitt für die rechnerische Projektlebensdauer</t>
  </si>
  <si>
    <t>S3 defines subsidies provided by the public per MWh_th waste heat utilized by the heat pump. In contrast to S2, these subsidies dependant on the acual operation. If the subsidies are not provided for the entire project period but for a shorter period, don't adjust the subsidy level, but the number of years, for which these subsidies are given.</t>
  </si>
  <si>
    <t>S3 (jährlich, basierend auf der von DC gelieferten Abwärme (WH))</t>
  </si>
  <si>
    <t>Define here the number of years, for which the subsidies S3 are granted.</t>
  </si>
  <si>
    <t>S3 definiert Subventionen, die von der Öffentlichkeit pro MWh_th Abwärme, die von der Wärmepumpe genutzt wird, gewährt werden. Im Gegensatz zu S2 sind diese Subventionen vom tatsächlichen Betrieb abhängig. Wenn die Subventionen nicht für die gesamte Projektdauer, sondern für einen kürzeren Zeitraum gewährt werden, passen Sie nicht die Höhe der Subventionen an, sondern die Anzahl der Jahre, für die diese Subventionen gewährt werden.</t>
  </si>
  <si>
    <t>S3 für eine bestimmte Anzahl von Jahren</t>
  </si>
  <si>
    <t>Geben Sie hier die Anzahl der Jahre an, für die die Subventionen S3 gewährt werden.</t>
  </si>
  <si>
    <t>Effizienz</t>
  </si>
  <si>
    <t>Spezifische Investitionskosten</t>
  </si>
  <si>
    <t>Regelmäßige jährliche Ausgaben (booster-spezifisch)</t>
  </si>
  <si>
    <t>Gesamtbetriebskosten unabhängig vom Booster</t>
  </si>
  <si>
    <t>Betriebs- und Wartungskosten – variabel</t>
  </si>
  <si>
    <r>
      <t>Jährliche leistungsbezogenen, verbrauchs</t>
    </r>
    <r>
      <rPr>
        <b/>
        <sz val="7"/>
        <color rgb="FFFF0000"/>
        <rFont val="Calibri"/>
        <family val="2"/>
        <scheme val="minor"/>
      </rPr>
      <t>un</t>
    </r>
    <r>
      <rPr>
        <sz val="7"/>
        <color theme="3"/>
        <rFont val="Calibri"/>
        <family val="2"/>
        <scheme val="minor"/>
      </rPr>
      <t>abhängigen Netzkosten und sonst. Strom-/Brennstoffbereitstellungskosten  (die nicht im Strompreis in Sheet &gt;Definition of Typical Day&gt; integriert sind)</t>
    </r>
  </si>
  <si>
    <r>
      <t>Verbrauchs</t>
    </r>
    <r>
      <rPr>
        <b/>
        <sz val="7"/>
        <color rgb="FFFF0000"/>
        <rFont val="Calibri"/>
        <family val="2"/>
        <scheme val="minor"/>
      </rPr>
      <t>un</t>
    </r>
    <r>
      <rPr>
        <sz val="7"/>
        <color theme="3"/>
        <rFont val="Calibri"/>
        <family val="2"/>
        <scheme val="minor"/>
      </rPr>
      <t>abhängigen Netz- und sonst. Strom-/Brennstoffbereitstellungskosten  (die nicht im Strompreis in Sheet &gt;Definition of Typical Day&gt; integriert sind)</t>
    </r>
  </si>
  <si>
    <t>S1 (einmalig, Pauschale pro MW)</t>
  </si>
  <si>
    <t>Investitionskosten (Ausrüstung, Installation, Wärmetauscher, einmalig, Pauschale)</t>
  </si>
  <si>
    <t>Investitionskosten für Wärmenetz (siehe &gt;Netzkosten&lt;)</t>
  </si>
  <si>
    <t>Planungskosten [% der Gesamtinvestitionskosten: Wärmepumpe, Booster, Wärmenetz]</t>
  </si>
  <si>
    <t>Gesamtinvestitionskosten (WP, Booster, Wärmenetz, Wärmetauscher usw.)</t>
  </si>
  <si>
    <t>Planungskosten [absolut]</t>
  </si>
  <si>
    <t>Hilfsenergieverbrauch (Anteil an der Wärmeerzeugung)</t>
  </si>
  <si>
    <t>Personal</t>
  </si>
  <si>
    <t>Miete</t>
  </si>
  <si>
    <t>Abriss</t>
  </si>
  <si>
    <t>Restwert der Investition am Ende der Lebensdauer</t>
  </si>
  <si>
    <t>Stilllegung nach wie vielen Jahren</t>
  </si>
  <si>
    <t>Abschreibungsdauer des Projekts / kalkulatorische Lebensdauer</t>
  </si>
  <si>
    <t>Energiepreissteigerung zusätzlich zur Inflation</t>
  </si>
  <si>
    <t>Durchschnittlicher Realzinssatz für Darlehen (ohne Inflation)</t>
  </si>
  <si>
    <t>Erwarteter Realzinssatz für Eigenkapital</t>
  </si>
  <si>
    <t>Anteil des Eigenkapitals an der Gesamtfinanzierung</t>
  </si>
  <si>
    <t>Körperschaftssteuersatz</t>
  </si>
  <si>
    <t>Gewichtete durchschnittliche Kapitalkosten (WACC)</t>
  </si>
  <si>
    <t>Erforderliche (unternehmensinterne) Rendite für ein solches Projekt</t>
  </si>
  <si>
    <t>In den nachfolgenden Berechnungen verwendete Rendite</t>
  </si>
  <si>
    <t>Kapitalrückflussfaktor (Annuitätenfaktor)</t>
  </si>
  <si>
    <t>Investitionskosten (Ausrüstung, Installation, Wärmetauscher, einmalig, Pauschalbetrag)</t>
  </si>
  <si>
    <t>Investitionskosten für das Wärmenetz (siehe &gt;Netzkosten&lt;)</t>
  </si>
  <si>
    <t>Gesamtkosten einmalig ohne Planungskosten</t>
  </si>
  <si>
    <t>Planungskosten [%  Investitionskosten]</t>
  </si>
  <si>
    <t>Regelmäßige jährliche Kosten (spezifisch für ABWÄRMERÜCKGEWINNUNG)</t>
  </si>
  <si>
    <t>Betriebs- und Wartungskosten – variabel (inkl. Strom)</t>
  </si>
  <si>
    <t>Wärmepreis (Take-or-Pay)  p_0</t>
  </si>
  <si>
    <t>S1 (einmalig, Pauschalbetrag)</t>
  </si>
  <si>
    <t>Abschreibungsdauer des Projekts / Kalkulatorische Lebensdauer</t>
  </si>
  <si>
    <t>Körperschaftsteuersatz</t>
  </si>
  <si>
    <t>Kapitalrückzahlungsfaktor (Annuitätenfaktor)</t>
  </si>
  <si>
    <t>This sheet is intended to support the calculation of the piping costs.</t>
  </si>
  <si>
    <t>Dieses Blatt dient zur Unterstützung der Berechnung der Rohrleitungskosten.</t>
  </si>
  <si>
    <t>The defined name used for displaying and some sort of documentation only and not directly used in any calculation. I.e, it does not trigger any kind of action within the calculations.</t>
  </si>
  <si>
    <t>Benennung der typischen Tage</t>
  </si>
  <si>
    <t>This is used for displaying and some sort of documentation only and not directly used in any calculation. I.e, it does not trigger any kind of action within the calculations.</t>
  </si>
  <si>
    <t>Die Bezeichnung dient ausschließlich der Anzeige und einer Art Dokumentation und wird nicht direkt in Berechnungen verwendet. Das heißt, es löst keinerlei Aktion innerhalb der Berechnungen aus.</t>
  </si>
  <si>
    <t>Jahreszeit der typischen Tage</t>
  </si>
  <si>
    <t>Qualitative Beschreibung</t>
  </si>
  <si>
    <t xml:space="preserve">Electricity price auxiliary electricity (for simplicity, this price includes already grid fees, etc.). The auxiliary electricity demand is defined as share (in %) on total heat generation  in sheet &gt;Project Settings&lt; under "Other OPEX" </t>
  </si>
  <si>
    <t>Dies dient ausschließlich der Anzeige und einer Art Dokumentation und wird nicht direkt in Berechnungen verwendet. Das heißt, es löst keinerlei Aktion innerhalb der Berechnungen aus.</t>
  </si>
  <si>
    <t xml:space="preserve">Strompreis für Hilfsenergie (der Einfachheit halber sind in diesem Preis bereits Netzentgelte usw. enthalten). Der Hilfsenergiebedarf wird als Anteil (in %) an der gesamten Wärmeerzeugung definiert und ist im Blatt &gt;Project Settings&lt; unter "Other OPEX" </t>
  </si>
  <si>
    <t>Verfügbare Abwärme (DC-Wärmequelle)</t>
  </si>
  <si>
    <t>Maximaler Wärmebedarf – Netz (WP-Wärmesenke)</t>
  </si>
  <si>
    <t>Temperatur der Wärmequelle (DC) / Temperatur des Kühlsystems vor HEx 1</t>
  </si>
  <si>
    <t>Temperature (in °C) of the data centre's cooling water at the inlet of heat exchanger 1 (HEx 1)</t>
  </si>
  <si>
    <t>Temperatur (in °C) des Kühlwassers des Rechenzentrums am Eintritt in Wärmetauscher 1 (HEx 1)</t>
  </si>
  <si>
    <t>Temperatur der Fernwärme-Vorlaufleitung</t>
  </si>
  <si>
    <t>DH supply line temperature:  Temperature at the DH feed-in point, equal to the heat pump sink out minus the temperature drop between the heat pump sink out temperature and the feed-in point district heating network (delta T heat exchanger).</t>
  </si>
  <si>
    <t>Temperatur am Einspeisepunkt des Fernwärmenetzes, gleich der Auslasstemperatur der Wärmepumpe abzüglich des Temperaturabfalls zwischen der Auslasstemperatur der Wärmepumpe und dem Einspeisepunkt des Fernwärmenetzes (Delta T Wärmetauscher).</t>
  </si>
  <si>
    <t>Temperatur der Fernwärme-Rücklaufleitung</t>
  </si>
  <si>
    <t>DH return line temperature: Temperature heat pump sink in minus temperature drop (delta T heat exchanger) between temperature heat pump sink in and return point DH network</t>
  </si>
  <si>
    <t>Einlasstemperatur der Wärmepumpe abzüglich des Temperaturabfalls (Delta T Wärmetauscher) zwischen der Einlasstemperatur der Wärmepumpe und dem Rücklaufpunkt des Fernwärmenetzes.</t>
  </si>
  <si>
    <t>Kurzfristige Grenzkosten der alternativen Wärmeerzeugung</t>
  </si>
  <si>
    <t>Strompreis für die Wärmepumpe</t>
  </si>
  <si>
    <t>Energiepreis für den Energieverbrauch des Booster</t>
  </si>
  <si>
    <t xml:space="preserve">Rechenzentrumsbetreiber / Abwärmelieferant: Strompreis für das aktive Kühlsystem </t>
  </si>
  <si>
    <t>Rechenzentrumsbetreiber  / Abwärmelieferant: Anteil der aktiven Kühlung (falls die Wärme nicht von Auftragnehmer 1 entnommen wird)</t>
  </si>
  <si>
    <t>Der berechnete Break-even-Preis für Abwärme stellt die Untergrenze dar, die der DC-Betreiber erhalten muss, um unter den vordefinierten wirtschaftlichen Parametern die Gewinnschwelle zu erreichen. (Erforderliche Kapitalrendite und kalkulatorische Nutzungsdauer gemäß Definition im Projektblatt)</t>
  </si>
  <si>
    <t>If the Break-even waste heat price for Contractor 2 / DC Operator is below Zero, avoided costs (e.g. reduced electricity costs for cooling) outweight the projects costs, even if the waste heat is given for free.</t>
  </si>
  <si>
    <t>Auftragnehmer 2 / DC-Betreiber: Break-even-Preis für Abwärme pro MWh in der Wärmepumpe genutzter Abwärme</t>
  </si>
  <si>
    <t>LCOH: Levelized costs of heat</t>
  </si>
  <si>
    <t>Liegt der Break-even-Preis für Abwärme für Auftragnehmer 2 / DC-Betreiber unter Null, überwiegen die vermiedenen Kosten (z. B. geringere Stromkosten für die Kühlung) die Projektkosten, selbst wenn die Abwärme kostenlos zur Verfügung gestellt wird.</t>
  </si>
  <si>
    <t>Durchschnittliche Wärmegestehungskosten (LCOH - Levelized costs of heat) – ohne Zahlung an den Rechenzentrumsbetreiber auf Basis des zwischen Auftragnehmer 1 und Auftragnehmer 2 ausgehandelten Preises p_1</t>
  </si>
  <si>
    <t>Durchschnittliche Wärmegestehungskosten (LCOH - Levelized costs of heat) – einschließlich Zahlung an den Rechenzentrumsbetreiber auf Basis des zwischen Auftragnehmer 1 und Auftragnehmer 2 ausgehandelten Preises p_1</t>
  </si>
  <si>
    <t>Durchschnittliche Wärmegestehungskosten (LCOH - Levelized costs of heat)  – ohne Zahlung an den Rechenzentrumsbetreiber auf Basis des zwischen Auftragnehmer 1 und Auftragnehmer 2 ausgehandelten Preises p_1, abzüglich des von Auftragnehmer 1 getragenen Anteils an den Investitionskosten für das Wärmeentnahmesystem</t>
  </si>
  <si>
    <t>Durchschnittliche Wärmegestehungskosten (LCOH - Levelized costs of heat)  – inkl. Zahlung an den Rechenzentrumsbetreiber auf Basis des zwischen Auftragnehmer 1 und Auftragnehmer 2 ausgehand</t>
  </si>
  <si>
    <t>KWW-Technikkatalog Wärmeplanung 2024</t>
  </si>
  <si>
    <t xml:space="preserve">Die angegebenen Parameter stellen bundesweite Durchschnittswerte dar. Tatsächliche Kosten können lokal z.T. erheblich abweichen und sollten daher im Einzelfall überprüft und ggf. den lokalen Umständen angepasst werden. </t>
  </si>
  <si>
    <t xml:space="preserve">Der erste Technikkatalog Wärmeplanung wurde 2024 von einem Konsortium im Auftrag des Bundesministeriums für Wirtschaft und Klimaschutz (BMWK) sowie des Bundesministeriums für Wohnen, Stadtentwicklung und Bauwesen (BMWSB) erstellt. Der KWW-Technikkatalog baut auf dieser Arbeit auf. </t>
  </si>
  <si>
    <t>Technologie</t>
  </si>
  <si>
    <t>Großwärmepumpe Abwärme (Kompressionswärmepumpe)</t>
  </si>
  <si>
    <t>Jahr</t>
  </si>
  <si>
    <t>technische Daten</t>
  </si>
  <si>
    <t>Einheit</t>
  </si>
  <si>
    <t>Unsicherheit ±</t>
  </si>
  <si>
    <t>Referenzen</t>
  </si>
  <si>
    <t>Anmerkungen</t>
  </si>
  <si>
    <t>Kostenkurve</t>
  </si>
  <si>
    <r>
      <t>Spezifische Investitionskosten [€/kW</t>
    </r>
    <r>
      <rPr>
        <vertAlign val="subscript"/>
        <sz val="8"/>
        <color rgb="FF666F77"/>
        <rFont val="Calibri"/>
        <family val="2"/>
        <scheme val="minor"/>
      </rPr>
      <t>th</t>
    </r>
    <r>
      <rPr>
        <sz val="8"/>
        <color rgb="FF666F77"/>
        <rFont val="Calibri"/>
        <family val="2"/>
        <scheme val="minor"/>
      </rPr>
      <t>] = a*Leistung [MW</t>
    </r>
    <r>
      <rPr>
        <vertAlign val="subscript"/>
        <sz val="8"/>
        <color rgb="FF666F77"/>
        <rFont val="Calibri"/>
        <family val="2"/>
        <scheme val="minor"/>
      </rPr>
      <t>th</t>
    </r>
    <r>
      <rPr>
        <sz val="8"/>
        <color rgb="FF666F77"/>
        <rFont val="Calibri"/>
        <family val="2"/>
        <scheme val="minor"/>
      </rPr>
      <t>]^b</t>
    </r>
  </si>
  <si>
    <t>thermische Leistung</t>
  </si>
  <si>
    <r>
      <t>MW</t>
    </r>
    <r>
      <rPr>
        <vertAlign val="subscript"/>
        <sz val="8"/>
        <color rgb="FF666F77"/>
        <rFont val="Calibri"/>
        <family val="2"/>
        <scheme val="minor"/>
      </rPr>
      <t>th</t>
    </r>
  </si>
  <si>
    <t>H</t>
  </si>
  <si>
    <t>Jahresarbeitszahl (JAZ), Durchschnitt/a</t>
  </si>
  <si>
    <t>[5], [6]</t>
  </si>
  <si>
    <t>A, B, C</t>
  </si>
  <si>
    <t>Parameter a</t>
  </si>
  <si>
    <t>Lebensdauer</t>
  </si>
  <si>
    <t>a</t>
  </si>
  <si>
    <t>[1], [2]</t>
  </si>
  <si>
    <t>G</t>
  </si>
  <si>
    <t>Parameter b</t>
  </si>
  <si>
    <t>Kosten (€2022, ohne MWSt.)</t>
  </si>
  <si>
    <t>Spezifische Investitionskosten (inkl. Erschließungskosten)</t>
  </si>
  <si>
    <r>
      <t>€/kW</t>
    </r>
    <r>
      <rPr>
        <vertAlign val="subscript"/>
        <sz val="8"/>
        <color rgb="FF666F77"/>
        <rFont val="Calibri"/>
        <family val="2"/>
        <scheme val="minor"/>
      </rPr>
      <t>th</t>
    </r>
  </si>
  <si>
    <t>[1]-[5]</t>
  </si>
  <si>
    <t>A, D, E, J</t>
  </si>
  <si>
    <t>Scope</t>
  </si>
  <si>
    <t>Alle Kosten in €2023 und ohne MWSt.</t>
  </si>
  <si>
    <t>davon Anlagenkosten</t>
  </si>
  <si>
    <t>[1]-[4]</t>
  </si>
  <si>
    <t>davon Installationskosten</t>
  </si>
  <si>
    <t>Investitionskosten gesamt</t>
  </si>
  <si>
    <t>Tsd. €</t>
  </si>
  <si>
    <t>A, C, D</t>
  </si>
  <si>
    <t>A</t>
  </si>
  <si>
    <t>Basierend auf Kühlwasser, das von 25 auf 15 °C gekühlt wird. Die tatsächliche Entwicklung der Leistungszahloptimierung und reduzierten Investitionskosten hängt von der Entwicklung der Brennstoff- und Strompreise ab.</t>
  </si>
  <si>
    <t>jährliche Fixkosten O&amp;M (ohne Energiekosten)</t>
  </si>
  <si>
    <r>
      <t>€/kW</t>
    </r>
    <r>
      <rPr>
        <vertAlign val="subscript"/>
        <sz val="8"/>
        <color rgb="FF666F77"/>
        <rFont val="Calibri"/>
        <family val="2"/>
        <scheme val="minor"/>
      </rPr>
      <t>th</t>
    </r>
    <r>
      <rPr>
        <sz val="8"/>
        <color rgb="FF666F77"/>
        <rFont val="Calibri"/>
        <family val="2"/>
        <scheme val="minor"/>
      </rPr>
      <t>*a</t>
    </r>
  </si>
  <si>
    <t>[3]</t>
  </si>
  <si>
    <t>F</t>
  </si>
  <si>
    <t>B</t>
  </si>
  <si>
    <t>Typische JAZ von realisierten Anlagen. Die JAZ ist abhängig von der Vor-/Rücklauftemperatur des Wärmenetzes, vgl. z.B. [5].</t>
  </si>
  <si>
    <t>C</t>
  </si>
  <si>
    <t>Basierend auf Projektbeispielen aus [6].</t>
  </si>
  <si>
    <t>D</t>
  </si>
  <si>
    <t>Preise beinhalten nur Wärmepumpe, Erschließungskosten werden hier nicht mit betrachtet. Es wird davon ausgegangen, dass Wärmepumpen wie Elektrokessel mit eingeschränktem Zugang angeschlossen sind. Kosten können höher liegen, wenn Installationen für den vollen Zugang bezahlen müssen [1].</t>
  </si>
  <si>
    <t>E</t>
  </si>
  <si>
    <t>Bei Wärmenetztemperaturen von 40-80 °C erhöht sich die spezifische Investition voraussichtlich um 15 %, da die Komponenten der Wärmepumpe für höhere Temperaturen (bzw. Druckstufen) ausgelegt werden müssen.</t>
  </si>
  <si>
    <t>Betrieb und Wartung beziehen sich auf die Wärmepumpe selbst einschließlich der Zusatzeinrichtungen, Gebäude usw. für die Wärmepumpe. Die Kosten beinhalten nicht Betriebs- und Wartungskosten für das Wärmenetz, Spitzenlast- oder Reserveeinheiten, Verwaltung bezüglich Endverbraucher usw.</t>
  </si>
  <si>
    <t>Die Lebensdauer kann zwischen 15 und 40 Jahren liegen (siehe [2])</t>
  </si>
  <si>
    <t>Im TK von Baden-Württemberg wurden für Anlagen der Größe 1,5 MW und 5 MW Bandbreiten angegeben. Kosten- und technische Daten wurden für diese Stützanlagen hier linear interpoliert.</t>
  </si>
  <si>
    <t>I</t>
  </si>
  <si>
    <t>Es wird eine Kostenminderung um 10% bis 2040 (5% bis 2030) angenommen. In [1] wird keine Kostenminderung erwartet, in [3] eine höhere als hier (15% bis 2040).</t>
  </si>
  <si>
    <t>A, D, E, I, J</t>
  </si>
  <si>
    <t>J</t>
  </si>
  <si>
    <t>Streubreite der Erschließungskosten ist in der Praxis groß, da abhängig von Projekt, Quelle etc. Dies kann erhebliche Auswirkungen auf die Investitionskosten haben.</t>
  </si>
  <si>
    <t>[1]</t>
  </si>
  <si>
    <t>KEA (2024): Technikkatalog Baden-Württemberg Version 1.1 (Stand Januar 2024)</t>
  </si>
  <si>
    <t>[2]</t>
  </si>
  <si>
    <t>DEA, Danish Energy Agency (2020): Technology Data for generation of electricity and district heating.</t>
  </si>
  <si>
    <t>AGFW-Praxisleitfaden Großwärmepumpen (2023).</t>
  </si>
  <si>
    <t>[4]</t>
  </si>
  <si>
    <t>Pieper et.al., Allocation of investment costs for large-scale heat pumps supplying district heating, Energy Procedia 147 (2018) S. 358–367.</t>
  </si>
  <si>
    <t>[5]</t>
  </si>
  <si>
    <t>AGFW, Arbeitsgemeinschaft Fernwärme (2020): Perspektive der Fernwärme: Maßnahmenprogramm 2030.</t>
  </si>
  <si>
    <t>[6]</t>
  </si>
  <si>
    <t>Agora Energiewende, Fraunhofer IEG (2023): Roll-out von Großwärmepumpen in Deutschland. Strategien für den Markthochlauf in Wärmenetzen und Industrie.</t>
  </si>
  <si>
    <t>KWW-Technikkatalog Wärmeplanung 2025</t>
  </si>
  <si>
    <t>Begleitdokument zum KWW-Technikkatalog Wärmeplanung:</t>
  </si>
  <si>
    <t>Im Begleitdokument zum KWW-Technikkatalog finden Sie weitere Hintergründe und Datenquellen. Das Dokument sowie ergänzende Informationen finden Sie auf der KWW-Website unter:</t>
  </si>
  <si>
    <t>https://www.kww-halle.de/service/infothek/detail/kww-technikkatalog-waermeplanung-begleitdokument</t>
  </si>
  <si>
    <t>Autorinnen und Autoren:</t>
  </si>
  <si>
    <t>Jana Bosse, Aljoscha Fahning, Valentin Fried, Daniel Jessen, Kristian Prewitz, Robert Schönnagel</t>
  </si>
  <si>
    <t>Kompressionswärmepumpe Abwärme (zentral)</t>
  </si>
  <si>
    <t>Technische Daten</t>
  </si>
  <si>
    <t>0,3</t>
  </si>
  <si>
    <t>Quellen</t>
  </si>
  <si>
    <t>Thermische Leistung</t>
  </si>
  <si>
    <t>MWth</t>
  </si>
  <si>
    <t>Jahresarbeitszahl</t>
  </si>
  <si>
    <t>[12], [29]</t>
  </si>
  <si>
    <t>CA, CH</t>
  </si>
  <si>
    <t>[12]</t>
  </si>
  <si>
    <t>CD</t>
  </si>
  <si>
    <t>Kosten (€/2025 real, ohne MwSt.)</t>
  </si>
  <si>
    <t>€/kWth</t>
  </si>
  <si>
    <t>CA, CC</t>
  </si>
  <si>
    <t>€</t>
  </si>
  <si>
    <t>erwartete Änderung bis 2030</t>
  </si>
  <si>
    <t>CE</t>
  </si>
  <si>
    <t>erwartete Änderung bis 2040</t>
  </si>
  <si>
    <t>Jährliche Fixkosten O&amp;M</t>
  </si>
  <si>
    <t>€/a</t>
  </si>
  <si>
    <t>CI</t>
  </si>
  <si>
    <t>Variable Kosten O&amp;M</t>
  </si>
  <si>
    <t>€/MWhth</t>
  </si>
  <si>
    <t>[28]</t>
  </si>
  <si>
    <t>Investitionskosten gesamt [€] = a*Leistung [kWth]^b</t>
  </si>
  <si>
    <t>CA</t>
  </si>
  <si>
    <t>Die tatsächliche Weiterentwicklung bei der Optimierung der Leistungszahl und Investitionskosten hängt von der Entwicklung der Kraftstoff- und Strompreise ab (vgl. [12]).</t>
  </si>
  <si>
    <t>CC</t>
  </si>
  <si>
    <t>Preisspanne auch abhängig von der Vorlauftemperatur Tmax, da die Komponenten der Wärmepumpe für höhere Temperaturen (bzw. Druckstufen) ausgelegt werden müssen (vgl. [12]).</t>
  </si>
  <si>
    <t>Die Lebensdauer kann zwischen 15 und 40 Jahren liegen (vgl. [12]).</t>
  </si>
  <si>
    <t xml:space="preserve">Kostenminderung nach [12] plausibel durch erwarteten technischen Fortschritt und Markthochlauf. </t>
  </si>
  <si>
    <t>CH</t>
  </si>
  <si>
    <t xml:space="preserve">Typische JAZ von realisierten Anlagen. Die JAZ ist abhängig von der Vor-/Rücklauftemperatur des Wärmenetzes (vgl. [12]). Für die hier dargestellte Preiskurve kann von einer durchschnittlichen TQuelle = 15 °C und einer TSenke = 80 °C ausgegangen werden; die Referenzanlagen liegen hierbei jedoch weit auseinander. </t>
  </si>
  <si>
    <t xml:space="preserve">Näherungsweise interpoliert aus [12]. </t>
  </si>
  <si>
    <t>Langreder et al. (2024): Technikkatalog Wärmeplanung (Version 1.1).</t>
  </si>
  <si>
    <t>Klimaschutz- und Energieagentur Baden-Württemberg (KEA-BW, 2024): Technikkatalog Baden-Württemberg (Version 1.1), Tabellenblatt 2.3: Zentrale Wärmeversorgung - Groß-Wärmepumpen.</t>
  </si>
  <si>
    <t>[29]</t>
  </si>
  <si>
    <t>Praxiserfahrung von Ramboll.</t>
  </si>
  <si>
    <t>These are the annual consumption-independent electricity (grid) costs ("LEISTUNGSPREIS" in German), calculated by Electricity grid fee (cell above) in EUR/MWh times heat pump capacity (MW) / COP_nominal. This means that the grid fee costs are based on the nominal heat pump performance, not the actual worst case power demand (high temperature, low COP) or the actual rated nominal electricity load capacity of the grid connection.</t>
  </si>
  <si>
    <t>OPEX - fix: Consumption independent grid fee costs HP &amp; Booster</t>
  </si>
  <si>
    <t>Overview of changes between tool versions</t>
  </si>
  <si>
    <t>20</t>
  </si>
  <si>
    <t>Grid costs and HEx 2</t>
  </si>
  <si>
    <t>S3, Durchschnitt über die kalkulatorische Projektlaufzeit</t>
  </si>
  <si>
    <t>S3 in der Einsatzentscheidung berücksichtigen</t>
  </si>
  <si>
    <t>Stromnetzentgelt (aktive Kühlung)</t>
  </si>
  <si>
    <t>Strompreis Hilfsstrom</t>
  </si>
  <si>
    <t>OPEX - fix (total) incl. waste heat payment to Contractor 2 / DC operator</t>
  </si>
  <si>
    <t>OPEX - fix (total) excl. waste heat payment to Contractor 2 / DC Operator (take-or-pay)  excluding heat extraction system investment costs share paid by contractor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</si>
</sst>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quot;€&quot;\ #,##0.00;[Red]\-&quot;€&quot;\ #,##0.00"/>
    <numFmt numFmtId="165" formatCode="#,##0.0"/>
    <numFmt numFmtId="166" formatCode="0.0"/>
    <numFmt numFmtId="167" formatCode="_-* #,##0_-;\-* #,##0_-;_-* &quot;-&quot;??_-;_-@_-"/>
    <numFmt numFmtId="168" formatCode="#,##0.0000_);\(#,##0.0000\)"/>
    <numFmt numFmtId="169" formatCode="_-* #,##0.0_-;\-* #,##0.0_-;_-* &quot;-&quot;??_-;_-@_-"/>
    <numFmt numFmtId="170" formatCode="_-* #,##0.0000_-;\-* #,##0.0000_-;_-* &quot;-&quot;??_-;_-@_-"/>
    <numFmt numFmtId="171" formatCode="#,##0.000"/>
    <numFmt numFmtId="172" formatCode="0.0%"/>
    <numFmt numFmtId="173" formatCode="#,##0.0_);\(#,##0.0\)"/>
    <numFmt numFmtId="174" formatCode="#,##0_);\(#,##0\)"/>
    <numFmt numFmtId="175" formatCode="0\ %"/>
    <numFmt numFmtId="176" formatCode="0.000"/>
  </numFmts>
  <fonts count="86">
    <font>
      <sz val="11"/>
      <color theme="1"/>
      <name val="Calibri"/>
      <family val="2"/>
      <scheme val="minor"/>
    </font>
    <font>
      <b/>
      <sz val="11"/>
      <color theme="1"/>
      <name val="Calibri"/>
      <family val="2"/>
      <scheme val="minor"/>
    </font>
    <font>
      <sz val="11"/>
      <color rgb="FFFF0000"/>
      <name val="Calibri"/>
      <family val="2"/>
      <scheme val="minor"/>
    </font>
    <font>
      <sz val="11"/>
      <color theme="1"/>
      <name val="Calibri"/>
      <family val="2"/>
      <scheme val="minor"/>
    </font>
    <font>
      <sz val="8"/>
      <color theme="1" tint="0.34998626667073579"/>
      <name val="Calibri"/>
      <family val="2"/>
      <scheme val="minor"/>
    </font>
    <font>
      <b/>
      <sz val="11"/>
      <color theme="1" tint="0.34998626667073579"/>
      <name val="Calibri"/>
      <family val="2"/>
      <scheme val="minor"/>
    </font>
    <font>
      <sz val="9"/>
      <color theme="1"/>
      <name val="Calibri"/>
      <family val="2"/>
      <scheme val="minor"/>
    </font>
    <font>
      <u/>
      <sz val="11"/>
      <color theme="10"/>
      <name val="Calibri"/>
      <family val="2"/>
      <scheme val="minor"/>
    </font>
    <font>
      <u/>
      <sz val="8"/>
      <color theme="1" tint="0.34998626667073579"/>
      <name val="Calibri"/>
      <family val="2"/>
      <scheme val="minor"/>
    </font>
    <font>
      <sz val="11"/>
      <name val="Calibri"/>
      <family val="2"/>
      <scheme val="minor"/>
    </font>
    <font>
      <sz val="8"/>
      <name val="Calibri"/>
      <family val="2"/>
      <scheme val="minor"/>
    </font>
    <font>
      <b/>
      <sz val="12"/>
      <name val="Calibri"/>
      <family val="2"/>
      <scheme val="minor"/>
    </font>
    <font>
      <b/>
      <sz val="10"/>
      <name val="Calibri"/>
      <family val="2"/>
      <scheme val="minor"/>
    </font>
    <font>
      <sz val="10"/>
      <name val="Calibri"/>
      <family val="2"/>
      <scheme val="minor"/>
    </font>
    <font>
      <u/>
      <sz val="7"/>
      <color theme="3"/>
      <name val="Calibri"/>
      <family val="2"/>
      <scheme val="minor"/>
    </font>
    <font>
      <b/>
      <sz val="11"/>
      <color theme="0"/>
      <name val="Calibri"/>
      <family val="2"/>
      <scheme val="minor"/>
    </font>
    <font>
      <sz val="7"/>
      <color theme="3"/>
      <name val="Calibri"/>
      <family val="2"/>
      <scheme val="minor"/>
    </font>
    <font>
      <b/>
      <sz val="7"/>
      <color rgb="FFFF0000"/>
      <name val="Calibri"/>
      <family val="2"/>
      <scheme val="minor"/>
    </font>
    <font>
      <sz val="10"/>
      <color theme="1" tint="0.34998626667073579"/>
      <name val="Calibri"/>
      <family val="2"/>
      <scheme val="minor"/>
    </font>
    <font>
      <sz val="10"/>
      <color theme="1"/>
      <name val="Calibri"/>
      <family val="2"/>
      <scheme val="minor"/>
    </font>
    <font>
      <sz val="8"/>
      <color rgb="FF000000"/>
      <name val="Calibri"/>
      <family val="2"/>
      <scheme val="minor"/>
    </font>
    <font>
      <b/>
      <sz val="10"/>
      <color rgb="FF12355B"/>
      <name val="Calibri"/>
      <family val="2"/>
      <scheme val="minor"/>
    </font>
    <font>
      <sz val="10"/>
      <color rgb="FF000000"/>
      <name val="Calibri"/>
      <family val="2"/>
      <scheme val="minor"/>
    </font>
    <font>
      <u/>
      <sz val="10"/>
      <color theme="10"/>
      <name val="Calibri"/>
      <family val="2"/>
      <scheme val="minor"/>
    </font>
    <font>
      <sz val="8"/>
      <color theme="1"/>
      <name val="Calibri"/>
      <family val="2"/>
      <scheme val="minor"/>
    </font>
    <font>
      <sz val="10"/>
      <color theme="0"/>
      <name val="Calibri"/>
      <family val="2"/>
      <scheme val="minor"/>
    </font>
    <font>
      <u/>
      <sz val="8"/>
      <color theme="10"/>
      <name val="Calibri"/>
      <family val="2"/>
      <scheme val="minor"/>
    </font>
    <font>
      <sz val="11"/>
      <color theme="0"/>
      <name val="Calibri"/>
      <family val="2"/>
      <scheme val="minor"/>
    </font>
    <font>
      <b/>
      <sz val="8"/>
      <color rgb="FF000000"/>
      <name val="Calibri"/>
      <family val="2"/>
      <scheme val="minor"/>
    </font>
    <font>
      <b/>
      <sz val="8"/>
      <color theme="1" tint="0.34998626667073579"/>
      <name val="Calibri"/>
      <family val="2"/>
      <scheme val="minor"/>
    </font>
    <font>
      <sz val="8"/>
      <color rgb="FFFF0000"/>
      <name val="Calibri"/>
      <family val="2"/>
      <scheme val="minor"/>
    </font>
    <font>
      <b/>
      <sz val="8"/>
      <color rgb="FFFF0000"/>
      <name val="Calibri"/>
      <family val="2"/>
      <scheme val="minor"/>
    </font>
    <font>
      <b/>
      <sz val="11"/>
      <color rgb="FFC00000"/>
      <name val="Calibri"/>
      <family val="2"/>
      <scheme val="minor"/>
    </font>
    <font>
      <u/>
      <sz val="10"/>
      <name val="Calibri"/>
      <family val="2"/>
      <scheme val="minor"/>
    </font>
    <font>
      <sz val="10"/>
      <color rgb="FF12355B"/>
      <name val="Calibri"/>
      <family val="2"/>
      <scheme val="minor"/>
    </font>
    <font>
      <b/>
      <sz val="8"/>
      <color rgb="FF12355B"/>
      <name val="Calibri"/>
      <family val="2"/>
      <scheme val="minor"/>
    </font>
    <font>
      <b/>
      <sz val="8"/>
      <name val="Calibri"/>
      <family val="2"/>
      <scheme val="minor"/>
    </font>
    <font>
      <sz val="11"/>
      <color rgb="FF000000"/>
      <name val="Calibri"/>
      <family val="2"/>
      <scheme val="minor"/>
    </font>
    <font>
      <b/>
      <sz val="11"/>
      <color rgb="FF12355B"/>
      <name val="Calibri"/>
      <family val="2"/>
      <scheme val="minor"/>
    </font>
    <font>
      <sz val="11"/>
      <color theme="1" tint="0.34998626667073579"/>
      <name val="Calibri"/>
      <family val="2"/>
      <scheme val="minor"/>
    </font>
    <font>
      <u/>
      <sz val="11"/>
      <color theme="3"/>
      <name val="Calibri"/>
      <family val="2"/>
      <scheme val="minor"/>
    </font>
    <font>
      <sz val="16"/>
      <color theme="0"/>
      <name val="Calibri"/>
      <family val="2"/>
      <scheme val="minor"/>
    </font>
    <font>
      <b/>
      <sz val="16"/>
      <color theme="0"/>
      <name val="Calibri"/>
      <family val="2"/>
      <scheme val="minor"/>
    </font>
    <font>
      <b/>
      <sz val="8"/>
      <color theme="1"/>
      <name val="Calibri"/>
      <family val="2"/>
      <scheme val="minor"/>
    </font>
    <font>
      <sz val="8"/>
      <color theme="0"/>
      <name val="Calibri"/>
      <family val="2"/>
      <scheme val="minor"/>
    </font>
    <font>
      <b/>
      <sz val="10"/>
      <color theme="0"/>
      <name val="Calibri"/>
      <family val="2"/>
      <scheme val="minor"/>
    </font>
    <font>
      <sz val="10"/>
      <color rgb="FF000000"/>
      <name val="Arial"/>
      <family val="2"/>
    </font>
    <font>
      <u/>
      <sz val="8"/>
      <color rgb="FF002060"/>
      <name val="Calibri"/>
      <family val="2"/>
      <scheme val="minor"/>
    </font>
    <font>
      <b/>
      <sz val="18"/>
      <name val="Calibri"/>
      <family val="2"/>
      <scheme val="minor"/>
    </font>
    <font>
      <b/>
      <sz val="10"/>
      <color rgb="FF000000"/>
      <name val="Calibri"/>
      <family val="2"/>
      <scheme val="minor"/>
    </font>
    <font>
      <b/>
      <sz val="10"/>
      <color theme="7" tint="0.79998168889431442"/>
      <name val="Calibri"/>
      <family val="2"/>
      <scheme val="minor"/>
    </font>
    <font>
      <sz val="11"/>
      <color theme="7" tint="0.79998168889431442"/>
      <name val="Calibri"/>
      <family val="2"/>
      <scheme val="minor"/>
    </font>
    <font>
      <b/>
      <sz val="10"/>
      <color theme="1"/>
      <name val="Calibri"/>
      <family val="2"/>
      <scheme val="minor"/>
    </font>
    <font>
      <b/>
      <sz val="20"/>
      <color theme="1"/>
      <name val="Calibri"/>
      <family val="2"/>
      <scheme val="minor"/>
    </font>
    <font>
      <b/>
      <sz val="24"/>
      <color theme="1"/>
      <name val="Calibri"/>
      <family val="2"/>
      <scheme val="minor"/>
    </font>
    <font>
      <b/>
      <sz val="8"/>
      <color theme="0"/>
      <name val="Calibri"/>
      <family val="2"/>
      <scheme val="minor"/>
    </font>
    <font>
      <b/>
      <sz val="14"/>
      <color rgb="FF12355B"/>
      <name val="Calibri"/>
      <family val="2"/>
      <scheme val="minor"/>
    </font>
    <font>
      <b/>
      <sz val="12"/>
      <color rgb="FF000000"/>
      <name val="Calibri"/>
      <family val="2"/>
      <scheme val="minor"/>
    </font>
    <font>
      <sz val="10"/>
      <color rgb="FFFF0000"/>
      <name val="Calibri"/>
      <family val="2"/>
      <scheme val="minor"/>
    </font>
    <font>
      <sz val="9"/>
      <color theme="1" tint="0.34998626667073579"/>
      <name val="Calibri"/>
      <family val="2"/>
      <scheme val="minor"/>
    </font>
    <font>
      <b/>
      <sz val="10"/>
      <color theme="1" tint="0.34998626667073579"/>
      <name val="Calibri"/>
      <family val="2"/>
      <scheme val="minor"/>
    </font>
    <font>
      <sz val="8"/>
      <color theme="1"/>
      <name val="Franklin Gothic Book"/>
      <family val="2"/>
    </font>
    <font>
      <b/>
      <sz val="10"/>
      <color rgb="FFFF0000"/>
      <name val="Calibri"/>
      <family val="2"/>
      <scheme val="minor"/>
    </font>
    <font>
      <sz val="9"/>
      <name val="Calibri"/>
      <family val="2"/>
      <scheme val="minor"/>
    </font>
    <font>
      <b/>
      <sz val="9"/>
      <color rgb="FF12355B"/>
      <name val="Calibri"/>
      <family val="2"/>
      <scheme val="minor"/>
    </font>
    <font>
      <u/>
      <sz val="9"/>
      <color theme="3"/>
      <name val="Calibri"/>
      <family val="2"/>
      <scheme val="minor"/>
    </font>
    <font>
      <b/>
      <sz val="9"/>
      <color rgb="FF000000"/>
      <name val="Calibri"/>
      <family val="2"/>
      <scheme val="minor"/>
    </font>
    <font>
      <sz val="9"/>
      <color rgb="FFFF0000"/>
      <name val="Calibri"/>
      <family val="2"/>
      <scheme val="minor"/>
    </font>
    <font>
      <b/>
      <sz val="9"/>
      <color rgb="FFFF0000"/>
      <name val="Calibri"/>
      <family val="2"/>
      <scheme val="minor"/>
    </font>
    <font>
      <b/>
      <sz val="11"/>
      <name val="Calibri"/>
      <family val="2"/>
      <scheme val="minor"/>
    </font>
    <font>
      <b/>
      <sz val="11"/>
      <color rgb="FFFF0000"/>
      <name val="Calibri"/>
      <family val="2"/>
      <scheme val="minor"/>
    </font>
    <font>
      <b/>
      <sz val="9"/>
      <name val="Calibri"/>
      <family val="2"/>
      <scheme val="minor"/>
    </font>
    <font>
      <b/>
      <sz val="9"/>
      <color theme="1"/>
      <name val="Calibri"/>
      <family val="2"/>
      <scheme val="minor"/>
    </font>
    <font>
      <b/>
      <sz val="12"/>
      <color theme="1"/>
      <name val="Calibri"/>
      <family val="2"/>
      <scheme val="minor"/>
    </font>
    <font>
      <b/>
      <vertAlign val="subscript"/>
      <sz val="10"/>
      <color rgb="FF000000"/>
      <name val="Calibri"/>
      <family val="2"/>
      <scheme val="minor"/>
    </font>
    <font>
      <b/>
      <sz val="30"/>
      <color theme="1"/>
      <name val="Calibri"/>
      <family val="2"/>
      <scheme val="minor"/>
    </font>
    <font>
      <sz val="8"/>
      <color rgb="FF666F77"/>
      <name val="Calibri"/>
      <family val="2"/>
      <scheme val="minor"/>
    </font>
    <font>
      <vertAlign val="subscript"/>
      <sz val="8"/>
      <color rgb="FF666F77"/>
      <name val="Calibri"/>
      <family val="2"/>
      <scheme val="minor"/>
    </font>
    <font>
      <b/>
      <sz val="11"/>
      <color rgb="FF007178"/>
      <name val="Calibri"/>
      <family val="2"/>
      <scheme val="minor"/>
    </font>
    <font>
      <sz val="8"/>
      <color rgb="FFE1E4E6"/>
      <name val="Calibri"/>
      <family val="2"/>
      <scheme val="minor"/>
    </font>
    <font>
      <b/>
      <sz val="8"/>
      <color rgb="FF666F77"/>
      <name val="Calibri"/>
      <family val="2"/>
      <scheme val="minor"/>
    </font>
    <font>
      <sz val="10"/>
      <color theme="0"/>
      <name val="Calibri (Textkörper)"/>
    </font>
    <font>
      <b/>
      <sz val="10"/>
      <color theme="0"/>
      <name val="Calibri (Textkörper)"/>
    </font>
    <font>
      <b/>
      <sz val="11"/>
      <color theme="0"/>
      <name val="Arial"/>
      <family val="2"/>
    </font>
    <font>
      <u/>
      <sz val="11"/>
      <name val="Calibri"/>
      <family val="2"/>
      <scheme val="minor"/>
    </font>
    <font>
      <b/>
      <sz val="12"/>
      <color theme="0"/>
      <name val="Calibri"/>
      <family val="2"/>
      <scheme val="minor"/>
    </font>
  </fonts>
  <fills count="3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gray0625"/>
    </fill>
    <fill>
      <patternFill patternType="lightDown">
        <bgColor theme="7" tint="0.79998168889431442"/>
      </patternFill>
    </fill>
    <fill>
      <patternFill patternType="solid">
        <fgColor rgb="FFE1E4E6"/>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C00000"/>
        <bgColor indexed="64"/>
      </patternFill>
    </fill>
    <fill>
      <patternFill patternType="gray0625">
        <bgColor theme="0"/>
      </patternFill>
    </fill>
    <fill>
      <patternFill patternType="solid">
        <fgColor theme="6" tint="-0.249977111117893"/>
        <bgColor indexed="64"/>
      </patternFill>
    </fill>
    <fill>
      <patternFill patternType="solid">
        <fgColor rgb="FFFFFF00"/>
        <bgColor indexed="64"/>
      </patternFill>
    </fill>
    <fill>
      <patternFill patternType="solid">
        <fgColor theme="7" tint="0.59999389629810485"/>
        <bgColor indexed="64"/>
      </patternFill>
    </fill>
    <fill>
      <patternFill patternType="solid">
        <fgColor rgb="FFC2BBF0"/>
        <bgColor indexed="64"/>
      </patternFill>
    </fill>
    <fill>
      <patternFill patternType="solid">
        <fgColor rgb="FFC9DDFF"/>
        <bgColor indexed="64"/>
      </patternFill>
    </fill>
    <fill>
      <patternFill patternType="solid">
        <fgColor rgb="FF247BA0"/>
        <bgColor indexed="64"/>
      </patternFill>
    </fill>
    <fill>
      <patternFill patternType="solid">
        <fgColor rgb="FF3F816D"/>
        <bgColor indexed="64"/>
      </patternFill>
    </fill>
    <fill>
      <patternFill patternType="solid">
        <fgColor rgb="FF92D050"/>
        <bgColor indexed="64"/>
      </patternFill>
    </fill>
    <fill>
      <patternFill patternType="solid">
        <fgColor rgb="FFFF0000"/>
        <bgColor indexed="64"/>
      </patternFill>
    </fill>
    <fill>
      <patternFill patternType="solid">
        <fgColor rgb="FFDFF5EB"/>
        <bgColor indexed="64"/>
      </patternFill>
    </fill>
    <fill>
      <patternFill patternType="solid">
        <fgColor rgb="FFFEF9DA"/>
        <bgColor indexed="64"/>
      </patternFill>
    </fill>
    <fill>
      <patternFill patternType="lightDown">
        <bgColor rgb="FFFEF9DA"/>
      </patternFill>
    </fill>
    <fill>
      <patternFill patternType="solid">
        <fgColor theme="8" tint="0.39997558519241921"/>
        <bgColor indexed="64"/>
      </patternFill>
    </fill>
    <fill>
      <patternFill patternType="solid">
        <fgColor rgb="FF53AB90"/>
        <bgColor indexed="64"/>
      </patternFill>
    </fill>
    <fill>
      <patternFill patternType="solid">
        <fgColor rgb="FFD4E8E7"/>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5"/>
        <bgColor indexed="64"/>
      </patternFill>
    </fill>
    <fill>
      <patternFill patternType="solid">
        <fgColor theme="1" tint="0.499984740745262"/>
        <bgColor indexed="64"/>
      </patternFill>
    </fill>
    <fill>
      <patternFill patternType="solid">
        <fgColor rgb="FFFFE5E5"/>
        <bgColor indexed="64"/>
      </patternFill>
    </fill>
    <fill>
      <patternFill patternType="solid">
        <fgColor rgb="FF51A58B"/>
        <bgColor indexed="64"/>
      </patternFill>
    </fill>
    <fill>
      <patternFill patternType="solid">
        <fgColor theme="8" tint="0.59999389629810485"/>
        <bgColor indexed="64"/>
      </patternFill>
    </fill>
    <fill>
      <patternFill patternType="solid">
        <fgColor rgb="FF00659D"/>
        <bgColor indexed="64"/>
      </patternFill>
    </fill>
  </fills>
  <borders count="129">
    <border>
      <left/>
      <right/>
      <top/>
      <bottom/>
      <diagonal/>
    </border>
    <border>
      <left/>
      <right/>
      <top/>
      <bottom style="medium">
        <color rgb="FF666F77"/>
      </bottom>
      <diagonal/>
    </border>
    <border>
      <left/>
      <right/>
      <top style="medium">
        <color rgb="FF666F77"/>
      </top>
      <bottom style="medium">
        <color rgb="FF666F77"/>
      </bottom>
      <diagonal/>
    </border>
    <border>
      <left/>
      <right/>
      <top style="medium">
        <color rgb="FF666F77"/>
      </top>
      <bottom/>
      <diagonal/>
    </border>
    <border>
      <left style="medium">
        <color rgb="FF666F77"/>
      </left>
      <right style="medium">
        <color rgb="FF666F77"/>
      </right>
      <top style="medium">
        <color rgb="FF666F77"/>
      </top>
      <bottom style="medium">
        <color rgb="FF666F77"/>
      </bottom>
      <diagonal/>
    </border>
    <border>
      <left style="medium">
        <color rgb="FF666F77"/>
      </left>
      <right/>
      <top style="medium">
        <color rgb="FF666F77"/>
      </top>
      <bottom style="medium">
        <color rgb="FF666F77"/>
      </bottom>
      <diagonal/>
    </border>
    <border>
      <left/>
      <right/>
      <top style="thin">
        <color rgb="FF12355B"/>
      </top>
      <bottom style="medium">
        <color rgb="FF12355B"/>
      </bottom>
      <diagonal/>
    </border>
    <border>
      <left/>
      <right/>
      <top style="thin">
        <color rgb="FF12355B"/>
      </top>
      <bottom style="thin">
        <color rgb="FF12355B"/>
      </bottom>
      <diagonal/>
    </border>
    <border>
      <left/>
      <right/>
      <top/>
      <bottom style="thin">
        <color rgb="FF12355B"/>
      </bottom>
      <diagonal/>
    </border>
    <border>
      <left/>
      <right/>
      <top/>
      <bottom style="medium">
        <color rgb="FF12355B"/>
      </bottom>
      <diagonal/>
    </border>
    <border>
      <left/>
      <right/>
      <top style="thin">
        <color rgb="FF12355B"/>
      </top>
      <bottom style="double">
        <color rgb="FF12355B"/>
      </bottom>
      <diagonal/>
    </border>
    <border>
      <left/>
      <right/>
      <top/>
      <bottom style="double">
        <color rgb="FF12355B"/>
      </bottom>
      <diagonal/>
    </border>
    <border>
      <left/>
      <right/>
      <top style="thin">
        <color rgb="FF12355B"/>
      </top>
      <bottom style="hair">
        <color rgb="FF12355B"/>
      </bottom>
      <diagonal/>
    </border>
    <border>
      <left/>
      <right/>
      <top style="hair">
        <color rgb="FF12355B"/>
      </top>
      <bottom style="hair">
        <color rgb="FF12355B"/>
      </bottom>
      <diagonal/>
    </border>
    <border>
      <left/>
      <right/>
      <top/>
      <bottom style="hair">
        <color rgb="FF12355B"/>
      </bottom>
      <diagonal/>
    </border>
    <border>
      <left/>
      <right/>
      <top style="hair">
        <color rgb="FF12355B"/>
      </top>
      <bottom/>
      <diagonal/>
    </border>
    <border>
      <left/>
      <right/>
      <top style="hair">
        <color rgb="FF12355B"/>
      </top>
      <bottom style="thin">
        <color rgb="FF12355B"/>
      </bottom>
      <diagonal/>
    </border>
    <border>
      <left/>
      <right/>
      <top style="hair">
        <color rgb="FF12355B"/>
      </top>
      <bottom style="double">
        <color rgb="FF12355B"/>
      </bottom>
      <diagonal/>
    </border>
    <border>
      <left/>
      <right/>
      <top style="double">
        <color rgb="FF12355B"/>
      </top>
      <bottom/>
      <diagonal/>
    </border>
    <border>
      <left/>
      <right/>
      <top style="double">
        <color rgb="FF12355B"/>
      </top>
      <bottom style="hair">
        <color rgb="FF12355B"/>
      </bottom>
      <diagonal/>
    </border>
    <border>
      <left/>
      <right/>
      <top style="thin">
        <color rgb="FF12355B"/>
      </top>
      <bottom style="double">
        <color indexed="64"/>
      </bottom>
      <diagonal/>
    </border>
    <border>
      <left/>
      <right/>
      <top style="medium">
        <color theme="0" tint="-0.34998626667073579"/>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double">
        <color rgb="FF12355B"/>
      </top>
      <bottom style="thin">
        <color rgb="FF12355B"/>
      </bottom>
      <diagonal/>
    </border>
    <border>
      <left/>
      <right/>
      <top style="thin">
        <color indexed="64"/>
      </top>
      <bottom style="double">
        <color indexed="64"/>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right/>
      <top style="thin">
        <color theme="3"/>
      </top>
      <bottom/>
      <diagonal/>
    </border>
    <border>
      <left/>
      <right/>
      <top style="thin">
        <color theme="3"/>
      </top>
      <bottom style="double">
        <color theme="3"/>
      </bottom>
      <diagonal/>
    </border>
    <border>
      <left/>
      <right/>
      <top/>
      <bottom style="double">
        <color theme="3"/>
      </bottom>
      <diagonal/>
    </border>
    <border>
      <left/>
      <right/>
      <top/>
      <bottom style="hair">
        <color theme="3"/>
      </bottom>
      <diagonal/>
    </border>
    <border>
      <left/>
      <right/>
      <top style="hair">
        <color rgb="FF12355B"/>
      </top>
      <bottom style="hair">
        <color theme="3"/>
      </bottom>
      <diagonal/>
    </border>
    <border>
      <left/>
      <right/>
      <top style="double">
        <color rgb="FF12355B"/>
      </top>
      <bottom style="hair">
        <color theme="3"/>
      </bottom>
      <diagonal/>
    </border>
    <border>
      <left/>
      <right/>
      <top style="double">
        <color rgb="FF12355B"/>
      </top>
      <bottom style="thin">
        <color theme="3"/>
      </bottom>
      <diagonal/>
    </border>
    <border>
      <left/>
      <right/>
      <top style="hair">
        <color theme="3"/>
      </top>
      <bottom style="thin">
        <color theme="0" tint="-0.499984740745262"/>
      </bottom>
      <diagonal/>
    </border>
    <border>
      <left/>
      <right/>
      <top style="thin">
        <color rgb="FF12355B"/>
      </top>
      <bottom style="thin">
        <color theme="0" tint="-0.499984740745262"/>
      </bottom>
      <diagonal/>
    </border>
    <border>
      <left/>
      <right/>
      <top style="medium">
        <color rgb="FF666F77"/>
      </top>
      <bottom style="thin">
        <color indexed="64"/>
      </bottom>
      <diagonal/>
    </border>
    <border>
      <left/>
      <right/>
      <top/>
      <bottom style="thin">
        <color rgb="FF3F816D"/>
      </bottom>
      <diagonal/>
    </border>
    <border>
      <left/>
      <right/>
      <top style="thin">
        <color rgb="FF3F816D"/>
      </top>
      <bottom style="thin">
        <color rgb="FF3F816D"/>
      </bottom>
      <diagonal/>
    </border>
    <border>
      <left/>
      <right/>
      <top style="thin">
        <color rgb="FF3F816D"/>
      </top>
      <bottom/>
      <diagonal/>
    </border>
    <border>
      <left/>
      <right/>
      <top/>
      <bottom style="thin">
        <color rgb="FF247BA0"/>
      </bottom>
      <diagonal/>
    </border>
    <border>
      <left/>
      <right/>
      <top style="thin">
        <color rgb="FF247BA0"/>
      </top>
      <bottom style="thin">
        <color rgb="FF247BA0"/>
      </bottom>
      <diagonal/>
    </border>
    <border>
      <left/>
      <right/>
      <top style="thin">
        <color rgb="FF247BA0"/>
      </top>
      <bottom style="double">
        <color rgb="FF247BA0"/>
      </bottom>
      <diagonal/>
    </border>
    <border>
      <left style="thin">
        <color indexed="64"/>
      </left>
      <right style="thin">
        <color indexed="64"/>
      </right>
      <top style="thin">
        <color indexed="64"/>
      </top>
      <bottom style="thin">
        <color indexed="64"/>
      </bottom>
      <diagonal/>
    </border>
    <border>
      <left style="medium">
        <color theme="0" tint="-0.499984740745262"/>
      </left>
      <right/>
      <top/>
      <bottom/>
      <diagonal/>
    </border>
    <border>
      <left style="medium">
        <color rgb="FF666F77"/>
      </left>
      <right/>
      <top/>
      <bottom style="medium">
        <color rgb="FF666F77"/>
      </bottom>
      <diagonal/>
    </border>
    <border>
      <left/>
      <right/>
      <top style="thin">
        <color rgb="FF0070C0"/>
      </top>
      <bottom/>
      <diagonal/>
    </border>
    <border>
      <left style="thin">
        <color rgb="FF0070C0"/>
      </left>
      <right style="thin">
        <color rgb="FF0070C0"/>
      </right>
      <top/>
      <bottom/>
      <diagonal/>
    </border>
    <border>
      <left style="thin">
        <color rgb="FF0070C0"/>
      </left>
      <right style="thin">
        <color rgb="FF0070C0"/>
      </right>
      <top/>
      <bottom style="thin">
        <color rgb="FF0070C0"/>
      </bottom>
      <diagonal/>
    </border>
    <border>
      <left style="thin">
        <color rgb="FF3F816D"/>
      </left>
      <right style="thin">
        <color rgb="FF3F816D"/>
      </right>
      <top style="thin">
        <color rgb="FF3F816D"/>
      </top>
      <bottom/>
      <diagonal/>
    </border>
    <border>
      <left style="thin">
        <color rgb="FF3F816D"/>
      </left>
      <right style="thin">
        <color rgb="FF3F816D"/>
      </right>
      <top/>
      <bottom/>
      <diagonal/>
    </border>
    <border>
      <left style="thin">
        <color rgb="FF3F816D"/>
      </left>
      <right style="thin">
        <color rgb="FF3F816D"/>
      </right>
      <top/>
      <bottom style="thin">
        <color rgb="FF3F816D"/>
      </bottom>
      <diagonal/>
    </border>
    <border>
      <left style="thin">
        <color rgb="FF3F816D"/>
      </left>
      <right/>
      <top/>
      <bottom style="thin">
        <color rgb="FF3F816D"/>
      </bottom>
      <diagonal/>
    </border>
    <border>
      <left style="thin">
        <color rgb="FF0070C0"/>
      </left>
      <right/>
      <top style="thin">
        <color rgb="FF00659D"/>
      </top>
      <bottom/>
      <diagonal/>
    </border>
    <border>
      <left/>
      <right/>
      <top style="thin">
        <color rgb="FF00659D"/>
      </top>
      <bottom/>
      <diagonal/>
    </border>
    <border>
      <left style="thin">
        <color rgb="FF0070C0"/>
      </left>
      <right style="thin">
        <color rgb="FF0070C0"/>
      </right>
      <top style="thin">
        <color rgb="FF00659D"/>
      </top>
      <bottom/>
      <diagonal/>
    </border>
    <border>
      <left style="thin">
        <color rgb="FF0070C0"/>
      </left>
      <right/>
      <top/>
      <bottom style="thin">
        <color rgb="FF00659D"/>
      </bottom>
      <diagonal/>
    </border>
    <border>
      <left/>
      <right/>
      <top/>
      <bottom style="thin">
        <color rgb="FF00659D"/>
      </bottom>
      <diagonal/>
    </border>
    <border>
      <left/>
      <right/>
      <top/>
      <bottom style="thin">
        <color theme="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right/>
      <top style="thin">
        <color rgb="FF12355B"/>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rgb="FF666F77"/>
      </top>
      <bottom style="thin">
        <color rgb="FF666F77"/>
      </bottom>
      <diagonal/>
    </border>
    <border>
      <left style="thin">
        <color theme="0" tint="-0.499984740745262"/>
      </left>
      <right style="thin">
        <color theme="0" tint="-0.499984740745262"/>
      </right>
      <top style="thin">
        <color theme="0" tint="-0.499984740745262"/>
      </top>
      <bottom/>
      <diagonal/>
    </border>
    <border>
      <left/>
      <right/>
      <top style="thin">
        <color indexed="64"/>
      </top>
      <bottom style="thin">
        <color theme="0" tint="-0.499984740745262"/>
      </bottom>
      <diagonal/>
    </border>
    <border>
      <left/>
      <right/>
      <top style="thin">
        <color theme="0" tint="-0.499984740745262"/>
      </top>
      <bottom style="double">
        <color theme="0" tint="-0.499984740745262"/>
      </bottom>
      <diagonal/>
    </border>
    <border>
      <left/>
      <right/>
      <top style="thin">
        <color theme="0" tint="-0.499984740745262"/>
      </top>
      <bottom style="medium">
        <color theme="0" tint="-0.499984740745262"/>
      </bottom>
      <diagonal/>
    </border>
    <border>
      <left/>
      <right/>
      <top/>
      <bottom style="double">
        <color theme="0" tint="-0.499984740745262"/>
      </bottom>
      <diagonal/>
    </border>
    <border>
      <left/>
      <right/>
      <top style="hair">
        <color rgb="FF12355B"/>
      </top>
      <bottom style="double">
        <color theme="0" tint="-0.499984740745262"/>
      </bottom>
      <diagonal/>
    </border>
    <border>
      <left/>
      <right/>
      <top style="hair">
        <color theme="3"/>
      </top>
      <bottom style="double">
        <color theme="0" tint="-0.499984740745262"/>
      </bottom>
      <diagonal/>
    </border>
    <border>
      <left style="thin">
        <color rgb="FF666F77"/>
      </left>
      <right style="thin">
        <color rgb="FF666F77"/>
      </right>
      <top style="thin">
        <color rgb="FF666F77"/>
      </top>
      <bottom style="thin">
        <color rgb="FF666F77"/>
      </bottom>
      <diagonal/>
    </border>
    <border>
      <left style="medium">
        <color rgb="FF666F77"/>
      </left>
      <right/>
      <top style="thin">
        <color theme="0" tint="-0.499984740745262"/>
      </top>
      <bottom style="thin">
        <color theme="0" tint="-0.499984740745262"/>
      </bottom>
      <diagonal/>
    </border>
    <border>
      <left/>
      <right style="medium">
        <color rgb="FF666F77"/>
      </right>
      <top style="thin">
        <color rgb="FF666F77"/>
      </top>
      <bottom style="thin">
        <color rgb="FF666F77"/>
      </bottom>
      <diagonal/>
    </border>
    <border>
      <left style="medium">
        <color rgb="FF666F77"/>
      </left>
      <right/>
      <top style="thin">
        <color rgb="FF666F77"/>
      </top>
      <bottom style="thin">
        <color rgb="FF666F77"/>
      </bottom>
      <diagonal/>
    </border>
    <border>
      <left/>
      <right style="thin">
        <color theme="0" tint="-0.499984740745262"/>
      </right>
      <top style="thin">
        <color theme="0" tint="-0.499984740745262"/>
      </top>
      <bottom style="thin">
        <color rgb="FF666F77"/>
      </bottom>
      <diagonal/>
    </border>
    <border>
      <left/>
      <right style="thin">
        <color theme="0" tint="-0.499984740745262"/>
      </right>
      <top style="thin">
        <color rgb="FF666F77"/>
      </top>
      <bottom style="thin">
        <color rgb="FF666F77"/>
      </bottom>
      <diagonal/>
    </border>
    <border>
      <left/>
      <right style="thin">
        <color theme="0" tint="-0.499984740745262"/>
      </right>
      <top style="thin">
        <color rgb="FF666F77"/>
      </top>
      <bottom style="thin">
        <color theme="0" tint="-0.499984740745262"/>
      </bottom>
      <diagonal/>
    </border>
    <border>
      <left/>
      <right style="thin">
        <color rgb="FF666F77"/>
      </right>
      <top style="thin">
        <color rgb="FF666F77"/>
      </top>
      <bottom style="thin">
        <color rgb="FF666F77"/>
      </bottom>
      <diagonal/>
    </border>
    <border>
      <left style="thin">
        <color theme="0" tint="-0.499984740745262"/>
      </left>
      <right/>
      <top style="thin">
        <color rgb="FF666F77"/>
      </top>
      <bottom style="thin">
        <color rgb="FF666F77"/>
      </bottom>
      <diagonal/>
    </border>
    <border>
      <left style="thin">
        <color theme="0" tint="-0.499984740745262"/>
      </left>
      <right/>
      <top style="thin">
        <color rgb="FF666F77"/>
      </top>
      <bottom style="thin">
        <color theme="0" tint="-0.499984740745262"/>
      </bottom>
      <diagonal/>
    </border>
    <border>
      <left/>
      <right/>
      <top style="thin">
        <color rgb="FF666F77"/>
      </top>
      <bottom style="thin">
        <color theme="0" tint="-0.499984740745262"/>
      </bottom>
      <diagonal/>
    </border>
    <border>
      <left style="thin">
        <color theme="0" tint="-0.499984740745262"/>
      </left>
      <right style="thin">
        <color theme="0" tint="-0.499984740745262"/>
      </right>
      <top style="thin">
        <color rgb="FF666F77"/>
      </top>
      <bottom style="thin">
        <color rgb="FF666F77"/>
      </bottom>
      <diagonal/>
    </border>
    <border>
      <left style="thin">
        <color theme="0" tint="-0.499984740745262"/>
      </left>
      <right style="thin">
        <color theme="0" tint="-0.499984740745262"/>
      </right>
      <top style="thin">
        <color rgb="FF666F77"/>
      </top>
      <bottom style="thin">
        <color theme="0" tint="-0.499984740745262"/>
      </bottom>
      <diagonal/>
    </border>
    <border>
      <left style="thin">
        <color theme="0" tint="-0.499984740745262"/>
      </left>
      <right style="thin">
        <color theme="0" tint="-0.499984740745262"/>
      </right>
      <top style="thin">
        <color theme="0" tint="-0.499984740745262"/>
      </top>
      <bottom style="thin">
        <color rgb="FF666F77"/>
      </bottom>
      <diagonal/>
    </border>
    <border>
      <left style="thin">
        <color theme="0" tint="-0.499984740745262"/>
      </left>
      <right/>
      <top style="thin">
        <color indexed="64"/>
      </top>
      <bottom style="thin">
        <color indexed="64"/>
      </bottom>
      <diagonal/>
    </border>
    <border>
      <left/>
      <right style="thin">
        <color theme="0" tint="-0.499984740745262"/>
      </right>
      <top style="thin">
        <color indexed="64"/>
      </top>
      <bottom style="thin">
        <color indexed="64"/>
      </bottom>
      <diagonal/>
    </border>
    <border>
      <left/>
      <right/>
      <top/>
      <bottom style="medium">
        <color theme="2" tint="-0.499984740745262"/>
      </bottom>
      <diagonal/>
    </border>
    <border>
      <left style="thin">
        <color theme="0" tint="-0.499984740745262"/>
      </left>
      <right style="thin">
        <color theme="0" tint="-0.499984740745262"/>
      </right>
      <top style="thin">
        <color auto="1"/>
      </top>
      <bottom style="thin">
        <color theme="0" tint="-0.499984740745262"/>
      </bottom>
      <diagonal/>
    </border>
    <border>
      <left style="thin">
        <color theme="0" tint="-0.499984740745262"/>
      </left>
      <right/>
      <top/>
      <bottom style="thin">
        <color indexed="64"/>
      </bottom>
      <diagonal/>
    </border>
    <border>
      <left/>
      <right style="thin">
        <color theme="0" tint="-0.499984740745262"/>
      </right>
      <top/>
      <bottom style="thin">
        <color indexed="64"/>
      </bottom>
      <diagonal/>
    </border>
    <border>
      <left style="thin">
        <color theme="0" tint="-0.499984740745262"/>
      </left>
      <right style="thin">
        <color theme="0" tint="-0.499984740745262"/>
      </right>
      <top/>
      <bottom style="thin">
        <color auto="1"/>
      </bottom>
      <diagonal/>
    </border>
    <border>
      <left style="thin">
        <color theme="0" tint="-0.499984740745262"/>
      </left>
      <right/>
      <top style="thin">
        <color theme="0" tint="-0.499984740745262"/>
      </top>
      <bottom style="thin">
        <color rgb="FF666F77"/>
      </bottom>
      <diagonal/>
    </border>
    <border>
      <left/>
      <right/>
      <top style="thin">
        <color theme="0" tint="-0.499984740745262"/>
      </top>
      <bottom style="thin">
        <color rgb="FF666F77"/>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rgb="FF666F77"/>
      </bottom>
      <diagonal/>
    </border>
    <border>
      <left/>
      <right/>
      <top/>
      <bottom style="thin">
        <color rgb="FF666F77"/>
      </bottom>
      <diagonal/>
    </border>
    <border>
      <left/>
      <right style="thin">
        <color theme="0" tint="-0.499984740745262"/>
      </right>
      <top/>
      <bottom style="thin">
        <color rgb="FF666F77"/>
      </bottom>
      <diagonal/>
    </border>
    <border>
      <left/>
      <right/>
      <top style="medium">
        <color theme="0" tint="-0.34998626667073579"/>
      </top>
      <bottom style="thin">
        <color theme="0" tint="-0.499984740745262"/>
      </bottom>
      <diagonal/>
    </border>
    <border>
      <left/>
      <right/>
      <top/>
      <bottom style="double">
        <color indexed="64"/>
      </bottom>
      <diagonal/>
    </border>
    <border>
      <left/>
      <right/>
      <top style="thin">
        <color rgb="FF666F77"/>
      </top>
      <bottom style="medium">
        <color rgb="FF666F77"/>
      </bottom>
      <diagonal/>
    </border>
    <border>
      <left style="medium">
        <color rgb="FF666F77"/>
      </left>
      <right/>
      <top style="thin">
        <color rgb="FF666F77"/>
      </top>
      <bottom/>
      <diagonal/>
    </border>
    <border>
      <left style="thin">
        <color rgb="FF666F77"/>
      </left>
      <right/>
      <top style="thin">
        <color rgb="FF666F77"/>
      </top>
      <bottom style="thin">
        <color rgb="FF666F77"/>
      </bottom>
      <diagonal/>
    </border>
    <border>
      <left/>
      <right/>
      <top style="thin">
        <color rgb="FF666F77"/>
      </top>
      <bottom/>
      <diagonal/>
    </border>
    <border>
      <left style="thin">
        <color rgb="FF666F77"/>
      </left>
      <right style="thin">
        <color rgb="FF666F77"/>
      </right>
      <top style="thin">
        <color rgb="FF666F77"/>
      </top>
      <bottom/>
      <diagonal/>
    </border>
    <border>
      <left style="thin">
        <color rgb="FF666F77"/>
      </left>
      <right/>
      <top style="thin">
        <color rgb="FF666F77"/>
      </top>
      <bottom/>
      <diagonal/>
    </border>
    <border>
      <left style="medium">
        <color rgb="FF666F77"/>
      </left>
      <right style="thin">
        <color rgb="FF666F77"/>
      </right>
      <top style="thin">
        <color rgb="FF666F77"/>
      </top>
      <bottom/>
      <diagonal/>
    </border>
    <border>
      <left/>
      <right style="thin">
        <color indexed="64"/>
      </right>
      <top style="thin">
        <color indexed="64"/>
      </top>
      <bottom/>
      <diagonal/>
    </border>
    <border>
      <left style="thin">
        <color rgb="FF666F77"/>
      </left>
      <right style="thin">
        <color theme="0" tint="-0.499984740745262"/>
      </right>
      <top style="thin">
        <color rgb="FF666F77"/>
      </top>
      <bottom style="thin">
        <color rgb="FF666F77"/>
      </bottom>
      <diagonal/>
    </border>
    <border>
      <left style="medium">
        <color rgb="FF666F77"/>
      </left>
      <right/>
      <top/>
      <bottom style="thin">
        <color theme="0" tint="-0.499984740745262"/>
      </bottom>
      <diagonal/>
    </border>
    <border>
      <left/>
      <right style="thin">
        <color theme="0" tint="-0.499984740745262"/>
      </right>
      <top style="thin">
        <color rgb="FF666F77"/>
      </top>
      <bottom/>
      <diagonal/>
    </border>
    <border>
      <left style="thin">
        <color indexed="64"/>
      </left>
      <right style="thin">
        <color indexed="64"/>
      </right>
      <top style="thin">
        <color indexed="64"/>
      </top>
      <bottom/>
      <diagonal/>
    </border>
    <border>
      <left style="medium">
        <color rgb="FF666F77"/>
      </left>
      <right/>
      <top style="thin">
        <color theme="0" tint="-0.499984740745262"/>
      </top>
      <bottom style="medium">
        <color rgb="FF666F77"/>
      </bottom>
      <diagonal/>
    </border>
    <border>
      <left/>
      <right/>
      <top style="thin">
        <color rgb="FF12355B"/>
      </top>
      <bottom/>
      <diagonal/>
    </border>
  </borders>
  <cellStyleXfs count="5">
    <xf numFmtId="0" fontId="0" fillId="0" borderId="0"/>
    <xf numFmtId="43" fontId="3"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xf numFmtId="0" fontId="46" fillId="0" borderId="0"/>
  </cellStyleXfs>
  <cellXfs count="1262">
    <xf numFmtId="0" fontId="0" fillId="0" borderId="0" xfId="0"/>
    <xf numFmtId="0" fontId="1" fillId="0" borderId="0" xfId="0" applyFont="1"/>
    <xf numFmtId="0" fontId="0" fillId="2" borderId="0" xfId="0" applyFill="1" applyAlignment="1">
      <alignment vertical="center"/>
    </xf>
    <xf numFmtId="0" fontId="1" fillId="2" borderId="0" xfId="0" applyFont="1" applyFill="1" applyAlignment="1">
      <alignment vertical="center"/>
    </xf>
    <xf numFmtId="0" fontId="2" fillId="2" borderId="0" xfId="0" applyFont="1" applyFill="1" applyAlignment="1">
      <alignment vertical="center"/>
    </xf>
    <xf numFmtId="0" fontId="0" fillId="2" borderId="0" xfId="0" applyFill="1" applyAlignment="1">
      <alignment horizontal="left" vertical="center"/>
    </xf>
    <xf numFmtId="0" fontId="0" fillId="2" borderId="0" xfId="0" applyFill="1"/>
    <xf numFmtId="0" fontId="4" fillId="2" borderId="0" xfId="0" applyFont="1" applyFill="1" applyAlignment="1">
      <alignment vertical="center" wrapText="1"/>
    </xf>
    <xf numFmtId="0" fontId="4" fillId="0" borderId="0" xfId="0" applyFont="1" applyAlignment="1">
      <alignment vertical="center" wrapText="1"/>
    </xf>
    <xf numFmtId="0" fontId="4" fillId="2" borderId="0" xfId="0" applyFont="1" applyFill="1" applyAlignment="1">
      <alignment vertical="center"/>
    </xf>
    <xf numFmtId="0" fontId="8" fillId="2" borderId="0" xfId="0" applyFont="1" applyFill="1" applyAlignment="1">
      <alignment vertical="center" wrapText="1"/>
    </xf>
    <xf numFmtId="0" fontId="9" fillId="2" borderId="0" xfId="0" applyFont="1" applyFill="1" applyAlignment="1">
      <alignment vertical="center"/>
    </xf>
    <xf numFmtId="0" fontId="11" fillId="10" borderId="10" xfId="0" applyFont="1" applyFill="1" applyBorder="1" applyAlignment="1">
      <alignment vertical="center"/>
    </xf>
    <xf numFmtId="0" fontId="13" fillId="2" borderId="0" xfId="0" applyFont="1" applyFill="1" applyAlignment="1">
      <alignment horizontal="left" vertical="center"/>
    </xf>
    <xf numFmtId="0" fontId="13" fillId="2" borderId="0" xfId="0" applyFont="1" applyFill="1" applyAlignment="1">
      <alignment vertical="center" wrapText="1"/>
    </xf>
    <xf numFmtId="0" fontId="13" fillId="0" borderId="0" xfId="0" applyFont="1" applyAlignment="1">
      <alignment horizontal="left" vertical="center"/>
    </xf>
    <xf numFmtId="2" fontId="13" fillId="2" borderId="0" xfId="0" applyNumberFormat="1" applyFont="1" applyFill="1" applyAlignment="1">
      <alignment horizontal="left" vertical="center"/>
    </xf>
    <xf numFmtId="166" fontId="13" fillId="2" borderId="0" xfId="0" applyNumberFormat="1" applyFont="1" applyFill="1" applyAlignment="1">
      <alignment horizontal="left" vertical="center"/>
    </xf>
    <xf numFmtId="0" fontId="13" fillId="2" borderId="0" xfId="0" applyFont="1" applyFill="1" applyAlignment="1">
      <alignment vertical="center"/>
    </xf>
    <xf numFmtId="3" fontId="13" fillId="2" borderId="0" xfId="0" applyNumberFormat="1" applyFont="1" applyFill="1" applyAlignment="1">
      <alignment horizontal="left" vertical="center"/>
    </xf>
    <xf numFmtId="2" fontId="13" fillId="2" borderId="0" xfId="0" applyNumberFormat="1" applyFont="1" applyFill="1" applyAlignment="1">
      <alignment vertical="center"/>
    </xf>
    <xf numFmtId="3" fontId="13" fillId="2" borderId="0" xfId="0" applyNumberFormat="1" applyFont="1" applyFill="1" applyAlignment="1">
      <alignment vertical="center"/>
    </xf>
    <xf numFmtId="0" fontId="12" fillId="2" borderId="0" xfId="0" applyFont="1" applyFill="1" applyAlignment="1">
      <alignment vertical="center"/>
    </xf>
    <xf numFmtId="2" fontId="13" fillId="2" borderId="0" xfId="2" applyNumberFormat="1" applyFont="1" applyFill="1" applyAlignment="1">
      <alignment horizontal="center" vertical="center"/>
    </xf>
    <xf numFmtId="172" fontId="13" fillId="2" borderId="0" xfId="2" applyNumberFormat="1" applyFont="1" applyFill="1" applyAlignment="1">
      <alignment horizontal="center" vertical="center"/>
    </xf>
    <xf numFmtId="0" fontId="13" fillId="2" borderId="0" xfId="2" applyNumberFormat="1" applyFont="1" applyFill="1" applyAlignment="1">
      <alignment horizontal="center" vertical="center"/>
    </xf>
    <xf numFmtId="0" fontId="13" fillId="0" borderId="0" xfId="0" applyFont="1" applyAlignment="1">
      <alignment vertical="center"/>
    </xf>
    <xf numFmtId="0" fontId="1" fillId="0" borderId="0" xfId="0" applyFont="1" applyAlignment="1">
      <alignment horizontal="center" vertical="center" wrapText="1"/>
    </xf>
    <xf numFmtId="0" fontId="14" fillId="2" borderId="0" xfId="3" applyFont="1" applyFill="1" applyAlignment="1">
      <alignment vertical="center" wrapText="1"/>
    </xf>
    <xf numFmtId="165" fontId="13" fillId="2" borderId="0" xfId="0" applyNumberFormat="1" applyFont="1" applyFill="1" applyAlignment="1">
      <alignment vertical="center"/>
    </xf>
    <xf numFmtId="0" fontId="14" fillId="2" borderId="15" xfId="3" applyFont="1" applyFill="1" applyBorder="1" applyAlignment="1">
      <alignment vertical="center" wrapText="1"/>
    </xf>
    <xf numFmtId="0" fontId="14" fillId="2" borderId="16" xfId="3" applyFont="1" applyFill="1" applyBorder="1" applyAlignment="1">
      <alignment vertical="center" wrapText="1"/>
    </xf>
    <xf numFmtId="0" fontId="7" fillId="4" borderId="7" xfId="3" applyFill="1" applyBorder="1" applyAlignment="1">
      <alignment horizontal="center" vertical="center"/>
    </xf>
    <xf numFmtId="3" fontId="13" fillId="22" borderId="0" xfId="0" applyNumberFormat="1" applyFont="1" applyFill="1" applyAlignment="1">
      <alignment vertical="center"/>
    </xf>
    <xf numFmtId="0" fontId="16" fillId="2" borderId="0" xfId="3" applyFont="1" applyFill="1" applyAlignment="1">
      <alignment vertical="center" wrapText="1"/>
    </xf>
    <xf numFmtId="0" fontId="14" fillId="2" borderId="12" xfId="3" applyFont="1" applyFill="1" applyBorder="1" applyAlignment="1">
      <alignment vertical="center" wrapText="1"/>
    </xf>
    <xf numFmtId="0" fontId="14" fillId="2" borderId="13" xfId="3" applyFont="1" applyFill="1" applyBorder="1" applyAlignment="1">
      <alignment vertical="center" wrapText="1"/>
    </xf>
    <xf numFmtId="0" fontId="14" fillId="2" borderId="14" xfId="3" applyFont="1" applyFill="1" applyBorder="1" applyAlignment="1">
      <alignment vertical="center" wrapText="1"/>
    </xf>
    <xf numFmtId="0" fontId="14" fillId="2" borderId="17" xfId="3" applyFont="1" applyFill="1" applyBorder="1" applyAlignment="1">
      <alignment vertical="center" wrapText="1"/>
    </xf>
    <xf numFmtId="0" fontId="14" fillId="2" borderId="11" xfId="3" applyFont="1" applyFill="1" applyBorder="1" applyAlignment="1">
      <alignment vertical="center" wrapText="1"/>
    </xf>
    <xf numFmtId="0" fontId="14" fillId="2" borderId="10" xfId="3" applyFont="1" applyFill="1" applyBorder="1" applyAlignment="1">
      <alignment vertical="center" wrapText="1"/>
    </xf>
    <xf numFmtId="0" fontId="18" fillId="0" borderId="19" xfId="0" applyFont="1" applyBorder="1" applyAlignment="1">
      <alignment horizontal="center" vertical="center"/>
    </xf>
    <xf numFmtId="0" fontId="19" fillId="0" borderId="0" xfId="0" applyFont="1"/>
    <xf numFmtId="0" fontId="19" fillId="0" borderId="0" xfId="0" applyFont="1" applyAlignment="1">
      <alignment horizontal="center" vertical="center" wrapText="1"/>
    </xf>
    <xf numFmtId="0" fontId="3" fillId="2" borderId="0" xfId="0" applyFont="1" applyFill="1" applyAlignment="1">
      <alignment horizontal="left" vertical="center"/>
    </xf>
    <xf numFmtId="0" fontId="21" fillId="10" borderId="10" xfId="0" applyFont="1" applyFill="1" applyBorder="1" applyAlignment="1">
      <alignment horizontal="center" vertical="center" wrapText="1"/>
    </xf>
    <xf numFmtId="0" fontId="23" fillId="2" borderId="0" xfId="3" applyFont="1" applyFill="1" applyBorder="1" applyAlignment="1">
      <alignment vertical="center"/>
    </xf>
    <xf numFmtId="0" fontId="24" fillId="2" borderId="0" xfId="0" applyFont="1" applyFill="1" applyAlignment="1">
      <alignment horizontal="left" vertical="center"/>
    </xf>
    <xf numFmtId="0" fontId="3" fillId="0" borderId="0" xfId="0" applyFont="1" applyAlignment="1">
      <alignment horizontal="left" vertical="center"/>
    </xf>
    <xf numFmtId="0" fontId="19" fillId="2" borderId="0" xfId="0" applyFont="1" applyFill="1" applyAlignment="1">
      <alignment horizontal="left" vertical="center"/>
    </xf>
    <xf numFmtId="1" fontId="3" fillId="2" borderId="0" xfId="0" applyNumberFormat="1" applyFont="1" applyFill="1" applyAlignment="1">
      <alignment horizontal="left" vertical="center"/>
    </xf>
    <xf numFmtId="0" fontId="3" fillId="2" borderId="0" xfId="0" applyFont="1" applyFill="1" applyAlignment="1">
      <alignment vertical="center"/>
    </xf>
    <xf numFmtId="0" fontId="24" fillId="2" borderId="0" xfId="0" applyFont="1" applyFill="1" applyAlignment="1">
      <alignment horizontal="center" vertical="center" wrapText="1"/>
    </xf>
    <xf numFmtId="0" fontId="4" fillId="2" borderId="1" xfId="0" applyFont="1" applyFill="1" applyBorder="1" applyAlignment="1">
      <alignment vertical="center" wrapText="1"/>
    </xf>
    <xf numFmtId="0" fontId="3" fillId="22" borderId="0" xfId="0" applyFont="1" applyFill="1" applyAlignment="1">
      <alignment vertical="center"/>
    </xf>
    <xf numFmtId="3" fontId="20" fillId="12" borderId="2" xfId="1" applyNumberFormat="1" applyFont="1" applyFill="1" applyBorder="1" applyAlignment="1">
      <alignment vertical="center" wrapText="1"/>
    </xf>
    <xf numFmtId="0" fontId="24" fillId="2" borderId="0" xfId="0" applyFont="1" applyFill="1" applyAlignment="1">
      <alignment vertical="center"/>
    </xf>
    <xf numFmtId="0" fontId="24" fillId="0" borderId="0" xfId="0" applyFont="1"/>
    <xf numFmtId="0" fontId="4" fillId="0" borderId="2" xfId="0" applyFont="1" applyBorder="1" applyAlignment="1">
      <alignment vertical="center" wrapText="1"/>
    </xf>
    <xf numFmtId="0" fontId="28" fillId="10" borderId="3" xfId="0" applyFont="1" applyFill="1" applyBorder="1" applyAlignment="1">
      <alignment vertical="center" wrapText="1"/>
    </xf>
    <xf numFmtId="0" fontId="4" fillId="2" borderId="0" xfId="0" applyFont="1" applyFill="1" applyAlignment="1">
      <alignment horizontal="center" vertical="center"/>
    </xf>
    <xf numFmtId="165" fontId="3" fillId="2" borderId="0" xfId="0" applyNumberFormat="1" applyFont="1" applyFill="1" applyAlignment="1">
      <alignment vertical="center"/>
    </xf>
    <xf numFmtId="0" fontId="32" fillId="2" borderId="0" xfId="0" applyFont="1" applyFill="1"/>
    <xf numFmtId="0" fontId="1" fillId="2" borderId="0" xfId="0" applyFont="1" applyFill="1"/>
    <xf numFmtId="0" fontId="13" fillId="2" borderId="0" xfId="0" applyFont="1" applyFill="1" applyAlignment="1">
      <alignment horizontal="left"/>
    </xf>
    <xf numFmtId="0" fontId="13" fillId="2" borderId="0" xfId="0" applyFont="1" applyFill="1"/>
    <xf numFmtId="0" fontId="33" fillId="4" borderId="7" xfId="0" applyFont="1" applyFill="1" applyBorder="1" applyAlignment="1">
      <alignment horizontal="left" vertical="center"/>
    </xf>
    <xf numFmtId="0" fontId="13" fillId="0" borderId="7" xfId="0" applyFont="1" applyBorder="1" applyAlignment="1">
      <alignment horizontal="left" vertical="center" wrapText="1"/>
    </xf>
    <xf numFmtId="0" fontId="0" fillId="2" borderId="0" xfId="0" applyFill="1" applyAlignment="1">
      <alignment horizontal="left"/>
    </xf>
    <xf numFmtId="0" fontId="1" fillId="2" borderId="0" xfId="0" applyFont="1" applyFill="1" applyAlignment="1">
      <alignment horizontal="left"/>
    </xf>
    <xf numFmtId="0" fontId="0" fillId="0" borderId="0" xfId="0" applyAlignment="1">
      <alignment horizontal="left"/>
    </xf>
    <xf numFmtId="0" fontId="26" fillId="4" borderId="7" xfId="3" applyFont="1" applyFill="1" applyBorder="1" applyAlignment="1">
      <alignment horizontal="center" vertical="center"/>
    </xf>
    <xf numFmtId="0" fontId="20" fillId="2" borderId="0" xfId="0" applyFont="1" applyFill="1" applyAlignment="1">
      <alignment horizontal="right" vertical="center" textRotation="90"/>
    </xf>
    <xf numFmtId="0" fontId="21" fillId="10" borderId="10" xfId="0" applyFont="1" applyFill="1" applyBorder="1" applyAlignment="1">
      <alignment vertical="center" wrapText="1"/>
    </xf>
    <xf numFmtId="0" fontId="12" fillId="10" borderId="10" xfId="0" applyFont="1" applyFill="1" applyBorder="1" applyAlignment="1">
      <alignment vertical="center" wrapText="1"/>
    </xf>
    <xf numFmtId="0" fontId="35" fillId="10" borderId="9" xfId="0" applyFont="1" applyFill="1" applyBorder="1" applyAlignment="1">
      <alignment vertical="center" wrapText="1"/>
    </xf>
    <xf numFmtId="0" fontId="35" fillId="10" borderId="7" xfId="0" applyFont="1" applyFill="1" applyBorder="1" applyAlignment="1">
      <alignment horizontal="left" vertical="center" wrapText="1"/>
    </xf>
    <xf numFmtId="0" fontId="36" fillId="10" borderId="8" xfId="0" applyFont="1" applyFill="1" applyBorder="1" applyAlignment="1">
      <alignment vertical="center" wrapText="1"/>
    </xf>
    <xf numFmtId="0" fontId="10" fillId="0" borderId="0" xfId="0" applyFont="1" applyAlignment="1">
      <alignment vertical="center"/>
    </xf>
    <xf numFmtId="0" fontId="10" fillId="0" borderId="0" xfId="0" applyFont="1" applyAlignment="1">
      <alignment vertical="center" wrapText="1"/>
    </xf>
    <xf numFmtId="0" fontId="35" fillId="10" borderId="7" xfId="0" applyFont="1" applyFill="1" applyBorder="1" applyAlignment="1">
      <alignment vertical="center" wrapText="1"/>
    </xf>
    <xf numFmtId="0" fontId="36" fillId="10" borderId="7" xfId="0" applyFont="1" applyFill="1" applyBorder="1" applyAlignment="1">
      <alignment vertical="center" wrapText="1"/>
    </xf>
    <xf numFmtId="0" fontId="10" fillId="2" borderId="0" xfId="0" applyFont="1" applyFill="1" applyAlignment="1">
      <alignment vertical="center" wrapText="1"/>
    </xf>
    <xf numFmtId="0" fontId="10" fillId="10" borderId="7" xfId="0" applyFont="1" applyFill="1" applyBorder="1" applyAlignment="1">
      <alignment vertical="center" wrapText="1"/>
    </xf>
    <xf numFmtId="0" fontId="7" fillId="2" borderId="0" xfId="3" applyFill="1" applyBorder="1" applyAlignment="1">
      <alignment vertical="center"/>
    </xf>
    <xf numFmtId="0" fontId="38" fillId="10" borderId="10" xfId="0" applyFont="1" applyFill="1" applyBorder="1" applyAlignment="1">
      <alignment horizontal="center" vertical="center" wrapText="1"/>
    </xf>
    <xf numFmtId="0" fontId="38" fillId="2" borderId="0" xfId="0" applyFont="1" applyFill="1" applyAlignment="1">
      <alignment vertical="center" wrapText="1"/>
    </xf>
    <xf numFmtId="0" fontId="39" fillId="0" borderId="19" xfId="0" applyFont="1" applyBorder="1" applyAlignment="1">
      <alignment horizontal="center" vertical="center"/>
    </xf>
    <xf numFmtId="0" fontId="39" fillId="2" borderId="0" xfId="0" applyFont="1" applyFill="1" applyAlignment="1">
      <alignment vertical="center"/>
    </xf>
    <xf numFmtId="1" fontId="9" fillId="2" borderId="0" xfId="1" applyNumberFormat="1" applyFont="1" applyFill="1" applyBorder="1" applyAlignment="1">
      <alignment vertical="center"/>
    </xf>
    <xf numFmtId="167" fontId="37" fillId="2" borderId="0" xfId="1" applyNumberFormat="1" applyFont="1" applyFill="1" applyBorder="1" applyAlignment="1">
      <alignment vertical="center"/>
    </xf>
    <xf numFmtId="0" fontId="3" fillId="8" borderId="14" xfId="0" applyFont="1" applyFill="1" applyBorder="1" applyAlignment="1">
      <alignment horizontal="center" vertical="center" wrapText="1"/>
    </xf>
    <xf numFmtId="0" fontId="3" fillId="2" borderId="0" xfId="0" applyFont="1" applyFill="1" applyAlignment="1">
      <alignment vertical="center" wrapText="1"/>
    </xf>
    <xf numFmtId="0" fontId="37" fillId="2" borderId="0" xfId="0" applyFont="1" applyFill="1" applyAlignment="1">
      <alignment vertical="center" textRotation="90"/>
    </xf>
    <xf numFmtId="0" fontId="7" fillId="2" borderId="0" xfId="3" applyFill="1" applyAlignment="1">
      <alignment horizontal="left" vertical="center"/>
    </xf>
    <xf numFmtId="0" fontId="3" fillId="2" borderId="0" xfId="0" applyFont="1" applyFill="1" applyAlignment="1">
      <alignment horizontal="right" vertical="center"/>
    </xf>
    <xf numFmtId="0" fontId="15" fillId="21" borderId="29" xfId="0" applyFont="1" applyFill="1" applyBorder="1" applyAlignment="1">
      <alignment vertical="center"/>
    </xf>
    <xf numFmtId="0" fontId="27" fillId="21" borderId="29" xfId="0" applyFont="1" applyFill="1" applyBorder="1" applyAlignment="1">
      <alignment vertical="center"/>
    </xf>
    <xf numFmtId="0" fontId="37" fillId="10" borderId="28" xfId="0" applyFont="1" applyFill="1" applyBorder="1" applyAlignment="1">
      <alignment vertical="center"/>
    </xf>
    <xf numFmtId="0" fontId="37" fillId="10" borderId="28" xfId="0" applyFont="1" applyFill="1" applyBorder="1" applyAlignment="1">
      <alignment horizontal="center" vertical="center"/>
    </xf>
    <xf numFmtId="0" fontId="39" fillId="2" borderId="0" xfId="0" applyFont="1" applyFill="1" applyAlignment="1">
      <alignment horizontal="center" vertical="center"/>
    </xf>
    <xf numFmtId="0" fontId="39" fillId="2" borderId="0" xfId="0" applyFont="1" applyFill="1" applyAlignment="1">
      <alignment horizontal="left" vertical="center" indent="2"/>
    </xf>
    <xf numFmtId="0" fontId="39" fillId="2" borderId="28" xfId="0" applyFont="1" applyFill="1" applyBorder="1" applyAlignment="1">
      <alignment horizontal="left" vertical="center" wrapText="1" indent="2"/>
    </xf>
    <xf numFmtId="0" fontId="39" fillId="2" borderId="28" xfId="0" applyFont="1" applyFill="1" applyBorder="1" applyAlignment="1">
      <alignment horizontal="center" vertical="center"/>
    </xf>
    <xf numFmtId="1" fontId="39" fillId="11" borderId="28" xfId="1" applyNumberFormat="1" applyFont="1" applyFill="1" applyBorder="1" applyAlignment="1">
      <alignment horizontal="center" vertical="center"/>
    </xf>
    <xf numFmtId="0" fontId="39" fillId="2" borderId="28" xfId="0" applyFont="1" applyFill="1" applyBorder="1" applyAlignment="1">
      <alignment horizontal="left" vertical="center"/>
    </xf>
    <xf numFmtId="0" fontId="37" fillId="10" borderId="0" xfId="0" applyFont="1" applyFill="1" applyAlignment="1">
      <alignment vertical="center"/>
    </xf>
    <xf numFmtId="0" fontId="15" fillId="20" borderId="28" xfId="0" applyFont="1" applyFill="1" applyBorder="1" applyAlignment="1">
      <alignment vertical="center"/>
    </xf>
    <xf numFmtId="0" fontId="37" fillId="20" borderId="28" xfId="0" applyFont="1" applyFill="1" applyBorder="1" applyAlignment="1">
      <alignment horizontal="center" vertical="center"/>
    </xf>
    <xf numFmtId="0" fontId="37" fillId="20" borderId="28" xfId="0" applyFont="1" applyFill="1" applyBorder="1" applyAlignment="1">
      <alignment vertical="center"/>
    </xf>
    <xf numFmtId="0" fontId="37" fillId="10" borderId="0" xfId="0" applyFont="1" applyFill="1" applyAlignment="1">
      <alignment horizontal="center" vertical="center"/>
    </xf>
    <xf numFmtId="0" fontId="39" fillId="2" borderId="28" xfId="0" applyFont="1" applyFill="1" applyBorder="1" applyAlignment="1">
      <alignment vertical="center"/>
    </xf>
    <xf numFmtId="0" fontId="37" fillId="10" borderId="30" xfId="0" applyFont="1" applyFill="1" applyBorder="1" applyAlignment="1">
      <alignment vertical="center"/>
    </xf>
    <xf numFmtId="0" fontId="37" fillId="10" borderId="30" xfId="0" applyFont="1" applyFill="1" applyBorder="1" applyAlignment="1">
      <alignment horizontal="center" vertical="center"/>
    </xf>
    <xf numFmtId="0" fontId="39" fillId="2" borderId="28" xfId="0" applyFont="1" applyFill="1" applyBorder="1" applyAlignment="1">
      <alignment vertical="center" wrapText="1"/>
    </xf>
    <xf numFmtId="0" fontId="42" fillId="2" borderId="0" xfId="0" applyFont="1" applyFill="1" applyAlignment="1">
      <alignment vertical="center"/>
    </xf>
    <xf numFmtId="1" fontId="9" fillId="24" borderId="13" xfId="1" applyNumberFormat="1" applyFont="1" applyFill="1" applyBorder="1" applyAlignment="1">
      <alignment horizontal="center" vertical="center"/>
    </xf>
    <xf numFmtId="167" fontId="37" fillId="25" borderId="15" xfId="1" applyNumberFormat="1" applyFont="1" applyFill="1" applyBorder="1" applyAlignment="1">
      <alignment horizontal="center" vertical="center"/>
    </xf>
    <xf numFmtId="1" fontId="39" fillId="24" borderId="0" xfId="1" applyNumberFormat="1" applyFont="1" applyFill="1" applyBorder="1" applyAlignment="1">
      <alignment horizontal="center" vertical="center"/>
    </xf>
    <xf numFmtId="1" fontId="39" fillId="24" borderId="28" xfId="1" applyNumberFormat="1" applyFont="1" applyFill="1" applyBorder="1" applyAlignment="1">
      <alignment horizontal="center" vertical="center"/>
    </xf>
    <xf numFmtId="167" fontId="37" fillId="25" borderId="28" xfId="1" applyNumberFormat="1" applyFont="1" applyFill="1" applyBorder="1" applyAlignment="1">
      <alignment horizontal="center" vertical="center"/>
    </xf>
    <xf numFmtId="167" fontId="37" fillId="25" borderId="0" xfId="1" applyNumberFormat="1" applyFont="1" applyFill="1" applyBorder="1" applyAlignment="1">
      <alignment horizontal="center" vertical="center"/>
    </xf>
    <xf numFmtId="167" fontId="37" fillId="25" borderId="30" xfId="1" applyNumberFormat="1" applyFont="1" applyFill="1" applyBorder="1" applyAlignment="1">
      <alignment horizontal="center" vertical="center"/>
    </xf>
    <xf numFmtId="4" fontId="10" fillId="25" borderId="35" xfId="1" applyNumberFormat="1" applyFont="1" applyFill="1" applyBorder="1" applyAlignment="1">
      <alignment vertical="center"/>
    </xf>
    <xf numFmtId="0" fontId="35" fillId="10" borderId="37" xfId="0" applyFont="1" applyFill="1" applyBorder="1" applyAlignment="1">
      <alignment vertical="center" wrapText="1"/>
    </xf>
    <xf numFmtId="0" fontId="36" fillId="10" borderId="37" xfId="0" applyFont="1" applyFill="1" applyBorder="1" applyAlignment="1">
      <alignment vertical="center" wrapText="1"/>
    </xf>
    <xf numFmtId="0" fontId="9" fillId="10" borderId="32" xfId="0" applyFont="1" applyFill="1" applyBorder="1" applyAlignment="1">
      <alignment vertical="center"/>
    </xf>
    <xf numFmtId="0" fontId="10" fillId="0" borderId="13" xfId="0" quotePrefix="1" applyFont="1" applyBorder="1" applyAlignment="1">
      <alignment horizontal="center" vertical="center"/>
    </xf>
    <xf numFmtId="0" fontId="43" fillId="2" borderId="0" xfId="0" applyFont="1" applyFill="1" applyAlignment="1">
      <alignment vertical="center"/>
    </xf>
    <xf numFmtId="0" fontId="43" fillId="2" borderId="0" xfId="0" applyFont="1" applyFill="1" applyAlignment="1">
      <alignment horizontal="center" vertical="center" wrapText="1"/>
    </xf>
    <xf numFmtId="0" fontId="28" fillId="10" borderId="2" xfId="0" applyFont="1" applyFill="1" applyBorder="1" applyAlignment="1">
      <alignment vertical="center" wrapText="1"/>
    </xf>
    <xf numFmtId="0" fontId="43" fillId="0" borderId="0" xfId="0" applyFont="1" applyAlignment="1">
      <alignment horizontal="center" vertical="center" wrapText="1"/>
    </xf>
    <xf numFmtId="0" fontId="43" fillId="2" borderId="0" xfId="0" applyFont="1" applyFill="1" applyAlignment="1">
      <alignment horizontal="left" vertical="center"/>
    </xf>
    <xf numFmtId="0" fontId="24" fillId="0" borderId="0" xfId="0" applyFont="1" applyAlignment="1">
      <alignment horizontal="center" vertical="center" wrapText="1"/>
    </xf>
    <xf numFmtId="0" fontId="24" fillId="2" borderId="0" xfId="0" applyFont="1" applyFill="1" applyAlignment="1">
      <alignment horizontal="left" vertical="center" wrapText="1"/>
    </xf>
    <xf numFmtId="0" fontId="24" fillId="2" borderId="0" xfId="0" applyFont="1" applyFill="1"/>
    <xf numFmtId="0" fontId="24" fillId="17" borderId="0" xfId="0" applyFont="1" applyFill="1" applyAlignment="1">
      <alignment horizontal="left" vertical="center"/>
    </xf>
    <xf numFmtId="0" fontId="4" fillId="17" borderId="0" xfId="0" applyFont="1" applyFill="1" applyAlignment="1">
      <alignment vertical="center" wrapText="1"/>
    </xf>
    <xf numFmtId="165" fontId="44" fillId="6" borderId="2" xfId="1" applyNumberFormat="1" applyFont="1" applyFill="1" applyBorder="1" applyAlignment="1">
      <alignment vertical="center"/>
    </xf>
    <xf numFmtId="3" fontId="24" fillId="2" borderId="0" xfId="0" applyNumberFormat="1" applyFont="1" applyFill="1" applyAlignment="1">
      <alignment horizontal="right" vertical="center" wrapText="1"/>
    </xf>
    <xf numFmtId="165" fontId="44" fillId="6" borderId="2" xfId="1" applyNumberFormat="1" applyFont="1" applyFill="1" applyBorder="1" applyAlignment="1">
      <alignment vertical="center" wrapText="1"/>
    </xf>
    <xf numFmtId="0" fontId="24" fillId="0" borderId="0" xfId="0" applyFont="1" applyAlignment="1">
      <alignment wrapText="1"/>
    </xf>
    <xf numFmtId="3" fontId="24" fillId="2" borderId="0" xfId="0" applyNumberFormat="1" applyFont="1" applyFill="1" applyAlignment="1">
      <alignment horizontal="right" vertical="center"/>
    </xf>
    <xf numFmtId="0" fontId="3" fillId="0" borderId="0" xfId="0" applyFont="1"/>
    <xf numFmtId="0" fontId="23" fillId="4" borderId="39" xfId="3" applyFont="1" applyFill="1" applyBorder="1" applyAlignment="1">
      <alignment horizontal="center" vertical="center"/>
    </xf>
    <xf numFmtId="0" fontId="21" fillId="2" borderId="0" xfId="0" applyFont="1" applyFill="1" applyAlignment="1">
      <alignment vertical="center" wrapText="1"/>
    </xf>
    <xf numFmtId="0" fontId="18" fillId="2" borderId="0" xfId="0" applyFont="1" applyFill="1" applyAlignment="1">
      <alignment vertical="center"/>
    </xf>
    <xf numFmtId="1" fontId="13" fillId="2" borderId="0" xfId="1" applyNumberFormat="1" applyFont="1" applyFill="1" applyBorder="1" applyAlignment="1">
      <alignment vertical="center"/>
    </xf>
    <xf numFmtId="167" fontId="22" fillId="2" borderId="0" xfId="1" applyNumberFormat="1" applyFont="1" applyFill="1" applyBorder="1" applyAlignment="1">
      <alignment vertical="center"/>
    </xf>
    <xf numFmtId="0" fontId="19" fillId="2" borderId="0" xfId="0" applyFont="1" applyFill="1" applyAlignment="1">
      <alignment vertical="center" wrapText="1"/>
    </xf>
    <xf numFmtId="165" fontId="13" fillId="2" borderId="0" xfId="1" applyNumberFormat="1" applyFont="1" applyFill="1" applyBorder="1" applyAlignment="1">
      <alignment vertical="center"/>
    </xf>
    <xf numFmtId="165" fontId="25" fillId="2" borderId="0" xfId="1" applyNumberFormat="1" applyFont="1" applyFill="1" applyBorder="1" applyAlignment="1">
      <alignment vertical="center"/>
    </xf>
    <xf numFmtId="0" fontId="19" fillId="2" borderId="16" xfId="0" applyFont="1" applyFill="1" applyBorder="1" applyAlignment="1">
      <alignment vertical="center" wrapText="1"/>
    </xf>
    <xf numFmtId="165" fontId="25" fillId="13" borderId="7" xfId="1" applyNumberFormat="1" applyFont="1" applyFill="1" applyBorder="1" applyAlignment="1">
      <alignment horizontal="center" vertical="center"/>
    </xf>
    <xf numFmtId="0" fontId="23" fillId="4" borderId="7" xfId="3" applyFont="1" applyFill="1" applyBorder="1" applyAlignment="1">
      <alignment horizontal="center" vertical="center"/>
    </xf>
    <xf numFmtId="1" fontId="13" fillId="24" borderId="13" xfId="1" applyNumberFormat="1" applyFont="1" applyFill="1" applyBorder="1" applyAlignment="1">
      <alignment horizontal="center" vertical="center"/>
    </xf>
    <xf numFmtId="167" fontId="22" fillId="25" borderId="15" xfId="1" applyNumberFormat="1" applyFont="1" applyFill="1" applyBorder="1" applyAlignment="1">
      <alignment horizontal="center" vertical="center"/>
    </xf>
    <xf numFmtId="0" fontId="19" fillId="8" borderId="14" xfId="0" applyFont="1" applyFill="1" applyBorder="1" applyAlignment="1">
      <alignment horizontal="center" vertical="center" wrapText="1"/>
    </xf>
    <xf numFmtId="0" fontId="34" fillId="10" borderId="10" xfId="0" applyFont="1" applyFill="1" applyBorder="1" applyAlignment="1">
      <alignment horizontal="center" vertical="center" wrapText="1"/>
    </xf>
    <xf numFmtId="0" fontId="3" fillId="0" borderId="0" xfId="0" applyFont="1" applyAlignment="1">
      <alignment horizontal="center" vertical="center" wrapText="1"/>
    </xf>
    <xf numFmtId="165" fontId="25" fillId="6" borderId="7" xfId="1" applyNumberFormat="1" applyFont="1" applyFill="1" applyBorder="1" applyAlignment="1">
      <alignment horizontal="center" vertical="center"/>
    </xf>
    <xf numFmtId="0" fontId="28" fillId="10" borderId="23" xfId="0" applyFont="1" applyFill="1" applyBorder="1" applyAlignment="1">
      <alignment horizontal="center" vertical="center" wrapText="1"/>
    </xf>
    <xf numFmtId="0" fontId="13" fillId="0" borderId="22" xfId="0" applyFont="1" applyBorder="1" applyAlignment="1">
      <alignment vertical="center"/>
    </xf>
    <xf numFmtId="0" fontId="23" fillId="4" borderId="7" xfId="3" applyFont="1" applyFill="1" applyBorder="1" applyAlignment="1">
      <alignment vertical="center"/>
    </xf>
    <xf numFmtId="1" fontId="24" fillId="2" borderId="0" xfId="0" applyNumberFormat="1" applyFont="1" applyFill="1" applyAlignment="1">
      <alignment horizontal="left" vertical="center"/>
    </xf>
    <xf numFmtId="165" fontId="44" fillId="0" borderId="0" xfId="1" applyNumberFormat="1" applyFont="1" applyFill="1" applyBorder="1" applyAlignment="1">
      <alignment vertical="center"/>
    </xf>
    <xf numFmtId="0" fontId="28" fillId="10" borderId="1" xfId="0" applyFont="1" applyFill="1" applyBorder="1" applyAlignment="1">
      <alignment vertical="center" wrapText="1"/>
    </xf>
    <xf numFmtId="3" fontId="43" fillId="2" borderId="0" xfId="0" applyNumberFormat="1" applyFont="1" applyFill="1" applyAlignment="1">
      <alignment horizontal="right" vertical="center"/>
    </xf>
    <xf numFmtId="0" fontId="43" fillId="0" borderId="0" xfId="0" applyFont="1"/>
    <xf numFmtId="3" fontId="24" fillId="2" borderId="0" xfId="0" applyNumberFormat="1" applyFont="1" applyFill="1" applyAlignment="1">
      <alignment horizontal="left" vertical="center" wrapText="1"/>
    </xf>
    <xf numFmtId="3" fontId="24" fillId="2" borderId="0" xfId="0" applyNumberFormat="1" applyFont="1" applyFill="1" applyAlignment="1">
      <alignment vertical="center"/>
    </xf>
    <xf numFmtId="1" fontId="24" fillId="2" borderId="0" xfId="0" quotePrefix="1" applyNumberFormat="1" applyFont="1" applyFill="1" applyAlignment="1">
      <alignment vertical="center"/>
    </xf>
    <xf numFmtId="0" fontId="19" fillId="0" borderId="0" xfId="0" applyFont="1" applyAlignment="1">
      <alignment horizontal="left" vertical="center"/>
    </xf>
    <xf numFmtId="0" fontId="45" fillId="21" borderId="0" xfId="0" applyFont="1" applyFill="1"/>
    <xf numFmtId="0" fontId="45" fillId="20" borderId="0" xfId="0" applyFont="1" applyFill="1"/>
    <xf numFmtId="2" fontId="45" fillId="21" borderId="0" xfId="0" applyNumberFormat="1" applyFont="1" applyFill="1"/>
    <xf numFmtId="0" fontId="45" fillId="21" borderId="0" xfId="0" applyFont="1" applyFill="1" applyAlignment="1">
      <alignment horizontal="center"/>
    </xf>
    <xf numFmtId="0" fontId="45" fillId="21" borderId="0" xfId="0" applyFont="1" applyFill="1" applyAlignment="1">
      <alignment horizontal="left" indent="1"/>
    </xf>
    <xf numFmtId="2" fontId="45" fillId="20" borderId="0" xfId="0" applyNumberFormat="1" applyFont="1" applyFill="1"/>
    <xf numFmtId="0" fontId="45" fillId="20" borderId="0" xfId="0" applyFont="1" applyFill="1" applyAlignment="1">
      <alignment horizontal="center"/>
    </xf>
    <xf numFmtId="0" fontId="45" fillId="20" borderId="0" xfId="0" applyFont="1" applyFill="1" applyAlignment="1">
      <alignment horizontal="left" indent="1"/>
    </xf>
    <xf numFmtId="0" fontId="51" fillId="0" borderId="0" xfId="0" applyFont="1"/>
    <xf numFmtId="0" fontId="51" fillId="2" borderId="0" xfId="0" applyFont="1" applyFill="1" applyAlignment="1">
      <alignment vertical="center"/>
    </xf>
    <xf numFmtId="0" fontId="9" fillId="0" borderId="0" xfId="0" applyFont="1"/>
    <xf numFmtId="0" fontId="50" fillId="21" borderId="0" xfId="0" applyFont="1" applyFill="1"/>
    <xf numFmtId="0" fontId="50" fillId="21" borderId="0" xfId="0" applyFont="1" applyFill="1" applyAlignment="1">
      <alignment horizontal="left" indent="1"/>
    </xf>
    <xf numFmtId="2" fontId="50" fillId="21" borderId="0" xfId="0" applyNumberFormat="1" applyFont="1" applyFill="1"/>
    <xf numFmtId="0" fontId="50" fillId="21" borderId="0" xfId="0" applyFont="1" applyFill="1" applyAlignment="1">
      <alignment horizontal="center"/>
    </xf>
    <xf numFmtId="2" fontId="45" fillId="28" borderId="0" xfId="0" applyNumberFormat="1" applyFont="1" applyFill="1"/>
    <xf numFmtId="2" fontId="50" fillId="28" borderId="0" xfId="0" applyNumberFormat="1" applyFont="1" applyFill="1"/>
    <xf numFmtId="3" fontId="20" fillId="25" borderId="22" xfId="1" applyNumberFormat="1" applyFont="1" applyFill="1" applyBorder="1" applyAlignment="1">
      <alignment vertical="center" wrapText="1"/>
    </xf>
    <xf numFmtId="3" fontId="20" fillId="25" borderId="23" xfId="1" applyNumberFormat="1" applyFont="1" applyFill="1" applyBorder="1" applyAlignment="1">
      <alignment vertical="center" wrapText="1"/>
    </xf>
    <xf numFmtId="3" fontId="20" fillId="25" borderId="24" xfId="1" applyNumberFormat="1" applyFont="1" applyFill="1" applyBorder="1" applyAlignment="1">
      <alignment vertical="center" wrapText="1"/>
    </xf>
    <xf numFmtId="3" fontId="20" fillId="25" borderId="0" xfId="1" applyNumberFormat="1" applyFont="1" applyFill="1" applyBorder="1" applyAlignment="1">
      <alignment vertical="center" wrapText="1"/>
    </xf>
    <xf numFmtId="0" fontId="28" fillId="2" borderId="0" xfId="0" applyFont="1" applyFill="1" applyAlignment="1">
      <alignment vertical="center" wrapText="1"/>
    </xf>
    <xf numFmtId="0" fontId="24" fillId="2" borderId="0" xfId="0" applyFont="1" applyFill="1" applyAlignment="1">
      <alignment wrapText="1"/>
    </xf>
    <xf numFmtId="0" fontId="3" fillId="2" borderId="0" xfId="0" applyFont="1" applyFill="1"/>
    <xf numFmtId="3" fontId="24" fillId="2" borderId="0" xfId="0" applyNumberFormat="1" applyFont="1" applyFill="1"/>
    <xf numFmtId="0" fontId="54" fillId="2" borderId="0" xfId="0" applyFont="1" applyFill="1"/>
    <xf numFmtId="0" fontId="32" fillId="2" borderId="0" xfId="0" applyFont="1" applyFill="1" applyAlignment="1">
      <alignment wrapText="1"/>
    </xf>
    <xf numFmtId="1" fontId="10" fillId="2" borderId="0" xfId="1" applyNumberFormat="1" applyFont="1" applyFill="1" applyBorder="1" applyAlignment="1">
      <alignment vertical="center"/>
    </xf>
    <xf numFmtId="167" fontId="20" fillId="2" borderId="0" xfId="1" applyNumberFormat="1" applyFont="1" applyFill="1" applyBorder="1" applyAlignment="1">
      <alignment vertical="center"/>
    </xf>
    <xf numFmtId="0" fontId="24" fillId="2" borderId="0" xfId="0" applyFont="1" applyFill="1" applyAlignment="1">
      <alignment vertical="center" wrapText="1"/>
    </xf>
    <xf numFmtId="165" fontId="44" fillId="2" borderId="0" xfId="1" applyNumberFormat="1" applyFont="1" applyFill="1" applyBorder="1" applyAlignment="1">
      <alignment vertical="center"/>
    </xf>
    <xf numFmtId="0" fontId="24" fillId="2" borderId="0" xfId="0" applyFont="1" applyFill="1" applyAlignment="1">
      <alignment horizontal="center" vertical="center"/>
    </xf>
    <xf numFmtId="0" fontId="43" fillId="0" borderId="0" xfId="0" applyFont="1" applyAlignment="1">
      <alignment horizontal="center" vertical="center"/>
    </xf>
    <xf numFmtId="0" fontId="24" fillId="0" borderId="0" xfId="0" applyFont="1" applyAlignment="1">
      <alignment horizontal="center" vertical="center"/>
    </xf>
    <xf numFmtId="0" fontId="4" fillId="0" borderId="1" xfId="0" applyFont="1" applyBorder="1" applyAlignment="1">
      <alignment vertical="center" wrapText="1"/>
    </xf>
    <xf numFmtId="166" fontId="29" fillId="24" borderId="5" xfId="1" applyNumberFormat="1" applyFont="1" applyFill="1" applyBorder="1" applyAlignment="1">
      <alignment vertical="center"/>
    </xf>
    <xf numFmtId="1" fontId="29" fillId="24" borderId="5" xfId="1" applyNumberFormat="1" applyFont="1" applyFill="1" applyBorder="1" applyAlignment="1">
      <alignment vertical="center"/>
    </xf>
    <xf numFmtId="0" fontId="28" fillId="10" borderId="2" xfId="0" applyFont="1" applyFill="1" applyBorder="1" applyAlignment="1">
      <alignment vertical="center"/>
    </xf>
    <xf numFmtId="1" fontId="29" fillId="24" borderId="4" xfId="1" applyNumberFormat="1" applyFont="1" applyFill="1" applyBorder="1" applyAlignment="1">
      <alignment vertical="center"/>
    </xf>
    <xf numFmtId="0" fontId="3" fillId="0" borderId="0" xfId="0" applyFont="1" applyAlignment="1">
      <alignment horizontal="center" vertical="center"/>
    </xf>
    <xf numFmtId="166" fontId="20" fillId="25" borderId="28" xfId="2" applyNumberFormat="1" applyFont="1" applyFill="1" applyBorder="1" applyAlignment="1">
      <alignment horizontal="center" vertical="center"/>
    </xf>
    <xf numFmtId="0" fontId="14" fillId="2" borderId="0" xfId="3" applyFont="1" applyFill="1" applyAlignment="1">
      <alignment horizontal="left" vertical="center"/>
    </xf>
    <xf numFmtId="0" fontId="14" fillId="2" borderId="47" xfId="3" applyFont="1" applyFill="1" applyBorder="1" applyAlignment="1">
      <alignment wrapText="1"/>
    </xf>
    <xf numFmtId="0" fontId="16" fillId="2" borderId="25" xfId="3" applyFont="1" applyFill="1" applyBorder="1" applyAlignment="1">
      <alignment vertical="center" wrapText="1"/>
    </xf>
    <xf numFmtId="0" fontId="3" fillId="2" borderId="0" xfId="0" applyFont="1" applyFill="1" applyAlignment="1">
      <alignment horizontal="center" vertical="center" wrapText="1"/>
    </xf>
    <xf numFmtId="3" fontId="3" fillId="2" borderId="0" xfId="0" applyNumberFormat="1" applyFont="1" applyFill="1"/>
    <xf numFmtId="3" fontId="51" fillId="2" borderId="0" xfId="0" applyNumberFormat="1" applyFont="1" applyFill="1"/>
    <xf numFmtId="0" fontId="51" fillId="2" borderId="0" xfId="0" applyFont="1" applyFill="1"/>
    <xf numFmtId="0" fontId="9" fillId="2" borderId="0" xfId="0" applyFont="1" applyFill="1"/>
    <xf numFmtId="0" fontId="14" fillId="2" borderId="0" xfId="3" applyFont="1" applyFill="1"/>
    <xf numFmtId="0" fontId="19" fillId="2" borderId="0" xfId="0" applyFont="1" applyFill="1"/>
    <xf numFmtId="3" fontId="19" fillId="2" borderId="0" xfId="0" applyNumberFormat="1" applyFont="1" applyFill="1" applyAlignment="1">
      <alignment horizontal="right" vertical="center"/>
    </xf>
    <xf numFmtId="3" fontId="19" fillId="2" borderId="0" xfId="0" applyNumberFormat="1" applyFont="1" applyFill="1" applyAlignment="1">
      <alignment horizontal="left" vertical="center" indent="1"/>
    </xf>
    <xf numFmtId="167" fontId="19" fillId="2" borderId="0" xfId="1" applyNumberFormat="1" applyFont="1" applyFill="1" applyBorder="1"/>
    <xf numFmtId="167" fontId="19" fillId="2" borderId="0" xfId="1" applyNumberFormat="1" applyFont="1" applyFill="1" applyBorder="1" applyAlignment="1">
      <alignment horizontal="left" indent="1"/>
    </xf>
    <xf numFmtId="0" fontId="19" fillId="2" borderId="0" xfId="0" applyFont="1" applyFill="1" applyAlignment="1">
      <alignment horizontal="left" indent="1"/>
    </xf>
    <xf numFmtId="4" fontId="20" fillId="2" borderId="0" xfId="1" applyNumberFormat="1" applyFont="1" applyFill="1" applyBorder="1" applyAlignment="1">
      <alignment vertical="center"/>
    </xf>
    <xf numFmtId="0" fontId="43" fillId="2" borderId="0" xfId="0" applyFont="1" applyFill="1" applyAlignment="1">
      <alignment horizontal="center" vertical="center"/>
    </xf>
    <xf numFmtId="3" fontId="20" fillId="2" borderId="0" xfId="1" applyNumberFormat="1" applyFont="1" applyFill="1" applyBorder="1" applyAlignment="1">
      <alignment vertical="center"/>
    </xf>
    <xf numFmtId="166" fontId="24" fillId="2" borderId="0" xfId="0" applyNumberFormat="1" applyFont="1" applyFill="1"/>
    <xf numFmtId="3" fontId="44" fillId="2" borderId="0" xfId="1" applyNumberFormat="1" applyFont="1" applyFill="1" applyBorder="1" applyAlignment="1">
      <alignment vertical="center"/>
    </xf>
    <xf numFmtId="165" fontId="20" fillId="2" borderId="0" xfId="1" applyNumberFormat="1" applyFont="1" applyFill="1" applyBorder="1" applyAlignment="1">
      <alignment vertical="center"/>
    </xf>
    <xf numFmtId="0" fontId="24" fillId="14" borderId="0" xfId="0" applyFont="1" applyFill="1" applyAlignment="1">
      <alignment horizontal="center" vertical="center" wrapText="1"/>
    </xf>
    <xf numFmtId="4" fontId="28" fillId="2" borderId="0" xfId="1" applyNumberFormat="1" applyFont="1" applyFill="1" applyBorder="1" applyAlignment="1">
      <alignment vertical="center"/>
    </xf>
    <xf numFmtId="9" fontId="20" fillId="2" borderId="0" xfId="2" applyFont="1" applyFill="1" applyBorder="1" applyAlignment="1">
      <alignment vertical="center"/>
    </xf>
    <xf numFmtId="3" fontId="28" fillId="2" borderId="0" xfId="1" applyNumberFormat="1" applyFont="1" applyFill="1" applyBorder="1" applyAlignment="1">
      <alignment vertical="center"/>
    </xf>
    <xf numFmtId="166" fontId="43" fillId="2" borderId="0" xfId="0" applyNumberFormat="1" applyFont="1" applyFill="1"/>
    <xf numFmtId="0" fontId="1" fillId="2" borderId="0" xfId="0" applyFont="1" applyFill="1" applyAlignment="1">
      <alignment horizontal="center" vertical="center" wrapText="1"/>
    </xf>
    <xf numFmtId="0" fontId="43" fillId="2" borderId="0" xfId="0" applyFont="1" applyFill="1"/>
    <xf numFmtId="0" fontId="20" fillId="2" borderId="0" xfId="0" applyFont="1" applyFill="1" applyAlignment="1">
      <alignment vertical="center"/>
    </xf>
    <xf numFmtId="0" fontId="26" fillId="2" borderId="0" xfId="3" applyFont="1" applyFill="1" applyBorder="1" applyAlignment="1">
      <alignment vertical="center"/>
    </xf>
    <xf numFmtId="0" fontId="26" fillId="2" borderId="0" xfId="3" applyFont="1" applyFill="1" applyBorder="1" applyAlignment="1">
      <alignment horizontal="center" vertical="center"/>
    </xf>
    <xf numFmtId="0" fontId="47" fillId="2" borderId="0" xfId="0" applyFont="1" applyFill="1" applyAlignment="1">
      <alignment horizontal="center" vertical="center"/>
    </xf>
    <xf numFmtId="1" fontId="4" fillId="2" borderId="0" xfId="1" applyNumberFormat="1" applyFont="1" applyFill="1" applyBorder="1" applyAlignment="1">
      <alignment vertical="center"/>
    </xf>
    <xf numFmtId="0" fontId="13" fillId="2" borderId="22" xfId="0" applyFont="1" applyFill="1" applyBorder="1" applyAlignment="1">
      <alignment vertical="center"/>
    </xf>
    <xf numFmtId="165" fontId="25" fillId="6" borderId="0" xfId="1" applyNumberFormat="1" applyFont="1" applyFill="1" applyBorder="1" applyAlignment="1">
      <alignment horizontal="center" vertical="center"/>
    </xf>
    <xf numFmtId="0" fontId="39" fillId="0" borderId="28" xfId="0" applyFont="1" applyBorder="1" applyAlignment="1">
      <alignment vertical="center"/>
    </xf>
    <xf numFmtId="0" fontId="39" fillId="0" borderId="28" xfId="0" applyFont="1" applyBorder="1" applyAlignment="1">
      <alignment horizontal="center" vertical="center"/>
    </xf>
    <xf numFmtId="4" fontId="24" fillId="2" borderId="0" xfId="0" applyNumberFormat="1" applyFont="1" applyFill="1"/>
    <xf numFmtId="4" fontId="43" fillId="2" borderId="0" xfId="0" applyNumberFormat="1" applyFont="1" applyFill="1"/>
    <xf numFmtId="0" fontId="45" fillId="32" borderId="0" xfId="0" applyFont="1" applyFill="1"/>
    <xf numFmtId="167" fontId="45" fillId="32" borderId="0" xfId="1" applyNumberFormat="1" applyFont="1" applyFill="1" applyBorder="1" applyAlignment="1">
      <alignment horizontal="left" indent="1"/>
    </xf>
    <xf numFmtId="0" fontId="45" fillId="32" borderId="0" xfId="0" applyFont="1" applyFill="1" applyAlignment="1">
      <alignment horizontal="left" indent="1"/>
    </xf>
    <xf numFmtId="0" fontId="50" fillId="32" borderId="0" xfId="0" applyFont="1" applyFill="1"/>
    <xf numFmtId="167" fontId="50" fillId="32" borderId="0" xfId="1" applyNumberFormat="1" applyFont="1" applyFill="1" applyBorder="1" applyAlignment="1">
      <alignment horizontal="left" indent="1"/>
    </xf>
    <xf numFmtId="0" fontId="50" fillId="32" borderId="0" xfId="0" applyFont="1" applyFill="1" applyAlignment="1">
      <alignment horizontal="left" indent="1"/>
    </xf>
    <xf numFmtId="0" fontId="19" fillId="5" borderId="0" xfId="0" applyFont="1" applyFill="1"/>
    <xf numFmtId="3" fontId="19" fillId="5" borderId="0" xfId="0" applyNumberFormat="1" applyFont="1" applyFill="1"/>
    <xf numFmtId="0" fontId="19" fillId="5" borderId="0" xfId="0" applyFont="1" applyFill="1" applyAlignment="1">
      <alignment horizontal="left" indent="1"/>
    </xf>
    <xf numFmtId="166" fontId="19" fillId="5" borderId="0" xfId="0" applyNumberFormat="1" applyFont="1" applyFill="1"/>
    <xf numFmtId="0" fontId="19" fillId="34" borderId="0" xfId="0" applyFont="1" applyFill="1"/>
    <xf numFmtId="167" fontId="19" fillId="34" borderId="0" xfId="1" applyNumberFormat="1" applyFont="1" applyFill="1" applyBorder="1"/>
    <xf numFmtId="167" fontId="19" fillId="34" borderId="0" xfId="1" applyNumberFormat="1" applyFont="1" applyFill="1" applyBorder="1" applyAlignment="1">
      <alignment horizontal="left" indent="1"/>
    </xf>
    <xf numFmtId="166" fontId="19" fillId="34" borderId="0" xfId="0" applyNumberFormat="1" applyFont="1" applyFill="1"/>
    <xf numFmtId="0" fontId="45" fillId="13" borderId="0" xfId="0" applyFont="1" applyFill="1"/>
    <xf numFmtId="167" fontId="45" fillId="13" borderId="0" xfId="1" applyNumberFormat="1" applyFont="1" applyFill="1" applyBorder="1"/>
    <xf numFmtId="167" fontId="45" fillId="13" borderId="0" xfId="1" applyNumberFormat="1" applyFont="1" applyFill="1" applyBorder="1" applyAlignment="1">
      <alignment horizontal="left" indent="1"/>
    </xf>
    <xf numFmtId="166" fontId="45" fillId="13" borderId="0" xfId="0" applyNumberFormat="1" applyFont="1" applyFill="1"/>
    <xf numFmtId="0" fontId="50" fillId="13" borderId="0" xfId="0" applyFont="1" applyFill="1"/>
    <xf numFmtId="167" fontId="50" fillId="13" borderId="0" xfId="1" applyNumberFormat="1" applyFont="1" applyFill="1" applyBorder="1"/>
    <xf numFmtId="166" fontId="50" fillId="13" borderId="0" xfId="0" applyNumberFormat="1" applyFont="1" applyFill="1"/>
    <xf numFmtId="0" fontId="19" fillId="34" borderId="0" xfId="0" applyFont="1" applyFill="1" applyAlignment="1">
      <alignment horizontal="left" indent="1"/>
    </xf>
    <xf numFmtId="0" fontId="45" fillId="13" borderId="0" xfId="0" applyFont="1" applyFill="1" applyAlignment="1">
      <alignment horizontal="left" indent="1"/>
    </xf>
    <xf numFmtId="0" fontId="50" fillId="13" borderId="0" xfId="0" applyFont="1" applyFill="1" applyAlignment="1">
      <alignment horizontal="left" indent="1"/>
    </xf>
    <xf numFmtId="0" fontId="19" fillId="29" borderId="0" xfId="0" applyFont="1" applyFill="1"/>
    <xf numFmtId="167" fontId="19" fillId="29" borderId="0" xfId="1" applyNumberFormat="1" applyFont="1" applyFill="1" applyBorder="1"/>
    <xf numFmtId="0" fontId="19" fillId="29" borderId="0" xfId="0" applyFont="1" applyFill="1" applyAlignment="1">
      <alignment horizontal="left" indent="1"/>
    </xf>
    <xf numFmtId="166" fontId="19" fillId="29" borderId="0" xfId="0" applyNumberFormat="1" applyFont="1" applyFill="1"/>
    <xf numFmtId="0" fontId="13" fillId="29" borderId="0" xfId="0" applyFont="1" applyFill="1"/>
    <xf numFmtId="167" fontId="13" fillId="29" borderId="0" xfId="1" applyNumberFormat="1" applyFont="1" applyFill="1" applyBorder="1"/>
    <xf numFmtId="0" fontId="13" fillId="29" borderId="0" xfId="0" applyFont="1" applyFill="1" applyAlignment="1">
      <alignment horizontal="left" indent="1"/>
    </xf>
    <xf numFmtId="166" fontId="13" fillId="29" borderId="0" xfId="0" applyNumberFormat="1" applyFont="1" applyFill="1"/>
    <xf numFmtId="167" fontId="19" fillId="5" borderId="0" xfId="1" applyNumberFormat="1" applyFont="1" applyFill="1" applyBorder="1" applyAlignment="1">
      <alignment horizontal="left" indent="1"/>
    </xf>
    <xf numFmtId="0" fontId="45" fillId="35" borderId="0" xfId="0" applyFont="1" applyFill="1"/>
    <xf numFmtId="168" fontId="45" fillId="35" borderId="0" xfId="1" applyNumberFormat="1" applyFont="1" applyFill="1" applyBorder="1"/>
    <xf numFmtId="174" fontId="45" fillId="35" borderId="0" xfId="1" applyNumberFormat="1" applyFont="1" applyFill="1" applyBorder="1" applyAlignment="1">
      <alignment horizontal="left" indent="1"/>
    </xf>
    <xf numFmtId="168" fontId="45" fillId="35" borderId="0" xfId="1" applyNumberFormat="1" applyFont="1" applyFill="1" applyBorder="1" applyAlignment="1">
      <alignment horizontal="left" indent="1"/>
    </xf>
    <xf numFmtId="167" fontId="12" fillId="36" borderId="0" xfId="1" applyNumberFormat="1" applyFont="1" applyFill="1" applyBorder="1"/>
    <xf numFmtId="0" fontId="12" fillId="36" borderId="29" xfId="0" applyFont="1" applyFill="1" applyBorder="1"/>
    <xf numFmtId="167" fontId="12" fillId="36" borderId="29" xfId="1" applyNumberFormat="1" applyFont="1" applyFill="1" applyBorder="1"/>
    <xf numFmtId="0" fontId="12" fillId="36" borderId="29" xfId="0" applyFont="1" applyFill="1" applyBorder="1" applyAlignment="1">
      <alignment horizontal="left" indent="1"/>
    </xf>
    <xf numFmtId="0" fontId="12" fillId="36" borderId="0" xfId="0" applyFont="1" applyFill="1"/>
    <xf numFmtId="0" fontId="12" fillId="36" borderId="0" xfId="0" applyFont="1" applyFill="1" applyAlignment="1">
      <alignment horizontal="left" indent="1"/>
    </xf>
    <xf numFmtId="0" fontId="12" fillId="36" borderId="30" xfId="0" applyFont="1" applyFill="1" applyBorder="1"/>
    <xf numFmtId="167" fontId="12" fillId="36" borderId="30" xfId="1" applyNumberFormat="1" applyFont="1" applyFill="1" applyBorder="1"/>
    <xf numFmtId="0" fontId="12" fillId="36" borderId="30" xfId="0" applyFont="1" applyFill="1" applyBorder="1" applyAlignment="1">
      <alignment horizontal="left" indent="1"/>
    </xf>
    <xf numFmtId="0" fontId="45" fillId="30" borderId="45" xfId="0" applyFont="1" applyFill="1" applyBorder="1"/>
    <xf numFmtId="167" fontId="45" fillId="30" borderId="45" xfId="1" applyNumberFormat="1" applyFont="1" applyFill="1" applyBorder="1"/>
    <xf numFmtId="167" fontId="45" fillId="30" borderId="45" xfId="1" applyNumberFormat="1" applyFont="1" applyFill="1" applyBorder="1" applyAlignment="1">
      <alignment horizontal="left" indent="1"/>
    </xf>
    <xf numFmtId="166" fontId="45" fillId="30" borderId="45" xfId="0" applyNumberFormat="1" applyFont="1" applyFill="1" applyBorder="1"/>
    <xf numFmtId="174" fontId="45" fillId="30" borderId="45" xfId="1" applyNumberFormat="1" applyFont="1" applyFill="1" applyBorder="1" applyAlignment="1">
      <alignment horizontal="left" indent="1"/>
    </xf>
    <xf numFmtId="0" fontId="45" fillId="33" borderId="28" xfId="0" applyFont="1" applyFill="1" applyBorder="1" applyAlignment="1">
      <alignment vertical="center" wrapText="1"/>
    </xf>
    <xf numFmtId="0" fontId="12" fillId="31" borderId="29" xfId="0" applyFont="1" applyFill="1" applyBorder="1"/>
    <xf numFmtId="2" fontId="12" fillId="31" borderId="29" xfId="0" applyNumberFormat="1" applyFont="1" applyFill="1" applyBorder="1"/>
    <xf numFmtId="0" fontId="12" fillId="31" borderId="29" xfId="0" applyFont="1" applyFill="1" applyBorder="1" applyAlignment="1">
      <alignment horizontal="center"/>
    </xf>
    <xf numFmtId="173" fontId="12" fillId="31" borderId="29" xfId="0" applyNumberFormat="1" applyFont="1" applyFill="1" applyBorder="1"/>
    <xf numFmtId="0" fontId="12" fillId="31" borderId="29" xfId="0" applyFont="1" applyFill="1" applyBorder="1" applyAlignment="1">
      <alignment horizontal="left" indent="1"/>
    </xf>
    <xf numFmtId="0" fontId="12" fillId="31" borderId="0" xfId="0" applyFont="1" applyFill="1"/>
    <xf numFmtId="2" fontId="12" fillId="31" borderId="0" xfId="0" applyNumberFormat="1" applyFont="1" applyFill="1"/>
    <xf numFmtId="0" fontId="12" fillId="31" borderId="0" xfId="0" applyFont="1" applyFill="1" applyAlignment="1">
      <alignment horizontal="center"/>
    </xf>
    <xf numFmtId="173" fontId="12" fillId="31" borderId="0" xfId="0" applyNumberFormat="1" applyFont="1" applyFill="1"/>
    <xf numFmtId="0" fontId="12" fillId="31" borderId="0" xfId="0" applyFont="1" applyFill="1" applyAlignment="1">
      <alignment horizontal="left" indent="1"/>
    </xf>
    <xf numFmtId="0" fontId="12" fillId="31" borderId="30" xfId="0" applyFont="1" applyFill="1" applyBorder="1"/>
    <xf numFmtId="2" fontId="12" fillId="31" borderId="30" xfId="0" applyNumberFormat="1" applyFont="1" applyFill="1" applyBorder="1"/>
    <xf numFmtId="0" fontId="12" fillId="31" borderId="30" xfId="0" applyFont="1" applyFill="1" applyBorder="1" applyAlignment="1">
      <alignment horizontal="center"/>
    </xf>
    <xf numFmtId="173" fontId="12" fillId="31" borderId="30" xfId="0" applyNumberFormat="1" applyFont="1" applyFill="1" applyBorder="1"/>
    <xf numFmtId="0" fontId="12" fillId="31" borderId="30" xfId="0" applyFont="1" applyFill="1" applyBorder="1" applyAlignment="1">
      <alignment horizontal="left" indent="1"/>
    </xf>
    <xf numFmtId="165" fontId="20" fillId="2" borderId="2" xfId="1" applyNumberFormat="1" applyFont="1" applyFill="1" applyBorder="1" applyAlignment="1">
      <alignment horizontal="left" vertical="center"/>
    </xf>
    <xf numFmtId="0" fontId="4" fillId="2" borderId="0" xfId="0" applyFont="1" applyFill="1" applyAlignment="1">
      <alignment horizontal="center" vertical="center" wrapText="1"/>
    </xf>
    <xf numFmtId="0" fontId="28" fillId="2" borderId="0" xfId="0" applyFont="1" applyFill="1" applyAlignment="1">
      <alignment horizontal="center" vertical="center" wrapText="1"/>
    </xf>
    <xf numFmtId="0" fontId="4" fillId="0" borderId="48" xfId="0" applyFont="1" applyBorder="1" applyAlignment="1">
      <alignment horizontal="center" vertical="center" wrapText="1"/>
    </xf>
    <xf numFmtId="0" fontId="44" fillId="2" borderId="0" xfId="0" applyFont="1" applyFill="1" applyAlignment="1">
      <alignment horizontal="center" vertical="center"/>
    </xf>
    <xf numFmtId="4" fontId="44" fillId="2" borderId="0" xfId="1" applyNumberFormat="1" applyFont="1" applyFill="1" applyBorder="1" applyAlignment="1">
      <alignment vertical="center"/>
    </xf>
    <xf numFmtId="0" fontId="44" fillId="0" borderId="0" xfId="0" applyFont="1" applyAlignment="1">
      <alignment horizontal="center" vertical="center"/>
    </xf>
    <xf numFmtId="0" fontId="19" fillId="2" borderId="0" xfId="0" applyFont="1" applyFill="1" applyAlignment="1">
      <alignment vertical="center"/>
    </xf>
    <xf numFmtId="0" fontId="9" fillId="16" borderId="0" xfId="0" applyFont="1" applyFill="1" applyAlignment="1">
      <alignment vertical="center"/>
    </xf>
    <xf numFmtId="165" fontId="25" fillId="6" borderId="23" xfId="1" applyNumberFormat="1" applyFont="1" applyFill="1" applyBorder="1" applyAlignment="1">
      <alignment horizontal="center" vertical="center"/>
    </xf>
    <xf numFmtId="10" fontId="3" fillId="2" borderId="0" xfId="0" applyNumberFormat="1" applyFont="1" applyFill="1" applyAlignment="1">
      <alignment vertical="center"/>
    </xf>
    <xf numFmtId="166" fontId="45" fillId="32" borderId="0" xfId="0" applyNumberFormat="1" applyFont="1" applyFill="1"/>
    <xf numFmtId="166" fontId="50" fillId="32" borderId="0" xfId="0" applyNumberFormat="1" applyFont="1" applyFill="1"/>
    <xf numFmtId="166" fontId="45" fillId="35" borderId="0" xfId="1" applyNumberFormat="1" applyFont="1" applyFill="1" applyBorder="1"/>
    <xf numFmtId="166" fontId="19" fillId="5" borderId="0" xfId="1" applyNumberFormat="1" applyFont="1" applyFill="1" applyBorder="1"/>
    <xf numFmtId="166" fontId="19" fillId="2" borderId="0" xfId="0" applyNumberFormat="1" applyFont="1" applyFill="1" applyAlignment="1">
      <alignment horizontal="right" vertical="center"/>
    </xf>
    <xf numFmtId="3" fontId="45" fillId="32" borderId="0" xfId="1" applyNumberFormat="1" applyFont="1" applyFill="1" applyBorder="1"/>
    <xf numFmtId="3" fontId="50" fillId="32" borderId="0" xfId="1" applyNumberFormat="1" applyFont="1" applyFill="1" applyBorder="1"/>
    <xf numFmtId="3" fontId="19" fillId="34" borderId="0" xfId="1" applyNumberFormat="1" applyFont="1" applyFill="1" applyBorder="1"/>
    <xf numFmtId="3" fontId="45" fillId="13" borderId="0" xfId="1" applyNumberFormat="1" applyFont="1" applyFill="1" applyBorder="1"/>
    <xf numFmtId="3" fontId="50" fillId="13" borderId="0" xfId="1" applyNumberFormat="1" applyFont="1" applyFill="1" applyBorder="1"/>
    <xf numFmtId="3" fontId="19" fillId="29" borderId="0" xfId="1" applyNumberFormat="1" applyFont="1" applyFill="1" applyBorder="1"/>
    <xf numFmtId="3" fontId="13" fillId="29" borderId="0" xfId="1" applyNumberFormat="1" applyFont="1" applyFill="1" applyBorder="1"/>
    <xf numFmtId="3" fontId="45" fillId="35" borderId="0" xfId="1" applyNumberFormat="1" applyFont="1" applyFill="1" applyBorder="1"/>
    <xf numFmtId="3" fontId="19" fillId="5" borderId="0" xfId="1" applyNumberFormat="1" applyFont="1" applyFill="1" applyBorder="1"/>
    <xf numFmtId="3" fontId="12" fillId="36" borderId="29" xfId="1" applyNumberFormat="1" applyFont="1" applyFill="1" applyBorder="1"/>
    <xf numFmtId="3" fontId="12" fillId="36" borderId="0" xfId="1" applyNumberFormat="1" applyFont="1" applyFill="1" applyBorder="1"/>
    <xf numFmtId="3" fontId="12" fillId="36" borderId="30" xfId="1" applyNumberFormat="1" applyFont="1" applyFill="1" applyBorder="1"/>
    <xf numFmtId="3" fontId="19" fillId="2" borderId="0" xfId="1" applyNumberFormat="1" applyFont="1" applyFill="1" applyBorder="1"/>
    <xf numFmtId="3" fontId="45" fillId="30" borderId="45" xfId="1" applyNumberFormat="1" applyFont="1" applyFill="1" applyBorder="1"/>
    <xf numFmtId="2" fontId="12" fillId="31" borderId="50" xfId="0" applyNumberFormat="1" applyFont="1" applyFill="1" applyBorder="1"/>
    <xf numFmtId="3" fontId="24" fillId="2" borderId="50" xfId="0" applyNumberFormat="1" applyFont="1" applyFill="1" applyBorder="1" applyAlignment="1">
      <alignment horizontal="right" vertical="center"/>
    </xf>
    <xf numFmtId="0" fontId="50" fillId="35" borderId="56" xfId="0" applyFont="1" applyFill="1" applyBorder="1"/>
    <xf numFmtId="3" fontId="50" fillId="35" borderId="41" xfId="1" applyNumberFormat="1" applyFont="1" applyFill="1" applyBorder="1"/>
    <xf numFmtId="168" fontId="50" fillId="35" borderId="41" xfId="1" applyNumberFormat="1" applyFont="1" applyFill="1" applyBorder="1"/>
    <xf numFmtId="174" fontId="50" fillId="35" borderId="41" xfId="1" applyNumberFormat="1" applyFont="1" applyFill="1" applyBorder="1" applyAlignment="1">
      <alignment horizontal="left" indent="1"/>
    </xf>
    <xf numFmtId="166" fontId="50" fillId="35" borderId="41" xfId="1" applyNumberFormat="1" applyFont="1" applyFill="1" applyBorder="1"/>
    <xf numFmtId="168" fontId="50" fillId="35" borderId="41" xfId="1" applyNumberFormat="1" applyFont="1" applyFill="1" applyBorder="1" applyAlignment="1">
      <alignment horizontal="left" indent="1"/>
    </xf>
    <xf numFmtId="0" fontId="19" fillId="5" borderId="57" xfId="0" applyFont="1" applyFill="1" applyBorder="1"/>
    <xf numFmtId="3" fontId="19" fillId="5" borderId="58" xfId="1" applyNumberFormat="1" applyFont="1" applyFill="1" applyBorder="1"/>
    <xf numFmtId="167" fontId="19" fillId="5" borderId="58" xfId="1" applyNumberFormat="1" applyFont="1" applyFill="1" applyBorder="1" applyAlignment="1">
      <alignment horizontal="left" indent="1"/>
    </xf>
    <xf numFmtId="166" fontId="19" fillId="5" borderId="58" xfId="1" applyNumberFormat="1" applyFont="1" applyFill="1" applyBorder="1"/>
    <xf numFmtId="0" fontId="45" fillId="35" borderId="60" xfId="0" applyFont="1" applyFill="1" applyBorder="1"/>
    <xf numFmtId="3" fontId="45" fillId="35" borderId="61" xfId="1" applyNumberFormat="1" applyFont="1" applyFill="1" applyBorder="1"/>
    <xf numFmtId="168" fontId="45" fillId="35" borderId="61" xfId="1" applyNumberFormat="1" applyFont="1" applyFill="1" applyBorder="1"/>
    <xf numFmtId="174" fontId="45" fillId="35" borderId="61" xfId="1" applyNumberFormat="1" applyFont="1" applyFill="1" applyBorder="1" applyAlignment="1">
      <alignment horizontal="left" indent="1"/>
    </xf>
    <xf numFmtId="166" fontId="45" fillId="35" borderId="61" xfId="1" applyNumberFormat="1" applyFont="1" applyFill="1" applyBorder="1"/>
    <xf numFmtId="168" fontId="45" fillId="35" borderId="61" xfId="1" applyNumberFormat="1" applyFont="1" applyFill="1" applyBorder="1" applyAlignment="1">
      <alignment horizontal="left" indent="1"/>
    </xf>
    <xf numFmtId="0" fontId="61" fillId="2" borderId="0" xfId="0" applyFont="1" applyFill="1" applyAlignment="1">
      <alignment horizontal="center" vertical="center" wrapText="1"/>
    </xf>
    <xf numFmtId="0" fontId="0" fillId="2" borderId="0" xfId="0" applyFill="1" applyAlignment="1">
      <alignment horizontal="center" vertical="center"/>
    </xf>
    <xf numFmtId="0" fontId="0" fillId="2" borderId="0" xfId="0" applyFill="1" applyAlignment="1">
      <alignment horizontal="left" vertical="center" textRotation="90" wrapText="1"/>
    </xf>
    <xf numFmtId="0" fontId="24" fillId="6" borderId="0" xfId="0" applyFont="1" applyFill="1" applyAlignment="1">
      <alignment horizontal="center" vertical="center" wrapText="1"/>
    </xf>
    <xf numFmtId="0" fontId="7" fillId="2" borderId="0" xfId="3" applyFill="1" applyAlignment="1">
      <alignment horizontal="center" vertical="center"/>
    </xf>
    <xf numFmtId="0" fontId="0" fillId="2" borderId="34" xfId="0" applyFill="1" applyBorder="1" applyAlignment="1">
      <alignment vertical="center"/>
    </xf>
    <xf numFmtId="0" fontId="63" fillId="0" borderId="13" xfId="0" applyFont="1" applyBorder="1" applyAlignment="1">
      <alignment vertical="center" wrapText="1"/>
    </xf>
    <xf numFmtId="0" fontId="63" fillId="0" borderId="13" xfId="0" applyFont="1" applyBorder="1" applyAlignment="1">
      <alignment vertical="center"/>
    </xf>
    <xf numFmtId="171" fontId="63" fillId="25" borderId="13" xfId="1" applyNumberFormat="1" applyFont="1" applyFill="1" applyBorder="1" applyAlignment="1">
      <alignment horizontal="right" vertical="center"/>
    </xf>
    <xf numFmtId="0" fontId="6" fillId="2" borderId="0" xfId="0" applyFont="1" applyFill="1" applyAlignment="1">
      <alignment vertical="center"/>
    </xf>
    <xf numFmtId="0" fontId="65" fillId="2" borderId="35" xfId="3" applyFont="1" applyFill="1" applyBorder="1" applyAlignment="1">
      <alignment vertical="center" wrapText="1"/>
    </xf>
    <xf numFmtId="0" fontId="65" fillId="2" borderId="11" xfId="3" applyFont="1" applyFill="1" applyBorder="1" applyAlignment="1">
      <alignment vertical="center" wrapText="1"/>
    </xf>
    <xf numFmtId="0" fontId="63" fillId="2" borderId="15" xfId="0" applyFont="1" applyFill="1" applyBorder="1" applyAlignment="1">
      <alignment vertical="center" wrapText="1"/>
    </xf>
    <xf numFmtId="4" fontId="63" fillId="25" borderId="15" xfId="1" applyNumberFormat="1" applyFont="1" applyFill="1" applyBorder="1" applyAlignment="1">
      <alignment vertical="center"/>
    </xf>
    <xf numFmtId="0" fontId="63" fillId="0" borderId="17" xfId="0" applyFont="1" applyBorder="1" applyAlignment="1">
      <alignment vertical="center" wrapText="1"/>
    </xf>
    <xf numFmtId="0" fontId="63" fillId="2" borderId="12" xfId="0" applyFont="1" applyFill="1" applyBorder="1" applyAlignment="1">
      <alignment vertical="center" wrapText="1"/>
    </xf>
    <xf numFmtId="0" fontId="63" fillId="0" borderId="13" xfId="0" quotePrefix="1" applyFont="1" applyBorder="1" applyAlignment="1">
      <alignment horizontal="center" vertical="center"/>
    </xf>
    <xf numFmtId="0" fontId="63" fillId="2" borderId="13" xfId="0" applyFont="1" applyFill="1" applyBorder="1" applyAlignment="1">
      <alignment vertical="center" wrapText="1"/>
    </xf>
    <xf numFmtId="0" fontId="68" fillId="2" borderId="13" xfId="0" applyFont="1" applyFill="1" applyBorder="1" applyAlignment="1">
      <alignment vertical="center" wrapText="1"/>
    </xf>
    <xf numFmtId="0" fontId="68" fillId="0" borderId="17" xfId="0" applyFont="1" applyBorder="1" applyAlignment="1">
      <alignment vertical="center" wrapText="1"/>
    </xf>
    <xf numFmtId="0" fontId="68" fillId="0" borderId="17" xfId="0" quotePrefix="1" applyFont="1" applyBorder="1" applyAlignment="1">
      <alignment horizontal="center" vertical="center"/>
    </xf>
    <xf numFmtId="4" fontId="68" fillId="25" borderId="17" xfId="1" applyNumberFormat="1" applyFont="1" applyFill="1" applyBorder="1" applyAlignment="1">
      <alignment vertical="center"/>
    </xf>
    <xf numFmtId="0" fontId="68" fillId="2" borderId="11" xfId="0" applyFont="1" applyFill="1" applyBorder="1" applyAlignment="1">
      <alignment vertical="center" wrapText="1"/>
    </xf>
    <xf numFmtId="0" fontId="69" fillId="0" borderId="13" xfId="0" applyFont="1" applyBorder="1" applyAlignment="1">
      <alignment vertical="center"/>
    </xf>
    <xf numFmtId="0" fontId="69" fillId="0" borderId="13" xfId="0" quotePrefix="1" applyFont="1" applyBorder="1" applyAlignment="1">
      <alignment horizontal="center" vertical="center"/>
    </xf>
    <xf numFmtId="43" fontId="69" fillId="24" borderId="14" xfId="1" applyFont="1" applyFill="1" applyBorder="1" applyAlignment="1">
      <alignment vertical="center"/>
    </xf>
    <xf numFmtId="0" fontId="24" fillId="6" borderId="0" xfId="0" applyFont="1" applyFill="1" applyAlignment="1">
      <alignment horizontal="center" vertical="center"/>
    </xf>
    <xf numFmtId="0" fontId="0" fillId="0" borderId="0" xfId="0" applyAlignment="1">
      <alignment horizontal="center" vertical="center"/>
    </xf>
    <xf numFmtId="0" fontId="63" fillId="0" borderId="12" xfId="0" applyFont="1" applyBorder="1" applyAlignment="1">
      <alignment vertical="center"/>
    </xf>
    <xf numFmtId="0" fontId="63" fillId="0" borderId="17" xfId="0" applyFont="1" applyBorder="1" applyAlignment="1">
      <alignment horizontal="left" vertical="center"/>
    </xf>
    <xf numFmtId="0" fontId="64" fillId="10" borderId="26" xfId="0" applyFont="1" applyFill="1" applyBorder="1" applyAlignment="1">
      <alignment vertical="center"/>
    </xf>
    <xf numFmtId="0" fontId="21" fillId="10" borderId="37" xfId="0" applyFont="1" applyFill="1" applyBorder="1" applyAlignment="1">
      <alignment vertical="center"/>
    </xf>
    <xf numFmtId="0" fontId="64" fillId="2" borderId="0" xfId="0" applyFont="1" applyFill="1" applyAlignment="1">
      <alignment vertical="center" wrapText="1"/>
    </xf>
    <xf numFmtId="0" fontId="64" fillId="10" borderId="8" xfId="0" applyFont="1" applyFill="1" applyBorder="1" applyAlignment="1">
      <alignment horizontal="center" vertical="center" wrapText="1"/>
    </xf>
    <xf numFmtId="0" fontId="64" fillId="10" borderId="8" xfId="0" applyFont="1" applyFill="1" applyBorder="1" applyAlignment="1">
      <alignment vertical="center" wrapText="1"/>
    </xf>
    <xf numFmtId="0" fontId="71" fillId="10" borderId="8" xfId="0" applyFont="1" applyFill="1" applyBorder="1" applyAlignment="1">
      <alignment vertical="center" wrapText="1"/>
    </xf>
    <xf numFmtId="0" fontId="72" fillId="2" borderId="0" xfId="0" applyFont="1" applyFill="1" applyAlignment="1">
      <alignment vertical="center"/>
    </xf>
    <xf numFmtId="0" fontId="68" fillId="0" borderId="12" xfId="0" applyFont="1" applyBorder="1" applyAlignment="1">
      <alignment horizontal="center" vertical="center"/>
    </xf>
    <xf numFmtId="0" fontId="63" fillId="2" borderId="12" xfId="0" applyFont="1" applyFill="1" applyBorder="1" applyAlignment="1">
      <alignment vertical="center"/>
    </xf>
    <xf numFmtId="0" fontId="63" fillId="0" borderId="13" xfId="0" applyFont="1" applyBorder="1" applyAlignment="1">
      <alignment horizontal="center" vertical="center"/>
    </xf>
    <xf numFmtId="1" fontId="63" fillId="24" borderId="13" xfId="1" applyNumberFormat="1" applyFont="1" applyFill="1" applyBorder="1" applyAlignment="1">
      <alignment horizontal="right" vertical="center"/>
    </xf>
    <xf numFmtId="0" fontId="63" fillId="2" borderId="13" xfId="0" applyFont="1" applyFill="1" applyBorder="1" applyAlignment="1">
      <alignment vertical="center"/>
    </xf>
    <xf numFmtId="0" fontId="63" fillId="0" borderId="13" xfId="0" applyFont="1" applyBorder="1" applyAlignment="1">
      <alignment horizontal="center" vertical="center" wrapText="1"/>
    </xf>
    <xf numFmtId="0" fontId="63" fillId="0" borderId="13" xfId="0" applyFont="1" applyBorder="1" applyAlignment="1">
      <alignment horizontal="left" vertical="center" indent="1"/>
    </xf>
    <xf numFmtId="0" fontId="63" fillId="0" borderId="14" xfId="0" applyFont="1" applyBorder="1" applyAlignment="1">
      <alignment vertical="center"/>
    </xf>
    <xf numFmtId="0" fontId="63" fillId="0" borderId="14" xfId="0" applyFont="1" applyBorder="1" applyAlignment="1">
      <alignment horizontal="center" vertical="center"/>
    </xf>
    <xf numFmtId="1" fontId="63" fillId="8" borderId="14" xfId="0" applyNumberFormat="1" applyFont="1" applyFill="1" applyBorder="1" applyAlignment="1">
      <alignment horizontal="right" vertical="center" wrapText="1"/>
    </xf>
    <xf numFmtId="0" fontId="63" fillId="2" borderId="14" xfId="0" applyFont="1" applyFill="1" applyBorder="1" applyAlignment="1">
      <alignment vertical="center"/>
    </xf>
    <xf numFmtId="0" fontId="63" fillId="2" borderId="14" xfId="0" applyFont="1" applyFill="1" applyBorder="1" applyAlignment="1">
      <alignment vertical="center" wrapText="1"/>
    </xf>
    <xf numFmtId="167" fontId="63" fillId="24" borderId="14" xfId="1" applyNumberFormat="1" applyFont="1" applyFill="1" applyBorder="1" applyAlignment="1">
      <alignment horizontal="right" vertical="center"/>
    </xf>
    <xf numFmtId="0" fontId="63" fillId="0" borderId="14" xfId="0" applyFont="1" applyBorder="1" applyAlignment="1">
      <alignment vertical="center" wrapText="1"/>
    </xf>
    <xf numFmtId="167" fontId="63" fillId="24" borderId="13" xfId="1" applyNumberFormat="1" applyFont="1" applyFill="1" applyBorder="1" applyAlignment="1">
      <alignment horizontal="right" vertical="center"/>
    </xf>
    <xf numFmtId="0" fontId="63" fillId="0" borderId="0" xfId="0" applyFont="1" applyAlignment="1">
      <alignment vertical="center"/>
    </xf>
    <xf numFmtId="0" fontId="63" fillId="0" borderId="0" xfId="0" applyFont="1" applyAlignment="1">
      <alignment horizontal="center" vertical="center"/>
    </xf>
    <xf numFmtId="9" fontId="63" fillId="24" borderId="13" xfId="2" applyFont="1" applyFill="1" applyBorder="1" applyAlignment="1">
      <alignment horizontal="right" vertical="center"/>
    </xf>
    <xf numFmtId="0" fontId="63" fillId="2" borderId="0" xfId="0" applyFont="1" applyFill="1" applyAlignment="1">
      <alignment vertical="center"/>
    </xf>
    <xf numFmtId="0" fontId="63" fillId="0" borderId="0" xfId="0" applyFont="1" applyAlignment="1">
      <alignment vertical="center" wrapText="1"/>
    </xf>
    <xf numFmtId="0" fontId="63" fillId="0" borderId="15" xfId="0" applyFont="1" applyBorder="1" applyAlignment="1">
      <alignment vertical="center"/>
    </xf>
    <xf numFmtId="0" fontId="63" fillId="0" borderId="15" xfId="0" applyFont="1" applyBorder="1" applyAlignment="1">
      <alignment horizontal="center" vertical="center"/>
    </xf>
    <xf numFmtId="170" fontId="63" fillId="24" borderId="15" xfId="1" applyNumberFormat="1" applyFont="1" applyFill="1" applyBorder="1" applyAlignment="1">
      <alignment horizontal="right" vertical="center"/>
    </xf>
    <xf numFmtId="0" fontId="65" fillId="2" borderId="15" xfId="3" applyFont="1" applyFill="1" applyBorder="1" applyAlignment="1">
      <alignment vertical="center" wrapText="1"/>
    </xf>
    <xf numFmtId="170" fontId="63" fillId="3" borderId="15" xfId="1" applyNumberFormat="1" applyFont="1" applyFill="1" applyBorder="1" applyAlignment="1">
      <alignment horizontal="right" vertical="center"/>
    </xf>
    <xf numFmtId="0" fontId="6" fillId="2" borderId="0" xfId="0" applyFont="1" applyFill="1" applyAlignment="1">
      <alignment horizontal="left" vertical="center"/>
    </xf>
    <xf numFmtId="0" fontId="63" fillId="0" borderId="16" xfId="0" applyFont="1" applyBorder="1" applyAlignment="1">
      <alignment horizontal="left" vertical="center"/>
    </xf>
    <xf numFmtId="0" fontId="63" fillId="0" borderId="16" xfId="0" applyFont="1" applyBorder="1" applyAlignment="1">
      <alignment horizontal="center" vertical="center"/>
    </xf>
    <xf numFmtId="0" fontId="63" fillId="2" borderId="16" xfId="0" applyFont="1" applyFill="1" applyBorder="1" applyAlignment="1">
      <alignment horizontal="left" vertical="center"/>
    </xf>
    <xf numFmtId="0" fontId="63" fillId="0" borderId="16" xfId="0" applyFont="1" applyBorder="1" applyAlignment="1">
      <alignment horizontal="left" vertical="center" wrapText="1"/>
    </xf>
    <xf numFmtId="0" fontId="64" fillId="10" borderId="7" xfId="0" applyFont="1" applyFill="1" applyBorder="1" applyAlignment="1">
      <alignment horizontal="left" vertical="center" wrapText="1"/>
    </xf>
    <xf numFmtId="0" fontId="64" fillId="10" borderId="7" xfId="0" applyFont="1" applyFill="1" applyBorder="1" applyAlignment="1">
      <alignment horizontal="center" vertical="center" wrapText="1"/>
    </xf>
    <xf numFmtId="0" fontId="64" fillId="10" borderId="7" xfId="0" applyFont="1" applyFill="1" applyBorder="1" applyAlignment="1">
      <alignment vertical="center" wrapText="1"/>
    </xf>
    <xf numFmtId="0" fontId="71" fillId="10" borderId="7" xfId="0" applyFont="1" applyFill="1" applyBorder="1" applyAlignment="1">
      <alignment vertical="center" wrapText="1"/>
    </xf>
    <xf numFmtId="0" fontId="68" fillId="0" borderId="0" xfId="0" applyFont="1" applyAlignment="1">
      <alignment horizontal="center" vertical="center"/>
    </xf>
    <xf numFmtId="167" fontId="63" fillId="24" borderId="13" xfId="1" applyNumberFormat="1" applyFont="1" applyFill="1" applyBorder="1" applyAlignment="1">
      <alignment horizontal="left" vertical="center" indent="1"/>
    </xf>
    <xf numFmtId="3" fontId="63" fillId="2" borderId="0" xfId="0" applyNumberFormat="1" applyFont="1" applyFill="1" applyAlignment="1">
      <alignment vertical="center" wrapText="1"/>
    </xf>
    <xf numFmtId="0" fontId="63" fillId="0" borderId="15" xfId="0" applyFont="1" applyBorder="1" applyAlignment="1">
      <alignment horizontal="left" vertical="center" indent="2"/>
    </xf>
    <xf numFmtId="3" fontId="63" fillId="25" borderId="15" xfId="1" applyNumberFormat="1" applyFont="1" applyFill="1" applyBorder="1" applyAlignment="1">
      <alignment vertical="center"/>
    </xf>
    <xf numFmtId="0" fontId="63" fillId="2" borderId="15" xfId="0" applyFont="1" applyFill="1" applyBorder="1" applyAlignment="1">
      <alignment vertical="center"/>
    </xf>
    <xf numFmtId="167" fontId="63" fillId="24" borderId="13" xfId="1" applyNumberFormat="1" applyFont="1" applyFill="1" applyBorder="1" applyAlignment="1">
      <alignment vertical="center"/>
    </xf>
    <xf numFmtId="3" fontId="63" fillId="2" borderId="15" xfId="0" applyNumberFormat="1" applyFont="1" applyFill="1" applyBorder="1" applyAlignment="1">
      <alignment vertical="center" wrapText="1"/>
    </xf>
    <xf numFmtId="0" fontId="63" fillId="0" borderId="15" xfId="0" applyFont="1" applyBorder="1" applyAlignment="1">
      <alignment horizontal="left" vertical="center"/>
    </xf>
    <xf numFmtId="0" fontId="63" fillId="0" borderId="15" xfId="0" applyFont="1" applyBorder="1" applyAlignment="1">
      <alignment horizontal="left" vertical="center" wrapText="1" indent="2"/>
    </xf>
    <xf numFmtId="0" fontId="63" fillId="0" borderId="15" xfId="0" applyFont="1" applyBorder="1" applyAlignment="1">
      <alignment horizontal="center" vertical="center" wrapText="1"/>
    </xf>
    <xf numFmtId="0" fontId="63" fillId="0" borderId="16" xfId="0" applyFont="1" applyBorder="1" applyAlignment="1">
      <alignment horizontal="center" vertical="center" wrapText="1"/>
    </xf>
    <xf numFmtId="167" fontId="63" fillId="24" borderId="16" xfId="1" applyNumberFormat="1" applyFont="1" applyFill="1" applyBorder="1" applyAlignment="1">
      <alignment vertical="center"/>
    </xf>
    <xf numFmtId="0" fontId="63" fillId="2" borderId="16" xfId="0" applyFont="1" applyFill="1" applyBorder="1" applyAlignment="1">
      <alignment vertical="center"/>
    </xf>
    <xf numFmtId="0" fontId="63" fillId="2" borderId="16" xfId="0" applyFont="1" applyFill="1" applyBorder="1" applyAlignment="1">
      <alignment vertical="center" wrapText="1"/>
    </xf>
    <xf numFmtId="0" fontId="63" fillId="10" borderId="8" xfId="0" applyFont="1" applyFill="1" applyBorder="1" applyAlignment="1">
      <alignment horizontal="center" vertical="center" wrapText="1"/>
    </xf>
    <xf numFmtId="0" fontId="63" fillId="10" borderId="8" xfId="0" applyFont="1" applyFill="1" applyBorder="1" applyAlignment="1">
      <alignment vertical="center" wrapText="1"/>
    </xf>
    <xf numFmtId="0" fontId="63" fillId="0" borderId="15" xfId="0" applyFont="1" applyBorder="1" applyAlignment="1">
      <alignment vertical="center" wrapText="1"/>
    </xf>
    <xf numFmtId="169" fontId="63" fillId="24" borderId="13" xfId="1" applyNumberFormat="1" applyFont="1" applyFill="1" applyBorder="1" applyAlignment="1">
      <alignment vertical="center"/>
    </xf>
    <xf numFmtId="0" fontId="72" fillId="2" borderId="11" xfId="0" applyFont="1" applyFill="1" applyBorder="1" applyAlignment="1">
      <alignment vertical="center"/>
    </xf>
    <xf numFmtId="0" fontId="59" fillId="2" borderId="11" xfId="0" applyFont="1" applyFill="1" applyBorder="1" applyAlignment="1">
      <alignment vertical="center"/>
    </xf>
    <xf numFmtId="0" fontId="64" fillId="10" borderId="9" xfId="0" applyFont="1" applyFill="1" applyBorder="1" applyAlignment="1">
      <alignment vertical="center" wrapText="1"/>
    </xf>
    <xf numFmtId="0" fontId="71" fillId="10" borderId="9" xfId="0" applyFont="1" applyFill="1" applyBorder="1" applyAlignment="1">
      <alignment vertical="center" wrapText="1"/>
    </xf>
    <xf numFmtId="0" fontId="71" fillId="2" borderId="0" xfId="0" applyFont="1" applyFill="1" applyAlignment="1">
      <alignment vertical="center" wrapText="1"/>
    </xf>
    <xf numFmtId="0" fontId="63" fillId="2" borderId="0" xfId="0" applyFont="1" applyFill="1" applyAlignment="1">
      <alignment vertical="center" wrapText="1"/>
    </xf>
    <xf numFmtId="0" fontId="63" fillId="0" borderId="16" xfId="0" applyFont="1" applyBorder="1" applyAlignment="1">
      <alignment vertical="center"/>
    </xf>
    <xf numFmtId="0" fontId="63" fillId="10" borderId="7" xfId="0" applyFont="1" applyFill="1" applyBorder="1" applyAlignment="1">
      <alignment horizontal="center" vertical="center" wrapText="1"/>
    </xf>
    <xf numFmtId="0" fontId="63" fillId="10" borderId="7" xfId="0" applyFont="1" applyFill="1" applyBorder="1" applyAlignment="1">
      <alignment vertical="center" wrapText="1"/>
    </xf>
    <xf numFmtId="167" fontId="63" fillId="24" borderId="0" xfId="1" applyNumberFormat="1" applyFont="1" applyFill="1" applyBorder="1" applyAlignment="1">
      <alignment vertical="center"/>
    </xf>
    <xf numFmtId="167" fontId="63" fillId="24" borderId="15" xfId="1" applyNumberFormat="1" applyFont="1" applyFill="1" applyBorder="1" applyAlignment="1">
      <alignment vertical="center"/>
    </xf>
    <xf numFmtId="167" fontId="63" fillId="25" borderId="15" xfId="1" applyNumberFormat="1" applyFont="1" applyFill="1" applyBorder="1" applyAlignment="1">
      <alignment vertical="center"/>
    </xf>
    <xf numFmtId="0" fontId="63" fillId="0" borderId="13" xfId="0" applyFont="1" applyBorder="1" applyAlignment="1">
      <alignment horizontal="left" vertical="center" indent="2"/>
    </xf>
    <xf numFmtId="3" fontId="63" fillId="25" borderId="13" xfId="1" applyNumberFormat="1" applyFont="1" applyFill="1" applyBorder="1" applyAlignment="1">
      <alignment vertical="center"/>
    </xf>
    <xf numFmtId="3" fontId="63" fillId="2" borderId="13" xfId="0" applyNumberFormat="1" applyFont="1" applyFill="1" applyBorder="1" applyAlignment="1">
      <alignment vertical="center" wrapText="1"/>
    </xf>
    <xf numFmtId="0" fontId="6" fillId="2" borderId="11" xfId="0" applyFont="1" applyFill="1" applyBorder="1" applyAlignment="1">
      <alignment vertical="center"/>
    </xf>
    <xf numFmtId="0" fontId="63" fillId="0" borderId="11" xfId="0" applyFont="1" applyBorder="1" applyAlignment="1">
      <alignment vertical="center"/>
    </xf>
    <xf numFmtId="0" fontId="63" fillId="0" borderId="11" xfId="0" applyFont="1" applyBorder="1" applyAlignment="1">
      <alignment horizontal="center" vertical="center"/>
    </xf>
    <xf numFmtId="167" fontId="71" fillId="24" borderId="11" xfId="1" applyNumberFormat="1" applyFont="1" applyFill="1" applyBorder="1" applyAlignment="1">
      <alignment vertical="center"/>
    </xf>
    <xf numFmtId="0" fontId="63" fillId="2" borderId="17" xfId="0" applyFont="1" applyFill="1" applyBorder="1" applyAlignment="1">
      <alignment vertical="center" wrapText="1"/>
    </xf>
    <xf numFmtId="0" fontId="63" fillId="0" borderId="17" xfId="0" applyFont="1" applyBorder="1" applyAlignment="1">
      <alignment vertical="center"/>
    </xf>
    <xf numFmtId="0" fontId="63" fillId="0" borderId="17" xfId="0" applyFont="1" applyBorder="1" applyAlignment="1">
      <alignment horizontal="center" vertical="center"/>
    </xf>
    <xf numFmtId="3" fontId="63" fillId="25" borderId="17" xfId="1" applyNumberFormat="1" applyFont="1" applyFill="1" applyBorder="1" applyAlignment="1">
      <alignment vertical="center"/>
    </xf>
    <xf numFmtId="0" fontId="63" fillId="2" borderId="17" xfId="0" applyFont="1" applyFill="1" applyBorder="1" applyAlignment="1">
      <alignment vertical="center"/>
    </xf>
    <xf numFmtId="169" fontId="63" fillId="24" borderId="0" xfId="1" applyNumberFormat="1" applyFont="1" applyFill="1" applyBorder="1" applyAlignment="1">
      <alignment vertical="center"/>
    </xf>
    <xf numFmtId="3" fontId="63" fillId="2" borderId="17" xfId="0" applyNumberFormat="1" applyFont="1" applyFill="1" applyBorder="1" applyAlignment="1">
      <alignment vertical="center" wrapText="1"/>
    </xf>
    <xf numFmtId="167" fontId="63" fillId="24" borderId="17" xfId="1" applyNumberFormat="1" applyFont="1" applyFill="1" applyBorder="1" applyAlignment="1">
      <alignment vertical="center"/>
    </xf>
    <xf numFmtId="167" fontId="71" fillId="24" borderId="0" xfId="1" applyNumberFormat="1" applyFont="1" applyFill="1" applyBorder="1" applyAlignment="1">
      <alignment vertical="center"/>
    </xf>
    <xf numFmtId="167" fontId="71" fillId="24" borderId="17" xfId="1" applyNumberFormat="1" applyFont="1" applyFill="1" applyBorder="1" applyAlignment="1">
      <alignment vertical="center"/>
    </xf>
    <xf numFmtId="0" fontId="6" fillId="2" borderId="0" xfId="0" applyFont="1" applyFill="1" applyAlignment="1">
      <alignment horizontal="center" vertical="center"/>
    </xf>
    <xf numFmtId="0" fontId="67" fillId="2" borderId="0" xfId="0" applyFont="1" applyFill="1" applyAlignment="1">
      <alignment vertical="center" wrapText="1"/>
    </xf>
    <xf numFmtId="0" fontId="63" fillId="0" borderId="12" xfId="0" applyFont="1" applyBorder="1" applyAlignment="1">
      <alignment horizontal="center" vertical="center"/>
    </xf>
    <xf numFmtId="167" fontId="63" fillId="24" borderId="12" xfId="1" applyNumberFormat="1" applyFont="1" applyFill="1" applyBorder="1" applyAlignment="1">
      <alignment vertical="center"/>
    </xf>
    <xf numFmtId="3" fontId="63" fillId="2" borderId="12" xfId="0" applyNumberFormat="1" applyFont="1" applyFill="1" applyBorder="1" applyAlignment="1">
      <alignment vertical="center" wrapText="1"/>
    </xf>
    <xf numFmtId="0" fontId="63" fillId="8" borderId="0" xfId="0" applyFont="1" applyFill="1" applyAlignment="1">
      <alignment vertical="center" wrapText="1"/>
    </xf>
    <xf numFmtId="0" fontId="63" fillId="8" borderId="0" xfId="0" applyFont="1" applyFill="1" applyAlignment="1">
      <alignment horizontal="center" vertical="center" wrapText="1"/>
    </xf>
    <xf numFmtId="169" fontId="63" fillId="24" borderId="12" xfId="1" applyNumberFormat="1" applyFont="1" applyFill="1" applyBorder="1" applyAlignment="1">
      <alignment vertical="center"/>
    </xf>
    <xf numFmtId="169" fontId="63" fillId="24" borderId="14" xfId="1" applyNumberFormat="1" applyFont="1" applyFill="1" applyBorder="1" applyAlignment="1">
      <alignment vertical="center"/>
    </xf>
    <xf numFmtId="165" fontId="63" fillId="25" borderId="0" xfId="1" applyNumberFormat="1" applyFont="1" applyFill="1" applyBorder="1" applyAlignment="1">
      <alignment vertical="center"/>
    </xf>
    <xf numFmtId="165" fontId="63" fillId="25" borderId="13" xfId="1" applyNumberFormat="1" applyFont="1" applyFill="1" applyBorder="1" applyAlignment="1">
      <alignment vertical="center"/>
    </xf>
    <xf numFmtId="171" fontId="63" fillId="25" borderId="11" xfId="1" applyNumberFormat="1" applyFont="1" applyFill="1" applyBorder="1" applyAlignment="1">
      <alignment vertical="center"/>
    </xf>
    <xf numFmtId="0" fontId="63" fillId="2" borderId="11" xfId="0" applyFont="1" applyFill="1" applyBorder="1" applyAlignment="1">
      <alignment vertical="center"/>
    </xf>
    <xf numFmtId="0" fontId="63" fillId="2" borderId="11" xfId="0" applyFont="1" applyFill="1" applyBorder="1" applyAlignment="1">
      <alignment vertical="center" wrapText="1"/>
    </xf>
    <xf numFmtId="0" fontId="64" fillId="10" borderId="7" xfId="0" applyFont="1" applyFill="1" applyBorder="1" applyAlignment="1">
      <alignment vertical="center"/>
    </xf>
    <xf numFmtId="0" fontId="64" fillId="10" borderId="7" xfId="0" applyFont="1" applyFill="1" applyBorder="1" applyAlignment="1">
      <alignment horizontal="left" vertical="center"/>
    </xf>
    <xf numFmtId="0" fontId="63" fillId="0" borderId="12" xfId="0" applyFont="1" applyBorder="1" applyAlignment="1">
      <alignment horizontal="left" vertical="center"/>
    </xf>
    <xf numFmtId="9" fontId="63" fillId="25" borderId="12" xfId="2" applyFont="1" applyFill="1" applyBorder="1" applyAlignment="1">
      <alignment horizontal="center" vertical="center"/>
    </xf>
    <xf numFmtId="0" fontId="63" fillId="0" borderId="13" xfId="0" applyFont="1" applyBorder="1" applyAlignment="1">
      <alignment horizontal="left" vertical="center"/>
    </xf>
    <xf numFmtId="9" fontId="63" fillId="25" borderId="13" xfId="2" applyFont="1" applyFill="1" applyBorder="1" applyAlignment="1">
      <alignment horizontal="center" vertical="center"/>
    </xf>
    <xf numFmtId="9" fontId="63" fillId="2" borderId="13" xfId="2" applyFont="1" applyFill="1" applyBorder="1" applyAlignment="1">
      <alignment horizontal="center" vertical="center"/>
    </xf>
    <xf numFmtId="0" fontId="67" fillId="2" borderId="13" xfId="0" applyFont="1" applyFill="1" applyBorder="1" applyAlignment="1">
      <alignment vertical="center" wrapText="1"/>
    </xf>
    <xf numFmtId="4" fontId="63" fillId="25" borderId="0" xfId="1" applyNumberFormat="1" applyFont="1" applyFill="1" applyBorder="1" applyAlignment="1">
      <alignment vertical="center"/>
    </xf>
    <xf numFmtId="9" fontId="63" fillId="25" borderId="0" xfId="2" applyFont="1" applyFill="1" applyBorder="1" applyAlignment="1">
      <alignment horizontal="center" vertical="center"/>
    </xf>
    <xf numFmtId="0" fontId="63" fillId="2" borderId="17" xfId="0" applyFont="1" applyFill="1" applyBorder="1" applyAlignment="1">
      <alignment horizontal="center" vertical="center" wrapText="1"/>
    </xf>
    <xf numFmtId="167" fontId="63" fillId="24" borderId="20" xfId="1" applyNumberFormat="1" applyFont="1" applyFill="1" applyBorder="1" applyAlignment="1">
      <alignment vertical="center"/>
    </xf>
    <xf numFmtId="0" fontId="64" fillId="10" borderId="26" xfId="0" applyFont="1" applyFill="1" applyBorder="1" applyAlignment="1">
      <alignment horizontal="center" vertical="center"/>
    </xf>
    <xf numFmtId="169" fontId="63" fillId="24" borderId="17" xfId="1" applyNumberFormat="1" applyFont="1" applyFill="1" applyBorder="1" applyAlignment="1">
      <alignment vertical="center"/>
    </xf>
    <xf numFmtId="0" fontId="38" fillId="10" borderId="26" xfId="0" applyFont="1" applyFill="1" applyBorder="1" applyAlignment="1">
      <alignment vertical="center"/>
    </xf>
    <xf numFmtId="0" fontId="0" fillId="2" borderId="0" xfId="0" applyFill="1" applyAlignment="1">
      <alignment vertical="center" wrapText="1"/>
    </xf>
    <xf numFmtId="0" fontId="21" fillId="10" borderId="7" xfId="0" applyFont="1" applyFill="1" applyBorder="1" applyAlignment="1">
      <alignment vertical="center"/>
    </xf>
    <xf numFmtId="0" fontId="38" fillId="10" borderId="9" xfId="0" applyFont="1" applyFill="1" applyBorder="1" applyAlignment="1">
      <alignment vertical="center" wrapText="1"/>
    </xf>
    <xf numFmtId="0" fontId="18" fillId="0" borderId="0" xfId="0" applyFont="1" applyAlignment="1">
      <alignment horizontal="center" vertical="center"/>
    </xf>
    <xf numFmtId="0" fontId="28" fillId="10" borderId="1" xfId="0" applyFont="1" applyFill="1" applyBorder="1" applyAlignment="1">
      <alignment horizontal="center" vertical="center" wrapText="1"/>
    </xf>
    <xf numFmtId="0" fontId="3" fillId="2" borderId="0" xfId="0" applyFont="1" applyFill="1" applyAlignment="1">
      <alignment horizontal="center" vertical="center"/>
    </xf>
    <xf numFmtId="1" fontId="5" fillId="2" borderId="0" xfId="1" applyNumberFormat="1" applyFont="1" applyFill="1" applyBorder="1" applyAlignment="1">
      <alignment vertical="center"/>
    </xf>
    <xf numFmtId="0" fontId="6" fillId="2" borderId="0" xfId="0" applyFont="1" applyFill="1" applyAlignment="1">
      <alignment vertical="center" wrapText="1"/>
    </xf>
    <xf numFmtId="0" fontId="24" fillId="0" borderId="0" xfId="0" applyFont="1" applyAlignment="1">
      <alignment horizontal="center"/>
    </xf>
    <xf numFmtId="0" fontId="4" fillId="2" borderId="66" xfId="0" applyFont="1" applyFill="1" applyBorder="1" applyAlignment="1">
      <alignment vertical="center" wrapText="1"/>
    </xf>
    <xf numFmtId="0" fontId="4" fillId="2" borderId="67" xfId="0" applyFont="1" applyFill="1" applyBorder="1" applyAlignment="1">
      <alignment vertical="center" wrapText="1"/>
    </xf>
    <xf numFmtId="0" fontId="24" fillId="2" borderId="67" xfId="0" applyFont="1" applyFill="1" applyBorder="1" applyAlignment="1">
      <alignment vertical="center"/>
    </xf>
    <xf numFmtId="0" fontId="24" fillId="2" borderId="67" xfId="0" applyFont="1" applyFill="1" applyBorder="1" applyAlignment="1">
      <alignment horizontal="left" vertical="center"/>
    </xf>
    <xf numFmtId="0" fontId="24" fillId="2" borderId="66" xfId="0" applyFont="1" applyFill="1" applyBorder="1" applyAlignment="1">
      <alignment vertical="center"/>
    </xf>
    <xf numFmtId="0" fontId="24" fillId="2" borderId="30" xfId="0" applyFont="1" applyFill="1" applyBorder="1" applyAlignment="1">
      <alignment vertical="center"/>
    </xf>
    <xf numFmtId="0" fontId="18" fillId="0" borderId="64" xfId="0" applyFont="1" applyBorder="1" applyAlignment="1">
      <alignment vertical="center" wrapText="1"/>
    </xf>
    <xf numFmtId="3" fontId="22" fillId="25" borderId="28" xfId="1" applyNumberFormat="1" applyFont="1" applyFill="1" applyBorder="1" applyAlignment="1">
      <alignment horizontal="center" vertical="center" wrapText="1"/>
    </xf>
    <xf numFmtId="0" fontId="60" fillId="24" borderId="28" xfId="2" applyNumberFormat="1" applyFont="1" applyFill="1" applyBorder="1" applyAlignment="1">
      <alignment horizontal="center" vertical="center"/>
    </xf>
    <xf numFmtId="0" fontId="18" fillId="0" borderId="69" xfId="0" applyFont="1" applyBorder="1" applyAlignment="1">
      <alignment vertical="center" wrapText="1"/>
    </xf>
    <xf numFmtId="2" fontId="60" fillId="24" borderId="30" xfId="2" applyNumberFormat="1" applyFont="1" applyFill="1" applyBorder="1" applyAlignment="1">
      <alignment horizontal="center" vertical="center"/>
    </xf>
    <xf numFmtId="2" fontId="60" fillId="24" borderId="28" xfId="2" applyNumberFormat="1" applyFont="1" applyFill="1" applyBorder="1" applyAlignment="1">
      <alignment horizontal="center" vertical="center"/>
    </xf>
    <xf numFmtId="0" fontId="28" fillId="10" borderId="28" xfId="0" applyFont="1" applyFill="1" applyBorder="1" applyAlignment="1">
      <alignment horizontal="center" vertical="center" wrapText="1"/>
    </xf>
    <xf numFmtId="0" fontId="24" fillId="2" borderId="66" xfId="0" applyFont="1" applyFill="1" applyBorder="1"/>
    <xf numFmtId="0" fontId="24" fillId="2" borderId="0" xfId="0" applyFont="1" applyFill="1" applyAlignment="1">
      <alignment horizontal="center"/>
    </xf>
    <xf numFmtId="0" fontId="49" fillId="10" borderId="64" xfId="0" applyFont="1" applyFill="1" applyBorder="1" applyAlignment="1">
      <alignment horizontal="left" vertical="center" wrapText="1"/>
    </xf>
    <xf numFmtId="0" fontId="49" fillId="10" borderId="28" xfId="0" applyFont="1" applyFill="1" applyBorder="1" applyAlignment="1">
      <alignment horizontal="center" vertical="center" wrapText="1"/>
    </xf>
    <xf numFmtId="0" fontId="49" fillId="10" borderId="28" xfId="0" applyFont="1" applyFill="1" applyBorder="1" applyAlignment="1">
      <alignment horizontal="left" vertical="center" wrapText="1"/>
    </xf>
    <xf numFmtId="0" fontId="49" fillId="10" borderId="63" xfId="0" applyFont="1" applyFill="1" applyBorder="1" applyAlignment="1">
      <alignment horizontal="center" vertical="center" wrapText="1"/>
    </xf>
    <xf numFmtId="0" fontId="49" fillId="10" borderId="65" xfId="0" applyFont="1" applyFill="1" applyBorder="1" applyAlignment="1">
      <alignment horizontal="center" vertical="center" wrapText="1"/>
    </xf>
    <xf numFmtId="0" fontId="22" fillId="10" borderId="66" xfId="0" applyFont="1" applyFill="1" applyBorder="1" applyAlignment="1">
      <alignment vertical="center" wrapText="1"/>
    </xf>
    <xf numFmtId="0" fontId="22" fillId="10" borderId="0" xfId="0" applyFont="1" applyFill="1" applyAlignment="1">
      <alignment vertical="center" wrapText="1"/>
    </xf>
    <xf numFmtId="3" fontId="22" fillId="25" borderId="0" xfId="1" applyNumberFormat="1" applyFont="1" applyFill="1" applyBorder="1" applyAlignment="1">
      <alignment vertical="center" wrapText="1"/>
    </xf>
    <xf numFmtId="9" fontId="22" fillId="25" borderId="0" xfId="2" applyFont="1" applyFill="1" applyBorder="1" applyAlignment="1">
      <alignment horizontal="center" vertical="center" wrapText="1"/>
    </xf>
    <xf numFmtId="0" fontId="18" fillId="0" borderId="70" xfId="0" applyFont="1" applyBorder="1" applyAlignment="1">
      <alignment vertical="center"/>
    </xf>
    <xf numFmtId="3" fontId="22" fillId="25" borderId="29" xfId="1" applyNumberFormat="1" applyFont="1" applyFill="1" applyBorder="1" applyAlignment="1">
      <alignment vertical="center" wrapText="1"/>
    </xf>
    <xf numFmtId="9" fontId="22" fillId="25" borderId="71" xfId="2" applyFont="1" applyFill="1" applyBorder="1" applyAlignment="1">
      <alignment horizontal="center" vertical="center" wrapText="1"/>
    </xf>
    <xf numFmtId="0" fontId="22" fillId="10" borderId="64" xfId="0" applyFont="1" applyFill="1" applyBorder="1" applyAlignment="1">
      <alignment vertical="center" wrapText="1"/>
    </xf>
    <xf numFmtId="0" fontId="22" fillId="10" borderId="28" xfId="0" applyFont="1" applyFill="1" applyBorder="1" applyAlignment="1">
      <alignment vertical="center" wrapText="1"/>
    </xf>
    <xf numFmtId="0" fontId="18" fillId="0" borderId="28" xfId="0" applyFont="1" applyBorder="1" applyAlignment="1">
      <alignment horizontal="center" vertical="center"/>
    </xf>
    <xf numFmtId="3" fontId="22" fillId="25" borderId="28" xfId="1" applyNumberFormat="1" applyFont="1" applyFill="1" applyBorder="1" applyAlignment="1">
      <alignment vertical="center" wrapText="1"/>
    </xf>
    <xf numFmtId="9" fontId="22" fillId="25" borderId="28" xfId="2" applyFont="1" applyFill="1" applyBorder="1" applyAlignment="1">
      <alignment horizontal="center" vertical="center" wrapText="1"/>
    </xf>
    <xf numFmtId="0" fontId="18" fillId="0" borderId="64" xfId="0" applyFont="1" applyBorder="1" applyAlignment="1">
      <alignment vertical="center"/>
    </xf>
    <xf numFmtId="9" fontId="22" fillId="25" borderId="65" xfId="2" applyFont="1" applyFill="1" applyBorder="1" applyAlignment="1">
      <alignment horizontal="center" vertical="center" wrapText="1"/>
    </xf>
    <xf numFmtId="3" fontId="22" fillId="25" borderId="30" xfId="1" applyNumberFormat="1" applyFont="1" applyFill="1" applyBorder="1" applyAlignment="1">
      <alignment vertical="center" wrapText="1"/>
    </xf>
    <xf numFmtId="0" fontId="18" fillId="0" borderId="64" xfId="0" applyFont="1" applyBorder="1" applyAlignment="1">
      <alignment horizontal="left" vertical="center"/>
    </xf>
    <xf numFmtId="0" fontId="18" fillId="0" borderId="28" xfId="0" applyFont="1" applyBorder="1" applyAlignment="1">
      <alignment horizontal="left" vertical="center"/>
    </xf>
    <xf numFmtId="9" fontId="60" fillId="24" borderId="65" xfId="2" applyFont="1" applyFill="1" applyBorder="1" applyAlignment="1">
      <alignment horizontal="center" vertical="center"/>
    </xf>
    <xf numFmtId="0" fontId="19" fillId="2" borderId="28" xfId="0" applyFont="1" applyFill="1" applyBorder="1" applyAlignment="1">
      <alignment vertical="center"/>
    </xf>
    <xf numFmtId="0" fontId="22" fillId="10" borderId="28" xfId="0" applyFont="1" applyFill="1" applyBorder="1" applyAlignment="1">
      <alignment horizontal="center" vertical="center" wrapText="1"/>
    </xf>
    <xf numFmtId="3" fontId="22" fillId="10" borderId="28" xfId="0" applyNumberFormat="1" applyFont="1" applyFill="1" applyBorder="1" applyAlignment="1">
      <alignment vertical="center" wrapText="1"/>
    </xf>
    <xf numFmtId="0" fontId="22" fillId="10" borderId="65" xfId="0" applyFont="1" applyFill="1" applyBorder="1" applyAlignment="1">
      <alignment vertical="center" wrapText="1"/>
    </xf>
    <xf numFmtId="0" fontId="22" fillId="10" borderId="30" xfId="0" applyFont="1" applyFill="1" applyBorder="1" applyAlignment="1">
      <alignment horizontal="center" vertical="center" wrapText="1"/>
    </xf>
    <xf numFmtId="3" fontId="22" fillId="10" borderId="30" xfId="0" applyNumberFormat="1" applyFont="1" applyFill="1" applyBorder="1" applyAlignment="1">
      <alignment vertical="center" wrapText="1"/>
    </xf>
    <xf numFmtId="0" fontId="22" fillId="10" borderId="68" xfId="0" applyFont="1" applyFill="1" applyBorder="1" applyAlignment="1">
      <alignment vertical="center" wrapText="1"/>
    </xf>
    <xf numFmtId="0" fontId="49" fillId="10" borderId="70" xfId="0" applyFont="1" applyFill="1" applyBorder="1" applyAlignment="1">
      <alignment horizontal="left" vertical="center" wrapText="1"/>
    </xf>
    <xf numFmtId="0" fontId="18" fillId="0" borderId="30" xfId="0" applyFont="1" applyBorder="1" applyAlignment="1">
      <alignment horizontal="center" vertical="center"/>
    </xf>
    <xf numFmtId="3" fontId="22" fillId="25" borderId="65" xfId="1" applyNumberFormat="1" applyFont="1" applyFill="1" applyBorder="1" applyAlignment="1">
      <alignment vertical="center" wrapText="1"/>
    </xf>
    <xf numFmtId="0" fontId="60" fillId="0" borderId="28" xfId="0" applyFont="1" applyBorder="1" applyAlignment="1">
      <alignment horizontal="center" vertical="center"/>
    </xf>
    <xf numFmtId="3" fontId="49" fillId="25" borderId="65" xfId="1" applyNumberFormat="1" applyFont="1" applyFill="1" applyBorder="1" applyAlignment="1">
      <alignment vertical="center" wrapText="1"/>
    </xf>
    <xf numFmtId="0" fontId="18" fillId="0" borderId="70" xfId="0" applyFont="1" applyBorder="1" applyAlignment="1">
      <alignment horizontal="left" vertical="center"/>
    </xf>
    <xf numFmtId="0" fontId="18" fillId="0" borderId="29" xfId="0" applyFont="1" applyBorder="1" applyAlignment="1">
      <alignment horizontal="left" vertical="center"/>
    </xf>
    <xf numFmtId="0" fontId="18" fillId="0" borderId="29" xfId="0" applyFont="1" applyBorder="1" applyAlignment="1">
      <alignment horizontal="center" vertical="center"/>
    </xf>
    <xf numFmtId="9" fontId="60" fillId="24" borderId="71" xfId="2" applyFont="1" applyFill="1" applyBorder="1" applyAlignment="1">
      <alignment horizontal="center" vertical="center"/>
    </xf>
    <xf numFmtId="9" fontId="60" fillId="24" borderId="67" xfId="2" applyFont="1" applyFill="1" applyBorder="1" applyAlignment="1">
      <alignment horizontal="center" vertical="center"/>
    </xf>
    <xf numFmtId="0" fontId="22" fillId="10" borderId="65" xfId="0" applyFont="1" applyFill="1" applyBorder="1" applyAlignment="1">
      <alignment horizontal="center" vertical="center" wrapText="1"/>
    </xf>
    <xf numFmtId="0" fontId="18" fillId="0" borderId="69" xfId="0" applyFont="1" applyBorder="1" applyAlignment="1">
      <alignment horizontal="left" vertical="center"/>
    </xf>
    <xf numFmtId="0" fontId="18" fillId="0" borderId="30" xfId="0" applyFont="1" applyBorder="1" applyAlignment="1">
      <alignment horizontal="left" vertical="center"/>
    </xf>
    <xf numFmtId="9" fontId="60" fillId="24" borderId="68" xfId="2" applyFont="1" applyFill="1" applyBorder="1" applyAlignment="1">
      <alignment horizontal="center" vertical="center"/>
    </xf>
    <xf numFmtId="0" fontId="19" fillId="2" borderId="0" xfId="0" applyFont="1" applyFill="1" applyAlignment="1">
      <alignment horizontal="center" vertical="center"/>
    </xf>
    <xf numFmtId="0" fontId="19" fillId="2" borderId="67" xfId="0" applyFont="1" applyFill="1" applyBorder="1" applyAlignment="1">
      <alignment vertical="center"/>
    </xf>
    <xf numFmtId="0" fontId="4" fillId="2" borderId="70" xfId="0" applyFont="1" applyFill="1" applyBorder="1" applyAlignment="1">
      <alignment vertical="center" wrapText="1"/>
    </xf>
    <xf numFmtId="0" fontId="4" fillId="2" borderId="29" xfId="0" applyFont="1" applyFill="1" applyBorder="1" applyAlignment="1">
      <alignment vertical="center" wrapText="1"/>
    </xf>
    <xf numFmtId="0" fontId="4" fillId="2" borderId="71" xfId="0" applyFont="1" applyFill="1" applyBorder="1" applyAlignment="1">
      <alignment vertical="center" wrapText="1"/>
    </xf>
    <xf numFmtId="0" fontId="18" fillId="2" borderId="69" xfId="0" applyFont="1" applyFill="1" applyBorder="1" applyAlignment="1">
      <alignment vertical="center" wrapText="1"/>
    </xf>
    <xf numFmtId="0" fontId="18" fillId="2" borderId="30" xfId="0" applyFont="1" applyFill="1" applyBorder="1" applyAlignment="1">
      <alignment vertical="center" wrapText="1"/>
    </xf>
    <xf numFmtId="0" fontId="18" fillId="2" borderId="68" xfId="0" applyFont="1" applyFill="1" applyBorder="1" applyAlignment="1">
      <alignment vertical="center" wrapText="1"/>
    </xf>
    <xf numFmtId="165" fontId="22" fillId="25" borderId="28" xfId="1" applyNumberFormat="1" applyFont="1" applyFill="1" applyBorder="1" applyAlignment="1">
      <alignment horizontal="center" vertical="center" wrapText="1"/>
    </xf>
    <xf numFmtId="0" fontId="18" fillId="2" borderId="0" xfId="0" applyFont="1" applyFill="1" applyAlignment="1">
      <alignment vertical="center" wrapText="1"/>
    </xf>
    <xf numFmtId="0" fontId="19" fillId="2" borderId="66" xfId="0" applyFont="1" applyFill="1" applyBorder="1"/>
    <xf numFmtId="0" fontId="49" fillId="10" borderId="29" xfId="0" applyFont="1" applyFill="1" applyBorder="1" applyAlignment="1">
      <alignment horizontal="center" vertical="center" wrapText="1"/>
    </xf>
    <xf numFmtId="0" fontId="49" fillId="10" borderId="71" xfId="0" applyFont="1" applyFill="1" applyBorder="1" applyAlignment="1">
      <alignment horizontal="center" vertical="center" wrapText="1"/>
    </xf>
    <xf numFmtId="0" fontId="18" fillId="2" borderId="64" xfId="0" applyFont="1" applyFill="1" applyBorder="1" applyAlignment="1">
      <alignment horizontal="left" vertical="center"/>
    </xf>
    <xf numFmtId="0" fontId="18" fillId="2" borderId="28" xfId="0" applyFont="1" applyFill="1" applyBorder="1" applyAlignment="1">
      <alignment horizontal="left" vertical="center"/>
    </xf>
    <xf numFmtId="0" fontId="18" fillId="2" borderId="28" xfId="0" applyFont="1" applyFill="1" applyBorder="1" applyAlignment="1">
      <alignment vertical="center"/>
    </xf>
    <xf numFmtId="0" fontId="18" fillId="2" borderId="66" xfId="0" applyFont="1" applyFill="1" applyBorder="1" applyAlignment="1">
      <alignment horizontal="left" vertical="center"/>
    </xf>
    <xf numFmtId="0" fontId="18" fillId="2" borderId="0" xfId="0" applyFont="1" applyFill="1" applyAlignment="1">
      <alignment horizontal="left" vertical="center"/>
    </xf>
    <xf numFmtId="9" fontId="22" fillId="25" borderId="67" xfId="2" applyFont="1" applyFill="1" applyBorder="1" applyAlignment="1">
      <alignment horizontal="center" vertical="center" wrapText="1"/>
    </xf>
    <xf numFmtId="0" fontId="18" fillId="2" borderId="64" xfId="0" applyFont="1" applyFill="1" applyBorder="1" applyAlignment="1">
      <alignment vertical="center"/>
    </xf>
    <xf numFmtId="0" fontId="18" fillId="2" borderId="66" xfId="0" applyFont="1" applyFill="1" applyBorder="1" applyAlignment="1">
      <alignment vertical="center"/>
    </xf>
    <xf numFmtId="0" fontId="19" fillId="2" borderId="66" xfId="0" applyFont="1" applyFill="1" applyBorder="1" applyAlignment="1">
      <alignment vertical="center"/>
    </xf>
    <xf numFmtId="0" fontId="19" fillId="2" borderId="67" xfId="0" applyFont="1" applyFill="1" applyBorder="1" applyAlignment="1">
      <alignment horizontal="left" vertical="center"/>
    </xf>
    <xf numFmtId="3" fontId="22" fillId="25" borderId="67" xfId="1" applyNumberFormat="1" applyFont="1" applyFill="1" applyBorder="1" applyAlignment="1">
      <alignment vertical="center" wrapText="1"/>
    </xf>
    <xf numFmtId="3" fontId="22" fillId="25" borderId="71" xfId="1" applyNumberFormat="1" applyFont="1" applyFill="1" applyBorder="1" applyAlignment="1">
      <alignment vertical="center" wrapText="1"/>
    </xf>
    <xf numFmtId="3" fontId="22" fillId="25" borderId="68" xfId="1" applyNumberFormat="1" applyFont="1" applyFill="1" applyBorder="1" applyAlignment="1">
      <alignment vertical="center" wrapText="1"/>
    </xf>
    <xf numFmtId="0" fontId="18" fillId="2" borderId="66" xfId="0" applyFont="1" applyFill="1" applyBorder="1" applyAlignment="1">
      <alignment vertical="center" wrapText="1"/>
    </xf>
    <xf numFmtId="0" fontId="49" fillId="2" borderId="0" xfId="0" applyFont="1" applyFill="1" applyAlignment="1">
      <alignment horizontal="center" vertical="center" wrapText="1"/>
    </xf>
    <xf numFmtId="0" fontId="58" fillId="2" borderId="0" xfId="0" applyFont="1" applyFill="1" applyAlignment="1">
      <alignment vertical="center"/>
    </xf>
    <xf numFmtId="0" fontId="19" fillId="2" borderId="30" xfId="0" applyFont="1" applyFill="1" applyBorder="1" applyAlignment="1">
      <alignment vertical="center"/>
    </xf>
    <xf numFmtId="0" fontId="19" fillId="2" borderId="68" xfId="0" applyFont="1" applyFill="1" applyBorder="1" applyAlignment="1">
      <alignment vertical="center"/>
    </xf>
    <xf numFmtId="0" fontId="49" fillId="10" borderId="64" xfId="0" applyFont="1" applyFill="1" applyBorder="1" applyAlignment="1">
      <alignment vertical="center"/>
    </xf>
    <xf numFmtId="0" fontId="49" fillId="10" borderId="28" xfId="0" applyFont="1" applyFill="1" applyBorder="1" applyAlignment="1">
      <alignment vertical="center"/>
    </xf>
    <xf numFmtId="0" fontId="49" fillId="10" borderId="28" xfId="0" applyFont="1" applyFill="1" applyBorder="1" applyAlignment="1">
      <alignment horizontal="center" vertical="center"/>
    </xf>
    <xf numFmtId="0" fontId="4" fillId="0" borderId="0" xfId="0" applyFont="1" applyAlignment="1">
      <alignment horizontal="center" vertical="center" wrapText="1"/>
    </xf>
    <xf numFmtId="0" fontId="24" fillId="0" borderId="0" xfId="0" applyFont="1" applyAlignment="1">
      <alignment vertical="center" wrapText="1"/>
    </xf>
    <xf numFmtId="0" fontId="73" fillId="2" borderId="0" xfId="0" applyFont="1" applyFill="1"/>
    <xf numFmtId="0" fontId="73" fillId="0" borderId="0" xfId="0" applyFont="1"/>
    <xf numFmtId="0" fontId="13" fillId="2" borderId="22" xfId="0" applyFont="1" applyFill="1" applyBorder="1"/>
    <xf numFmtId="0" fontId="19" fillId="2" borderId="22" xfId="0" applyFont="1" applyFill="1" applyBorder="1"/>
    <xf numFmtId="0" fontId="19" fillId="2" borderId="0" xfId="0" applyFont="1" applyFill="1" applyAlignment="1">
      <alignment horizontal="center" vertical="center" wrapText="1"/>
    </xf>
    <xf numFmtId="0" fontId="49" fillId="10" borderId="23" xfId="0" applyFont="1" applyFill="1" applyBorder="1" applyAlignment="1">
      <alignment horizontal="center" vertical="center" wrapText="1"/>
    </xf>
    <xf numFmtId="3" fontId="22" fillId="25" borderId="22" xfId="1" applyNumberFormat="1" applyFont="1" applyFill="1" applyBorder="1" applyAlignment="1">
      <alignment vertical="center" wrapText="1"/>
    </xf>
    <xf numFmtId="0" fontId="18" fillId="2" borderId="22" xfId="0" applyFont="1" applyFill="1" applyBorder="1" applyAlignment="1">
      <alignment horizontal="center" vertical="center"/>
    </xf>
    <xf numFmtId="3" fontId="22" fillId="25" borderId="23" xfId="1" applyNumberFormat="1" applyFont="1" applyFill="1" applyBorder="1" applyAlignment="1">
      <alignment vertical="center" wrapText="1"/>
    </xf>
    <xf numFmtId="3" fontId="22" fillId="25" borderId="24" xfId="1" applyNumberFormat="1" applyFont="1" applyFill="1" applyBorder="1" applyAlignment="1">
      <alignment vertical="center" wrapText="1"/>
    </xf>
    <xf numFmtId="3" fontId="22" fillId="2" borderId="24" xfId="1" applyNumberFormat="1" applyFont="1" applyFill="1" applyBorder="1" applyAlignment="1">
      <alignment vertical="center" wrapText="1"/>
    </xf>
    <xf numFmtId="0" fontId="52" fillId="2" borderId="22" xfId="0" applyFont="1" applyFill="1" applyBorder="1"/>
    <xf numFmtId="3" fontId="49" fillId="25" borderId="24" xfId="1" applyNumberFormat="1" applyFont="1" applyFill="1" applyBorder="1" applyAlignment="1">
      <alignment vertical="center" wrapText="1"/>
    </xf>
    <xf numFmtId="4" fontId="19" fillId="2" borderId="0" xfId="0" applyNumberFormat="1" applyFont="1" applyFill="1"/>
    <xf numFmtId="10" fontId="22" fillId="25" borderId="22" xfId="2" applyNumberFormat="1" applyFont="1" applyFill="1" applyBorder="1" applyAlignment="1">
      <alignment horizontal="center" vertical="center" wrapText="1"/>
    </xf>
    <xf numFmtId="10" fontId="22" fillId="25" borderId="24" xfId="2" applyNumberFormat="1" applyFont="1" applyFill="1" applyBorder="1" applyAlignment="1">
      <alignment horizontal="center" vertical="center" wrapText="1"/>
    </xf>
    <xf numFmtId="0" fontId="18" fillId="0" borderId="22" xfId="0" applyFont="1" applyBorder="1" applyAlignment="1">
      <alignment horizontal="center" vertical="center"/>
    </xf>
    <xf numFmtId="0" fontId="13" fillId="0" borderId="23" xfId="0" applyFont="1" applyBorder="1"/>
    <xf numFmtId="0" fontId="13" fillId="0" borderId="22" xfId="0" applyFont="1" applyBorder="1"/>
    <xf numFmtId="0" fontId="13" fillId="0" borderId="24" xfId="0" applyFont="1" applyBorder="1"/>
    <xf numFmtId="3" fontId="22" fillId="2" borderId="22" xfId="1" applyNumberFormat="1" applyFont="1" applyFill="1" applyBorder="1" applyAlignment="1">
      <alignment vertical="center" wrapText="1"/>
    </xf>
    <xf numFmtId="0" fontId="19" fillId="0" borderId="22" xfId="0" applyFont="1" applyBorder="1"/>
    <xf numFmtId="4" fontId="49" fillId="25" borderId="22" xfId="1" applyNumberFormat="1" applyFont="1" applyFill="1" applyBorder="1" applyAlignment="1">
      <alignment horizontal="center" vertical="center" wrapText="1"/>
    </xf>
    <xf numFmtId="0" fontId="0" fillId="2" borderId="0" xfId="0" applyFill="1" applyAlignment="1">
      <alignment horizontal="center"/>
    </xf>
    <xf numFmtId="0" fontId="0" fillId="2" borderId="0" xfId="0" applyFill="1" applyAlignment="1">
      <alignment horizontal="left" wrapText="1"/>
    </xf>
    <xf numFmtId="0" fontId="4" fillId="0" borderId="3" xfId="0" applyFont="1" applyBorder="1" applyAlignment="1">
      <alignment vertical="center" wrapText="1"/>
    </xf>
    <xf numFmtId="0" fontId="4" fillId="0" borderId="22" xfId="0" applyFont="1" applyBorder="1" applyAlignment="1">
      <alignment vertical="center" wrapText="1"/>
    </xf>
    <xf numFmtId="1" fontId="29" fillId="24" borderId="22" xfId="1" applyNumberFormat="1" applyFont="1" applyFill="1" applyBorder="1" applyAlignment="1">
      <alignment vertical="center" wrapText="1"/>
    </xf>
    <xf numFmtId="3" fontId="20" fillId="25" borderId="1" xfId="1" applyNumberFormat="1" applyFont="1" applyFill="1" applyBorder="1" applyAlignment="1">
      <alignment vertical="center" wrapText="1"/>
    </xf>
    <xf numFmtId="0" fontId="28" fillId="10" borderId="23" xfId="0" applyFont="1" applyFill="1" applyBorder="1" applyAlignment="1">
      <alignment vertical="center" wrapText="1"/>
    </xf>
    <xf numFmtId="0" fontId="4" fillId="0" borderId="22" xfId="0" applyFont="1" applyBorder="1" applyAlignment="1">
      <alignment horizontal="center" vertical="center" wrapText="1"/>
    </xf>
    <xf numFmtId="0" fontId="28" fillId="10" borderId="0" xfId="0" applyFont="1" applyFill="1" applyAlignment="1">
      <alignment vertical="center" wrapText="1"/>
    </xf>
    <xf numFmtId="0" fontId="24" fillId="2" borderId="73" xfId="0" applyFont="1" applyFill="1" applyBorder="1" applyAlignment="1">
      <alignment vertical="center"/>
    </xf>
    <xf numFmtId="3" fontId="20" fillId="17" borderId="22" xfId="1" applyNumberFormat="1" applyFont="1" applyFill="1" applyBorder="1" applyAlignment="1">
      <alignment vertical="center" wrapText="1"/>
    </xf>
    <xf numFmtId="0" fontId="28" fillId="10" borderId="77" xfId="0" applyFont="1" applyFill="1" applyBorder="1" applyAlignment="1">
      <alignment vertical="center" wrapText="1"/>
    </xf>
    <xf numFmtId="0" fontId="4" fillId="0" borderId="77" xfId="0" applyFont="1" applyBorder="1" applyAlignment="1">
      <alignment horizontal="center" vertical="center" wrapText="1"/>
    </xf>
    <xf numFmtId="3" fontId="20" fillId="17" borderId="1" xfId="1" applyNumberFormat="1" applyFont="1" applyFill="1" applyBorder="1" applyAlignment="1">
      <alignment vertical="center" wrapText="1"/>
    </xf>
    <xf numFmtId="0" fontId="4" fillId="2" borderId="77" xfId="0" applyFont="1" applyFill="1" applyBorder="1" applyAlignment="1">
      <alignment horizontal="center" vertical="center" wrapText="1"/>
    </xf>
    <xf numFmtId="0" fontId="4" fillId="2" borderId="77" xfId="0" applyFont="1" applyFill="1" applyBorder="1" applyAlignment="1">
      <alignment vertical="center" wrapText="1"/>
    </xf>
    <xf numFmtId="3" fontId="20" fillId="25" borderId="77" xfId="1" applyNumberFormat="1" applyFont="1" applyFill="1" applyBorder="1" applyAlignment="1">
      <alignment vertical="center" wrapText="1"/>
    </xf>
    <xf numFmtId="3" fontId="20" fillId="17" borderId="77" xfId="1" applyNumberFormat="1" applyFont="1" applyFill="1" applyBorder="1" applyAlignment="1">
      <alignment vertical="center" wrapText="1"/>
    </xf>
    <xf numFmtId="165" fontId="20" fillId="25" borderId="1" xfId="1" applyNumberFormat="1" applyFont="1" applyFill="1" applyBorder="1" applyAlignment="1">
      <alignment vertical="center" wrapText="1"/>
    </xf>
    <xf numFmtId="0" fontId="28" fillId="10" borderId="22" xfId="0" applyFont="1" applyFill="1" applyBorder="1" applyAlignment="1">
      <alignment horizontal="center" vertical="center" wrapText="1"/>
    </xf>
    <xf numFmtId="3" fontId="24" fillId="2" borderId="0" xfId="0" applyNumberFormat="1" applyFont="1" applyFill="1" applyAlignment="1">
      <alignment horizontal="center" vertical="center" wrapText="1"/>
    </xf>
    <xf numFmtId="3" fontId="24" fillId="2" borderId="0" xfId="0" applyNumberFormat="1" applyFont="1" applyFill="1" applyAlignment="1">
      <alignment horizontal="center" vertical="center"/>
    </xf>
    <xf numFmtId="0" fontId="3" fillId="0" borderId="0" xfId="0" applyFont="1" applyAlignment="1">
      <alignment horizontal="center"/>
    </xf>
    <xf numFmtId="0" fontId="3" fillId="2" borderId="8" xfId="0" applyFont="1" applyFill="1" applyBorder="1" applyAlignment="1">
      <alignment horizontal="center" vertical="center"/>
    </xf>
    <xf numFmtId="0" fontId="24" fillId="2" borderId="24" xfId="0" applyFont="1" applyFill="1" applyBorder="1" applyAlignment="1">
      <alignment horizontal="center" vertical="center"/>
    </xf>
    <xf numFmtId="166" fontId="29" fillId="24" borderId="22" xfId="1" applyNumberFormat="1" applyFont="1" applyFill="1" applyBorder="1" applyAlignment="1">
      <alignment horizontal="center" vertical="center" wrapText="1"/>
    </xf>
    <xf numFmtId="3" fontId="20" fillId="25" borderId="22" xfId="1" applyNumberFormat="1" applyFont="1" applyFill="1" applyBorder="1" applyAlignment="1">
      <alignment horizontal="center" vertical="center" wrapText="1"/>
    </xf>
    <xf numFmtId="166" fontId="29" fillId="24" borderId="0" xfId="1" applyNumberFormat="1" applyFont="1" applyFill="1" applyBorder="1" applyAlignment="1">
      <alignment horizontal="center" vertical="center" wrapText="1"/>
    </xf>
    <xf numFmtId="1" fontId="29" fillId="24" borderId="22" xfId="1" applyNumberFormat="1" applyFont="1" applyFill="1" applyBorder="1" applyAlignment="1">
      <alignment horizontal="center" vertical="center" wrapText="1"/>
    </xf>
    <xf numFmtId="165" fontId="20" fillId="25" borderId="22" xfId="1" applyNumberFormat="1" applyFont="1" applyFill="1" applyBorder="1" applyAlignment="1">
      <alignment horizontal="center" vertical="center" wrapText="1"/>
    </xf>
    <xf numFmtId="3" fontId="28" fillId="25" borderId="22" xfId="1" applyNumberFormat="1" applyFont="1" applyFill="1" applyBorder="1" applyAlignment="1">
      <alignment horizontal="center" vertical="center" wrapText="1"/>
    </xf>
    <xf numFmtId="3" fontId="20" fillId="17" borderId="24" xfId="1" applyNumberFormat="1" applyFont="1" applyFill="1" applyBorder="1" applyAlignment="1">
      <alignment vertical="center" wrapText="1"/>
    </xf>
    <xf numFmtId="3" fontId="20" fillId="17" borderId="23" xfId="1" applyNumberFormat="1" applyFont="1" applyFill="1" applyBorder="1" applyAlignment="1">
      <alignment vertical="center" wrapText="1"/>
    </xf>
    <xf numFmtId="0" fontId="30" fillId="2" borderId="0" xfId="0" applyFont="1" applyFill="1" applyAlignment="1">
      <alignment vertical="center"/>
    </xf>
    <xf numFmtId="0" fontId="3" fillId="2" borderId="66" xfId="0" applyFont="1" applyFill="1" applyBorder="1" applyAlignment="1">
      <alignment vertical="center"/>
    </xf>
    <xf numFmtId="0" fontId="3" fillId="2" borderId="67" xfId="0" applyFont="1" applyFill="1" applyBorder="1" applyAlignment="1">
      <alignment vertical="center"/>
    </xf>
    <xf numFmtId="0" fontId="3" fillId="2" borderId="30" xfId="0" applyFont="1" applyFill="1" applyBorder="1" applyAlignment="1">
      <alignment vertical="center"/>
    </xf>
    <xf numFmtId="0" fontId="31" fillId="2" borderId="30" xfId="0" applyFont="1" applyFill="1" applyBorder="1" applyAlignment="1">
      <alignment vertical="center" wrapText="1"/>
    </xf>
    <xf numFmtId="0" fontId="4" fillId="2" borderId="30" xfId="0" applyFont="1" applyFill="1" applyBorder="1" applyAlignment="1">
      <alignment horizontal="center" vertical="center"/>
    </xf>
    <xf numFmtId="0" fontId="4" fillId="2" borderId="68" xfId="0" applyFont="1" applyFill="1" applyBorder="1" applyAlignment="1">
      <alignment horizontal="center" vertical="center"/>
    </xf>
    <xf numFmtId="3" fontId="22" fillId="25" borderId="72" xfId="1" applyNumberFormat="1" applyFont="1" applyFill="1" applyBorder="1" applyAlignment="1">
      <alignment horizontal="center" vertical="center" wrapText="1"/>
    </xf>
    <xf numFmtId="3" fontId="22" fillId="25" borderId="63" xfId="1" applyNumberFormat="1" applyFont="1" applyFill="1" applyBorder="1" applyAlignment="1">
      <alignment horizontal="center" vertical="center" wrapText="1"/>
    </xf>
    <xf numFmtId="0" fontId="18" fillId="2" borderId="28" xfId="0" applyFont="1" applyFill="1" applyBorder="1" applyAlignment="1">
      <alignment horizontal="center" vertical="center"/>
    </xf>
    <xf numFmtId="0" fontId="18" fillId="2" borderId="0" xfId="0" applyFont="1" applyFill="1" applyAlignment="1">
      <alignment horizontal="center" vertical="center"/>
    </xf>
    <xf numFmtId="0" fontId="19" fillId="2" borderId="0" xfId="0" applyFont="1" applyFill="1" applyAlignment="1">
      <alignment horizontal="center"/>
    </xf>
    <xf numFmtId="0" fontId="49" fillId="10" borderId="30" xfId="0" applyFont="1" applyFill="1" applyBorder="1" applyAlignment="1">
      <alignment horizontal="center" vertical="center" wrapText="1"/>
    </xf>
    <xf numFmtId="0" fontId="49" fillId="10" borderId="68" xfId="0" applyFont="1" applyFill="1" applyBorder="1" applyAlignment="1">
      <alignment horizontal="center" vertical="center" wrapText="1"/>
    </xf>
    <xf numFmtId="0" fontId="19" fillId="2" borderId="64" xfId="0" applyFont="1" applyFill="1" applyBorder="1"/>
    <xf numFmtId="0" fontId="19" fillId="2" borderId="28" xfId="0" applyFont="1" applyFill="1" applyBorder="1"/>
    <xf numFmtId="0" fontId="19" fillId="2" borderId="28" xfId="0" applyFont="1" applyFill="1" applyBorder="1" applyAlignment="1">
      <alignment horizontal="center"/>
    </xf>
    <xf numFmtId="0" fontId="19" fillId="2" borderId="65" xfId="0" applyFont="1" applyFill="1" applyBorder="1" applyAlignment="1">
      <alignment horizontal="center"/>
    </xf>
    <xf numFmtId="167" fontId="19" fillId="2" borderId="0" xfId="1" applyNumberFormat="1" applyFont="1" applyFill="1" applyBorder="1" applyAlignment="1">
      <alignment horizontal="center"/>
    </xf>
    <xf numFmtId="166" fontId="19" fillId="2" borderId="0" xfId="1" applyNumberFormat="1" applyFont="1" applyFill="1" applyBorder="1"/>
    <xf numFmtId="9" fontId="52" fillId="29" borderId="0" xfId="2" applyFont="1" applyFill="1" applyBorder="1"/>
    <xf numFmtId="0" fontId="19" fillId="29" borderId="0" xfId="0" applyFont="1" applyFill="1" applyAlignment="1">
      <alignment horizontal="center"/>
    </xf>
    <xf numFmtId="0" fontId="19" fillId="29" borderId="44" xfId="0" applyFont="1" applyFill="1" applyBorder="1"/>
    <xf numFmtId="166" fontId="19" fillId="29" borderId="44" xfId="0" applyNumberFormat="1" applyFont="1" applyFill="1" applyBorder="1"/>
    <xf numFmtId="0" fontId="19" fillId="29" borderId="44" xfId="0" applyFont="1" applyFill="1" applyBorder="1" applyAlignment="1">
      <alignment horizontal="left" indent="1"/>
    </xf>
    <xf numFmtId="167" fontId="63" fillId="24" borderId="15" xfId="1" applyNumberFormat="1" applyFont="1" applyFill="1" applyBorder="1" applyAlignment="1">
      <alignment horizontal="left" vertical="center"/>
    </xf>
    <xf numFmtId="4" fontId="63" fillId="25" borderId="14" xfId="1" applyNumberFormat="1" applyFont="1" applyFill="1" applyBorder="1" applyAlignment="1">
      <alignment vertical="center"/>
    </xf>
    <xf numFmtId="171" fontId="63" fillId="25" borderId="14" xfId="1" applyNumberFormat="1" applyFont="1" applyFill="1" applyBorder="1" applyAlignment="1">
      <alignment horizontal="right" vertical="center"/>
    </xf>
    <xf numFmtId="0" fontId="6" fillId="2" borderId="34" xfId="0" applyFont="1" applyFill="1" applyBorder="1" applyAlignment="1">
      <alignment vertical="center"/>
    </xf>
    <xf numFmtId="0" fontId="65" fillId="2" borderId="14" xfId="3" applyFont="1" applyFill="1" applyBorder="1" applyAlignment="1">
      <alignment vertical="center" wrapText="1"/>
    </xf>
    <xf numFmtId="4" fontId="66" fillId="25" borderId="80" xfId="1" applyNumberFormat="1" applyFont="1" applyFill="1" applyBorder="1" applyAlignment="1">
      <alignment vertical="center"/>
    </xf>
    <xf numFmtId="0" fontId="63" fillId="0" borderId="83" xfId="0" applyFont="1" applyBorder="1" applyAlignment="1">
      <alignment vertical="center"/>
    </xf>
    <xf numFmtId="171" fontId="63" fillId="25" borderId="83" xfId="1" applyNumberFormat="1" applyFont="1" applyFill="1" applyBorder="1" applyAlignment="1">
      <alignment horizontal="right" vertical="center"/>
    </xf>
    <xf numFmtId="0" fontId="6" fillId="2" borderId="84" xfId="0" applyFont="1" applyFill="1" applyBorder="1" applyAlignment="1">
      <alignment vertical="center"/>
    </xf>
    <xf numFmtId="0" fontId="65" fillId="2" borderId="82" xfId="3" applyFont="1" applyFill="1" applyBorder="1" applyAlignment="1">
      <alignment vertical="center" wrapText="1"/>
    </xf>
    <xf numFmtId="167" fontId="63" fillId="24" borderId="14" xfId="1" applyNumberFormat="1" applyFont="1" applyFill="1" applyBorder="1" applyAlignment="1">
      <alignment horizontal="left" vertical="center"/>
    </xf>
    <xf numFmtId="0" fontId="28" fillId="10" borderId="63" xfId="0" applyFont="1" applyFill="1" applyBorder="1" applyAlignment="1">
      <alignment vertical="center" wrapText="1"/>
    </xf>
    <xf numFmtId="0" fontId="20" fillId="10" borderId="63" xfId="0" applyFont="1" applyFill="1" applyBorder="1" applyAlignment="1">
      <alignment horizontal="center" vertical="center" wrapText="1"/>
    </xf>
    <xf numFmtId="0" fontId="4" fillId="0" borderId="77" xfId="0" applyFont="1" applyBorder="1" applyAlignment="1">
      <alignment horizontal="right" vertical="center" wrapText="1"/>
    </xf>
    <xf numFmtId="3" fontId="20" fillId="25" borderId="77" xfId="1" applyNumberFormat="1" applyFont="1" applyFill="1" applyBorder="1" applyAlignment="1">
      <alignment vertical="center"/>
    </xf>
    <xf numFmtId="165" fontId="20" fillId="25" borderId="77" xfId="1" applyNumberFormat="1" applyFont="1" applyFill="1" applyBorder="1" applyAlignment="1">
      <alignment vertical="center"/>
    </xf>
    <xf numFmtId="0" fontId="28" fillId="2" borderId="2" xfId="0" applyFont="1" applyFill="1" applyBorder="1" applyAlignment="1">
      <alignment vertical="center" wrapText="1"/>
    </xf>
    <xf numFmtId="0" fontId="20" fillId="10" borderId="85" xfId="0" applyFont="1" applyFill="1" applyBorder="1" applyAlignment="1">
      <alignment horizontal="center" vertical="center" wrapText="1"/>
    </xf>
    <xf numFmtId="0" fontId="28" fillId="10" borderId="63" xfId="0" applyFont="1" applyFill="1" applyBorder="1" applyAlignment="1">
      <alignment horizontal="center" vertical="center" wrapText="1"/>
    </xf>
    <xf numFmtId="0" fontId="28" fillId="10" borderId="85" xfId="0" applyFont="1" applyFill="1" applyBorder="1" applyAlignment="1">
      <alignment horizontal="center" vertical="center" wrapText="1"/>
    </xf>
    <xf numFmtId="166" fontId="29" fillId="24" borderId="63" xfId="1" applyNumberFormat="1" applyFont="1" applyFill="1" applyBorder="1" applyAlignment="1">
      <alignment vertical="center"/>
    </xf>
    <xf numFmtId="165" fontId="63" fillId="25" borderId="20" xfId="1" applyNumberFormat="1" applyFont="1" applyFill="1" applyBorder="1" applyAlignment="1">
      <alignment horizontal="center" vertical="center"/>
    </xf>
    <xf numFmtId="0" fontId="28" fillId="10" borderId="64" xfId="0" applyFont="1" applyFill="1" applyBorder="1" applyAlignment="1">
      <alignment horizontal="center" vertical="center" wrapText="1"/>
    </xf>
    <xf numFmtId="0" fontId="28" fillId="10" borderId="65" xfId="0" applyFont="1" applyFill="1" applyBorder="1" applyAlignment="1">
      <alignment horizontal="center" vertical="center" wrapText="1"/>
    </xf>
    <xf numFmtId="0" fontId="28" fillId="5" borderId="64" xfId="0" applyFont="1" applyFill="1" applyBorder="1" applyAlignment="1">
      <alignment horizontal="center" vertical="center" wrapText="1"/>
    </xf>
    <xf numFmtId="0" fontId="28" fillId="5" borderId="65" xfId="0" applyFont="1" applyFill="1" applyBorder="1" applyAlignment="1">
      <alignment horizontal="center" vertical="center" wrapText="1"/>
    </xf>
    <xf numFmtId="0" fontId="4" fillId="0" borderId="64"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4" xfId="0" applyFont="1" applyBorder="1" applyAlignment="1">
      <alignment vertical="center" wrapText="1"/>
    </xf>
    <xf numFmtId="0" fontId="4" fillId="0" borderId="28" xfId="0" applyFont="1" applyBorder="1" applyAlignment="1">
      <alignment vertical="center" wrapText="1"/>
    </xf>
    <xf numFmtId="0" fontId="4" fillId="0" borderId="65" xfId="0" applyFont="1" applyBorder="1" applyAlignment="1">
      <alignment vertical="center" wrapText="1"/>
    </xf>
    <xf numFmtId="0" fontId="4" fillId="0" borderId="7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63" xfId="0" applyFont="1" applyBorder="1" applyAlignment="1">
      <alignment vertical="center" wrapText="1"/>
    </xf>
    <xf numFmtId="0" fontId="4" fillId="0" borderId="63" xfId="0" applyFont="1" applyBorder="1" applyAlignment="1">
      <alignment horizontal="center" vertical="center" wrapText="1"/>
    </xf>
    <xf numFmtId="0" fontId="28" fillId="11" borderId="64" xfId="0" applyFont="1" applyFill="1" applyBorder="1" applyAlignment="1">
      <alignment horizontal="center" vertical="center" wrapText="1"/>
    </xf>
    <xf numFmtId="0" fontId="28" fillId="11" borderId="28" xfId="0" applyFont="1" applyFill="1" applyBorder="1" applyAlignment="1">
      <alignment horizontal="center" vertical="center" wrapText="1"/>
    </xf>
    <xf numFmtId="0" fontId="28" fillId="11" borderId="65" xfId="0" applyFont="1" applyFill="1" applyBorder="1" applyAlignment="1">
      <alignment horizontal="center" vertical="center" wrapText="1"/>
    </xf>
    <xf numFmtId="0" fontId="28" fillId="5" borderId="28" xfId="0" applyFont="1" applyFill="1" applyBorder="1" applyAlignment="1">
      <alignment horizontal="center" vertical="center" wrapText="1"/>
    </xf>
    <xf numFmtId="0" fontId="28" fillId="5" borderId="63" xfId="0" applyFont="1" applyFill="1" applyBorder="1" applyAlignment="1">
      <alignment horizontal="center" vertical="center" wrapText="1"/>
    </xf>
    <xf numFmtId="0" fontId="4" fillId="0" borderId="70" xfId="0" applyFont="1" applyBorder="1" applyAlignment="1">
      <alignment vertical="center" wrapText="1"/>
    </xf>
    <xf numFmtId="0" fontId="4" fillId="0" borderId="29" xfId="0" applyFont="1" applyBorder="1" applyAlignment="1">
      <alignment vertical="center" wrapText="1"/>
    </xf>
    <xf numFmtId="0" fontId="4" fillId="0" borderId="71" xfId="0" applyFont="1" applyBorder="1" applyAlignment="1">
      <alignment vertical="center" wrapText="1"/>
    </xf>
    <xf numFmtId="0" fontId="4" fillId="0" borderId="78" xfId="0" applyFont="1" applyBorder="1" applyAlignment="1">
      <alignment vertical="center" wrapText="1"/>
    </xf>
    <xf numFmtId="4" fontId="44" fillId="15" borderId="64" xfId="1" applyNumberFormat="1" applyFont="1" applyFill="1" applyBorder="1" applyAlignment="1">
      <alignment vertical="center"/>
    </xf>
    <xf numFmtId="4" fontId="44" fillId="15" borderId="28" xfId="1" applyNumberFormat="1" applyFont="1" applyFill="1" applyBorder="1" applyAlignment="1">
      <alignment vertical="center"/>
    </xf>
    <xf numFmtId="4" fontId="44" fillId="15" borderId="65" xfId="1" applyNumberFormat="1" applyFont="1" applyFill="1" applyBorder="1" applyAlignment="1">
      <alignment vertical="center"/>
    </xf>
    <xf numFmtId="4" fontId="55" fillId="15" borderId="28" xfId="1" applyNumberFormat="1" applyFont="1" applyFill="1" applyBorder="1" applyAlignment="1">
      <alignment vertical="center"/>
    </xf>
    <xf numFmtId="4" fontId="55" fillId="15" borderId="65" xfId="1" applyNumberFormat="1" applyFont="1" applyFill="1" applyBorder="1" applyAlignment="1">
      <alignment vertical="center"/>
    </xf>
    <xf numFmtId="4" fontId="44" fillId="15" borderId="63" xfId="1" applyNumberFormat="1" applyFont="1" applyFill="1" applyBorder="1" applyAlignment="1">
      <alignment vertical="center"/>
    </xf>
    <xf numFmtId="0" fontId="28" fillId="10" borderId="64" xfId="0" applyFont="1" applyFill="1" applyBorder="1" applyAlignment="1">
      <alignment vertical="center" wrapText="1"/>
    </xf>
    <xf numFmtId="0" fontId="28" fillId="10" borderId="65" xfId="0" applyFont="1" applyFill="1" applyBorder="1" applyAlignment="1">
      <alignment vertical="center" wrapText="1"/>
    </xf>
    <xf numFmtId="0" fontId="28" fillId="10" borderId="28" xfId="0" applyFont="1" applyFill="1" applyBorder="1" applyAlignment="1">
      <alignment vertical="center" wrapText="1"/>
    </xf>
    <xf numFmtId="4" fontId="55" fillId="15" borderId="63" xfId="1" applyNumberFormat="1" applyFont="1" applyFill="1" applyBorder="1" applyAlignment="1">
      <alignment vertical="center"/>
    </xf>
    <xf numFmtId="4" fontId="44" fillId="15" borderId="78" xfId="1" applyNumberFormat="1" applyFont="1" applyFill="1" applyBorder="1" applyAlignment="1">
      <alignment vertical="center"/>
    </xf>
    <xf numFmtId="4" fontId="55" fillId="15" borderId="64" xfId="1" applyNumberFormat="1" applyFont="1" applyFill="1" applyBorder="1" applyAlignment="1">
      <alignment vertical="center"/>
    </xf>
    <xf numFmtId="4" fontId="55" fillId="15" borderId="70" xfId="1" applyNumberFormat="1" applyFont="1" applyFill="1" applyBorder="1" applyAlignment="1">
      <alignment vertical="center"/>
    </xf>
    <xf numFmtId="171" fontId="44" fillId="15" borderId="63" xfId="1" applyNumberFormat="1" applyFont="1" applyFill="1" applyBorder="1" applyAlignment="1">
      <alignment vertical="center"/>
    </xf>
    <xf numFmtId="0" fontId="28" fillId="10" borderId="78" xfId="0" applyFont="1" applyFill="1" applyBorder="1" applyAlignment="1">
      <alignment vertical="center" wrapText="1"/>
    </xf>
    <xf numFmtId="0" fontId="28" fillId="10" borderId="70" xfId="0" applyFont="1" applyFill="1" applyBorder="1" applyAlignment="1">
      <alignment vertical="center" wrapText="1"/>
    </xf>
    <xf numFmtId="0" fontId="28" fillId="10" borderId="29" xfId="0" applyFont="1" applyFill="1" applyBorder="1" applyAlignment="1">
      <alignment vertical="center" wrapText="1"/>
    </xf>
    <xf numFmtId="0" fontId="28" fillId="10" borderId="71" xfId="0" applyFont="1" applyFill="1" applyBorder="1" applyAlignment="1">
      <alignment vertical="center" wrapText="1"/>
    </xf>
    <xf numFmtId="0" fontId="4" fillId="0" borderId="87" xfId="0" applyFont="1" applyBorder="1" applyAlignment="1">
      <alignment vertical="center"/>
    </xf>
    <xf numFmtId="0" fontId="4" fillId="0" borderId="77" xfId="0" applyFont="1" applyBorder="1" applyAlignment="1">
      <alignment vertical="center"/>
    </xf>
    <xf numFmtId="3" fontId="44" fillId="6" borderId="77" xfId="1" applyNumberFormat="1" applyFont="1" applyFill="1" applyBorder="1" applyAlignment="1">
      <alignment vertical="center"/>
    </xf>
    <xf numFmtId="3" fontId="20" fillId="12" borderId="77" xfId="1" applyNumberFormat="1" applyFont="1" applyFill="1" applyBorder="1" applyAlignment="1">
      <alignment vertical="center"/>
    </xf>
    <xf numFmtId="4" fontId="20" fillId="25" borderId="77" xfId="1" applyNumberFormat="1" applyFont="1" applyFill="1" applyBorder="1" applyAlignment="1">
      <alignment vertical="center"/>
    </xf>
    <xf numFmtId="3" fontId="20" fillId="25" borderId="64" xfId="1" applyNumberFormat="1" applyFont="1" applyFill="1" applyBorder="1" applyAlignment="1">
      <alignment vertical="center"/>
    </xf>
    <xf numFmtId="3" fontId="20" fillId="25" borderId="28" xfId="1" applyNumberFormat="1" applyFont="1" applyFill="1" applyBorder="1" applyAlignment="1">
      <alignment vertical="center"/>
    </xf>
    <xf numFmtId="3" fontId="20" fillId="25" borderId="65" xfId="1" applyNumberFormat="1" applyFont="1" applyFill="1" applyBorder="1" applyAlignment="1">
      <alignment vertical="center"/>
    </xf>
    <xf numFmtId="1" fontId="20" fillId="25" borderId="65" xfId="2" applyNumberFormat="1" applyFont="1" applyFill="1" applyBorder="1" applyAlignment="1">
      <alignment vertical="center"/>
    </xf>
    <xf numFmtId="0" fontId="28" fillId="10" borderId="66" xfId="0" applyFont="1" applyFill="1" applyBorder="1" applyAlignment="1">
      <alignment vertical="center" wrapText="1"/>
    </xf>
    <xf numFmtId="0" fontId="28" fillId="10" borderId="67" xfId="0" applyFont="1" applyFill="1" applyBorder="1" applyAlignment="1">
      <alignment vertical="center" wrapText="1"/>
    </xf>
    <xf numFmtId="3" fontId="20" fillId="25" borderId="63" xfId="1" applyNumberFormat="1" applyFont="1" applyFill="1" applyBorder="1" applyAlignment="1">
      <alignment vertical="center"/>
    </xf>
    <xf numFmtId="9" fontId="20" fillId="25" borderId="63" xfId="2" applyFont="1" applyFill="1" applyBorder="1" applyAlignment="1">
      <alignment vertical="center"/>
    </xf>
    <xf numFmtId="4" fontId="20" fillId="25" borderId="63" xfId="1" applyNumberFormat="1" applyFont="1" applyFill="1" applyBorder="1" applyAlignment="1">
      <alignment vertical="center"/>
    </xf>
    <xf numFmtId="4" fontId="44" fillId="15" borderId="29" xfId="1" applyNumberFormat="1" applyFont="1" applyFill="1" applyBorder="1" applyAlignment="1">
      <alignment vertical="center"/>
    </xf>
    <xf numFmtId="0" fontId="4" fillId="0" borderId="0" xfId="0" applyFont="1" applyAlignment="1">
      <alignment vertical="center"/>
    </xf>
    <xf numFmtId="4" fontId="20" fillId="25" borderId="28" xfId="1" applyNumberFormat="1" applyFont="1" applyFill="1" applyBorder="1" applyAlignment="1">
      <alignment vertical="center"/>
    </xf>
    <xf numFmtId="0" fontId="4" fillId="0" borderId="28" xfId="0" applyFont="1" applyBorder="1" applyAlignment="1">
      <alignment vertical="center"/>
    </xf>
    <xf numFmtId="165" fontId="28" fillId="25" borderId="63" xfId="1" applyNumberFormat="1" applyFont="1" applyFill="1" applyBorder="1" applyAlignment="1">
      <alignment vertical="center"/>
    </xf>
    <xf numFmtId="0" fontId="4" fillId="0" borderId="65" xfId="0" applyFont="1" applyBorder="1" applyAlignment="1">
      <alignment vertical="center"/>
    </xf>
    <xf numFmtId="0" fontId="24" fillId="8" borderId="77" xfId="0" applyFont="1" applyFill="1" applyBorder="1" applyAlignment="1">
      <alignment horizontal="center" vertical="center" wrapText="1"/>
    </xf>
    <xf numFmtId="3" fontId="20" fillId="12" borderId="93" xfId="1" applyNumberFormat="1" applyFont="1" applyFill="1" applyBorder="1" applyAlignment="1">
      <alignment vertical="center"/>
    </xf>
    <xf numFmtId="3" fontId="20" fillId="25" borderId="90" xfId="1" applyNumberFormat="1" applyFont="1" applyFill="1" applyBorder="1" applyAlignment="1">
      <alignment vertical="center"/>
    </xf>
    <xf numFmtId="3" fontId="20" fillId="12" borderId="94" xfId="1" applyNumberFormat="1" applyFont="1" applyFill="1" applyBorder="1" applyAlignment="1">
      <alignment vertical="center"/>
    </xf>
    <xf numFmtId="3" fontId="20" fillId="12" borderId="95" xfId="1" applyNumberFormat="1" applyFont="1" applyFill="1" applyBorder="1" applyAlignment="1">
      <alignment vertical="center"/>
    </xf>
    <xf numFmtId="3" fontId="20" fillId="25" borderId="95" xfId="1" applyNumberFormat="1" applyFont="1" applyFill="1" applyBorder="1" applyAlignment="1">
      <alignment vertical="center"/>
    </xf>
    <xf numFmtId="3" fontId="20" fillId="25" borderId="91" xfId="1" applyNumberFormat="1" applyFont="1" applyFill="1" applyBorder="1" applyAlignment="1">
      <alignment vertical="center"/>
    </xf>
    <xf numFmtId="3" fontId="20" fillId="25" borderId="96" xfId="1" applyNumberFormat="1" applyFont="1" applyFill="1" applyBorder="1" applyAlignment="1">
      <alignment vertical="center"/>
    </xf>
    <xf numFmtId="3" fontId="20" fillId="25" borderId="97" xfId="1" applyNumberFormat="1" applyFont="1" applyFill="1" applyBorder="1" applyAlignment="1">
      <alignment vertical="center"/>
    </xf>
    <xf numFmtId="4" fontId="20" fillId="25" borderId="93" xfId="1" applyNumberFormat="1" applyFont="1" applyFill="1" applyBorder="1" applyAlignment="1">
      <alignment vertical="center"/>
    </xf>
    <xf numFmtId="4" fontId="20" fillId="25" borderId="90" xfId="1" applyNumberFormat="1" applyFont="1" applyFill="1" applyBorder="1" applyAlignment="1">
      <alignment vertical="center"/>
    </xf>
    <xf numFmtId="4" fontId="20" fillId="25" borderId="94" xfId="1" applyNumberFormat="1" applyFont="1" applyFill="1" applyBorder="1" applyAlignment="1">
      <alignment vertical="center"/>
    </xf>
    <xf numFmtId="4" fontId="20" fillId="25" borderId="95" xfId="1" applyNumberFormat="1" applyFont="1" applyFill="1" applyBorder="1" applyAlignment="1">
      <alignment vertical="center"/>
    </xf>
    <xf numFmtId="4" fontId="20" fillId="25" borderId="91" xfId="1" applyNumberFormat="1" applyFont="1" applyFill="1" applyBorder="1" applyAlignment="1">
      <alignment vertical="center"/>
    </xf>
    <xf numFmtId="4" fontId="28" fillId="25" borderId="90" xfId="1" applyNumberFormat="1" applyFont="1" applyFill="1" applyBorder="1" applyAlignment="1">
      <alignment vertical="center"/>
    </xf>
    <xf numFmtId="4" fontId="28" fillId="25" borderId="91" xfId="1" applyNumberFormat="1" applyFont="1" applyFill="1" applyBorder="1" applyAlignment="1">
      <alignment vertical="center"/>
    </xf>
    <xf numFmtId="9" fontId="20" fillId="25" borderId="96" xfId="2" applyFont="1" applyFill="1" applyBorder="1" applyAlignment="1">
      <alignment vertical="center"/>
    </xf>
    <xf numFmtId="9" fontId="20" fillId="25" borderId="97" xfId="2" applyFont="1" applyFill="1" applyBorder="1" applyAlignment="1">
      <alignment vertical="center"/>
    </xf>
    <xf numFmtId="4" fontId="20" fillId="25" borderId="98" xfId="1" applyNumberFormat="1" applyFont="1" applyFill="1" applyBorder="1" applyAlignment="1">
      <alignment vertical="center"/>
    </xf>
    <xf numFmtId="4" fontId="20" fillId="25" borderId="96" xfId="1" applyNumberFormat="1" applyFont="1" applyFill="1" applyBorder="1" applyAlignment="1">
      <alignment vertical="center"/>
    </xf>
    <xf numFmtId="4" fontId="20" fillId="25" borderId="97" xfId="1" applyNumberFormat="1" applyFont="1" applyFill="1" applyBorder="1" applyAlignment="1">
      <alignment vertical="center"/>
    </xf>
    <xf numFmtId="165" fontId="20" fillId="25" borderId="63" xfId="1" applyNumberFormat="1" applyFont="1" applyFill="1" applyBorder="1" applyAlignment="1">
      <alignment vertical="center"/>
    </xf>
    <xf numFmtId="0" fontId="4" fillId="0" borderId="77" xfId="0" applyFont="1" applyBorder="1" applyAlignment="1">
      <alignment vertical="center" wrapText="1"/>
    </xf>
    <xf numFmtId="3" fontId="24" fillId="2" borderId="77" xfId="0" applyNumberFormat="1" applyFont="1" applyFill="1" applyBorder="1" applyAlignment="1">
      <alignment horizontal="left" vertical="center" wrapText="1"/>
    </xf>
    <xf numFmtId="3" fontId="20" fillId="25" borderId="95" xfId="1" applyNumberFormat="1" applyFont="1" applyFill="1" applyBorder="1" applyAlignment="1">
      <alignment vertical="center" wrapText="1"/>
    </xf>
    <xf numFmtId="165" fontId="20" fillId="25" borderId="28" xfId="1" applyNumberFormat="1" applyFont="1" applyFill="1" applyBorder="1" applyAlignment="1">
      <alignment vertical="center" wrapText="1"/>
    </xf>
    <xf numFmtId="0" fontId="24" fillId="0" borderId="77" xfId="0" applyFont="1" applyBorder="1" applyAlignment="1">
      <alignment horizontal="left" vertical="center" wrapText="1"/>
    </xf>
    <xf numFmtId="165" fontId="20" fillId="25" borderId="77" xfId="1" applyNumberFormat="1" applyFont="1" applyFill="1" applyBorder="1" applyAlignment="1">
      <alignment vertical="center" wrapText="1"/>
    </xf>
    <xf numFmtId="0" fontId="20" fillId="10" borderId="77" xfId="0" applyFont="1" applyFill="1" applyBorder="1" applyAlignment="1">
      <alignment vertical="center" wrapText="1"/>
    </xf>
    <xf numFmtId="3" fontId="20" fillId="10" borderId="77" xfId="0" applyNumberFormat="1" applyFont="1" applyFill="1" applyBorder="1" applyAlignment="1">
      <alignment vertical="center" wrapText="1"/>
    </xf>
    <xf numFmtId="0" fontId="20" fillId="10" borderId="77" xfId="0" applyFont="1" applyFill="1" applyBorder="1" applyAlignment="1">
      <alignment horizontal="center" vertical="center" wrapText="1"/>
    </xf>
    <xf numFmtId="0" fontId="24" fillId="2" borderId="77" xfId="0" applyFont="1" applyFill="1" applyBorder="1"/>
    <xf numFmtId="172" fontId="20" fillId="25" borderId="77" xfId="2" applyNumberFormat="1" applyFont="1" applyFill="1" applyBorder="1" applyAlignment="1">
      <alignment vertical="center" wrapText="1"/>
    </xf>
    <xf numFmtId="0" fontId="24" fillId="0" borderId="77" xfId="0" applyFont="1" applyBorder="1"/>
    <xf numFmtId="0" fontId="4" fillId="0" borderId="22" xfId="0" applyFont="1" applyBorder="1" applyAlignment="1">
      <alignment vertical="center"/>
    </xf>
    <xf numFmtId="0" fontId="4" fillId="0" borderId="99" xfId="0" applyFont="1" applyBorder="1" applyAlignment="1">
      <alignment horizontal="left" vertical="center"/>
    </xf>
    <xf numFmtId="3" fontId="20" fillId="25" borderId="100" xfId="1" applyNumberFormat="1" applyFont="1" applyFill="1" applyBorder="1" applyAlignment="1">
      <alignment vertical="center" wrapText="1"/>
    </xf>
    <xf numFmtId="0" fontId="4" fillId="0" borderId="66" xfId="0" applyFont="1" applyBorder="1" applyAlignment="1">
      <alignment vertical="center"/>
    </xf>
    <xf numFmtId="3" fontId="20" fillId="25" borderId="67" xfId="1" applyNumberFormat="1" applyFont="1" applyFill="1" applyBorder="1" applyAlignment="1">
      <alignment vertical="center" wrapText="1"/>
    </xf>
    <xf numFmtId="0" fontId="20" fillId="10" borderId="64" xfId="0" applyFont="1" applyFill="1" applyBorder="1" applyAlignment="1">
      <alignment vertical="center" wrapText="1"/>
    </xf>
    <xf numFmtId="0" fontId="20" fillId="10" borderId="28" xfId="0" applyFont="1" applyFill="1" applyBorder="1" applyAlignment="1">
      <alignment vertical="center" wrapText="1"/>
    </xf>
    <xf numFmtId="3" fontId="20" fillId="10" borderId="65" xfId="0" applyNumberFormat="1" applyFont="1" applyFill="1" applyBorder="1" applyAlignment="1">
      <alignment vertical="center" wrapText="1"/>
    </xf>
    <xf numFmtId="9" fontId="20" fillId="25" borderId="22" xfId="2" applyFont="1" applyFill="1" applyBorder="1" applyAlignment="1">
      <alignment horizontal="center" vertical="center" wrapText="1"/>
    </xf>
    <xf numFmtId="9" fontId="20" fillId="25" borderId="101" xfId="2" applyFont="1" applyFill="1" applyBorder="1" applyAlignment="1">
      <alignment horizontal="center" vertical="center" wrapText="1"/>
    </xf>
    <xf numFmtId="0" fontId="4" fillId="0" borderId="99" xfId="0" applyFont="1" applyBorder="1" applyAlignment="1">
      <alignment vertical="center" wrapText="1"/>
    </xf>
    <xf numFmtId="0" fontId="20" fillId="10" borderId="69" xfId="0" applyFont="1" applyFill="1" applyBorder="1" applyAlignment="1">
      <alignment vertical="center" wrapText="1"/>
    </xf>
    <xf numFmtId="0" fontId="20" fillId="10" borderId="30" xfId="0" applyFont="1" applyFill="1" applyBorder="1" applyAlignment="1">
      <alignment vertical="center" wrapText="1"/>
    </xf>
    <xf numFmtId="3" fontId="20" fillId="10" borderId="68" xfId="0" applyNumberFormat="1" applyFont="1" applyFill="1" applyBorder="1" applyAlignment="1">
      <alignment vertical="center" wrapText="1"/>
    </xf>
    <xf numFmtId="9" fontId="20" fillId="25" borderId="102" xfId="2" applyFont="1" applyFill="1" applyBorder="1" applyAlignment="1">
      <alignment horizontal="center" vertical="center" wrapText="1"/>
    </xf>
    <xf numFmtId="0" fontId="4" fillId="0" borderId="103" xfId="0" applyFont="1" applyBorder="1" applyAlignment="1">
      <alignment horizontal="left" vertical="center"/>
    </xf>
    <xf numFmtId="0" fontId="4" fillId="0" borderId="24" xfId="0" applyFont="1" applyBorder="1" applyAlignment="1">
      <alignment vertical="center"/>
    </xf>
    <xf numFmtId="3" fontId="20" fillId="25" borderId="104" xfId="1" applyNumberFormat="1" applyFont="1" applyFill="1" applyBorder="1" applyAlignment="1">
      <alignment vertical="center" wrapText="1"/>
    </xf>
    <xf numFmtId="9" fontId="20" fillId="25" borderId="24" xfId="2" applyFont="1" applyFill="1" applyBorder="1" applyAlignment="1">
      <alignment horizontal="center" vertical="center" wrapText="1"/>
    </xf>
    <xf numFmtId="0" fontId="4" fillId="0" borderId="103" xfId="0" applyFont="1" applyBorder="1" applyAlignment="1">
      <alignment vertical="center" wrapText="1"/>
    </xf>
    <xf numFmtId="9" fontId="20" fillId="25" borderId="105" xfId="2" applyFont="1" applyFill="1" applyBorder="1" applyAlignment="1">
      <alignment horizontal="center" vertical="center" wrapText="1"/>
    </xf>
    <xf numFmtId="0" fontId="4" fillId="0" borderId="93" xfId="0" applyFont="1" applyBorder="1" applyAlignment="1">
      <alignment horizontal="left" vertical="center"/>
    </xf>
    <xf numFmtId="3" fontId="20" fillId="25" borderId="90" xfId="1" applyNumberFormat="1" applyFont="1" applyFill="1" applyBorder="1" applyAlignment="1">
      <alignment vertical="center" wrapText="1"/>
    </xf>
    <xf numFmtId="0" fontId="4" fillId="0" borderId="93" xfId="0" applyFont="1" applyBorder="1" applyAlignment="1">
      <alignment vertical="center"/>
    </xf>
    <xf numFmtId="0" fontId="20" fillId="10" borderId="94" xfId="0" applyFont="1" applyFill="1" applyBorder="1" applyAlignment="1">
      <alignment vertical="center" wrapText="1"/>
    </xf>
    <xf numFmtId="0" fontId="20" fillId="10" borderId="95" xfId="0" applyFont="1" applyFill="1" applyBorder="1" applyAlignment="1">
      <alignment vertical="center" wrapText="1"/>
    </xf>
    <xf numFmtId="3" fontId="20" fillId="10" borderId="91" xfId="0" applyNumberFormat="1" applyFont="1" applyFill="1" applyBorder="1" applyAlignment="1">
      <alignment vertical="center" wrapText="1"/>
    </xf>
    <xf numFmtId="0" fontId="4" fillId="0" borderId="93" xfId="0" applyFont="1" applyBorder="1" applyAlignment="1">
      <alignment vertical="center" wrapText="1"/>
    </xf>
    <xf numFmtId="0" fontId="24" fillId="2" borderId="77" xfId="0" applyFont="1" applyFill="1" applyBorder="1" applyAlignment="1">
      <alignment horizontal="left" vertical="center"/>
    </xf>
    <xf numFmtId="0" fontId="4" fillId="2" borderId="28" xfId="0" applyFont="1" applyFill="1" applyBorder="1" applyAlignment="1">
      <alignment vertical="center" wrapText="1"/>
    </xf>
    <xf numFmtId="4" fontId="20" fillId="25" borderId="77" xfId="1" applyNumberFormat="1" applyFont="1" applyFill="1" applyBorder="1" applyAlignment="1">
      <alignment vertical="center" wrapText="1"/>
    </xf>
    <xf numFmtId="0" fontId="28" fillId="10" borderId="77" xfId="0" applyFont="1" applyFill="1" applyBorder="1" applyAlignment="1">
      <alignment horizontal="center" vertical="center" wrapText="1"/>
    </xf>
    <xf numFmtId="9" fontId="20" fillId="12" borderId="77" xfId="2" applyFont="1" applyFill="1" applyBorder="1" applyAlignment="1">
      <alignment vertical="center" wrapText="1"/>
    </xf>
    <xf numFmtId="165" fontId="20" fillId="12" borderId="77" xfId="1" applyNumberFormat="1" applyFont="1" applyFill="1" applyBorder="1" applyAlignment="1">
      <alignment vertical="center" wrapText="1"/>
    </xf>
    <xf numFmtId="3" fontId="20" fillId="10" borderId="28" xfId="0" applyNumberFormat="1" applyFont="1" applyFill="1" applyBorder="1" applyAlignment="1">
      <alignment vertical="center" wrapText="1"/>
    </xf>
    <xf numFmtId="3" fontId="20" fillId="25" borderId="28" xfId="1" applyNumberFormat="1" applyFont="1" applyFill="1" applyBorder="1" applyAlignment="1">
      <alignment vertical="center" wrapText="1"/>
    </xf>
    <xf numFmtId="3" fontId="28" fillId="10" borderId="77" xfId="0" applyNumberFormat="1" applyFont="1" applyFill="1" applyBorder="1" applyAlignment="1">
      <alignment vertical="center" wrapText="1"/>
    </xf>
    <xf numFmtId="0" fontId="20" fillId="10" borderId="22" xfId="0" applyFont="1" applyFill="1" applyBorder="1" applyAlignment="1">
      <alignment horizontal="center" vertical="center" wrapText="1"/>
    </xf>
    <xf numFmtId="0" fontId="20" fillId="10" borderId="25" xfId="0" applyFont="1" applyFill="1" applyBorder="1" applyAlignment="1">
      <alignment horizontal="center" vertical="center" wrapText="1"/>
    </xf>
    <xf numFmtId="0" fontId="4" fillId="0" borderId="25" xfId="0" applyFont="1" applyBorder="1" applyAlignment="1">
      <alignment vertical="center"/>
    </xf>
    <xf numFmtId="3" fontId="20" fillId="25" borderId="75" xfId="1" applyNumberFormat="1" applyFont="1" applyFill="1" applyBorder="1" applyAlignment="1">
      <alignment vertical="center" wrapText="1"/>
    </xf>
    <xf numFmtId="0" fontId="20" fillId="10" borderId="25" xfId="0" applyFont="1" applyFill="1" applyBorder="1" applyAlignment="1">
      <alignment vertical="center" wrapText="1"/>
    </xf>
    <xf numFmtId="0" fontId="20" fillId="10" borderId="22" xfId="0" applyFont="1" applyFill="1" applyBorder="1" applyAlignment="1">
      <alignment vertical="center" wrapText="1"/>
    </xf>
    <xf numFmtId="3" fontId="20" fillId="10" borderId="75" xfId="0" applyNumberFormat="1" applyFont="1" applyFill="1" applyBorder="1" applyAlignment="1">
      <alignment vertical="center" wrapText="1"/>
    </xf>
    <xf numFmtId="9" fontId="20" fillId="25" borderId="108" xfId="2" applyFont="1" applyFill="1" applyBorder="1" applyAlignment="1">
      <alignment horizontal="center" vertical="center" wrapText="1"/>
    </xf>
    <xf numFmtId="9" fontId="20" fillId="25" borderId="109" xfId="2" applyFont="1" applyFill="1" applyBorder="1" applyAlignment="1">
      <alignment horizontal="center" vertical="center" wrapText="1"/>
    </xf>
    <xf numFmtId="164" fontId="19" fillId="2" borderId="0" xfId="0" applyNumberFormat="1" applyFont="1" applyFill="1" applyAlignment="1">
      <alignment horizontal="center" vertical="center" wrapText="1"/>
    </xf>
    <xf numFmtId="0" fontId="19" fillId="0" borderId="15" xfId="0" applyFont="1" applyBorder="1" applyAlignment="1">
      <alignment vertical="center" wrapText="1"/>
    </xf>
    <xf numFmtId="0" fontId="28" fillId="10" borderId="63" xfId="0" applyFont="1" applyFill="1" applyBorder="1" applyAlignment="1">
      <alignment vertical="center"/>
    </xf>
    <xf numFmtId="0" fontId="14" fillId="2" borderId="63" xfId="3" applyFont="1" applyFill="1" applyBorder="1" applyAlignment="1">
      <alignment vertical="center" wrapText="1"/>
    </xf>
    <xf numFmtId="0" fontId="16" fillId="2" borderId="63" xfId="3" applyFont="1" applyFill="1" applyBorder="1" applyAlignment="1">
      <alignment vertical="center" wrapText="1"/>
    </xf>
    <xf numFmtId="0" fontId="24" fillId="0" borderId="63" xfId="0" applyFont="1" applyBorder="1" applyAlignment="1">
      <alignment wrapText="1"/>
    </xf>
    <xf numFmtId="0" fontId="24" fillId="2" borderId="63" xfId="0" applyFont="1" applyFill="1" applyBorder="1"/>
    <xf numFmtId="0" fontId="24" fillId="0" borderId="63" xfId="0" applyFont="1" applyBorder="1"/>
    <xf numFmtId="0" fontId="24" fillId="2" borderId="63" xfId="0" applyFont="1" applyFill="1" applyBorder="1" applyAlignment="1">
      <alignment wrapText="1"/>
    </xf>
    <xf numFmtId="49" fontId="75" fillId="0" borderId="0" xfId="4" applyNumberFormat="1" applyFont="1" applyAlignment="1">
      <alignment horizontal="left"/>
    </xf>
    <xf numFmtId="0" fontId="9" fillId="0" borderId="0" xfId="4" applyFont="1"/>
    <xf numFmtId="0" fontId="20" fillId="10" borderId="0" xfId="0" applyFont="1" applyFill="1" applyAlignment="1">
      <alignment vertical="center"/>
    </xf>
    <xf numFmtId="0" fontId="20" fillId="10" borderId="0" xfId="0" applyFont="1" applyFill="1" applyAlignment="1">
      <alignment horizontal="right" vertical="center"/>
    </xf>
    <xf numFmtId="0" fontId="76" fillId="0" borderId="0" xfId="0" applyFont="1" applyAlignment="1">
      <alignment vertical="center"/>
    </xf>
    <xf numFmtId="0" fontId="76" fillId="0" borderId="77" xfId="0" applyFont="1" applyBorder="1" applyAlignment="1">
      <alignment vertical="center"/>
    </xf>
    <xf numFmtId="0" fontId="76" fillId="0" borderId="77" xfId="0" applyFont="1" applyBorder="1" applyAlignment="1">
      <alignment horizontal="left" vertical="center"/>
    </xf>
    <xf numFmtId="0" fontId="76" fillId="0" borderId="77" xfId="0" applyFont="1" applyBorder="1" applyAlignment="1">
      <alignment horizontal="right" vertical="center"/>
    </xf>
    <xf numFmtId="3" fontId="76" fillId="0" borderId="77" xfId="0" applyNumberFormat="1" applyFont="1" applyBorder="1" applyAlignment="1">
      <alignment horizontal="left" vertical="center"/>
    </xf>
    <xf numFmtId="166" fontId="76" fillId="0" borderId="77" xfId="0" applyNumberFormat="1" applyFont="1" applyBorder="1" applyAlignment="1">
      <alignment vertical="center"/>
    </xf>
    <xf numFmtId="9" fontId="76" fillId="0" borderId="77" xfId="0" applyNumberFormat="1" applyFont="1" applyBorder="1" applyAlignment="1">
      <alignment vertical="center"/>
    </xf>
    <xf numFmtId="1" fontId="76" fillId="0" borderId="77" xfId="0" applyNumberFormat="1" applyFont="1" applyBorder="1" applyAlignment="1">
      <alignment vertical="center"/>
    </xf>
    <xf numFmtId="0" fontId="20" fillId="10" borderId="77" xfId="0" applyFont="1" applyFill="1" applyBorder="1" applyAlignment="1">
      <alignment vertical="center"/>
    </xf>
    <xf numFmtId="0" fontId="20" fillId="10" borderId="77" xfId="0" applyFont="1" applyFill="1" applyBorder="1" applyAlignment="1">
      <alignment horizontal="right" vertical="center"/>
    </xf>
    <xf numFmtId="167" fontId="76" fillId="0" borderId="77" xfId="1" applyNumberFormat="1" applyFont="1" applyBorder="1" applyAlignment="1">
      <alignment vertical="center"/>
    </xf>
    <xf numFmtId="0" fontId="76" fillId="0" borderId="77" xfId="0" applyFont="1" applyBorder="1" applyAlignment="1">
      <alignment horizontal="left" vertical="center" indent="1"/>
    </xf>
    <xf numFmtId="167" fontId="76" fillId="0" borderId="77" xfId="1" applyNumberFormat="1" applyFont="1" applyBorder="1" applyAlignment="1">
      <alignment horizontal="right" vertical="center"/>
    </xf>
    <xf numFmtId="169" fontId="76" fillId="0" borderId="0" xfId="1" applyNumberFormat="1" applyFont="1" applyFill="1" applyBorder="1" applyAlignment="1">
      <alignment vertical="center"/>
    </xf>
    <xf numFmtId="0" fontId="78" fillId="0" borderId="0" xfId="4" applyFont="1"/>
    <xf numFmtId="0" fontId="3" fillId="0" borderId="0" xfId="4" applyFont="1"/>
    <xf numFmtId="0" fontId="7" fillId="0" borderId="0" xfId="3" applyAlignment="1"/>
    <xf numFmtId="0" fontId="37" fillId="0" borderId="0" xfId="4" applyFont="1"/>
    <xf numFmtId="0" fontId="69" fillId="0" borderId="0" xfId="4" applyFont="1"/>
    <xf numFmtId="0" fontId="79" fillId="10" borderId="0" xfId="0" applyFont="1" applyFill="1" applyAlignment="1">
      <alignment vertical="center"/>
    </xf>
    <xf numFmtId="165" fontId="76" fillId="0" borderId="77" xfId="0" applyNumberFormat="1" applyFont="1" applyBorder="1" applyAlignment="1">
      <alignment vertical="center"/>
    </xf>
    <xf numFmtId="3" fontId="76" fillId="0" borderId="77" xfId="0" applyNumberFormat="1" applyFont="1" applyBorder="1" applyAlignment="1">
      <alignment vertical="center"/>
    </xf>
    <xf numFmtId="175" fontId="76" fillId="0" borderId="77" xfId="2" applyNumberFormat="1" applyFont="1" applyBorder="1" applyAlignment="1">
      <alignment horizontal="right" vertical="center"/>
    </xf>
    <xf numFmtId="0" fontId="10" fillId="10" borderId="77" xfId="0" applyFont="1" applyFill="1" applyBorder="1" applyAlignment="1">
      <alignment vertical="center"/>
    </xf>
    <xf numFmtId="3" fontId="80" fillId="0" borderId="77" xfId="0" applyNumberFormat="1" applyFont="1" applyBorder="1" applyAlignment="1">
      <alignment vertical="center"/>
    </xf>
    <xf numFmtId="0" fontId="80" fillId="0" borderId="77" xfId="0" applyFont="1" applyBorder="1" applyAlignment="1">
      <alignment vertical="center"/>
    </xf>
    <xf numFmtId="0" fontId="80" fillId="0" borderId="77" xfId="0" applyFont="1" applyBorder="1" applyAlignment="1">
      <alignment horizontal="left" vertical="center"/>
    </xf>
    <xf numFmtId="165" fontId="80" fillId="0" borderId="77" xfId="0" applyNumberFormat="1" applyFont="1" applyBorder="1" applyAlignment="1">
      <alignment vertical="center"/>
    </xf>
    <xf numFmtId="0" fontId="80" fillId="0" borderId="0" xfId="0" applyFont="1" applyAlignment="1">
      <alignment vertical="center"/>
    </xf>
    <xf numFmtId="0" fontId="80" fillId="0" borderId="0" xfId="0" applyFont="1" applyAlignment="1">
      <alignment horizontal="left" vertical="center"/>
    </xf>
    <xf numFmtId="3" fontId="80" fillId="0" borderId="0" xfId="0" applyNumberFormat="1" applyFont="1" applyAlignment="1">
      <alignment vertical="center"/>
    </xf>
    <xf numFmtId="9" fontId="76" fillId="0" borderId="0" xfId="2" applyFont="1" applyAlignment="1">
      <alignment vertical="center"/>
    </xf>
    <xf numFmtId="167" fontId="76" fillId="0" borderId="0" xfId="1" applyNumberFormat="1" applyFont="1" applyAlignment="1">
      <alignment vertical="center"/>
    </xf>
    <xf numFmtId="0" fontId="76" fillId="0" borderId="0" xfId="0" applyFont="1" applyAlignment="1">
      <alignment horizontal="left" vertical="center"/>
    </xf>
    <xf numFmtId="0" fontId="10" fillId="0" borderId="0" xfId="4" applyFont="1"/>
    <xf numFmtId="0" fontId="47" fillId="4" borderId="113" xfId="0" applyFont="1" applyFill="1" applyBorder="1" applyAlignment="1">
      <alignment horizontal="center" vertical="center"/>
    </xf>
    <xf numFmtId="0" fontId="23" fillId="2" borderId="0" xfId="3" applyFont="1" applyFill="1" applyBorder="1" applyAlignment="1">
      <alignment horizontal="center" vertical="center"/>
    </xf>
    <xf numFmtId="0" fontId="7" fillId="2" borderId="0" xfId="3" applyFill="1" applyBorder="1" applyAlignment="1">
      <alignment horizontal="center" vertical="center"/>
    </xf>
    <xf numFmtId="0" fontId="29"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21" fillId="10" borderId="11" xfId="0" applyFont="1" applyFill="1" applyBorder="1" applyAlignment="1">
      <alignment horizontal="center" vertical="center" wrapText="1"/>
    </xf>
    <xf numFmtId="4" fontId="22" fillId="25" borderId="114" xfId="1" applyNumberFormat="1" applyFont="1" applyFill="1" applyBorder="1" applyAlignment="1">
      <alignment horizontal="center" vertical="center" wrapText="1"/>
    </xf>
    <xf numFmtId="0" fontId="18" fillId="0" borderId="24" xfId="0" applyFont="1" applyBorder="1" applyAlignment="1">
      <alignment horizontal="center" vertical="center"/>
    </xf>
    <xf numFmtId="3" fontId="20" fillId="25" borderId="111" xfId="1" applyNumberFormat="1" applyFont="1" applyFill="1" applyBorder="1" applyAlignment="1">
      <alignment vertical="center" wrapText="1"/>
    </xf>
    <xf numFmtId="0" fontId="4" fillId="0" borderId="24" xfId="0" applyFont="1" applyBorder="1" applyAlignment="1">
      <alignment horizontal="center" vertical="center" wrapText="1"/>
    </xf>
    <xf numFmtId="0" fontId="4" fillId="0" borderId="24" xfId="0" applyFont="1" applyBorder="1" applyAlignment="1">
      <alignment vertical="center" wrapText="1"/>
    </xf>
    <xf numFmtId="0" fontId="4" fillId="0" borderId="74" xfId="0" applyFont="1" applyBorder="1" applyAlignment="1">
      <alignment vertical="center" wrapText="1"/>
    </xf>
    <xf numFmtId="0" fontId="29" fillId="0" borderId="22" xfId="0" applyFont="1" applyBorder="1" applyAlignment="1">
      <alignment horizontal="center" vertical="center" wrapText="1"/>
    </xf>
    <xf numFmtId="0" fontId="28" fillId="10" borderId="25" xfId="0" applyFont="1" applyFill="1" applyBorder="1" applyAlignment="1">
      <alignment horizontal="center" vertical="center" wrapText="1"/>
    </xf>
    <xf numFmtId="0" fontId="28" fillId="10" borderId="75" xfId="0" applyFont="1" applyFill="1" applyBorder="1" applyAlignment="1">
      <alignment horizontal="center" vertical="center" wrapText="1"/>
    </xf>
    <xf numFmtId="0" fontId="10" fillId="0" borderId="77" xfId="0" applyFont="1" applyBorder="1" applyAlignment="1">
      <alignment vertical="center" wrapText="1"/>
    </xf>
    <xf numFmtId="0" fontId="30" fillId="0" borderId="77" xfId="0" applyFont="1" applyBorder="1" applyAlignment="1">
      <alignment vertical="center" wrapText="1"/>
    </xf>
    <xf numFmtId="0" fontId="20" fillId="10" borderId="0" xfId="0" applyFont="1" applyFill="1" applyAlignment="1">
      <alignment vertical="center" wrapText="1"/>
    </xf>
    <xf numFmtId="0" fontId="30" fillId="0" borderId="0" xfId="0" applyFont="1" applyAlignment="1">
      <alignment vertical="center" wrapText="1"/>
    </xf>
    <xf numFmtId="0" fontId="10" fillId="0" borderId="77" xfId="0" applyFont="1" applyBorder="1" applyAlignment="1">
      <alignment horizontal="center" vertical="center" wrapText="1"/>
    </xf>
    <xf numFmtId="0" fontId="30" fillId="0" borderId="77" xfId="0" applyFont="1" applyBorder="1" applyAlignment="1">
      <alignment horizontal="center" vertical="center" wrapText="1"/>
    </xf>
    <xf numFmtId="0" fontId="28" fillId="10" borderId="24" xfId="0" applyFont="1" applyFill="1" applyBorder="1" applyAlignment="1">
      <alignment vertical="center" wrapText="1"/>
    </xf>
    <xf numFmtId="0" fontId="20" fillId="10" borderId="24" xfId="0" applyFont="1" applyFill="1" applyBorder="1" applyAlignment="1">
      <alignment vertical="center" wrapText="1"/>
    </xf>
    <xf numFmtId="1" fontId="29" fillId="2" borderId="0" xfId="1" applyNumberFormat="1" applyFont="1" applyFill="1" applyBorder="1" applyAlignment="1">
      <alignment vertical="center" wrapText="1"/>
    </xf>
    <xf numFmtId="1" fontId="24" fillId="8" borderId="0" xfId="0" applyNumberFormat="1" applyFont="1" applyFill="1" applyAlignment="1">
      <alignment horizontal="right" vertical="center" wrapText="1"/>
    </xf>
    <xf numFmtId="0" fontId="4" fillId="7" borderId="77" xfId="0" applyFont="1" applyFill="1" applyBorder="1" applyAlignment="1">
      <alignment vertical="center" wrapText="1"/>
    </xf>
    <xf numFmtId="0" fontId="24" fillId="0" borderId="77" xfId="0" applyFont="1" applyBorder="1" applyAlignment="1">
      <alignment horizontal="center" vertical="center"/>
    </xf>
    <xf numFmtId="166" fontId="29" fillId="24" borderId="88" xfId="1" applyNumberFormat="1" applyFont="1" applyFill="1" applyBorder="1" applyAlignment="1">
      <alignment vertical="center"/>
    </xf>
    <xf numFmtId="0" fontId="28" fillId="10" borderId="88" xfId="0" applyFont="1" applyFill="1" applyBorder="1" applyAlignment="1">
      <alignment horizontal="center" vertical="center" wrapText="1"/>
    </xf>
    <xf numFmtId="166" fontId="20" fillId="25" borderId="77" xfId="2" applyNumberFormat="1" applyFont="1" applyFill="1" applyBorder="1" applyAlignment="1">
      <alignment horizontal="center" vertical="center"/>
    </xf>
    <xf numFmtId="0" fontId="20" fillId="7" borderId="116" xfId="0" applyFont="1" applyFill="1" applyBorder="1" applyAlignment="1">
      <alignment vertical="center" wrapText="1"/>
    </xf>
    <xf numFmtId="0" fontId="4" fillId="0" borderId="111" xfId="0" applyFont="1" applyBorder="1" applyAlignment="1">
      <alignment horizontal="center" vertical="center" wrapText="1"/>
    </xf>
    <xf numFmtId="166" fontId="29" fillId="24" borderId="77" xfId="1" applyNumberFormat="1" applyFont="1" applyFill="1" applyBorder="1" applyAlignment="1">
      <alignment vertical="center"/>
    </xf>
    <xf numFmtId="166" fontId="29" fillId="24" borderId="85" xfId="1" applyNumberFormat="1" applyFont="1" applyFill="1" applyBorder="1" applyAlignment="1">
      <alignment vertical="center"/>
    </xf>
    <xf numFmtId="0" fontId="4" fillId="0" borderId="118" xfId="0" applyFont="1" applyBorder="1" applyAlignment="1">
      <alignment horizontal="right" vertical="center" wrapText="1"/>
    </xf>
    <xf numFmtId="0" fontId="4" fillId="0" borderId="111" xfId="0" applyFont="1" applyBorder="1" applyAlignment="1">
      <alignment vertical="center" wrapText="1"/>
    </xf>
    <xf numFmtId="166" fontId="29" fillId="24" borderId="119" xfId="1" applyNumberFormat="1" applyFont="1" applyFill="1" applyBorder="1" applyAlignment="1">
      <alignment vertical="center"/>
    </xf>
    <xf numFmtId="166" fontId="29" fillId="24" borderId="118" xfId="1" applyNumberFormat="1" applyFont="1" applyFill="1" applyBorder="1" applyAlignment="1">
      <alignment vertical="center"/>
    </xf>
    <xf numFmtId="166" fontId="29" fillId="24" borderId="120" xfId="1" applyNumberFormat="1" applyFont="1" applyFill="1" applyBorder="1" applyAlignment="1">
      <alignment vertical="center"/>
    </xf>
    <xf numFmtId="166" fontId="29" fillId="24" borderId="116" xfId="1" applyNumberFormat="1" applyFont="1" applyFill="1" applyBorder="1" applyAlignment="1">
      <alignment vertical="center"/>
    </xf>
    <xf numFmtId="166" fontId="29" fillId="24" borderId="121" xfId="1" applyNumberFormat="1" applyFont="1" applyFill="1" applyBorder="1" applyAlignment="1">
      <alignment vertical="center"/>
    </xf>
    <xf numFmtId="166" fontId="20" fillId="25" borderId="25" xfId="2" applyNumberFormat="1" applyFont="1" applyFill="1" applyBorder="1" applyAlignment="1">
      <alignment horizontal="center" vertical="center"/>
    </xf>
    <xf numFmtId="166" fontId="20" fillId="25" borderId="22" xfId="2" applyNumberFormat="1" applyFont="1" applyFill="1" applyBorder="1" applyAlignment="1">
      <alignment horizontal="center" vertical="center"/>
    </xf>
    <xf numFmtId="166" fontId="20" fillId="25" borderId="75" xfId="2" applyNumberFormat="1" applyFont="1" applyFill="1" applyBorder="1" applyAlignment="1">
      <alignment horizontal="center" vertical="center"/>
    </xf>
    <xf numFmtId="0" fontId="24" fillId="0" borderId="111" xfId="0" applyFont="1" applyBorder="1"/>
    <xf numFmtId="0" fontId="4" fillId="0" borderId="118" xfId="0" applyFont="1" applyBorder="1" applyAlignment="1">
      <alignment vertical="center" wrapText="1"/>
    </xf>
    <xf numFmtId="0" fontId="20" fillId="10" borderId="47" xfId="0" applyFont="1" applyFill="1" applyBorder="1" applyAlignment="1">
      <alignment horizontal="center" vertical="center" wrapText="1"/>
    </xf>
    <xf numFmtId="0" fontId="4" fillId="0" borderId="122" xfId="0" applyFont="1" applyBorder="1" applyAlignment="1">
      <alignment vertical="center" wrapText="1"/>
    </xf>
    <xf numFmtId="0" fontId="4" fillId="0" borderId="22" xfId="0" applyFont="1" applyBorder="1" applyAlignment="1">
      <alignment horizontal="right" vertical="center" wrapText="1"/>
    </xf>
    <xf numFmtId="0" fontId="4" fillId="0" borderId="0" xfId="0" applyFont="1" applyAlignment="1">
      <alignment horizontal="right" vertical="center" wrapText="1"/>
    </xf>
    <xf numFmtId="166" fontId="20" fillId="25" borderId="30" xfId="2" applyNumberFormat="1" applyFont="1" applyFill="1" applyBorder="1" applyAlignment="1">
      <alignment horizontal="center" vertical="center"/>
    </xf>
    <xf numFmtId="1" fontId="29" fillId="24" borderId="88" xfId="1" applyNumberFormat="1" applyFont="1" applyFill="1" applyBorder="1" applyAlignment="1">
      <alignment vertical="center"/>
    </xf>
    <xf numFmtId="1" fontId="29" fillId="24" borderId="77" xfId="1" applyNumberFormat="1" applyFont="1" applyFill="1" applyBorder="1" applyAlignment="1">
      <alignment vertical="center"/>
    </xf>
    <xf numFmtId="1" fontId="29" fillId="24" borderId="85" xfId="1" applyNumberFormat="1" applyFont="1" applyFill="1" applyBorder="1" applyAlignment="1">
      <alignment vertical="center"/>
    </xf>
    <xf numFmtId="1" fontId="29" fillId="24" borderId="119" xfId="1" applyNumberFormat="1" applyFont="1" applyFill="1" applyBorder="1" applyAlignment="1">
      <alignment vertical="center"/>
    </xf>
    <xf numFmtId="1" fontId="29" fillId="24" borderId="118" xfId="1" applyNumberFormat="1" applyFont="1" applyFill="1" applyBorder="1" applyAlignment="1">
      <alignment vertical="center"/>
    </xf>
    <xf numFmtId="0" fontId="4" fillId="0" borderId="118" xfId="0" applyFont="1" applyBorder="1" applyAlignment="1">
      <alignment vertical="center"/>
    </xf>
    <xf numFmtId="0" fontId="28" fillId="10" borderId="22" xfId="0" applyFont="1" applyFill="1" applyBorder="1" applyAlignment="1">
      <alignment vertical="center"/>
    </xf>
    <xf numFmtId="0" fontId="28" fillId="10" borderId="75" xfId="0" applyFont="1" applyFill="1" applyBorder="1" applyAlignment="1">
      <alignment vertical="center"/>
    </xf>
    <xf numFmtId="0" fontId="28" fillId="10" borderId="47" xfId="0" applyFont="1" applyFill="1" applyBorder="1" applyAlignment="1">
      <alignment vertical="center" wrapText="1"/>
    </xf>
    <xf numFmtId="0" fontId="4" fillId="0" borderId="75" xfId="0" applyFont="1" applyBorder="1" applyAlignment="1">
      <alignment vertical="center"/>
    </xf>
    <xf numFmtId="1" fontId="29" fillId="24" borderId="123" xfId="1" applyNumberFormat="1" applyFont="1" applyFill="1" applyBorder="1" applyAlignment="1">
      <alignment vertical="center"/>
    </xf>
    <xf numFmtId="166" fontId="20" fillId="25" borderId="90" xfId="2" applyNumberFormat="1" applyFont="1" applyFill="1" applyBorder="1" applyAlignment="1">
      <alignment horizontal="center" vertical="center"/>
    </xf>
    <xf numFmtId="1" fontId="29" fillId="24" borderId="2" xfId="1" applyNumberFormat="1" applyFont="1" applyFill="1" applyBorder="1" applyAlignment="1">
      <alignment vertical="center"/>
    </xf>
    <xf numFmtId="1" fontId="29" fillId="24" borderId="63" xfId="1" applyNumberFormat="1" applyFont="1" applyFill="1" applyBorder="1" applyAlignment="1">
      <alignment vertical="center"/>
    </xf>
    <xf numFmtId="0" fontId="4" fillId="0" borderId="90" xfId="0" applyFont="1" applyBorder="1" applyAlignment="1">
      <alignment horizontal="right" vertical="center" wrapText="1"/>
    </xf>
    <xf numFmtId="0" fontId="28" fillId="10" borderId="124" xfId="0" applyFont="1" applyFill="1" applyBorder="1" applyAlignment="1">
      <alignment horizontal="center" vertical="center" wrapText="1"/>
    </xf>
    <xf numFmtId="0" fontId="4" fillId="0" borderId="125" xfId="0" applyFont="1" applyBorder="1" applyAlignment="1">
      <alignment horizontal="right" vertical="center" wrapText="1"/>
    </xf>
    <xf numFmtId="0" fontId="28" fillId="10" borderId="106" xfId="0" applyFont="1" applyFill="1" applyBorder="1" applyAlignment="1">
      <alignment horizontal="center" vertical="center" wrapText="1"/>
    </xf>
    <xf numFmtId="0" fontId="20" fillId="10" borderId="64" xfId="0" applyFont="1" applyFill="1" applyBorder="1" applyAlignment="1">
      <alignment horizontal="center" vertical="center" wrapText="1"/>
    </xf>
    <xf numFmtId="0" fontId="4" fillId="0" borderId="122" xfId="0" applyFont="1" applyBorder="1" applyAlignment="1">
      <alignment vertical="center"/>
    </xf>
    <xf numFmtId="0" fontId="20" fillId="10" borderId="126" xfId="0" applyFont="1" applyFill="1" applyBorder="1" applyAlignment="1">
      <alignment horizontal="center" vertical="center" wrapText="1"/>
    </xf>
    <xf numFmtId="0" fontId="28" fillId="10" borderId="76" xfId="0" applyFont="1" applyFill="1" applyBorder="1" applyAlignment="1">
      <alignment vertical="center" wrapText="1"/>
    </xf>
    <xf numFmtId="0" fontId="28" fillId="10" borderId="23" xfId="0" applyFont="1" applyFill="1" applyBorder="1" applyAlignment="1">
      <alignment vertical="center"/>
    </xf>
    <xf numFmtId="0" fontId="28" fillId="10" borderId="122" xfId="0" applyFont="1" applyFill="1" applyBorder="1" applyAlignment="1">
      <alignment vertical="center" wrapText="1"/>
    </xf>
    <xf numFmtId="0" fontId="20" fillId="10" borderId="23" xfId="0" applyFont="1" applyFill="1" applyBorder="1" applyAlignment="1">
      <alignment horizontal="center" vertical="center" wrapText="1"/>
    </xf>
    <xf numFmtId="0" fontId="4" fillId="0" borderId="111" xfId="0" applyFont="1" applyBorder="1" applyAlignment="1">
      <alignment vertical="center"/>
    </xf>
    <xf numFmtId="0" fontId="4" fillId="0" borderId="112" xfId="0" applyFont="1" applyBorder="1" applyAlignment="1">
      <alignment horizontal="right" vertical="center" wrapText="1"/>
    </xf>
    <xf numFmtId="1" fontId="29" fillId="24" borderId="109" xfId="1" applyNumberFormat="1" applyFont="1" applyFill="1" applyBorder="1" applyAlignment="1">
      <alignment vertical="center"/>
    </xf>
    <xf numFmtId="166" fontId="29" fillId="24" borderId="49" xfId="1" applyNumberFormat="1" applyFont="1" applyFill="1" applyBorder="1" applyAlignment="1">
      <alignment vertical="center"/>
    </xf>
    <xf numFmtId="0" fontId="28" fillId="10" borderId="86" xfId="0" applyFont="1" applyFill="1" applyBorder="1" applyAlignment="1">
      <alignment horizontal="center" vertical="center" wrapText="1"/>
    </xf>
    <xf numFmtId="1" fontId="29" fillId="24" borderId="78" xfId="1" applyNumberFormat="1" applyFont="1" applyFill="1" applyBorder="1" applyAlignment="1">
      <alignment vertical="center"/>
    </xf>
    <xf numFmtId="166" fontId="20" fillId="25" borderId="65" xfId="2" applyNumberFormat="1" applyFont="1" applyFill="1" applyBorder="1" applyAlignment="1">
      <alignment horizontal="center" vertical="center"/>
    </xf>
    <xf numFmtId="0" fontId="4" fillId="0" borderId="30" xfId="0" applyFont="1" applyBorder="1" applyAlignment="1">
      <alignment vertical="center" wrapText="1"/>
    </xf>
    <xf numFmtId="0" fontId="4" fillId="0" borderId="30" xfId="0" applyFont="1" applyBorder="1" applyAlignment="1">
      <alignment horizontal="center" vertical="center" wrapText="1"/>
    </xf>
    <xf numFmtId="0" fontId="20" fillId="10" borderId="93" xfId="0" applyFont="1" applyFill="1" applyBorder="1" applyAlignment="1">
      <alignment horizontal="center" vertical="center" wrapText="1"/>
    </xf>
    <xf numFmtId="0" fontId="4" fillId="0" borderId="107" xfId="0" applyFont="1" applyBorder="1" applyAlignment="1">
      <alignment vertical="center"/>
    </xf>
    <xf numFmtId="0" fontId="4" fillId="0" borderId="89" xfId="0" applyFont="1" applyBorder="1" applyAlignment="1">
      <alignment horizontal="right" vertical="center" wrapText="1"/>
    </xf>
    <xf numFmtId="166" fontId="29" fillId="24" borderId="127" xfId="1" applyNumberFormat="1" applyFont="1" applyFill="1" applyBorder="1" applyAlignment="1">
      <alignment vertical="center"/>
    </xf>
    <xf numFmtId="0" fontId="4" fillId="0" borderId="107" xfId="0" applyFont="1" applyBorder="1" applyAlignment="1">
      <alignment horizontal="right" vertical="center" wrapText="1"/>
    </xf>
    <xf numFmtId="0" fontId="4" fillId="0" borderId="95" xfId="0" applyFont="1" applyBorder="1" applyAlignment="1">
      <alignment vertical="center" wrapText="1"/>
    </xf>
    <xf numFmtId="0" fontId="20" fillId="10" borderId="94" xfId="0" applyFont="1" applyFill="1" applyBorder="1" applyAlignment="1">
      <alignment horizontal="center" vertical="center" wrapText="1"/>
    </xf>
    <xf numFmtId="0" fontId="4" fillId="0" borderId="111" xfId="0" applyFont="1" applyBorder="1" applyAlignment="1">
      <alignment horizontal="right" vertical="center" wrapText="1"/>
    </xf>
    <xf numFmtId="0" fontId="4" fillId="0" borderId="95" xfId="0" applyFont="1" applyBorder="1" applyAlignment="1">
      <alignment horizontal="center" vertical="center" wrapText="1"/>
    </xf>
    <xf numFmtId="0" fontId="4" fillId="0" borderId="30" xfId="0" applyFont="1" applyBorder="1" applyAlignment="1">
      <alignment vertical="center"/>
    </xf>
    <xf numFmtId="0" fontId="14" fillId="2" borderId="0" xfId="3" applyFont="1" applyFill="1" applyAlignment="1">
      <alignment horizontal="right"/>
    </xf>
    <xf numFmtId="0" fontId="24" fillId="2" borderId="0" xfId="0" applyFont="1" applyFill="1" applyAlignment="1">
      <alignment horizontal="right"/>
    </xf>
    <xf numFmtId="0" fontId="24" fillId="0" borderId="0" xfId="0" applyFont="1" applyAlignment="1">
      <alignment horizontal="right"/>
    </xf>
    <xf numFmtId="165" fontId="81" fillId="13" borderId="8" xfId="1" applyNumberFormat="1" applyFont="1" applyFill="1" applyBorder="1" applyAlignment="1">
      <alignment horizontal="center" vertical="center"/>
    </xf>
    <xf numFmtId="0" fontId="16" fillId="0" borderId="63" xfId="3" applyFont="1" applyFill="1" applyBorder="1" applyAlignment="1">
      <alignment vertical="center" wrapText="1"/>
    </xf>
    <xf numFmtId="0" fontId="7" fillId="4" borderId="0" xfId="3" applyFill="1" applyBorder="1" applyAlignment="1">
      <alignment horizontal="center" vertical="center"/>
    </xf>
    <xf numFmtId="0" fontId="84" fillId="4" borderId="7" xfId="3" applyFont="1" applyFill="1" applyBorder="1" applyAlignment="1">
      <alignment horizontal="left" vertical="center"/>
    </xf>
    <xf numFmtId="0" fontId="28" fillId="10" borderId="30" xfId="0" applyFont="1" applyFill="1" applyBorder="1" applyAlignment="1">
      <alignment vertical="center" wrapText="1"/>
    </xf>
    <xf numFmtId="0" fontId="28" fillId="10" borderId="111" xfId="0" applyFont="1" applyFill="1" applyBorder="1" applyAlignment="1">
      <alignment vertical="center" wrapText="1"/>
    </xf>
    <xf numFmtId="0" fontId="24" fillId="2" borderId="128" xfId="0" applyFont="1" applyFill="1" applyBorder="1" applyAlignment="1">
      <alignment vertical="center"/>
    </xf>
    <xf numFmtId="165" fontId="28" fillId="25" borderId="28" xfId="1" applyNumberFormat="1" applyFont="1" applyFill="1" applyBorder="1" applyAlignment="1">
      <alignment vertical="center"/>
    </xf>
    <xf numFmtId="0" fontId="63" fillId="0" borderId="0" xfId="0" applyFont="1" applyAlignment="1">
      <alignment horizontal="center" vertical="center" wrapText="1"/>
    </xf>
    <xf numFmtId="166" fontId="3" fillId="2" borderId="0" xfId="0" applyNumberFormat="1" applyFont="1" applyFill="1"/>
    <xf numFmtId="0" fontId="14" fillId="0" borderId="29" xfId="3" applyFont="1" applyBorder="1" applyAlignment="1">
      <alignment vertical="center" wrapText="1"/>
    </xf>
    <xf numFmtId="176" fontId="29" fillId="24" borderId="88" xfId="1" applyNumberFormat="1" applyFont="1" applyFill="1" applyBorder="1" applyAlignment="1">
      <alignment vertical="center"/>
    </xf>
    <xf numFmtId="166" fontId="63" fillId="24" borderId="12" xfId="1" applyNumberFormat="1" applyFont="1" applyFill="1" applyBorder="1" applyAlignment="1">
      <alignment horizontal="right" vertical="center"/>
    </xf>
    <xf numFmtId="166" fontId="63" fillId="24" borderId="13" xfId="1" applyNumberFormat="1" applyFont="1" applyFill="1" applyBorder="1" applyAlignment="1">
      <alignment horizontal="right" vertical="center"/>
    </xf>
    <xf numFmtId="166" fontId="63" fillId="25" borderId="15" xfId="1" applyNumberFormat="1" applyFont="1" applyFill="1" applyBorder="1" applyAlignment="1">
      <alignment horizontal="right" vertical="center"/>
    </xf>
    <xf numFmtId="0" fontId="16" fillId="2" borderId="0" xfId="3" applyFont="1" applyFill="1" applyBorder="1" applyAlignment="1">
      <alignment vertical="center" wrapText="1"/>
    </xf>
    <xf numFmtId="0" fontId="23" fillId="4" borderId="0" xfId="3" applyFont="1" applyFill="1" applyBorder="1" applyAlignment="1">
      <alignment horizontal="center" vertical="center"/>
    </xf>
    <xf numFmtId="0" fontId="49" fillId="10" borderId="45" xfId="0" applyFont="1" applyFill="1" applyBorder="1" applyAlignment="1">
      <alignment horizontal="center" vertical="center" wrapText="1"/>
    </xf>
    <xf numFmtId="0" fontId="7" fillId="4" borderId="0" xfId="3" applyFill="1" applyBorder="1" applyAlignment="1">
      <alignment horizontal="center" vertical="center"/>
    </xf>
    <xf numFmtId="0" fontId="48" fillId="10" borderId="43" xfId="0" applyFont="1" applyFill="1" applyBorder="1" applyAlignment="1">
      <alignment horizontal="center" vertical="center" wrapText="1"/>
    </xf>
    <xf numFmtId="0" fontId="48" fillId="10" borderId="0" xfId="0" applyFont="1" applyFill="1" applyAlignment="1">
      <alignment horizontal="center" vertical="center" wrapText="1"/>
    </xf>
    <xf numFmtId="0" fontId="48" fillId="10" borderId="41" xfId="0" applyFont="1" applyFill="1" applyBorder="1" applyAlignment="1">
      <alignment horizontal="center" vertical="center" wrapText="1"/>
    </xf>
    <xf numFmtId="0" fontId="42" fillId="20" borderId="59" xfId="0" applyFont="1" applyFill="1" applyBorder="1" applyAlignment="1">
      <alignment horizontal="center" vertical="center" textRotation="90"/>
    </xf>
    <xf numFmtId="0" fontId="42" fillId="20" borderId="51" xfId="0" applyFont="1" applyFill="1" applyBorder="1" applyAlignment="1">
      <alignment horizontal="center" vertical="center" textRotation="90"/>
    </xf>
    <xf numFmtId="0" fontId="42" fillId="20" borderId="52" xfId="0" applyFont="1" applyFill="1" applyBorder="1" applyAlignment="1">
      <alignment horizontal="center" vertical="center" textRotation="90"/>
    </xf>
    <xf numFmtId="0" fontId="49" fillId="10" borderId="42" xfId="0" applyFont="1" applyFill="1" applyBorder="1" applyAlignment="1">
      <alignment horizontal="center" vertical="center" wrapText="1"/>
    </xf>
    <xf numFmtId="0" fontId="42" fillId="21" borderId="53" xfId="0" applyFont="1" applyFill="1" applyBorder="1" applyAlignment="1">
      <alignment horizontal="center" vertical="center" textRotation="90"/>
    </xf>
    <xf numFmtId="0" fontId="42" fillId="21" borderId="54" xfId="0" applyFont="1" applyFill="1" applyBorder="1" applyAlignment="1">
      <alignment horizontal="center" vertical="center" textRotation="90"/>
    </xf>
    <xf numFmtId="0" fontId="14" fillId="21" borderId="54" xfId="3" applyFont="1" applyFill="1" applyBorder="1" applyAlignment="1">
      <alignment horizontal="center" vertical="center" textRotation="90"/>
    </xf>
    <xf numFmtId="0" fontId="42" fillId="21" borderId="55" xfId="0" applyFont="1" applyFill="1" applyBorder="1" applyAlignment="1">
      <alignment horizontal="center" vertical="center" textRotation="90"/>
    </xf>
    <xf numFmtId="0" fontId="1" fillId="2" borderId="0" xfId="0" applyFont="1" applyFill="1" applyAlignment="1">
      <alignment horizontal="center"/>
    </xf>
    <xf numFmtId="0" fontId="0" fillId="2" borderId="0" xfId="0" applyFill="1" applyAlignment="1">
      <alignment horizontal="left" wrapText="1"/>
    </xf>
    <xf numFmtId="0" fontId="53" fillId="2" borderId="0" xfId="0" applyFont="1" applyFill="1" applyAlignment="1">
      <alignment horizontal="center"/>
    </xf>
    <xf numFmtId="0" fontId="1" fillId="2" borderId="0" xfId="0" applyFont="1" applyFill="1" applyAlignment="1">
      <alignment horizontal="center" wrapText="1"/>
    </xf>
    <xf numFmtId="0" fontId="0" fillId="2" borderId="0" xfId="0" applyFill="1" applyAlignment="1">
      <alignment horizontal="left"/>
    </xf>
    <xf numFmtId="0" fontId="21" fillId="10" borderId="28" xfId="0" applyFont="1" applyFill="1" applyBorder="1" applyAlignment="1">
      <alignment horizontal="center" vertical="center"/>
    </xf>
    <xf numFmtId="0" fontId="23" fillId="4" borderId="7" xfId="3" applyFont="1" applyFill="1" applyBorder="1" applyAlignment="1">
      <alignment horizontal="center" vertical="center"/>
    </xf>
    <xf numFmtId="165" fontId="25" fillId="6" borderId="7" xfId="1" applyNumberFormat="1" applyFont="1" applyFill="1" applyBorder="1" applyAlignment="1">
      <alignment horizontal="center" vertical="center"/>
    </xf>
    <xf numFmtId="165" fontId="25" fillId="13" borderId="7" xfId="1" applyNumberFormat="1" applyFont="1" applyFill="1" applyBorder="1" applyAlignment="1">
      <alignment horizontal="center" vertical="center"/>
    </xf>
    <xf numFmtId="0" fontId="19" fillId="8" borderId="12" xfId="0" applyFont="1" applyFill="1" applyBorder="1" applyAlignment="1">
      <alignment horizontal="center" vertical="center" wrapText="1"/>
    </xf>
    <xf numFmtId="0" fontId="19" fillId="26" borderId="16" xfId="0" applyFont="1" applyFill="1" applyBorder="1" applyAlignment="1">
      <alignment horizontal="center" vertical="center" wrapText="1"/>
    </xf>
    <xf numFmtId="0" fontId="34" fillId="10" borderId="10" xfId="0" applyFont="1" applyFill="1" applyBorder="1" applyAlignment="1">
      <alignment horizontal="center" vertical="center" wrapText="1"/>
    </xf>
    <xf numFmtId="0" fontId="18" fillId="0" borderId="19" xfId="0" applyFont="1" applyBorder="1" applyAlignment="1">
      <alignment horizontal="center" vertical="center"/>
    </xf>
    <xf numFmtId="1" fontId="13" fillId="24" borderId="13" xfId="1" applyNumberFormat="1" applyFont="1" applyFill="1" applyBorder="1" applyAlignment="1">
      <alignment horizontal="center" vertical="center"/>
    </xf>
    <xf numFmtId="167" fontId="22" fillId="25" borderId="16" xfId="1" applyNumberFormat="1" applyFont="1" applyFill="1" applyBorder="1" applyAlignment="1">
      <alignment horizontal="center" vertical="center"/>
    </xf>
    <xf numFmtId="165" fontId="25" fillId="6" borderId="23" xfId="1" applyNumberFormat="1" applyFont="1" applyFill="1" applyBorder="1" applyAlignment="1">
      <alignment horizontal="center" vertical="center"/>
    </xf>
    <xf numFmtId="0" fontId="20" fillId="2" borderId="0" xfId="0" applyFont="1" applyFill="1" applyAlignment="1">
      <alignment horizontal="center" vertical="center" textRotation="90"/>
    </xf>
    <xf numFmtId="0" fontId="38" fillId="10" borderId="6" xfId="0" applyFont="1" applyFill="1" applyBorder="1" applyAlignment="1">
      <alignment horizontal="center" vertical="center" wrapText="1"/>
    </xf>
    <xf numFmtId="0" fontId="62" fillId="0" borderId="14" xfId="0" applyFont="1" applyBorder="1" applyAlignment="1">
      <alignment horizontal="center" vertical="center" wrapText="1"/>
    </xf>
    <xf numFmtId="0" fontId="64" fillId="10" borderId="7" xfId="0" applyFont="1" applyFill="1" applyBorder="1" applyAlignment="1">
      <alignment horizontal="right" vertical="center"/>
    </xf>
    <xf numFmtId="0" fontId="1" fillId="18" borderId="18" xfId="0" applyFont="1" applyFill="1" applyBorder="1" applyAlignment="1">
      <alignment horizontal="center" vertical="center" textRotation="90"/>
    </xf>
    <xf numFmtId="0" fontId="1" fillId="18" borderId="0" xfId="0" applyFont="1" applyFill="1" applyAlignment="1">
      <alignment horizontal="center" vertical="center" textRotation="90"/>
    </xf>
    <xf numFmtId="0" fontId="1" fillId="18" borderId="62" xfId="0" applyFont="1" applyFill="1" applyBorder="1" applyAlignment="1">
      <alignment horizontal="center" vertical="center" textRotation="90"/>
    </xf>
    <xf numFmtId="0" fontId="1" fillId="18" borderId="31" xfId="0" applyFont="1" applyFill="1" applyBorder="1" applyAlignment="1">
      <alignment horizontal="center" vertical="center" textRotation="90"/>
    </xf>
    <xf numFmtId="0" fontId="14" fillId="18" borderId="0" xfId="3" applyFont="1" applyFill="1" applyBorder="1" applyAlignment="1">
      <alignment horizontal="center" vertical="center" textRotation="90"/>
    </xf>
    <xf numFmtId="0" fontId="14" fillId="18" borderId="33" xfId="3" applyFont="1" applyFill="1" applyBorder="1" applyAlignment="1">
      <alignment horizontal="center" vertical="center" textRotation="90"/>
    </xf>
    <xf numFmtId="0" fontId="38" fillId="10" borderId="28" xfId="0" applyFont="1" applyFill="1" applyBorder="1" applyAlignment="1">
      <alignment horizontal="center" vertical="center" wrapText="1"/>
    </xf>
    <xf numFmtId="0" fontId="21" fillId="10" borderId="7" xfId="0" applyFont="1" applyFill="1" applyBorder="1" applyAlignment="1">
      <alignment horizontal="left" vertical="center" wrapText="1"/>
    </xf>
    <xf numFmtId="0" fontId="38" fillId="10" borderId="9" xfId="0" applyFont="1" applyFill="1" applyBorder="1" applyAlignment="1">
      <alignment horizontal="left" vertical="center" wrapText="1"/>
    </xf>
    <xf numFmtId="0" fontId="38" fillId="10" borderId="7" xfId="0" applyFont="1" applyFill="1" applyBorder="1" applyAlignment="1">
      <alignment horizontal="left" vertical="center" wrapText="1"/>
    </xf>
    <xf numFmtId="0" fontId="21" fillId="10" borderId="8" xfId="0" applyFont="1" applyFill="1" applyBorder="1" applyAlignment="1">
      <alignment horizontal="left" vertical="center" wrapText="1"/>
    </xf>
    <xf numFmtId="0" fontId="68" fillId="0" borderId="10" xfId="0" applyFont="1" applyBorder="1" applyAlignment="1">
      <alignment horizontal="center" vertical="center" wrapText="1"/>
    </xf>
    <xf numFmtId="0" fontId="15" fillId="20" borderId="31" xfId="0" applyFont="1" applyFill="1" applyBorder="1" applyAlignment="1">
      <alignment horizontal="center" vertical="center" textRotation="90"/>
    </xf>
    <xf numFmtId="0" fontId="14" fillId="20" borderId="0" xfId="3" applyFont="1" applyFill="1" applyBorder="1" applyAlignment="1">
      <alignment horizontal="center" vertical="center" textRotation="90"/>
    </xf>
    <xf numFmtId="0" fontId="15" fillId="20" borderId="0" xfId="0" applyFont="1" applyFill="1" applyAlignment="1">
      <alignment horizontal="center" vertical="center" textRotation="90"/>
    </xf>
    <xf numFmtId="0" fontId="14" fillId="20" borderId="33" xfId="3" applyFont="1" applyFill="1" applyBorder="1" applyAlignment="1">
      <alignment horizontal="center" vertical="center" textRotation="90"/>
    </xf>
    <xf numFmtId="0" fontId="15" fillId="21" borderId="31" xfId="0" applyFont="1" applyFill="1" applyBorder="1" applyAlignment="1">
      <alignment horizontal="center" vertical="center" textRotation="90"/>
    </xf>
    <xf numFmtId="0" fontId="14" fillId="21" borderId="0" xfId="3" applyFont="1" applyFill="1" applyBorder="1" applyAlignment="1">
      <alignment horizontal="center" vertical="center" textRotation="90"/>
    </xf>
    <xf numFmtId="0" fontId="15" fillId="21" borderId="0" xfId="0" applyFont="1" applyFill="1" applyAlignment="1">
      <alignment horizontal="center" vertical="center" textRotation="90"/>
    </xf>
    <xf numFmtId="0" fontId="40" fillId="21" borderId="0" xfId="3" applyFont="1" applyFill="1" applyBorder="1" applyAlignment="1">
      <alignment horizontal="center" vertical="center" textRotation="90"/>
    </xf>
    <xf numFmtId="0" fontId="14" fillId="21" borderId="33" xfId="3" applyFont="1" applyFill="1" applyBorder="1" applyAlignment="1">
      <alignment horizontal="center" vertical="center" textRotation="90"/>
    </xf>
    <xf numFmtId="0" fontId="1" fillId="27" borderId="31" xfId="0" applyFont="1" applyFill="1" applyBorder="1" applyAlignment="1">
      <alignment horizontal="center" vertical="center" textRotation="90" wrapText="1"/>
    </xf>
    <xf numFmtId="0" fontId="1" fillId="27" borderId="0" xfId="0" applyFont="1" applyFill="1" applyAlignment="1">
      <alignment horizontal="center" vertical="center" textRotation="90" wrapText="1"/>
    </xf>
    <xf numFmtId="0" fontId="14" fillId="27" borderId="0" xfId="3" applyFont="1" applyFill="1" applyBorder="1" applyAlignment="1">
      <alignment horizontal="center" vertical="center" textRotation="90" wrapText="1"/>
    </xf>
    <xf numFmtId="0" fontId="14" fillId="27" borderId="33" xfId="3" applyFont="1" applyFill="1" applyBorder="1" applyAlignment="1">
      <alignment horizontal="center" vertical="center" textRotation="90" wrapText="1"/>
    </xf>
    <xf numFmtId="0" fontId="64" fillId="10" borderId="37" xfId="0" applyFont="1" applyFill="1" applyBorder="1" applyAlignment="1">
      <alignment horizontal="left" vertical="center" wrapText="1"/>
    </xf>
    <xf numFmtId="0" fontId="64" fillId="10" borderId="9" xfId="0" applyFont="1" applyFill="1" applyBorder="1" applyAlignment="1">
      <alignment horizontal="left" vertical="center" wrapText="1"/>
    </xf>
    <xf numFmtId="0" fontId="21" fillId="10" borderId="10" xfId="0" applyFont="1" applyFill="1" applyBorder="1" applyAlignment="1">
      <alignment horizontal="center" vertical="center" wrapText="1"/>
    </xf>
    <xf numFmtId="0" fontId="18" fillId="0" borderId="36" xfId="0" applyFont="1" applyBorder="1" applyAlignment="1">
      <alignment horizontal="center" vertical="center"/>
    </xf>
    <xf numFmtId="1" fontId="13" fillId="24" borderId="14" xfId="1" applyNumberFormat="1" applyFont="1" applyFill="1" applyBorder="1" applyAlignment="1">
      <alignment horizontal="center" vertical="center"/>
    </xf>
    <xf numFmtId="167" fontId="22" fillId="25" borderId="15" xfId="1" applyNumberFormat="1" applyFont="1" applyFill="1" applyBorder="1" applyAlignment="1">
      <alignment horizontal="center" vertical="center"/>
    </xf>
    <xf numFmtId="0" fontId="19" fillId="8" borderId="14" xfId="0" applyFont="1" applyFill="1" applyBorder="1" applyAlignment="1">
      <alignment horizontal="center" vertical="center" wrapText="1"/>
    </xf>
    <xf numFmtId="0" fontId="67" fillId="0" borderId="0" xfId="0" applyFont="1" applyAlignment="1">
      <alignment horizontal="center" vertical="center" textRotation="90" wrapText="1"/>
    </xf>
    <xf numFmtId="0" fontId="64" fillId="10" borderId="7" xfId="0" applyFont="1" applyFill="1" applyBorder="1" applyAlignment="1">
      <alignment horizontal="left" vertical="center" wrapText="1"/>
    </xf>
    <xf numFmtId="0" fontId="21" fillId="10" borderId="80" xfId="0" applyFont="1" applyFill="1" applyBorder="1" applyAlignment="1">
      <alignment horizontal="left" vertical="center" wrapText="1"/>
    </xf>
    <xf numFmtId="0" fontId="42" fillId="21" borderId="0" xfId="0" applyFont="1" applyFill="1" applyAlignment="1">
      <alignment horizontal="center" vertical="center" textRotation="90"/>
    </xf>
    <xf numFmtId="0" fontId="42" fillId="21" borderId="33" xfId="0" applyFont="1" applyFill="1" applyBorder="1" applyAlignment="1">
      <alignment horizontal="center" vertical="center" textRotation="90"/>
    </xf>
    <xf numFmtId="0" fontId="41" fillId="20" borderId="0" xfId="0" applyFont="1" applyFill="1" applyAlignment="1">
      <alignment horizontal="center" vertical="center" textRotation="90"/>
    </xf>
    <xf numFmtId="0" fontId="41" fillId="20" borderId="33" xfId="0" applyFont="1" applyFill="1" applyBorder="1" applyAlignment="1">
      <alignment horizontal="center" vertical="center" textRotation="90"/>
    </xf>
    <xf numFmtId="0" fontId="38" fillId="10" borderId="81" xfId="0" applyFont="1" applyFill="1" applyBorder="1" applyAlignment="1">
      <alignment horizontal="center" vertical="center" wrapText="1"/>
    </xf>
    <xf numFmtId="0" fontId="38" fillId="10" borderId="7" xfId="0" applyFont="1" applyFill="1" applyBorder="1" applyAlignment="1">
      <alignment horizontal="center" vertical="center"/>
    </xf>
    <xf numFmtId="0" fontId="42" fillId="20" borderId="0" xfId="0" applyFont="1" applyFill="1" applyAlignment="1">
      <alignment horizontal="center" vertical="center"/>
    </xf>
    <xf numFmtId="0" fontId="37" fillId="10" borderId="28" xfId="0" applyFont="1" applyFill="1" applyBorder="1" applyAlignment="1">
      <alignment horizontal="center" vertical="center"/>
    </xf>
    <xf numFmtId="0" fontId="7" fillId="4" borderId="7" xfId="3" applyFill="1" applyBorder="1" applyAlignment="1">
      <alignment horizontal="center" vertical="center"/>
    </xf>
    <xf numFmtId="0" fontId="37" fillId="0" borderId="0" xfId="0" applyFont="1" applyAlignment="1">
      <alignment horizontal="right" vertical="center" textRotation="90"/>
    </xf>
    <xf numFmtId="0" fontId="42" fillId="21" borderId="0" xfId="0" applyFont="1" applyFill="1" applyAlignment="1">
      <alignment horizontal="center" vertical="center"/>
    </xf>
    <xf numFmtId="0" fontId="20" fillId="0" borderId="0" xfId="0" applyFont="1" applyAlignment="1">
      <alignment horizontal="center" vertical="center" textRotation="90"/>
    </xf>
    <xf numFmtId="0" fontId="4" fillId="0" borderId="95" xfId="0" applyFont="1" applyBorder="1" applyAlignment="1">
      <alignment horizontal="left" vertical="center" wrapText="1"/>
    </xf>
    <xf numFmtId="0" fontId="4" fillId="0" borderId="0" xfId="0" applyFont="1" applyAlignment="1">
      <alignment horizontal="left" vertical="center" wrapText="1"/>
    </xf>
    <xf numFmtId="0" fontId="28" fillId="10" borderId="64" xfId="0" applyFont="1" applyFill="1" applyBorder="1" applyAlignment="1">
      <alignment horizontal="left" vertical="center" wrapText="1"/>
    </xf>
    <xf numFmtId="0" fontId="28" fillId="10" borderId="28" xfId="0" applyFont="1" applyFill="1" applyBorder="1" applyAlignment="1">
      <alignment horizontal="left" vertical="center" wrapText="1"/>
    </xf>
    <xf numFmtId="0" fontId="28" fillId="10" borderId="65" xfId="0" applyFont="1" applyFill="1" applyBorder="1" applyAlignment="1">
      <alignment horizontal="left" vertical="center" wrapText="1"/>
    </xf>
    <xf numFmtId="0" fontId="4" fillId="0" borderId="28" xfId="0" applyFont="1" applyBorder="1" applyAlignment="1">
      <alignment horizontal="left" vertical="center" wrapText="1"/>
    </xf>
    <xf numFmtId="0" fontId="21" fillId="10" borderId="22" xfId="0" applyFont="1" applyFill="1" applyBorder="1" applyAlignment="1">
      <alignment horizontal="center" vertical="center" wrapText="1"/>
    </xf>
    <xf numFmtId="0" fontId="28" fillId="10" borderId="117" xfId="0" applyFont="1" applyFill="1" applyBorder="1" applyAlignment="1">
      <alignment horizontal="left" vertical="center" wrapText="1"/>
    </xf>
    <xf numFmtId="0" fontId="28" fillId="10" borderId="77" xfId="0" applyFont="1" applyFill="1" applyBorder="1" applyAlignment="1">
      <alignment horizontal="left" vertical="center" wrapText="1"/>
    </xf>
    <xf numFmtId="0" fontId="28" fillId="10" borderId="92" xfId="0" applyFont="1" applyFill="1" applyBorder="1" applyAlignment="1">
      <alignment horizontal="left" vertical="center" wrapText="1"/>
    </xf>
    <xf numFmtId="0" fontId="4" fillId="0" borderId="77" xfId="0" applyFont="1" applyBorder="1" applyAlignment="1">
      <alignment horizontal="left" vertical="center" wrapText="1"/>
    </xf>
    <xf numFmtId="0" fontId="28" fillId="10" borderId="47" xfId="0" applyFont="1" applyFill="1" applyBorder="1" applyAlignment="1">
      <alignment horizontal="left" vertical="center" wrapText="1"/>
    </xf>
    <xf numFmtId="0" fontId="4" fillId="0" borderId="22" xfId="0" applyFont="1" applyBorder="1" applyAlignment="1">
      <alignment horizontal="left" vertical="center" wrapText="1"/>
    </xf>
    <xf numFmtId="0" fontId="4" fillId="0" borderId="30" xfId="0" applyFont="1" applyBorder="1" applyAlignment="1">
      <alignment horizontal="left" vertical="center" wrapText="1"/>
    </xf>
    <xf numFmtId="0" fontId="20" fillId="10" borderId="115" xfId="0" applyFont="1" applyFill="1" applyBorder="1" applyAlignment="1">
      <alignment horizontal="center" vertical="center" wrapText="1"/>
    </xf>
    <xf numFmtId="0" fontId="20" fillId="10" borderId="2" xfId="0" applyFont="1" applyFill="1" applyBorder="1" applyAlignment="1">
      <alignment horizontal="center" vertical="center" wrapText="1"/>
    </xf>
    <xf numFmtId="0" fontId="20" fillId="10" borderId="40" xfId="0" applyFont="1" applyFill="1" applyBorder="1" applyAlignment="1">
      <alignment horizontal="center" vertical="center" wrapText="1"/>
    </xf>
    <xf numFmtId="0" fontId="28" fillId="10" borderId="95"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24" xfId="0" applyFont="1" applyBorder="1" applyAlignment="1">
      <alignment horizontal="left" vertical="center" wrapText="1"/>
    </xf>
    <xf numFmtId="0" fontId="4" fillId="0" borderId="40" xfId="0" applyFont="1" applyBorder="1" applyAlignment="1">
      <alignment horizontal="left" vertical="center" wrapText="1"/>
    </xf>
    <xf numFmtId="0" fontId="23" fillId="4" borderId="38" xfId="3" applyFont="1" applyFill="1" applyBorder="1" applyAlignment="1">
      <alignment horizontal="center" vertical="center"/>
    </xf>
    <xf numFmtId="167" fontId="22" fillId="17" borderId="16" xfId="1" applyNumberFormat="1" applyFont="1" applyFill="1" applyBorder="1" applyAlignment="1">
      <alignment horizontal="center" vertical="center"/>
    </xf>
    <xf numFmtId="0" fontId="21" fillId="10" borderId="22" xfId="0" applyFont="1" applyFill="1" applyBorder="1" applyAlignment="1">
      <alignment horizontal="center" vertical="center"/>
    </xf>
    <xf numFmtId="0" fontId="45" fillId="21" borderId="0" xfId="0" applyFont="1" applyFill="1" applyAlignment="1">
      <alignment horizontal="center" vertical="center"/>
    </xf>
    <xf numFmtId="0" fontId="45" fillId="37" borderId="0" xfId="0" applyFont="1" applyFill="1" applyAlignment="1">
      <alignment horizontal="center" vertical="center"/>
    </xf>
    <xf numFmtId="0" fontId="44" fillId="6" borderId="0" xfId="0" applyFont="1" applyFill="1" applyAlignment="1">
      <alignment horizontal="center" textRotation="90" wrapText="1"/>
    </xf>
    <xf numFmtId="0" fontId="49" fillId="10" borderId="70" xfId="0" applyFont="1" applyFill="1" applyBorder="1" applyAlignment="1">
      <alignment horizontal="left" vertical="center" wrapText="1"/>
    </xf>
    <xf numFmtId="0" fontId="49" fillId="10" borderId="29" xfId="0" applyFont="1" applyFill="1" applyBorder="1" applyAlignment="1">
      <alignment horizontal="left" vertical="center" wrapText="1"/>
    </xf>
    <xf numFmtId="0" fontId="49" fillId="10" borderId="28" xfId="0" applyFont="1" applyFill="1" applyBorder="1" applyAlignment="1">
      <alignment horizontal="left" vertical="center" wrapText="1"/>
    </xf>
    <xf numFmtId="9" fontId="22" fillId="25" borderId="28" xfId="2" applyFont="1" applyFill="1" applyBorder="1" applyAlignment="1">
      <alignment horizontal="center" vertical="center" wrapText="1"/>
    </xf>
    <xf numFmtId="9" fontId="22" fillId="25" borderId="65" xfId="2" applyFont="1" applyFill="1" applyBorder="1" applyAlignment="1">
      <alignment horizontal="center" vertical="center" wrapText="1"/>
    </xf>
    <xf numFmtId="0" fontId="49" fillId="10" borderId="64" xfId="0" applyFont="1" applyFill="1" applyBorder="1" applyAlignment="1">
      <alignment horizontal="left" vertical="center" wrapText="1"/>
    </xf>
    <xf numFmtId="0" fontId="85" fillId="2" borderId="0" xfId="0" applyFont="1" applyFill="1" applyAlignment="1">
      <alignment horizontal="center" vertical="center"/>
    </xf>
    <xf numFmtId="0" fontId="85" fillId="2" borderId="67" xfId="0" applyFont="1" applyFill="1" applyBorder="1" applyAlignment="1">
      <alignment horizontal="center" vertical="center"/>
    </xf>
    <xf numFmtId="0" fontId="22" fillId="10" borderId="64" xfId="0" applyFont="1" applyFill="1" applyBorder="1" applyAlignment="1">
      <alignment horizontal="left" vertical="center" wrapText="1"/>
    </xf>
    <xf numFmtId="0" fontId="22" fillId="10" borderId="28" xfId="0" applyFont="1" applyFill="1" applyBorder="1" applyAlignment="1">
      <alignment horizontal="left" vertical="center" wrapText="1"/>
    </xf>
    <xf numFmtId="0" fontId="18" fillId="0" borderId="64" xfId="0" applyFont="1" applyBorder="1" applyAlignment="1">
      <alignment horizontal="left" vertical="center"/>
    </xf>
    <xf numFmtId="0" fontId="18" fillId="0" borderId="28" xfId="0" applyFont="1" applyBorder="1" applyAlignment="1">
      <alignment horizontal="left" vertical="center"/>
    </xf>
    <xf numFmtId="0" fontId="4" fillId="0" borderId="0" xfId="0" applyFont="1" applyAlignment="1">
      <alignment horizontal="center" vertical="center"/>
    </xf>
    <xf numFmtId="0" fontId="4" fillId="0" borderId="67" xfId="0" applyFont="1" applyBorder="1" applyAlignment="1">
      <alignment horizontal="center" vertical="center"/>
    </xf>
    <xf numFmtId="3" fontId="22" fillId="25" borderId="28" xfId="1" applyNumberFormat="1" applyFont="1" applyFill="1" applyBorder="1" applyAlignment="1">
      <alignment horizontal="center" vertical="center" wrapText="1"/>
    </xf>
    <xf numFmtId="3" fontId="22" fillId="25" borderId="30" xfId="1" applyNumberFormat="1" applyFont="1" applyFill="1" applyBorder="1" applyAlignment="1">
      <alignment horizontal="center" vertical="center" wrapText="1"/>
    </xf>
    <xf numFmtId="0" fontId="18" fillId="2" borderId="28" xfId="0" applyFont="1" applyFill="1" applyBorder="1" applyAlignment="1">
      <alignment horizontal="left" vertical="center" wrapText="1"/>
    </xf>
    <xf numFmtId="0" fontId="18" fillId="2" borderId="65" xfId="0" applyFont="1" applyFill="1" applyBorder="1" applyAlignment="1">
      <alignment horizontal="left" vertical="center" wrapText="1"/>
    </xf>
    <xf numFmtId="0" fontId="18" fillId="2" borderId="30" xfId="0" applyFont="1" applyFill="1" applyBorder="1" applyAlignment="1">
      <alignment horizontal="left" vertical="center" wrapText="1"/>
    </xf>
    <xf numFmtId="0" fontId="18" fillId="2" borderId="68" xfId="0" applyFont="1" applyFill="1" applyBorder="1" applyAlignment="1">
      <alignment horizontal="left" vertical="center" wrapText="1"/>
    </xf>
    <xf numFmtId="0" fontId="52" fillId="0" borderId="0" xfId="0" applyFont="1" applyAlignment="1">
      <alignment horizontal="center" vertical="center" wrapText="1"/>
    </xf>
    <xf numFmtId="0" fontId="52" fillId="0" borderId="67" xfId="0" applyFont="1" applyBorder="1" applyAlignment="1">
      <alignment horizontal="center" vertical="center" wrapText="1"/>
    </xf>
    <xf numFmtId="9" fontId="49" fillId="25" borderId="29" xfId="2" applyFont="1" applyFill="1" applyBorder="1" applyAlignment="1">
      <alignment horizontal="center" vertical="center" wrapText="1"/>
    </xf>
    <xf numFmtId="9" fontId="49" fillId="25" borderId="71" xfId="2" applyFont="1" applyFill="1" applyBorder="1" applyAlignment="1">
      <alignment horizontal="center" vertical="center" wrapText="1"/>
    </xf>
    <xf numFmtId="0" fontId="18" fillId="0" borderId="69" xfId="0" applyFont="1" applyBorder="1" applyAlignment="1">
      <alignment horizontal="left" vertical="center"/>
    </xf>
    <xf numFmtId="0" fontId="18" fillId="0" borderId="30" xfId="0" applyFont="1" applyBorder="1" applyAlignment="1">
      <alignment horizontal="left" vertical="center"/>
    </xf>
    <xf numFmtId="0" fontId="18" fillId="0" borderId="68" xfId="0" applyFont="1" applyBorder="1" applyAlignment="1">
      <alignment horizontal="left" vertical="center"/>
    </xf>
    <xf numFmtId="0" fontId="57" fillId="10" borderId="64" xfId="0" applyFont="1" applyFill="1" applyBorder="1" applyAlignment="1">
      <alignment horizontal="center" vertical="center" wrapText="1"/>
    </xf>
    <xf numFmtId="0" fontId="57" fillId="10" borderId="28" xfId="0" applyFont="1" applyFill="1" applyBorder="1" applyAlignment="1">
      <alignment horizontal="center" vertical="center" wrapText="1"/>
    </xf>
    <xf numFmtId="0" fontId="57" fillId="10" borderId="65" xfId="0" applyFont="1" applyFill="1" applyBorder="1" applyAlignment="1">
      <alignment horizontal="center" vertical="center" wrapText="1"/>
    </xf>
    <xf numFmtId="0" fontId="22" fillId="2" borderId="0" xfId="0" applyFont="1" applyFill="1" applyAlignment="1">
      <alignment horizontal="center" vertical="center" textRotation="90"/>
    </xf>
    <xf numFmtId="0" fontId="19" fillId="26" borderId="15" xfId="0" applyFont="1" applyFill="1" applyBorder="1" applyAlignment="1">
      <alignment horizontal="center" vertical="center" wrapText="1"/>
    </xf>
    <xf numFmtId="0" fontId="83" fillId="23" borderId="0" xfId="0" applyFont="1" applyFill="1" applyAlignment="1">
      <alignment horizontal="center" vertical="center"/>
    </xf>
    <xf numFmtId="0" fontId="18" fillId="2" borderId="28" xfId="0" applyFont="1" applyFill="1" applyBorder="1" applyAlignment="1">
      <alignment horizontal="center" vertical="center" wrapText="1"/>
    </xf>
    <xf numFmtId="0" fontId="18" fillId="2" borderId="65" xfId="0" applyFont="1" applyFill="1" applyBorder="1" applyAlignment="1">
      <alignment horizontal="center" vertical="center" wrapText="1"/>
    </xf>
    <xf numFmtId="0" fontId="45" fillId="23" borderId="64" xfId="0" applyFont="1" applyFill="1" applyBorder="1" applyAlignment="1">
      <alignment horizontal="center" vertical="center" wrapText="1"/>
    </xf>
    <xf numFmtId="0" fontId="45" fillId="23" borderId="28" xfId="0" applyFont="1" applyFill="1" applyBorder="1" applyAlignment="1">
      <alignment horizontal="center" vertical="center" wrapText="1"/>
    </xf>
    <xf numFmtId="0" fontId="45" fillId="23" borderId="65" xfId="0" applyFont="1" applyFill="1" applyBorder="1" applyAlignment="1">
      <alignment horizontal="center"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49" fillId="10" borderId="70" xfId="0" applyFont="1" applyFill="1" applyBorder="1" applyAlignment="1">
      <alignment horizontal="center" vertical="center" wrapText="1"/>
    </xf>
    <xf numFmtId="0" fontId="49" fillId="10" borderId="29" xfId="0" applyFont="1" applyFill="1" applyBorder="1" applyAlignment="1">
      <alignment horizontal="center" vertical="center" wrapText="1"/>
    </xf>
    <xf numFmtId="0" fontId="49" fillId="10" borderId="71" xfId="0" applyFont="1" applyFill="1" applyBorder="1" applyAlignment="1">
      <alignment horizontal="center" vertical="center" wrapText="1"/>
    </xf>
    <xf numFmtId="9" fontId="57" fillId="25" borderId="64" xfId="2" applyFont="1" applyFill="1" applyBorder="1" applyAlignment="1">
      <alignment horizontal="center" vertical="center" wrapText="1"/>
    </xf>
    <xf numFmtId="9" fontId="57" fillId="25" borderId="28" xfId="2" applyFont="1" applyFill="1" applyBorder="1" applyAlignment="1">
      <alignment horizontal="center" vertical="center" wrapText="1"/>
    </xf>
    <xf numFmtId="9" fontId="57" fillId="25" borderId="65" xfId="2" applyFont="1" applyFill="1" applyBorder="1" applyAlignment="1">
      <alignment horizontal="center" vertical="center" wrapText="1"/>
    </xf>
    <xf numFmtId="3" fontId="60" fillId="25" borderId="28" xfId="1" applyNumberFormat="1" applyFont="1" applyFill="1" applyBorder="1" applyAlignment="1">
      <alignment horizontal="center" vertical="center"/>
    </xf>
    <xf numFmtId="3" fontId="60" fillId="25" borderId="0" xfId="1" applyNumberFormat="1" applyFont="1" applyFill="1" applyBorder="1" applyAlignment="1">
      <alignment horizontal="center" vertical="center"/>
    </xf>
    <xf numFmtId="0" fontId="49" fillId="10" borderId="69" xfId="0" applyFont="1" applyFill="1" applyBorder="1" applyAlignment="1">
      <alignment horizontal="left" vertical="center" wrapText="1"/>
    </xf>
    <xf numFmtId="0" fontId="49" fillId="10" borderId="30" xfId="0" applyFont="1" applyFill="1" applyBorder="1" applyAlignment="1">
      <alignment horizontal="left" vertical="center" wrapText="1"/>
    </xf>
    <xf numFmtId="0" fontId="52" fillId="10" borderId="64" xfId="0" applyFont="1" applyFill="1" applyBorder="1" applyAlignment="1">
      <alignment horizontal="center" vertical="center"/>
    </xf>
    <xf numFmtId="0" fontId="52" fillId="10" borderId="65" xfId="0" applyFont="1" applyFill="1" applyBorder="1" applyAlignment="1">
      <alignment horizontal="center" vertical="center"/>
    </xf>
    <xf numFmtId="0" fontId="22" fillId="0" borderId="0" xfId="0" applyFont="1" applyAlignment="1">
      <alignment horizontal="center" vertical="center" textRotation="90"/>
    </xf>
    <xf numFmtId="165" fontId="81" fillId="13" borderId="7" xfId="1" applyNumberFormat="1" applyFont="1" applyFill="1" applyBorder="1" applyAlignment="1">
      <alignment horizontal="center" vertical="center"/>
    </xf>
    <xf numFmtId="165" fontId="82" fillId="13" borderId="7" xfId="1" applyNumberFormat="1" applyFont="1" applyFill="1" applyBorder="1" applyAlignment="1">
      <alignment horizontal="center" vertical="center"/>
    </xf>
    <xf numFmtId="165" fontId="25" fillId="2" borderId="0" xfId="1" applyNumberFormat="1" applyFont="1" applyFill="1" applyBorder="1" applyAlignment="1">
      <alignment horizontal="center" vertical="center"/>
    </xf>
    <xf numFmtId="0" fontId="56" fillId="10" borderId="10" xfId="0" applyFont="1" applyFill="1" applyBorder="1" applyAlignment="1">
      <alignment horizontal="center" vertical="center" wrapText="1"/>
    </xf>
    <xf numFmtId="0" fontId="56" fillId="10" borderId="80" xfId="0" applyFont="1" applyFill="1" applyBorder="1" applyAlignment="1">
      <alignment horizontal="center" vertical="center" wrapText="1"/>
    </xf>
    <xf numFmtId="0" fontId="22" fillId="10" borderId="0" xfId="0" applyFont="1" applyFill="1" applyAlignment="1">
      <alignment horizontal="center" vertical="center" textRotation="90"/>
    </xf>
    <xf numFmtId="0" fontId="21" fillId="10" borderId="46" xfId="0" applyFont="1" applyFill="1" applyBorder="1" applyAlignment="1">
      <alignment horizontal="center" vertical="center" wrapText="1"/>
    </xf>
    <xf numFmtId="165" fontId="25" fillId="13" borderId="0" xfId="1" applyNumberFormat="1" applyFont="1" applyFill="1" applyBorder="1" applyAlignment="1">
      <alignment horizontal="center" vertical="center"/>
    </xf>
    <xf numFmtId="0" fontId="19" fillId="8" borderId="0" xfId="0" applyFont="1" applyFill="1" applyAlignment="1">
      <alignment horizontal="center" vertical="center" wrapText="1"/>
    </xf>
    <xf numFmtId="1" fontId="13" fillId="2" borderId="0" xfId="1" applyNumberFormat="1" applyFont="1" applyFill="1" applyBorder="1" applyAlignment="1">
      <alignment horizontal="center" vertical="center"/>
    </xf>
    <xf numFmtId="167" fontId="22" fillId="2" borderId="0" xfId="1" applyNumberFormat="1" applyFont="1" applyFill="1" applyBorder="1" applyAlignment="1">
      <alignment horizontal="center" vertical="center"/>
    </xf>
    <xf numFmtId="0" fontId="23" fillId="4" borderId="23" xfId="3" applyFont="1" applyFill="1" applyBorder="1" applyAlignment="1">
      <alignment horizontal="center" vertical="center"/>
    </xf>
    <xf numFmtId="0" fontId="19" fillId="8" borderId="22" xfId="0" applyFont="1" applyFill="1" applyBorder="1" applyAlignment="1">
      <alignment horizontal="center" vertical="center" wrapText="1"/>
    </xf>
    <xf numFmtId="165" fontId="25" fillId="13" borderId="24" xfId="1" applyNumberFormat="1" applyFont="1" applyFill="1" applyBorder="1" applyAlignment="1">
      <alignment horizontal="center" vertical="center"/>
    </xf>
    <xf numFmtId="0" fontId="19" fillId="26" borderId="23" xfId="0" applyFont="1" applyFill="1" applyBorder="1" applyAlignment="1">
      <alignment horizontal="center" vertical="center" wrapText="1"/>
    </xf>
    <xf numFmtId="0" fontId="21" fillId="10" borderId="27" xfId="0" applyFont="1" applyFill="1" applyBorder="1" applyAlignment="1">
      <alignment horizontal="center" vertical="center" wrapText="1"/>
    </xf>
    <xf numFmtId="1" fontId="13" fillId="24" borderId="22" xfId="1" applyNumberFormat="1" applyFont="1" applyFill="1" applyBorder="1" applyAlignment="1">
      <alignment horizontal="center" vertical="center"/>
    </xf>
    <xf numFmtId="167" fontId="22" fillId="25" borderId="0" xfId="1" applyNumberFormat="1" applyFont="1" applyFill="1" applyBorder="1" applyAlignment="1">
      <alignment horizontal="center" vertical="center"/>
    </xf>
    <xf numFmtId="0" fontId="52" fillId="19" borderId="70" xfId="0" applyFont="1" applyFill="1" applyBorder="1" applyAlignment="1">
      <alignment horizontal="center" vertical="center" wrapText="1"/>
    </xf>
    <xf numFmtId="0" fontId="52" fillId="19" borderId="29" xfId="0" applyFont="1" applyFill="1" applyBorder="1" applyAlignment="1">
      <alignment horizontal="center" vertical="center" wrapText="1"/>
    </xf>
    <xf numFmtId="0" fontId="52" fillId="19" borderId="71" xfId="0" applyFont="1" applyFill="1" applyBorder="1" applyAlignment="1">
      <alignment horizontal="center" vertical="center" wrapText="1"/>
    </xf>
    <xf numFmtId="0" fontId="52" fillId="19" borderId="69" xfId="0" applyFont="1" applyFill="1" applyBorder="1" applyAlignment="1">
      <alignment horizontal="center" vertical="center" wrapText="1"/>
    </xf>
    <xf numFmtId="0" fontId="52" fillId="19" borderId="30" xfId="0" applyFont="1" applyFill="1" applyBorder="1" applyAlignment="1">
      <alignment horizontal="center" vertical="center" wrapText="1"/>
    </xf>
    <xf numFmtId="0" fontId="52" fillId="19" borderId="68" xfId="0" applyFont="1" applyFill="1" applyBorder="1" applyAlignment="1">
      <alignment horizontal="center" vertical="center" wrapText="1"/>
    </xf>
    <xf numFmtId="0" fontId="20" fillId="10" borderId="77" xfId="0" applyFont="1" applyFill="1" applyBorder="1" applyAlignment="1">
      <alignment horizontal="center" vertical="center" wrapText="1"/>
    </xf>
    <xf numFmtId="0" fontId="44" fillId="21" borderId="0" xfId="0" applyFont="1" applyFill="1" applyAlignment="1">
      <alignment horizontal="center" vertical="center"/>
    </xf>
    <xf numFmtId="0" fontId="4" fillId="2" borderId="0" xfId="0" applyFont="1" applyFill="1" applyAlignment="1">
      <alignment horizontal="center" vertical="center" wrapText="1"/>
    </xf>
    <xf numFmtId="0" fontId="44" fillId="20" borderId="21" xfId="0" applyFont="1" applyFill="1" applyBorder="1" applyAlignment="1">
      <alignment horizontal="center" vertical="center"/>
    </xf>
    <xf numFmtId="0" fontId="44" fillId="20" borderId="0" xfId="0" applyFont="1" applyFill="1" applyAlignment="1">
      <alignment horizontal="center" vertical="center"/>
    </xf>
    <xf numFmtId="0" fontId="4" fillId="0" borderId="0" xfId="0" applyFont="1" applyAlignment="1">
      <alignment horizontal="center" vertical="center" wrapText="1"/>
    </xf>
    <xf numFmtId="0" fontId="26" fillId="4" borderId="28" xfId="3" applyFont="1" applyFill="1" applyBorder="1" applyAlignment="1">
      <alignment horizontal="center" vertical="center"/>
    </xf>
    <xf numFmtId="0" fontId="26" fillId="4" borderId="0" xfId="3" applyFont="1" applyFill="1" applyBorder="1" applyAlignment="1">
      <alignment horizontal="center" vertical="center"/>
    </xf>
    <xf numFmtId="0" fontId="28" fillId="10" borderId="111" xfId="0" applyFont="1" applyFill="1" applyBorder="1" applyAlignment="1">
      <alignment horizontal="center" vertical="center" wrapText="1"/>
    </xf>
    <xf numFmtId="0" fontId="45" fillId="20" borderId="70" xfId="0" applyFont="1" applyFill="1" applyBorder="1" applyAlignment="1">
      <alignment horizontal="center" vertical="center"/>
    </xf>
    <xf numFmtId="0" fontId="45" fillId="20" borderId="29" xfId="0" applyFont="1" applyFill="1" applyBorder="1" applyAlignment="1">
      <alignment horizontal="center" vertical="center"/>
    </xf>
    <xf numFmtId="0" fontId="45" fillId="20" borderId="71" xfId="0" applyFont="1" applyFill="1" applyBorder="1" applyAlignment="1">
      <alignment horizontal="center" vertical="center"/>
    </xf>
    <xf numFmtId="0" fontId="45" fillId="20" borderId="69" xfId="0" applyFont="1" applyFill="1" applyBorder="1" applyAlignment="1">
      <alignment horizontal="center" vertical="center"/>
    </xf>
    <xf numFmtId="0" fontId="45" fillId="20" borderId="30" xfId="0" applyFont="1" applyFill="1" applyBorder="1" applyAlignment="1">
      <alignment horizontal="center" vertical="center"/>
    </xf>
    <xf numFmtId="0" fontId="45" fillId="20" borderId="68" xfId="0" applyFont="1" applyFill="1" applyBorder="1" applyAlignment="1">
      <alignment horizontal="center" vertical="center"/>
    </xf>
    <xf numFmtId="0" fontId="28" fillId="10" borderId="110" xfId="0" applyFont="1" applyFill="1" applyBorder="1" applyAlignment="1">
      <alignment horizontal="center" vertical="center" wrapText="1"/>
    </xf>
    <xf numFmtId="0" fontId="28" fillId="10" borderId="112" xfId="0" applyFont="1" applyFill="1" applyBorder="1" applyAlignment="1">
      <alignment horizontal="center" vertical="center" wrapText="1"/>
    </xf>
    <xf numFmtId="0" fontId="20" fillId="10" borderId="28" xfId="0" applyFont="1" applyFill="1" applyBorder="1" applyAlignment="1">
      <alignment horizontal="center" vertical="center" wrapText="1"/>
    </xf>
    <xf numFmtId="0" fontId="28" fillId="10" borderId="64" xfId="0" applyFont="1" applyFill="1" applyBorder="1" applyAlignment="1">
      <alignment horizontal="center" vertical="center" wrapText="1"/>
    </xf>
    <xf numFmtId="0" fontId="28" fillId="10" borderId="28" xfId="0" applyFont="1" applyFill="1" applyBorder="1" applyAlignment="1">
      <alignment horizontal="center" vertical="center" wrapText="1"/>
    </xf>
    <xf numFmtId="0" fontId="28" fillId="10" borderId="65" xfId="0" applyFont="1" applyFill="1" applyBorder="1" applyAlignment="1">
      <alignment horizontal="center" vertical="center" wrapText="1"/>
    </xf>
    <xf numFmtId="0" fontId="20" fillId="10" borderId="25" xfId="0" applyFont="1" applyFill="1" applyBorder="1" applyAlignment="1">
      <alignment horizontal="center" vertical="center" wrapText="1"/>
    </xf>
    <xf numFmtId="0" fontId="20" fillId="10" borderId="22" xfId="0" applyFont="1" applyFill="1" applyBorder="1" applyAlignment="1">
      <alignment horizontal="center" vertical="center" wrapText="1"/>
    </xf>
    <xf numFmtId="0" fontId="19" fillId="9" borderId="15" xfId="0" applyFont="1" applyFill="1" applyBorder="1" applyAlignment="1">
      <alignment horizontal="center" vertical="center" wrapText="1"/>
    </xf>
    <xf numFmtId="0" fontId="45" fillId="21" borderId="70" xfId="0" applyFont="1" applyFill="1" applyBorder="1" applyAlignment="1">
      <alignment horizontal="center" vertical="center"/>
    </xf>
    <xf numFmtId="0" fontId="45" fillId="21" borderId="29" xfId="0" applyFont="1" applyFill="1" applyBorder="1" applyAlignment="1">
      <alignment horizontal="center" vertical="center"/>
    </xf>
    <xf numFmtId="0" fontId="45" fillId="21" borderId="71" xfId="0" applyFont="1" applyFill="1" applyBorder="1" applyAlignment="1">
      <alignment horizontal="center" vertical="center"/>
    </xf>
    <xf numFmtId="0" fontId="45" fillId="21" borderId="69" xfId="0" applyFont="1" applyFill="1" applyBorder="1" applyAlignment="1">
      <alignment horizontal="center" vertical="center"/>
    </xf>
    <xf numFmtId="0" fontId="45" fillId="21" borderId="30" xfId="0" applyFont="1" applyFill="1" applyBorder="1" applyAlignment="1">
      <alignment horizontal="center" vertical="center"/>
    </xf>
    <xf numFmtId="0" fontId="45" fillId="21" borderId="68" xfId="0" applyFont="1" applyFill="1" applyBorder="1" applyAlignment="1">
      <alignment horizontal="center" vertical="center"/>
    </xf>
    <xf numFmtId="0" fontId="45" fillId="21" borderId="28" xfId="0" applyFont="1" applyFill="1" applyBorder="1" applyAlignment="1">
      <alignment horizontal="center" vertical="center"/>
    </xf>
    <xf numFmtId="0" fontId="45" fillId="20" borderId="23" xfId="0" applyFont="1" applyFill="1" applyBorder="1" applyAlignment="1">
      <alignment horizontal="center" vertical="center"/>
    </xf>
    <xf numFmtId="0" fontId="45" fillId="20" borderId="79" xfId="0" applyFont="1" applyFill="1" applyBorder="1" applyAlignment="1">
      <alignment horizontal="center" vertical="center"/>
    </xf>
    <xf numFmtId="0" fontId="45" fillId="21" borderId="22" xfId="0" applyFont="1" applyFill="1" applyBorder="1" applyAlignment="1">
      <alignment horizontal="center" vertical="center"/>
    </xf>
    <xf numFmtId="0" fontId="7" fillId="4" borderId="0" xfId="3" applyFill="1" applyAlignment="1">
      <alignment horizontal="center"/>
    </xf>
    <xf numFmtId="0" fontId="73" fillId="4" borderId="47" xfId="0" applyFont="1" applyFill="1" applyBorder="1" applyAlignment="1">
      <alignment horizontal="center" vertical="center" textRotation="90"/>
    </xf>
    <xf numFmtId="0" fontId="73" fillId="11" borderId="25" xfId="0" applyFont="1" applyFill="1" applyBorder="1" applyAlignment="1">
      <alignment horizontal="center" vertical="center" textRotation="90"/>
    </xf>
    <xf numFmtId="0" fontId="73" fillId="3" borderId="63" xfId="0" applyFont="1" applyFill="1" applyBorder="1" applyAlignment="1">
      <alignment horizontal="center" vertical="center" textRotation="90" wrapText="1"/>
    </xf>
    <xf numFmtId="0" fontId="73" fillId="7" borderId="47" xfId="0" applyFont="1" applyFill="1" applyBorder="1" applyAlignment="1">
      <alignment horizontal="center" vertical="center" textRotation="90"/>
    </xf>
    <xf numFmtId="0" fontId="20" fillId="10" borderId="70" xfId="0" applyFont="1" applyFill="1" applyBorder="1" applyAlignment="1">
      <alignment horizontal="center" vertical="center" wrapText="1"/>
    </xf>
    <xf numFmtId="0" fontId="20" fillId="10" borderId="29" xfId="0" applyFont="1" applyFill="1" applyBorder="1" applyAlignment="1">
      <alignment horizontal="center" vertical="center" wrapText="1"/>
    </xf>
    <xf numFmtId="0" fontId="20" fillId="10" borderId="71" xfId="0" applyFont="1" applyFill="1" applyBorder="1" applyAlignment="1">
      <alignment horizontal="center" vertical="center" wrapText="1"/>
    </xf>
    <xf numFmtId="0" fontId="20" fillId="10" borderId="66" xfId="0" applyFont="1" applyFill="1" applyBorder="1" applyAlignment="1">
      <alignment horizontal="center" vertical="center" wrapText="1"/>
    </xf>
    <xf numFmtId="0" fontId="20" fillId="10" borderId="0" xfId="0" applyFont="1" applyFill="1" applyAlignment="1">
      <alignment horizontal="center" vertical="center" wrapText="1"/>
    </xf>
    <xf numFmtId="0" fontId="20" fillId="10" borderId="67" xfId="0" applyFont="1" applyFill="1" applyBorder="1" applyAlignment="1">
      <alignment horizontal="center" vertical="center" wrapText="1"/>
    </xf>
    <xf numFmtId="0" fontId="20" fillId="10" borderId="69" xfId="0" applyFont="1" applyFill="1" applyBorder="1" applyAlignment="1">
      <alignment horizontal="center" vertical="center" wrapText="1"/>
    </xf>
    <xf numFmtId="0" fontId="20" fillId="10" borderId="30" xfId="0" applyFont="1" applyFill="1" applyBorder="1" applyAlignment="1">
      <alignment horizontal="center" vertical="center" wrapText="1"/>
    </xf>
    <xf numFmtId="0" fontId="20" fillId="10" borderId="68" xfId="0" applyFont="1" applyFill="1" applyBorder="1" applyAlignment="1">
      <alignment horizontal="center" vertical="center" wrapText="1"/>
    </xf>
    <xf numFmtId="0" fontId="13" fillId="0" borderId="0" xfId="0" applyFont="1" applyFill="1" applyAlignment="1">
      <alignment vertical="center"/>
    </xf>
  </cellXfs>
  <cellStyles count="5">
    <cellStyle name="Komma" xfId="1" builtinId="3"/>
    <cellStyle name="Link" xfId="3" builtinId="8"/>
    <cellStyle name="Prozent" xfId="2" builtinId="5"/>
    <cellStyle name="Standard" xfId="0" builtinId="0"/>
    <cellStyle name="Standard 2 2" xfId="4" xr:uid="{170FDFD3-C256-423A-9981-CCAF1BCA9136}"/>
  </cellStyles>
  <dxfs count="71">
    <dxf>
      <font>
        <b/>
        <i val="0"/>
      </font>
      <fill>
        <patternFill>
          <bgColor rgb="FFC00000"/>
        </patternFill>
      </fill>
    </dxf>
    <dxf>
      <font>
        <b/>
        <i val="0"/>
      </font>
      <fill>
        <patternFill>
          <bgColor rgb="FFC00000"/>
        </patternFill>
      </fill>
    </dxf>
    <dxf>
      <font>
        <b/>
        <i val="0"/>
      </font>
      <fill>
        <patternFill>
          <bgColor rgb="FFC00000"/>
        </patternFill>
      </fill>
    </dxf>
    <dxf>
      <font>
        <b/>
        <i val="0"/>
      </font>
      <fill>
        <patternFill>
          <bgColor rgb="FFC00000"/>
        </patternFill>
      </fill>
    </dxf>
    <dxf>
      <font>
        <b/>
        <i val="0"/>
      </font>
      <fill>
        <patternFill>
          <bgColor rgb="FFC00000"/>
        </patternFill>
      </fill>
    </dxf>
    <dxf>
      <font>
        <b/>
        <i val="0"/>
      </font>
      <fill>
        <patternFill>
          <bgColor rgb="FFC0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ont>
        <b/>
        <i val="0"/>
      </font>
      <fill>
        <patternFill>
          <bgColor rgb="FFC00000"/>
        </patternFill>
      </fill>
    </dxf>
    <dxf>
      <font>
        <b/>
        <i val="0"/>
        <strike val="0"/>
        <color theme="0"/>
      </font>
      <fill>
        <patternFill>
          <bgColor rgb="FFFF0000"/>
        </patternFill>
      </fill>
    </dxf>
    <dxf>
      <font>
        <b/>
        <i val="0"/>
        <strike val="0"/>
        <color theme="0"/>
      </font>
      <fill>
        <patternFill>
          <bgColor rgb="FFFF0000"/>
        </patternFill>
      </fill>
    </dxf>
    <dxf>
      <font>
        <b/>
        <i val="0"/>
        <color theme="0"/>
      </font>
      <fill>
        <patternFill>
          <bgColor rgb="FFFF0000"/>
        </patternFill>
      </fill>
    </dxf>
    <dxf>
      <font>
        <b/>
        <i val="0"/>
      </font>
      <fill>
        <patternFill>
          <bgColor rgb="FFC00000"/>
        </patternFill>
      </fill>
    </dxf>
    <dxf>
      <font>
        <b/>
        <i val="0"/>
      </font>
      <fill>
        <patternFill>
          <bgColor rgb="FFC00000"/>
        </patternFill>
      </fill>
    </dxf>
    <dxf>
      <font>
        <b/>
        <i val="0"/>
      </font>
      <fill>
        <patternFill>
          <bgColor rgb="FFC00000"/>
        </patternFill>
      </fill>
    </dxf>
    <dxf>
      <font>
        <b/>
        <i val="0"/>
      </font>
      <fill>
        <patternFill>
          <bgColor rgb="FFC0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font>
      <fill>
        <patternFill>
          <bgColor rgb="FFC0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b/>
        <i val="0"/>
      </font>
      <fill>
        <patternFill>
          <bgColor rgb="FFFF0000"/>
        </patternFill>
      </fill>
    </dxf>
    <dxf>
      <font>
        <b/>
        <i val="0"/>
      </font>
      <fill>
        <patternFill>
          <bgColor rgb="FFC00000"/>
        </patternFill>
      </fill>
    </dxf>
  </dxfs>
  <tableStyles count="0" defaultTableStyle="TableStyleMedium2" defaultPivotStyle="PivotStyleLight16"/>
  <colors>
    <mruColors>
      <color rgb="FF3F816D"/>
      <color rgb="FFDFF5EB"/>
      <color rgb="FFD4E8E7"/>
      <color rgb="FFE1E4E6"/>
      <color rgb="FF00659D"/>
      <color rgb="FFFEF9DA"/>
      <color rgb="FF51A58B"/>
      <color rgb="FFFFE5E5"/>
      <color rgb="FF04A422"/>
      <color rgb="FFE1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0.14501707612910786"/>
          <c:y val="0.11530614271891364"/>
          <c:w val="0.83341015050786016"/>
          <c:h val="0.64860782462371869"/>
        </c:manualLayout>
      </c:layout>
      <c:lineChart>
        <c:grouping val="standard"/>
        <c:varyColors val="0"/>
        <c:ser>
          <c:idx val="1"/>
          <c:order val="0"/>
          <c:tx>
            <c:strRef>
              <c:f>'Grid Costs'!$B$13</c:f>
              <c:strCache>
                <c:ptCount val="1"/>
                <c:pt idx="0">
                  <c:v>Specific cost (including pipe works and joints)</c:v>
                </c:pt>
              </c:strCache>
            </c:strRef>
          </c:tx>
          <c:spPr>
            <a:ln w="31750" cap="rnd">
              <a:solidFill>
                <a:srgbClr val="3F816D"/>
              </a:solidFill>
              <a:round/>
            </a:ln>
            <a:effectLst/>
          </c:spPr>
          <c:marker>
            <c:symbol val="none"/>
          </c:marker>
          <c:cat>
            <c:numRef>
              <c:f>'Grid Costs'!$D$12:$Y$12</c:f>
              <c:numCache>
                <c:formatCode>General</c:formatCode>
                <c:ptCount val="22"/>
                <c:pt idx="0">
                  <c:v>20</c:v>
                </c:pt>
                <c:pt idx="1">
                  <c:v>25</c:v>
                </c:pt>
                <c:pt idx="2">
                  <c:v>32</c:v>
                </c:pt>
                <c:pt idx="3">
                  <c:v>40</c:v>
                </c:pt>
                <c:pt idx="4">
                  <c:v>50</c:v>
                </c:pt>
                <c:pt idx="5">
                  <c:v>65</c:v>
                </c:pt>
                <c:pt idx="6">
                  <c:v>80</c:v>
                </c:pt>
                <c:pt idx="7">
                  <c:v>100</c:v>
                </c:pt>
                <c:pt idx="8">
                  <c:v>125</c:v>
                </c:pt>
                <c:pt idx="9">
                  <c:v>150</c:v>
                </c:pt>
                <c:pt idx="10">
                  <c:v>200</c:v>
                </c:pt>
                <c:pt idx="11">
                  <c:v>250</c:v>
                </c:pt>
                <c:pt idx="12">
                  <c:v>300</c:v>
                </c:pt>
                <c:pt idx="13">
                  <c:v>350</c:v>
                </c:pt>
                <c:pt idx="14">
                  <c:v>400</c:v>
                </c:pt>
                <c:pt idx="15">
                  <c:v>450</c:v>
                </c:pt>
                <c:pt idx="16">
                  <c:v>500</c:v>
                </c:pt>
                <c:pt idx="17">
                  <c:v>600</c:v>
                </c:pt>
                <c:pt idx="18">
                  <c:v>700</c:v>
                </c:pt>
                <c:pt idx="19">
                  <c:v>800</c:v>
                </c:pt>
                <c:pt idx="20">
                  <c:v>900</c:v>
                </c:pt>
                <c:pt idx="21">
                  <c:v>1000</c:v>
                </c:pt>
              </c:numCache>
            </c:numRef>
          </c:cat>
          <c:val>
            <c:numRef>
              <c:f>'Grid Costs'!$D$13:$Y$13</c:f>
              <c:numCache>
                <c:formatCode>0</c:formatCode>
                <c:ptCount val="22"/>
                <c:pt idx="0">
                  <c:v>760</c:v>
                </c:pt>
                <c:pt idx="1">
                  <c:v>800</c:v>
                </c:pt>
                <c:pt idx="2">
                  <c:v>856</c:v>
                </c:pt>
                <c:pt idx="3">
                  <c:v>920</c:v>
                </c:pt>
                <c:pt idx="4">
                  <c:v>1000</c:v>
                </c:pt>
                <c:pt idx="5">
                  <c:v>1120</c:v>
                </c:pt>
                <c:pt idx="6">
                  <c:v>1240</c:v>
                </c:pt>
                <c:pt idx="7">
                  <c:v>1400</c:v>
                </c:pt>
                <c:pt idx="8">
                  <c:v>1600</c:v>
                </c:pt>
                <c:pt idx="9">
                  <c:v>1800</c:v>
                </c:pt>
                <c:pt idx="10">
                  <c:v>2200</c:v>
                </c:pt>
                <c:pt idx="11">
                  <c:v>2600</c:v>
                </c:pt>
                <c:pt idx="12">
                  <c:v>3000</c:v>
                </c:pt>
                <c:pt idx="13">
                  <c:v>3400</c:v>
                </c:pt>
                <c:pt idx="14">
                  <c:v>3800</c:v>
                </c:pt>
                <c:pt idx="15">
                  <c:v>4200</c:v>
                </c:pt>
                <c:pt idx="16">
                  <c:v>4600</c:v>
                </c:pt>
                <c:pt idx="17">
                  <c:v>5400</c:v>
                </c:pt>
                <c:pt idx="18">
                  <c:v>6200</c:v>
                </c:pt>
                <c:pt idx="19">
                  <c:v>7000</c:v>
                </c:pt>
                <c:pt idx="20">
                  <c:v>7800</c:v>
                </c:pt>
                <c:pt idx="21">
                  <c:v>8600</c:v>
                </c:pt>
              </c:numCache>
            </c:numRef>
          </c:val>
          <c:smooth val="0"/>
          <c:extLst>
            <c:ext xmlns:c16="http://schemas.microsoft.com/office/drawing/2014/chart" uri="{C3380CC4-5D6E-409C-BE32-E72D297353CC}">
              <c16:uniqueId val="{00000001-2CA0-4155-9861-8CB6C54D60BE}"/>
            </c:ext>
          </c:extLst>
        </c:ser>
        <c:dLbls>
          <c:showLegendKey val="0"/>
          <c:showVal val="0"/>
          <c:showCatName val="0"/>
          <c:showSerName val="0"/>
          <c:showPercent val="0"/>
          <c:showBubbleSize val="0"/>
        </c:dLbls>
        <c:smooth val="0"/>
        <c:axId val="45964607"/>
        <c:axId val="45961695"/>
      </c:lineChart>
      <c:catAx>
        <c:axId val="45964607"/>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Nominal pipe width DN</a:t>
                </a:r>
              </a:p>
            </c:rich>
          </c:tx>
          <c:layout>
            <c:manualLayout>
              <c:xMode val="edge"/>
              <c:yMode val="edge"/>
              <c:x val="0.40895558805494819"/>
              <c:y val="0.8843652109284302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45961695"/>
        <c:crosses val="autoZero"/>
        <c:auto val="1"/>
        <c:lblAlgn val="ctr"/>
        <c:lblOffset val="100"/>
        <c:noMultiLvlLbl val="0"/>
      </c:catAx>
      <c:valAx>
        <c:axId val="45961695"/>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en-US" sz="1100"/>
                  <a:t>[EUR/m]</a:t>
                </a:r>
              </a:p>
            </c:rich>
          </c:tx>
          <c:layout>
            <c:manualLayout>
              <c:xMode val="edge"/>
              <c:yMode val="edge"/>
              <c:x val="1.2593632762893577E-2"/>
              <c:y val="0.16398519429962685"/>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45964607"/>
        <c:crosses val="autoZero"/>
        <c:crossBetween val="between"/>
        <c:majorUnit val="2000"/>
        <c:minorUnit val="2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de-D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Investment costs for piping per DN</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0.11002176371556821"/>
          <c:y val="0.12696381753703515"/>
          <c:w val="0.82955279626885581"/>
          <c:h val="0.64541953276293851"/>
        </c:manualLayout>
      </c:layout>
      <c:barChart>
        <c:barDir val="col"/>
        <c:grouping val="clustered"/>
        <c:varyColors val="0"/>
        <c:ser>
          <c:idx val="1"/>
          <c:order val="0"/>
          <c:tx>
            <c:strRef>
              <c:f>'Grid Costs'!$B$19</c:f>
              <c:strCache>
                <c:ptCount val="1"/>
                <c:pt idx="0">
                  <c:v>Investment costs for network invested by Contractor 1</c:v>
                </c:pt>
              </c:strCache>
            </c:strRef>
          </c:tx>
          <c:spPr>
            <a:solidFill>
              <a:srgbClr val="3F816D"/>
            </a:solidFill>
            <a:ln>
              <a:noFill/>
            </a:ln>
            <a:effectLst/>
          </c:spPr>
          <c:invertIfNegative val="0"/>
          <c:dPt>
            <c:idx val="15"/>
            <c:invertIfNegative val="0"/>
            <c:bubble3D val="0"/>
            <c:spPr>
              <a:solidFill>
                <a:srgbClr val="3F816D"/>
              </a:solidFill>
              <a:ln>
                <a:noFill/>
              </a:ln>
              <a:effectLst/>
            </c:spPr>
            <c:extLst>
              <c:ext xmlns:c16="http://schemas.microsoft.com/office/drawing/2014/chart" uri="{C3380CC4-5D6E-409C-BE32-E72D297353CC}">
                <c16:uniqueId val="{00000000-7A5A-40E8-AF59-2E0692CEF6DD}"/>
              </c:ext>
            </c:extLst>
          </c:dPt>
          <c:cat>
            <c:numRef>
              <c:f>'Grid Costs'!$D$12:$Y$12</c:f>
              <c:numCache>
                <c:formatCode>General</c:formatCode>
                <c:ptCount val="22"/>
                <c:pt idx="0">
                  <c:v>20</c:v>
                </c:pt>
                <c:pt idx="1">
                  <c:v>25</c:v>
                </c:pt>
                <c:pt idx="2">
                  <c:v>32</c:v>
                </c:pt>
                <c:pt idx="3">
                  <c:v>40</c:v>
                </c:pt>
                <c:pt idx="4">
                  <c:v>50</c:v>
                </c:pt>
                <c:pt idx="5">
                  <c:v>65</c:v>
                </c:pt>
                <c:pt idx="6">
                  <c:v>80</c:v>
                </c:pt>
                <c:pt idx="7">
                  <c:v>100</c:v>
                </c:pt>
                <c:pt idx="8">
                  <c:v>125</c:v>
                </c:pt>
                <c:pt idx="9">
                  <c:v>150</c:v>
                </c:pt>
                <c:pt idx="10">
                  <c:v>200</c:v>
                </c:pt>
                <c:pt idx="11">
                  <c:v>250</c:v>
                </c:pt>
                <c:pt idx="12">
                  <c:v>300</c:v>
                </c:pt>
                <c:pt idx="13">
                  <c:v>350</c:v>
                </c:pt>
                <c:pt idx="14">
                  <c:v>400</c:v>
                </c:pt>
                <c:pt idx="15">
                  <c:v>450</c:v>
                </c:pt>
                <c:pt idx="16">
                  <c:v>500</c:v>
                </c:pt>
                <c:pt idx="17">
                  <c:v>600</c:v>
                </c:pt>
                <c:pt idx="18">
                  <c:v>700</c:v>
                </c:pt>
                <c:pt idx="19">
                  <c:v>800</c:v>
                </c:pt>
                <c:pt idx="20">
                  <c:v>900</c:v>
                </c:pt>
                <c:pt idx="21">
                  <c:v>1000</c:v>
                </c:pt>
              </c:numCache>
            </c:numRef>
          </c:cat>
          <c:val>
            <c:numRef>
              <c:f>'Grid Costs'!$D$19:$Y$19</c:f>
              <c:numCache>
                <c:formatCode>_-* #,##0_-;\-* #,##0_-;_-* "-"??_-;_-@_-</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1050000</c:v>
                </c:pt>
                <c:pt idx="16">
                  <c:v>0</c:v>
                </c:pt>
                <c:pt idx="17">
                  <c:v>0</c:v>
                </c:pt>
                <c:pt idx="18">
                  <c:v>0</c:v>
                </c:pt>
                <c:pt idx="19">
                  <c:v>0</c:v>
                </c:pt>
                <c:pt idx="20">
                  <c:v>0</c:v>
                </c:pt>
                <c:pt idx="21">
                  <c:v>0</c:v>
                </c:pt>
              </c:numCache>
            </c:numRef>
          </c:val>
          <c:extLst>
            <c:ext xmlns:c16="http://schemas.microsoft.com/office/drawing/2014/chart" uri="{C3380CC4-5D6E-409C-BE32-E72D297353CC}">
              <c16:uniqueId val="{00000000-D02F-432F-8C40-96E4667FB6CF}"/>
            </c:ext>
          </c:extLst>
        </c:ser>
        <c:dLbls>
          <c:showLegendKey val="0"/>
          <c:showVal val="0"/>
          <c:showCatName val="0"/>
          <c:showSerName val="0"/>
          <c:showPercent val="0"/>
          <c:showBubbleSize val="0"/>
        </c:dLbls>
        <c:gapWidth val="100"/>
        <c:overlap val="-24"/>
        <c:axId val="45964607"/>
        <c:axId val="45961695"/>
      </c:barChart>
      <c:catAx>
        <c:axId val="45964607"/>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Nominal pipe width DN [mm]</a:t>
                </a:r>
              </a:p>
            </c:rich>
          </c:tx>
          <c:layout>
            <c:manualLayout>
              <c:xMode val="edge"/>
              <c:yMode val="edge"/>
              <c:x val="0.39397596307428834"/>
              <c:y val="0.8818720212669888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45961695"/>
        <c:crosses val="autoZero"/>
        <c:auto val="1"/>
        <c:lblAlgn val="ctr"/>
        <c:lblOffset val="100"/>
        <c:noMultiLvlLbl val="0"/>
      </c:catAx>
      <c:valAx>
        <c:axId val="45961695"/>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en-US" sz="1100"/>
                  <a:t>[k EUR]</a:t>
                </a:r>
              </a:p>
            </c:rich>
          </c:tx>
          <c:layout>
            <c:manualLayout>
              <c:xMode val="edge"/>
              <c:yMode val="edge"/>
              <c:x val="7.5829382327559005E-3"/>
              <c:y val="0.17234034232378667"/>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45964607"/>
        <c:crosses val="autoZero"/>
        <c:crossBetween val="between"/>
        <c:dispUnits>
          <c:builtInUnit val="thousands"/>
        </c:dispUnits>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de-DE"/>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Investment costs for piping per connection type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0.16495629857463107"/>
          <c:y val="0.12696381753703515"/>
          <c:w val="0.80764275649198158"/>
          <c:h val="0.64913973063973063"/>
        </c:manualLayout>
      </c:layout>
      <c:barChart>
        <c:barDir val="col"/>
        <c:grouping val="clustered"/>
        <c:varyColors val="0"/>
        <c:ser>
          <c:idx val="1"/>
          <c:order val="0"/>
          <c:tx>
            <c:strRef>
              <c:f>'Grid Costs'!$B$19</c:f>
              <c:strCache>
                <c:ptCount val="1"/>
                <c:pt idx="0">
                  <c:v>Investment costs for network invested by Contractor 1</c:v>
                </c:pt>
              </c:strCache>
            </c:strRef>
          </c:tx>
          <c:spPr>
            <a:solidFill>
              <a:srgbClr val="3F816D"/>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'Grid Costs'!$B$15:$B$17</c:f>
              <c:strCache>
                <c:ptCount val="3"/>
                <c:pt idx="0">
                  <c:v>Pipe length existing DH network (B3) to heat exchanger 2 (HEx 2), if applicable</c:v>
                </c:pt>
                <c:pt idx="1">
                  <c:v>Pipe length heat exchanger 2 to heat pump including piping needed to connect booster (if applicable)</c:v>
                </c:pt>
                <c:pt idx="2">
                  <c:v>Pipe length from heat pump to system boundary B2</c:v>
                </c:pt>
              </c:strCache>
            </c:strRef>
          </c:cat>
          <c:val>
            <c:numRef>
              <c:f>'Grid Costs'!$AE$15:$AE$17</c:f>
              <c:numCache>
                <c:formatCode>_-* #,##0_-;\-* #,##0_-;_-* "-"??_-;_-@_-</c:formatCode>
                <c:ptCount val="3"/>
                <c:pt idx="0">
                  <c:v>840000</c:v>
                </c:pt>
                <c:pt idx="1">
                  <c:v>84000</c:v>
                </c:pt>
                <c:pt idx="2">
                  <c:v>126000</c:v>
                </c:pt>
              </c:numCache>
            </c:numRef>
          </c:val>
          <c:extLst>
            <c:ext xmlns:c16="http://schemas.microsoft.com/office/drawing/2014/chart" uri="{C3380CC4-5D6E-409C-BE32-E72D297353CC}">
              <c16:uniqueId val="{00000000-D02F-432F-8C40-96E4667FB6CF}"/>
            </c:ext>
          </c:extLst>
        </c:ser>
        <c:dLbls>
          <c:dLblPos val="outEnd"/>
          <c:showLegendKey val="0"/>
          <c:showVal val="1"/>
          <c:showCatName val="0"/>
          <c:showSerName val="0"/>
          <c:showPercent val="0"/>
          <c:showBubbleSize val="0"/>
        </c:dLbls>
        <c:gapWidth val="100"/>
        <c:overlap val="-24"/>
        <c:axId val="45964607"/>
        <c:axId val="45961695"/>
      </c:barChart>
      <c:catAx>
        <c:axId val="45964607"/>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2"/>
                </a:solidFill>
                <a:latin typeface="+mn-lt"/>
                <a:ea typeface="+mn-ea"/>
                <a:cs typeface="+mn-cs"/>
              </a:defRPr>
            </a:pPr>
            <a:endParaRPr lang="de-DE"/>
          </a:p>
        </c:txPr>
        <c:crossAx val="45961695"/>
        <c:crosses val="autoZero"/>
        <c:auto val="0"/>
        <c:lblAlgn val="ctr"/>
        <c:lblOffset val="100"/>
        <c:tickMarkSkip val="1"/>
        <c:noMultiLvlLbl val="0"/>
      </c:catAx>
      <c:valAx>
        <c:axId val="45961695"/>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en-US" sz="1100"/>
                  <a:t>[kEUR]</a:t>
                </a:r>
              </a:p>
            </c:rich>
          </c:tx>
          <c:layout>
            <c:manualLayout>
              <c:xMode val="edge"/>
              <c:yMode val="edge"/>
              <c:x val="4.2943086103935997E-2"/>
              <c:y val="0.16580106621773288"/>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45964607"/>
        <c:crosses val="autoZero"/>
        <c:crossBetween val="between"/>
        <c:majorUnit val="200000"/>
        <c:minorUnit val="20000"/>
        <c:dispUnits>
          <c:builtInUnit val="thousands"/>
        </c:dispUnits>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de-D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0.14501707612910786"/>
          <c:y val="0.11530614271891364"/>
          <c:w val="0.83341015050786016"/>
          <c:h val="0.64860782462371869"/>
        </c:manualLayout>
      </c:layout>
      <c:lineChart>
        <c:grouping val="standard"/>
        <c:varyColors val="0"/>
        <c:ser>
          <c:idx val="1"/>
          <c:order val="0"/>
          <c:tx>
            <c:strRef>
              <c:f>'Grid Costs'!$B$22</c:f>
              <c:strCache>
                <c:ptCount val="1"/>
                <c:pt idx="0">
                  <c:v>Specific cost (including pipe works and joints)</c:v>
                </c:pt>
              </c:strCache>
            </c:strRef>
          </c:tx>
          <c:spPr>
            <a:ln w="31750" cap="rnd">
              <a:solidFill>
                <a:srgbClr val="247BA0"/>
              </a:solidFill>
              <a:round/>
            </a:ln>
            <a:effectLst/>
          </c:spPr>
          <c:marker>
            <c:symbol val="none"/>
          </c:marker>
          <c:cat>
            <c:numRef>
              <c:f>'Grid Costs'!$D$21:$Y$21</c:f>
              <c:numCache>
                <c:formatCode>General</c:formatCode>
                <c:ptCount val="22"/>
                <c:pt idx="0">
                  <c:v>20</c:v>
                </c:pt>
                <c:pt idx="1">
                  <c:v>25</c:v>
                </c:pt>
                <c:pt idx="2">
                  <c:v>32</c:v>
                </c:pt>
                <c:pt idx="3">
                  <c:v>40</c:v>
                </c:pt>
                <c:pt idx="4">
                  <c:v>50</c:v>
                </c:pt>
                <c:pt idx="5">
                  <c:v>65</c:v>
                </c:pt>
                <c:pt idx="6">
                  <c:v>80</c:v>
                </c:pt>
                <c:pt idx="7">
                  <c:v>100</c:v>
                </c:pt>
                <c:pt idx="8">
                  <c:v>125</c:v>
                </c:pt>
                <c:pt idx="9">
                  <c:v>150</c:v>
                </c:pt>
                <c:pt idx="10">
                  <c:v>200</c:v>
                </c:pt>
                <c:pt idx="11">
                  <c:v>250</c:v>
                </c:pt>
                <c:pt idx="12">
                  <c:v>300</c:v>
                </c:pt>
                <c:pt idx="13">
                  <c:v>350</c:v>
                </c:pt>
                <c:pt idx="14">
                  <c:v>400</c:v>
                </c:pt>
                <c:pt idx="15">
                  <c:v>450</c:v>
                </c:pt>
                <c:pt idx="16">
                  <c:v>500</c:v>
                </c:pt>
                <c:pt idx="17">
                  <c:v>600</c:v>
                </c:pt>
                <c:pt idx="18">
                  <c:v>700</c:v>
                </c:pt>
                <c:pt idx="19">
                  <c:v>800</c:v>
                </c:pt>
                <c:pt idx="20">
                  <c:v>900</c:v>
                </c:pt>
                <c:pt idx="21">
                  <c:v>1000</c:v>
                </c:pt>
              </c:numCache>
            </c:numRef>
          </c:cat>
          <c:val>
            <c:numRef>
              <c:f>'Grid Costs'!$D$22:$Y$22</c:f>
              <c:numCache>
                <c:formatCode>0</c:formatCode>
                <c:ptCount val="22"/>
                <c:pt idx="0">
                  <c:v>760</c:v>
                </c:pt>
                <c:pt idx="1">
                  <c:v>800</c:v>
                </c:pt>
                <c:pt idx="2">
                  <c:v>856</c:v>
                </c:pt>
                <c:pt idx="3">
                  <c:v>920</c:v>
                </c:pt>
                <c:pt idx="4">
                  <c:v>1000</c:v>
                </c:pt>
                <c:pt idx="5">
                  <c:v>1120</c:v>
                </c:pt>
                <c:pt idx="6">
                  <c:v>1240</c:v>
                </c:pt>
                <c:pt idx="7">
                  <c:v>1400</c:v>
                </c:pt>
                <c:pt idx="8">
                  <c:v>1600</c:v>
                </c:pt>
                <c:pt idx="9">
                  <c:v>1800</c:v>
                </c:pt>
                <c:pt idx="10">
                  <c:v>2200</c:v>
                </c:pt>
                <c:pt idx="11">
                  <c:v>2600</c:v>
                </c:pt>
                <c:pt idx="12">
                  <c:v>3000</c:v>
                </c:pt>
                <c:pt idx="13">
                  <c:v>3400</c:v>
                </c:pt>
                <c:pt idx="14">
                  <c:v>3800</c:v>
                </c:pt>
                <c:pt idx="15">
                  <c:v>4200</c:v>
                </c:pt>
                <c:pt idx="16">
                  <c:v>4600</c:v>
                </c:pt>
                <c:pt idx="17">
                  <c:v>5400</c:v>
                </c:pt>
                <c:pt idx="18">
                  <c:v>6200</c:v>
                </c:pt>
                <c:pt idx="19">
                  <c:v>7000</c:v>
                </c:pt>
                <c:pt idx="20">
                  <c:v>7800</c:v>
                </c:pt>
                <c:pt idx="21">
                  <c:v>8600</c:v>
                </c:pt>
              </c:numCache>
            </c:numRef>
          </c:val>
          <c:smooth val="0"/>
          <c:extLst>
            <c:ext xmlns:c16="http://schemas.microsoft.com/office/drawing/2014/chart" uri="{C3380CC4-5D6E-409C-BE32-E72D297353CC}">
              <c16:uniqueId val="{00000000-6919-49A9-9D09-B5F60D0FE550}"/>
            </c:ext>
          </c:extLst>
        </c:ser>
        <c:dLbls>
          <c:showLegendKey val="0"/>
          <c:showVal val="0"/>
          <c:showCatName val="0"/>
          <c:showSerName val="0"/>
          <c:showPercent val="0"/>
          <c:showBubbleSize val="0"/>
        </c:dLbls>
        <c:smooth val="0"/>
        <c:axId val="45964607"/>
        <c:axId val="45961695"/>
      </c:lineChart>
      <c:catAx>
        <c:axId val="45964607"/>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Nominal pipe width DN</a:t>
                </a:r>
              </a:p>
            </c:rich>
          </c:tx>
          <c:layout>
            <c:manualLayout>
              <c:xMode val="edge"/>
              <c:yMode val="edge"/>
              <c:x val="0.40474699429215732"/>
              <c:y val="0.8919778224590735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45961695"/>
        <c:crosses val="autoZero"/>
        <c:auto val="1"/>
        <c:lblAlgn val="ctr"/>
        <c:lblOffset val="100"/>
        <c:noMultiLvlLbl val="0"/>
      </c:catAx>
      <c:valAx>
        <c:axId val="45961695"/>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[EUR/m]</a:t>
                </a:r>
              </a:p>
            </c:rich>
          </c:tx>
          <c:layout>
            <c:manualLayout>
              <c:xMode val="edge"/>
              <c:yMode val="edge"/>
              <c:x val="1.2593632762893577E-2"/>
              <c:y val="0.16398519429962685"/>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de-D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45964607"/>
        <c:crosses val="autoZero"/>
        <c:crossBetween val="between"/>
        <c:majorUnit val="20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de-D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Investment costs for piping per DN</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0.11002176371556821"/>
          <c:y val="0.12696381753703515"/>
          <c:w val="0.82751166866863235"/>
          <c:h val="0.64541953276293851"/>
        </c:manualLayout>
      </c:layout>
      <c:barChart>
        <c:barDir val="col"/>
        <c:grouping val="clustered"/>
        <c:varyColors val="0"/>
        <c:ser>
          <c:idx val="1"/>
          <c:order val="0"/>
          <c:tx>
            <c:strRef>
              <c:f>'Grid Costs'!$B$25</c:f>
              <c:strCache>
                <c:ptCount val="1"/>
                <c:pt idx="0">
                  <c:v>Investment costs for network invested by Contrator 2 / data centrer operator</c:v>
                </c:pt>
              </c:strCache>
            </c:strRef>
          </c:tx>
          <c:spPr>
            <a:solidFill>
              <a:srgbClr val="247BA0"/>
            </a:solidFill>
            <a:ln>
              <a:solidFill>
                <a:srgbClr val="247BA0"/>
              </a:solidFill>
            </a:ln>
            <a:effectLst/>
          </c:spPr>
          <c:invertIfNegative val="0"/>
          <c:cat>
            <c:numRef>
              <c:f>'Grid Costs'!$D$12:$Y$12</c:f>
              <c:numCache>
                <c:formatCode>General</c:formatCode>
                <c:ptCount val="22"/>
                <c:pt idx="0">
                  <c:v>20</c:v>
                </c:pt>
                <c:pt idx="1">
                  <c:v>25</c:v>
                </c:pt>
                <c:pt idx="2">
                  <c:v>32</c:v>
                </c:pt>
                <c:pt idx="3">
                  <c:v>40</c:v>
                </c:pt>
                <c:pt idx="4">
                  <c:v>50</c:v>
                </c:pt>
                <c:pt idx="5">
                  <c:v>65</c:v>
                </c:pt>
                <c:pt idx="6">
                  <c:v>80</c:v>
                </c:pt>
                <c:pt idx="7">
                  <c:v>100</c:v>
                </c:pt>
                <c:pt idx="8">
                  <c:v>125</c:v>
                </c:pt>
                <c:pt idx="9">
                  <c:v>150</c:v>
                </c:pt>
                <c:pt idx="10">
                  <c:v>200</c:v>
                </c:pt>
                <c:pt idx="11">
                  <c:v>250</c:v>
                </c:pt>
                <c:pt idx="12">
                  <c:v>300</c:v>
                </c:pt>
                <c:pt idx="13">
                  <c:v>350</c:v>
                </c:pt>
                <c:pt idx="14">
                  <c:v>400</c:v>
                </c:pt>
                <c:pt idx="15">
                  <c:v>450</c:v>
                </c:pt>
                <c:pt idx="16">
                  <c:v>500</c:v>
                </c:pt>
                <c:pt idx="17">
                  <c:v>600</c:v>
                </c:pt>
                <c:pt idx="18">
                  <c:v>700</c:v>
                </c:pt>
                <c:pt idx="19">
                  <c:v>800</c:v>
                </c:pt>
                <c:pt idx="20">
                  <c:v>900</c:v>
                </c:pt>
                <c:pt idx="21">
                  <c:v>1000</c:v>
                </c:pt>
              </c:numCache>
            </c:numRef>
          </c:cat>
          <c:val>
            <c:numRef>
              <c:f>'Grid Costs'!$D$25:$Y$25</c:f>
              <c:numCache>
                <c:formatCode>_-* #,##0_-;\-* #,##0_-;_-* "-"??_-;_-@_-</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126000</c:v>
                </c:pt>
                <c:pt idx="16">
                  <c:v>0</c:v>
                </c:pt>
                <c:pt idx="17">
                  <c:v>0</c:v>
                </c:pt>
                <c:pt idx="18">
                  <c:v>0</c:v>
                </c:pt>
                <c:pt idx="19">
                  <c:v>0</c:v>
                </c:pt>
                <c:pt idx="20">
                  <c:v>0</c:v>
                </c:pt>
                <c:pt idx="21">
                  <c:v>0</c:v>
                </c:pt>
              </c:numCache>
            </c:numRef>
          </c:val>
          <c:extLst>
            <c:ext xmlns:c16="http://schemas.microsoft.com/office/drawing/2014/chart" uri="{C3380CC4-5D6E-409C-BE32-E72D297353CC}">
              <c16:uniqueId val="{00000000-87C7-4891-B70C-D0EB0C54CFC7}"/>
            </c:ext>
          </c:extLst>
        </c:ser>
        <c:dLbls>
          <c:showLegendKey val="0"/>
          <c:showVal val="0"/>
          <c:showCatName val="0"/>
          <c:showSerName val="0"/>
          <c:showPercent val="0"/>
          <c:showBubbleSize val="0"/>
        </c:dLbls>
        <c:gapWidth val="100"/>
        <c:overlap val="-24"/>
        <c:axId val="45964607"/>
        <c:axId val="45961695"/>
      </c:barChart>
      <c:catAx>
        <c:axId val="45964607"/>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Nominal pipe width DN [mm]</a:t>
                </a:r>
              </a:p>
            </c:rich>
          </c:tx>
          <c:layout>
            <c:manualLayout>
              <c:xMode val="edge"/>
              <c:yMode val="edge"/>
              <c:x val="0.38764494548975853"/>
              <c:y val="0.87538073109024761"/>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45961695"/>
        <c:crosses val="autoZero"/>
        <c:auto val="1"/>
        <c:lblAlgn val="ctr"/>
        <c:lblOffset val="100"/>
        <c:noMultiLvlLbl val="0"/>
      </c:catAx>
      <c:valAx>
        <c:axId val="45961695"/>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[k EUR]</a:t>
                </a:r>
              </a:p>
            </c:rich>
          </c:tx>
          <c:layout>
            <c:manualLayout>
              <c:xMode val="edge"/>
              <c:yMode val="edge"/>
              <c:x val="7.5829382327559005E-3"/>
              <c:y val="0.17234034232378667"/>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de-DE"/>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45964607"/>
        <c:crosses val="autoZero"/>
        <c:crossBetween val="between"/>
        <c:dispUnits>
          <c:builtInUnit val="thousands"/>
        </c:dispUnits>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de-D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'Definition of Typical Day'!$E$32</c:f>
          <c:strCache>
            <c:ptCount val="1"/>
            <c:pt idx="0">
              <c:v>Available waste heat (DC heat source)</c:v>
            </c:pt>
          </c:strCache>
        </c:strRef>
      </c:tx>
      <c:layout>
        <c:manualLayout>
          <c:xMode val="edge"/>
          <c:yMode val="edge"/>
          <c:x val="0.1772002337426489"/>
          <c:y val="1.4751238379661372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9.8661356478787127E-2"/>
          <c:y val="0.13391932528412215"/>
          <c:w val="0.58714677551104133"/>
          <c:h val="0.70465354922487167"/>
        </c:manualLayout>
      </c:layout>
      <c:lineChart>
        <c:grouping val="standard"/>
        <c:varyColors val="0"/>
        <c:ser>
          <c:idx val="0"/>
          <c:order val="0"/>
          <c:tx>
            <c:strRef>
              <c:f>'Definition of Typical Day'!$E$13:$E$14</c:f>
              <c:strCache>
                <c:ptCount val="2"/>
                <c:pt idx="0">
                  <c:v>1</c:v>
                </c:pt>
                <c:pt idx="1">
                  <c:v>Winter day</c:v>
                </c:pt>
              </c:strCache>
            </c:strRef>
          </c:tx>
          <c:spPr>
            <a:ln w="31750" cap="rnd">
              <a:solidFill>
                <a:schemeClr val="accent1"/>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Day'!$E$35:$E$58</c:f>
              <c:numCache>
                <c:formatCode>0.0</c:formatCode>
                <c:ptCount val="24"/>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numCache>
            </c:numRef>
          </c:val>
          <c:smooth val="0"/>
          <c:extLst>
            <c:ext xmlns:c16="http://schemas.microsoft.com/office/drawing/2014/chart" uri="{C3380CC4-5D6E-409C-BE32-E72D297353CC}">
              <c16:uniqueId val="{00000000-6BED-4FB0-BAAA-201D7213B507}"/>
            </c:ext>
          </c:extLst>
        </c:ser>
        <c:ser>
          <c:idx val="1"/>
          <c:order val="1"/>
          <c:tx>
            <c:strRef>
              <c:f>'Definition of Typical Day'!$F$13:$F$14</c:f>
              <c:strCache>
                <c:ptCount val="2"/>
                <c:pt idx="0">
                  <c:v>2</c:v>
                </c:pt>
                <c:pt idx="1">
                  <c:v>Spring / fall weekday</c:v>
                </c:pt>
              </c:strCache>
            </c:strRef>
          </c:tx>
          <c:spPr>
            <a:ln w="31750" cap="rnd">
              <a:solidFill>
                <a:schemeClr val="accent2"/>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Day'!$F$35:$F$58</c:f>
              <c:numCache>
                <c:formatCode>0.0</c:formatCode>
                <c:ptCount val="24"/>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numCache>
            </c:numRef>
          </c:val>
          <c:smooth val="0"/>
          <c:extLst>
            <c:ext xmlns:c16="http://schemas.microsoft.com/office/drawing/2014/chart" uri="{C3380CC4-5D6E-409C-BE32-E72D297353CC}">
              <c16:uniqueId val="{00000001-6BED-4FB0-BAAA-201D7213B507}"/>
            </c:ext>
          </c:extLst>
        </c:ser>
        <c:ser>
          <c:idx val="2"/>
          <c:order val="2"/>
          <c:tx>
            <c:strRef>
              <c:f>'Definition of Typical Day'!$G$13:$G$14</c:f>
              <c:strCache>
                <c:ptCount val="2"/>
                <c:pt idx="0">
                  <c:v>3</c:v>
                </c:pt>
                <c:pt idx="1">
                  <c:v>Spring / fall weekend</c:v>
                </c:pt>
              </c:strCache>
            </c:strRef>
          </c:tx>
          <c:spPr>
            <a:ln w="31750" cap="rnd">
              <a:solidFill>
                <a:schemeClr val="accent3"/>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Day'!$G$35:$G$58</c:f>
              <c:numCache>
                <c:formatCode>0.0</c:formatCode>
                <c:ptCount val="24"/>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numCache>
            </c:numRef>
          </c:val>
          <c:smooth val="0"/>
          <c:extLst>
            <c:ext xmlns:c16="http://schemas.microsoft.com/office/drawing/2014/chart" uri="{C3380CC4-5D6E-409C-BE32-E72D297353CC}">
              <c16:uniqueId val="{00000002-6BED-4FB0-BAAA-201D7213B507}"/>
            </c:ext>
          </c:extLst>
        </c:ser>
        <c:ser>
          <c:idx val="3"/>
          <c:order val="3"/>
          <c:tx>
            <c:strRef>
              <c:f>'Definition of Typical Day'!$H$13:$H$14</c:f>
              <c:strCache>
                <c:ptCount val="2"/>
                <c:pt idx="0">
                  <c:v>4</c:v>
                </c:pt>
                <c:pt idx="1">
                  <c:v>Summer weekday</c:v>
                </c:pt>
              </c:strCache>
            </c:strRef>
          </c:tx>
          <c:spPr>
            <a:ln w="31750" cap="rnd">
              <a:solidFill>
                <a:schemeClr val="accent4"/>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Day'!$H$35:$H$58</c:f>
              <c:numCache>
                <c:formatCode>0.0</c:formatCode>
                <c:ptCount val="24"/>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numCache>
            </c:numRef>
          </c:val>
          <c:smooth val="0"/>
          <c:extLst>
            <c:ext xmlns:c16="http://schemas.microsoft.com/office/drawing/2014/chart" uri="{C3380CC4-5D6E-409C-BE32-E72D297353CC}">
              <c16:uniqueId val="{00000003-6BED-4FB0-BAAA-201D7213B507}"/>
            </c:ext>
          </c:extLst>
        </c:ser>
        <c:ser>
          <c:idx val="4"/>
          <c:order val="4"/>
          <c:tx>
            <c:strRef>
              <c:f>'Definition of Typical Day'!$I$13:$I$14</c:f>
              <c:strCache>
                <c:ptCount val="2"/>
                <c:pt idx="0">
                  <c:v>5</c:v>
                </c:pt>
                <c:pt idx="1">
                  <c:v>Summer weekend</c:v>
                </c:pt>
              </c:strCache>
            </c:strRef>
          </c:tx>
          <c:spPr>
            <a:ln w="31750" cap="rnd">
              <a:solidFill>
                <a:schemeClr val="accent5"/>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Day'!$I$35:$I$58</c:f>
              <c:numCache>
                <c:formatCode>0.0</c:formatCode>
                <c:ptCount val="24"/>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numCache>
            </c:numRef>
          </c:val>
          <c:smooth val="0"/>
          <c:extLst>
            <c:ext xmlns:c16="http://schemas.microsoft.com/office/drawing/2014/chart" uri="{C3380CC4-5D6E-409C-BE32-E72D297353CC}">
              <c16:uniqueId val="{00000004-6BED-4FB0-BAAA-201D7213B507}"/>
            </c:ext>
          </c:extLst>
        </c:ser>
        <c:ser>
          <c:idx val="5"/>
          <c:order val="5"/>
          <c:tx>
            <c:strRef>
              <c:f>'Definition of Typical Day'!$J$13:$J$14</c:f>
              <c:strCache>
                <c:ptCount val="2"/>
                <c:pt idx="0">
                  <c:v>6</c:v>
                </c:pt>
                <c:pt idx="1">
                  <c:v>Maintenance of HP</c:v>
                </c:pt>
              </c:strCache>
            </c:strRef>
          </c:tx>
          <c:spPr>
            <a:ln w="31750" cap="rnd">
              <a:solidFill>
                <a:schemeClr val="accent6"/>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Day'!$J$35:$J$58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5-6BED-4FB0-BAAA-201D7213B507}"/>
            </c:ext>
          </c:extLst>
        </c:ser>
        <c:ser>
          <c:idx val="6"/>
          <c:order val="6"/>
          <c:tx>
            <c:strRef>
              <c:f>'Definition of Typical Day'!$K$13:$K$14</c:f>
              <c:strCache>
                <c:ptCount val="2"/>
                <c:pt idx="0">
                  <c:v>7</c:v>
                </c:pt>
                <c:pt idx="1">
                  <c:v>7</c:v>
                </c:pt>
              </c:strCache>
            </c:strRef>
          </c:tx>
          <c:spPr>
            <a:ln w="31750" cap="rnd">
              <a:solidFill>
                <a:schemeClr val="accent1">
                  <a:lumMod val="6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Day'!$K$35:$K$58</c:f>
            </c:numRef>
          </c:val>
          <c:smooth val="0"/>
          <c:extLst>
            <c:ext xmlns:c16="http://schemas.microsoft.com/office/drawing/2014/chart" uri="{C3380CC4-5D6E-409C-BE32-E72D297353CC}">
              <c16:uniqueId val="{00000006-6BED-4FB0-BAAA-201D7213B507}"/>
            </c:ext>
          </c:extLst>
        </c:ser>
        <c:ser>
          <c:idx val="7"/>
          <c:order val="7"/>
          <c:tx>
            <c:strRef>
              <c:f>'Definition of Typical Day'!$L$13:$L$14</c:f>
              <c:strCache>
                <c:ptCount val="2"/>
                <c:pt idx="0">
                  <c:v>8</c:v>
                </c:pt>
                <c:pt idx="1">
                  <c:v>8</c:v>
                </c:pt>
              </c:strCache>
            </c:strRef>
          </c:tx>
          <c:spPr>
            <a:ln w="31750" cap="rnd">
              <a:solidFill>
                <a:schemeClr val="accent2">
                  <a:lumMod val="6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Day'!$L$35:$L$58</c:f>
            </c:numRef>
          </c:val>
          <c:smooth val="0"/>
          <c:extLst>
            <c:ext xmlns:c16="http://schemas.microsoft.com/office/drawing/2014/chart" uri="{C3380CC4-5D6E-409C-BE32-E72D297353CC}">
              <c16:uniqueId val="{00000007-6BED-4FB0-BAAA-201D7213B507}"/>
            </c:ext>
          </c:extLst>
        </c:ser>
        <c:ser>
          <c:idx val="8"/>
          <c:order val="8"/>
          <c:tx>
            <c:strRef>
              <c:f>'Definition of Typical Day'!$M$13:$M$14</c:f>
              <c:strCache>
                <c:ptCount val="2"/>
                <c:pt idx="0">
                  <c:v>9</c:v>
                </c:pt>
                <c:pt idx="1">
                  <c:v>9</c:v>
                </c:pt>
              </c:strCache>
            </c:strRef>
          </c:tx>
          <c:spPr>
            <a:ln w="31750" cap="rnd">
              <a:solidFill>
                <a:schemeClr val="accent3">
                  <a:lumMod val="6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Day'!$M$35:$M$58</c:f>
            </c:numRef>
          </c:val>
          <c:smooth val="0"/>
          <c:extLst>
            <c:ext xmlns:c16="http://schemas.microsoft.com/office/drawing/2014/chart" uri="{C3380CC4-5D6E-409C-BE32-E72D297353CC}">
              <c16:uniqueId val="{00000008-6BED-4FB0-BAAA-201D7213B507}"/>
            </c:ext>
          </c:extLst>
        </c:ser>
        <c:ser>
          <c:idx val="9"/>
          <c:order val="9"/>
          <c:tx>
            <c:strRef>
              <c:f>'Definition of Typical Day'!$N$13:$N$14</c:f>
              <c:strCache>
                <c:ptCount val="2"/>
                <c:pt idx="0">
                  <c:v>10</c:v>
                </c:pt>
                <c:pt idx="1">
                  <c:v>10</c:v>
                </c:pt>
              </c:strCache>
            </c:strRef>
          </c:tx>
          <c:spPr>
            <a:ln w="31750" cap="rnd">
              <a:solidFill>
                <a:schemeClr val="accent4">
                  <a:lumMod val="6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Day'!$N$35:$N$58</c:f>
            </c:numRef>
          </c:val>
          <c:smooth val="0"/>
          <c:extLst>
            <c:ext xmlns:c16="http://schemas.microsoft.com/office/drawing/2014/chart" uri="{C3380CC4-5D6E-409C-BE32-E72D297353CC}">
              <c16:uniqueId val="{00000009-6BED-4FB0-BAAA-201D7213B507}"/>
            </c:ext>
          </c:extLst>
        </c:ser>
        <c:ser>
          <c:idx val="10"/>
          <c:order val="10"/>
          <c:tx>
            <c:strRef>
              <c:f>'Definition of Typical Day'!$O$13:$O$14</c:f>
              <c:strCache>
                <c:ptCount val="2"/>
                <c:pt idx="0">
                  <c:v>11</c:v>
                </c:pt>
                <c:pt idx="1">
                  <c:v>11</c:v>
                </c:pt>
              </c:strCache>
            </c:strRef>
          </c:tx>
          <c:spPr>
            <a:ln w="31750" cap="rnd">
              <a:solidFill>
                <a:schemeClr val="accent5">
                  <a:lumMod val="6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Day'!$O$35:$O$58</c:f>
            </c:numRef>
          </c:val>
          <c:smooth val="0"/>
          <c:extLst>
            <c:ext xmlns:c16="http://schemas.microsoft.com/office/drawing/2014/chart" uri="{C3380CC4-5D6E-409C-BE32-E72D297353CC}">
              <c16:uniqueId val="{0000000A-6BED-4FB0-BAAA-201D7213B507}"/>
            </c:ext>
          </c:extLst>
        </c:ser>
        <c:ser>
          <c:idx val="11"/>
          <c:order val="11"/>
          <c:tx>
            <c:strRef>
              <c:f>'Definition of Typical Day'!$P$13:$P$14</c:f>
              <c:strCache>
                <c:ptCount val="2"/>
                <c:pt idx="0">
                  <c:v>12</c:v>
                </c:pt>
                <c:pt idx="1">
                  <c:v>12</c:v>
                </c:pt>
              </c:strCache>
            </c:strRef>
          </c:tx>
          <c:spPr>
            <a:ln w="31750" cap="rnd">
              <a:solidFill>
                <a:schemeClr val="accent6">
                  <a:lumMod val="6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Day'!$P$35:$P$58</c:f>
            </c:numRef>
          </c:val>
          <c:smooth val="0"/>
          <c:extLst>
            <c:ext xmlns:c16="http://schemas.microsoft.com/office/drawing/2014/chart" uri="{C3380CC4-5D6E-409C-BE32-E72D297353CC}">
              <c16:uniqueId val="{0000000B-6BED-4FB0-BAAA-201D7213B507}"/>
            </c:ext>
          </c:extLst>
        </c:ser>
        <c:ser>
          <c:idx val="12"/>
          <c:order val="12"/>
          <c:tx>
            <c:strRef>
              <c:f>'Definition of Typical Day'!$Q$13:$Q$14</c:f>
              <c:strCache>
                <c:ptCount val="2"/>
                <c:pt idx="0">
                  <c:v>13</c:v>
                </c:pt>
                <c:pt idx="1">
                  <c:v>13</c:v>
                </c:pt>
              </c:strCache>
            </c:strRef>
          </c:tx>
          <c:spPr>
            <a:ln w="31750" cap="rnd">
              <a:solidFill>
                <a:schemeClr val="accent1">
                  <a:lumMod val="80000"/>
                  <a:lumOff val="2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Day'!$Q$35:$Q$58</c:f>
            </c:numRef>
          </c:val>
          <c:smooth val="0"/>
          <c:extLst>
            <c:ext xmlns:c16="http://schemas.microsoft.com/office/drawing/2014/chart" uri="{C3380CC4-5D6E-409C-BE32-E72D297353CC}">
              <c16:uniqueId val="{0000000C-6BED-4FB0-BAAA-201D7213B507}"/>
            </c:ext>
          </c:extLst>
        </c:ser>
        <c:ser>
          <c:idx val="13"/>
          <c:order val="13"/>
          <c:tx>
            <c:strRef>
              <c:f>'Definition of Typical Day'!$R$13:$R$14</c:f>
              <c:strCache>
                <c:ptCount val="2"/>
                <c:pt idx="0">
                  <c:v>14</c:v>
                </c:pt>
                <c:pt idx="1">
                  <c:v>14</c:v>
                </c:pt>
              </c:strCache>
            </c:strRef>
          </c:tx>
          <c:spPr>
            <a:ln w="31750" cap="rnd">
              <a:solidFill>
                <a:schemeClr val="accent2">
                  <a:lumMod val="80000"/>
                  <a:lumOff val="2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Day'!$R$35:$R$58</c:f>
            </c:numRef>
          </c:val>
          <c:smooth val="0"/>
          <c:extLst>
            <c:ext xmlns:c16="http://schemas.microsoft.com/office/drawing/2014/chart" uri="{C3380CC4-5D6E-409C-BE32-E72D297353CC}">
              <c16:uniqueId val="{0000000D-6BED-4FB0-BAAA-201D7213B507}"/>
            </c:ext>
          </c:extLst>
        </c:ser>
        <c:ser>
          <c:idx val="14"/>
          <c:order val="14"/>
          <c:tx>
            <c:strRef>
              <c:f>'Definition of Typical Day'!$S$13:$S$14</c:f>
              <c:strCache>
                <c:ptCount val="2"/>
                <c:pt idx="0">
                  <c:v>15</c:v>
                </c:pt>
                <c:pt idx="1">
                  <c:v>15</c:v>
                </c:pt>
              </c:strCache>
            </c:strRef>
          </c:tx>
          <c:spPr>
            <a:ln w="31750" cap="rnd">
              <a:solidFill>
                <a:schemeClr val="accent3">
                  <a:lumMod val="80000"/>
                  <a:lumOff val="2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Day'!$S$35:$S$58</c:f>
            </c:numRef>
          </c:val>
          <c:smooth val="0"/>
          <c:extLst>
            <c:ext xmlns:c16="http://schemas.microsoft.com/office/drawing/2014/chart" uri="{C3380CC4-5D6E-409C-BE32-E72D297353CC}">
              <c16:uniqueId val="{0000000E-6BED-4FB0-BAAA-201D7213B507}"/>
            </c:ext>
          </c:extLst>
        </c:ser>
        <c:ser>
          <c:idx val="15"/>
          <c:order val="15"/>
          <c:tx>
            <c:strRef>
              <c:f>'Definition of Typical Day'!$T$13:$T$14</c:f>
              <c:strCache>
                <c:ptCount val="2"/>
                <c:pt idx="0">
                  <c:v>16</c:v>
                </c:pt>
                <c:pt idx="1">
                  <c:v>16</c:v>
                </c:pt>
              </c:strCache>
            </c:strRef>
          </c:tx>
          <c:spPr>
            <a:ln w="31750" cap="rnd">
              <a:solidFill>
                <a:schemeClr val="accent4">
                  <a:lumMod val="80000"/>
                  <a:lumOff val="2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Day'!$T$35:$T$58</c:f>
            </c:numRef>
          </c:val>
          <c:smooth val="0"/>
          <c:extLst>
            <c:ext xmlns:c16="http://schemas.microsoft.com/office/drawing/2014/chart" uri="{C3380CC4-5D6E-409C-BE32-E72D297353CC}">
              <c16:uniqueId val="{0000000F-6BED-4FB0-BAAA-201D7213B507}"/>
            </c:ext>
          </c:extLst>
        </c:ser>
        <c:ser>
          <c:idx val="16"/>
          <c:order val="16"/>
          <c:tx>
            <c:strRef>
              <c:f>'Definition of Typical Day'!$U$13:$U$14</c:f>
              <c:strCache>
                <c:ptCount val="2"/>
                <c:pt idx="0">
                  <c:v>17</c:v>
                </c:pt>
                <c:pt idx="1">
                  <c:v>17</c:v>
                </c:pt>
              </c:strCache>
            </c:strRef>
          </c:tx>
          <c:spPr>
            <a:ln w="31750" cap="rnd">
              <a:solidFill>
                <a:schemeClr val="accent5">
                  <a:lumMod val="80000"/>
                  <a:lumOff val="2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Day'!$U$35:$U$58</c:f>
            </c:numRef>
          </c:val>
          <c:smooth val="0"/>
          <c:extLst>
            <c:ext xmlns:c16="http://schemas.microsoft.com/office/drawing/2014/chart" uri="{C3380CC4-5D6E-409C-BE32-E72D297353CC}">
              <c16:uniqueId val="{00000010-6BED-4FB0-BAAA-201D7213B507}"/>
            </c:ext>
          </c:extLst>
        </c:ser>
        <c:ser>
          <c:idx val="17"/>
          <c:order val="17"/>
          <c:tx>
            <c:strRef>
              <c:f>'Definition of Typical Day'!$V$13:$V$14</c:f>
              <c:strCache>
                <c:ptCount val="2"/>
                <c:pt idx="0">
                  <c:v>18</c:v>
                </c:pt>
                <c:pt idx="1">
                  <c:v>18</c:v>
                </c:pt>
              </c:strCache>
            </c:strRef>
          </c:tx>
          <c:spPr>
            <a:ln w="31750" cap="rnd">
              <a:solidFill>
                <a:schemeClr val="accent6">
                  <a:lumMod val="80000"/>
                  <a:lumOff val="2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Day'!$V$35:$V$58</c:f>
            </c:numRef>
          </c:val>
          <c:smooth val="0"/>
          <c:extLst>
            <c:ext xmlns:c16="http://schemas.microsoft.com/office/drawing/2014/chart" uri="{C3380CC4-5D6E-409C-BE32-E72D297353CC}">
              <c16:uniqueId val="{00000011-6BED-4FB0-BAAA-201D7213B507}"/>
            </c:ext>
          </c:extLst>
        </c:ser>
        <c:ser>
          <c:idx val="18"/>
          <c:order val="18"/>
          <c:tx>
            <c:strRef>
              <c:f>'Definition of Typical Day'!$W$13:$W$14</c:f>
              <c:strCache>
                <c:ptCount val="2"/>
                <c:pt idx="0">
                  <c:v>19</c:v>
                </c:pt>
                <c:pt idx="1">
                  <c:v>19</c:v>
                </c:pt>
              </c:strCache>
            </c:strRef>
          </c:tx>
          <c:spPr>
            <a:ln w="31750" cap="rnd">
              <a:solidFill>
                <a:schemeClr val="accent1">
                  <a:lumMod val="8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Day'!$W$35:$W$58</c:f>
            </c:numRef>
          </c:val>
          <c:smooth val="0"/>
          <c:extLst>
            <c:ext xmlns:c16="http://schemas.microsoft.com/office/drawing/2014/chart" uri="{C3380CC4-5D6E-409C-BE32-E72D297353CC}">
              <c16:uniqueId val="{00000012-6BED-4FB0-BAAA-201D7213B507}"/>
            </c:ext>
          </c:extLst>
        </c:ser>
        <c:ser>
          <c:idx val="19"/>
          <c:order val="19"/>
          <c:tx>
            <c:strRef>
              <c:f>'Definition of Typical Day'!$X$13:$X$14</c:f>
              <c:strCache>
                <c:ptCount val="2"/>
                <c:pt idx="0">
                  <c:v>20</c:v>
                </c:pt>
                <c:pt idx="1">
                  <c:v>20</c:v>
                </c:pt>
              </c:strCache>
            </c:strRef>
          </c:tx>
          <c:spPr>
            <a:ln w="31750" cap="rnd">
              <a:solidFill>
                <a:schemeClr val="accent2">
                  <a:lumMod val="80000"/>
                </a:schemeClr>
              </a:solidFill>
              <a:round/>
            </a:ln>
            <a:effectLst/>
          </c:spPr>
          <c:marker>
            <c:symbol val="none"/>
          </c:marker>
          <c:cat>
            <c:numRef>
              <c:f>'Definition of Typical Day'!$D$35:$D$58</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Day'!$X$35:$X$58</c:f>
            </c:numRef>
          </c:val>
          <c:smooth val="0"/>
          <c:extLst>
            <c:ext xmlns:c16="http://schemas.microsoft.com/office/drawing/2014/chart" uri="{C3380CC4-5D6E-409C-BE32-E72D297353CC}">
              <c16:uniqueId val="{00000013-6BED-4FB0-BAAA-201D7213B507}"/>
            </c:ext>
          </c:extLst>
        </c:ser>
        <c:dLbls>
          <c:showLegendKey val="0"/>
          <c:showVal val="0"/>
          <c:showCatName val="0"/>
          <c:showSerName val="0"/>
          <c:showPercent val="0"/>
          <c:showBubbleSize val="0"/>
        </c:dLbls>
        <c:smooth val="0"/>
        <c:axId val="1076580768"/>
        <c:axId val="1076583168"/>
      </c:lineChart>
      <c:catAx>
        <c:axId val="1076580768"/>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r>
                  <a:rPr lang="de-DE" sz="1200"/>
                  <a:t>Hour of the day</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3168"/>
        <c:crosses val="autoZero"/>
        <c:auto val="1"/>
        <c:lblAlgn val="ctr"/>
        <c:lblOffset val="100"/>
        <c:noMultiLvlLbl val="0"/>
      </c:catAx>
      <c:valAx>
        <c:axId val="1076583168"/>
        <c:scaling>
          <c:orientation val="minMax"/>
        </c:scaling>
        <c:delete val="0"/>
        <c:axPos val="l"/>
        <c:majorGridlines>
          <c:spPr>
            <a:ln w="9525" cap="flat" cmpd="sng" algn="ctr">
              <a:solidFill>
                <a:schemeClr val="tx2">
                  <a:lumMod val="15000"/>
                  <a:lumOff val="85000"/>
                </a:schemeClr>
              </a:solidFill>
              <a:round/>
            </a:ln>
            <a:effectLst/>
          </c:spPr>
        </c:majorGridlines>
        <c:title>
          <c:tx>
            <c:strRef>
              <c:f>'Definition of Typical Day'!$E$33</c:f>
              <c:strCache>
                <c:ptCount val="1"/>
                <c:pt idx="0">
                  <c:v>MW_th</c:v>
                </c:pt>
              </c:strCache>
            </c:strRef>
          </c:tx>
          <c:layout>
            <c:manualLayout>
              <c:xMode val="edge"/>
              <c:yMode val="edge"/>
              <c:x val="2.1911365441626481E-2"/>
              <c:y val="0.37242869300163906"/>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07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'Definition of Typical Day'!$E$61</c:f>
          <c:strCache>
            <c:ptCount val="1"/>
            <c:pt idx="0">
              <c:v>Max heat demand - grid (HP heat sink)</c:v>
            </c:pt>
          </c:strCache>
        </c:strRef>
      </c:tx>
      <c:layout>
        <c:manualLayout>
          <c:xMode val="edge"/>
          <c:yMode val="edge"/>
          <c:x val="0.16634504734257341"/>
          <c:y val="1.2034344110703815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9.8661356478787127E-2"/>
          <c:y val="0.14064693681338494"/>
          <c:w val="0.59438356644442503"/>
          <c:h val="0.70513391963855709"/>
        </c:manualLayout>
      </c:layout>
      <c:lineChart>
        <c:grouping val="standard"/>
        <c:varyColors val="0"/>
        <c:ser>
          <c:idx val="0"/>
          <c:order val="0"/>
          <c:tx>
            <c:strRef>
              <c:f>'Definition of Typical Day'!$E$13:$E$14</c:f>
              <c:strCache>
                <c:ptCount val="2"/>
                <c:pt idx="0">
                  <c:v>1</c:v>
                </c:pt>
                <c:pt idx="1">
                  <c:v>Winter day</c:v>
                </c:pt>
              </c:strCache>
            </c:strRef>
          </c:tx>
          <c:spPr>
            <a:ln w="31750" cap="rnd">
              <a:solidFill>
                <a:schemeClr val="accent1"/>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Day'!$E$64:$E$87</c:f>
              <c:numCache>
                <c:formatCode>0.0</c:formatCode>
                <c:ptCount val="24"/>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numCache>
            </c:numRef>
          </c:val>
          <c:smooth val="0"/>
          <c:extLst>
            <c:ext xmlns:c16="http://schemas.microsoft.com/office/drawing/2014/chart" uri="{C3380CC4-5D6E-409C-BE32-E72D297353CC}">
              <c16:uniqueId val="{00000000-C0E8-44FF-9333-B5D7219C5E3C}"/>
            </c:ext>
          </c:extLst>
        </c:ser>
        <c:ser>
          <c:idx val="1"/>
          <c:order val="1"/>
          <c:tx>
            <c:strRef>
              <c:f>'Definition of Typical Day'!$F$13:$F$14</c:f>
              <c:strCache>
                <c:ptCount val="2"/>
                <c:pt idx="0">
                  <c:v>2</c:v>
                </c:pt>
                <c:pt idx="1">
                  <c:v>Spring / fall weekday</c:v>
                </c:pt>
              </c:strCache>
            </c:strRef>
          </c:tx>
          <c:spPr>
            <a:ln w="31750" cap="rnd">
              <a:solidFill>
                <a:schemeClr val="accent2"/>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Day'!$F$64:$F$87</c:f>
              <c:numCache>
                <c:formatCode>0.0</c:formatCode>
                <c:ptCount val="24"/>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numCache>
            </c:numRef>
          </c:val>
          <c:smooth val="0"/>
          <c:extLst>
            <c:ext xmlns:c16="http://schemas.microsoft.com/office/drawing/2014/chart" uri="{C3380CC4-5D6E-409C-BE32-E72D297353CC}">
              <c16:uniqueId val="{00000001-C0E8-44FF-9333-B5D7219C5E3C}"/>
            </c:ext>
          </c:extLst>
        </c:ser>
        <c:ser>
          <c:idx val="2"/>
          <c:order val="2"/>
          <c:tx>
            <c:strRef>
              <c:f>'Definition of Typical Day'!$G$13:$G$14</c:f>
              <c:strCache>
                <c:ptCount val="2"/>
                <c:pt idx="0">
                  <c:v>3</c:v>
                </c:pt>
                <c:pt idx="1">
                  <c:v>Spring / fall weekend</c:v>
                </c:pt>
              </c:strCache>
            </c:strRef>
          </c:tx>
          <c:spPr>
            <a:ln w="31750" cap="rnd">
              <a:solidFill>
                <a:schemeClr val="accent3"/>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Day'!$G$64:$G$87</c:f>
              <c:numCache>
                <c:formatCode>0.0</c:formatCode>
                <c:ptCount val="24"/>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numCache>
            </c:numRef>
          </c:val>
          <c:smooth val="0"/>
          <c:extLst>
            <c:ext xmlns:c16="http://schemas.microsoft.com/office/drawing/2014/chart" uri="{C3380CC4-5D6E-409C-BE32-E72D297353CC}">
              <c16:uniqueId val="{00000002-C0E8-44FF-9333-B5D7219C5E3C}"/>
            </c:ext>
          </c:extLst>
        </c:ser>
        <c:ser>
          <c:idx val="3"/>
          <c:order val="3"/>
          <c:tx>
            <c:strRef>
              <c:f>'Definition of Typical Day'!$H$13:$H$14</c:f>
              <c:strCache>
                <c:ptCount val="2"/>
                <c:pt idx="0">
                  <c:v>4</c:v>
                </c:pt>
                <c:pt idx="1">
                  <c:v>Summer weekday</c:v>
                </c:pt>
              </c:strCache>
            </c:strRef>
          </c:tx>
          <c:spPr>
            <a:ln w="31750" cap="rnd">
              <a:solidFill>
                <a:schemeClr val="accent4"/>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Day'!$H$64:$H$87</c:f>
              <c:numCache>
                <c:formatCode>0.0</c:formatCode>
                <c:ptCount val="24"/>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numCache>
            </c:numRef>
          </c:val>
          <c:smooth val="0"/>
          <c:extLst>
            <c:ext xmlns:c16="http://schemas.microsoft.com/office/drawing/2014/chart" uri="{C3380CC4-5D6E-409C-BE32-E72D297353CC}">
              <c16:uniqueId val="{00000003-C0E8-44FF-9333-B5D7219C5E3C}"/>
            </c:ext>
          </c:extLst>
        </c:ser>
        <c:ser>
          <c:idx val="4"/>
          <c:order val="4"/>
          <c:tx>
            <c:strRef>
              <c:f>'Definition of Typical Day'!$I$13:$I$14</c:f>
              <c:strCache>
                <c:ptCount val="2"/>
                <c:pt idx="0">
                  <c:v>5</c:v>
                </c:pt>
                <c:pt idx="1">
                  <c:v>Summer weekend</c:v>
                </c:pt>
              </c:strCache>
            </c:strRef>
          </c:tx>
          <c:spPr>
            <a:ln w="31750" cap="rnd">
              <a:solidFill>
                <a:schemeClr val="accent5"/>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Day'!$I$64:$I$87</c:f>
              <c:numCache>
                <c:formatCode>0.0</c:formatCode>
                <c:ptCount val="24"/>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numCache>
            </c:numRef>
          </c:val>
          <c:smooth val="0"/>
          <c:extLst>
            <c:ext xmlns:c16="http://schemas.microsoft.com/office/drawing/2014/chart" uri="{C3380CC4-5D6E-409C-BE32-E72D297353CC}">
              <c16:uniqueId val="{00000004-C0E8-44FF-9333-B5D7219C5E3C}"/>
            </c:ext>
          </c:extLst>
        </c:ser>
        <c:ser>
          <c:idx val="5"/>
          <c:order val="5"/>
          <c:tx>
            <c:strRef>
              <c:f>'Definition of Typical Day'!$J$13:$J$14</c:f>
              <c:strCache>
                <c:ptCount val="2"/>
                <c:pt idx="0">
                  <c:v>6</c:v>
                </c:pt>
                <c:pt idx="1">
                  <c:v>Maintenance of HP</c:v>
                </c:pt>
              </c:strCache>
            </c:strRef>
          </c:tx>
          <c:spPr>
            <a:ln w="31750" cap="rnd">
              <a:solidFill>
                <a:schemeClr val="accent6"/>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Day'!$J$64:$J$87</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5-C0E8-44FF-9333-B5D7219C5E3C}"/>
            </c:ext>
          </c:extLst>
        </c:ser>
        <c:ser>
          <c:idx val="6"/>
          <c:order val="6"/>
          <c:tx>
            <c:strRef>
              <c:f>'Definition of Typical Day'!$K$13:$K$14</c:f>
              <c:strCache>
                <c:ptCount val="2"/>
                <c:pt idx="0">
                  <c:v>7</c:v>
                </c:pt>
                <c:pt idx="1">
                  <c:v>7</c:v>
                </c:pt>
              </c:strCache>
            </c:strRef>
          </c:tx>
          <c:spPr>
            <a:ln w="31750" cap="rnd">
              <a:solidFill>
                <a:schemeClr val="accent1">
                  <a:lumMod val="6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Day'!$K$64:$K$87</c:f>
            </c:numRef>
          </c:val>
          <c:smooth val="0"/>
          <c:extLst>
            <c:ext xmlns:c16="http://schemas.microsoft.com/office/drawing/2014/chart" uri="{C3380CC4-5D6E-409C-BE32-E72D297353CC}">
              <c16:uniqueId val="{00000006-C0E8-44FF-9333-B5D7219C5E3C}"/>
            </c:ext>
          </c:extLst>
        </c:ser>
        <c:ser>
          <c:idx val="7"/>
          <c:order val="7"/>
          <c:tx>
            <c:strRef>
              <c:f>'Definition of Typical Day'!$L$13:$L$14</c:f>
              <c:strCache>
                <c:ptCount val="2"/>
                <c:pt idx="0">
                  <c:v>8</c:v>
                </c:pt>
                <c:pt idx="1">
                  <c:v>8</c:v>
                </c:pt>
              </c:strCache>
            </c:strRef>
          </c:tx>
          <c:spPr>
            <a:ln w="31750" cap="rnd">
              <a:solidFill>
                <a:schemeClr val="accent2">
                  <a:lumMod val="6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Day'!$L$64:$L$87</c:f>
            </c:numRef>
          </c:val>
          <c:smooth val="0"/>
          <c:extLst>
            <c:ext xmlns:c16="http://schemas.microsoft.com/office/drawing/2014/chart" uri="{C3380CC4-5D6E-409C-BE32-E72D297353CC}">
              <c16:uniqueId val="{00000007-C0E8-44FF-9333-B5D7219C5E3C}"/>
            </c:ext>
          </c:extLst>
        </c:ser>
        <c:ser>
          <c:idx val="8"/>
          <c:order val="8"/>
          <c:tx>
            <c:strRef>
              <c:f>'Definition of Typical Day'!$M$13:$M$14</c:f>
              <c:strCache>
                <c:ptCount val="2"/>
                <c:pt idx="0">
                  <c:v>9</c:v>
                </c:pt>
                <c:pt idx="1">
                  <c:v>9</c:v>
                </c:pt>
              </c:strCache>
            </c:strRef>
          </c:tx>
          <c:spPr>
            <a:ln w="31750" cap="rnd">
              <a:solidFill>
                <a:schemeClr val="accent3">
                  <a:lumMod val="6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Day'!$M$64:$M$87</c:f>
            </c:numRef>
          </c:val>
          <c:smooth val="0"/>
          <c:extLst>
            <c:ext xmlns:c16="http://schemas.microsoft.com/office/drawing/2014/chart" uri="{C3380CC4-5D6E-409C-BE32-E72D297353CC}">
              <c16:uniqueId val="{00000008-C0E8-44FF-9333-B5D7219C5E3C}"/>
            </c:ext>
          </c:extLst>
        </c:ser>
        <c:ser>
          <c:idx val="9"/>
          <c:order val="9"/>
          <c:tx>
            <c:strRef>
              <c:f>'Definition of Typical Day'!$N$13:$N$14</c:f>
              <c:strCache>
                <c:ptCount val="2"/>
                <c:pt idx="0">
                  <c:v>10</c:v>
                </c:pt>
                <c:pt idx="1">
                  <c:v>10</c:v>
                </c:pt>
              </c:strCache>
            </c:strRef>
          </c:tx>
          <c:spPr>
            <a:ln w="31750" cap="rnd">
              <a:solidFill>
                <a:schemeClr val="accent4">
                  <a:lumMod val="6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Day'!$N$64:$N$87</c:f>
            </c:numRef>
          </c:val>
          <c:smooth val="0"/>
          <c:extLst>
            <c:ext xmlns:c16="http://schemas.microsoft.com/office/drawing/2014/chart" uri="{C3380CC4-5D6E-409C-BE32-E72D297353CC}">
              <c16:uniqueId val="{00000009-C0E8-44FF-9333-B5D7219C5E3C}"/>
            </c:ext>
          </c:extLst>
        </c:ser>
        <c:ser>
          <c:idx val="10"/>
          <c:order val="10"/>
          <c:tx>
            <c:strRef>
              <c:f>'Definition of Typical Day'!$O$13:$O$14</c:f>
              <c:strCache>
                <c:ptCount val="2"/>
                <c:pt idx="0">
                  <c:v>11</c:v>
                </c:pt>
                <c:pt idx="1">
                  <c:v>11</c:v>
                </c:pt>
              </c:strCache>
            </c:strRef>
          </c:tx>
          <c:spPr>
            <a:ln w="31750" cap="rnd">
              <a:solidFill>
                <a:schemeClr val="accent5">
                  <a:lumMod val="6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Day'!$O$64:$O$87</c:f>
            </c:numRef>
          </c:val>
          <c:smooth val="0"/>
          <c:extLst>
            <c:ext xmlns:c16="http://schemas.microsoft.com/office/drawing/2014/chart" uri="{C3380CC4-5D6E-409C-BE32-E72D297353CC}">
              <c16:uniqueId val="{0000000A-C0E8-44FF-9333-B5D7219C5E3C}"/>
            </c:ext>
          </c:extLst>
        </c:ser>
        <c:ser>
          <c:idx val="11"/>
          <c:order val="11"/>
          <c:tx>
            <c:strRef>
              <c:f>'Definition of Typical Day'!$P$13:$P$14</c:f>
              <c:strCache>
                <c:ptCount val="2"/>
                <c:pt idx="0">
                  <c:v>12</c:v>
                </c:pt>
                <c:pt idx="1">
                  <c:v>12</c:v>
                </c:pt>
              </c:strCache>
            </c:strRef>
          </c:tx>
          <c:spPr>
            <a:ln w="31750" cap="rnd">
              <a:solidFill>
                <a:schemeClr val="accent6">
                  <a:lumMod val="6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Day'!$P$64:$P$87</c:f>
            </c:numRef>
          </c:val>
          <c:smooth val="0"/>
          <c:extLst>
            <c:ext xmlns:c16="http://schemas.microsoft.com/office/drawing/2014/chart" uri="{C3380CC4-5D6E-409C-BE32-E72D297353CC}">
              <c16:uniqueId val="{0000000B-C0E8-44FF-9333-B5D7219C5E3C}"/>
            </c:ext>
          </c:extLst>
        </c:ser>
        <c:ser>
          <c:idx val="12"/>
          <c:order val="12"/>
          <c:tx>
            <c:strRef>
              <c:f>'Definition of Typical Day'!$Q$13:$Q$14</c:f>
              <c:strCache>
                <c:ptCount val="2"/>
                <c:pt idx="0">
                  <c:v>13</c:v>
                </c:pt>
                <c:pt idx="1">
                  <c:v>13</c:v>
                </c:pt>
              </c:strCache>
            </c:strRef>
          </c:tx>
          <c:spPr>
            <a:ln w="31750" cap="rnd">
              <a:solidFill>
                <a:schemeClr val="accent1">
                  <a:lumMod val="80000"/>
                  <a:lumOff val="2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Day'!$Q$64:$Q$87</c:f>
            </c:numRef>
          </c:val>
          <c:smooth val="0"/>
          <c:extLst>
            <c:ext xmlns:c16="http://schemas.microsoft.com/office/drawing/2014/chart" uri="{C3380CC4-5D6E-409C-BE32-E72D297353CC}">
              <c16:uniqueId val="{0000000C-C0E8-44FF-9333-B5D7219C5E3C}"/>
            </c:ext>
          </c:extLst>
        </c:ser>
        <c:ser>
          <c:idx val="13"/>
          <c:order val="13"/>
          <c:tx>
            <c:strRef>
              <c:f>'Definition of Typical Day'!$R$13:$R$14</c:f>
              <c:strCache>
                <c:ptCount val="2"/>
                <c:pt idx="0">
                  <c:v>14</c:v>
                </c:pt>
                <c:pt idx="1">
                  <c:v>14</c:v>
                </c:pt>
              </c:strCache>
            </c:strRef>
          </c:tx>
          <c:spPr>
            <a:ln w="31750" cap="rnd">
              <a:solidFill>
                <a:schemeClr val="accent2">
                  <a:lumMod val="80000"/>
                  <a:lumOff val="2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Day'!$R$64:$R$87</c:f>
            </c:numRef>
          </c:val>
          <c:smooth val="0"/>
          <c:extLst>
            <c:ext xmlns:c16="http://schemas.microsoft.com/office/drawing/2014/chart" uri="{C3380CC4-5D6E-409C-BE32-E72D297353CC}">
              <c16:uniqueId val="{0000000D-C0E8-44FF-9333-B5D7219C5E3C}"/>
            </c:ext>
          </c:extLst>
        </c:ser>
        <c:ser>
          <c:idx val="14"/>
          <c:order val="14"/>
          <c:tx>
            <c:strRef>
              <c:f>'Definition of Typical Day'!$S$13:$S$14</c:f>
              <c:strCache>
                <c:ptCount val="2"/>
                <c:pt idx="0">
                  <c:v>15</c:v>
                </c:pt>
                <c:pt idx="1">
                  <c:v>15</c:v>
                </c:pt>
              </c:strCache>
            </c:strRef>
          </c:tx>
          <c:spPr>
            <a:ln w="31750" cap="rnd">
              <a:solidFill>
                <a:schemeClr val="accent3">
                  <a:lumMod val="80000"/>
                  <a:lumOff val="2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Day'!$S$64:$S$87</c:f>
            </c:numRef>
          </c:val>
          <c:smooth val="0"/>
          <c:extLst>
            <c:ext xmlns:c16="http://schemas.microsoft.com/office/drawing/2014/chart" uri="{C3380CC4-5D6E-409C-BE32-E72D297353CC}">
              <c16:uniqueId val="{0000000E-C0E8-44FF-9333-B5D7219C5E3C}"/>
            </c:ext>
          </c:extLst>
        </c:ser>
        <c:ser>
          <c:idx val="15"/>
          <c:order val="15"/>
          <c:tx>
            <c:strRef>
              <c:f>'Definition of Typical Day'!$T$13:$T$14</c:f>
              <c:strCache>
                <c:ptCount val="2"/>
                <c:pt idx="0">
                  <c:v>16</c:v>
                </c:pt>
                <c:pt idx="1">
                  <c:v>16</c:v>
                </c:pt>
              </c:strCache>
            </c:strRef>
          </c:tx>
          <c:spPr>
            <a:ln w="31750" cap="rnd">
              <a:solidFill>
                <a:schemeClr val="accent4">
                  <a:lumMod val="80000"/>
                  <a:lumOff val="2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Day'!$T$64:$T$87</c:f>
            </c:numRef>
          </c:val>
          <c:smooth val="0"/>
          <c:extLst>
            <c:ext xmlns:c16="http://schemas.microsoft.com/office/drawing/2014/chart" uri="{C3380CC4-5D6E-409C-BE32-E72D297353CC}">
              <c16:uniqueId val="{0000000F-C0E8-44FF-9333-B5D7219C5E3C}"/>
            </c:ext>
          </c:extLst>
        </c:ser>
        <c:ser>
          <c:idx val="16"/>
          <c:order val="16"/>
          <c:tx>
            <c:strRef>
              <c:f>'Definition of Typical Day'!$U$13:$U$14</c:f>
              <c:strCache>
                <c:ptCount val="2"/>
                <c:pt idx="0">
                  <c:v>17</c:v>
                </c:pt>
                <c:pt idx="1">
                  <c:v>17</c:v>
                </c:pt>
              </c:strCache>
            </c:strRef>
          </c:tx>
          <c:spPr>
            <a:ln w="31750" cap="rnd">
              <a:solidFill>
                <a:schemeClr val="accent5">
                  <a:lumMod val="80000"/>
                  <a:lumOff val="2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Day'!$U$64:$U$87</c:f>
            </c:numRef>
          </c:val>
          <c:smooth val="0"/>
          <c:extLst>
            <c:ext xmlns:c16="http://schemas.microsoft.com/office/drawing/2014/chart" uri="{C3380CC4-5D6E-409C-BE32-E72D297353CC}">
              <c16:uniqueId val="{00000010-C0E8-44FF-9333-B5D7219C5E3C}"/>
            </c:ext>
          </c:extLst>
        </c:ser>
        <c:ser>
          <c:idx val="17"/>
          <c:order val="17"/>
          <c:tx>
            <c:strRef>
              <c:f>'Definition of Typical Day'!$V$13:$V$14</c:f>
              <c:strCache>
                <c:ptCount val="2"/>
                <c:pt idx="0">
                  <c:v>18</c:v>
                </c:pt>
                <c:pt idx="1">
                  <c:v>18</c:v>
                </c:pt>
              </c:strCache>
            </c:strRef>
          </c:tx>
          <c:spPr>
            <a:ln w="31750" cap="rnd">
              <a:solidFill>
                <a:schemeClr val="accent6">
                  <a:lumMod val="80000"/>
                  <a:lumOff val="2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Day'!$V$64:$V$87</c:f>
            </c:numRef>
          </c:val>
          <c:smooth val="0"/>
          <c:extLst>
            <c:ext xmlns:c16="http://schemas.microsoft.com/office/drawing/2014/chart" uri="{C3380CC4-5D6E-409C-BE32-E72D297353CC}">
              <c16:uniqueId val="{00000011-C0E8-44FF-9333-B5D7219C5E3C}"/>
            </c:ext>
          </c:extLst>
        </c:ser>
        <c:ser>
          <c:idx val="18"/>
          <c:order val="18"/>
          <c:tx>
            <c:strRef>
              <c:f>'Definition of Typical Day'!$W$13:$W$14</c:f>
              <c:strCache>
                <c:ptCount val="2"/>
                <c:pt idx="0">
                  <c:v>19</c:v>
                </c:pt>
                <c:pt idx="1">
                  <c:v>19</c:v>
                </c:pt>
              </c:strCache>
            </c:strRef>
          </c:tx>
          <c:spPr>
            <a:ln w="31750" cap="rnd">
              <a:solidFill>
                <a:schemeClr val="accent1">
                  <a:lumMod val="8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Day'!$W$64:$W$87</c:f>
            </c:numRef>
          </c:val>
          <c:smooth val="0"/>
          <c:extLst>
            <c:ext xmlns:c16="http://schemas.microsoft.com/office/drawing/2014/chart" uri="{C3380CC4-5D6E-409C-BE32-E72D297353CC}">
              <c16:uniqueId val="{00000012-C0E8-44FF-9333-B5D7219C5E3C}"/>
            </c:ext>
          </c:extLst>
        </c:ser>
        <c:ser>
          <c:idx val="19"/>
          <c:order val="19"/>
          <c:tx>
            <c:strRef>
              <c:f>'Definition of Typical Day'!$X$13:$X$14</c:f>
              <c:strCache>
                <c:ptCount val="2"/>
                <c:pt idx="0">
                  <c:v>20</c:v>
                </c:pt>
                <c:pt idx="1">
                  <c:v>20</c:v>
                </c:pt>
              </c:strCache>
            </c:strRef>
          </c:tx>
          <c:spPr>
            <a:ln w="31750" cap="rnd">
              <a:solidFill>
                <a:schemeClr val="accent2">
                  <a:lumMod val="80000"/>
                </a:schemeClr>
              </a:solidFill>
              <a:round/>
            </a:ln>
            <a:effectLst/>
          </c:spPr>
          <c:marker>
            <c:symbol val="none"/>
          </c:marker>
          <c:cat>
            <c:numRef>
              <c:f>'Definition of Typical Day'!$D$64:$D$87</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Day'!$X$64:$X$87</c:f>
            </c:numRef>
          </c:val>
          <c:smooth val="0"/>
          <c:extLst>
            <c:ext xmlns:c16="http://schemas.microsoft.com/office/drawing/2014/chart" uri="{C3380CC4-5D6E-409C-BE32-E72D297353CC}">
              <c16:uniqueId val="{00000013-C0E8-44FF-9333-B5D7219C5E3C}"/>
            </c:ext>
          </c:extLst>
        </c:ser>
        <c:dLbls>
          <c:showLegendKey val="0"/>
          <c:showVal val="0"/>
          <c:showCatName val="0"/>
          <c:showSerName val="0"/>
          <c:showPercent val="0"/>
          <c:showBubbleSize val="0"/>
        </c:dLbls>
        <c:smooth val="0"/>
        <c:axId val="1076580768"/>
        <c:axId val="1076583168"/>
      </c:lineChart>
      <c:catAx>
        <c:axId val="1076580768"/>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r>
                  <a:rPr lang="de-DE" sz="1200"/>
                  <a:t>Hour of the day</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3168"/>
        <c:crosses val="autoZero"/>
        <c:auto val="1"/>
        <c:lblAlgn val="ctr"/>
        <c:lblOffset val="100"/>
        <c:noMultiLvlLbl val="0"/>
      </c:catAx>
      <c:valAx>
        <c:axId val="1076583168"/>
        <c:scaling>
          <c:orientation val="minMax"/>
        </c:scaling>
        <c:delete val="0"/>
        <c:axPos val="l"/>
        <c:majorGridlines>
          <c:spPr>
            <a:ln w="9525" cap="flat" cmpd="sng" algn="ctr">
              <a:solidFill>
                <a:schemeClr val="tx2">
                  <a:lumMod val="15000"/>
                  <a:lumOff val="85000"/>
                </a:schemeClr>
              </a:solidFill>
              <a:round/>
            </a:ln>
            <a:effectLst/>
          </c:spPr>
        </c:majorGridlines>
        <c:title>
          <c:tx>
            <c:strRef>
              <c:f>'Definition of Typical Day'!$E$62</c:f>
              <c:strCache>
                <c:ptCount val="1"/>
                <c:pt idx="0">
                  <c:v>MW_th</c:v>
                </c:pt>
              </c:strCache>
            </c:strRef>
          </c:tx>
          <c:layout>
            <c:manualLayout>
              <c:xMode val="edge"/>
              <c:yMode val="edge"/>
              <c:x val="2.5356685683395535E-2"/>
              <c:y val="0.13060072749601379"/>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07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'Definition of Typical Day'!$E$90</c:f>
          <c:strCache>
            <c:ptCount val="1"/>
            <c:pt idx="0">
              <c:v>Heat source temperature (DC) / temperature of the cooling system before HEx 1</c:v>
            </c:pt>
          </c:strCache>
        </c:strRef>
      </c:tx>
      <c:layout>
        <c:manualLayout>
          <c:xMode val="edge"/>
          <c:yMode val="edge"/>
          <c:x val="0.10845071987550439"/>
          <c:y val="1.2034344110703815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9.8661356478787127E-2"/>
          <c:y val="0.17538916666666668"/>
          <c:w val="0.5961927641777709"/>
          <c:h val="0.69142277777777794"/>
        </c:manualLayout>
      </c:layout>
      <c:lineChart>
        <c:grouping val="standard"/>
        <c:varyColors val="0"/>
        <c:ser>
          <c:idx val="0"/>
          <c:order val="0"/>
          <c:tx>
            <c:strRef>
              <c:f>'Definition of Typical Day'!$E$13:$E$14</c:f>
              <c:strCache>
                <c:ptCount val="2"/>
                <c:pt idx="0">
                  <c:v>1</c:v>
                </c:pt>
                <c:pt idx="1">
                  <c:v>Winter day</c:v>
                </c:pt>
              </c:strCache>
            </c:strRef>
          </c:tx>
          <c:spPr>
            <a:ln w="31750" cap="rnd">
              <a:solidFill>
                <a:schemeClr val="accent1"/>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Day'!$E$93:$E$116</c:f>
              <c:numCache>
                <c:formatCode>0</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0-1133-473E-AF21-6D6BAECE673F}"/>
            </c:ext>
          </c:extLst>
        </c:ser>
        <c:ser>
          <c:idx val="1"/>
          <c:order val="1"/>
          <c:tx>
            <c:strRef>
              <c:f>'Definition of Typical Day'!$F$13:$F$14</c:f>
              <c:strCache>
                <c:ptCount val="2"/>
                <c:pt idx="0">
                  <c:v>2</c:v>
                </c:pt>
                <c:pt idx="1">
                  <c:v>Spring / fall weekday</c:v>
                </c:pt>
              </c:strCache>
            </c:strRef>
          </c:tx>
          <c:spPr>
            <a:ln w="31750" cap="rnd">
              <a:solidFill>
                <a:schemeClr val="accent2"/>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Day'!$F$93:$F$116</c:f>
              <c:numCache>
                <c:formatCode>0</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1-1133-473E-AF21-6D6BAECE673F}"/>
            </c:ext>
          </c:extLst>
        </c:ser>
        <c:ser>
          <c:idx val="2"/>
          <c:order val="2"/>
          <c:tx>
            <c:strRef>
              <c:f>'Definition of Typical Day'!$G$13:$G$14</c:f>
              <c:strCache>
                <c:ptCount val="2"/>
                <c:pt idx="0">
                  <c:v>3</c:v>
                </c:pt>
                <c:pt idx="1">
                  <c:v>Spring / fall weekend</c:v>
                </c:pt>
              </c:strCache>
            </c:strRef>
          </c:tx>
          <c:spPr>
            <a:ln w="31750" cap="rnd">
              <a:solidFill>
                <a:schemeClr val="accent3"/>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Day'!$G$93:$G$116</c:f>
              <c:numCache>
                <c:formatCode>0</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2-1133-473E-AF21-6D6BAECE673F}"/>
            </c:ext>
          </c:extLst>
        </c:ser>
        <c:ser>
          <c:idx val="3"/>
          <c:order val="3"/>
          <c:tx>
            <c:strRef>
              <c:f>'Definition of Typical Day'!$H$13:$H$14</c:f>
              <c:strCache>
                <c:ptCount val="2"/>
                <c:pt idx="0">
                  <c:v>4</c:v>
                </c:pt>
                <c:pt idx="1">
                  <c:v>Summer weekday</c:v>
                </c:pt>
              </c:strCache>
            </c:strRef>
          </c:tx>
          <c:spPr>
            <a:ln w="31750" cap="rnd">
              <a:solidFill>
                <a:schemeClr val="accent4"/>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Day'!$H$93:$H$116</c:f>
              <c:numCache>
                <c:formatCode>0</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3-1133-473E-AF21-6D6BAECE673F}"/>
            </c:ext>
          </c:extLst>
        </c:ser>
        <c:ser>
          <c:idx val="4"/>
          <c:order val="4"/>
          <c:tx>
            <c:strRef>
              <c:f>'Definition of Typical Day'!$I$13:$I$14</c:f>
              <c:strCache>
                <c:ptCount val="2"/>
                <c:pt idx="0">
                  <c:v>5</c:v>
                </c:pt>
                <c:pt idx="1">
                  <c:v>Summer weekend</c:v>
                </c:pt>
              </c:strCache>
            </c:strRef>
          </c:tx>
          <c:spPr>
            <a:ln w="31750" cap="rnd">
              <a:solidFill>
                <a:schemeClr val="accent5"/>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Day'!$I$93:$I$116</c:f>
              <c:numCache>
                <c:formatCode>0</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4-1133-473E-AF21-6D6BAECE673F}"/>
            </c:ext>
          </c:extLst>
        </c:ser>
        <c:ser>
          <c:idx val="5"/>
          <c:order val="5"/>
          <c:tx>
            <c:strRef>
              <c:f>'Definition of Typical Day'!$J$13:$J$14</c:f>
              <c:strCache>
                <c:ptCount val="2"/>
                <c:pt idx="0">
                  <c:v>6</c:v>
                </c:pt>
                <c:pt idx="1">
                  <c:v>Maintenance of HP</c:v>
                </c:pt>
              </c:strCache>
            </c:strRef>
          </c:tx>
          <c:spPr>
            <a:ln w="31750" cap="rnd">
              <a:solidFill>
                <a:schemeClr val="accent6"/>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Day'!$J$93:$J$116</c:f>
              <c:numCache>
                <c:formatCode>0</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5-1133-473E-AF21-6D6BAECE673F}"/>
            </c:ext>
          </c:extLst>
        </c:ser>
        <c:ser>
          <c:idx val="6"/>
          <c:order val="6"/>
          <c:tx>
            <c:strRef>
              <c:f>'Definition of Typical Day'!$K$13:$K$14</c:f>
              <c:strCache>
                <c:ptCount val="2"/>
                <c:pt idx="0">
                  <c:v>7</c:v>
                </c:pt>
                <c:pt idx="1">
                  <c:v>7</c:v>
                </c:pt>
              </c:strCache>
            </c:strRef>
          </c:tx>
          <c:spPr>
            <a:ln w="31750" cap="rnd">
              <a:solidFill>
                <a:schemeClr val="accent1">
                  <a:lumMod val="6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Day'!$K$93:$K$116</c:f>
            </c:numRef>
          </c:val>
          <c:smooth val="0"/>
          <c:extLst>
            <c:ext xmlns:c16="http://schemas.microsoft.com/office/drawing/2014/chart" uri="{C3380CC4-5D6E-409C-BE32-E72D297353CC}">
              <c16:uniqueId val="{00000006-1133-473E-AF21-6D6BAECE673F}"/>
            </c:ext>
          </c:extLst>
        </c:ser>
        <c:ser>
          <c:idx val="7"/>
          <c:order val="7"/>
          <c:tx>
            <c:strRef>
              <c:f>'Definition of Typical Day'!$L$13:$L$14</c:f>
              <c:strCache>
                <c:ptCount val="2"/>
                <c:pt idx="0">
                  <c:v>8</c:v>
                </c:pt>
                <c:pt idx="1">
                  <c:v>8</c:v>
                </c:pt>
              </c:strCache>
            </c:strRef>
          </c:tx>
          <c:spPr>
            <a:ln w="31750" cap="rnd">
              <a:solidFill>
                <a:schemeClr val="accent2">
                  <a:lumMod val="6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Day'!$L$93:$L$116</c:f>
            </c:numRef>
          </c:val>
          <c:smooth val="0"/>
          <c:extLst>
            <c:ext xmlns:c16="http://schemas.microsoft.com/office/drawing/2014/chart" uri="{C3380CC4-5D6E-409C-BE32-E72D297353CC}">
              <c16:uniqueId val="{00000007-1133-473E-AF21-6D6BAECE673F}"/>
            </c:ext>
          </c:extLst>
        </c:ser>
        <c:ser>
          <c:idx val="8"/>
          <c:order val="8"/>
          <c:tx>
            <c:strRef>
              <c:f>'Definition of Typical Day'!$M$13:$M$14</c:f>
              <c:strCache>
                <c:ptCount val="2"/>
                <c:pt idx="0">
                  <c:v>9</c:v>
                </c:pt>
                <c:pt idx="1">
                  <c:v>9</c:v>
                </c:pt>
              </c:strCache>
            </c:strRef>
          </c:tx>
          <c:spPr>
            <a:ln w="31750" cap="rnd">
              <a:solidFill>
                <a:schemeClr val="accent3">
                  <a:lumMod val="6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Day'!$M$93:$M$116</c:f>
            </c:numRef>
          </c:val>
          <c:smooth val="0"/>
          <c:extLst>
            <c:ext xmlns:c16="http://schemas.microsoft.com/office/drawing/2014/chart" uri="{C3380CC4-5D6E-409C-BE32-E72D297353CC}">
              <c16:uniqueId val="{00000008-1133-473E-AF21-6D6BAECE673F}"/>
            </c:ext>
          </c:extLst>
        </c:ser>
        <c:ser>
          <c:idx val="9"/>
          <c:order val="9"/>
          <c:tx>
            <c:strRef>
              <c:f>'Definition of Typical Day'!$N$13:$N$14</c:f>
              <c:strCache>
                <c:ptCount val="2"/>
                <c:pt idx="0">
                  <c:v>10</c:v>
                </c:pt>
                <c:pt idx="1">
                  <c:v>10</c:v>
                </c:pt>
              </c:strCache>
            </c:strRef>
          </c:tx>
          <c:spPr>
            <a:ln w="31750" cap="rnd">
              <a:solidFill>
                <a:schemeClr val="accent4">
                  <a:lumMod val="6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Day'!$N$93:$N$116</c:f>
            </c:numRef>
          </c:val>
          <c:smooth val="0"/>
          <c:extLst>
            <c:ext xmlns:c16="http://schemas.microsoft.com/office/drawing/2014/chart" uri="{C3380CC4-5D6E-409C-BE32-E72D297353CC}">
              <c16:uniqueId val="{00000009-1133-473E-AF21-6D6BAECE673F}"/>
            </c:ext>
          </c:extLst>
        </c:ser>
        <c:ser>
          <c:idx val="10"/>
          <c:order val="10"/>
          <c:tx>
            <c:strRef>
              <c:f>'Definition of Typical Day'!$O$13:$O$14</c:f>
              <c:strCache>
                <c:ptCount val="2"/>
                <c:pt idx="0">
                  <c:v>11</c:v>
                </c:pt>
                <c:pt idx="1">
                  <c:v>11</c:v>
                </c:pt>
              </c:strCache>
            </c:strRef>
          </c:tx>
          <c:spPr>
            <a:ln w="31750" cap="rnd">
              <a:solidFill>
                <a:schemeClr val="accent5">
                  <a:lumMod val="6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Day'!$O$93:$O$116</c:f>
            </c:numRef>
          </c:val>
          <c:smooth val="0"/>
          <c:extLst>
            <c:ext xmlns:c16="http://schemas.microsoft.com/office/drawing/2014/chart" uri="{C3380CC4-5D6E-409C-BE32-E72D297353CC}">
              <c16:uniqueId val="{0000000A-1133-473E-AF21-6D6BAECE673F}"/>
            </c:ext>
          </c:extLst>
        </c:ser>
        <c:ser>
          <c:idx val="11"/>
          <c:order val="11"/>
          <c:tx>
            <c:strRef>
              <c:f>'Definition of Typical Day'!$P$13:$P$14</c:f>
              <c:strCache>
                <c:ptCount val="2"/>
                <c:pt idx="0">
                  <c:v>12</c:v>
                </c:pt>
                <c:pt idx="1">
                  <c:v>12</c:v>
                </c:pt>
              </c:strCache>
            </c:strRef>
          </c:tx>
          <c:spPr>
            <a:ln w="31750" cap="rnd">
              <a:solidFill>
                <a:schemeClr val="accent6">
                  <a:lumMod val="6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Day'!$P$93:$P$116</c:f>
            </c:numRef>
          </c:val>
          <c:smooth val="0"/>
          <c:extLst>
            <c:ext xmlns:c16="http://schemas.microsoft.com/office/drawing/2014/chart" uri="{C3380CC4-5D6E-409C-BE32-E72D297353CC}">
              <c16:uniqueId val="{0000000B-1133-473E-AF21-6D6BAECE673F}"/>
            </c:ext>
          </c:extLst>
        </c:ser>
        <c:ser>
          <c:idx val="12"/>
          <c:order val="12"/>
          <c:tx>
            <c:strRef>
              <c:f>'Definition of Typical Day'!$Q$13:$Q$14</c:f>
              <c:strCache>
                <c:ptCount val="2"/>
                <c:pt idx="0">
                  <c:v>13</c:v>
                </c:pt>
                <c:pt idx="1">
                  <c:v>13</c:v>
                </c:pt>
              </c:strCache>
            </c:strRef>
          </c:tx>
          <c:spPr>
            <a:ln w="31750" cap="rnd">
              <a:solidFill>
                <a:schemeClr val="accent1">
                  <a:lumMod val="80000"/>
                  <a:lumOff val="2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Day'!$Q$93:$Q$116</c:f>
            </c:numRef>
          </c:val>
          <c:smooth val="0"/>
          <c:extLst>
            <c:ext xmlns:c16="http://schemas.microsoft.com/office/drawing/2014/chart" uri="{C3380CC4-5D6E-409C-BE32-E72D297353CC}">
              <c16:uniqueId val="{0000000C-1133-473E-AF21-6D6BAECE673F}"/>
            </c:ext>
          </c:extLst>
        </c:ser>
        <c:ser>
          <c:idx val="13"/>
          <c:order val="13"/>
          <c:tx>
            <c:strRef>
              <c:f>'Definition of Typical Day'!$R$13:$R$14</c:f>
              <c:strCache>
                <c:ptCount val="2"/>
                <c:pt idx="0">
                  <c:v>14</c:v>
                </c:pt>
                <c:pt idx="1">
                  <c:v>14</c:v>
                </c:pt>
              </c:strCache>
            </c:strRef>
          </c:tx>
          <c:spPr>
            <a:ln w="31750" cap="rnd">
              <a:solidFill>
                <a:schemeClr val="accent2">
                  <a:lumMod val="80000"/>
                  <a:lumOff val="2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Day'!$R$93:$R$116</c:f>
            </c:numRef>
          </c:val>
          <c:smooth val="0"/>
          <c:extLst>
            <c:ext xmlns:c16="http://schemas.microsoft.com/office/drawing/2014/chart" uri="{C3380CC4-5D6E-409C-BE32-E72D297353CC}">
              <c16:uniqueId val="{0000000D-1133-473E-AF21-6D6BAECE673F}"/>
            </c:ext>
          </c:extLst>
        </c:ser>
        <c:ser>
          <c:idx val="14"/>
          <c:order val="14"/>
          <c:tx>
            <c:strRef>
              <c:f>'Definition of Typical Day'!$S$13:$S$14</c:f>
              <c:strCache>
                <c:ptCount val="2"/>
                <c:pt idx="0">
                  <c:v>15</c:v>
                </c:pt>
                <c:pt idx="1">
                  <c:v>15</c:v>
                </c:pt>
              </c:strCache>
            </c:strRef>
          </c:tx>
          <c:spPr>
            <a:ln w="31750" cap="rnd">
              <a:solidFill>
                <a:schemeClr val="accent3">
                  <a:lumMod val="80000"/>
                  <a:lumOff val="2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Day'!$S$93:$S$116</c:f>
            </c:numRef>
          </c:val>
          <c:smooth val="0"/>
          <c:extLst>
            <c:ext xmlns:c16="http://schemas.microsoft.com/office/drawing/2014/chart" uri="{C3380CC4-5D6E-409C-BE32-E72D297353CC}">
              <c16:uniqueId val="{0000000E-1133-473E-AF21-6D6BAECE673F}"/>
            </c:ext>
          </c:extLst>
        </c:ser>
        <c:ser>
          <c:idx val="15"/>
          <c:order val="15"/>
          <c:tx>
            <c:strRef>
              <c:f>'Definition of Typical Day'!$T$13:$T$14</c:f>
              <c:strCache>
                <c:ptCount val="2"/>
                <c:pt idx="0">
                  <c:v>16</c:v>
                </c:pt>
                <c:pt idx="1">
                  <c:v>16</c:v>
                </c:pt>
              </c:strCache>
            </c:strRef>
          </c:tx>
          <c:spPr>
            <a:ln w="31750" cap="rnd">
              <a:solidFill>
                <a:schemeClr val="accent4">
                  <a:lumMod val="80000"/>
                  <a:lumOff val="2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Day'!$T$93:$T$116</c:f>
            </c:numRef>
          </c:val>
          <c:smooth val="0"/>
          <c:extLst>
            <c:ext xmlns:c16="http://schemas.microsoft.com/office/drawing/2014/chart" uri="{C3380CC4-5D6E-409C-BE32-E72D297353CC}">
              <c16:uniqueId val="{0000000F-1133-473E-AF21-6D6BAECE673F}"/>
            </c:ext>
          </c:extLst>
        </c:ser>
        <c:ser>
          <c:idx val="16"/>
          <c:order val="16"/>
          <c:tx>
            <c:strRef>
              <c:f>'Definition of Typical Day'!$U$13:$U$14</c:f>
              <c:strCache>
                <c:ptCount val="2"/>
                <c:pt idx="0">
                  <c:v>17</c:v>
                </c:pt>
                <c:pt idx="1">
                  <c:v>17</c:v>
                </c:pt>
              </c:strCache>
            </c:strRef>
          </c:tx>
          <c:spPr>
            <a:ln w="31750" cap="rnd">
              <a:solidFill>
                <a:schemeClr val="accent5">
                  <a:lumMod val="80000"/>
                  <a:lumOff val="2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Day'!$U$93:$U$116</c:f>
            </c:numRef>
          </c:val>
          <c:smooth val="0"/>
          <c:extLst>
            <c:ext xmlns:c16="http://schemas.microsoft.com/office/drawing/2014/chart" uri="{C3380CC4-5D6E-409C-BE32-E72D297353CC}">
              <c16:uniqueId val="{00000010-1133-473E-AF21-6D6BAECE673F}"/>
            </c:ext>
          </c:extLst>
        </c:ser>
        <c:ser>
          <c:idx val="17"/>
          <c:order val="17"/>
          <c:tx>
            <c:strRef>
              <c:f>'Definition of Typical Day'!$V$13:$V$14</c:f>
              <c:strCache>
                <c:ptCount val="2"/>
                <c:pt idx="0">
                  <c:v>18</c:v>
                </c:pt>
                <c:pt idx="1">
                  <c:v>18</c:v>
                </c:pt>
              </c:strCache>
            </c:strRef>
          </c:tx>
          <c:spPr>
            <a:ln w="31750" cap="rnd">
              <a:solidFill>
                <a:schemeClr val="accent6">
                  <a:lumMod val="80000"/>
                  <a:lumOff val="2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Day'!$V$93:$V$116</c:f>
            </c:numRef>
          </c:val>
          <c:smooth val="0"/>
          <c:extLst>
            <c:ext xmlns:c16="http://schemas.microsoft.com/office/drawing/2014/chart" uri="{C3380CC4-5D6E-409C-BE32-E72D297353CC}">
              <c16:uniqueId val="{00000011-1133-473E-AF21-6D6BAECE673F}"/>
            </c:ext>
          </c:extLst>
        </c:ser>
        <c:ser>
          <c:idx val="18"/>
          <c:order val="18"/>
          <c:tx>
            <c:strRef>
              <c:f>'Definition of Typical Day'!$W$13:$W$14</c:f>
              <c:strCache>
                <c:ptCount val="2"/>
                <c:pt idx="0">
                  <c:v>19</c:v>
                </c:pt>
                <c:pt idx="1">
                  <c:v>19</c:v>
                </c:pt>
              </c:strCache>
            </c:strRef>
          </c:tx>
          <c:spPr>
            <a:ln w="31750" cap="rnd">
              <a:solidFill>
                <a:schemeClr val="accent1">
                  <a:lumMod val="8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Day'!$W$93:$W$116</c:f>
            </c:numRef>
          </c:val>
          <c:smooth val="0"/>
          <c:extLst>
            <c:ext xmlns:c16="http://schemas.microsoft.com/office/drawing/2014/chart" uri="{C3380CC4-5D6E-409C-BE32-E72D297353CC}">
              <c16:uniqueId val="{00000012-1133-473E-AF21-6D6BAECE673F}"/>
            </c:ext>
          </c:extLst>
        </c:ser>
        <c:ser>
          <c:idx val="19"/>
          <c:order val="19"/>
          <c:tx>
            <c:strRef>
              <c:f>'Definition of Typical Day'!$X$13:$X$14</c:f>
              <c:strCache>
                <c:ptCount val="2"/>
                <c:pt idx="0">
                  <c:v>20</c:v>
                </c:pt>
                <c:pt idx="1">
                  <c:v>20</c:v>
                </c:pt>
              </c:strCache>
            </c:strRef>
          </c:tx>
          <c:spPr>
            <a:ln w="31750" cap="rnd">
              <a:solidFill>
                <a:schemeClr val="accent2">
                  <a:lumMod val="80000"/>
                </a:schemeClr>
              </a:solidFill>
              <a:round/>
            </a:ln>
            <a:effectLst/>
          </c:spPr>
          <c:marker>
            <c:symbol val="none"/>
          </c:marker>
          <c:cat>
            <c:numRef>
              <c:f>'Definition of Typical Day'!$D$93:$D$116</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Day'!$X$93:$X$116</c:f>
            </c:numRef>
          </c:val>
          <c:smooth val="0"/>
          <c:extLst>
            <c:ext xmlns:c16="http://schemas.microsoft.com/office/drawing/2014/chart" uri="{C3380CC4-5D6E-409C-BE32-E72D297353CC}">
              <c16:uniqueId val="{00000013-1133-473E-AF21-6D6BAECE673F}"/>
            </c:ext>
          </c:extLst>
        </c:ser>
        <c:dLbls>
          <c:showLegendKey val="0"/>
          <c:showVal val="0"/>
          <c:showCatName val="0"/>
          <c:showSerName val="0"/>
          <c:showPercent val="0"/>
          <c:showBubbleSize val="0"/>
        </c:dLbls>
        <c:smooth val="0"/>
        <c:axId val="1076580768"/>
        <c:axId val="1076583168"/>
      </c:lineChart>
      <c:catAx>
        <c:axId val="1076580768"/>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de-DE"/>
                  <a:t>Hour of the day</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3168"/>
        <c:crosses val="autoZero"/>
        <c:auto val="1"/>
        <c:lblAlgn val="ctr"/>
        <c:lblOffset val="100"/>
        <c:noMultiLvlLbl val="0"/>
      </c:catAx>
      <c:valAx>
        <c:axId val="1076583168"/>
        <c:scaling>
          <c:orientation val="minMax"/>
        </c:scaling>
        <c:delete val="0"/>
        <c:axPos val="l"/>
        <c:majorGridlines>
          <c:spPr>
            <a:ln w="9525" cap="flat" cmpd="sng" algn="ctr">
              <a:solidFill>
                <a:schemeClr val="tx2">
                  <a:lumMod val="15000"/>
                  <a:lumOff val="85000"/>
                </a:schemeClr>
              </a:solidFill>
              <a:round/>
            </a:ln>
            <a:effectLst/>
          </c:spPr>
        </c:majorGridlines>
        <c:title>
          <c:tx>
            <c:strRef>
              <c:f>'Definition of Typical Day'!$E$91</c:f>
              <c:strCache>
                <c:ptCount val="1"/>
                <c:pt idx="0">
                  <c:v>°C</c:v>
                </c:pt>
              </c:strCache>
            </c:strRef>
          </c:tx>
          <c:layout>
            <c:manualLayout>
              <c:xMode val="edge"/>
              <c:yMode val="edge"/>
              <c:x val="2.535674232082168E-2"/>
              <c:y val="0.28929036268271752"/>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10765807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'Definition of Typical Day'!$E$119</c:f>
          <c:strCache>
            <c:ptCount val="1"/>
            <c:pt idx="0">
              <c:v>DH supply line temperature*</c:v>
            </c:pt>
          </c:strCache>
        </c:strRef>
      </c:tx>
      <c:layout>
        <c:manualLayout>
          <c:xMode val="edge"/>
          <c:yMode val="edge"/>
          <c:x val="0.29560788234141033"/>
          <c:y val="1.4751195895357382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9.2286187981616752E-2"/>
          <c:y val="0.12852940630524293"/>
          <c:w val="0.59438356644442503"/>
          <c:h val="0.63427970622775676"/>
        </c:manualLayout>
      </c:layout>
      <c:lineChart>
        <c:grouping val="standard"/>
        <c:varyColors val="0"/>
        <c:ser>
          <c:idx val="0"/>
          <c:order val="0"/>
          <c:tx>
            <c:strRef>
              <c:f>'Definition of Typical Day'!$E$13:$E$14</c:f>
              <c:strCache>
                <c:ptCount val="2"/>
                <c:pt idx="0">
                  <c:v>1</c:v>
                </c:pt>
                <c:pt idx="1">
                  <c:v>Winter day</c:v>
                </c:pt>
              </c:strCache>
            </c:strRef>
          </c:tx>
          <c:spPr>
            <a:ln w="31750" cap="rnd">
              <a:solidFill>
                <a:schemeClr val="accent1"/>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Day'!$E$122:$E$145</c:f>
              <c:numCache>
                <c:formatCode>0</c:formatCode>
                <c:ptCount val="24"/>
                <c:pt idx="0">
                  <c:v>77</c:v>
                </c:pt>
                <c:pt idx="1">
                  <c:v>77</c:v>
                </c:pt>
                <c:pt idx="2">
                  <c:v>77</c:v>
                </c:pt>
                <c:pt idx="3">
                  <c:v>79</c:v>
                </c:pt>
                <c:pt idx="4">
                  <c:v>83</c:v>
                </c:pt>
                <c:pt idx="5">
                  <c:v>93</c:v>
                </c:pt>
                <c:pt idx="6">
                  <c:v>95</c:v>
                </c:pt>
                <c:pt idx="7">
                  <c:v>95</c:v>
                </c:pt>
                <c:pt idx="8">
                  <c:v>93</c:v>
                </c:pt>
                <c:pt idx="9">
                  <c:v>92</c:v>
                </c:pt>
                <c:pt idx="10">
                  <c:v>88</c:v>
                </c:pt>
                <c:pt idx="11">
                  <c:v>80</c:v>
                </c:pt>
                <c:pt idx="12">
                  <c:v>78.3333333333333</c:v>
                </c:pt>
                <c:pt idx="13">
                  <c:v>76.666666666666629</c:v>
                </c:pt>
                <c:pt idx="14">
                  <c:v>76.666666666666629</c:v>
                </c:pt>
                <c:pt idx="15">
                  <c:v>75</c:v>
                </c:pt>
                <c:pt idx="16">
                  <c:v>76.666666666666629</c:v>
                </c:pt>
                <c:pt idx="17">
                  <c:v>80</c:v>
                </c:pt>
                <c:pt idx="18">
                  <c:v>82</c:v>
                </c:pt>
                <c:pt idx="19">
                  <c:v>83</c:v>
                </c:pt>
                <c:pt idx="20">
                  <c:v>84</c:v>
                </c:pt>
                <c:pt idx="21">
                  <c:v>80</c:v>
                </c:pt>
                <c:pt idx="22">
                  <c:v>79</c:v>
                </c:pt>
                <c:pt idx="23">
                  <c:v>78</c:v>
                </c:pt>
              </c:numCache>
            </c:numRef>
          </c:val>
          <c:smooth val="0"/>
          <c:extLst>
            <c:ext xmlns:c16="http://schemas.microsoft.com/office/drawing/2014/chart" uri="{C3380CC4-5D6E-409C-BE32-E72D297353CC}">
              <c16:uniqueId val="{00000000-26E3-4022-8620-92350A1C8300}"/>
            </c:ext>
          </c:extLst>
        </c:ser>
        <c:ser>
          <c:idx val="1"/>
          <c:order val="1"/>
          <c:tx>
            <c:strRef>
              <c:f>'Definition of Typical Day'!$F$13:$F$14</c:f>
              <c:strCache>
                <c:ptCount val="2"/>
                <c:pt idx="0">
                  <c:v>2</c:v>
                </c:pt>
                <c:pt idx="1">
                  <c:v>Spring / fall weekday</c:v>
                </c:pt>
              </c:strCache>
            </c:strRef>
          </c:tx>
          <c:spPr>
            <a:ln w="31750" cap="rnd">
              <a:solidFill>
                <a:schemeClr val="accent2"/>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Day'!$F$122:$F$145</c:f>
              <c:numCache>
                <c:formatCode>0</c:formatCode>
                <c:ptCount val="24"/>
                <c:pt idx="0">
                  <c:v>86.666666666666657</c:v>
                </c:pt>
                <c:pt idx="1">
                  <c:v>86.666666666666657</c:v>
                </c:pt>
                <c:pt idx="2">
                  <c:v>86.666666666666657</c:v>
                </c:pt>
                <c:pt idx="3">
                  <c:v>88.333333333333329</c:v>
                </c:pt>
                <c:pt idx="4">
                  <c:v>90</c:v>
                </c:pt>
                <c:pt idx="5">
                  <c:v>88.333333333333329</c:v>
                </c:pt>
                <c:pt idx="6">
                  <c:v>88.333333333333329</c:v>
                </c:pt>
                <c:pt idx="7">
                  <c:v>86.666666666666657</c:v>
                </c:pt>
                <c:pt idx="8">
                  <c:v>85</c:v>
                </c:pt>
                <c:pt idx="9">
                  <c:v>83.333333333333314</c:v>
                </c:pt>
                <c:pt idx="10">
                  <c:v>81.666666666666643</c:v>
                </c:pt>
                <c:pt idx="11">
                  <c:v>80</c:v>
                </c:pt>
                <c:pt idx="12">
                  <c:v>78.3333333333333</c:v>
                </c:pt>
                <c:pt idx="13">
                  <c:v>76.666666666666629</c:v>
                </c:pt>
                <c:pt idx="14">
                  <c:v>76.666666666666629</c:v>
                </c:pt>
                <c:pt idx="15">
                  <c:v>75</c:v>
                </c:pt>
                <c:pt idx="16">
                  <c:v>76.666666666666629</c:v>
                </c:pt>
                <c:pt idx="17">
                  <c:v>78.3333333333333</c:v>
                </c:pt>
                <c:pt idx="18">
                  <c:v>80</c:v>
                </c:pt>
                <c:pt idx="19">
                  <c:v>81.666666666666643</c:v>
                </c:pt>
                <c:pt idx="20">
                  <c:v>83.333333333333314</c:v>
                </c:pt>
                <c:pt idx="21">
                  <c:v>84.999999999999986</c:v>
                </c:pt>
                <c:pt idx="22">
                  <c:v>84.999999999999986</c:v>
                </c:pt>
                <c:pt idx="23">
                  <c:v>86.666666666666657</c:v>
                </c:pt>
              </c:numCache>
            </c:numRef>
          </c:val>
          <c:smooth val="0"/>
          <c:extLst>
            <c:ext xmlns:c16="http://schemas.microsoft.com/office/drawing/2014/chart" uri="{C3380CC4-5D6E-409C-BE32-E72D297353CC}">
              <c16:uniqueId val="{00000001-26E3-4022-8620-92350A1C8300}"/>
            </c:ext>
          </c:extLst>
        </c:ser>
        <c:ser>
          <c:idx val="2"/>
          <c:order val="2"/>
          <c:tx>
            <c:strRef>
              <c:f>'Definition of Typical Day'!$G$13:$G$14</c:f>
              <c:strCache>
                <c:ptCount val="2"/>
                <c:pt idx="0">
                  <c:v>3</c:v>
                </c:pt>
                <c:pt idx="1">
                  <c:v>Spring / fall weekend</c:v>
                </c:pt>
              </c:strCache>
            </c:strRef>
          </c:tx>
          <c:spPr>
            <a:ln w="31750" cap="rnd">
              <a:solidFill>
                <a:schemeClr val="accent3"/>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Day'!$G$122:$G$145</c:f>
              <c:numCache>
                <c:formatCode>0</c:formatCode>
                <c:ptCount val="24"/>
                <c:pt idx="0">
                  <c:v>86.666666666666657</c:v>
                </c:pt>
                <c:pt idx="1">
                  <c:v>86.666666666666657</c:v>
                </c:pt>
                <c:pt idx="2">
                  <c:v>86.666666666666657</c:v>
                </c:pt>
                <c:pt idx="3">
                  <c:v>88.333333333333329</c:v>
                </c:pt>
                <c:pt idx="4">
                  <c:v>90</c:v>
                </c:pt>
                <c:pt idx="5">
                  <c:v>88.333333333333329</c:v>
                </c:pt>
                <c:pt idx="6">
                  <c:v>88.333333333333329</c:v>
                </c:pt>
                <c:pt idx="7">
                  <c:v>86.666666666666657</c:v>
                </c:pt>
                <c:pt idx="8">
                  <c:v>85</c:v>
                </c:pt>
                <c:pt idx="9">
                  <c:v>83.333333333333314</c:v>
                </c:pt>
                <c:pt idx="10">
                  <c:v>81.666666666666643</c:v>
                </c:pt>
                <c:pt idx="11">
                  <c:v>80</c:v>
                </c:pt>
                <c:pt idx="12">
                  <c:v>78.3333333333333</c:v>
                </c:pt>
                <c:pt idx="13">
                  <c:v>76.666666666666629</c:v>
                </c:pt>
                <c:pt idx="14">
                  <c:v>76.666666666666629</c:v>
                </c:pt>
                <c:pt idx="15">
                  <c:v>75</c:v>
                </c:pt>
                <c:pt idx="16">
                  <c:v>76.666666666666629</c:v>
                </c:pt>
                <c:pt idx="17">
                  <c:v>78.3333333333333</c:v>
                </c:pt>
                <c:pt idx="18">
                  <c:v>80</c:v>
                </c:pt>
                <c:pt idx="19">
                  <c:v>81.666666666666643</c:v>
                </c:pt>
                <c:pt idx="20">
                  <c:v>83.333333333333314</c:v>
                </c:pt>
                <c:pt idx="21">
                  <c:v>84.999999999999986</c:v>
                </c:pt>
                <c:pt idx="22">
                  <c:v>84.999999999999986</c:v>
                </c:pt>
                <c:pt idx="23">
                  <c:v>86.666666666666657</c:v>
                </c:pt>
              </c:numCache>
            </c:numRef>
          </c:val>
          <c:smooth val="0"/>
          <c:extLst>
            <c:ext xmlns:c16="http://schemas.microsoft.com/office/drawing/2014/chart" uri="{C3380CC4-5D6E-409C-BE32-E72D297353CC}">
              <c16:uniqueId val="{00000002-26E3-4022-8620-92350A1C8300}"/>
            </c:ext>
          </c:extLst>
        </c:ser>
        <c:ser>
          <c:idx val="3"/>
          <c:order val="3"/>
          <c:tx>
            <c:strRef>
              <c:f>'Definition of Typical Day'!$H$13:$H$14</c:f>
              <c:strCache>
                <c:ptCount val="2"/>
                <c:pt idx="0">
                  <c:v>4</c:v>
                </c:pt>
                <c:pt idx="1">
                  <c:v>Summer weekday</c:v>
                </c:pt>
              </c:strCache>
            </c:strRef>
          </c:tx>
          <c:spPr>
            <a:ln w="31750" cap="rnd">
              <a:solidFill>
                <a:schemeClr val="accent4"/>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Day'!$H$122:$H$145</c:f>
              <c:numCache>
                <c:formatCode>0</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3-26E3-4022-8620-92350A1C8300}"/>
            </c:ext>
          </c:extLst>
        </c:ser>
        <c:ser>
          <c:idx val="4"/>
          <c:order val="4"/>
          <c:tx>
            <c:strRef>
              <c:f>'Definition of Typical Day'!$I$13:$I$14</c:f>
              <c:strCache>
                <c:ptCount val="2"/>
                <c:pt idx="0">
                  <c:v>5</c:v>
                </c:pt>
                <c:pt idx="1">
                  <c:v>Summer weekend</c:v>
                </c:pt>
              </c:strCache>
            </c:strRef>
          </c:tx>
          <c:spPr>
            <a:ln w="31750" cap="rnd">
              <a:solidFill>
                <a:schemeClr val="accent5"/>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Day'!$I$122:$I$145</c:f>
              <c:numCache>
                <c:formatCode>0</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4-26E3-4022-8620-92350A1C8300}"/>
            </c:ext>
          </c:extLst>
        </c:ser>
        <c:ser>
          <c:idx val="5"/>
          <c:order val="5"/>
          <c:tx>
            <c:strRef>
              <c:f>'Definition of Typical Day'!$J$13:$J$14</c:f>
              <c:strCache>
                <c:ptCount val="2"/>
                <c:pt idx="0">
                  <c:v>6</c:v>
                </c:pt>
                <c:pt idx="1">
                  <c:v>Maintenance of HP</c:v>
                </c:pt>
              </c:strCache>
            </c:strRef>
          </c:tx>
          <c:spPr>
            <a:ln w="31750" cap="rnd">
              <a:solidFill>
                <a:schemeClr val="accent6"/>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Day'!$J$122:$J$145</c:f>
              <c:numCache>
                <c:formatCode>0</c:formatCode>
                <c:ptCount val="24"/>
                <c:pt idx="0">
                  <c:v>73.333333333333329</c:v>
                </c:pt>
                <c:pt idx="1">
                  <c:v>73.333333333333329</c:v>
                </c:pt>
                <c:pt idx="2">
                  <c:v>73.333333333333329</c:v>
                </c:pt>
                <c:pt idx="3">
                  <c:v>74.166666666666657</c:v>
                </c:pt>
                <c:pt idx="4">
                  <c:v>75</c:v>
                </c:pt>
                <c:pt idx="5">
                  <c:v>74.166666666666657</c:v>
                </c:pt>
                <c:pt idx="6">
                  <c:v>74.166666666666657</c:v>
                </c:pt>
                <c:pt idx="7">
                  <c:v>73.333333333333329</c:v>
                </c:pt>
                <c:pt idx="8">
                  <c:v>72.5</c:v>
                </c:pt>
                <c:pt idx="9">
                  <c:v>71.666666666666657</c:v>
                </c:pt>
                <c:pt idx="10">
                  <c:v>70.833333333333314</c:v>
                </c:pt>
                <c:pt idx="11">
                  <c:v>70</c:v>
                </c:pt>
                <c:pt idx="12">
                  <c:v>69.166666666666657</c:v>
                </c:pt>
                <c:pt idx="13">
                  <c:v>68.333333333333314</c:v>
                </c:pt>
                <c:pt idx="14">
                  <c:v>68.333333333333314</c:v>
                </c:pt>
                <c:pt idx="15">
                  <c:v>67.5</c:v>
                </c:pt>
                <c:pt idx="16">
                  <c:v>68.333333333333314</c:v>
                </c:pt>
                <c:pt idx="17">
                  <c:v>69.166666666666657</c:v>
                </c:pt>
                <c:pt idx="18">
                  <c:v>70</c:v>
                </c:pt>
                <c:pt idx="19">
                  <c:v>70.833333333333314</c:v>
                </c:pt>
                <c:pt idx="20">
                  <c:v>71.666666666666657</c:v>
                </c:pt>
                <c:pt idx="21">
                  <c:v>72.5</c:v>
                </c:pt>
                <c:pt idx="22">
                  <c:v>72.5</c:v>
                </c:pt>
                <c:pt idx="23">
                  <c:v>73.333333333333329</c:v>
                </c:pt>
              </c:numCache>
            </c:numRef>
          </c:val>
          <c:smooth val="0"/>
          <c:extLst>
            <c:ext xmlns:c16="http://schemas.microsoft.com/office/drawing/2014/chart" uri="{C3380CC4-5D6E-409C-BE32-E72D297353CC}">
              <c16:uniqueId val="{00000005-26E3-4022-8620-92350A1C8300}"/>
            </c:ext>
          </c:extLst>
        </c:ser>
        <c:ser>
          <c:idx val="6"/>
          <c:order val="6"/>
          <c:tx>
            <c:strRef>
              <c:f>'Definition of Typical Day'!$K$13:$K$14</c:f>
              <c:strCache>
                <c:ptCount val="2"/>
                <c:pt idx="0">
                  <c:v>7</c:v>
                </c:pt>
                <c:pt idx="1">
                  <c:v>7</c:v>
                </c:pt>
              </c:strCache>
            </c:strRef>
          </c:tx>
          <c:spPr>
            <a:ln w="31750" cap="rnd">
              <a:solidFill>
                <a:schemeClr val="accent1">
                  <a:lumMod val="6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Day'!$K$122:$K$145</c:f>
            </c:numRef>
          </c:val>
          <c:smooth val="0"/>
          <c:extLst>
            <c:ext xmlns:c16="http://schemas.microsoft.com/office/drawing/2014/chart" uri="{C3380CC4-5D6E-409C-BE32-E72D297353CC}">
              <c16:uniqueId val="{00000006-26E3-4022-8620-92350A1C8300}"/>
            </c:ext>
          </c:extLst>
        </c:ser>
        <c:ser>
          <c:idx val="7"/>
          <c:order val="7"/>
          <c:tx>
            <c:strRef>
              <c:f>'Definition of Typical Day'!$L$13:$L$14</c:f>
              <c:strCache>
                <c:ptCount val="2"/>
                <c:pt idx="0">
                  <c:v>8</c:v>
                </c:pt>
                <c:pt idx="1">
                  <c:v>8</c:v>
                </c:pt>
              </c:strCache>
            </c:strRef>
          </c:tx>
          <c:spPr>
            <a:ln w="31750" cap="rnd">
              <a:solidFill>
                <a:schemeClr val="accent2">
                  <a:lumMod val="6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Day'!$L$122:$L$145</c:f>
            </c:numRef>
          </c:val>
          <c:smooth val="0"/>
          <c:extLst>
            <c:ext xmlns:c16="http://schemas.microsoft.com/office/drawing/2014/chart" uri="{C3380CC4-5D6E-409C-BE32-E72D297353CC}">
              <c16:uniqueId val="{00000007-26E3-4022-8620-92350A1C8300}"/>
            </c:ext>
          </c:extLst>
        </c:ser>
        <c:ser>
          <c:idx val="8"/>
          <c:order val="8"/>
          <c:tx>
            <c:strRef>
              <c:f>'Definition of Typical Day'!$M$13:$M$14</c:f>
              <c:strCache>
                <c:ptCount val="2"/>
                <c:pt idx="0">
                  <c:v>9</c:v>
                </c:pt>
                <c:pt idx="1">
                  <c:v>9</c:v>
                </c:pt>
              </c:strCache>
            </c:strRef>
          </c:tx>
          <c:spPr>
            <a:ln w="31750" cap="rnd">
              <a:solidFill>
                <a:schemeClr val="accent3">
                  <a:lumMod val="6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Day'!$M$122:$M$145</c:f>
            </c:numRef>
          </c:val>
          <c:smooth val="0"/>
          <c:extLst>
            <c:ext xmlns:c16="http://schemas.microsoft.com/office/drawing/2014/chart" uri="{C3380CC4-5D6E-409C-BE32-E72D297353CC}">
              <c16:uniqueId val="{00000008-26E3-4022-8620-92350A1C8300}"/>
            </c:ext>
          </c:extLst>
        </c:ser>
        <c:ser>
          <c:idx val="9"/>
          <c:order val="9"/>
          <c:tx>
            <c:strRef>
              <c:f>'Definition of Typical Day'!$N$13:$N$14</c:f>
              <c:strCache>
                <c:ptCount val="2"/>
                <c:pt idx="0">
                  <c:v>10</c:v>
                </c:pt>
                <c:pt idx="1">
                  <c:v>10</c:v>
                </c:pt>
              </c:strCache>
            </c:strRef>
          </c:tx>
          <c:spPr>
            <a:ln w="31750" cap="rnd">
              <a:solidFill>
                <a:schemeClr val="accent4">
                  <a:lumMod val="6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Day'!$N$122:$N$145</c:f>
            </c:numRef>
          </c:val>
          <c:smooth val="0"/>
          <c:extLst>
            <c:ext xmlns:c16="http://schemas.microsoft.com/office/drawing/2014/chart" uri="{C3380CC4-5D6E-409C-BE32-E72D297353CC}">
              <c16:uniqueId val="{00000009-26E3-4022-8620-92350A1C8300}"/>
            </c:ext>
          </c:extLst>
        </c:ser>
        <c:ser>
          <c:idx val="10"/>
          <c:order val="10"/>
          <c:tx>
            <c:strRef>
              <c:f>'Definition of Typical Day'!$O$13:$O$14</c:f>
              <c:strCache>
                <c:ptCount val="2"/>
                <c:pt idx="0">
                  <c:v>11</c:v>
                </c:pt>
                <c:pt idx="1">
                  <c:v>11</c:v>
                </c:pt>
              </c:strCache>
            </c:strRef>
          </c:tx>
          <c:spPr>
            <a:ln w="31750" cap="rnd">
              <a:solidFill>
                <a:schemeClr val="accent5">
                  <a:lumMod val="6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Day'!$O$122:$O$145</c:f>
            </c:numRef>
          </c:val>
          <c:smooth val="0"/>
          <c:extLst>
            <c:ext xmlns:c16="http://schemas.microsoft.com/office/drawing/2014/chart" uri="{C3380CC4-5D6E-409C-BE32-E72D297353CC}">
              <c16:uniqueId val="{0000000A-26E3-4022-8620-92350A1C8300}"/>
            </c:ext>
          </c:extLst>
        </c:ser>
        <c:ser>
          <c:idx val="11"/>
          <c:order val="11"/>
          <c:tx>
            <c:strRef>
              <c:f>'Definition of Typical Day'!$P$13:$P$14</c:f>
              <c:strCache>
                <c:ptCount val="2"/>
                <c:pt idx="0">
                  <c:v>12</c:v>
                </c:pt>
                <c:pt idx="1">
                  <c:v>12</c:v>
                </c:pt>
              </c:strCache>
            </c:strRef>
          </c:tx>
          <c:spPr>
            <a:ln w="31750" cap="rnd">
              <a:solidFill>
                <a:schemeClr val="accent6">
                  <a:lumMod val="6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Day'!$P$122:$P$145</c:f>
            </c:numRef>
          </c:val>
          <c:smooth val="0"/>
          <c:extLst>
            <c:ext xmlns:c16="http://schemas.microsoft.com/office/drawing/2014/chart" uri="{C3380CC4-5D6E-409C-BE32-E72D297353CC}">
              <c16:uniqueId val="{0000000B-26E3-4022-8620-92350A1C8300}"/>
            </c:ext>
          </c:extLst>
        </c:ser>
        <c:ser>
          <c:idx val="12"/>
          <c:order val="12"/>
          <c:tx>
            <c:strRef>
              <c:f>'Definition of Typical Day'!$Q$13:$Q$14</c:f>
              <c:strCache>
                <c:ptCount val="2"/>
                <c:pt idx="0">
                  <c:v>13</c:v>
                </c:pt>
                <c:pt idx="1">
                  <c:v>13</c:v>
                </c:pt>
              </c:strCache>
            </c:strRef>
          </c:tx>
          <c:spPr>
            <a:ln w="31750" cap="rnd">
              <a:solidFill>
                <a:schemeClr val="accent1">
                  <a:lumMod val="80000"/>
                  <a:lumOff val="2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Day'!$Q$122:$Q$145</c:f>
            </c:numRef>
          </c:val>
          <c:smooth val="0"/>
          <c:extLst>
            <c:ext xmlns:c16="http://schemas.microsoft.com/office/drawing/2014/chart" uri="{C3380CC4-5D6E-409C-BE32-E72D297353CC}">
              <c16:uniqueId val="{0000000C-26E3-4022-8620-92350A1C8300}"/>
            </c:ext>
          </c:extLst>
        </c:ser>
        <c:ser>
          <c:idx val="13"/>
          <c:order val="13"/>
          <c:tx>
            <c:strRef>
              <c:f>'Definition of Typical Day'!$R$13:$R$14</c:f>
              <c:strCache>
                <c:ptCount val="2"/>
                <c:pt idx="0">
                  <c:v>14</c:v>
                </c:pt>
                <c:pt idx="1">
                  <c:v>14</c:v>
                </c:pt>
              </c:strCache>
            </c:strRef>
          </c:tx>
          <c:spPr>
            <a:ln w="31750" cap="rnd">
              <a:solidFill>
                <a:schemeClr val="accent2">
                  <a:lumMod val="80000"/>
                  <a:lumOff val="2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Day'!$R$122:$R$145</c:f>
            </c:numRef>
          </c:val>
          <c:smooth val="0"/>
          <c:extLst>
            <c:ext xmlns:c16="http://schemas.microsoft.com/office/drawing/2014/chart" uri="{C3380CC4-5D6E-409C-BE32-E72D297353CC}">
              <c16:uniqueId val="{0000000D-26E3-4022-8620-92350A1C8300}"/>
            </c:ext>
          </c:extLst>
        </c:ser>
        <c:ser>
          <c:idx val="14"/>
          <c:order val="14"/>
          <c:tx>
            <c:strRef>
              <c:f>'Definition of Typical Day'!$S$13:$S$14</c:f>
              <c:strCache>
                <c:ptCount val="2"/>
                <c:pt idx="0">
                  <c:v>15</c:v>
                </c:pt>
                <c:pt idx="1">
                  <c:v>15</c:v>
                </c:pt>
              </c:strCache>
            </c:strRef>
          </c:tx>
          <c:spPr>
            <a:ln w="31750" cap="rnd">
              <a:solidFill>
                <a:schemeClr val="accent3">
                  <a:lumMod val="80000"/>
                  <a:lumOff val="2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Day'!$S$122:$S$145</c:f>
            </c:numRef>
          </c:val>
          <c:smooth val="0"/>
          <c:extLst>
            <c:ext xmlns:c16="http://schemas.microsoft.com/office/drawing/2014/chart" uri="{C3380CC4-5D6E-409C-BE32-E72D297353CC}">
              <c16:uniqueId val="{0000000E-26E3-4022-8620-92350A1C8300}"/>
            </c:ext>
          </c:extLst>
        </c:ser>
        <c:ser>
          <c:idx val="15"/>
          <c:order val="15"/>
          <c:tx>
            <c:strRef>
              <c:f>'Definition of Typical Day'!$T$13:$T$14</c:f>
              <c:strCache>
                <c:ptCount val="2"/>
                <c:pt idx="0">
                  <c:v>16</c:v>
                </c:pt>
                <c:pt idx="1">
                  <c:v>16</c:v>
                </c:pt>
              </c:strCache>
            </c:strRef>
          </c:tx>
          <c:spPr>
            <a:ln w="31750" cap="rnd">
              <a:solidFill>
                <a:schemeClr val="accent4">
                  <a:lumMod val="80000"/>
                  <a:lumOff val="2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Day'!$T$122:$T$145</c:f>
            </c:numRef>
          </c:val>
          <c:smooth val="0"/>
          <c:extLst>
            <c:ext xmlns:c16="http://schemas.microsoft.com/office/drawing/2014/chart" uri="{C3380CC4-5D6E-409C-BE32-E72D297353CC}">
              <c16:uniqueId val="{0000000F-26E3-4022-8620-92350A1C8300}"/>
            </c:ext>
          </c:extLst>
        </c:ser>
        <c:ser>
          <c:idx val="16"/>
          <c:order val="16"/>
          <c:tx>
            <c:strRef>
              <c:f>'Definition of Typical Day'!$U$13:$U$14</c:f>
              <c:strCache>
                <c:ptCount val="2"/>
                <c:pt idx="0">
                  <c:v>17</c:v>
                </c:pt>
                <c:pt idx="1">
                  <c:v>17</c:v>
                </c:pt>
              </c:strCache>
            </c:strRef>
          </c:tx>
          <c:spPr>
            <a:ln w="31750" cap="rnd">
              <a:solidFill>
                <a:schemeClr val="accent5">
                  <a:lumMod val="80000"/>
                  <a:lumOff val="2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Day'!$U$122:$U$145</c:f>
            </c:numRef>
          </c:val>
          <c:smooth val="0"/>
          <c:extLst>
            <c:ext xmlns:c16="http://schemas.microsoft.com/office/drawing/2014/chart" uri="{C3380CC4-5D6E-409C-BE32-E72D297353CC}">
              <c16:uniqueId val="{00000010-26E3-4022-8620-92350A1C8300}"/>
            </c:ext>
          </c:extLst>
        </c:ser>
        <c:ser>
          <c:idx val="17"/>
          <c:order val="17"/>
          <c:tx>
            <c:strRef>
              <c:f>'Definition of Typical Day'!$V$13:$V$14</c:f>
              <c:strCache>
                <c:ptCount val="2"/>
                <c:pt idx="0">
                  <c:v>18</c:v>
                </c:pt>
                <c:pt idx="1">
                  <c:v>18</c:v>
                </c:pt>
              </c:strCache>
            </c:strRef>
          </c:tx>
          <c:spPr>
            <a:ln w="31750" cap="rnd">
              <a:solidFill>
                <a:schemeClr val="accent6">
                  <a:lumMod val="80000"/>
                  <a:lumOff val="2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Day'!$V$122:$V$145</c:f>
            </c:numRef>
          </c:val>
          <c:smooth val="0"/>
          <c:extLst>
            <c:ext xmlns:c16="http://schemas.microsoft.com/office/drawing/2014/chart" uri="{C3380CC4-5D6E-409C-BE32-E72D297353CC}">
              <c16:uniqueId val="{00000011-26E3-4022-8620-92350A1C8300}"/>
            </c:ext>
          </c:extLst>
        </c:ser>
        <c:ser>
          <c:idx val="18"/>
          <c:order val="18"/>
          <c:tx>
            <c:strRef>
              <c:f>'Definition of Typical Day'!$W$13:$W$14</c:f>
              <c:strCache>
                <c:ptCount val="2"/>
                <c:pt idx="0">
                  <c:v>19</c:v>
                </c:pt>
                <c:pt idx="1">
                  <c:v>19</c:v>
                </c:pt>
              </c:strCache>
            </c:strRef>
          </c:tx>
          <c:spPr>
            <a:ln w="31750" cap="rnd">
              <a:solidFill>
                <a:schemeClr val="accent1">
                  <a:lumMod val="8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Day'!$W$122:$W$145</c:f>
            </c:numRef>
          </c:val>
          <c:smooth val="0"/>
          <c:extLst>
            <c:ext xmlns:c16="http://schemas.microsoft.com/office/drawing/2014/chart" uri="{C3380CC4-5D6E-409C-BE32-E72D297353CC}">
              <c16:uniqueId val="{00000012-26E3-4022-8620-92350A1C8300}"/>
            </c:ext>
          </c:extLst>
        </c:ser>
        <c:ser>
          <c:idx val="19"/>
          <c:order val="19"/>
          <c:tx>
            <c:strRef>
              <c:f>'Definition of Typical Day'!$X$13:$X$14</c:f>
              <c:strCache>
                <c:ptCount val="2"/>
                <c:pt idx="0">
                  <c:v>20</c:v>
                </c:pt>
                <c:pt idx="1">
                  <c:v>20</c:v>
                </c:pt>
              </c:strCache>
            </c:strRef>
          </c:tx>
          <c:spPr>
            <a:ln w="31750" cap="rnd">
              <a:solidFill>
                <a:schemeClr val="accent2">
                  <a:lumMod val="80000"/>
                </a:schemeClr>
              </a:solidFill>
              <a:round/>
            </a:ln>
            <a:effectLst/>
          </c:spPr>
          <c:marker>
            <c:symbol val="none"/>
          </c:marker>
          <c:cat>
            <c:numRef>
              <c:f>'Definition of Typical Day'!$D$122:$D$145</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Day'!$X$122:$X$145</c:f>
            </c:numRef>
          </c:val>
          <c:smooth val="0"/>
          <c:extLst>
            <c:ext xmlns:c16="http://schemas.microsoft.com/office/drawing/2014/chart" uri="{C3380CC4-5D6E-409C-BE32-E72D297353CC}">
              <c16:uniqueId val="{00000013-26E3-4022-8620-92350A1C8300}"/>
            </c:ext>
          </c:extLst>
        </c:ser>
        <c:dLbls>
          <c:showLegendKey val="0"/>
          <c:showVal val="0"/>
          <c:showCatName val="0"/>
          <c:showSerName val="0"/>
          <c:showPercent val="0"/>
          <c:showBubbleSize val="0"/>
        </c:dLbls>
        <c:smooth val="0"/>
        <c:axId val="1076580768"/>
        <c:axId val="1076583168"/>
      </c:lineChart>
      <c:catAx>
        <c:axId val="1076580768"/>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r>
                  <a:rPr lang="de-DE" sz="1200"/>
                  <a:t>Hour of the day</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1076583168"/>
        <c:crosses val="autoZero"/>
        <c:auto val="1"/>
        <c:lblAlgn val="ctr"/>
        <c:lblOffset val="100"/>
        <c:noMultiLvlLbl val="0"/>
      </c:catAx>
      <c:valAx>
        <c:axId val="1076583168"/>
        <c:scaling>
          <c:orientation val="minMax"/>
        </c:scaling>
        <c:delete val="0"/>
        <c:axPos val="l"/>
        <c:majorGridlines>
          <c:spPr>
            <a:ln w="9525" cap="flat" cmpd="sng" algn="ctr">
              <a:solidFill>
                <a:schemeClr val="tx2">
                  <a:lumMod val="15000"/>
                  <a:lumOff val="85000"/>
                </a:schemeClr>
              </a:solidFill>
              <a:round/>
            </a:ln>
            <a:effectLst/>
          </c:spPr>
        </c:majorGridlines>
        <c:title>
          <c:tx>
            <c:strRef>
              <c:f>'Definition of Typical Day'!$E$120</c:f>
              <c:strCache>
                <c:ptCount val="1"/>
                <c:pt idx="0">
                  <c:v>°C</c:v>
                </c:pt>
              </c:strCache>
            </c:strRef>
          </c:tx>
          <c:layout>
            <c:manualLayout>
              <c:xMode val="edge"/>
              <c:yMode val="edge"/>
              <c:x val="2.2169552791951038E-2"/>
              <c:y val="0.37439929148497869"/>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10765807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'Definition of Typical Day'!$E$148</c:f>
          <c:strCache>
            <c:ptCount val="1"/>
            <c:pt idx="0">
              <c:v>DH return line temperature*  </c:v>
            </c:pt>
          </c:strCache>
        </c:strRef>
      </c:tx>
      <c:layout>
        <c:manualLayout>
          <c:xMode val="edge"/>
          <c:yMode val="edge"/>
          <c:x val="0.29959238020860424"/>
          <c:y val="1.7376322994922831E-2"/>
        </c:manualLayout>
      </c:layout>
      <c:overlay val="1"/>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0.10823496509400611"/>
          <c:y val="0.14395202711910415"/>
          <c:w val="0.61695599832047177"/>
          <c:h val="0.59185760688482736"/>
        </c:manualLayout>
      </c:layout>
      <c:lineChart>
        <c:grouping val="standard"/>
        <c:varyColors val="0"/>
        <c:ser>
          <c:idx val="0"/>
          <c:order val="0"/>
          <c:tx>
            <c:strRef>
              <c:f>'Definition of Typical Day'!$E$13:$E$14</c:f>
              <c:strCache>
                <c:ptCount val="2"/>
                <c:pt idx="0">
                  <c:v>1</c:v>
                </c:pt>
                <c:pt idx="1">
                  <c:v>Winter day</c:v>
                </c:pt>
              </c:strCache>
            </c:strRef>
          </c:tx>
          <c:spPr>
            <a:ln w="31750" cap="rnd">
              <a:solidFill>
                <a:schemeClr val="accent1"/>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Day'!$E$151:$E$174</c:f>
              <c:numCache>
                <c:formatCode>0</c:formatCode>
                <c:ptCount val="24"/>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numCache>
            </c:numRef>
          </c:val>
          <c:smooth val="0"/>
          <c:extLst>
            <c:ext xmlns:c16="http://schemas.microsoft.com/office/drawing/2014/chart" uri="{C3380CC4-5D6E-409C-BE32-E72D297353CC}">
              <c16:uniqueId val="{00000000-3BB9-4F94-82F8-1E1DC5FC0BE7}"/>
            </c:ext>
          </c:extLst>
        </c:ser>
        <c:ser>
          <c:idx val="1"/>
          <c:order val="1"/>
          <c:tx>
            <c:strRef>
              <c:f>'Definition of Typical Day'!$F$13:$F$14</c:f>
              <c:strCache>
                <c:ptCount val="2"/>
                <c:pt idx="0">
                  <c:v>2</c:v>
                </c:pt>
                <c:pt idx="1">
                  <c:v>Spring / fall weekday</c:v>
                </c:pt>
              </c:strCache>
            </c:strRef>
          </c:tx>
          <c:spPr>
            <a:ln w="31750" cap="rnd">
              <a:solidFill>
                <a:schemeClr val="accent2"/>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Day'!$F$151:$F$174</c:f>
              <c:numCache>
                <c:formatCode>0</c:formatCode>
                <c:ptCount val="24"/>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numCache>
            </c:numRef>
          </c:val>
          <c:smooth val="0"/>
          <c:extLst>
            <c:ext xmlns:c16="http://schemas.microsoft.com/office/drawing/2014/chart" uri="{C3380CC4-5D6E-409C-BE32-E72D297353CC}">
              <c16:uniqueId val="{00000001-3BB9-4F94-82F8-1E1DC5FC0BE7}"/>
            </c:ext>
          </c:extLst>
        </c:ser>
        <c:ser>
          <c:idx val="2"/>
          <c:order val="2"/>
          <c:tx>
            <c:strRef>
              <c:f>'Definition of Typical Day'!$G$13:$G$14</c:f>
              <c:strCache>
                <c:ptCount val="2"/>
                <c:pt idx="0">
                  <c:v>3</c:v>
                </c:pt>
                <c:pt idx="1">
                  <c:v>Spring / fall weekend</c:v>
                </c:pt>
              </c:strCache>
            </c:strRef>
          </c:tx>
          <c:spPr>
            <a:ln w="31750" cap="rnd">
              <a:solidFill>
                <a:schemeClr val="accent3"/>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Day'!$G$151:$G$174</c:f>
              <c:numCache>
                <c:formatCode>0</c:formatCode>
                <c:ptCount val="24"/>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numCache>
            </c:numRef>
          </c:val>
          <c:smooth val="0"/>
          <c:extLst>
            <c:ext xmlns:c16="http://schemas.microsoft.com/office/drawing/2014/chart" uri="{C3380CC4-5D6E-409C-BE32-E72D297353CC}">
              <c16:uniqueId val="{00000002-3BB9-4F94-82F8-1E1DC5FC0BE7}"/>
            </c:ext>
          </c:extLst>
        </c:ser>
        <c:ser>
          <c:idx val="3"/>
          <c:order val="3"/>
          <c:tx>
            <c:strRef>
              <c:f>'Definition of Typical Day'!$H$13:$H$14</c:f>
              <c:strCache>
                <c:ptCount val="2"/>
                <c:pt idx="0">
                  <c:v>4</c:v>
                </c:pt>
                <c:pt idx="1">
                  <c:v>Summer weekday</c:v>
                </c:pt>
              </c:strCache>
            </c:strRef>
          </c:tx>
          <c:spPr>
            <a:ln w="31750" cap="rnd">
              <a:solidFill>
                <a:schemeClr val="accent4"/>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Day'!$H$151:$H$174</c:f>
              <c:numCache>
                <c:formatCode>0</c:formatCode>
                <c:ptCount val="24"/>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numCache>
            </c:numRef>
          </c:val>
          <c:smooth val="0"/>
          <c:extLst>
            <c:ext xmlns:c16="http://schemas.microsoft.com/office/drawing/2014/chart" uri="{C3380CC4-5D6E-409C-BE32-E72D297353CC}">
              <c16:uniqueId val="{00000003-3BB9-4F94-82F8-1E1DC5FC0BE7}"/>
            </c:ext>
          </c:extLst>
        </c:ser>
        <c:ser>
          <c:idx val="4"/>
          <c:order val="4"/>
          <c:tx>
            <c:strRef>
              <c:f>'Definition of Typical Day'!$I$13:$I$14</c:f>
              <c:strCache>
                <c:ptCount val="2"/>
                <c:pt idx="0">
                  <c:v>5</c:v>
                </c:pt>
                <c:pt idx="1">
                  <c:v>Summer weekend</c:v>
                </c:pt>
              </c:strCache>
            </c:strRef>
          </c:tx>
          <c:spPr>
            <a:ln w="31750" cap="rnd">
              <a:solidFill>
                <a:schemeClr val="accent5"/>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Day'!$I$151:$I$174</c:f>
              <c:numCache>
                <c:formatCode>0</c:formatCode>
                <c:ptCount val="24"/>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numCache>
            </c:numRef>
          </c:val>
          <c:smooth val="0"/>
          <c:extLst>
            <c:ext xmlns:c16="http://schemas.microsoft.com/office/drawing/2014/chart" uri="{C3380CC4-5D6E-409C-BE32-E72D297353CC}">
              <c16:uniqueId val="{00000004-3BB9-4F94-82F8-1E1DC5FC0BE7}"/>
            </c:ext>
          </c:extLst>
        </c:ser>
        <c:ser>
          <c:idx val="5"/>
          <c:order val="5"/>
          <c:tx>
            <c:strRef>
              <c:f>'Definition of Typical Day'!$J$13:$J$14</c:f>
              <c:strCache>
                <c:ptCount val="2"/>
                <c:pt idx="0">
                  <c:v>6</c:v>
                </c:pt>
                <c:pt idx="1">
                  <c:v>Maintenance of HP</c:v>
                </c:pt>
              </c:strCache>
            </c:strRef>
          </c:tx>
          <c:spPr>
            <a:ln w="31750" cap="rnd">
              <a:solidFill>
                <a:schemeClr val="accent6"/>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Day'!$J$151:$J$174</c:f>
              <c:numCache>
                <c:formatCode>0</c:formatCode>
                <c:ptCount val="24"/>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numCache>
            </c:numRef>
          </c:val>
          <c:smooth val="0"/>
          <c:extLst>
            <c:ext xmlns:c16="http://schemas.microsoft.com/office/drawing/2014/chart" uri="{C3380CC4-5D6E-409C-BE32-E72D297353CC}">
              <c16:uniqueId val="{00000005-3BB9-4F94-82F8-1E1DC5FC0BE7}"/>
            </c:ext>
          </c:extLst>
        </c:ser>
        <c:ser>
          <c:idx val="6"/>
          <c:order val="6"/>
          <c:tx>
            <c:strRef>
              <c:f>'Definition of Typical Day'!$K$13:$K$14</c:f>
              <c:strCache>
                <c:ptCount val="2"/>
                <c:pt idx="0">
                  <c:v>7</c:v>
                </c:pt>
                <c:pt idx="1">
                  <c:v>7</c:v>
                </c:pt>
              </c:strCache>
            </c:strRef>
          </c:tx>
          <c:spPr>
            <a:ln w="31750" cap="rnd">
              <a:solidFill>
                <a:schemeClr val="accent1">
                  <a:lumMod val="6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Day'!$K$151:$K$174</c:f>
            </c:numRef>
          </c:val>
          <c:smooth val="0"/>
          <c:extLst>
            <c:ext xmlns:c16="http://schemas.microsoft.com/office/drawing/2014/chart" uri="{C3380CC4-5D6E-409C-BE32-E72D297353CC}">
              <c16:uniqueId val="{00000006-3BB9-4F94-82F8-1E1DC5FC0BE7}"/>
            </c:ext>
          </c:extLst>
        </c:ser>
        <c:ser>
          <c:idx val="7"/>
          <c:order val="7"/>
          <c:tx>
            <c:strRef>
              <c:f>'Definition of Typical Day'!$L$13:$L$14</c:f>
              <c:strCache>
                <c:ptCount val="2"/>
                <c:pt idx="0">
                  <c:v>8</c:v>
                </c:pt>
                <c:pt idx="1">
                  <c:v>8</c:v>
                </c:pt>
              </c:strCache>
            </c:strRef>
          </c:tx>
          <c:spPr>
            <a:ln w="31750" cap="rnd">
              <a:solidFill>
                <a:schemeClr val="accent2">
                  <a:lumMod val="6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Day'!$L$151:$L$174</c:f>
            </c:numRef>
          </c:val>
          <c:smooth val="0"/>
          <c:extLst>
            <c:ext xmlns:c16="http://schemas.microsoft.com/office/drawing/2014/chart" uri="{C3380CC4-5D6E-409C-BE32-E72D297353CC}">
              <c16:uniqueId val="{00000007-3BB9-4F94-82F8-1E1DC5FC0BE7}"/>
            </c:ext>
          </c:extLst>
        </c:ser>
        <c:ser>
          <c:idx val="8"/>
          <c:order val="8"/>
          <c:tx>
            <c:strRef>
              <c:f>'Definition of Typical Day'!$M$13:$M$14</c:f>
              <c:strCache>
                <c:ptCount val="2"/>
                <c:pt idx="0">
                  <c:v>9</c:v>
                </c:pt>
                <c:pt idx="1">
                  <c:v>9</c:v>
                </c:pt>
              </c:strCache>
            </c:strRef>
          </c:tx>
          <c:spPr>
            <a:ln w="31750" cap="rnd">
              <a:solidFill>
                <a:schemeClr val="accent3">
                  <a:lumMod val="6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Day'!$M$151:$M$174</c:f>
            </c:numRef>
          </c:val>
          <c:smooth val="0"/>
          <c:extLst>
            <c:ext xmlns:c16="http://schemas.microsoft.com/office/drawing/2014/chart" uri="{C3380CC4-5D6E-409C-BE32-E72D297353CC}">
              <c16:uniqueId val="{00000008-3BB9-4F94-82F8-1E1DC5FC0BE7}"/>
            </c:ext>
          </c:extLst>
        </c:ser>
        <c:ser>
          <c:idx val="9"/>
          <c:order val="9"/>
          <c:tx>
            <c:strRef>
              <c:f>'Definition of Typical Day'!$N$13:$N$14</c:f>
              <c:strCache>
                <c:ptCount val="2"/>
                <c:pt idx="0">
                  <c:v>10</c:v>
                </c:pt>
                <c:pt idx="1">
                  <c:v>10</c:v>
                </c:pt>
              </c:strCache>
            </c:strRef>
          </c:tx>
          <c:spPr>
            <a:ln w="31750" cap="rnd">
              <a:solidFill>
                <a:schemeClr val="accent4">
                  <a:lumMod val="6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Day'!$N$151:$N$174</c:f>
            </c:numRef>
          </c:val>
          <c:smooth val="0"/>
          <c:extLst>
            <c:ext xmlns:c16="http://schemas.microsoft.com/office/drawing/2014/chart" uri="{C3380CC4-5D6E-409C-BE32-E72D297353CC}">
              <c16:uniqueId val="{00000009-3BB9-4F94-82F8-1E1DC5FC0BE7}"/>
            </c:ext>
          </c:extLst>
        </c:ser>
        <c:ser>
          <c:idx val="10"/>
          <c:order val="10"/>
          <c:tx>
            <c:strRef>
              <c:f>'Definition of Typical Day'!$O$13:$O$14</c:f>
              <c:strCache>
                <c:ptCount val="2"/>
                <c:pt idx="0">
                  <c:v>11</c:v>
                </c:pt>
                <c:pt idx="1">
                  <c:v>11</c:v>
                </c:pt>
              </c:strCache>
            </c:strRef>
          </c:tx>
          <c:spPr>
            <a:ln w="31750" cap="rnd">
              <a:solidFill>
                <a:schemeClr val="accent5">
                  <a:lumMod val="6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Day'!$O$151:$O$174</c:f>
            </c:numRef>
          </c:val>
          <c:smooth val="0"/>
          <c:extLst>
            <c:ext xmlns:c16="http://schemas.microsoft.com/office/drawing/2014/chart" uri="{C3380CC4-5D6E-409C-BE32-E72D297353CC}">
              <c16:uniqueId val="{0000000A-3BB9-4F94-82F8-1E1DC5FC0BE7}"/>
            </c:ext>
          </c:extLst>
        </c:ser>
        <c:ser>
          <c:idx val="11"/>
          <c:order val="11"/>
          <c:tx>
            <c:strRef>
              <c:f>'Definition of Typical Day'!$P$13:$P$14</c:f>
              <c:strCache>
                <c:ptCount val="2"/>
                <c:pt idx="0">
                  <c:v>12</c:v>
                </c:pt>
                <c:pt idx="1">
                  <c:v>12</c:v>
                </c:pt>
              </c:strCache>
            </c:strRef>
          </c:tx>
          <c:spPr>
            <a:ln w="31750" cap="rnd">
              <a:solidFill>
                <a:schemeClr val="accent6">
                  <a:lumMod val="6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Day'!$P$151:$P$174</c:f>
            </c:numRef>
          </c:val>
          <c:smooth val="0"/>
          <c:extLst>
            <c:ext xmlns:c16="http://schemas.microsoft.com/office/drawing/2014/chart" uri="{C3380CC4-5D6E-409C-BE32-E72D297353CC}">
              <c16:uniqueId val="{0000000B-3BB9-4F94-82F8-1E1DC5FC0BE7}"/>
            </c:ext>
          </c:extLst>
        </c:ser>
        <c:ser>
          <c:idx val="12"/>
          <c:order val="12"/>
          <c:tx>
            <c:strRef>
              <c:f>'Definition of Typical Day'!$Q$13:$Q$14</c:f>
              <c:strCache>
                <c:ptCount val="2"/>
                <c:pt idx="0">
                  <c:v>13</c:v>
                </c:pt>
                <c:pt idx="1">
                  <c:v>13</c:v>
                </c:pt>
              </c:strCache>
            </c:strRef>
          </c:tx>
          <c:spPr>
            <a:ln w="31750" cap="rnd">
              <a:solidFill>
                <a:schemeClr val="accent1">
                  <a:lumMod val="80000"/>
                  <a:lumOff val="2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Day'!$Q$151:$Q$174</c:f>
            </c:numRef>
          </c:val>
          <c:smooth val="0"/>
          <c:extLst>
            <c:ext xmlns:c16="http://schemas.microsoft.com/office/drawing/2014/chart" uri="{C3380CC4-5D6E-409C-BE32-E72D297353CC}">
              <c16:uniqueId val="{0000000C-3BB9-4F94-82F8-1E1DC5FC0BE7}"/>
            </c:ext>
          </c:extLst>
        </c:ser>
        <c:ser>
          <c:idx val="13"/>
          <c:order val="13"/>
          <c:tx>
            <c:strRef>
              <c:f>'Definition of Typical Day'!$R$13:$R$14</c:f>
              <c:strCache>
                <c:ptCount val="2"/>
                <c:pt idx="0">
                  <c:v>14</c:v>
                </c:pt>
                <c:pt idx="1">
                  <c:v>14</c:v>
                </c:pt>
              </c:strCache>
            </c:strRef>
          </c:tx>
          <c:spPr>
            <a:ln w="31750" cap="rnd">
              <a:solidFill>
                <a:schemeClr val="accent2">
                  <a:lumMod val="80000"/>
                  <a:lumOff val="2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Day'!$R$151:$R$174</c:f>
            </c:numRef>
          </c:val>
          <c:smooth val="0"/>
          <c:extLst>
            <c:ext xmlns:c16="http://schemas.microsoft.com/office/drawing/2014/chart" uri="{C3380CC4-5D6E-409C-BE32-E72D297353CC}">
              <c16:uniqueId val="{0000000D-3BB9-4F94-82F8-1E1DC5FC0BE7}"/>
            </c:ext>
          </c:extLst>
        </c:ser>
        <c:ser>
          <c:idx val="14"/>
          <c:order val="14"/>
          <c:tx>
            <c:strRef>
              <c:f>'Definition of Typical Day'!$S$13:$S$14</c:f>
              <c:strCache>
                <c:ptCount val="2"/>
                <c:pt idx="0">
                  <c:v>15</c:v>
                </c:pt>
                <c:pt idx="1">
                  <c:v>15</c:v>
                </c:pt>
              </c:strCache>
            </c:strRef>
          </c:tx>
          <c:spPr>
            <a:ln w="31750" cap="rnd">
              <a:solidFill>
                <a:schemeClr val="accent3">
                  <a:lumMod val="80000"/>
                  <a:lumOff val="2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Day'!$S$151:$S$174</c:f>
            </c:numRef>
          </c:val>
          <c:smooth val="0"/>
          <c:extLst>
            <c:ext xmlns:c16="http://schemas.microsoft.com/office/drawing/2014/chart" uri="{C3380CC4-5D6E-409C-BE32-E72D297353CC}">
              <c16:uniqueId val="{0000000E-3BB9-4F94-82F8-1E1DC5FC0BE7}"/>
            </c:ext>
          </c:extLst>
        </c:ser>
        <c:ser>
          <c:idx val="15"/>
          <c:order val="15"/>
          <c:tx>
            <c:strRef>
              <c:f>'Definition of Typical Day'!$T$13:$T$14</c:f>
              <c:strCache>
                <c:ptCount val="2"/>
                <c:pt idx="0">
                  <c:v>16</c:v>
                </c:pt>
                <c:pt idx="1">
                  <c:v>16</c:v>
                </c:pt>
              </c:strCache>
            </c:strRef>
          </c:tx>
          <c:spPr>
            <a:ln w="31750" cap="rnd">
              <a:solidFill>
                <a:schemeClr val="accent4">
                  <a:lumMod val="80000"/>
                  <a:lumOff val="2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Day'!$T$151:$T$174</c:f>
            </c:numRef>
          </c:val>
          <c:smooth val="0"/>
          <c:extLst>
            <c:ext xmlns:c16="http://schemas.microsoft.com/office/drawing/2014/chart" uri="{C3380CC4-5D6E-409C-BE32-E72D297353CC}">
              <c16:uniqueId val="{0000000F-3BB9-4F94-82F8-1E1DC5FC0BE7}"/>
            </c:ext>
          </c:extLst>
        </c:ser>
        <c:ser>
          <c:idx val="16"/>
          <c:order val="16"/>
          <c:tx>
            <c:strRef>
              <c:f>'Definition of Typical Day'!$U$13:$U$14</c:f>
              <c:strCache>
                <c:ptCount val="2"/>
                <c:pt idx="0">
                  <c:v>17</c:v>
                </c:pt>
                <c:pt idx="1">
                  <c:v>17</c:v>
                </c:pt>
              </c:strCache>
            </c:strRef>
          </c:tx>
          <c:spPr>
            <a:ln w="31750" cap="rnd">
              <a:solidFill>
                <a:schemeClr val="accent5">
                  <a:lumMod val="80000"/>
                  <a:lumOff val="2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Day'!$U$151:$U$174</c:f>
            </c:numRef>
          </c:val>
          <c:smooth val="0"/>
          <c:extLst>
            <c:ext xmlns:c16="http://schemas.microsoft.com/office/drawing/2014/chart" uri="{C3380CC4-5D6E-409C-BE32-E72D297353CC}">
              <c16:uniqueId val="{00000010-3BB9-4F94-82F8-1E1DC5FC0BE7}"/>
            </c:ext>
          </c:extLst>
        </c:ser>
        <c:ser>
          <c:idx val="17"/>
          <c:order val="17"/>
          <c:tx>
            <c:strRef>
              <c:f>'Definition of Typical Day'!$V$13:$V$14</c:f>
              <c:strCache>
                <c:ptCount val="2"/>
                <c:pt idx="0">
                  <c:v>18</c:v>
                </c:pt>
                <c:pt idx="1">
                  <c:v>18</c:v>
                </c:pt>
              </c:strCache>
            </c:strRef>
          </c:tx>
          <c:spPr>
            <a:ln w="31750" cap="rnd">
              <a:solidFill>
                <a:schemeClr val="accent6">
                  <a:lumMod val="80000"/>
                  <a:lumOff val="2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Day'!$V$151:$V$174</c:f>
            </c:numRef>
          </c:val>
          <c:smooth val="0"/>
          <c:extLst>
            <c:ext xmlns:c16="http://schemas.microsoft.com/office/drawing/2014/chart" uri="{C3380CC4-5D6E-409C-BE32-E72D297353CC}">
              <c16:uniqueId val="{00000011-3BB9-4F94-82F8-1E1DC5FC0BE7}"/>
            </c:ext>
          </c:extLst>
        </c:ser>
        <c:ser>
          <c:idx val="18"/>
          <c:order val="18"/>
          <c:tx>
            <c:strRef>
              <c:f>'Definition of Typical Day'!$W$13:$W$14</c:f>
              <c:strCache>
                <c:ptCount val="2"/>
                <c:pt idx="0">
                  <c:v>19</c:v>
                </c:pt>
                <c:pt idx="1">
                  <c:v>19</c:v>
                </c:pt>
              </c:strCache>
            </c:strRef>
          </c:tx>
          <c:spPr>
            <a:ln w="31750" cap="rnd">
              <a:solidFill>
                <a:schemeClr val="accent1">
                  <a:lumMod val="8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Day'!$W$151:$W$174</c:f>
            </c:numRef>
          </c:val>
          <c:smooth val="0"/>
          <c:extLst>
            <c:ext xmlns:c16="http://schemas.microsoft.com/office/drawing/2014/chart" uri="{C3380CC4-5D6E-409C-BE32-E72D297353CC}">
              <c16:uniqueId val="{00000012-3BB9-4F94-82F8-1E1DC5FC0BE7}"/>
            </c:ext>
          </c:extLst>
        </c:ser>
        <c:ser>
          <c:idx val="19"/>
          <c:order val="19"/>
          <c:tx>
            <c:strRef>
              <c:f>'Definition of Typical Day'!$X$13:$X$14</c:f>
              <c:strCache>
                <c:ptCount val="2"/>
                <c:pt idx="0">
                  <c:v>20</c:v>
                </c:pt>
                <c:pt idx="1">
                  <c:v>20</c:v>
                </c:pt>
              </c:strCache>
            </c:strRef>
          </c:tx>
          <c:spPr>
            <a:ln w="31750" cap="rnd">
              <a:solidFill>
                <a:schemeClr val="accent2">
                  <a:lumMod val="80000"/>
                </a:schemeClr>
              </a:solidFill>
              <a:round/>
            </a:ln>
            <a:effectLst/>
          </c:spPr>
          <c:marker>
            <c:symbol val="none"/>
          </c:marker>
          <c:cat>
            <c:numRef>
              <c:f>'Definition of Typical Day'!$D$151:$D$174</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Day'!$X$151:$X$174</c:f>
            </c:numRef>
          </c:val>
          <c:smooth val="0"/>
          <c:extLst>
            <c:ext xmlns:c16="http://schemas.microsoft.com/office/drawing/2014/chart" uri="{C3380CC4-5D6E-409C-BE32-E72D297353CC}">
              <c16:uniqueId val="{00000013-3BB9-4F94-82F8-1E1DC5FC0BE7}"/>
            </c:ext>
          </c:extLst>
        </c:ser>
        <c:dLbls>
          <c:showLegendKey val="0"/>
          <c:showVal val="0"/>
          <c:showCatName val="0"/>
          <c:showSerName val="0"/>
          <c:showPercent val="0"/>
          <c:showBubbleSize val="0"/>
        </c:dLbls>
        <c:smooth val="0"/>
        <c:axId val="1076580768"/>
        <c:axId val="1076583168"/>
      </c:lineChart>
      <c:catAx>
        <c:axId val="1076580768"/>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r>
                  <a:rPr lang="de-DE" sz="1200"/>
                  <a:t>Hour of the day</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3168"/>
        <c:crosses val="autoZero"/>
        <c:auto val="1"/>
        <c:lblAlgn val="ctr"/>
        <c:lblOffset val="100"/>
        <c:noMultiLvlLbl val="0"/>
      </c:catAx>
      <c:valAx>
        <c:axId val="1076583168"/>
        <c:scaling>
          <c:orientation val="minMax"/>
        </c:scaling>
        <c:delete val="0"/>
        <c:axPos val="l"/>
        <c:majorGridlines>
          <c:spPr>
            <a:ln w="9525" cap="flat" cmpd="sng" algn="ctr">
              <a:solidFill>
                <a:schemeClr val="tx2">
                  <a:lumMod val="15000"/>
                  <a:lumOff val="85000"/>
                </a:schemeClr>
              </a:solidFill>
              <a:round/>
            </a:ln>
            <a:effectLst/>
          </c:spPr>
        </c:majorGridlines>
        <c:title>
          <c:tx>
            <c:strRef>
              <c:f>'Definition of Typical Day'!$E$149</c:f>
              <c:strCache>
                <c:ptCount val="1"/>
                <c:pt idx="0">
                  <c:v>°C</c:v>
                </c:pt>
              </c:strCache>
            </c:strRef>
          </c:tx>
          <c:layout>
            <c:manualLayout>
              <c:xMode val="edge"/>
              <c:yMode val="edge"/>
              <c:x val="2.8550898089132731E-2"/>
              <c:y val="0.3781498715793089"/>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07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'Definition of Typical Day'!$E$177:$X$177</c:f>
          <c:strCache>
            <c:ptCount val="20"/>
            <c:pt idx="0">
              <c:v>Short-run marginal costs of alternative heat production</c:v>
            </c:pt>
          </c:strCache>
        </c:strRef>
      </c:tx>
      <c:overlay val="1"/>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9.8661356478787127E-2"/>
          <c:y val="0.162729791996686"/>
          <c:w val="0.6354516532300688"/>
          <c:h val="0.66174888888888894"/>
        </c:manualLayout>
      </c:layout>
      <c:lineChart>
        <c:grouping val="standard"/>
        <c:varyColors val="0"/>
        <c:ser>
          <c:idx val="0"/>
          <c:order val="0"/>
          <c:tx>
            <c:strRef>
              <c:f>'Definition of Typical Day'!$E$13:$E$14</c:f>
              <c:strCache>
                <c:ptCount val="2"/>
                <c:pt idx="0">
                  <c:v>1</c:v>
                </c:pt>
                <c:pt idx="1">
                  <c:v>Winter day</c:v>
                </c:pt>
              </c:strCache>
            </c:strRef>
          </c:tx>
          <c:spPr>
            <a:ln w="31750" cap="rnd">
              <a:solidFill>
                <a:schemeClr val="accent1"/>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Day'!$E$180:$E$203</c:f>
              <c:numCache>
                <c:formatCode>0</c:formatCode>
                <c:ptCount val="24"/>
                <c:pt idx="0">
                  <c:v>65</c:v>
                </c:pt>
                <c:pt idx="1">
                  <c:v>65</c:v>
                </c:pt>
                <c:pt idx="2">
                  <c:v>65</c:v>
                </c:pt>
                <c:pt idx="3">
                  <c:v>65</c:v>
                </c:pt>
                <c:pt idx="4">
                  <c:v>65</c:v>
                </c:pt>
                <c:pt idx="5">
                  <c:v>65</c:v>
                </c:pt>
                <c:pt idx="6">
                  <c:v>65</c:v>
                </c:pt>
                <c:pt idx="7">
                  <c:v>65</c:v>
                </c:pt>
                <c:pt idx="8">
                  <c:v>65</c:v>
                </c:pt>
                <c:pt idx="9">
                  <c:v>65</c:v>
                </c:pt>
                <c:pt idx="10">
                  <c:v>65</c:v>
                </c:pt>
                <c:pt idx="11">
                  <c:v>65</c:v>
                </c:pt>
                <c:pt idx="12">
                  <c:v>65</c:v>
                </c:pt>
                <c:pt idx="13">
                  <c:v>65</c:v>
                </c:pt>
                <c:pt idx="14">
                  <c:v>65</c:v>
                </c:pt>
                <c:pt idx="15">
                  <c:v>65</c:v>
                </c:pt>
                <c:pt idx="16">
                  <c:v>65</c:v>
                </c:pt>
                <c:pt idx="17">
                  <c:v>65</c:v>
                </c:pt>
                <c:pt idx="18">
                  <c:v>65</c:v>
                </c:pt>
                <c:pt idx="19">
                  <c:v>65</c:v>
                </c:pt>
                <c:pt idx="20">
                  <c:v>65</c:v>
                </c:pt>
                <c:pt idx="21">
                  <c:v>65</c:v>
                </c:pt>
                <c:pt idx="22">
                  <c:v>65</c:v>
                </c:pt>
                <c:pt idx="23">
                  <c:v>65</c:v>
                </c:pt>
              </c:numCache>
            </c:numRef>
          </c:val>
          <c:smooth val="0"/>
          <c:extLst>
            <c:ext xmlns:c16="http://schemas.microsoft.com/office/drawing/2014/chart" uri="{C3380CC4-5D6E-409C-BE32-E72D297353CC}">
              <c16:uniqueId val="{00000000-671F-4564-B872-A5978223B09F}"/>
            </c:ext>
          </c:extLst>
        </c:ser>
        <c:ser>
          <c:idx val="1"/>
          <c:order val="1"/>
          <c:tx>
            <c:strRef>
              <c:f>'Definition of Typical Day'!$F$13:$F$14</c:f>
              <c:strCache>
                <c:ptCount val="2"/>
                <c:pt idx="0">
                  <c:v>2</c:v>
                </c:pt>
                <c:pt idx="1">
                  <c:v>Spring / fall weekday</c:v>
                </c:pt>
              </c:strCache>
            </c:strRef>
          </c:tx>
          <c:spPr>
            <a:ln w="31750" cap="rnd">
              <a:solidFill>
                <a:schemeClr val="accent2"/>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Day'!$F$180:$F$203</c:f>
              <c:numCache>
                <c:formatCode>0</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1-671F-4564-B872-A5978223B09F}"/>
            </c:ext>
          </c:extLst>
        </c:ser>
        <c:ser>
          <c:idx val="2"/>
          <c:order val="2"/>
          <c:tx>
            <c:strRef>
              <c:f>'Definition of Typical Day'!$G$13:$G$14</c:f>
              <c:strCache>
                <c:ptCount val="2"/>
                <c:pt idx="0">
                  <c:v>3</c:v>
                </c:pt>
                <c:pt idx="1">
                  <c:v>Spring / fall weekend</c:v>
                </c:pt>
              </c:strCache>
            </c:strRef>
          </c:tx>
          <c:spPr>
            <a:ln w="31750" cap="rnd">
              <a:solidFill>
                <a:schemeClr val="accent3"/>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Day'!$G$180:$G$203</c:f>
              <c:numCache>
                <c:formatCode>0</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2-671F-4564-B872-A5978223B09F}"/>
            </c:ext>
          </c:extLst>
        </c:ser>
        <c:ser>
          <c:idx val="3"/>
          <c:order val="3"/>
          <c:tx>
            <c:strRef>
              <c:f>'Definition of Typical Day'!$H$13:$H$14</c:f>
              <c:strCache>
                <c:ptCount val="2"/>
                <c:pt idx="0">
                  <c:v>4</c:v>
                </c:pt>
                <c:pt idx="1">
                  <c:v>Summer weekday</c:v>
                </c:pt>
              </c:strCache>
            </c:strRef>
          </c:tx>
          <c:spPr>
            <a:ln w="31750" cap="rnd">
              <a:solidFill>
                <a:schemeClr val="accent4"/>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Day'!$H$180:$H$203</c:f>
              <c:numCache>
                <c:formatCode>0</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3-671F-4564-B872-A5978223B09F}"/>
            </c:ext>
          </c:extLst>
        </c:ser>
        <c:ser>
          <c:idx val="4"/>
          <c:order val="4"/>
          <c:tx>
            <c:strRef>
              <c:f>'Definition of Typical Day'!$I$13:$I$14</c:f>
              <c:strCache>
                <c:ptCount val="2"/>
                <c:pt idx="0">
                  <c:v>5</c:v>
                </c:pt>
                <c:pt idx="1">
                  <c:v>Summer weekend</c:v>
                </c:pt>
              </c:strCache>
            </c:strRef>
          </c:tx>
          <c:spPr>
            <a:ln w="31750" cap="rnd">
              <a:solidFill>
                <a:schemeClr val="accent5"/>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Day'!$I$180:$I$203</c:f>
              <c:numCache>
                <c:formatCode>0</c:formatCode>
                <c:ptCount val="24"/>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numCache>
            </c:numRef>
          </c:val>
          <c:smooth val="0"/>
          <c:extLst>
            <c:ext xmlns:c16="http://schemas.microsoft.com/office/drawing/2014/chart" uri="{C3380CC4-5D6E-409C-BE32-E72D297353CC}">
              <c16:uniqueId val="{00000004-671F-4564-B872-A5978223B09F}"/>
            </c:ext>
          </c:extLst>
        </c:ser>
        <c:ser>
          <c:idx val="5"/>
          <c:order val="5"/>
          <c:tx>
            <c:strRef>
              <c:f>'Definition of Typical Day'!$J$13:$J$14</c:f>
              <c:strCache>
                <c:ptCount val="2"/>
                <c:pt idx="0">
                  <c:v>6</c:v>
                </c:pt>
                <c:pt idx="1">
                  <c:v>Maintenance of HP</c:v>
                </c:pt>
              </c:strCache>
            </c:strRef>
          </c:tx>
          <c:spPr>
            <a:ln w="31750" cap="rnd">
              <a:solidFill>
                <a:schemeClr val="accent6"/>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Day'!$J$180:$J$203</c:f>
              <c:numCache>
                <c:formatCode>0</c:formatCode>
                <c:ptCount val="24"/>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numCache>
            </c:numRef>
          </c:val>
          <c:smooth val="0"/>
          <c:extLst>
            <c:ext xmlns:c16="http://schemas.microsoft.com/office/drawing/2014/chart" uri="{C3380CC4-5D6E-409C-BE32-E72D297353CC}">
              <c16:uniqueId val="{00000005-671F-4564-B872-A5978223B09F}"/>
            </c:ext>
          </c:extLst>
        </c:ser>
        <c:ser>
          <c:idx val="6"/>
          <c:order val="6"/>
          <c:tx>
            <c:strRef>
              <c:f>'Definition of Typical Day'!$K$13:$K$14</c:f>
              <c:strCache>
                <c:ptCount val="2"/>
                <c:pt idx="0">
                  <c:v>7</c:v>
                </c:pt>
                <c:pt idx="1">
                  <c:v>7</c:v>
                </c:pt>
              </c:strCache>
            </c:strRef>
          </c:tx>
          <c:spPr>
            <a:ln w="31750" cap="rnd">
              <a:solidFill>
                <a:schemeClr val="accent1">
                  <a:lumMod val="6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Day'!$K$180:$K$203</c:f>
            </c:numRef>
          </c:val>
          <c:smooth val="0"/>
          <c:extLst>
            <c:ext xmlns:c16="http://schemas.microsoft.com/office/drawing/2014/chart" uri="{C3380CC4-5D6E-409C-BE32-E72D297353CC}">
              <c16:uniqueId val="{00000006-671F-4564-B872-A5978223B09F}"/>
            </c:ext>
          </c:extLst>
        </c:ser>
        <c:ser>
          <c:idx val="7"/>
          <c:order val="7"/>
          <c:tx>
            <c:strRef>
              <c:f>'Definition of Typical Day'!$L$13:$L$14</c:f>
              <c:strCache>
                <c:ptCount val="2"/>
                <c:pt idx="0">
                  <c:v>8</c:v>
                </c:pt>
                <c:pt idx="1">
                  <c:v>8</c:v>
                </c:pt>
              </c:strCache>
            </c:strRef>
          </c:tx>
          <c:spPr>
            <a:ln w="31750" cap="rnd">
              <a:solidFill>
                <a:schemeClr val="accent2">
                  <a:lumMod val="6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Day'!$L$180:$L$203</c:f>
            </c:numRef>
          </c:val>
          <c:smooth val="0"/>
          <c:extLst>
            <c:ext xmlns:c16="http://schemas.microsoft.com/office/drawing/2014/chart" uri="{C3380CC4-5D6E-409C-BE32-E72D297353CC}">
              <c16:uniqueId val="{00000007-671F-4564-B872-A5978223B09F}"/>
            </c:ext>
          </c:extLst>
        </c:ser>
        <c:ser>
          <c:idx val="8"/>
          <c:order val="8"/>
          <c:tx>
            <c:strRef>
              <c:f>'Definition of Typical Day'!$M$13:$M$14</c:f>
              <c:strCache>
                <c:ptCount val="2"/>
                <c:pt idx="0">
                  <c:v>9</c:v>
                </c:pt>
                <c:pt idx="1">
                  <c:v>9</c:v>
                </c:pt>
              </c:strCache>
            </c:strRef>
          </c:tx>
          <c:spPr>
            <a:ln w="31750" cap="rnd">
              <a:solidFill>
                <a:schemeClr val="accent3">
                  <a:lumMod val="6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Day'!$M$180:$M$203</c:f>
            </c:numRef>
          </c:val>
          <c:smooth val="0"/>
          <c:extLst>
            <c:ext xmlns:c16="http://schemas.microsoft.com/office/drawing/2014/chart" uri="{C3380CC4-5D6E-409C-BE32-E72D297353CC}">
              <c16:uniqueId val="{00000008-671F-4564-B872-A5978223B09F}"/>
            </c:ext>
          </c:extLst>
        </c:ser>
        <c:ser>
          <c:idx val="9"/>
          <c:order val="9"/>
          <c:tx>
            <c:strRef>
              <c:f>'Definition of Typical Day'!$N$13:$N$14</c:f>
              <c:strCache>
                <c:ptCount val="2"/>
                <c:pt idx="0">
                  <c:v>10</c:v>
                </c:pt>
                <c:pt idx="1">
                  <c:v>10</c:v>
                </c:pt>
              </c:strCache>
            </c:strRef>
          </c:tx>
          <c:spPr>
            <a:ln w="31750" cap="rnd">
              <a:solidFill>
                <a:schemeClr val="accent4">
                  <a:lumMod val="6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Day'!$N$180:$N$203</c:f>
            </c:numRef>
          </c:val>
          <c:smooth val="0"/>
          <c:extLst>
            <c:ext xmlns:c16="http://schemas.microsoft.com/office/drawing/2014/chart" uri="{C3380CC4-5D6E-409C-BE32-E72D297353CC}">
              <c16:uniqueId val="{00000009-671F-4564-B872-A5978223B09F}"/>
            </c:ext>
          </c:extLst>
        </c:ser>
        <c:ser>
          <c:idx val="10"/>
          <c:order val="10"/>
          <c:tx>
            <c:strRef>
              <c:f>'Definition of Typical Day'!$O$13:$O$14</c:f>
              <c:strCache>
                <c:ptCount val="2"/>
                <c:pt idx="0">
                  <c:v>11</c:v>
                </c:pt>
                <c:pt idx="1">
                  <c:v>11</c:v>
                </c:pt>
              </c:strCache>
            </c:strRef>
          </c:tx>
          <c:spPr>
            <a:ln w="31750" cap="rnd">
              <a:solidFill>
                <a:schemeClr val="accent5">
                  <a:lumMod val="6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Day'!$O$180:$O$203</c:f>
            </c:numRef>
          </c:val>
          <c:smooth val="0"/>
          <c:extLst>
            <c:ext xmlns:c16="http://schemas.microsoft.com/office/drawing/2014/chart" uri="{C3380CC4-5D6E-409C-BE32-E72D297353CC}">
              <c16:uniqueId val="{0000000A-671F-4564-B872-A5978223B09F}"/>
            </c:ext>
          </c:extLst>
        </c:ser>
        <c:ser>
          <c:idx val="11"/>
          <c:order val="11"/>
          <c:tx>
            <c:strRef>
              <c:f>'Definition of Typical Day'!$P$13:$P$14</c:f>
              <c:strCache>
                <c:ptCount val="2"/>
                <c:pt idx="0">
                  <c:v>12</c:v>
                </c:pt>
                <c:pt idx="1">
                  <c:v>12</c:v>
                </c:pt>
              </c:strCache>
            </c:strRef>
          </c:tx>
          <c:spPr>
            <a:ln w="31750" cap="rnd">
              <a:solidFill>
                <a:schemeClr val="accent6">
                  <a:lumMod val="6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Day'!$P$180:$P$203</c:f>
            </c:numRef>
          </c:val>
          <c:smooth val="0"/>
          <c:extLst>
            <c:ext xmlns:c16="http://schemas.microsoft.com/office/drawing/2014/chart" uri="{C3380CC4-5D6E-409C-BE32-E72D297353CC}">
              <c16:uniqueId val="{0000000B-671F-4564-B872-A5978223B09F}"/>
            </c:ext>
          </c:extLst>
        </c:ser>
        <c:ser>
          <c:idx val="12"/>
          <c:order val="12"/>
          <c:tx>
            <c:strRef>
              <c:f>'Definition of Typical Day'!$Q$13:$Q$14</c:f>
              <c:strCache>
                <c:ptCount val="2"/>
                <c:pt idx="0">
                  <c:v>13</c:v>
                </c:pt>
                <c:pt idx="1">
                  <c:v>13</c:v>
                </c:pt>
              </c:strCache>
            </c:strRef>
          </c:tx>
          <c:spPr>
            <a:ln w="31750" cap="rnd">
              <a:solidFill>
                <a:schemeClr val="accent1">
                  <a:lumMod val="80000"/>
                  <a:lumOff val="2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Day'!$Q$180:$Q$203</c:f>
            </c:numRef>
          </c:val>
          <c:smooth val="0"/>
          <c:extLst>
            <c:ext xmlns:c16="http://schemas.microsoft.com/office/drawing/2014/chart" uri="{C3380CC4-5D6E-409C-BE32-E72D297353CC}">
              <c16:uniqueId val="{0000000C-671F-4564-B872-A5978223B09F}"/>
            </c:ext>
          </c:extLst>
        </c:ser>
        <c:ser>
          <c:idx val="13"/>
          <c:order val="13"/>
          <c:tx>
            <c:strRef>
              <c:f>'Definition of Typical Day'!$R$13:$R$14</c:f>
              <c:strCache>
                <c:ptCount val="2"/>
                <c:pt idx="0">
                  <c:v>14</c:v>
                </c:pt>
                <c:pt idx="1">
                  <c:v>14</c:v>
                </c:pt>
              </c:strCache>
            </c:strRef>
          </c:tx>
          <c:spPr>
            <a:ln w="31750" cap="rnd">
              <a:solidFill>
                <a:schemeClr val="accent2">
                  <a:lumMod val="80000"/>
                  <a:lumOff val="2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Day'!$R$180:$R$203</c:f>
            </c:numRef>
          </c:val>
          <c:smooth val="0"/>
          <c:extLst>
            <c:ext xmlns:c16="http://schemas.microsoft.com/office/drawing/2014/chart" uri="{C3380CC4-5D6E-409C-BE32-E72D297353CC}">
              <c16:uniqueId val="{0000000D-671F-4564-B872-A5978223B09F}"/>
            </c:ext>
          </c:extLst>
        </c:ser>
        <c:ser>
          <c:idx val="14"/>
          <c:order val="14"/>
          <c:tx>
            <c:strRef>
              <c:f>'Definition of Typical Day'!$S$13:$S$14</c:f>
              <c:strCache>
                <c:ptCount val="2"/>
                <c:pt idx="0">
                  <c:v>15</c:v>
                </c:pt>
                <c:pt idx="1">
                  <c:v>15</c:v>
                </c:pt>
              </c:strCache>
            </c:strRef>
          </c:tx>
          <c:spPr>
            <a:ln w="31750" cap="rnd">
              <a:solidFill>
                <a:schemeClr val="accent3">
                  <a:lumMod val="80000"/>
                  <a:lumOff val="2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Day'!$S$180:$S$203</c:f>
            </c:numRef>
          </c:val>
          <c:smooth val="0"/>
          <c:extLst>
            <c:ext xmlns:c16="http://schemas.microsoft.com/office/drawing/2014/chart" uri="{C3380CC4-5D6E-409C-BE32-E72D297353CC}">
              <c16:uniqueId val="{0000000E-671F-4564-B872-A5978223B09F}"/>
            </c:ext>
          </c:extLst>
        </c:ser>
        <c:ser>
          <c:idx val="15"/>
          <c:order val="15"/>
          <c:tx>
            <c:strRef>
              <c:f>'Definition of Typical Day'!$T$13:$T$14</c:f>
              <c:strCache>
                <c:ptCount val="2"/>
                <c:pt idx="0">
                  <c:v>16</c:v>
                </c:pt>
                <c:pt idx="1">
                  <c:v>16</c:v>
                </c:pt>
              </c:strCache>
            </c:strRef>
          </c:tx>
          <c:spPr>
            <a:ln w="31750" cap="rnd">
              <a:solidFill>
                <a:schemeClr val="accent4">
                  <a:lumMod val="80000"/>
                  <a:lumOff val="2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Day'!$T$180:$T$203</c:f>
            </c:numRef>
          </c:val>
          <c:smooth val="0"/>
          <c:extLst>
            <c:ext xmlns:c16="http://schemas.microsoft.com/office/drawing/2014/chart" uri="{C3380CC4-5D6E-409C-BE32-E72D297353CC}">
              <c16:uniqueId val="{0000000F-671F-4564-B872-A5978223B09F}"/>
            </c:ext>
          </c:extLst>
        </c:ser>
        <c:ser>
          <c:idx val="16"/>
          <c:order val="16"/>
          <c:tx>
            <c:strRef>
              <c:f>'Definition of Typical Day'!$U$13:$U$14</c:f>
              <c:strCache>
                <c:ptCount val="2"/>
                <c:pt idx="0">
                  <c:v>17</c:v>
                </c:pt>
                <c:pt idx="1">
                  <c:v>17</c:v>
                </c:pt>
              </c:strCache>
            </c:strRef>
          </c:tx>
          <c:spPr>
            <a:ln w="31750" cap="rnd">
              <a:solidFill>
                <a:schemeClr val="accent5">
                  <a:lumMod val="80000"/>
                  <a:lumOff val="2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Day'!$U$180:$U$203</c:f>
            </c:numRef>
          </c:val>
          <c:smooth val="0"/>
          <c:extLst>
            <c:ext xmlns:c16="http://schemas.microsoft.com/office/drawing/2014/chart" uri="{C3380CC4-5D6E-409C-BE32-E72D297353CC}">
              <c16:uniqueId val="{00000010-671F-4564-B872-A5978223B09F}"/>
            </c:ext>
          </c:extLst>
        </c:ser>
        <c:ser>
          <c:idx val="17"/>
          <c:order val="17"/>
          <c:tx>
            <c:strRef>
              <c:f>'Definition of Typical Day'!$V$13:$V$14</c:f>
              <c:strCache>
                <c:ptCount val="2"/>
                <c:pt idx="0">
                  <c:v>18</c:v>
                </c:pt>
                <c:pt idx="1">
                  <c:v>18</c:v>
                </c:pt>
              </c:strCache>
            </c:strRef>
          </c:tx>
          <c:spPr>
            <a:ln w="31750" cap="rnd">
              <a:solidFill>
                <a:schemeClr val="accent6">
                  <a:lumMod val="80000"/>
                  <a:lumOff val="2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Day'!$V$180:$V$203</c:f>
            </c:numRef>
          </c:val>
          <c:smooth val="0"/>
          <c:extLst>
            <c:ext xmlns:c16="http://schemas.microsoft.com/office/drawing/2014/chart" uri="{C3380CC4-5D6E-409C-BE32-E72D297353CC}">
              <c16:uniqueId val="{00000011-671F-4564-B872-A5978223B09F}"/>
            </c:ext>
          </c:extLst>
        </c:ser>
        <c:ser>
          <c:idx val="18"/>
          <c:order val="18"/>
          <c:tx>
            <c:strRef>
              <c:f>'Definition of Typical Day'!$W$13:$W$14</c:f>
              <c:strCache>
                <c:ptCount val="2"/>
                <c:pt idx="0">
                  <c:v>19</c:v>
                </c:pt>
                <c:pt idx="1">
                  <c:v>19</c:v>
                </c:pt>
              </c:strCache>
            </c:strRef>
          </c:tx>
          <c:spPr>
            <a:ln w="31750" cap="rnd">
              <a:solidFill>
                <a:schemeClr val="accent1">
                  <a:lumMod val="8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Day'!$W$180:$W$203</c:f>
            </c:numRef>
          </c:val>
          <c:smooth val="0"/>
          <c:extLst>
            <c:ext xmlns:c16="http://schemas.microsoft.com/office/drawing/2014/chart" uri="{C3380CC4-5D6E-409C-BE32-E72D297353CC}">
              <c16:uniqueId val="{00000012-671F-4564-B872-A5978223B09F}"/>
            </c:ext>
          </c:extLst>
        </c:ser>
        <c:ser>
          <c:idx val="19"/>
          <c:order val="19"/>
          <c:tx>
            <c:strRef>
              <c:f>'Definition of Typical Day'!$X$13:$X$14</c:f>
              <c:strCache>
                <c:ptCount val="2"/>
                <c:pt idx="0">
                  <c:v>20</c:v>
                </c:pt>
                <c:pt idx="1">
                  <c:v>20</c:v>
                </c:pt>
              </c:strCache>
            </c:strRef>
          </c:tx>
          <c:spPr>
            <a:ln w="31750" cap="rnd">
              <a:solidFill>
                <a:schemeClr val="accent2">
                  <a:lumMod val="80000"/>
                </a:schemeClr>
              </a:solidFill>
              <a:round/>
            </a:ln>
            <a:effectLst/>
          </c:spPr>
          <c:marker>
            <c:symbol val="none"/>
          </c:marker>
          <c:cat>
            <c:numRef>
              <c:f>'Definition of Typical Day'!$D$180:$D$203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Day'!$X$180:$X$203</c:f>
            </c:numRef>
          </c:val>
          <c:smooth val="0"/>
          <c:extLst>
            <c:ext xmlns:c16="http://schemas.microsoft.com/office/drawing/2014/chart" uri="{C3380CC4-5D6E-409C-BE32-E72D297353CC}">
              <c16:uniqueId val="{00000013-671F-4564-B872-A5978223B09F}"/>
            </c:ext>
          </c:extLst>
        </c:ser>
        <c:dLbls>
          <c:showLegendKey val="0"/>
          <c:showVal val="0"/>
          <c:showCatName val="0"/>
          <c:showSerName val="0"/>
          <c:showPercent val="0"/>
          <c:showBubbleSize val="0"/>
        </c:dLbls>
        <c:smooth val="0"/>
        <c:axId val="1076580768"/>
        <c:axId val="1076583168"/>
      </c:lineChart>
      <c:catAx>
        <c:axId val="1076580768"/>
        <c:scaling>
          <c:orientation val="minMax"/>
        </c:scaling>
        <c:delete val="0"/>
        <c:axPos val="b"/>
        <c:title>
          <c:tx>
            <c:rich>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r>
                  <a:rPr lang="de-DE" sz="1200"/>
                  <a:t>Hour of the day</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3168"/>
        <c:crosses val="autoZero"/>
        <c:auto val="1"/>
        <c:lblAlgn val="ctr"/>
        <c:lblOffset val="100"/>
        <c:noMultiLvlLbl val="0"/>
      </c:catAx>
      <c:valAx>
        <c:axId val="1076583168"/>
        <c:scaling>
          <c:orientation val="minMax"/>
        </c:scaling>
        <c:delete val="0"/>
        <c:axPos val="l"/>
        <c:majorGridlines>
          <c:spPr>
            <a:ln w="9525" cap="flat" cmpd="sng" algn="ctr">
              <a:solidFill>
                <a:schemeClr val="tx2">
                  <a:lumMod val="15000"/>
                  <a:lumOff val="85000"/>
                </a:schemeClr>
              </a:solidFill>
              <a:round/>
            </a:ln>
            <a:effectLst/>
          </c:spPr>
        </c:majorGridlines>
        <c:title>
          <c:tx>
            <c:strRef>
              <c:f>'Definition of Typical Day'!$E$178:$X$178</c:f>
              <c:strCache>
                <c:ptCount val="20"/>
                <c:pt idx="0">
                  <c:v>EUR/MWh_delivered</c:v>
                </c:pt>
              </c:strCache>
            </c:strRef>
          </c:tx>
          <c:layout>
            <c:manualLayout>
              <c:xMode val="edge"/>
              <c:yMode val="edge"/>
              <c:x val="2.3763103504004707E-2"/>
              <c:y val="0.31709034945102904"/>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07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'Definition of Typical Day'!$E$206:$X$206</c:f>
          <c:strCache>
            <c:ptCount val="20"/>
            <c:pt idx="0">
              <c:v>Electricity price heat pump</c:v>
            </c:pt>
          </c:strCache>
        </c:strRef>
      </c:tx>
      <c:overlay val="1"/>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0.11333169495705471"/>
          <c:y val="0.15866501603080546"/>
          <c:w val="0.63104593268580511"/>
          <c:h val="0.70814673041098453"/>
        </c:manualLayout>
      </c:layout>
      <c:lineChart>
        <c:grouping val="standard"/>
        <c:varyColors val="0"/>
        <c:ser>
          <c:idx val="0"/>
          <c:order val="0"/>
          <c:tx>
            <c:strRef>
              <c:f>'Definition of Typical Day'!$E$13:$E$14</c:f>
              <c:strCache>
                <c:ptCount val="2"/>
                <c:pt idx="0">
                  <c:v>1</c:v>
                </c:pt>
                <c:pt idx="1">
                  <c:v>Winter day</c:v>
                </c:pt>
              </c:strCache>
            </c:strRef>
          </c:tx>
          <c:spPr>
            <a:ln w="31750" cap="rnd">
              <a:solidFill>
                <a:schemeClr val="accent1"/>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Day'!$E$209:$E$232</c:f>
              <c:numCache>
                <c:formatCode>0</c:formatCode>
                <c:ptCount val="24"/>
                <c:pt idx="0">
                  <c:v>66</c:v>
                </c:pt>
                <c:pt idx="1">
                  <c:v>63.45</c:v>
                </c:pt>
                <c:pt idx="2">
                  <c:v>63.54</c:v>
                </c:pt>
                <c:pt idx="3">
                  <c:v>61.82</c:v>
                </c:pt>
                <c:pt idx="4">
                  <c:v>61.85</c:v>
                </c:pt>
                <c:pt idx="5">
                  <c:v>61.75</c:v>
                </c:pt>
                <c:pt idx="6">
                  <c:v>62.59</c:v>
                </c:pt>
                <c:pt idx="7">
                  <c:v>66.900000000000006</c:v>
                </c:pt>
                <c:pt idx="8">
                  <c:v>74.819999999999993</c:v>
                </c:pt>
                <c:pt idx="9">
                  <c:v>77.900000000000006</c:v>
                </c:pt>
                <c:pt idx="10">
                  <c:v>71.8</c:v>
                </c:pt>
                <c:pt idx="11">
                  <c:v>70.77</c:v>
                </c:pt>
                <c:pt idx="12">
                  <c:v>67.73</c:v>
                </c:pt>
                <c:pt idx="13">
                  <c:v>68.78</c:v>
                </c:pt>
                <c:pt idx="14">
                  <c:v>73.39</c:v>
                </c:pt>
                <c:pt idx="15">
                  <c:v>79.11</c:v>
                </c:pt>
                <c:pt idx="16">
                  <c:v>87.8</c:v>
                </c:pt>
                <c:pt idx="17">
                  <c:v>94.93</c:v>
                </c:pt>
                <c:pt idx="18">
                  <c:v>99.87</c:v>
                </c:pt>
                <c:pt idx="19">
                  <c:v>91.57</c:v>
                </c:pt>
                <c:pt idx="20">
                  <c:v>81.97</c:v>
                </c:pt>
                <c:pt idx="21">
                  <c:v>75.739999999999995</c:v>
                </c:pt>
                <c:pt idx="22">
                  <c:v>74.680000000000007</c:v>
                </c:pt>
                <c:pt idx="23">
                  <c:v>69.13</c:v>
                </c:pt>
              </c:numCache>
            </c:numRef>
          </c:val>
          <c:smooth val="0"/>
          <c:extLst>
            <c:ext xmlns:c16="http://schemas.microsoft.com/office/drawing/2014/chart" uri="{C3380CC4-5D6E-409C-BE32-E72D297353CC}">
              <c16:uniqueId val="{00000000-E5A7-4E32-B074-4AAEF24C66C3}"/>
            </c:ext>
          </c:extLst>
        </c:ser>
        <c:ser>
          <c:idx val="1"/>
          <c:order val="1"/>
          <c:tx>
            <c:strRef>
              <c:f>'Definition of Typical Day'!$F$13:$F$14</c:f>
              <c:strCache>
                <c:ptCount val="2"/>
                <c:pt idx="0">
                  <c:v>2</c:v>
                </c:pt>
                <c:pt idx="1">
                  <c:v>Spring / fall weekday</c:v>
                </c:pt>
              </c:strCache>
            </c:strRef>
          </c:tx>
          <c:spPr>
            <a:ln w="31750" cap="rnd">
              <a:solidFill>
                <a:schemeClr val="accent2"/>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Day'!$F$209:$F$232</c:f>
              <c:numCache>
                <c:formatCode>0</c:formatCode>
                <c:ptCount val="24"/>
                <c:pt idx="0">
                  <c:v>71</c:v>
                </c:pt>
                <c:pt idx="1">
                  <c:v>70.7</c:v>
                </c:pt>
                <c:pt idx="2">
                  <c:v>70.459999999999994</c:v>
                </c:pt>
                <c:pt idx="3">
                  <c:v>69.739999999999995</c:v>
                </c:pt>
                <c:pt idx="4">
                  <c:v>70.459999999999994</c:v>
                </c:pt>
                <c:pt idx="5">
                  <c:v>73.91</c:v>
                </c:pt>
                <c:pt idx="6">
                  <c:v>83.98</c:v>
                </c:pt>
                <c:pt idx="7">
                  <c:v>106.64</c:v>
                </c:pt>
                <c:pt idx="8">
                  <c:v>108.7</c:v>
                </c:pt>
                <c:pt idx="9">
                  <c:v>87.21</c:v>
                </c:pt>
                <c:pt idx="10">
                  <c:v>75.92</c:v>
                </c:pt>
                <c:pt idx="11">
                  <c:v>72.02</c:v>
                </c:pt>
                <c:pt idx="12">
                  <c:v>69.349999999999994</c:v>
                </c:pt>
                <c:pt idx="13">
                  <c:v>69.290000000000006</c:v>
                </c:pt>
                <c:pt idx="14">
                  <c:v>70.64</c:v>
                </c:pt>
                <c:pt idx="15">
                  <c:v>72.260000000000005</c:v>
                </c:pt>
                <c:pt idx="16">
                  <c:v>81.06</c:v>
                </c:pt>
                <c:pt idx="17">
                  <c:v>100</c:v>
                </c:pt>
                <c:pt idx="18">
                  <c:v>119.58</c:v>
                </c:pt>
                <c:pt idx="19">
                  <c:v>119.25</c:v>
                </c:pt>
                <c:pt idx="20">
                  <c:v>93.4</c:v>
                </c:pt>
                <c:pt idx="21">
                  <c:v>80.150000000000006</c:v>
                </c:pt>
                <c:pt idx="22">
                  <c:v>77.98</c:v>
                </c:pt>
                <c:pt idx="23">
                  <c:v>74.34</c:v>
                </c:pt>
              </c:numCache>
            </c:numRef>
          </c:val>
          <c:smooth val="0"/>
          <c:extLst>
            <c:ext xmlns:c16="http://schemas.microsoft.com/office/drawing/2014/chart" uri="{C3380CC4-5D6E-409C-BE32-E72D297353CC}">
              <c16:uniqueId val="{00000001-E5A7-4E32-B074-4AAEF24C66C3}"/>
            </c:ext>
          </c:extLst>
        </c:ser>
        <c:ser>
          <c:idx val="2"/>
          <c:order val="2"/>
          <c:tx>
            <c:strRef>
              <c:f>'Definition of Typical Day'!$G$13:$G$14</c:f>
              <c:strCache>
                <c:ptCount val="2"/>
                <c:pt idx="0">
                  <c:v>3</c:v>
                </c:pt>
                <c:pt idx="1">
                  <c:v>Spring / fall weekend</c:v>
                </c:pt>
              </c:strCache>
            </c:strRef>
          </c:tx>
          <c:spPr>
            <a:ln w="31750" cap="rnd">
              <a:solidFill>
                <a:schemeClr val="accent3"/>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Day'!$G$209:$G$232</c:f>
              <c:numCache>
                <c:formatCode>0</c:formatCode>
                <c:ptCount val="24"/>
                <c:pt idx="0">
                  <c:v>81.849999999999994</c:v>
                </c:pt>
                <c:pt idx="1">
                  <c:v>70.59</c:v>
                </c:pt>
                <c:pt idx="2">
                  <c:v>69.53</c:v>
                </c:pt>
                <c:pt idx="3">
                  <c:v>64.400000000000006</c:v>
                </c:pt>
                <c:pt idx="4">
                  <c:v>63.88</c:v>
                </c:pt>
                <c:pt idx="5">
                  <c:v>63.62</c:v>
                </c:pt>
                <c:pt idx="6">
                  <c:v>64.430000000000007</c:v>
                </c:pt>
                <c:pt idx="7">
                  <c:v>60.53</c:v>
                </c:pt>
                <c:pt idx="8">
                  <c:v>60.88</c:v>
                </c:pt>
                <c:pt idx="9">
                  <c:v>55.38</c:v>
                </c:pt>
                <c:pt idx="10">
                  <c:v>32.99</c:v>
                </c:pt>
                <c:pt idx="11">
                  <c:v>36.96</c:v>
                </c:pt>
                <c:pt idx="12">
                  <c:v>6.06</c:v>
                </c:pt>
                <c:pt idx="13">
                  <c:v>0.28000000000000003</c:v>
                </c:pt>
                <c:pt idx="14">
                  <c:v>-0.9</c:v>
                </c:pt>
                <c:pt idx="15">
                  <c:v>0.75</c:v>
                </c:pt>
                <c:pt idx="16">
                  <c:v>6.01</c:v>
                </c:pt>
                <c:pt idx="17">
                  <c:v>58.22</c:v>
                </c:pt>
                <c:pt idx="18">
                  <c:v>74.599999999999994</c:v>
                </c:pt>
                <c:pt idx="19">
                  <c:v>89.36</c:v>
                </c:pt>
                <c:pt idx="20">
                  <c:v>95.26</c:v>
                </c:pt>
                <c:pt idx="21">
                  <c:v>91.07</c:v>
                </c:pt>
                <c:pt idx="22">
                  <c:v>89.41</c:v>
                </c:pt>
                <c:pt idx="23">
                  <c:v>88.46</c:v>
                </c:pt>
              </c:numCache>
            </c:numRef>
          </c:val>
          <c:smooth val="0"/>
          <c:extLst>
            <c:ext xmlns:c16="http://schemas.microsoft.com/office/drawing/2014/chart" uri="{C3380CC4-5D6E-409C-BE32-E72D297353CC}">
              <c16:uniqueId val="{00000002-E5A7-4E32-B074-4AAEF24C66C3}"/>
            </c:ext>
          </c:extLst>
        </c:ser>
        <c:ser>
          <c:idx val="3"/>
          <c:order val="3"/>
          <c:tx>
            <c:strRef>
              <c:f>'Definition of Typical Day'!$H$13:$H$14</c:f>
              <c:strCache>
                <c:ptCount val="2"/>
                <c:pt idx="0">
                  <c:v>4</c:v>
                </c:pt>
                <c:pt idx="1">
                  <c:v>Summer weekday</c:v>
                </c:pt>
              </c:strCache>
            </c:strRef>
          </c:tx>
          <c:spPr>
            <a:ln w="31750" cap="rnd">
              <a:solidFill>
                <a:schemeClr val="accent4"/>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Day'!$H$209:$H$232</c:f>
              <c:numCache>
                <c:formatCode>0</c:formatCode>
                <c:ptCount val="24"/>
                <c:pt idx="0">
                  <c:v>90.11</c:v>
                </c:pt>
                <c:pt idx="1">
                  <c:v>80.45</c:v>
                </c:pt>
                <c:pt idx="2">
                  <c:v>79.91</c:v>
                </c:pt>
                <c:pt idx="3">
                  <c:v>79.290000000000006</c:v>
                </c:pt>
                <c:pt idx="4">
                  <c:v>83.38</c:v>
                </c:pt>
                <c:pt idx="5">
                  <c:v>91.38</c:v>
                </c:pt>
                <c:pt idx="6">
                  <c:v>115.6</c:v>
                </c:pt>
                <c:pt idx="7">
                  <c:v>110.72</c:v>
                </c:pt>
                <c:pt idx="8">
                  <c:v>98.4</c:v>
                </c:pt>
                <c:pt idx="9">
                  <c:v>81.430000000000007</c:v>
                </c:pt>
                <c:pt idx="10">
                  <c:v>70</c:v>
                </c:pt>
                <c:pt idx="11">
                  <c:v>58.75</c:v>
                </c:pt>
                <c:pt idx="12">
                  <c:v>44.34</c:v>
                </c:pt>
                <c:pt idx="13">
                  <c:v>36.5</c:v>
                </c:pt>
                <c:pt idx="14">
                  <c:v>36.200000000000003</c:v>
                </c:pt>
                <c:pt idx="15">
                  <c:v>42.54</c:v>
                </c:pt>
                <c:pt idx="16">
                  <c:v>63.79</c:v>
                </c:pt>
                <c:pt idx="17">
                  <c:v>77.34</c:v>
                </c:pt>
                <c:pt idx="18">
                  <c:v>91.61</c:v>
                </c:pt>
                <c:pt idx="19">
                  <c:v>121.02</c:v>
                </c:pt>
                <c:pt idx="20">
                  <c:v>190.46</c:v>
                </c:pt>
                <c:pt idx="21">
                  <c:v>120</c:v>
                </c:pt>
                <c:pt idx="22">
                  <c:v>106.86</c:v>
                </c:pt>
                <c:pt idx="23">
                  <c:v>91.55</c:v>
                </c:pt>
              </c:numCache>
            </c:numRef>
          </c:val>
          <c:smooth val="0"/>
          <c:extLst>
            <c:ext xmlns:c16="http://schemas.microsoft.com/office/drawing/2014/chart" uri="{C3380CC4-5D6E-409C-BE32-E72D297353CC}">
              <c16:uniqueId val="{00000003-E5A7-4E32-B074-4AAEF24C66C3}"/>
            </c:ext>
          </c:extLst>
        </c:ser>
        <c:ser>
          <c:idx val="4"/>
          <c:order val="4"/>
          <c:tx>
            <c:strRef>
              <c:f>'Definition of Typical Day'!$I$13:$I$14</c:f>
              <c:strCache>
                <c:ptCount val="2"/>
                <c:pt idx="0">
                  <c:v>5</c:v>
                </c:pt>
                <c:pt idx="1">
                  <c:v>Summer weekend</c:v>
                </c:pt>
              </c:strCache>
            </c:strRef>
          </c:tx>
          <c:spPr>
            <a:ln w="31750" cap="rnd">
              <a:solidFill>
                <a:schemeClr val="accent5"/>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Day'!$I$209:$I$232</c:f>
              <c:numCache>
                <c:formatCode>0</c:formatCode>
                <c:ptCount val="24"/>
                <c:pt idx="0">
                  <c:v>90.49</c:v>
                </c:pt>
                <c:pt idx="1">
                  <c:v>79.25</c:v>
                </c:pt>
                <c:pt idx="2">
                  <c:v>71.239999999999995</c:v>
                </c:pt>
                <c:pt idx="3">
                  <c:v>70.67</c:v>
                </c:pt>
                <c:pt idx="4">
                  <c:v>66.94</c:v>
                </c:pt>
                <c:pt idx="5">
                  <c:v>62.09</c:v>
                </c:pt>
                <c:pt idx="6">
                  <c:v>57.9</c:v>
                </c:pt>
                <c:pt idx="7">
                  <c:v>46.35</c:v>
                </c:pt>
                <c:pt idx="8">
                  <c:v>19.77</c:v>
                </c:pt>
                <c:pt idx="9">
                  <c:v>4.24</c:v>
                </c:pt>
                <c:pt idx="10">
                  <c:v>0</c:v>
                </c:pt>
                <c:pt idx="11">
                  <c:v>-0.05</c:v>
                </c:pt>
                <c:pt idx="12">
                  <c:v>-0.1</c:v>
                </c:pt>
                <c:pt idx="13">
                  <c:v>-1.05</c:v>
                </c:pt>
                <c:pt idx="14">
                  <c:v>-2.21</c:v>
                </c:pt>
                <c:pt idx="15">
                  <c:v>-2.0499999999999998</c:v>
                </c:pt>
                <c:pt idx="16">
                  <c:v>-0.27</c:v>
                </c:pt>
                <c:pt idx="17">
                  <c:v>22.61</c:v>
                </c:pt>
                <c:pt idx="18">
                  <c:v>71.12</c:v>
                </c:pt>
                <c:pt idx="19">
                  <c:v>99.5</c:v>
                </c:pt>
                <c:pt idx="20">
                  <c:v>115.14</c:v>
                </c:pt>
                <c:pt idx="21">
                  <c:v>115.44</c:v>
                </c:pt>
                <c:pt idx="22">
                  <c:v>114.33</c:v>
                </c:pt>
                <c:pt idx="23">
                  <c:v>99.79</c:v>
                </c:pt>
              </c:numCache>
            </c:numRef>
          </c:val>
          <c:smooth val="0"/>
          <c:extLst>
            <c:ext xmlns:c16="http://schemas.microsoft.com/office/drawing/2014/chart" uri="{C3380CC4-5D6E-409C-BE32-E72D297353CC}">
              <c16:uniqueId val="{00000004-E5A7-4E32-B074-4AAEF24C66C3}"/>
            </c:ext>
          </c:extLst>
        </c:ser>
        <c:ser>
          <c:idx val="5"/>
          <c:order val="5"/>
          <c:tx>
            <c:strRef>
              <c:f>'Definition of Typical Day'!$J$13:$J$14</c:f>
              <c:strCache>
                <c:ptCount val="2"/>
                <c:pt idx="0">
                  <c:v>6</c:v>
                </c:pt>
                <c:pt idx="1">
                  <c:v>Maintenance of HP</c:v>
                </c:pt>
              </c:strCache>
            </c:strRef>
          </c:tx>
          <c:spPr>
            <a:ln w="31750" cap="rnd">
              <a:solidFill>
                <a:schemeClr val="accent6"/>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Day'!$J$209:$J$232</c:f>
              <c:numCache>
                <c:formatCode>0</c:formatCode>
                <c:ptCount val="24"/>
                <c:pt idx="0">
                  <c:v>85.97999999999999</c:v>
                </c:pt>
                <c:pt idx="1">
                  <c:v>75.52000000000001</c:v>
                </c:pt>
                <c:pt idx="2">
                  <c:v>74.72</c:v>
                </c:pt>
                <c:pt idx="3">
                  <c:v>71.844999999999999</c:v>
                </c:pt>
                <c:pt idx="4">
                  <c:v>73.63</c:v>
                </c:pt>
                <c:pt idx="5">
                  <c:v>77.5</c:v>
                </c:pt>
                <c:pt idx="6">
                  <c:v>90.015000000000001</c:v>
                </c:pt>
                <c:pt idx="7">
                  <c:v>85.625</c:v>
                </c:pt>
                <c:pt idx="8">
                  <c:v>79.64</c:v>
                </c:pt>
                <c:pt idx="9">
                  <c:v>68.405000000000001</c:v>
                </c:pt>
                <c:pt idx="10">
                  <c:v>51.495000000000005</c:v>
                </c:pt>
                <c:pt idx="11">
                  <c:v>47.855000000000004</c:v>
                </c:pt>
                <c:pt idx="12">
                  <c:v>25.200000000000003</c:v>
                </c:pt>
                <c:pt idx="13">
                  <c:v>18.39</c:v>
                </c:pt>
                <c:pt idx="14">
                  <c:v>17.650000000000002</c:v>
                </c:pt>
                <c:pt idx="15">
                  <c:v>21.645</c:v>
                </c:pt>
                <c:pt idx="16">
                  <c:v>34.9</c:v>
                </c:pt>
                <c:pt idx="17">
                  <c:v>67.78</c:v>
                </c:pt>
                <c:pt idx="18">
                  <c:v>83.10499999999999</c:v>
                </c:pt>
                <c:pt idx="19">
                  <c:v>105.19</c:v>
                </c:pt>
                <c:pt idx="20">
                  <c:v>142.86000000000001</c:v>
                </c:pt>
                <c:pt idx="21">
                  <c:v>105.535</c:v>
                </c:pt>
                <c:pt idx="22">
                  <c:v>98.134999999999991</c:v>
                </c:pt>
                <c:pt idx="23">
                  <c:v>90.004999999999995</c:v>
                </c:pt>
              </c:numCache>
            </c:numRef>
          </c:val>
          <c:smooth val="0"/>
          <c:extLst>
            <c:ext xmlns:c16="http://schemas.microsoft.com/office/drawing/2014/chart" uri="{C3380CC4-5D6E-409C-BE32-E72D297353CC}">
              <c16:uniqueId val="{00000005-E5A7-4E32-B074-4AAEF24C66C3}"/>
            </c:ext>
          </c:extLst>
        </c:ser>
        <c:ser>
          <c:idx val="6"/>
          <c:order val="6"/>
          <c:tx>
            <c:strRef>
              <c:f>'Definition of Typical Day'!$K$13:$K$14</c:f>
              <c:strCache>
                <c:ptCount val="2"/>
                <c:pt idx="0">
                  <c:v>7</c:v>
                </c:pt>
                <c:pt idx="1">
                  <c:v>7</c:v>
                </c:pt>
              </c:strCache>
            </c:strRef>
          </c:tx>
          <c:spPr>
            <a:ln w="31750" cap="rnd">
              <a:solidFill>
                <a:schemeClr val="accent1">
                  <a:lumMod val="6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Day'!$K$209:$K$232</c:f>
            </c:numRef>
          </c:val>
          <c:smooth val="0"/>
          <c:extLst>
            <c:ext xmlns:c16="http://schemas.microsoft.com/office/drawing/2014/chart" uri="{C3380CC4-5D6E-409C-BE32-E72D297353CC}">
              <c16:uniqueId val="{00000006-E5A7-4E32-B074-4AAEF24C66C3}"/>
            </c:ext>
          </c:extLst>
        </c:ser>
        <c:ser>
          <c:idx val="7"/>
          <c:order val="7"/>
          <c:tx>
            <c:strRef>
              <c:f>'Definition of Typical Day'!$L$13:$L$14</c:f>
              <c:strCache>
                <c:ptCount val="2"/>
                <c:pt idx="0">
                  <c:v>8</c:v>
                </c:pt>
                <c:pt idx="1">
                  <c:v>8</c:v>
                </c:pt>
              </c:strCache>
            </c:strRef>
          </c:tx>
          <c:spPr>
            <a:ln w="31750" cap="rnd">
              <a:solidFill>
                <a:schemeClr val="accent2">
                  <a:lumMod val="6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Day'!$L$209:$L$232</c:f>
            </c:numRef>
          </c:val>
          <c:smooth val="0"/>
          <c:extLst>
            <c:ext xmlns:c16="http://schemas.microsoft.com/office/drawing/2014/chart" uri="{C3380CC4-5D6E-409C-BE32-E72D297353CC}">
              <c16:uniqueId val="{00000007-E5A7-4E32-B074-4AAEF24C66C3}"/>
            </c:ext>
          </c:extLst>
        </c:ser>
        <c:ser>
          <c:idx val="8"/>
          <c:order val="8"/>
          <c:tx>
            <c:strRef>
              <c:f>'Definition of Typical Day'!$M$13:$M$14</c:f>
              <c:strCache>
                <c:ptCount val="2"/>
                <c:pt idx="0">
                  <c:v>9</c:v>
                </c:pt>
                <c:pt idx="1">
                  <c:v>9</c:v>
                </c:pt>
              </c:strCache>
            </c:strRef>
          </c:tx>
          <c:spPr>
            <a:ln w="31750" cap="rnd">
              <a:solidFill>
                <a:schemeClr val="accent3">
                  <a:lumMod val="6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Day'!$M$209:$M$232</c:f>
            </c:numRef>
          </c:val>
          <c:smooth val="0"/>
          <c:extLst>
            <c:ext xmlns:c16="http://schemas.microsoft.com/office/drawing/2014/chart" uri="{C3380CC4-5D6E-409C-BE32-E72D297353CC}">
              <c16:uniqueId val="{00000008-E5A7-4E32-B074-4AAEF24C66C3}"/>
            </c:ext>
          </c:extLst>
        </c:ser>
        <c:ser>
          <c:idx val="9"/>
          <c:order val="9"/>
          <c:tx>
            <c:strRef>
              <c:f>'Definition of Typical Day'!$N$13:$N$14</c:f>
              <c:strCache>
                <c:ptCount val="2"/>
                <c:pt idx="0">
                  <c:v>10</c:v>
                </c:pt>
                <c:pt idx="1">
                  <c:v>10</c:v>
                </c:pt>
              </c:strCache>
            </c:strRef>
          </c:tx>
          <c:spPr>
            <a:ln w="31750" cap="rnd">
              <a:solidFill>
                <a:schemeClr val="accent4">
                  <a:lumMod val="6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Day'!$N$209:$N$232</c:f>
            </c:numRef>
          </c:val>
          <c:smooth val="0"/>
          <c:extLst>
            <c:ext xmlns:c16="http://schemas.microsoft.com/office/drawing/2014/chart" uri="{C3380CC4-5D6E-409C-BE32-E72D297353CC}">
              <c16:uniqueId val="{00000009-E5A7-4E32-B074-4AAEF24C66C3}"/>
            </c:ext>
          </c:extLst>
        </c:ser>
        <c:ser>
          <c:idx val="10"/>
          <c:order val="10"/>
          <c:tx>
            <c:strRef>
              <c:f>'Definition of Typical Day'!$O$13:$O$14</c:f>
              <c:strCache>
                <c:ptCount val="2"/>
                <c:pt idx="0">
                  <c:v>11</c:v>
                </c:pt>
                <c:pt idx="1">
                  <c:v>11</c:v>
                </c:pt>
              </c:strCache>
            </c:strRef>
          </c:tx>
          <c:spPr>
            <a:ln w="31750" cap="rnd">
              <a:solidFill>
                <a:schemeClr val="accent5">
                  <a:lumMod val="6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Day'!$O$209:$O$232</c:f>
            </c:numRef>
          </c:val>
          <c:smooth val="0"/>
          <c:extLst>
            <c:ext xmlns:c16="http://schemas.microsoft.com/office/drawing/2014/chart" uri="{C3380CC4-5D6E-409C-BE32-E72D297353CC}">
              <c16:uniqueId val="{0000000A-E5A7-4E32-B074-4AAEF24C66C3}"/>
            </c:ext>
          </c:extLst>
        </c:ser>
        <c:ser>
          <c:idx val="11"/>
          <c:order val="11"/>
          <c:tx>
            <c:strRef>
              <c:f>'Definition of Typical Day'!$P$13:$P$14</c:f>
              <c:strCache>
                <c:ptCount val="2"/>
                <c:pt idx="0">
                  <c:v>12</c:v>
                </c:pt>
                <c:pt idx="1">
                  <c:v>12</c:v>
                </c:pt>
              </c:strCache>
            </c:strRef>
          </c:tx>
          <c:spPr>
            <a:ln w="31750" cap="rnd">
              <a:solidFill>
                <a:schemeClr val="accent6">
                  <a:lumMod val="6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Day'!$P$209:$P$232</c:f>
            </c:numRef>
          </c:val>
          <c:smooth val="0"/>
          <c:extLst>
            <c:ext xmlns:c16="http://schemas.microsoft.com/office/drawing/2014/chart" uri="{C3380CC4-5D6E-409C-BE32-E72D297353CC}">
              <c16:uniqueId val="{0000000B-E5A7-4E32-B074-4AAEF24C66C3}"/>
            </c:ext>
          </c:extLst>
        </c:ser>
        <c:ser>
          <c:idx val="12"/>
          <c:order val="12"/>
          <c:tx>
            <c:strRef>
              <c:f>'Definition of Typical Day'!$Q$13:$Q$14</c:f>
              <c:strCache>
                <c:ptCount val="2"/>
                <c:pt idx="0">
                  <c:v>13</c:v>
                </c:pt>
                <c:pt idx="1">
                  <c:v>13</c:v>
                </c:pt>
              </c:strCache>
            </c:strRef>
          </c:tx>
          <c:spPr>
            <a:ln w="31750" cap="rnd">
              <a:solidFill>
                <a:schemeClr val="accent1">
                  <a:lumMod val="80000"/>
                  <a:lumOff val="2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Day'!$Q$209:$Q$232</c:f>
            </c:numRef>
          </c:val>
          <c:smooth val="0"/>
          <c:extLst>
            <c:ext xmlns:c16="http://schemas.microsoft.com/office/drawing/2014/chart" uri="{C3380CC4-5D6E-409C-BE32-E72D297353CC}">
              <c16:uniqueId val="{0000000C-E5A7-4E32-B074-4AAEF24C66C3}"/>
            </c:ext>
          </c:extLst>
        </c:ser>
        <c:ser>
          <c:idx val="13"/>
          <c:order val="13"/>
          <c:tx>
            <c:strRef>
              <c:f>'Definition of Typical Day'!$R$13:$R$14</c:f>
              <c:strCache>
                <c:ptCount val="2"/>
                <c:pt idx="0">
                  <c:v>14</c:v>
                </c:pt>
                <c:pt idx="1">
                  <c:v>14</c:v>
                </c:pt>
              </c:strCache>
            </c:strRef>
          </c:tx>
          <c:spPr>
            <a:ln w="31750" cap="rnd">
              <a:solidFill>
                <a:schemeClr val="accent2">
                  <a:lumMod val="80000"/>
                  <a:lumOff val="2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Day'!$R$209:$R$232</c:f>
            </c:numRef>
          </c:val>
          <c:smooth val="0"/>
          <c:extLst>
            <c:ext xmlns:c16="http://schemas.microsoft.com/office/drawing/2014/chart" uri="{C3380CC4-5D6E-409C-BE32-E72D297353CC}">
              <c16:uniqueId val="{0000000D-E5A7-4E32-B074-4AAEF24C66C3}"/>
            </c:ext>
          </c:extLst>
        </c:ser>
        <c:ser>
          <c:idx val="14"/>
          <c:order val="14"/>
          <c:tx>
            <c:strRef>
              <c:f>'Definition of Typical Day'!$S$13:$S$14</c:f>
              <c:strCache>
                <c:ptCount val="2"/>
                <c:pt idx="0">
                  <c:v>15</c:v>
                </c:pt>
                <c:pt idx="1">
                  <c:v>15</c:v>
                </c:pt>
              </c:strCache>
            </c:strRef>
          </c:tx>
          <c:spPr>
            <a:ln w="31750" cap="rnd">
              <a:solidFill>
                <a:schemeClr val="accent3">
                  <a:lumMod val="80000"/>
                  <a:lumOff val="2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Day'!$S$209:$S$232</c:f>
            </c:numRef>
          </c:val>
          <c:smooth val="0"/>
          <c:extLst>
            <c:ext xmlns:c16="http://schemas.microsoft.com/office/drawing/2014/chart" uri="{C3380CC4-5D6E-409C-BE32-E72D297353CC}">
              <c16:uniqueId val="{0000000E-E5A7-4E32-B074-4AAEF24C66C3}"/>
            </c:ext>
          </c:extLst>
        </c:ser>
        <c:ser>
          <c:idx val="15"/>
          <c:order val="15"/>
          <c:tx>
            <c:strRef>
              <c:f>'Definition of Typical Day'!$T$13:$T$14</c:f>
              <c:strCache>
                <c:ptCount val="2"/>
                <c:pt idx="0">
                  <c:v>16</c:v>
                </c:pt>
                <c:pt idx="1">
                  <c:v>16</c:v>
                </c:pt>
              </c:strCache>
            </c:strRef>
          </c:tx>
          <c:spPr>
            <a:ln w="31750" cap="rnd">
              <a:solidFill>
                <a:schemeClr val="accent4">
                  <a:lumMod val="80000"/>
                  <a:lumOff val="2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Day'!$T$209:$T$232</c:f>
            </c:numRef>
          </c:val>
          <c:smooth val="0"/>
          <c:extLst>
            <c:ext xmlns:c16="http://schemas.microsoft.com/office/drawing/2014/chart" uri="{C3380CC4-5D6E-409C-BE32-E72D297353CC}">
              <c16:uniqueId val="{0000000F-E5A7-4E32-B074-4AAEF24C66C3}"/>
            </c:ext>
          </c:extLst>
        </c:ser>
        <c:ser>
          <c:idx val="16"/>
          <c:order val="16"/>
          <c:tx>
            <c:strRef>
              <c:f>'Definition of Typical Day'!$U$13:$U$14</c:f>
              <c:strCache>
                <c:ptCount val="2"/>
                <c:pt idx="0">
                  <c:v>17</c:v>
                </c:pt>
                <c:pt idx="1">
                  <c:v>17</c:v>
                </c:pt>
              </c:strCache>
            </c:strRef>
          </c:tx>
          <c:spPr>
            <a:ln w="31750" cap="rnd">
              <a:solidFill>
                <a:schemeClr val="accent5">
                  <a:lumMod val="80000"/>
                  <a:lumOff val="2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Day'!$U$209:$U$232</c:f>
            </c:numRef>
          </c:val>
          <c:smooth val="0"/>
          <c:extLst>
            <c:ext xmlns:c16="http://schemas.microsoft.com/office/drawing/2014/chart" uri="{C3380CC4-5D6E-409C-BE32-E72D297353CC}">
              <c16:uniqueId val="{00000010-E5A7-4E32-B074-4AAEF24C66C3}"/>
            </c:ext>
          </c:extLst>
        </c:ser>
        <c:ser>
          <c:idx val="17"/>
          <c:order val="17"/>
          <c:tx>
            <c:strRef>
              <c:f>'Definition of Typical Day'!$V$13:$V$14</c:f>
              <c:strCache>
                <c:ptCount val="2"/>
                <c:pt idx="0">
                  <c:v>18</c:v>
                </c:pt>
                <c:pt idx="1">
                  <c:v>18</c:v>
                </c:pt>
              </c:strCache>
            </c:strRef>
          </c:tx>
          <c:spPr>
            <a:ln w="31750" cap="rnd">
              <a:solidFill>
                <a:schemeClr val="accent6">
                  <a:lumMod val="80000"/>
                  <a:lumOff val="2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Day'!$V$209:$V$232</c:f>
            </c:numRef>
          </c:val>
          <c:smooth val="0"/>
          <c:extLst>
            <c:ext xmlns:c16="http://schemas.microsoft.com/office/drawing/2014/chart" uri="{C3380CC4-5D6E-409C-BE32-E72D297353CC}">
              <c16:uniqueId val="{00000011-E5A7-4E32-B074-4AAEF24C66C3}"/>
            </c:ext>
          </c:extLst>
        </c:ser>
        <c:ser>
          <c:idx val="18"/>
          <c:order val="18"/>
          <c:tx>
            <c:strRef>
              <c:f>'Definition of Typical Day'!$W$13:$W$14</c:f>
              <c:strCache>
                <c:ptCount val="2"/>
                <c:pt idx="0">
                  <c:v>19</c:v>
                </c:pt>
                <c:pt idx="1">
                  <c:v>19</c:v>
                </c:pt>
              </c:strCache>
            </c:strRef>
          </c:tx>
          <c:spPr>
            <a:ln w="31750" cap="rnd">
              <a:solidFill>
                <a:schemeClr val="accent1">
                  <a:lumMod val="8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Day'!$W$209:$W$232</c:f>
            </c:numRef>
          </c:val>
          <c:smooth val="0"/>
          <c:extLst>
            <c:ext xmlns:c16="http://schemas.microsoft.com/office/drawing/2014/chart" uri="{C3380CC4-5D6E-409C-BE32-E72D297353CC}">
              <c16:uniqueId val="{00000012-E5A7-4E32-B074-4AAEF24C66C3}"/>
            </c:ext>
          </c:extLst>
        </c:ser>
        <c:ser>
          <c:idx val="19"/>
          <c:order val="19"/>
          <c:tx>
            <c:strRef>
              <c:f>'Definition of Typical Day'!$X$13:$X$14</c:f>
              <c:strCache>
                <c:ptCount val="2"/>
                <c:pt idx="0">
                  <c:v>20</c:v>
                </c:pt>
                <c:pt idx="1">
                  <c:v>20</c:v>
                </c:pt>
              </c:strCache>
            </c:strRef>
          </c:tx>
          <c:spPr>
            <a:ln w="31750" cap="rnd">
              <a:solidFill>
                <a:schemeClr val="accent2">
                  <a:lumMod val="80000"/>
                </a:schemeClr>
              </a:solidFill>
              <a:round/>
            </a:ln>
            <a:effectLst/>
          </c:spPr>
          <c:marker>
            <c:symbol val="none"/>
          </c:marker>
          <c:cat>
            <c:numRef>
              <c:f>'Definition of Typical Day'!$D$209:$D$232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Day'!$X$209:$X$232</c:f>
            </c:numRef>
          </c:val>
          <c:smooth val="0"/>
          <c:extLst>
            <c:ext xmlns:c16="http://schemas.microsoft.com/office/drawing/2014/chart" uri="{C3380CC4-5D6E-409C-BE32-E72D297353CC}">
              <c16:uniqueId val="{00000013-E5A7-4E32-B074-4AAEF24C66C3}"/>
            </c:ext>
          </c:extLst>
        </c:ser>
        <c:dLbls>
          <c:showLegendKey val="0"/>
          <c:showVal val="0"/>
          <c:showCatName val="0"/>
          <c:showSerName val="0"/>
          <c:showPercent val="0"/>
          <c:showBubbleSize val="0"/>
        </c:dLbls>
        <c:smooth val="0"/>
        <c:axId val="1076580768"/>
        <c:axId val="1076583168"/>
      </c:lineChart>
      <c:catAx>
        <c:axId val="1076580768"/>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Hour of the day</a:t>
                </a:r>
              </a:p>
            </c:rich>
          </c:tx>
          <c:overlay val="0"/>
          <c:spPr>
            <a:noFill/>
            <a:ln>
              <a:noFill/>
            </a:ln>
            <a:effectLst/>
          </c:spPr>
          <c:txPr>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3168"/>
        <c:crosses val="autoZero"/>
        <c:auto val="1"/>
        <c:lblAlgn val="ctr"/>
        <c:lblOffset val="100"/>
        <c:noMultiLvlLbl val="0"/>
      </c:catAx>
      <c:valAx>
        <c:axId val="1076583168"/>
        <c:scaling>
          <c:orientation val="minMax"/>
        </c:scaling>
        <c:delete val="0"/>
        <c:axPos val="l"/>
        <c:majorGridlines>
          <c:spPr>
            <a:ln w="9525" cap="flat" cmpd="sng" algn="ctr">
              <a:solidFill>
                <a:schemeClr val="tx2">
                  <a:lumMod val="15000"/>
                  <a:lumOff val="85000"/>
                </a:schemeClr>
              </a:solidFill>
              <a:round/>
            </a:ln>
            <a:effectLst/>
          </c:spPr>
        </c:majorGridlines>
        <c:title>
          <c:tx>
            <c:strRef>
              <c:f>'Definition of Typical Day'!$E$207:$X$207</c:f>
              <c:strCache>
                <c:ptCount val="20"/>
                <c:pt idx="0">
                  <c:v>EUR/MWh_elec</c:v>
                </c:pt>
              </c:strCache>
            </c:strRef>
          </c:tx>
          <c:layout>
            <c:manualLayout>
              <c:xMode val="edge"/>
              <c:yMode val="edge"/>
              <c:x val="2.0241424017999061E-2"/>
              <c:y val="0.33944974509100762"/>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07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'Definition of Typical Day'!$E$235:$X$235</c:f>
          <c:strCache>
            <c:ptCount val="20"/>
            <c:pt idx="0">
              <c:v>Energy price for energy used by booster</c:v>
            </c:pt>
          </c:strCache>
        </c:strRef>
      </c:tx>
      <c:overlay val="1"/>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0.11883305831329642"/>
          <c:y val="0.14325829713384769"/>
          <c:w val="0.63041971052552681"/>
          <c:h val="0.72355350315395794"/>
        </c:manualLayout>
      </c:layout>
      <c:lineChart>
        <c:grouping val="standard"/>
        <c:varyColors val="0"/>
        <c:ser>
          <c:idx val="0"/>
          <c:order val="0"/>
          <c:tx>
            <c:strRef>
              <c:f>'Definition of Typical Day'!$E$13:$E$14</c:f>
              <c:strCache>
                <c:ptCount val="2"/>
                <c:pt idx="0">
                  <c:v>1</c:v>
                </c:pt>
                <c:pt idx="1">
                  <c:v>Winter day</c:v>
                </c:pt>
              </c:strCache>
            </c:strRef>
          </c:tx>
          <c:spPr>
            <a:ln w="31750" cap="rnd">
              <a:solidFill>
                <a:schemeClr val="accent1"/>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Day'!$E$238:$E$261</c:f>
              <c:numCache>
                <c:formatCode>0</c:formatCode>
                <c:ptCount val="24"/>
                <c:pt idx="0">
                  <c:v>66</c:v>
                </c:pt>
                <c:pt idx="1">
                  <c:v>63.45</c:v>
                </c:pt>
                <c:pt idx="2">
                  <c:v>63.54</c:v>
                </c:pt>
                <c:pt idx="3">
                  <c:v>61.82</c:v>
                </c:pt>
                <c:pt idx="4">
                  <c:v>61.85</c:v>
                </c:pt>
                <c:pt idx="5">
                  <c:v>61.75</c:v>
                </c:pt>
                <c:pt idx="6">
                  <c:v>62.59</c:v>
                </c:pt>
                <c:pt idx="7">
                  <c:v>66.900000000000006</c:v>
                </c:pt>
                <c:pt idx="8">
                  <c:v>74.819999999999993</c:v>
                </c:pt>
                <c:pt idx="9">
                  <c:v>77.900000000000006</c:v>
                </c:pt>
                <c:pt idx="10">
                  <c:v>71.8</c:v>
                </c:pt>
                <c:pt idx="11">
                  <c:v>70.77</c:v>
                </c:pt>
                <c:pt idx="12">
                  <c:v>67.73</c:v>
                </c:pt>
                <c:pt idx="13">
                  <c:v>68.78</c:v>
                </c:pt>
                <c:pt idx="14">
                  <c:v>73.39</c:v>
                </c:pt>
                <c:pt idx="15">
                  <c:v>79.11</c:v>
                </c:pt>
                <c:pt idx="16">
                  <c:v>87.8</c:v>
                </c:pt>
                <c:pt idx="17">
                  <c:v>94.93</c:v>
                </c:pt>
                <c:pt idx="18">
                  <c:v>99.87</c:v>
                </c:pt>
                <c:pt idx="19">
                  <c:v>91.57</c:v>
                </c:pt>
                <c:pt idx="20">
                  <c:v>81.97</c:v>
                </c:pt>
                <c:pt idx="21">
                  <c:v>75.739999999999995</c:v>
                </c:pt>
                <c:pt idx="22">
                  <c:v>74.680000000000007</c:v>
                </c:pt>
                <c:pt idx="23">
                  <c:v>69.13</c:v>
                </c:pt>
              </c:numCache>
            </c:numRef>
          </c:val>
          <c:smooth val="0"/>
          <c:extLst>
            <c:ext xmlns:c16="http://schemas.microsoft.com/office/drawing/2014/chart" uri="{C3380CC4-5D6E-409C-BE32-E72D297353CC}">
              <c16:uniqueId val="{00000000-656B-435A-AC12-E4694268CCD5}"/>
            </c:ext>
          </c:extLst>
        </c:ser>
        <c:ser>
          <c:idx val="1"/>
          <c:order val="1"/>
          <c:tx>
            <c:strRef>
              <c:f>'Definition of Typical Day'!$F$13:$F$14</c:f>
              <c:strCache>
                <c:ptCount val="2"/>
                <c:pt idx="0">
                  <c:v>2</c:v>
                </c:pt>
                <c:pt idx="1">
                  <c:v>Spring / fall weekday</c:v>
                </c:pt>
              </c:strCache>
            </c:strRef>
          </c:tx>
          <c:spPr>
            <a:ln w="31750" cap="rnd">
              <a:solidFill>
                <a:schemeClr val="accent2"/>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Day'!$F$238:$F$261</c:f>
              <c:numCache>
                <c:formatCode>0</c:formatCode>
                <c:ptCount val="24"/>
                <c:pt idx="0">
                  <c:v>71</c:v>
                </c:pt>
                <c:pt idx="1">
                  <c:v>70.7</c:v>
                </c:pt>
                <c:pt idx="2">
                  <c:v>70.459999999999994</c:v>
                </c:pt>
                <c:pt idx="3">
                  <c:v>69.739999999999995</c:v>
                </c:pt>
                <c:pt idx="4">
                  <c:v>70.459999999999994</c:v>
                </c:pt>
                <c:pt idx="5">
                  <c:v>73.91</c:v>
                </c:pt>
                <c:pt idx="6">
                  <c:v>83.98</c:v>
                </c:pt>
                <c:pt idx="7">
                  <c:v>106.64</c:v>
                </c:pt>
                <c:pt idx="8">
                  <c:v>108.7</c:v>
                </c:pt>
                <c:pt idx="9">
                  <c:v>87.21</c:v>
                </c:pt>
                <c:pt idx="10">
                  <c:v>75.92</c:v>
                </c:pt>
                <c:pt idx="11">
                  <c:v>72.02</c:v>
                </c:pt>
                <c:pt idx="12">
                  <c:v>69.349999999999994</c:v>
                </c:pt>
                <c:pt idx="13">
                  <c:v>69.290000000000006</c:v>
                </c:pt>
                <c:pt idx="14">
                  <c:v>70.64</c:v>
                </c:pt>
                <c:pt idx="15">
                  <c:v>72.260000000000005</c:v>
                </c:pt>
                <c:pt idx="16">
                  <c:v>81.06</c:v>
                </c:pt>
                <c:pt idx="17">
                  <c:v>100</c:v>
                </c:pt>
                <c:pt idx="18">
                  <c:v>119.58</c:v>
                </c:pt>
                <c:pt idx="19">
                  <c:v>119.25</c:v>
                </c:pt>
                <c:pt idx="20">
                  <c:v>93.4</c:v>
                </c:pt>
                <c:pt idx="21">
                  <c:v>80.150000000000006</c:v>
                </c:pt>
                <c:pt idx="22">
                  <c:v>77.98</c:v>
                </c:pt>
                <c:pt idx="23">
                  <c:v>74.34</c:v>
                </c:pt>
              </c:numCache>
            </c:numRef>
          </c:val>
          <c:smooth val="0"/>
          <c:extLst>
            <c:ext xmlns:c16="http://schemas.microsoft.com/office/drawing/2014/chart" uri="{C3380CC4-5D6E-409C-BE32-E72D297353CC}">
              <c16:uniqueId val="{00000001-656B-435A-AC12-E4694268CCD5}"/>
            </c:ext>
          </c:extLst>
        </c:ser>
        <c:ser>
          <c:idx val="2"/>
          <c:order val="2"/>
          <c:tx>
            <c:strRef>
              <c:f>'Definition of Typical Day'!$G$13:$G$14</c:f>
              <c:strCache>
                <c:ptCount val="2"/>
                <c:pt idx="0">
                  <c:v>3</c:v>
                </c:pt>
                <c:pt idx="1">
                  <c:v>Spring / fall weekend</c:v>
                </c:pt>
              </c:strCache>
            </c:strRef>
          </c:tx>
          <c:spPr>
            <a:ln w="31750" cap="rnd">
              <a:solidFill>
                <a:schemeClr val="accent3"/>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Day'!$G$238:$G$261</c:f>
              <c:numCache>
                <c:formatCode>0</c:formatCode>
                <c:ptCount val="24"/>
                <c:pt idx="0">
                  <c:v>81.849999999999994</c:v>
                </c:pt>
                <c:pt idx="1">
                  <c:v>70.59</c:v>
                </c:pt>
                <c:pt idx="2">
                  <c:v>69.53</c:v>
                </c:pt>
                <c:pt idx="3">
                  <c:v>64.400000000000006</c:v>
                </c:pt>
                <c:pt idx="4">
                  <c:v>63.88</c:v>
                </c:pt>
                <c:pt idx="5">
                  <c:v>63.62</c:v>
                </c:pt>
                <c:pt idx="6">
                  <c:v>64.430000000000007</c:v>
                </c:pt>
                <c:pt idx="7">
                  <c:v>60.53</c:v>
                </c:pt>
                <c:pt idx="8">
                  <c:v>60.88</c:v>
                </c:pt>
                <c:pt idx="9">
                  <c:v>55.38</c:v>
                </c:pt>
                <c:pt idx="10">
                  <c:v>32.99</c:v>
                </c:pt>
                <c:pt idx="11">
                  <c:v>36.96</c:v>
                </c:pt>
                <c:pt idx="12">
                  <c:v>6.06</c:v>
                </c:pt>
                <c:pt idx="13">
                  <c:v>0.28000000000000003</c:v>
                </c:pt>
                <c:pt idx="14">
                  <c:v>-0.9</c:v>
                </c:pt>
                <c:pt idx="15">
                  <c:v>0.75</c:v>
                </c:pt>
                <c:pt idx="16">
                  <c:v>6.01</c:v>
                </c:pt>
                <c:pt idx="17">
                  <c:v>58.22</c:v>
                </c:pt>
                <c:pt idx="18">
                  <c:v>74.599999999999994</c:v>
                </c:pt>
                <c:pt idx="19">
                  <c:v>89.36</c:v>
                </c:pt>
                <c:pt idx="20">
                  <c:v>95.26</c:v>
                </c:pt>
                <c:pt idx="21">
                  <c:v>91.07</c:v>
                </c:pt>
                <c:pt idx="22">
                  <c:v>89.41</c:v>
                </c:pt>
                <c:pt idx="23">
                  <c:v>88.46</c:v>
                </c:pt>
              </c:numCache>
            </c:numRef>
          </c:val>
          <c:smooth val="0"/>
          <c:extLst>
            <c:ext xmlns:c16="http://schemas.microsoft.com/office/drawing/2014/chart" uri="{C3380CC4-5D6E-409C-BE32-E72D297353CC}">
              <c16:uniqueId val="{00000002-656B-435A-AC12-E4694268CCD5}"/>
            </c:ext>
          </c:extLst>
        </c:ser>
        <c:ser>
          <c:idx val="3"/>
          <c:order val="3"/>
          <c:tx>
            <c:strRef>
              <c:f>'Definition of Typical Day'!$H$13:$H$14</c:f>
              <c:strCache>
                <c:ptCount val="2"/>
                <c:pt idx="0">
                  <c:v>4</c:v>
                </c:pt>
                <c:pt idx="1">
                  <c:v>Summer weekday</c:v>
                </c:pt>
              </c:strCache>
            </c:strRef>
          </c:tx>
          <c:spPr>
            <a:ln w="31750" cap="rnd">
              <a:solidFill>
                <a:schemeClr val="accent4"/>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Day'!$H$238:$H$261</c:f>
              <c:numCache>
                <c:formatCode>0</c:formatCode>
                <c:ptCount val="24"/>
                <c:pt idx="0">
                  <c:v>90.11</c:v>
                </c:pt>
                <c:pt idx="1">
                  <c:v>80.45</c:v>
                </c:pt>
                <c:pt idx="2">
                  <c:v>79.91</c:v>
                </c:pt>
                <c:pt idx="3">
                  <c:v>79.290000000000006</c:v>
                </c:pt>
                <c:pt idx="4">
                  <c:v>83.38</c:v>
                </c:pt>
                <c:pt idx="5">
                  <c:v>91.38</c:v>
                </c:pt>
                <c:pt idx="6">
                  <c:v>115.6</c:v>
                </c:pt>
                <c:pt idx="7">
                  <c:v>110.72</c:v>
                </c:pt>
                <c:pt idx="8">
                  <c:v>98.4</c:v>
                </c:pt>
                <c:pt idx="9">
                  <c:v>81.430000000000007</c:v>
                </c:pt>
                <c:pt idx="10">
                  <c:v>70</c:v>
                </c:pt>
                <c:pt idx="11">
                  <c:v>58.75</c:v>
                </c:pt>
                <c:pt idx="12">
                  <c:v>44.34</c:v>
                </c:pt>
                <c:pt idx="13">
                  <c:v>36.5</c:v>
                </c:pt>
                <c:pt idx="14">
                  <c:v>36.200000000000003</c:v>
                </c:pt>
                <c:pt idx="15">
                  <c:v>42.54</c:v>
                </c:pt>
                <c:pt idx="16">
                  <c:v>63.79</c:v>
                </c:pt>
                <c:pt idx="17">
                  <c:v>77.34</c:v>
                </c:pt>
                <c:pt idx="18">
                  <c:v>91.61</c:v>
                </c:pt>
                <c:pt idx="19">
                  <c:v>121.02</c:v>
                </c:pt>
                <c:pt idx="20">
                  <c:v>190.46</c:v>
                </c:pt>
                <c:pt idx="21">
                  <c:v>120</c:v>
                </c:pt>
                <c:pt idx="22">
                  <c:v>106.86</c:v>
                </c:pt>
                <c:pt idx="23">
                  <c:v>91.55</c:v>
                </c:pt>
              </c:numCache>
            </c:numRef>
          </c:val>
          <c:smooth val="0"/>
          <c:extLst>
            <c:ext xmlns:c16="http://schemas.microsoft.com/office/drawing/2014/chart" uri="{C3380CC4-5D6E-409C-BE32-E72D297353CC}">
              <c16:uniqueId val="{00000003-656B-435A-AC12-E4694268CCD5}"/>
            </c:ext>
          </c:extLst>
        </c:ser>
        <c:ser>
          <c:idx val="4"/>
          <c:order val="4"/>
          <c:tx>
            <c:strRef>
              <c:f>'Definition of Typical Day'!$I$13:$I$14</c:f>
              <c:strCache>
                <c:ptCount val="2"/>
                <c:pt idx="0">
                  <c:v>5</c:v>
                </c:pt>
                <c:pt idx="1">
                  <c:v>Summer weekend</c:v>
                </c:pt>
              </c:strCache>
            </c:strRef>
          </c:tx>
          <c:spPr>
            <a:ln w="31750" cap="rnd">
              <a:solidFill>
                <a:schemeClr val="accent5"/>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Day'!$I$238:$I$261</c:f>
              <c:numCache>
                <c:formatCode>0</c:formatCode>
                <c:ptCount val="24"/>
                <c:pt idx="0">
                  <c:v>90.49</c:v>
                </c:pt>
                <c:pt idx="1">
                  <c:v>79.25</c:v>
                </c:pt>
                <c:pt idx="2">
                  <c:v>71.239999999999995</c:v>
                </c:pt>
                <c:pt idx="3">
                  <c:v>70.67</c:v>
                </c:pt>
                <c:pt idx="4">
                  <c:v>66.94</c:v>
                </c:pt>
                <c:pt idx="5">
                  <c:v>62.09</c:v>
                </c:pt>
                <c:pt idx="6">
                  <c:v>57.9</c:v>
                </c:pt>
                <c:pt idx="7">
                  <c:v>46.35</c:v>
                </c:pt>
                <c:pt idx="8">
                  <c:v>19.77</c:v>
                </c:pt>
                <c:pt idx="9">
                  <c:v>4.24</c:v>
                </c:pt>
                <c:pt idx="10">
                  <c:v>0</c:v>
                </c:pt>
                <c:pt idx="11">
                  <c:v>-0.05</c:v>
                </c:pt>
                <c:pt idx="12">
                  <c:v>-0.1</c:v>
                </c:pt>
                <c:pt idx="13">
                  <c:v>-1.05</c:v>
                </c:pt>
                <c:pt idx="14">
                  <c:v>-2.21</c:v>
                </c:pt>
                <c:pt idx="15">
                  <c:v>-2.0499999999999998</c:v>
                </c:pt>
                <c:pt idx="16">
                  <c:v>-0.27</c:v>
                </c:pt>
                <c:pt idx="17">
                  <c:v>22.61</c:v>
                </c:pt>
                <c:pt idx="18">
                  <c:v>71.12</c:v>
                </c:pt>
                <c:pt idx="19">
                  <c:v>99.5</c:v>
                </c:pt>
                <c:pt idx="20">
                  <c:v>115.14</c:v>
                </c:pt>
                <c:pt idx="21">
                  <c:v>115.44</c:v>
                </c:pt>
                <c:pt idx="22">
                  <c:v>114.33</c:v>
                </c:pt>
                <c:pt idx="23">
                  <c:v>99.79</c:v>
                </c:pt>
              </c:numCache>
            </c:numRef>
          </c:val>
          <c:smooth val="0"/>
          <c:extLst>
            <c:ext xmlns:c16="http://schemas.microsoft.com/office/drawing/2014/chart" uri="{C3380CC4-5D6E-409C-BE32-E72D297353CC}">
              <c16:uniqueId val="{00000004-656B-435A-AC12-E4694268CCD5}"/>
            </c:ext>
          </c:extLst>
        </c:ser>
        <c:ser>
          <c:idx val="5"/>
          <c:order val="5"/>
          <c:tx>
            <c:strRef>
              <c:f>'Definition of Typical Day'!$J$13:$J$14</c:f>
              <c:strCache>
                <c:ptCount val="2"/>
                <c:pt idx="0">
                  <c:v>6</c:v>
                </c:pt>
                <c:pt idx="1">
                  <c:v>Maintenance of HP</c:v>
                </c:pt>
              </c:strCache>
            </c:strRef>
          </c:tx>
          <c:spPr>
            <a:ln w="31750" cap="rnd">
              <a:solidFill>
                <a:schemeClr val="accent6"/>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Day'!$J$238:$J$261</c:f>
              <c:numCache>
                <c:formatCode>0</c:formatCode>
                <c:ptCount val="24"/>
                <c:pt idx="0">
                  <c:v>85.97999999999999</c:v>
                </c:pt>
                <c:pt idx="1">
                  <c:v>75.52000000000001</c:v>
                </c:pt>
                <c:pt idx="2">
                  <c:v>74.72</c:v>
                </c:pt>
                <c:pt idx="3">
                  <c:v>71.844999999999999</c:v>
                </c:pt>
                <c:pt idx="4">
                  <c:v>73.63</c:v>
                </c:pt>
                <c:pt idx="5">
                  <c:v>77.5</c:v>
                </c:pt>
                <c:pt idx="6">
                  <c:v>90.015000000000001</c:v>
                </c:pt>
                <c:pt idx="7">
                  <c:v>85.625</c:v>
                </c:pt>
                <c:pt idx="8">
                  <c:v>79.64</c:v>
                </c:pt>
                <c:pt idx="9">
                  <c:v>68.405000000000001</c:v>
                </c:pt>
                <c:pt idx="10">
                  <c:v>51.495000000000005</c:v>
                </c:pt>
                <c:pt idx="11">
                  <c:v>47.855000000000004</c:v>
                </c:pt>
                <c:pt idx="12">
                  <c:v>25.200000000000003</c:v>
                </c:pt>
                <c:pt idx="13">
                  <c:v>18.39</c:v>
                </c:pt>
                <c:pt idx="14">
                  <c:v>17.650000000000002</c:v>
                </c:pt>
                <c:pt idx="15">
                  <c:v>21.645</c:v>
                </c:pt>
                <c:pt idx="16">
                  <c:v>34.9</c:v>
                </c:pt>
                <c:pt idx="17">
                  <c:v>67.78</c:v>
                </c:pt>
                <c:pt idx="18">
                  <c:v>83.10499999999999</c:v>
                </c:pt>
                <c:pt idx="19">
                  <c:v>105.19</c:v>
                </c:pt>
                <c:pt idx="20">
                  <c:v>142.86000000000001</c:v>
                </c:pt>
                <c:pt idx="21">
                  <c:v>105.535</c:v>
                </c:pt>
                <c:pt idx="22">
                  <c:v>98.134999999999991</c:v>
                </c:pt>
                <c:pt idx="23">
                  <c:v>90.004999999999995</c:v>
                </c:pt>
              </c:numCache>
            </c:numRef>
          </c:val>
          <c:smooth val="0"/>
          <c:extLst>
            <c:ext xmlns:c16="http://schemas.microsoft.com/office/drawing/2014/chart" uri="{C3380CC4-5D6E-409C-BE32-E72D297353CC}">
              <c16:uniqueId val="{00000005-656B-435A-AC12-E4694268CCD5}"/>
            </c:ext>
          </c:extLst>
        </c:ser>
        <c:ser>
          <c:idx val="6"/>
          <c:order val="6"/>
          <c:tx>
            <c:strRef>
              <c:f>'Definition of Typical Day'!$K$13:$K$14</c:f>
              <c:strCache>
                <c:ptCount val="2"/>
                <c:pt idx="0">
                  <c:v>7</c:v>
                </c:pt>
                <c:pt idx="1">
                  <c:v>7</c:v>
                </c:pt>
              </c:strCache>
            </c:strRef>
          </c:tx>
          <c:spPr>
            <a:ln w="31750" cap="rnd">
              <a:solidFill>
                <a:schemeClr val="accent1">
                  <a:lumMod val="6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Day'!$K$238:$K$261</c:f>
            </c:numRef>
          </c:val>
          <c:smooth val="0"/>
          <c:extLst>
            <c:ext xmlns:c16="http://schemas.microsoft.com/office/drawing/2014/chart" uri="{C3380CC4-5D6E-409C-BE32-E72D297353CC}">
              <c16:uniqueId val="{00000006-656B-435A-AC12-E4694268CCD5}"/>
            </c:ext>
          </c:extLst>
        </c:ser>
        <c:ser>
          <c:idx val="7"/>
          <c:order val="7"/>
          <c:tx>
            <c:strRef>
              <c:f>'Definition of Typical Day'!$L$13:$L$14</c:f>
              <c:strCache>
                <c:ptCount val="2"/>
                <c:pt idx="0">
                  <c:v>8</c:v>
                </c:pt>
                <c:pt idx="1">
                  <c:v>8</c:v>
                </c:pt>
              </c:strCache>
            </c:strRef>
          </c:tx>
          <c:spPr>
            <a:ln w="31750" cap="rnd">
              <a:solidFill>
                <a:schemeClr val="accent2">
                  <a:lumMod val="6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Day'!$L$238:$L$261</c:f>
            </c:numRef>
          </c:val>
          <c:smooth val="0"/>
          <c:extLst>
            <c:ext xmlns:c16="http://schemas.microsoft.com/office/drawing/2014/chart" uri="{C3380CC4-5D6E-409C-BE32-E72D297353CC}">
              <c16:uniqueId val="{00000007-656B-435A-AC12-E4694268CCD5}"/>
            </c:ext>
          </c:extLst>
        </c:ser>
        <c:ser>
          <c:idx val="8"/>
          <c:order val="8"/>
          <c:tx>
            <c:strRef>
              <c:f>'Definition of Typical Day'!$M$13:$M$14</c:f>
              <c:strCache>
                <c:ptCount val="2"/>
                <c:pt idx="0">
                  <c:v>9</c:v>
                </c:pt>
                <c:pt idx="1">
                  <c:v>9</c:v>
                </c:pt>
              </c:strCache>
            </c:strRef>
          </c:tx>
          <c:spPr>
            <a:ln w="31750" cap="rnd">
              <a:solidFill>
                <a:schemeClr val="accent3">
                  <a:lumMod val="6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Day'!$M$238:$M$261</c:f>
            </c:numRef>
          </c:val>
          <c:smooth val="0"/>
          <c:extLst>
            <c:ext xmlns:c16="http://schemas.microsoft.com/office/drawing/2014/chart" uri="{C3380CC4-5D6E-409C-BE32-E72D297353CC}">
              <c16:uniqueId val="{00000008-656B-435A-AC12-E4694268CCD5}"/>
            </c:ext>
          </c:extLst>
        </c:ser>
        <c:ser>
          <c:idx val="9"/>
          <c:order val="9"/>
          <c:tx>
            <c:strRef>
              <c:f>'Definition of Typical Day'!$N$13:$N$14</c:f>
              <c:strCache>
                <c:ptCount val="2"/>
                <c:pt idx="0">
                  <c:v>10</c:v>
                </c:pt>
                <c:pt idx="1">
                  <c:v>10</c:v>
                </c:pt>
              </c:strCache>
            </c:strRef>
          </c:tx>
          <c:spPr>
            <a:ln w="31750" cap="rnd">
              <a:solidFill>
                <a:schemeClr val="accent4">
                  <a:lumMod val="6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Day'!$N$238:$N$261</c:f>
            </c:numRef>
          </c:val>
          <c:smooth val="0"/>
          <c:extLst>
            <c:ext xmlns:c16="http://schemas.microsoft.com/office/drawing/2014/chart" uri="{C3380CC4-5D6E-409C-BE32-E72D297353CC}">
              <c16:uniqueId val="{00000009-656B-435A-AC12-E4694268CCD5}"/>
            </c:ext>
          </c:extLst>
        </c:ser>
        <c:ser>
          <c:idx val="10"/>
          <c:order val="10"/>
          <c:tx>
            <c:strRef>
              <c:f>'Definition of Typical Day'!$O$13:$O$14</c:f>
              <c:strCache>
                <c:ptCount val="2"/>
                <c:pt idx="0">
                  <c:v>11</c:v>
                </c:pt>
                <c:pt idx="1">
                  <c:v>11</c:v>
                </c:pt>
              </c:strCache>
            </c:strRef>
          </c:tx>
          <c:spPr>
            <a:ln w="31750" cap="rnd">
              <a:solidFill>
                <a:schemeClr val="accent5">
                  <a:lumMod val="6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Day'!$O$238:$O$261</c:f>
            </c:numRef>
          </c:val>
          <c:smooth val="0"/>
          <c:extLst>
            <c:ext xmlns:c16="http://schemas.microsoft.com/office/drawing/2014/chart" uri="{C3380CC4-5D6E-409C-BE32-E72D297353CC}">
              <c16:uniqueId val="{0000000A-656B-435A-AC12-E4694268CCD5}"/>
            </c:ext>
          </c:extLst>
        </c:ser>
        <c:ser>
          <c:idx val="11"/>
          <c:order val="11"/>
          <c:tx>
            <c:strRef>
              <c:f>'Definition of Typical Day'!$P$13:$P$14</c:f>
              <c:strCache>
                <c:ptCount val="2"/>
                <c:pt idx="0">
                  <c:v>12</c:v>
                </c:pt>
                <c:pt idx="1">
                  <c:v>12</c:v>
                </c:pt>
              </c:strCache>
            </c:strRef>
          </c:tx>
          <c:spPr>
            <a:ln w="31750" cap="rnd">
              <a:solidFill>
                <a:schemeClr val="accent6">
                  <a:lumMod val="6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Day'!$P$238:$P$261</c:f>
            </c:numRef>
          </c:val>
          <c:smooth val="0"/>
          <c:extLst>
            <c:ext xmlns:c16="http://schemas.microsoft.com/office/drawing/2014/chart" uri="{C3380CC4-5D6E-409C-BE32-E72D297353CC}">
              <c16:uniqueId val="{0000000B-656B-435A-AC12-E4694268CCD5}"/>
            </c:ext>
          </c:extLst>
        </c:ser>
        <c:ser>
          <c:idx val="12"/>
          <c:order val="12"/>
          <c:tx>
            <c:strRef>
              <c:f>'Definition of Typical Day'!$Q$13:$Q$14</c:f>
              <c:strCache>
                <c:ptCount val="2"/>
                <c:pt idx="0">
                  <c:v>13</c:v>
                </c:pt>
                <c:pt idx="1">
                  <c:v>13</c:v>
                </c:pt>
              </c:strCache>
            </c:strRef>
          </c:tx>
          <c:spPr>
            <a:ln w="31750" cap="rnd">
              <a:solidFill>
                <a:schemeClr val="accent1">
                  <a:lumMod val="80000"/>
                  <a:lumOff val="2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Day'!$Q$238:$Q$261</c:f>
            </c:numRef>
          </c:val>
          <c:smooth val="0"/>
          <c:extLst>
            <c:ext xmlns:c16="http://schemas.microsoft.com/office/drawing/2014/chart" uri="{C3380CC4-5D6E-409C-BE32-E72D297353CC}">
              <c16:uniqueId val="{0000000C-656B-435A-AC12-E4694268CCD5}"/>
            </c:ext>
          </c:extLst>
        </c:ser>
        <c:ser>
          <c:idx val="13"/>
          <c:order val="13"/>
          <c:tx>
            <c:strRef>
              <c:f>'Definition of Typical Day'!$R$13:$R$14</c:f>
              <c:strCache>
                <c:ptCount val="2"/>
                <c:pt idx="0">
                  <c:v>14</c:v>
                </c:pt>
                <c:pt idx="1">
                  <c:v>14</c:v>
                </c:pt>
              </c:strCache>
            </c:strRef>
          </c:tx>
          <c:spPr>
            <a:ln w="31750" cap="rnd">
              <a:solidFill>
                <a:schemeClr val="accent2">
                  <a:lumMod val="80000"/>
                  <a:lumOff val="2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Day'!$R$238:$R$261</c:f>
            </c:numRef>
          </c:val>
          <c:smooth val="0"/>
          <c:extLst>
            <c:ext xmlns:c16="http://schemas.microsoft.com/office/drawing/2014/chart" uri="{C3380CC4-5D6E-409C-BE32-E72D297353CC}">
              <c16:uniqueId val="{0000000D-656B-435A-AC12-E4694268CCD5}"/>
            </c:ext>
          </c:extLst>
        </c:ser>
        <c:ser>
          <c:idx val="14"/>
          <c:order val="14"/>
          <c:tx>
            <c:strRef>
              <c:f>'Definition of Typical Day'!$S$13:$S$14</c:f>
              <c:strCache>
                <c:ptCount val="2"/>
                <c:pt idx="0">
                  <c:v>15</c:v>
                </c:pt>
                <c:pt idx="1">
                  <c:v>15</c:v>
                </c:pt>
              </c:strCache>
            </c:strRef>
          </c:tx>
          <c:spPr>
            <a:ln w="31750" cap="rnd">
              <a:solidFill>
                <a:schemeClr val="accent3">
                  <a:lumMod val="80000"/>
                  <a:lumOff val="2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Day'!$S$238:$S$261</c:f>
            </c:numRef>
          </c:val>
          <c:smooth val="0"/>
          <c:extLst>
            <c:ext xmlns:c16="http://schemas.microsoft.com/office/drawing/2014/chart" uri="{C3380CC4-5D6E-409C-BE32-E72D297353CC}">
              <c16:uniqueId val="{0000000E-656B-435A-AC12-E4694268CCD5}"/>
            </c:ext>
          </c:extLst>
        </c:ser>
        <c:ser>
          <c:idx val="15"/>
          <c:order val="15"/>
          <c:tx>
            <c:strRef>
              <c:f>'Definition of Typical Day'!$T$13:$T$14</c:f>
              <c:strCache>
                <c:ptCount val="2"/>
                <c:pt idx="0">
                  <c:v>16</c:v>
                </c:pt>
                <c:pt idx="1">
                  <c:v>16</c:v>
                </c:pt>
              </c:strCache>
            </c:strRef>
          </c:tx>
          <c:spPr>
            <a:ln w="31750" cap="rnd">
              <a:solidFill>
                <a:schemeClr val="accent4">
                  <a:lumMod val="80000"/>
                  <a:lumOff val="2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Day'!$T$238:$T$261</c:f>
            </c:numRef>
          </c:val>
          <c:smooth val="0"/>
          <c:extLst>
            <c:ext xmlns:c16="http://schemas.microsoft.com/office/drawing/2014/chart" uri="{C3380CC4-5D6E-409C-BE32-E72D297353CC}">
              <c16:uniqueId val="{0000000F-656B-435A-AC12-E4694268CCD5}"/>
            </c:ext>
          </c:extLst>
        </c:ser>
        <c:ser>
          <c:idx val="16"/>
          <c:order val="16"/>
          <c:tx>
            <c:strRef>
              <c:f>'Definition of Typical Day'!$U$13:$U$14</c:f>
              <c:strCache>
                <c:ptCount val="2"/>
                <c:pt idx="0">
                  <c:v>17</c:v>
                </c:pt>
                <c:pt idx="1">
                  <c:v>17</c:v>
                </c:pt>
              </c:strCache>
            </c:strRef>
          </c:tx>
          <c:spPr>
            <a:ln w="31750" cap="rnd">
              <a:solidFill>
                <a:schemeClr val="accent5">
                  <a:lumMod val="80000"/>
                  <a:lumOff val="2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Day'!$U$238:$U$261</c:f>
            </c:numRef>
          </c:val>
          <c:smooth val="0"/>
          <c:extLst>
            <c:ext xmlns:c16="http://schemas.microsoft.com/office/drawing/2014/chart" uri="{C3380CC4-5D6E-409C-BE32-E72D297353CC}">
              <c16:uniqueId val="{00000010-656B-435A-AC12-E4694268CCD5}"/>
            </c:ext>
          </c:extLst>
        </c:ser>
        <c:ser>
          <c:idx val="17"/>
          <c:order val="17"/>
          <c:tx>
            <c:strRef>
              <c:f>'Definition of Typical Day'!$V$13:$V$14</c:f>
              <c:strCache>
                <c:ptCount val="2"/>
                <c:pt idx="0">
                  <c:v>18</c:v>
                </c:pt>
                <c:pt idx="1">
                  <c:v>18</c:v>
                </c:pt>
              </c:strCache>
            </c:strRef>
          </c:tx>
          <c:spPr>
            <a:ln w="31750" cap="rnd">
              <a:solidFill>
                <a:schemeClr val="accent6">
                  <a:lumMod val="80000"/>
                  <a:lumOff val="2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Day'!$V$238:$V$261</c:f>
            </c:numRef>
          </c:val>
          <c:smooth val="0"/>
          <c:extLst>
            <c:ext xmlns:c16="http://schemas.microsoft.com/office/drawing/2014/chart" uri="{C3380CC4-5D6E-409C-BE32-E72D297353CC}">
              <c16:uniqueId val="{00000011-656B-435A-AC12-E4694268CCD5}"/>
            </c:ext>
          </c:extLst>
        </c:ser>
        <c:ser>
          <c:idx val="18"/>
          <c:order val="18"/>
          <c:tx>
            <c:strRef>
              <c:f>'Definition of Typical Day'!$W$13:$W$14</c:f>
              <c:strCache>
                <c:ptCount val="2"/>
                <c:pt idx="0">
                  <c:v>19</c:v>
                </c:pt>
                <c:pt idx="1">
                  <c:v>19</c:v>
                </c:pt>
              </c:strCache>
            </c:strRef>
          </c:tx>
          <c:spPr>
            <a:ln w="31750" cap="rnd">
              <a:solidFill>
                <a:schemeClr val="accent1">
                  <a:lumMod val="8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Day'!$W$238:$W$261</c:f>
            </c:numRef>
          </c:val>
          <c:smooth val="0"/>
          <c:extLst>
            <c:ext xmlns:c16="http://schemas.microsoft.com/office/drawing/2014/chart" uri="{C3380CC4-5D6E-409C-BE32-E72D297353CC}">
              <c16:uniqueId val="{00000012-656B-435A-AC12-E4694268CCD5}"/>
            </c:ext>
          </c:extLst>
        </c:ser>
        <c:ser>
          <c:idx val="19"/>
          <c:order val="19"/>
          <c:tx>
            <c:strRef>
              <c:f>'Definition of Typical Day'!$X$13:$X$14</c:f>
              <c:strCache>
                <c:ptCount val="2"/>
                <c:pt idx="0">
                  <c:v>20</c:v>
                </c:pt>
                <c:pt idx="1">
                  <c:v>20</c:v>
                </c:pt>
              </c:strCache>
            </c:strRef>
          </c:tx>
          <c:spPr>
            <a:ln w="31750" cap="rnd">
              <a:solidFill>
                <a:schemeClr val="accent2">
                  <a:lumMod val="80000"/>
                </a:schemeClr>
              </a:solidFill>
              <a:round/>
            </a:ln>
            <a:effectLst/>
          </c:spPr>
          <c:marker>
            <c:symbol val="none"/>
          </c:marker>
          <c:cat>
            <c:numRef>
              <c:f>'Definition of Typical Day'!$D$238:$D$261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Day'!$X$238:$X$261</c:f>
            </c:numRef>
          </c:val>
          <c:smooth val="0"/>
          <c:extLst>
            <c:ext xmlns:c16="http://schemas.microsoft.com/office/drawing/2014/chart" uri="{C3380CC4-5D6E-409C-BE32-E72D297353CC}">
              <c16:uniqueId val="{00000013-656B-435A-AC12-E4694268CCD5}"/>
            </c:ext>
          </c:extLst>
        </c:ser>
        <c:dLbls>
          <c:showLegendKey val="0"/>
          <c:showVal val="0"/>
          <c:showCatName val="0"/>
          <c:showSerName val="0"/>
          <c:showPercent val="0"/>
          <c:showBubbleSize val="0"/>
        </c:dLbls>
        <c:smooth val="0"/>
        <c:axId val="1076580768"/>
        <c:axId val="1076583168"/>
      </c:lineChart>
      <c:catAx>
        <c:axId val="1076580768"/>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Hour of the day</a:t>
                </a:r>
              </a:p>
            </c:rich>
          </c:tx>
          <c:overlay val="0"/>
          <c:spPr>
            <a:noFill/>
            <a:ln>
              <a:noFill/>
            </a:ln>
            <a:effectLst/>
          </c:spPr>
          <c:txPr>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3168"/>
        <c:crosses val="autoZero"/>
        <c:auto val="1"/>
        <c:lblAlgn val="ctr"/>
        <c:lblOffset val="100"/>
        <c:noMultiLvlLbl val="0"/>
      </c:catAx>
      <c:valAx>
        <c:axId val="1076583168"/>
        <c:scaling>
          <c:orientation val="minMax"/>
        </c:scaling>
        <c:delete val="0"/>
        <c:axPos val="l"/>
        <c:majorGridlines>
          <c:spPr>
            <a:ln w="9525" cap="flat" cmpd="sng" algn="ctr">
              <a:solidFill>
                <a:schemeClr val="tx2">
                  <a:lumMod val="15000"/>
                  <a:lumOff val="85000"/>
                </a:schemeClr>
              </a:solidFill>
              <a:round/>
            </a:ln>
            <a:effectLst/>
          </c:spPr>
        </c:majorGridlines>
        <c:title>
          <c:tx>
            <c:strRef>
              <c:f>'Definition of Typical Day'!$E$236:$X$236</c:f>
              <c:strCache>
                <c:ptCount val="20"/>
                <c:pt idx="0">
                  <c:v>EUR/MWh_fuel</c:v>
                </c:pt>
              </c:strCache>
            </c:strRef>
          </c:tx>
          <c:layout>
            <c:manualLayout>
              <c:xMode val="edge"/>
              <c:yMode val="edge"/>
              <c:x val="2.535665328083752E-2"/>
              <c:y val="0.33034665520883982"/>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07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'Definition of Typical Day'!$E$264:$X$264</c:f>
          <c:strCache>
            <c:ptCount val="20"/>
            <c:pt idx="0">
              <c:v>Data centre operator / waste heat provider: Electricity price for active cooling system </c:v>
            </c:pt>
          </c:strCache>
        </c:strRef>
      </c:tx>
      <c:layout>
        <c:manualLayout>
          <c:xMode val="edge"/>
          <c:yMode val="edge"/>
          <c:x val="0.1198075947810853"/>
          <c:y val="2.0751690500246462E-2"/>
        </c:manualLayout>
      </c:layout>
      <c:overlay val="1"/>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0.11883305831329642"/>
          <c:y val="0.19167864923747277"/>
          <c:w val="0.64161807115607139"/>
          <c:h val="0.66102166666666651"/>
        </c:manualLayout>
      </c:layout>
      <c:lineChart>
        <c:grouping val="standard"/>
        <c:varyColors val="0"/>
        <c:ser>
          <c:idx val="0"/>
          <c:order val="0"/>
          <c:tx>
            <c:strRef>
              <c:f>'Definition of Typical Day'!$E$13:$E$14</c:f>
              <c:strCache>
                <c:ptCount val="2"/>
                <c:pt idx="0">
                  <c:v>1</c:v>
                </c:pt>
                <c:pt idx="1">
                  <c:v>Winter day</c:v>
                </c:pt>
              </c:strCache>
            </c:strRef>
          </c:tx>
          <c:spPr>
            <a:ln w="31750" cap="rnd">
              <a:solidFill>
                <a:schemeClr val="accent1"/>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Day'!$E$267:$E$290</c:f>
              <c:numCache>
                <c:formatCode>0</c:formatCode>
                <c:ptCount val="24"/>
                <c:pt idx="0">
                  <c:v>76</c:v>
                </c:pt>
                <c:pt idx="1">
                  <c:v>73.45</c:v>
                </c:pt>
                <c:pt idx="2">
                  <c:v>73.539999999999992</c:v>
                </c:pt>
                <c:pt idx="3">
                  <c:v>71.819999999999993</c:v>
                </c:pt>
                <c:pt idx="4">
                  <c:v>71.849999999999994</c:v>
                </c:pt>
                <c:pt idx="5">
                  <c:v>71.75</c:v>
                </c:pt>
                <c:pt idx="6">
                  <c:v>72.59</c:v>
                </c:pt>
                <c:pt idx="7">
                  <c:v>76.900000000000006</c:v>
                </c:pt>
                <c:pt idx="8">
                  <c:v>84.82</c:v>
                </c:pt>
                <c:pt idx="9">
                  <c:v>87.9</c:v>
                </c:pt>
                <c:pt idx="10">
                  <c:v>81.8</c:v>
                </c:pt>
                <c:pt idx="11">
                  <c:v>80.77</c:v>
                </c:pt>
                <c:pt idx="12">
                  <c:v>77.73</c:v>
                </c:pt>
                <c:pt idx="13">
                  <c:v>78.78</c:v>
                </c:pt>
                <c:pt idx="14">
                  <c:v>83.39</c:v>
                </c:pt>
                <c:pt idx="15">
                  <c:v>89.11</c:v>
                </c:pt>
                <c:pt idx="16">
                  <c:v>97.8</c:v>
                </c:pt>
                <c:pt idx="17">
                  <c:v>104.93</c:v>
                </c:pt>
                <c:pt idx="18">
                  <c:v>109.87</c:v>
                </c:pt>
                <c:pt idx="19">
                  <c:v>101.57</c:v>
                </c:pt>
                <c:pt idx="20">
                  <c:v>91.97</c:v>
                </c:pt>
                <c:pt idx="21">
                  <c:v>85.74</c:v>
                </c:pt>
                <c:pt idx="22">
                  <c:v>84.68</c:v>
                </c:pt>
                <c:pt idx="23">
                  <c:v>79.13</c:v>
                </c:pt>
              </c:numCache>
            </c:numRef>
          </c:val>
          <c:smooth val="0"/>
          <c:extLst>
            <c:ext xmlns:c16="http://schemas.microsoft.com/office/drawing/2014/chart" uri="{C3380CC4-5D6E-409C-BE32-E72D297353CC}">
              <c16:uniqueId val="{00000000-5534-4C34-A009-5986C8D7C18D}"/>
            </c:ext>
          </c:extLst>
        </c:ser>
        <c:ser>
          <c:idx val="1"/>
          <c:order val="1"/>
          <c:tx>
            <c:strRef>
              <c:f>'Definition of Typical Day'!$F$13:$F$14</c:f>
              <c:strCache>
                <c:ptCount val="2"/>
                <c:pt idx="0">
                  <c:v>2</c:v>
                </c:pt>
                <c:pt idx="1">
                  <c:v>Spring / fall weekday</c:v>
                </c:pt>
              </c:strCache>
            </c:strRef>
          </c:tx>
          <c:spPr>
            <a:ln w="31750" cap="rnd">
              <a:solidFill>
                <a:schemeClr val="accent2"/>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Day'!$F$267:$F$290</c:f>
              <c:numCache>
                <c:formatCode>0</c:formatCode>
                <c:ptCount val="24"/>
                <c:pt idx="0">
                  <c:v>81</c:v>
                </c:pt>
                <c:pt idx="1">
                  <c:v>80.7</c:v>
                </c:pt>
                <c:pt idx="2">
                  <c:v>80.459999999999994</c:v>
                </c:pt>
                <c:pt idx="3">
                  <c:v>79.739999999999995</c:v>
                </c:pt>
                <c:pt idx="4">
                  <c:v>80.459999999999994</c:v>
                </c:pt>
                <c:pt idx="5">
                  <c:v>83.91</c:v>
                </c:pt>
                <c:pt idx="6">
                  <c:v>93.98</c:v>
                </c:pt>
                <c:pt idx="7">
                  <c:v>116.64</c:v>
                </c:pt>
                <c:pt idx="8">
                  <c:v>118.7</c:v>
                </c:pt>
                <c:pt idx="9">
                  <c:v>97.21</c:v>
                </c:pt>
                <c:pt idx="10">
                  <c:v>85.92</c:v>
                </c:pt>
                <c:pt idx="11">
                  <c:v>82.02</c:v>
                </c:pt>
                <c:pt idx="12">
                  <c:v>79.349999999999994</c:v>
                </c:pt>
                <c:pt idx="13">
                  <c:v>79.290000000000006</c:v>
                </c:pt>
                <c:pt idx="14">
                  <c:v>80.64</c:v>
                </c:pt>
                <c:pt idx="15">
                  <c:v>82.26</c:v>
                </c:pt>
                <c:pt idx="16">
                  <c:v>91.06</c:v>
                </c:pt>
                <c:pt idx="17">
                  <c:v>110</c:v>
                </c:pt>
                <c:pt idx="18">
                  <c:v>129.57999999999998</c:v>
                </c:pt>
                <c:pt idx="19">
                  <c:v>129.25</c:v>
                </c:pt>
                <c:pt idx="20">
                  <c:v>103.4</c:v>
                </c:pt>
                <c:pt idx="21">
                  <c:v>90.15</c:v>
                </c:pt>
                <c:pt idx="22">
                  <c:v>87.98</c:v>
                </c:pt>
                <c:pt idx="23">
                  <c:v>84.34</c:v>
                </c:pt>
              </c:numCache>
            </c:numRef>
          </c:val>
          <c:smooth val="0"/>
          <c:extLst>
            <c:ext xmlns:c16="http://schemas.microsoft.com/office/drawing/2014/chart" uri="{C3380CC4-5D6E-409C-BE32-E72D297353CC}">
              <c16:uniqueId val="{00000001-5534-4C34-A009-5986C8D7C18D}"/>
            </c:ext>
          </c:extLst>
        </c:ser>
        <c:ser>
          <c:idx val="2"/>
          <c:order val="2"/>
          <c:tx>
            <c:strRef>
              <c:f>'Definition of Typical Day'!$G$13:$G$14</c:f>
              <c:strCache>
                <c:ptCount val="2"/>
                <c:pt idx="0">
                  <c:v>3</c:v>
                </c:pt>
                <c:pt idx="1">
                  <c:v>Spring / fall weekend</c:v>
                </c:pt>
              </c:strCache>
            </c:strRef>
          </c:tx>
          <c:spPr>
            <a:ln w="31750" cap="rnd">
              <a:solidFill>
                <a:schemeClr val="accent3"/>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Day'!$G$267:$G$290</c:f>
              <c:numCache>
                <c:formatCode>0</c:formatCode>
                <c:ptCount val="24"/>
                <c:pt idx="0">
                  <c:v>91.85</c:v>
                </c:pt>
                <c:pt idx="1">
                  <c:v>80.59</c:v>
                </c:pt>
                <c:pt idx="2">
                  <c:v>79.53</c:v>
                </c:pt>
                <c:pt idx="3">
                  <c:v>74.400000000000006</c:v>
                </c:pt>
                <c:pt idx="4">
                  <c:v>73.88</c:v>
                </c:pt>
                <c:pt idx="5">
                  <c:v>73.62</c:v>
                </c:pt>
                <c:pt idx="6">
                  <c:v>74.430000000000007</c:v>
                </c:pt>
                <c:pt idx="7">
                  <c:v>70.53</c:v>
                </c:pt>
                <c:pt idx="8">
                  <c:v>70.88</c:v>
                </c:pt>
                <c:pt idx="9">
                  <c:v>65.38</c:v>
                </c:pt>
                <c:pt idx="10">
                  <c:v>42.99</c:v>
                </c:pt>
                <c:pt idx="11">
                  <c:v>46.96</c:v>
                </c:pt>
                <c:pt idx="12">
                  <c:v>16.059999999999999</c:v>
                </c:pt>
                <c:pt idx="13">
                  <c:v>10.28</c:v>
                </c:pt>
                <c:pt idx="14">
                  <c:v>9.1</c:v>
                </c:pt>
                <c:pt idx="15">
                  <c:v>10.75</c:v>
                </c:pt>
                <c:pt idx="16">
                  <c:v>16.009999999999998</c:v>
                </c:pt>
                <c:pt idx="17">
                  <c:v>68.22</c:v>
                </c:pt>
                <c:pt idx="18">
                  <c:v>84.6</c:v>
                </c:pt>
                <c:pt idx="19">
                  <c:v>99.36</c:v>
                </c:pt>
                <c:pt idx="20">
                  <c:v>105.26</c:v>
                </c:pt>
                <c:pt idx="21">
                  <c:v>101.07</c:v>
                </c:pt>
                <c:pt idx="22">
                  <c:v>99.41</c:v>
                </c:pt>
                <c:pt idx="23">
                  <c:v>98.46</c:v>
                </c:pt>
              </c:numCache>
            </c:numRef>
          </c:val>
          <c:smooth val="0"/>
          <c:extLst>
            <c:ext xmlns:c16="http://schemas.microsoft.com/office/drawing/2014/chart" uri="{C3380CC4-5D6E-409C-BE32-E72D297353CC}">
              <c16:uniqueId val="{00000002-5534-4C34-A009-5986C8D7C18D}"/>
            </c:ext>
          </c:extLst>
        </c:ser>
        <c:ser>
          <c:idx val="3"/>
          <c:order val="3"/>
          <c:tx>
            <c:strRef>
              <c:f>'Definition of Typical Day'!$H$13:$H$14</c:f>
              <c:strCache>
                <c:ptCount val="2"/>
                <c:pt idx="0">
                  <c:v>4</c:v>
                </c:pt>
                <c:pt idx="1">
                  <c:v>Summer weekday</c:v>
                </c:pt>
              </c:strCache>
            </c:strRef>
          </c:tx>
          <c:spPr>
            <a:ln w="31750" cap="rnd">
              <a:solidFill>
                <a:schemeClr val="accent4"/>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Day'!$H$267:$H$290</c:f>
              <c:numCache>
                <c:formatCode>0</c:formatCode>
                <c:ptCount val="24"/>
                <c:pt idx="0">
                  <c:v>100.11</c:v>
                </c:pt>
                <c:pt idx="1">
                  <c:v>90.45</c:v>
                </c:pt>
                <c:pt idx="2">
                  <c:v>89.91</c:v>
                </c:pt>
                <c:pt idx="3">
                  <c:v>89.29</c:v>
                </c:pt>
                <c:pt idx="4">
                  <c:v>93.38</c:v>
                </c:pt>
                <c:pt idx="5">
                  <c:v>101.38</c:v>
                </c:pt>
                <c:pt idx="6">
                  <c:v>125.6</c:v>
                </c:pt>
                <c:pt idx="7">
                  <c:v>120.72</c:v>
                </c:pt>
                <c:pt idx="8">
                  <c:v>108.4</c:v>
                </c:pt>
                <c:pt idx="9">
                  <c:v>91.43</c:v>
                </c:pt>
                <c:pt idx="10">
                  <c:v>80</c:v>
                </c:pt>
                <c:pt idx="11">
                  <c:v>68.75</c:v>
                </c:pt>
                <c:pt idx="12">
                  <c:v>54.34</c:v>
                </c:pt>
                <c:pt idx="13">
                  <c:v>46.5</c:v>
                </c:pt>
                <c:pt idx="14">
                  <c:v>46.2</c:v>
                </c:pt>
                <c:pt idx="15">
                  <c:v>52.54</c:v>
                </c:pt>
                <c:pt idx="16">
                  <c:v>73.789999999999992</c:v>
                </c:pt>
                <c:pt idx="17">
                  <c:v>87.34</c:v>
                </c:pt>
                <c:pt idx="18">
                  <c:v>101.61</c:v>
                </c:pt>
                <c:pt idx="19">
                  <c:v>131.01999999999998</c:v>
                </c:pt>
                <c:pt idx="20">
                  <c:v>200.46</c:v>
                </c:pt>
                <c:pt idx="21">
                  <c:v>130</c:v>
                </c:pt>
                <c:pt idx="22">
                  <c:v>116.86</c:v>
                </c:pt>
                <c:pt idx="23">
                  <c:v>101.55</c:v>
                </c:pt>
              </c:numCache>
            </c:numRef>
          </c:val>
          <c:smooth val="0"/>
          <c:extLst>
            <c:ext xmlns:c16="http://schemas.microsoft.com/office/drawing/2014/chart" uri="{C3380CC4-5D6E-409C-BE32-E72D297353CC}">
              <c16:uniqueId val="{00000003-5534-4C34-A009-5986C8D7C18D}"/>
            </c:ext>
          </c:extLst>
        </c:ser>
        <c:ser>
          <c:idx val="4"/>
          <c:order val="4"/>
          <c:tx>
            <c:strRef>
              <c:f>'Definition of Typical Day'!$I$13:$I$14</c:f>
              <c:strCache>
                <c:ptCount val="2"/>
                <c:pt idx="0">
                  <c:v>5</c:v>
                </c:pt>
                <c:pt idx="1">
                  <c:v>Summer weekend</c:v>
                </c:pt>
              </c:strCache>
            </c:strRef>
          </c:tx>
          <c:spPr>
            <a:ln w="31750" cap="rnd">
              <a:solidFill>
                <a:schemeClr val="accent5"/>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Day'!$I$267:$I$290</c:f>
              <c:numCache>
                <c:formatCode>0</c:formatCode>
                <c:ptCount val="24"/>
                <c:pt idx="0">
                  <c:v>100.49</c:v>
                </c:pt>
                <c:pt idx="1">
                  <c:v>89.25</c:v>
                </c:pt>
                <c:pt idx="2">
                  <c:v>81.239999999999995</c:v>
                </c:pt>
                <c:pt idx="3">
                  <c:v>80.67</c:v>
                </c:pt>
                <c:pt idx="4">
                  <c:v>76.94</c:v>
                </c:pt>
                <c:pt idx="5">
                  <c:v>72.09</c:v>
                </c:pt>
                <c:pt idx="6">
                  <c:v>67.900000000000006</c:v>
                </c:pt>
                <c:pt idx="7">
                  <c:v>56.35</c:v>
                </c:pt>
                <c:pt idx="8">
                  <c:v>29.77</c:v>
                </c:pt>
                <c:pt idx="9">
                  <c:v>14.24</c:v>
                </c:pt>
                <c:pt idx="10">
                  <c:v>10</c:v>
                </c:pt>
                <c:pt idx="11">
                  <c:v>9.9499999999999993</c:v>
                </c:pt>
                <c:pt idx="12">
                  <c:v>9.9</c:v>
                </c:pt>
                <c:pt idx="13">
                  <c:v>8.9499999999999993</c:v>
                </c:pt>
                <c:pt idx="14">
                  <c:v>7.79</c:v>
                </c:pt>
                <c:pt idx="15">
                  <c:v>7.95</c:v>
                </c:pt>
                <c:pt idx="16">
                  <c:v>9.73</c:v>
                </c:pt>
                <c:pt idx="17">
                  <c:v>32.61</c:v>
                </c:pt>
                <c:pt idx="18">
                  <c:v>81.12</c:v>
                </c:pt>
                <c:pt idx="19">
                  <c:v>109.5</c:v>
                </c:pt>
                <c:pt idx="20">
                  <c:v>125.14</c:v>
                </c:pt>
                <c:pt idx="21">
                  <c:v>125.44</c:v>
                </c:pt>
                <c:pt idx="22">
                  <c:v>124.33</c:v>
                </c:pt>
                <c:pt idx="23">
                  <c:v>109.79</c:v>
                </c:pt>
              </c:numCache>
            </c:numRef>
          </c:val>
          <c:smooth val="0"/>
          <c:extLst>
            <c:ext xmlns:c16="http://schemas.microsoft.com/office/drawing/2014/chart" uri="{C3380CC4-5D6E-409C-BE32-E72D297353CC}">
              <c16:uniqueId val="{00000004-5534-4C34-A009-5986C8D7C18D}"/>
            </c:ext>
          </c:extLst>
        </c:ser>
        <c:ser>
          <c:idx val="5"/>
          <c:order val="5"/>
          <c:tx>
            <c:strRef>
              <c:f>'Definition of Typical Day'!$J$13:$J$14</c:f>
              <c:strCache>
                <c:ptCount val="2"/>
                <c:pt idx="0">
                  <c:v>6</c:v>
                </c:pt>
                <c:pt idx="1">
                  <c:v>Maintenance of HP</c:v>
                </c:pt>
              </c:strCache>
            </c:strRef>
          </c:tx>
          <c:spPr>
            <a:ln w="31750" cap="rnd">
              <a:solidFill>
                <a:schemeClr val="accent6"/>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Day'!$J$267:$J$290</c:f>
              <c:numCache>
                <c:formatCode>0</c:formatCode>
                <c:ptCount val="24"/>
                <c:pt idx="0">
                  <c:v>95.97999999999999</c:v>
                </c:pt>
                <c:pt idx="1">
                  <c:v>85.52000000000001</c:v>
                </c:pt>
                <c:pt idx="2">
                  <c:v>84.72</c:v>
                </c:pt>
                <c:pt idx="3">
                  <c:v>81.844999999999999</c:v>
                </c:pt>
                <c:pt idx="4">
                  <c:v>83.63</c:v>
                </c:pt>
                <c:pt idx="5">
                  <c:v>87.5</c:v>
                </c:pt>
                <c:pt idx="6">
                  <c:v>100.015</c:v>
                </c:pt>
                <c:pt idx="7">
                  <c:v>95.625</c:v>
                </c:pt>
                <c:pt idx="8">
                  <c:v>89.64</c:v>
                </c:pt>
                <c:pt idx="9">
                  <c:v>78.405000000000001</c:v>
                </c:pt>
                <c:pt idx="10">
                  <c:v>61.495000000000005</c:v>
                </c:pt>
                <c:pt idx="11">
                  <c:v>57.855000000000004</c:v>
                </c:pt>
                <c:pt idx="12">
                  <c:v>35.200000000000003</c:v>
                </c:pt>
                <c:pt idx="13">
                  <c:v>28.39</c:v>
                </c:pt>
                <c:pt idx="14">
                  <c:v>27.650000000000002</c:v>
                </c:pt>
                <c:pt idx="15">
                  <c:v>31.645</c:v>
                </c:pt>
                <c:pt idx="16">
                  <c:v>44.9</c:v>
                </c:pt>
                <c:pt idx="17">
                  <c:v>77.78</c:v>
                </c:pt>
                <c:pt idx="18">
                  <c:v>93.10499999999999</c:v>
                </c:pt>
                <c:pt idx="19">
                  <c:v>115.19</c:v>
                </c:pt>
                <c:pt idx="20">
                  <c:v>152.86000000000001</c:v>
                </c:pt>
                <c:pt idx="21">
                  <c:v>115.535</c:v>
                </c:pt>
                <c:pt idx="22">
                  <c:v>108.13499999999999</c:v>
                </c:pt>
                <c:pt idx="23">
                  <c:v>100.005</c:v>
                </c:pt>
              </c:numCache>
            </c:numRef>
          </c:val>
          <c:smooth val="0"/>
          <c:extLst>
            <c:ext xmlns:c16="http://schemas.microsoft.com/office/drawing/2014/chart" uri="{C3380CC4-5D6E-409C-BE32-E72D297353CC}">
              <c16:uniqueId val="{00000005-5534-4C34-A009-5986C8D7C18D}"/>
            </c:ext>
          </c:extLst>
        </c:ser>
        <c:ser>
          <c:idx val="6"/>
          <c:order val="6"/>
          <c:tx>
            <c:strRef>
              <c:f>'Definition of Typical Day'!$K$13:$K$14</c:f>
              <c:strCache>
                <c:ptCount val="2"/>
                <c:pt idx="0">
                  <c:v>7</c:v>
                </c:pt>
                <c:pt idx="1">
                  <c:v>7</c:v>
                </c:pt>
              </c:strCache>
            </c:strRef>
          </c:tx>
          <c:spPr>
            <a:ln w="31750" cap="rnd">
              <a:solidFill>
                <a:schemeClr val="accent1">
                  <a:lumMod val="6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Day'!$K$267:$K$290</c:f>
            </c:numRef>
          </c:val>
          <c:smooth val="0"/>
          <c:extLst>
            <c:ext xmlns:c16="http://schemas.microsoft.com/office/drawing/2014/chart" uri="{C3380CC4-5D6E-409C-BE32-E72D297353CC}">
              <c16:uniqueId val="{00000006-5534-4C34-A009-5986C8D7C18D}"/>
            </c:ext>
          </c:extLst>
        </c:ser>
        <c:ser>
          <c:idx val="7"/>
          <c:order val="7"/>
          <c:tx>
            <c:strRef>
              <c:f>'Definition of Typical Day'!$L$13:$L$14</c:f>
              <c:strCache>
                <c:ptCount val="2"/>
                <c:pt idx="0">
                  <c:v>8</c:v>
                </c:pt>
                <c:pt idx="1">
                  <c:v>8</c:v>
                </c:pt>
              </c:strCache>
            </c:strRef>
          </c:tx>
          <c:spPr>
            <a:ln w="31750" cap="rnd">
              <a:solidFill>
                <a:schemeClr val="accent2">
                  <a:lumMod val="6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Day'!$L$267:$L$290</c:f>
            </c:numRef>
          </c:val>
          <c:smooth val="0"/>
          <c:extLst>
            <c:ext xmlns:c16="http://schemas.microsoft.com/office/drawing/2014/chart" uri="{C3380CC4-5D6E-409C-BE32-E72D297353CC}">
              <c16:uniqueId val="{00000007-5534-4C34-A009-5986C8D7C18D}"/>
            </c:ext>
          </c:extLst>
        </c:ser>
        <c:ser>
          <c:idx val="8"/>
          <c:order val="8"/>
          <c:tx>
            <c:strRef>
              <c:f>'Definition of Typical Day'!$M$13:$M$14</c:f>
              <c:strCache>
                <c:ptCount val="2"/>
                <c:pt idx="0">
                  <c:v>9</c:v>
                </c:pt>
                <c:pt idx="1">
                  <c:v>9</c:v>
                </c:pt>
              </c:strCache>
            </c:strRef>
          </c:tx>
          <c:spPr>
            <a:ln w="31750" cap="rnd">
              <a:solidFill>
                <a:schemeClr val="accent3">
                  <a:lumMod val="6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Day'!$M$267:$M$290</c:f>
            </c:numRef>
          </c:val>
          <c:smooth val="0"/>
          <c:extLst>
            <c:ext xmlns:c16="http://schemas.microsoft.com/office/drawing/2014/chart" uri="{C3380CC4-5D6E-409C-BE32-E72D297353CC}">
              <c16:uniqueId val="{00000008-5534-4C34-A009-5986C8D7C18D}"/>
            </c:ext>
          </c:extLst>
        </c:ser>
        <c:ser>
          <c:idx val="9"/>
          <c:order val="9"/>
          <c:tx>
            <c:strRef>
              <c:f>'Definition of Typical Day'!$N$13:$N$14</c:f>
              <c:strCache>
                <c:ptCount val="2"/>
                <c:pt idx="0">
                  <c:v>10</c:v>
                </c:pt>
                <c:pt idx="1">
                  <c:v>10</c:v>
                </c:pt>
              </c:strCache>
            </c:strRef>
          </c:tx>
          <c:spPr>
            <a:ln w="31750" cap="rnd">
              <a:solidFill>
                <a:schemeClr val="accent4">
                  <a:lumMod val="6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Day'!$N$267:$N$290</c:f>
            </c:numRef>
          </c:val>
          <c:smooth val="0"/>
          <c:extLst>
            <c:ext xmlns:c16="http://schemas.microsoft.com/office/drawing/2014/chart" uri="{C3380CC4-5D6E-409C-BE32-E72D297353CC}">
              <c16:uniqueId val="{00000009-5534-4C34-A009-5986C8D7C18D}"/>
            </c:ext>
          </c:extLst>
        </c:ser>
        <c:ser>
          <c:idx val="10"/>
          <c:order val="10"/>
          <c:tx>
            <c:strRef>
              <c:f>'Definition of Typical Day'!$O$13:$O$14</c:f>
              <c:strCache>
                <c:ptCount val="2"/>
                <c:pt idx="0">
                  <c:v>11</c:v>
                </c:pt>
                <c:pt idx="1">
                  <c:v>11</c:v>
                </c:pt>
              </c:strCache>
            </c:strRef>
          </c:tx>
          <c:spPr>
            <a:ln w="31750" cap="rnd">
              <a:solidFill>
                <a:schemeClr val="accent5">
                  <a:lumMod val="6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Day'!$O$267:$O$290</c:f>
            </c:numRef>
          </c:val>
          <c:smooth val="0"/>
          <c:extLst>
            <c:ext xmlns:c16="http://schemas.microsoft.com/office/drawing/2014/chart" uri="{C3380CC4-5D6E-409C-BE32-E72D297353CC}">
              <c16:uniqueId val="{0000000A-5534-4C34-A009-5986C8D7C18D}"/>
            </c:ext>
          </c:extLst>
        </c:ser>
        <c:ser>
          <c:idx val="11"/>
          <c:order val="11"/>
          <c:tx>
            <c:strRef>
              <c:f>'Definition of Typical Day'!$P$13:$P$14</c:f>
              <c:strCache>
                <c:ptCount val="2"/>
                <c:pt idx="0">
                  <c:v>12</c:v>
                </c:pt>
                <c:pt idx="1">
                  <c:v>12</c:v>
                </c:pt>
              </c:strCache>
            </c:strRef>
          </c:tx>
          <c:spPr>
            <a:ln w="31750" cap="rnd">
              <a:solidFill>
                <a:schemeClr val="accent6">
                  <a:lumMod val="6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Day'!$P$267:$P$290</c:f>
            </c:numRef>
          </c:val>
          <c:smooth val="0"/>
          <c:extLst>
            <c:ext xmlns:c16="http://schemas.microsoft.com/office/drawing/2014/chart" uri="{C3380CC4-5D6E-409C-BE32-E72D297353CC}">
              <c16:uniqueId val="{0000000B-5534-4C34-A009-5986C8D7C18D}"/>
            </c:ext>
          </c:extLst>
        </c:ser>
        <c:ser>
          <c:idx val="12"/>
          <c:order val="12"/>
          <c:tx>
            <c:strRef>
              <c:f>'Definition of Typical Day'!$Q$13:$Q$14</c:f>
              <c:strCache>
                <c:ptCount val="2"/>
                <c:pt idx="0">
                  <c:v>13</c:v>
                </c:pt>
                <c:pt idx="1">
                  <c:v>13</c:v>
                </c:pt>
              </c:strCache>
            </c:strRef>
          </c:tx>
          <c:spPr>
            <a:ln w="31750" cap="rnd">
              <a:solidFill>
                <a:schemeClr val="accent1">
                  <a:lumMod val="80000"/>
                  <a:lumOff val="2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Day'!$Q$267:$Q$290</c:f>
            </c:numRef>
          </c:val>
          <c:smooth val="0"/>
          <c:extLst>
            <c:ext xmlns:c16="http://schemas.microsoft.com/office/drawing/2014/chart" uri="{C3380CC4-5D6E-409C-BE32-E72D297353CC}">
              <c16:uniqueId val="{0000000C-5534-4C34-A009-5986C8D7C18D}"/>
            </c:ext>
          </c:extLst>
        </c:ser>
        <c:ser>
          <c:idx val="13"/>
          <c:order val="13"/>
          <c:tx>
            <c:strRef>
              <c:f>'Definition of Typical Day'!$R$13:$R$14</c:f>
              <c:strCache>
                <c:ptCount val="2"/>
                <c:pt idx="0">
                  <c:v>14</c:v>
                </c:pt>
                <c:pt idx="1">
                  <c:v>14</c:v>
                </c:pt>
              </c:strCache>
            </c:strRef>
          </c:tx>
          <c:spPr>
            <a:ln w="31750" cap="rnd">
              <a:solidFill>
                <a:schemeClr val="accent2">
                  <a:lumMod val="80000"/>
                  <a:lumOff val="2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Day'!$R$267:$R$290</c:f>
            </c:numRef>
          </c:val>
          <c:smooth val="0"/>
          <c:extLst>
            <c:ext xmlns:c16="http://schemas.microsoft.com/office/drawing/2014/chart" uri="{C3380CC4-5D6E-409C-BE32-E72D297353CC}">
              <c16:uniqueId val="{0000000D-5534-4C34-A009-5986C8D7C18D}"/>
            </c:ext>
          </c:extLst>
        </c:ser>
        <c:ser>
          <c:idx val="14"/>
          <c:order val="14"/>
          <c:tx>
            <c:strRef>
              <c:f>'Definition of Typical Day'!$S$13:$S$14</c:f>
              <c:strCache>
                <c:ptCount val="2"/>
                <c:pt idx="0">
                  <c:v>15</c:v>
                </c:pt>
                <c:pt idx="1">
                  <c:v>15</c:v>
                </c:pt>
              </c:strCache>
            </c:strRef>
          </c:tx>
          <c:spPr>
            <a:ln w="31750" cap="rnd">
              <a:solidFill>
                <a:schemeClr val="accent3">
                  <a:lumMod val="80000"/>
                  <a:lumOff val="2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Day'!$S$267:$S$290</c:f>
            </c:numRef>
          </c:val>
          <c:smooth val="0"/>
          <c:extLst>
            <c:ext xmlns:c16="http://schemas.microsoft.com/office/drawing/2014/chart" uri="{C3380CC4-5D6E-409C-BE32-E72D297353CC}">
              <c16:uniqueId val="{0000000E-5534-4C34-A009-5986C8D7C18D}"/>
            </c:ext>
          </c:extLst>
        </c:ser>
        <c:ser>
          <c:idx val="15"/>
          <c:order val="15"/>
          <c:tx>
            <c:strRef>
              <c:f>'Definition of Typical Day'!$T$13:$T$14</c:f>
              <c:strCache>
                <c:ptCount val="2"/>
                <c:pt idx="0">
                  <c:v>16</c:v>
                </c:pt>
                <c:pt idx="1">
                  <c:v>16</c:v>
                </c:pt>
              </c:strCache>
            </c:strRef>
          </c:tx>
          <c:spPr>
            <a:ln w="31750" cap="rnd">
              <a:solidFill>
                <a:schemeClr val="accent4">
                  <a:lumMod val="80000"/>
                  <a:lumOff val="2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Day'!$T$267:$T$290</c:f>
            </c:numRef>
          </c:val>
          <c:smooth val="0"/>
          <c:extLst>
            <c:ext xmlns:c16="http://schemas.microsoft.com/office/drawing/2014/chart" uri="{C3380CC4-5D6E-409C-BE32-E72D297353CC}">
              <c16:uniqueId val="{0000000F-5534-4C34-A009-5986C8D7C18D}"/>
            </c:ext>
          </c:extLst>
        </c:ser>
        <c:ser>
          <c:idx val="16"/>
          <c:order val="16"/>
          <c:tx>
            <c:strRef>
              <c:f>'Definition of Typical Day'!$U$13:$U$14</c:f>
              <c:strCache>
                <c:ptCount val="2"/>
                <c:pt idx="0">
                  <c:v>17</c:v>
                </c:pt>
                <c:pt idx="1">
                  <c:v>17</c:v>
                </c:pt>
              </c:strCache>
            </c:strRef>
          </c:tx>
          <c:spPr>
            <a:ln w="31750" cap="rnd">
              <a:solidFill>
                <a:schemeClr val="accent5">
                  <a:lumMod val="80000"/>
                  <a:lumOff val="2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Day'!$U$267:$U$290</c:f>
            </c:numRef>
          </c:val>
          <c:smooth val="0"/>
          <c:extLst>
            <c:ext xmlns:c16="http://schemas.microsoft.com/office/drawing/2014/chart" uri="{C3380CC4-5D6E-409C-BE32-E72D297353CC}">
              <c16:uniqueId val="{00000010-5534-4C34-A009-5986C8D7C18D}"/>
            </c:ext>
          </c:extLst>
        </c:ser>
        <c:ser>
          <c:idx val="17"/>
          <c:order val="17"/>
          <c:tx>
            <c:strRef>
              <c:f>'Definition of Typical Day'!$V$13:$V$14</c:f>
              <c:strCache>
                <c:ptCount val="2"/>
                <c:pt idx="0">
                  <c:v>18</c:v>
                </c:pt>
                <c:pt idx="1">
                  <c:v>18</c:v>
                </c:pt>
              </c:strCache>
            </c:strRef>
          </c:tx>
          <c:spPr>
            <a:ln w="31750" cap="rnd">
              <a:solidFill>
                <a:schemeClr val="accent6">
                  <a:lumMod val="80000"/>
                  <a:lumOff val="2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Day'!$V$267:$V$290</c:f>
            </c:numRef>
          </c:val>
          <c:smooth val="0"/>
          <c:extLst>
            <c:ext xmlns:c16="http://schemas.microsoft.com/office/drawing/2014/chart" uri="{C3380CC4-5D6E-409C-BE32-E72D297353CC}">
              <c16:uniqueId val="{00000011-5534-4C34-A009-5986C8D7C18D}"/>
            </c:ext>
          </c:extLst>
        </c:ser>
        <c:ser>
          <c:idx val="18"/>
          <c:order val="18"/>
          <c:tx>
            <c:strRef>
              <c:f>'Definition of Typical Day'!$W$13:$W$14</c:f>
              <c:strCache>
                <c:ptCount val="2"/>
                <c:pt idx="0">
                  <c:v>19</c:v>
                </c:pt>
                <c:pt idx="1">
                  <c:v>19</c:v>
                </c:pt>
              </c:strCache>
            </c:strRef>
          </c:tx>
          <c:spPr>
            <a:ln w="31750" cap="rnd">
              <a:solidFill>
                <a:schemeClr val="accent1">
                  <a:lumMod val="8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Day'!$W$267:$W$290</c:f>
            </c:numRef>
          </c:val>
          <c:smooth val="0"/>
          <c:extLst>
            <c:ext xmlns:c16="http://schemas.microsoft.com/office/drawing/2014/chart" uri="{C3380CC4-5D6E-409C-BE32-E72D297353CC}">
              <c16:uniqueId val="{00000012-5534-4C34-A009-5986C8D7C18D}"/>
            </c:ext>
          </c:extLst>
        </c:ser>
        <c:ser>
          <c:idx val="19"/>
          <c:order val="19"/>
          <c:tx>
            <c:strRef>
              <c:f>'Definition of Typical Day'!$X$13:$X$14</c:f>
              <c:strCache>
                <c:ptCount val="2"/>
                <c:pt idx="0">
                  <c:v>20</c:v>
                </c:pt>
                <c:pt idx="1">
                  <c:v>20</c:v>
                </c:pt>
              </c:strCache>
            </c:strRef>
          </c:tx>
          <c:spPr>
            <a:ln w="31750" cap="rnd">
              <a:solidFill>
                <a:schemeClr val="accent2">
                  <a:lumMod val="80000"/>
                </a:schemeClr>
              </a:solidFill>
              <a:round/>
            </a:ln>
            <a:effectLst/>
          </c:spPr>
          <c:marker>
            <c:symbol val="none"/>
          </c:marker>
          <c:cat>
            <c:numRef>
              <c:f>'Definition of Typical Day'!$D$267:$D$290</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Day'!$X$267:$X$290</c:f>
            </c:numRef>
          </c:val>
          <c:smooth val="0"/>
          <c:extLst>
            <c:ext xmlns:c16="http://schemas.microsoft.com/office/drawing/2014/chart" uri="{C3380CC4-5D6E-409C-BE32-E72D297353CC}">
              <c16:uniqueId val="{00000013-5534-4C34-A009-5986C8D7C18D}"/>
            </c:ext>
          </c:extLst>
        </c:ser>
        <c:dLbls>
          <c:showLegendKey val="0"/>
          <c:showVal val="0"/>
          <c:showCatName val="0"/>
          <c:showSerName val="0"/>
          <c:showPercent val="0"/>
          <c:showBubbleSize val="0"/>
        </c:dLbls>
        <c:smooth val="0"/>
        <c:axId val="1076580768"/>
        <c:axId val="1076583168"/>
      </c:lineChart>
      <c:catAx>
        <c:axId val="1076580768"/>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Hour of the day</a:t>
                </a:r>
              </a:p>
            </c:rich>
          </c:tx>
          <c:overlay val="0"/>
          <c:spPr>
            <a:noFill/>
            <a:ln>
              <a:noFill/>
            </a:ln>
            <a:effectLst/>
          </c:spPr>
          <c:txPr>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3168"/>
        <c:crosses val="autoZero"/>
        <c:auto val="1"/>
        <c:lblAlgn val="ctr"/>
        <c:lblOffset val="100"/>
        <c:noMultiLvlLbl val="0"/>
      </c:catAx>
      <c:valAx>
        <c:axId val="1076583168"/>
        <c:scaling>
          <c:orientation val="minMax"/>
        </c:scaling>
        <c:delete val="0"/>
        <c:axPos val="l"/>
        <c:majorGridlines>
          <c:spPr>
            <a:ln w="9525" cap="flat" cmpd="sng" algn="ctr">
              <a:solidFill>
                <a:schemeClr val="tx2">
                  <a:lumMod val="15000"/>
                  <a:lumOff val="85000"/>
                </a:schemeClr>
              </a:solidFill>
              <a:round/>
            </a:ln>
            <a:effectLst/>
          </c:spPr>
        </c:majorGridlines>
        <c:title>
          <c:tx>
            <c:strRef>
              <c:f>'Definition of Typical Day'!$E$236:$X$236</c:f>
              <c:strCache>
                <c:ptCount val="20"/>
                <c:pt idx="0">
                  <c:v>EUR/MWh_fuel</c:v>
                </c:pt>
              </c:strCache>
            </c:strRef>
          </c:tx>
          <c:layout>
            <c:manualLayout>
              <c:xMode val="edge"/>
              <c:yMode val="edge"/>
              <c:x val="2.535665328083752E-2"/>
              <c:y val="0.33034665520883982"/>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07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'Definition of Typical Day'!$E$293:$X$293</c:f>
          <c:strCache>
            <c:ptCount val="20"/>
            <c:pt idx="0">
              <c:v>Data centre operator  / waste heat provider: Share of active cooling (if heat is not taken up by Contractor 1)</c:v>
            </c:pt>
          </c:strCache>
        </c:strRef>
      </c:tx>
      <c:layout>
        <c:manualLayout>
          <c:xMode val="edge"/>
          <c:yMode val="edge"/>
          <c:x val="8.505133782239728E-2"/>
          <c:y val="0.02"/>
        </c:manualLayout>
      </c:layout>
      <c:overlay val="1"/>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0.11883305831329642"/>
          <c:y val="0.19158165893029"/>
          <c:w val="0.64801713437352537"/>
          <c:h val="0.6541097636960711"/>
        </c:manualLayout>
      </c:layout>
      <c:lineChart>
        <c:grouping val="standard"/>
        <c:varyColors val="0"/>
        <c:ser>
          <c:idx val="0"/>
          <c:order val="0"/>
          <c:tx>
            <c:strRef>
              <c:f>'Definition of Typical Day'!$E$13:$E$14</c:f>
              <c:strCache>
                <c:ptCount val="2"/>
                <c:pt idx="0">
                  <c:v>1</c:v>
                </c:pt>
                <c:pt idx="1">
                  <c:v>Winter day</c:v>
                </c:pt>
              </c:strCache>
            </c:strRef>
          </c:tx>
          <c:spPr>
            <a:ln w="31750" cap="rnd">
              <a:solidFill>
                <a:schemeClr val="accent1"/>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Day'!$E$296:$E$319</c:f>
              <c:numCache>
                <c:formatCode>0</c:formatCode>
                <c:ptCount val="24"/>
                <c:pt idx="0">
                  <c:v>0.2</c:v>
                </c:pt>
                <c:pt idx="1">
                  <c:v>0.2</c:v>
                </c:pt>
                <c:pt idx="2">
                  <c:v>0.2</c:v>
                </c:pt>
                <c:pt idx="3">
                  <c:v>0.2</c:v>
                </c:pt>
                <c:pt idx="4">
                  <c:v>0.2</c:v>
                </c:pt>
                <c:pt idx="5">
                  <c:v>0.2</c:v>
                </c:pt>
                <c:pt idx="6">
                  <c:v>0.2</c:v>
                </c:pt>
                <c:pt idx="7">
                  <c:v>0.2</c:v>
                </c:pt>
                <c:pt idx="8">
                  <c:v>0.2</c:v>
                </c:pt>
                <c:pt idx="9">
                  <c:v>0.2</c:v>
                </c:pt>
                <c:pt idx="10">
                  <c:v>0.35</c:v>
                </c:pt>
                <c:pt idx="11">
                  <c:v>0.35</c:v>
                </c:pt>
                <c:pt idx="12">
                  <c:v>0.35</c:v>
                </c:pt>
                <c:pt idx="13">
                  <c:v>0.35</c:v>
                </c:pt>
                <c:pt idx="14">
                  <c:v>0.35</c:v>
                </c:pt>
                <c:pt idx="15">
                  <c:v>0.35</c:v>
                </c:pt>
                <c:pt idx="16">
                  <c:v>0.2</c:v>
                </c:pt>
                <c:pt idx="17">
                  <c:v>0.2</c:v>
                </c:pt>
                <c:pt idx="18">
                  <c:v>0.2</c:v>
                </c:pt>
                <c:pt idx="19">
                  <c:v>0.2</c:v>
                </c:pt>
                <c:pt idx="20">
                  <c:v>0.2</c:v>
                </c:pt>
                <c:pt idx="21">
                  <c:v>0.2</c:v>
                </c:pt>
                <c:pt idx="22">
                  <c:v>0.2</c:v>
                </c:pt>
                <c:pt idx="23">
                  <c:v>0.2</c:v>
                </c:pt>
              </c:numCache>
            </c:numRef>
          </c:val>
          <c:smooth val="0"/>
          <c:extLst>
            <c:ext xmlns:c16="http://schemas.microsoft.com/office/drawing/2014/chart" uri="{C3380CC4-5D6E-409C-BE32-E72D297353CC}">
              <c16:uniqueId val="{00000000-851B-49EC-8806-78251B5BFA7D}"/>
            </c:ext>
          </c:extLst>
        </c:ser>
        <c:ser>
          <c:idx val="1"/>
          <c:order val="1"/>
          <c:tx>
            <c:strRef>
              <c:f>'Definition of Typical Day'!$F$13:$F$14</c:f>
              <c:strCache>
                <c:ptCount val="2"/>
                <c:pt idx="0">
                  <c:v>2</c:v>
                </c:pt>
                <c:pt idx="1">
                  <c:v>Spring / fall weekday</c:v>
                </c:pt>
              </c:strCache>
            </c:strRef>
          </c:tx>
          <c:spPr>
            <a:ln w="31750" cap="rnd">
              <a:solidFill>
                <a:schemeClr val="accent2"/>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Day'!$F$296:$F$319</c:f>
              <c:numCache>
                <c:formatCode>0</c:formatCode>
                <c:ptCount val="24"/>
                <c:pt idx="0">
                  <c:v>0.7</c:v>
                </c:pt>
                <c:pt idx="1">
                  <c:v>0.7</c:v>
                </c:pt>
                <c:pt idx="2">
                  <c:v>0.7</c:v>
                </c:pt>
                <c:pt idx="3">
                  <c:v>0.7</c:v>
                </c:pt>
                <c:pt idx="4">
                  <c:v>0.7</c:v>
                </c:pt>
                <c:pt idx="5">
                  <c:v>0.7</c:v>
                </c:pt>
                <c:pt idx="6">
                  <c:v>0.7</c:v>
                </c:pt>
                <c:pt idx="7">
                  <c:v>0.7</c:v>
                </c:pt>
                <c:pt idx="8">
                  <c:v>0.7</c:v>
                </c:pt>
                <c:pt idx="9">
                  <c:v>0.85</c:v>
                </c:pt>
                <c:pt idx="10">
                  <c:v>0.85</c:v>
                </c:pt>
                <c:pt idx="11">
                  <c:v>0.85</c:v>
                </c:pt>
                <c:pt idx="12">
                  <c:v>0.85</c:v>
                </c:pt>
                <c:pt idx="13">
                  <c:v>0.85</c:v>
                </c:pt>
                <c:pt idx="14">
                  <c:v>0.85</c:v>
                </c:pt>
                <c:pt idx="15">
                  <c:v>0.85</c:v>
                </c:pt>
                <c:pt idx="16">
                  <c:v>0.85</c:v>
                </c:pt>
                <c:pt idx="17">
                  <c:v>0.75</c:v>
                </c:pt>
                <c:pt idx="18">
                  <c:v>0.75</c:v>
                </c:pt>
                <c:pt idx="19">
                  <c:v>0.75</c:v>
                </c:pt>
                <c:pt idx="20">
                  <c:v>0.75</c:v>
                </c:pt>
                <c:pt idx="21">
                  <c:v>0.75</c:v>
                </c:pt>
                <c:pt idx="22">
                  <c:v>0.75</c:v>
                </c:pt>
                <c:pt idx="23">
                  <c:v>0.75</c:v>
                </c:pt>
              </c:numCache>
            </c:numRef>
          </c:val>
          <c:smooth val="0"/>
          <c:extLst>
            <c:ext xmlns:c16="http://schemas.microsoft.com/office/drawing/2014/chart" uri="{C3380CC4-5D6E-409C-BE32-E72D297353CC}">
              <c16:uniqueId val="{00000001-851B-49EC-8806-78251B5BFA7D}"/>
            </c:ext>
          </c:extLst>
        </c:ser>
        <c:ser>
          <c:idx val="2"/>
          <c:order val="2"/>
          <c:tx>
            <c:strRef>
              <c:f>'Definition of Typical Day'!$G$13:$G$14</c:f>
              <c:strCache>
                <c:ptCount val="2"/>
                <c:pt idx="0">
                  <c:v>3</c:v>
                </c:pt>
                <c:pt idx="1">
                  <c:v>Spring / fall weekend</c:v>
                </c:pt>
              </c:strCache>
            </c:strRef>
          </c:tx>
          <c:spPr>
            <a:ln w="31750" cap="rnd">
              <a:solidFill>
                <a:schemeClr val="accent3"/>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Day'!$G$296:$G$319</c:f>
              <c:numCache>
                <c:formatCode>0</c:formatCode>
                <c:ptCount val="24"/>
                <c:pt idx="0">
                  <c:v>0.7</c:v>
                </c:pt>
                <c:pt idx="1">
                  <c:v>0.7</c:v>
                </c:pt>
                <c:pt idx="2">
                  <c:v>0.7</c:v>
                </c:pt>
                <c:pt idx="3">
                  <c:v>0.7</c:v>
                </c:pt>
                <c:pt idx="4">
                  <c:v>0.7</c:v>
                </c:pt>
                <c:pt idx="5">
                  <c:v>0.7</c:v>
                </c:pt>
                <c:pt idx="6">
                  <c:v>0.7</c:v>
                </c:pt>
                <c:pt idx="7">
                  <c:v>0.7</c:v>
                </c:pt>
                <c:pt idx="8">
                  <c:v>0.7</c:v>
                </c:pt>
                <c:pt idx="9">
                  <c:v>0.85</c:v>
                </c:pt>
                <c:pt idx="10">
                  <c:v>0.85</c:v>
                </c:pt>
                <c:pt idx="11">
                  <c:v>0.85</c:v>
                </c:pt>
                <c:pt idx="12">
                  <c:v>0.85</c:v>
                </c:pt>
                <c:pt idx="13">
                  <c:v>0.85</c:v>
                </c:pt>
                <c:pt idx="14">
                  <c:v>0.85</c:v>
                </c:pt>
                <c:pt idx="15">
                  <c:v>0.85</c:v>
                </c:pt>
                <c:pt idx="16">
                  <c:v>0.85</c:v>
                </c:pt>
                <c:pt idx="17">
                  <c:v>0.75</c:v>
                </c:pt>
                <c:pt idx="18">
                  <c:v>0.75</c:v>
                </c:pt>
                <c:pt idx="19">
                  <c:v>0.75</c:v>
                </c:pt>
                <c:pt idx="20">
                  <c:v>0.75</c:v>
                </c:pt>
                <c:pt idx="21">
                  <c:v>0.75</c:v>
                </c:pt>
                <c:pt idx="22">
                  <c:v>0.75</c:v>
                </c:pt>
                <c:pt idx="23">
                  <c:v>0.75</c:v>
                </c:pt>
              </c:numCache>
            </c:numRef>
          </c:val>
          <c:smooth val="0"/>
          <c:extLst>
            <c:ext xmlns:c16="http://schemas.microsoft.com/office/drawing/2014/chart" uri="{C3380CC4-5D6E-409C-BE32-E72D297353CC}">
              <c16:uniqueId val="{00000002-851B-49EC-8806-78251B5BFA7D}"/>
            </c:ext>
          </c:extLst>
        </c:ser>
        <c:ser>
          <c:idx val="3"/>
          <c:order val="3"/>
          <c:tx>
            <c:strRef>
              <c:f>'Definition of Typical Day'!$H$13:$H$14</c:f>
              <c:strCache>
                <c:ptCount val="2"/>
                <c:pt idx="0">
                  <c:v>4</c:v>
                </c:pt>
                <c:pt idx="1">
                  <c:v>Summer weekday</c:v>
                </c:pt>
              </c:strCache>
            </c:strRef>
          </c:tx>
          <c:spPr>
            <a:ln w="31750" cap="rnd">
              <a:solidFill>
                <a:schemeClr val="accent4"/>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Day'!$H$296:$H$319</c:f>
              <c:numCache>
                <c:formatCode>0</c:formatCode>
                <c:ptCount val="24"/>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numCache>
            </c:numRef>
          </c:val>
          <c:smooth val="0"/>
          <c:extLst>
            <c:ext xmlns:c16="http://schemas.microsoft.com/office/drawing/2014/chart" uri="{C3380CC4-5D6E-409C-BE32-E72D297353CC}">
              <c16:uniqueId val="{00000003-851B-49EC-8806-78251B5BFA7D}"/>
            </c:ext>
          </c:extLst>
        </c:ser>
        <c:ser>
          <c:idx val="4"/>
          <c:order val="4"/>
          <c:tx>
            <c:strRef>
              <c:f>'Definition of Typical Day'!$I$13:$I$14</c:f>
              <c:strCache>
                <c:ptCount val="2"/>
                <c:pt idx="0">
                  <c:v>5</c:v>
                </c:pt>
                <c:pt idx="1">
                  <c:v>Summer weekend</c:v>
                </c:pt>
              </c:strCache>
            </c:strRef>
          </c:tx>
          <c:spPr>
            <a:ln w="31750" cap="rnd">
              <a:solidFill>
                <a:schemeClr val="accent5"/>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Day'!$I$296:$I$319</c:f>
              <c:numCache>
                <c:formatCode>0</c:formatCode>
                <c:ptCount val="24"/>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numCache>
            </c:numRef>
          </c:val>
          <c:smooth val="0"/>
          <c:extLst>
            <c:ext xmlns:c16="http://schemas.microsoft.com/office/drawing/2014/chart" uri="{C3380CC4-5D6E-409C-BE32-E72D297353CC}">
              <c16:uniqueId val="{00000004-851B-49EC-8806-78251B5BFA7D}"/>
            </c:ext>
          </c:extLst>
        </c:ser>
        <c:ser>
          <c:idx val="5"/>
          <c:order val="5"/>
          <c:tx>
            <c:strRef>
              <c:f>'Definition of Typical Day'!$J$13:$J$14</c:f>
              <c:strCache>
                <c:ptCount val="2"/>
                <c:pt idx="0">
                  <c:v>6</c:v>
                </c:pt>
                <c:pt idx="1">
                  <c:v>Maintenance of HP</c:v>
                </c:pt>
              </c:strCache>
            </c:strRef>
          </c:tx>
          <c:spPr>
            <a:ln w="31750" cap="rnd">
              <a:solidFill>
                <a:schemeClr val="accent6"/>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Day'!$J$296:$J$319</c:f>
              <c:numCache>
                <c:formatCode>0</c:formatCode>
                <c:ptCount val="24"/>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numCache>
            </c:numRef>
          </c:val>
          <c:smooth val="0"/>
          <c:extLst>
            <c:ext xmlns:c16="http://schemas.microsoft.com/office/drawing/2014/chart" uri="{C3380CC4-5D6E-409C-BE32-E72D297353CC}">
              <c16:uniqueId val="{00000005-851B-49EC-8806-78251B5BFA7D}"/>
            </c:ext>
          </c:extLst>
        </c:ser>
        <c:ser>
          <c:idx val="6"/>
          <c:order val="6"/>
          <c:tx>
            <c:strRef>
              <c:f>'Definition of Typical Day'!$K$13:$K$14</c:f>
              <c:strCache>
                <c:ptCount val="2"/>
                <c:pt idx="0">
                  <c:v>7</c:v>
                </c:pt>
                <c:pt idx="1">
                  <c:v>7</c:v>
                </c:pt>
              </c:strCache>
            </c:strRef>
          </c:tx>
          <c:spPr>
            <a:ln w="31750" cap="rnd">
              <a:solidFill>
                <a:schemeClr val="accent1">
                  <a:lumMod val="6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Day'!$K$296:$K$319</c:f>
            </c:numRef>
          </c:val>
          <c:smooth val="0"/>
          <c:extLst>
            <c:ext xmlns:c16="http://schemas.microsoft.com/office/drawing/2014/chart" uri="{C3380CC4-5D6E-409C-BE32-E72D297353CC}">
              <c16:uniqueId val="{00000006-851B-49EC-8806-78251B5BFA7D}"/>
            </c:ext>
          </c:extLst>
        </c:ser>
        <c:ser>
          <c:idx val="7"/>
          <c:order val="7"/>
          <c:tx>
            <c:strRef>
              <c:f>'Definition of Typical Day'!$L$13:$L$14</c:f>
              <c:strCache>
                <c:ptCount val="2"/>
                <c:pt idx="0">
                  <c:v>8</c:v>
                </c:pt>
                <c:pt idx="1">
                  <c:v>8</c:v>
                </c:pt>
              </c:strCache>
            </c:strRef>
          </c:tx>
          <c:spPr>
            <a:ln w="31750" cap="rnd">
              <a:solidFill>
                <a:schemeClr val="accent2">
                  <a:lumMod val="6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Day'!$L$296:$L$319</c:f>
            </c:numRef>
          </c:val>
          <c:smooth val="0"/>
          <c:extLst>
            <c:ext xmlns:c16="http://schemas.microsoft.com/office/drawing/2014/chart" uri="{C3380CC4-5D6E-409C-BE32-E72D297353CC}">
              <c16:uniqueId val="{00000007-851B-49EC-8806-78251B5BFA7D}"/>
            </c:ext>
          </c:extLst>
        </c:ser>
        <c:ser>
          <c:idx val="8"/>
          <c:order val="8"/>
          <c:tx>
            <c:strRef>
              <c:f>'Definition of Typical Day'!$M$13:$M$14</c:f>
              <c:strCache>
                <c:ptCount val="2"/>
                <c:pt idx="0">
                  <c:v>9</c:v>
                </c:pt>
                <c:pt idx="1">
                  <c:v>9</c:v>
                </c:pt>
              </c:strCache>
            </c:strRef>
          </c:tx>
          <c:spPr>
            <a:ln w="31750" cap="rnd">
              <a:solidFill>
                <a:schemeClr val="accent3">
                  <a:lumMod val="6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Day'!$M$296:$M$319</c:f>
            </c:numRef>
          </c:val>
          <c:smooth val="0"/>
          <c:extLst>
            <c:ext xmlns:c16="http://schemas.microsoft.com/office/drawing/2014/chart" uri="{C3380CC4-5D6E-409C-BE32-E72D297353CC}">
              <c16:uniqueId val="{00000008-851B-49EC-8806-78251B5BFA7D}"/>
            </c:ext>
          </c:extLst>
        </c:ser>
        <c:ser>
          <c:idx val="9"/>
          <c:order val="9"/>
          <c:tx>
            <c:strRef>
              <c:f>'Definition of Typical Day'!$N$13:$N$14</c:f>
              <c:strCache>
                <c:ptCount val="2"/>
                <c:pt idx="0">
                  <c:v>10</c:v>
                </c:pt>
                <c:pt idx="1">
                  <c:v>10</c:v>
                </c:pt>
              </c:strCache>
            </c:strRef>
          </c:tx>
          <c:spPr>
            <a:ln w="31750" cap="rnd">
              <a:solidFill>
                <a:schemeClr val="accent4">
                  <a:lumMod val="6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Day'!$N$296:$N$319</c:f>
            </c:numRef>
          </c:val>
          <c:smooth val="0"/>
          <c:extLst>
            <c:ext xmlns:c16="http://schemas.microsoft.com/office/drawing/2014/chart" uri="{C3380CC4-5D6E-409C-BE32-E72D297353CC}">
              <c16:uniqueId val="{00000009-851B-49EC-8806-78251B5BFA7D}"/>
            </c:ext>
          </c:extLst>
        </c:ser>
        <c:ser>
          <c:idx val="10"/>
          <c:order val="10"/>
          <c:tx>
            <c:strRef>
              <c:f>'Definition of Typical Day'!$O$13:$O$14</c:f>
              <c:strCache>
                <c:ptCount val="2"/>
                <c:pt idx="0">
                  <c:v>11</c:v>
                </c:pt>
                <c:pt idx="1">
                  <c:v>11</c:v>
                </c:pt>
              </c:strCache>
            </c:strRef>
          </c:tx>
          <c:spPr>
            <a:ln w="31750" cap="rnd">
              <a:solidFill>
                <a:schemeClr val="accent5">
                  <a:lumMod val="6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Day'!$O$296:$O$319</c:f>
            </c:numRef>
          </c:val>
          <c:smooth val="0"/>
          <c:extLst>
            <c:ext xmlns:c16="http://schemas.microsoft.com/office/drawing/2014/chart" uri="{C3380CC4-5D6E-409C-BE32-E72D297353CC}">
              <c16:uniqueId val="{0000000A-851B-49EC-8806-78251B5BFA7D}"/>
            </c:ext>
          </c:extLst>
        </c:ser>
        <c:ser>
          <c:idx val="11"/>
          <c:order val="11"/>
          <c:tx>
            <c:strRef>
              <c:f>'Definition of Typical Day'!$P$13:$P$14</c:f>
              <c:strCache>
                <c:ptCount val="2"/>
                <c:pt idx="0">
                  <c:v>12</c:v>
                </c:pt>
                <c:pt idx="1">
                  <c:v>12</c:v>
                </c:pt>
              </c:strCache>
            </c:strRef>
          </c:tx>
          <c:spPr>
            <a:ln w="31750" cap="rnd">
              <a:solidFill>
                <a:schemeClr val="accent6">
                  <a:lumMod val="6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Day'!$P$296:$P$319</c:f>
            </c:numRef>
          </c:val>
          <c:smooth val="0"/>
          <c:extLst>
            <c:ext xmlns:c16="http://schemas.microsoft.com/office/drawing/2014/chart" uri="{C3380CC4-5D6E-409C-BE32-E72D297353CC}">
              <c16:uniqueId val="{0000000B-851B-49EC-8806-78251B5BFA7D}"/>
            </c:ext>
          </c:extLst>
        </c:ser>
        <c:ser>
          <c:idx val="12"/>
          <c:order val="12"/>
          <c:tx>
            <c:strRef>
              <c:f>'Definition of Typical Day'!$Q$13:$Q$14</c:f>
              <c:strCache>
                <c:ptCount val="2"/>
                <c:pt idx="0">
                  <c:v>13</c:v>
                </c:pt>
                <c:pt idx="1">
                  <c:v>13</c:v>
                </c:pt>
              </c:strCache>
            </c:strRef>
          </c:tx>
          <c:spPr>
            <a:ln w="31750" cap="rnd">
              <a:solidFill>
                <a:schemeClr val="accent1">
                  <a:lumMod val="80000"/>
                  <a:lumOff val="2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Day'!$Q$296:$Q$319</c:f>
            </c:numRef>
          </c:val>
          <c:smooth val="0"/>
          <c:extLst>
            <c:ext xmlns:c16="http://schemas.microsoft.com/office/drawing/2014/chart" uri="{C3380CC4-5D6E-409C-BE32-E72D297353CC}">
              <c16:uniqueId val="{0000000C-851B-49EC-8806-78251B5BFA7D}"/>
            </c:ext>
          </c:extLst>
        </c:ser>
        <c:ser>
          <c:idx val="13"/>
          <c:order val="13"/>
          <c:tx>
            <c:strRef>
              <c:f>'Definition of Typical Day'!$R$13:$R$14</c:f>
              <c:strCache>
                <c:ptCount val="2"/>
                <c:pt idx="0">
                  <c:v>14</c:v>
                </c:pt>
                <c:pt idx="1">
                  <c:v>14</c:v>
                </c:pt>
              </c:strCache>
            </c:strRef>
          </c:tx>
          <c:spPr>
            <a:ln w="31750" cap="rnd">
              <a:solidFill>
                <a:schemeClr val="accent2">
                  <a:lumMod val="80000"/>
                  <a:lumOff val="2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Day'!$R$296:$R$319</c:f>
            </c:numRef>
          </c:val>
          <c:smooth val="0"/>
          <c:extLst>
            <c:ext xmlns:c16="http://schemas.microsoft.com/office/drawing/2014/chart" uri="{C3380CC4-5D6E-409C-BE32-E72D297353CC}">
              <c16:uniqueId val="{0000000D-851B-49EC-8806-78251B5BFA7D}"/>
            </c:ext>
          </c:extLst>
        </c:ser>
        <c:ser>
          <c:idx val="14"/>
          <c:order val="14"/>
          <c:tx>
            <c:strRef>
              <c:f>'Definition of Typical Day'!$S$13:$S$14</c:f>
              <c:strCache>
                <c:ptCount val="2"/>
                <c:pt idx="0">
                  <c:v>15</c:v>
                </c:pt>
                <c:pt idx="1">
                  <c:v>15</c:v>
                </c:pt>
              </c:strCache>
            </c:strRef>
          </c:tx>
          <c:spPr>
            <a:ln w="31750" cap="rnd">
              <a:solidFill>
                <a:schemeClr val="accent3">
                  <a:lumMod val="80000"/>
                  <a:lumOff val="2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Day'!$S$296:$S$319</c:f>
            </c:numRef>
          </c:val>
          <c:smooth val="0"/>
          <c:extLst>
            <c:ext xmlns:c16="http://schemas.microsoft.com/office/drawing/2014/chart" uri="{C3380CC4-5D6E-409C-BE32-E72D297353CC}">
              <c16:uniqueId val="{0000000E-851B-49EC-8806-78251B5BFA7D}"/>
            </c:ext>
          </c:extLst>
        </c:ser>
        <c:ser>
          <c:idx val="15"/>
          <c:order val="15"/>
          <c:tx>
            <c:strRef>
              <c:f>'Definition of Typical Day'!$T$13:$T$14</c:f>
              <c:strCache>
                <c:ptCount val="2"/>
                <c:pt idx="0">
                  <c:v>16</c:v>
                </c:pt>
                <c:pt idx="1">
                  <c:v>16</c:v>
                </c:pt>
              </c:strCache>
            </c:strRef>
          </c:tx>
          <c:spPr>
            <a:ln w="31750" cap="rnd">
              <a:solidFill>
                <a:schemeClr val="accent4">
                  <a:lumMod val="80000"/>
                  <a:lumOff val="2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Day'!$T$296:$T$319</c:f>
            </c:numRef>
          </c:val>
          <c:smooth val="0"/>
          <c:extLst>
            <c:ext xmlns:c16="http://schemas.microsoft.com/office/drawing/2014/chart" uri="{C3380CC4-5D6E-409C-BE32-E72D297353CC}">
              <c16:uniqueId val="{0000000F-851B-49EC-8806-78251B5BFA7D}"/>
            </c:ext>
          </c:extLst>
        </c:ser>
        <c:ser>
          <c:idx val="16"/>
          <c:order val="16"/>
          <c:tx>
            <c:strRef>
              <c:f>'Definition of Typical Day'!$U$13:$U$14</c:f>
              <c:strCache>
                <c:ptCount val="2"/>
                <c:pt idx="0">
                  <c:v>17</c:v>
                </c:pt>
                <c:pt idx="1">
                  <c:v>17</c:v>
                </c:pt>
              </c:strCache>
            </c:strRef>
          </c:tx>
          <c:spPr>
            <a:ln w="31750" cap="rnd">
              <a:solidFill>
                <a:schemeClr val="accent5">
                  <a:lumMod val="80000"/>
                  <a:lumOff val="2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Day'!$U$296:$U$319</c:f>
            </c:numRef>
          </c:val>
          <c:smooth val="0"/>
          <c:extLst>
            <c:ext xmlns:c16="http://schemas.microsoft.com/office/drawing/2014/chart" uri="{C3380CC4-5D6E-409C-BE32-E72D297353CC}">
              <c16:uniqueId val="{00000010-851B-49EC-8806-78251B5BFA7D}"/>
            </c:ext>
          </c:extLst>
        </c:ser>
        <c:ser>
          <c:idx val="17"/>
          <c:order val="17"/>
          <c:tx>
            <c:strRef>
              <c:f>'Definition of Typical Day'!$V$13:$V$14</c:f>
              <c:strCache>
                <c:ptCount val="2"/>
                <c:pt idx="0">
                  <c:v>18</c:v>
                </c:pt>
                <c:pt idx="1">
                  <c:v>18</c:v>
                </c:pt>
              </c:strCache>
            </c:strRef>
          </c:tx>
          <c:spPr>
            <a:ln w="31750" cap="rnd">
              <a:solidFill>
                <a:schemeClr val="accent6">
                  <a:lumMod val="80000"/>
                  <a:lumOff val="2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Day'!$V$296:$V$319</c:f>
            </c:numRef>
          </c:val>
          <c:smooth val="0"/>
          <c:extLst>
            <c:ext xmlns:c16="http://schemas.microsoft.com/office/drawing/2014/chart" uri="{C3380CC4-5D6E-409C-BE32-E72D297353CC}">
              <c16:uniqueId val="{00000011-851B-49EC-8806-78251B5BFA7D}"/>
            </c:ext>
          </c:extLst>
        </c:ser>
        <c:ser>
          <c:idx val="18"/>
          <c:order val="18"/>
          <c:tx>
            <c:strRef>
              <c:f>'Definition of Typical Day'!$W$13:$W$14</c:f>
              <c:strCache>
                <c:ptCount val="2"/>
                <c:pt idx="0">
                  <c:v>19</c:v>
                </c:pt>
                <c:pt idx="1">
                  <c:v>19</c:v>
                </c:pt>
              </c:strCache>
            </c:strRef>
          </c:tx>
          <c:spPr>
            <a:ln w="31750" cap="rnd">
              <a:solidFill>
                <a:schemeClr val="accent1">
                  <a:lumMod val="8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Day'!$W$296:$W$319</c:f>
            </c:numRef>
          </c:val>
          <c:smooth val="0"/>
          <c:extLst>
            <c:ext xmlns:c16="http://schemas.microsoft.com/office/drawing/2014/chart" uri="{C3380CC4-5D6E-409C-BE32-E72D297353CC}">
              <c16:uniqueId val="{00000012-851B-49EC-8806-78251B5BFA7D}"/>
            </c:ext>
          </c:extLst>
        </c:ser>
        <c:ser>
          <c:idx val="19"/>
          <c:order val="19"/>
          <c:tx>
            <c:strRef>
              <c:f>'Definition of Typical Day'!$X$13:$X$14</c:f>
              <c:strCache>
                <c:ptCount val="2"/>
                <c:pt idx="0">
                  <c:v>20</c:v>
                </c:pt>
                <c:pt idx="1">
                  <c:v>20</c:v>
                </c:pt>
              </c:strCache>
            </c:strRef>
          </c:tx>
          <c:spPr>
            <a:ln w="31750" cap="rnd">
              <a:solidFill>
                <a:schemeClr val="accent2">
                  <a:lumMod val="80000"/>
                </a:schemeClr>
              </a:solidFill>
              <a:round/>
            </a:ln>
            <a:effectLst/>
          </c:spPr>
          <c:marker>
            <c:symbol val="none"/>
          </c:marker>
          <c:cat>
            <c:numRef>
              <c:f>'Definition of Typical Day'!$D$296:$D$319</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'Definition of Typical Day'!$X$296:$X$319</c:f>
            </c:numRef>
          </c:val>
          <c:smooth val="0"/>
          <c:extLst>
            <c:ext xmlns:c16="http://schemas.microsoft.com/office/drawing/2014/chart" uri="{C3380CC4-5D6E-409C-BE32-E72D297353CC}">
              <c16:uniqueId val="{00000013-851B-49EC-8806-78251B5BFA7D}"/>
            </c:ext>
          </c:extLst>
        </c:ser>
        <c:dLbls>
          <c:showLegendKey val="0"/>
          <c:showVal val="0"/>
          <c:showCatName val="0"/>
          <c:showSerName val="0"/>
          <c:showPercent val="0"/>
          <c:showBubbleSize val="0"/>
        </c:dLbls>
        <c:smooth val="0"/>
        <c:axId val="1076580768"/>
        <c:axId val="1076583168"/>
      </c:lineChart>
      <c:catAx>
        <c:axId val="1076580768"/>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Hour of the day</a:t>
                </a:r>
              </a:p>
            </c:rich>
          </c:tx>
          <c:overlay val="0"/>
          <c:spPr>
            <a:noFill/>
            <a:ln>
              <a:noFill/>
            </a:ln>
            <a:effectLst/>
          </c:spPr>
          <c:txPr>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3168"/>
        <c:crosses val="autoZero"/>
        <c:auto val="1"/>
        <c:lblAlgn val="ctr"/>
        <c:lblOffset val="100"/>
        <c:noMultiLvlLbl val="0"/>
      </c:catAx>
      <c:valAx>
        <c:axId val="1076583168"/>
        <c:scaling>
          <c:orientation val="minMax"/>
        </c:scaling>
        <c:delete val="0"/>
        <c:axPos val="l"/>
        <c:majorGridlines>
          <c:spPr>
            <a:ln w="9525" cap="flat" cmpd="sng" algn="ctr">
              <a:solidFill>
                <a:schemeClr val="tx2">
                  <a:lumMod val="15000"/>
                  <a:lumOff val="85000"/>
                </a:schemeClr>
              </a:solidFill>
              <a:round/>
            </a:ln>
            <a:effectLst/>
          </c:spPr>
        </c:majorGridlines>
        <c:title>
          <c:tx>
            <c:strRef>
              <c:f>'Definition of Typical Day'!$E$236:$X$236</c:f>
              <c:strCache>
                <c:ptCount val="20"/>
                <c:pt idx="0">
                  <c:v>EUR/MWh_fuel</c:v>
                </c:pt>
              </c:strCache>
            </c:strRef>
          </c:tx>
          <c:layout>
            <c:manualLayout>
              <c:xMode val="edge"/>
              <c:yMode val="edge"/>
              <c:x val="2.535665328083752E-2"/>
              <c:y val="0.33034665520883982"/>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0765807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r>
              <a:rPr lang="de-DE" sz="1800"/>
              <a:t>Overview: System up-time per hour and defined typical day </a:t>
            </a:r>
            <a:r>
              <a:rPr lang="de-DE" sz="1800" b="1" i="0" u="none" strike="noStrike" kern="1200" baseline="0">
                <a:solidFill>
                  <a:srgbClr val="44546A"/>
                </a:solidFill>
              </a:rPr>
              <a:t>(on/True  - off/False) </a:t>
            </a:r>
            <a:r>
              <a:rPr lang="de-DE" sz="1800"/>
              <a:t> </a:t>
            </a:r>
          </a:p>
        </c:rich>
      </c:tx>
      <c:layout>
        <c:manualLayout>
          <c:xMode val="edge"/>
          <c:yMode val="edge"/>
          <c:x val="0.30187361111111105"/>
          <c:y val="3.0114215686274509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2.3160225724528815E-2"/>
          <c:y val="9.8082060455137982E-2"/>
          <c:w val="0.96725622313415738"/>
          <c:h val="0.54080857180109154"/>
        </c:manualLayout>
      </c:layout>
      <c:lineChart>
        <c:grouping val="standard"/>
        <c:varyColors val="0"/>
        <c:ser>
          <c:idx val="0"/>
          <c:order val="0"/>
          <c:tx>
            <c:v>System is Running</c:v>
          </c:tx>
          <c:spPr>
            <a:ln w="31750" cap="rnd">
              <a:solidFill>
                <a:schemeClr val="accent1"/>
              </a:solidFill>
              <a:round/>
            </a:ln>
            <a:effectLst/>
          </c:spPr>
          <c:marker>
            <c:symbol val="none"/>
          </c:marker>
          <c:cat>
            <c:strRef>
              <c:f>'Calculation of Typical Day'!$CE$21:$CE$500</c:f>
              <c:strCache>
                <c:ptCount val="480"/>
                <c:pt idx="0">
                  <c:v>Winter day</c:v>
                </c:pt>
                <c:pt idx="1">
                  <c:v>Winter day</c:v>
                </c:pt>
                <c:pt idx="2">
                  <c:v>Winter day</c:v>
                </c:pt>
                <c:pt idx="3">
                  <c:v>Winter day</c:v>
                </c:pt>
                <c:pt idx="4">
                  <c:v>Winter day</c:v>
                </c:pt>
                <c:pt idx="5">
                  <c:v>Winter day</c:v>
                </c:pt>
                <c:pt idx="6">
                  <c:v>Winter day</c:v>
                </c:pt>
                <c:pt idx="7">
                  <c:v>Winter day</c:v>
                </c:pt>
                <c:pt idx="8">
                  <c:v>Winter day</c:v>
                </c:pt>
                <c:pt idx="9">
                  <c:v>Winter day</c:v>
                </c:pt>
                <c:pt idx="10">
                  <c:v>Winter day</c:v>
                </c:pt>
                <c:pt idx="11">
                  <c:v>Winter day</c:v>
                </c:pt>
                <c:pt idx="12">
                  <c:v>Winter day</c:v>
                </c:pt>
                <c:pt idx="13">
                  <c:v>Winter day</c:v>
                </c:pt>
                <c:pt idx="14">
                  <c:v>Winter day</c:v>
                </c:pt>
                <c:pt idx="15">
                  <c:v>Winter day</c:v>
                </c:pt>
                <c:pt idx="16">
                  <c:v>Winter day</c:v>
                </c:pt>
                <c:pt idx="17">
                  <c:v>Winter day</c:v>
                </c:pt>
                <c:pt idx="18">
                  <c:v>Winter day</c:v>
                </c:pt>
                <c:pt idx="19">
                  <c:v>Winter day</c:v>
                </c:pt>
                <c:pt idx="20">
                  <c:v>Winter day</c:v>
                </c:pt>
                <c:pt idx="21">
                  <c:v>Winter day</c:v>
                </c:pt>
                <c:pt idx="22">
                  <c:v>Winter day</c:v>
                </c:pt>
                <c:pt idx="23">
                  <c:v>Winter day</c:v>
                </c:pt>
                <c:pt idx="24">
                  <c:v>Spring / fall weekday</c:v>
                </c:pt>
                <c:pt idx="25">
                  <c:v>Spring / fall weekday</c:v>
                </c:pt>
                <c:pt idx="26">
                  <c:v>Spring / fall weekday</c:v>
                </c:pt>
                <c:pt idx="27">
                  <c:v>Spring / fall weekday</c:v>
                </c:pt>
                <c:pt idx="28">
                  <c:v>Spring / fall weekday</c:v>
                </c:pt>
                <c:pt idx="29">
                  <c:v>Spring / fall weekday</c:v>
                </c:pt>
                <c:pt idx="30">
                  <c:v>Spring / fall weekday</c:v>
                </c:pt>
                <c:pt idx="31">
                  <c:v>Spring / fall weekday</c:v>
                </c:pt>
                <c:pt idx="32">
                  <c:v>Spring / fall weekday</c:v>
                </c:pt>
                <c:pt idx="33">
                  <c:v>Spring / fall weekday</c:v>
                </c:pt>
                <c:pt idx="34">
                  <c:v>Spring / fall weekday</c:v>
                </c:pt>
                <c:pt idx="35">
                  <c:v>Spring / fall weekday</c:v>
                </c:pt>
                <c:pt idx="36">
                  <c:v>Spring / fall weekday</c:v>
                </c:pt>
                <c:pt idx="37">
                  <c:v>Spring / fall weekday</c:v>
                </c:pt>
                <c:pt idx="38">
                  <c:v>Spring / fall weekday</c:v>
                </c:pt>
                <c:pt idx="39">
                  <c:v>Spring / fall weekday</c:v>
                </c:pt>
                <c:pt idx="40">
                  <c:v>Spring / fall weekday</c:v>
                </c:pt>
                <c:pt idx="41">
                  <c:v>Spring / fall weekday</c:v>
                </c:pt>
                <c:pt idx="42">
                  <c:v>Spring / fall weekday</c:v>
                </c:pt>
                <c:pt idx="43">
                  <c:v>Spring / fall weekday</c:v>
                </c:pt>
                <c:pt idx="44">
                  <c:v>Spring / fall weekday</c:v>
                </c:pt>
                <c:pt idx="45">
                  <c:v>Spring / fall weekday</c:v>
                </c:pt>
                <c:pt idx="46">
                  <c:v>Spring / fall weekday</c:v>
                </c:pt>
                <c:pt idx="47">
                  <c:v>Spring / fall weekday</c:v>
                </c:pt>
                <c:pt idx="48">
                  <c:v>Spring / fall weekend</c:v>
                </c:pt>
                <c:pt idx="49">
                  <c:v>Spring / fall weekend</c:v>
                </c:pt>
                <c:pt idx="50">
                  <c:v>Spring / fall weekend</c:v>
                </c:pt>
                <c:pt idx="51">
                  <c:v>Spring / fall weekend</c:v>
                </c:pt>
                <c:pt idx="52">
                  <c:v>Spring / fall weekend</c:v>
                </c:pt>
                <c:pt idx="53">
                  <c:v>Spring / fall weekend</c:v>
                </c:pt>
                <c:pt idx="54">
                  <c:v>Spring / fall weekend</c:v>
                </c:pt>
                <c:pt idx="55">
                  <c:v>Spring / fall weekend</c:v>
                </c:pt>
                <c:pt idx="56">
                  <c:v>Spring / fall weekend</c:v>
                </c:pt>
                <c:pt idx="57">
                  <c:v>Spring / fall weekend</c:v>
                </c:pt>
                <c:pt idx="58">
                  <c:v>Spring / fall weekend</c:v>
                </c:pt>
                <c:pt idx="59">
                  <c:v>Spring / fall weekend</c:v>
                </c:pt>
                <c:pt idx="60">
                  <c:v>Spring / fall weekend</c:v>
                </c:pt>
                <c:pt idx="61">
                  <c:v>Spring / fall weekend</c:v>
                </c:pt>
                <c:pt idx="62">
                  <c:v>Spring / fall weekend</c:v>
                </c:pt>
                <c:pt idx="63">
                  <c:v>Spring / fall weekend</c:v>
                </c:pt>
                <c:pt idx="64">
                  <c:v>Spring / fall weekend</c:v>
                </c:pt>
                <c:pt idx="65">
                  <c:v>Spring / fall weekend</c:v>
                </c:pt>
                <c:pt idx="66">
                  <c:v>Spring / fall weekend</c:v>
                </c:pt>
                <c:pt idx="67">
                  <c:v>Spring / fall weekend</c:v>
                </c:pt>
                <c:pt idx="68">
                  <c:v>Spring / fall weekend</c:v>
                </c:pt>
                <c:pt idx="69">
                  <c:v>Spring / fall weekend</c:v>
                </c:pt>
                <c:pt idx="70">
                  <c:v>Spring / fall weekend</c:v>
                </c:pt>
                <c:pt idx="71">
                  <c:v>Spring / fall weekend</c:v>
                </c:pt>
                <c:pt idx="72">
                  <c:v>Summer weekday</c:v>
                </c:pt>
                <c:pt idx="73">
                  <c:v>Summer weekday</c:v>
                </c:pt>
                <c:pt idx="74">
                  <c:v>Summer weekday</c:v>
                </c:pt>
                <c:pt idx="75">
                  <c:v>Summer weekday</c:v>
                </c:pt>
                <c:pt idx="76">
                  <c:v>Summer weekday</c:v>
                </c:pt>
                <c:pt idx="77">
                  <c:v>Summer weekday</c:v>
                </c:pt>
                <c:pt idx="78">
                  <c:v>Summer weekday</c:v>
                </c:pt>
                <c:pt idx="79">
                  <c:v>Summer weekday</c:v>
                </c:pt>
                <c:pt idx="80">
                  <c:v>Summer weekday</c:v>
                </c:pt>
                <c:pt idx="81">
                  <c:v>Summer weekday</c:v>
                </c:pt>
                <c:pt idx="82">
                  <c:v>Summer weekday</c:v>
                </c:pt>
                <c:pt idx="83">
                  <c:v>Summer weekday</c:v>
                </c:pt>
                <c:pt idx="84">
                  <c:v>Summer weekday</c:v>
                </c:pt>
                <c:pt idx="85">
                  <c:v>Summer weekday</c:v>
                </c:pt>
                <c:pt idx="86">
                  <c:v>Summer weekday</c:v>
                </c:pt>
                <c:pt idx="87">
                  <c:v>Summer weekday</c:v>
                </c:pt>
                <c:pt idx="88">
                  <c:v>Summer weekday</c:v>
                </c:pt>
                <c:pt idx="89">
                  <c:v>Summer weekday</c:v>
                </c:pt>
                <c:pt idx="90">
                  <c:v>Summer weekday</c:v>
                </c:pt>
                <c:pt idx="91">
                  <c:v>Summer weekday</c:v>
                </c:pt>
                <c:pt idx="92">
                  <c:v>Summer weekday</c:v>
                </c:pt>
                <c:pt idx="93">
                  <c:v>Summer weekday</c:v>
                </c:pt>
                <c:pt idx="94">
                  <c:v>Summer weekday</c:v>
                </c:pt>
                <c:pt idx="95">
                  <c:v>Summer weekday</c:v>
                </c:pt>
                <c:pt idx="96">
                  <c:v>Summer weekend</c:v>
                </c:pt>
                <c:pt idx="97">
                  <c:v>Summer weekend</c:v>
                </c:pt>
                <c:pt idx="98">
                  <c:v>Summer weekend</c:v>
                </c:pt>
                <c:pt idx="99">
                  <c:v>Summer weekend</c:v>
                </c:pt>
                <c:pt idx="100">
                  <c:v>Summer weekend</c:v>
                </c:pt>
                <c:pt idx="101">
                  <c:v>Summer weekend</c:v>
                </c:pt>
                <c:pt idx="102">
                  <c:v>Summer weekend</c:v>
                </c:pt>
                <c:pt idx="103">
                  <c:v>Summer weekend</c:v>
                </c:pt>
                <c:pt idx="104">
                  <c:v>Summer weekend</c:v>
                </c:pt>
                <c:pt idx="105">
                  <c:v>Summer weekend</c:v>
                </c:pt>
                <c:pt idx="106">
                  <c:v>Summer weekend</c:v>
                </c:pt>
                <c:pt idx="107">
                  <c:v>Summer weekend</c:v>
                </c:pt>
                <c:pt idx="108">
                  <c:v>Summer weekend</c:v>
                </c:pt>
                <c:pt idx="109">
                  <c:v>Summer weekend</c:v>
                </c:pt>
                <c:pt idx="110">
                  <c:v>Summer weekend</c:v>
                </c:pt>
                <c:pt idx="111">
                  <c:v>Summer weekend</c:v>
                </c:pt>
                <c:pt idx="112">
                  <c:v>Summer weekend</c:v>
                </c:pt>
                <c:pt idx="113">
                  <c:v>Summer weekend</c:v>
                </c:pt>
                <c:pt idx="114">
                  <c:v>Summer weekend</c:v>
                </c:pt>
                <c:pt idx="115">
                  <c:v>Summer weekend</c:v>
                </c:pt>
                <c:pt idx="116">
                  <c:v>Summer weekend</c:v>
                </c:pt>
                <c:pt idx="117">
                  <c:v>Summer weekend</c:v>
                </c:pt>
                <c:pt idx="118">
                  <c:v>Summer weekend</c:v>
                </c:pt>
                <c:pt idx="119">
                  <c:v>Summer weekend</c:v>
                </c:pt>
                <c:pt idx="120">
                  <c:v>Maintenance of HP</c:v>
                </c:pt>
                <c:pt idx="121">
                  <c:v>Maintenance of HP</c:v>
                </c:pt>
                <c:pt idx="122">
                  <c:v>Maintenance of HP</c:v>
                </c:pt>
                <c:pt idx="123">
                  <c:v>Maintenance of HP</c:v>
                </c:pt>
                <c:pt idx="124">
                  <c:v>Maintenance of HP</c:v>
                </c:pt>
                <c:pt idx="125">
                  <c:v>Maintenance of HP</c:v>
                </c:pt>
                <c:pt idx="126">
                  <c:v>Maintenance of HP</c:v>
                </c:pt>
                <c:pt idx="127">
                  <c:v>Maintenance of HP</c:v>
                </c:pt>
                <c:pt idx="128">
                  <c:v>Maintenance of HP</c:v>
                </c:pt>
                <c:pt idx="129">
                  <c:v>Maintenance of HP</c:v>
                </c:pt>
                <c:pt idx="130">
                  <c:v>Maintenance of HP</c:v>
                </c:pt>
                <c:pt idx="131">
                  <c:v>Maintenance of HP</c:v>
                </c:pt>
                <c:pt idx="132">
                  <c:v>Maintenance of HP</c:v>
                </c:pt>
                <c:pt idx="133">
                  <c:v>Maintenance of HP</c:v>
                </c:pt>
                <c:pt idx="134">
                  <c:v>Maintenance of HP</c:v>
                </c:pt>
                <c:pt idx="135">
                  <c:v>Maintenance of HP</c:v>
                </c:pt>
                <c:pt idx="136">
                  <c:v>Maintenance of HP</c:v>
                </c:pt>
                <c:pt idx="137">
                  <c:v>Maintenance of HP</c:v>
                </c:pt>
                <c:pt idx="138">
                  <c:v>Maintenance of HP</c:v>
                </c:pt>
                <c:pt idx="139">
                  <c:v>Maintenance of HP</c:v>
                </c:pt>
                <c:pt idx="140">
                  <c:v>Maintenance of HP</c:v>
                </c:pt>
                <c:pt idx="141">
                  <c:v>Maintenance of HP</c:v>
                </c:pt>
                <c:pt idx="142">
                  <c:v>Maintenance of HP</c:v>
                </c:pt>
                <c:pt idx="143">
                  <c:v>Maintenance of HP</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7</c:v>
                </c:pt>
                <c:pt idx="165">
                  <c:v>7</c:v>
                </c:pt>
                <c:pt idx="166">
                  <c:v>7</c:v>
                </c:pt>
                <c:pt idx="167">
                  <c:v>7</c:v>
                </c:pt>
                <c:pt idx="168">
                  <c:v>8</c:v>
                </c:pt>
                <c:pt idx="169">
                  <c:v>8</c:v>
                </c:pt>
                <c:pt idx="170">
                  <c:v>8</c:v>
                </c:pt>
                <c:pt idx="171">
                  <c:v>8</c:v>
                </c:pt>
                <c:pt idx="172">
                  <c:v>8</c:v>
                </c:pt>
                <c:pt idx="173">
                  <c:v>8</c:v>
                </c:pt>
                <c:pt idx="174">
                  <c:v>8</c:v>
                </c:pt>
                <c:pt idx="175">
                  <c:v>8</c:v>
                </c:pt>
                <c:pt idx="176">
                  <c:v>8</c:v>
                </c:pt>
                <c:pt idx="177">
                  <c:v>8</c:v>
                </c:pt>
                <c:pt idx="178">
                  <c:v>8</c:v>
                </c:pt>
                <c:pt idx="179">
                  <c:v>8</c:v>
                </c:pt>
                <c:pt idx="180">
                  <c:v>8</c:v>
                </c:pt>
                <c:pt idx="181">
                  <c:v>8</c:v>
                </c:pt>
                <c:pt idx="182">
                  <c:v>8</c:v>
                </c:pt>
                <c:pt idx="183">
                  <c:v>8</c:v>
                </c:pt>
                <c:pt idx="184">
                  <c:v>8</c:v>
                </c:pt>
                <c:pt idx="185">
                  <c:v>8</c:v>
                </c:pt>
                <c:pt idx="186">
                  <c:v>8</c:v>
                </c:pt>
                <c:pt idx="187">
                  <c:v>8</c:v>
                </c:pt>
                <c:pt idx="188">
                  <c:v>8</c:v>
                </c:pt>
                <c:pt idx="189">
                  <c:v>8</c:v>
                </c:pt>
                <c:pt idx="190">
                  <c:v>8</c:v>
                </c:pt>
                <c:pt idx="191">
                  <c:v>8</c:v>
                </c:pt>
                <c:pt idx="192">
                  <c:v>9</c:v>
                </c:pt>
                <c:pt idx="193">
                  <c:v>9</c:v>
                </c:pt>
                <c:pt idx="194">
                  <c:v>9</c:v>
                </c:pt>
                <c:pt idx="195">
                  <c:v>9</c:v>
                </c:pt>
                <c:pt idx="196">
                  <c:v>9</c:v>
                </c:pt>
                <c:pt idx="197">
                  <c:v>9</c:v>
                </c:pt>
                <c:pt idx="198">
                  <c:v>9</c:v>
                </c:pt>
                <c:pt idx="199">
                  <c:v>9</c:v>
                </c:pt>
                <c:pt idx="200">
                  <c:v>9</c:v>
                </c:pt>
                <c:pt idx="201">
                  <c:v>9</c:v>
                </c:pt>
                <c:pt idx="202">
                  <c:v>9</c:v>
                </c:pt>
                <c:pt idx="203">
                  <c:v>9</c:v>
                </c:pt>
                <c:pt idx="204">
                  <c:v>9</c:v>
                </c:pt>
                <c:pt idx="205">
                  <c:v>9</c:v>
                </c:pt>
                <c:pt idx="206">
                  <c:v>9</c:v>
                </c:pt>
                <c:pt idx="207">
                  <c:v>9</c:v>
                </c:pt>
                <c:pt idx="208">
                  <c:v>9</c:v>
                </c:pt>
                <c:pt idx="209">
                  <c:v>9</c:v>
                </c:pt>
                <c:pt idx="210">
                  <c:v>9</c:v>
                </c:pt>
                <c:pt idx="211">
                  <c:v>9</c:v>
                </c:pt>
                <c:pt idx="212">
                  <c:v>9</c:v>
                </c:pt>
                <c:pt idx="213">
                  <c:v>9</c:v>
                </c:pt>
                <c:pt idx="214">
                  <c:v>9</c:v>
                </c:pt>
                <c:pt idx="215">
                  <c:v>9</c:v>
                </c:pt>
                <c:pt idx="216">
                  <c:v>10</c:v>
                </c:pt>
                <c:pt idx="217">
                  <c:v>10</c:v>
                </c:pt>
                <c:pt idx="218">
                  <c:v>10</c:v>
                </c:pt>
                <c:pt idx="219">
                  <c:v>10</c:v>
                </c:pt>
                <c:pt idx="220">
                  <c:v>10</c:v>
                </c:pt>
                <c:pt idx="221">
                  <c:v>10</c:v>
                </c:pt>
                <c:pt idx="222">
                  <c:v>10</c:v>
                </c:pt>
                <c:pt idx="223">
                  <c:v>10</c:v>
                </c:pt>
                <c:pt idx="224">
                  <c:v>10</c:v>
                </c:pt>
                <c:pt idx="225">
                  <c:v>10</c:v>
                </c:pt>
                <c:pt idx="226">
                  <c:v>10</c:v>
                </c:pt>
                <c:pt idx="227">
                  <c:v>10</c:v>
                </c:pt>
                <c:pt idx="228">
                  <c:v>10</c:v>
                </c:pt>
                <c:pt idx="229">
                  <c:v>10</c:v>
                </c:pt>
                <c:pt idx="230">
                  <c:v>10</c:v>
                </c:pt>
                <c:pt idx="231">
                  <c:v>10</c:v>
                </c:pt>
                <c:pt idx="232">
                  <c:v>10</c:v>
                </c:pt>
                <c:pt idx="233">
                  <c:v>10</c:v>
                </c:pt>
                <c:pt idx="234">
                  <c:v>10</c:v>
                </c:pt>
                <c:pt idx="235">
                  <c:v>10</c:v>
                </c:pt>
                <c:pt idx="236">
                  <c:v>10</c:v>
                </c:pt>
                <c:pt idx="237">
                  <c:v>10</c:v>
                </c:pt>
                <c:pt idx="238">
                  <c:v>10</c:v>
                </c:pt>
                <c:pt idx="239">
                  <c:v>10</c:v>
                </c:pt>
                <c:pt idx="240">
                  <c:v>11</c:v>
                </c:pt>
                <c:pt idx="241">
                  <c:v>11</c:v>
                </c:pt>
                <c:pt idx="242">
                  <c:v>11</c:v>
                </c:pt>
                <c:pt idx="243">
                  <c:v>11</c:v>
                </c:pt>
                <c:pt idx="244">
                  <c:v>11</c:v>
                </c:pt>
                <c:pt idx="245">
                  <c:v>11</c:v>
                </c:pt>
                <c:pt idx="246">
                  <c:v>11</c:v>
                </c:pt>
                <c:pt idx="247">
                  <c:v>11</c:v>
                </c:pt>
                <c:pt idx="248">
                  <c:v>11</c:v>
                </c:pt>
                <c:pt idx="249">
                  <c:v>11</c:v>
                </c:pt>
                <c:pt idx="250">
                  <c:v>11</c:v>
                </c:pt>
                <c:pt idx="251">
                  <c:v>11</c:v>
                </c:pt>
                <c:pt idx="252">
                  <c:v>11</c:v>
                </c:pt>
                <c:pt idx="253">
                  <c:v>11</c:v>
                </c:pt>
                <c:pt idx="254">
                  <c:v>11</c:v>
                </c:pt>
                <c:pt idx="255">
                  <c:v>11</c:v>
                </c:pt>
                <c:pt idx="256">
                  <c:v>11</c:v>
                </c:pt>
                <c:pt idx="257">
                  <c:v>11</c:v>
                </c:pt>
                <c:pt idx="258">
                  <c:v>11</c:v>
                </c:pt>
                <c:pt idx="259">
                  <c:v>11</c:v>
                </c:pt>
                <c:pt idx="260">
                  <c:v>11</c:v>
                </c:pt>
                <c:pt idx="261">
                  <c:v>11</c:v>
                </c:pt>
                <c:pt idx="262">
                  <c:v>11</c:v>
                </c:pt>
                <c:pt idx="263">
                  <c:v>11</c:v>
                </c:pt>
                <c:pt idx="264">
                  <c:v>12</c:v>
                </c:pt>
                <c:pt idx="265">
                  <c:v>12</c:v>
                </c:pt>
                <c:pt idx="266">
                  <c:v>12</c:v>
                </c:pt>
                <c:pt idx="267">
                  <c:v>12</c:v>
                </c:pt>
                <c:pt idx="268">
                  <c:v>12</c:v>
                </c:pt>
                <c:pt idx="269">
                  <c:v>12</c:v>
                </c:pt>
                <c:pt idx="270">
                  <c:v>12</c:v>
                </c:pt>
                <c:pt idx="271">
                  <c:v>12</c:v>
                </c:pt>
                <c:pt idx="272">
                  <c:v>12</c:v>
                </c:pt>
                <c:pt idx="273">
                  <c:v>12</c:v>
                </c:pt>
                <c:pt idx="274">
                  <c:v>12</c:v>
                </c:pt>
                <c:pt idx="275">
                  <c:v>12</c:v>
                </c:pt>
                <c:pt idx="276">
                  <c:v>12</c:v>
                </c:pt>
                <c:pt idx="277">
                  <c:v>12</c:v>
                </c:pt>
                <c:pt idx="278">
                  <c:v>12</c:v>
                </c:pt>
                <c:pt idx="279">
                  <c:v>12</c:v>
                </c:pt>
                <c:pt idx="280">
                  <c:v>12</c:v>
                </c:pt>
                <c:pt idx="281">
                  <c:v>12</c:v>
                </c:pt>
                <c:pt idx="282">
                  <c:v>12</c:v>
                </c:pt>
                <c:pt idx="283">
                  <c:v>12</c:v>
                </c:pt>
                <c:pt idx="284">
                  <c:v>12</c:v>
                </c:pt>
                <c:pt idx="285">
                  <c:v>12</c:v>
                </c:pt>
                <c:pt idx="286">
                  <c:v>12</c:v>
                </c:pt>
                <c:pt idx="287">
                  <c:v>12</c:v>
                </c:pt>
                <c:pt idx="288">
                  <c:v>13</c:v>
                </c:pt>
                <c:pt idx="289">
                  <c:v>13</c:v>
                </c:pt>
                <c:pt idx="290">
                  <c:v>13</c:v>
                </c:pt>
                <c:pt idx="291">
                  <c:v>13</c:v>
                </c:pt>
                <c:pt idx="292">
                  <c:v>13</c:v>
                </c:pt>
                <c:pt idx="293">
                  <c:v>13</c:v>
                </c:pt>
                <c:pt idx="294">
                  <c:v>13</c:v>
                </c:pt>
                <c:pt idx="295">
                  <c:v>13</c:v>
                </c:pt>
                <c:pt idx="296">
                  <c:v>13</c:v>
                </c:pt>
                <c:pt idx="297">
                  <c:v>13</c:v>
                </c:pt>
                <c:pt idx="298">
                  <c:v>13</c:v>
                </c:pt>
                <c:pt idx="299">
                  <c:v>13</c:v>
                </c:pt>
                <c:pt idx="300">
                  <c:v>13</c:v>
                </c:pt>
                <c:pt idx="301">
                  <c:v>13</c:v>
                </c:pt>
                <c:pt idx="302">
                  <c:v>13</c:v>
                </c:pt>
                <c:pt idx="303">
                  <c:v>13</c:v>
                </c:pt>
                <c:pt idx="304">
                  <c:v>13</c:v>
                </c:pt>
                <c:pt idx="305">
                  <c:v>13</c:v>
                </c:pt>
                <c:pt idx="306">
                  <c:v>13</c:v>
                </c:pt>
                <c:pt idx="307">
                  <c:v>13</c:v>
                </c:pt>
                <c:pt idx="308">
                  <c:v>13</c:v>
                </c:pt>
                <c:pt idx="309">
                  <c:v>13</c:v>
                </c:pt>
                <c:pt idx="310">
                  <c:v>13</c:v>
                </c:pt>
                <c:pt idx="311">
                  <c:v>13</c:v>
                </c:pt>
                <c:pt idx="312">
                  <c:v>14</c:v>
                </c:pt>
                <c:pt idx="313">
                  <c:v>14</c:v>
                </c:pt>
                <c:pt idx="314">
                  <c:v>14</c:v>
                </c:pt>
                <c:pt idx="315">
                  <c:v>14</c:v>
                </c:pt>
                <c:pt idx="316">
                  <c:v>14</c:v>
                </c:pt>
                <c:pt idx="317">
                  <c:v>14</c:v>
                </c:pt>
                <c:pt idx="318">
                  <c:v>14</c:v>
                </c:pt>
                <c:pt idx="319">
                  <c:v>14</c:v>
                </c:pt>
                <c:pt idx="320">
                  <c:v>14</c:v>
                </c:pt>
                <c:pt idx="321">
                  <c:v>14</c:v>
                </c:pt>
                <c:pt idx="322">
                  <c:v>14</c:v>
                </c:pt>
                <c:pt idx="323">
                  <c:v>14</c:v>
                </c:pt>
                <c:pt idx="324">
                  <c:v>14</c:v>
                </c:pt>
                <c:pt idx="325">
                  <c:v>14</c:v>
                </c:pt>
                <c:pt idx="326">
                  <c:v>14</c:v>
                </c:pt>
                <c:pt idx="327">
                  <c:v>14</c:v>
                </c:pt>
                <c:pt idx="328">
                  <c:v>14</c:v>
                </c:pt>
                <c:pt idx="329">
                  <c:v>14</c:v>
                </c:pt>
                <c:pt idx="330">
                  <c:v>14</c:v>
                </c:pt>
                <c:pt idx="331">
                  <c:v>14</c:v>
                </c:pt>
                <c:pt idx="332">
                  <c:v>14</c:v>
                </c:pt>
                <c:pt idx="333">
                  <c:v>14</c:v>
                </c:pt>
                <c:pt idx="334">
                  <c:v>14</c:v>
                </c:pt>
                <c:pt idx="335">
                  <c:v>14</c:v>
                </c:pt>
                <c:pt idx="336">
                  <c:v>15</c:v>
                </c:pt>
                <c:pt idx="337">
                  <c:v>15</c:v>
                </c:pt>
                <c:pt idx="338">
                  <c:v>15</c:v>
                </c:pt>
                <c:pt idx="339">
                  <c:v>15</c:v>
                </c:pt>
                <c:pt idx="340">
                  <c:v>15</c:v>
                </c:pt>
                <c:pt idx="341">
                  <c:v>15</c:v>
                </c:pt>
                <c:pt idx="342">
                  <c:v>15</c:v>
                </c:pt>
                <c:pt idx="343">
                  <c:v>15</c:v>
                </c:pt>
                <c:pt idx="344">
                  <c:v>15</c:v>
                </c:pt>
                <c:pt idx="345">
                  <c:v>15</c:v>
                </c:pt>
                <c:pt idx="346">
                  <c:v>15</c:v>
                </c:pt>
                <c:pt idx="347">
                  <c:v>15</c:v>
                </c:pt>
                <c:pt idx="348">
                  <c:v>15</c:v>
                </c:pt>
                <c:pt idx="349">
                  <c:v>15</c:v>
                </c:pt>
                <c:pt idx="350">
                  <c:v>15</c:v>
                </c:pt>
                <c:pt idx="351">
                  <c:v>15</c:v>
                </c:pt>
                <c:pt idx="352">
                  <c:v>15</c:v>
                </c:pt>
                <c:pt idx="353">
                  <c:v>15</c:v>
                </c:pt>
                <c:pt idx="354">
                  <c:v>15</c:v>
                </c:pt>
                <c:pt idx="355">
                  <c:v>15</c:v>
                </c:pt>
                <c:pt idx="356">
                  <c:v>15</c:v>
                </c:pt>
                <c:pt idx="357">
                  <c:v>15</c:v>
                </c:pt>
                <c:pt idx="358">
                  <c:v>15</c:v>
                </c:pt>
                <c:pt idx="359">
                  <c:v>15</c:v>
                </c:pt>
                <c:pt idx="360">
                  <c:v>16</c:v>
                </c:pt>
                <c:pt idx="361">
                  <c:v>16</c:v>
                </c:pt>
                <c:pt idx="362">
                  <c:v>16</c:v>
                </c:pt>
                <c:pt idx="363">
                  <c:v>16</c:v>
                </c:pt>
                <c:pt idx="364">
                  <c:v>16</c:v>
                </c:pt>
                <c:pt idx="365">
                  <c:v>16</c:v>
                </c:pt>
                <c:pt idx="366">
                  <c:v>16</c:v>
                </c:pt>
                <c:pt idx="367">
                  <c:v>16</c:v>
                </c:pt>
                <c:pt idx="368">
                  <c:v>16</c:v>
                </c:pt>
                <c:pt idx="369">
                  <c:v>16</c:v>
                </c:pt>
                <c:pt idx="370">
                  <c:v>16</c:v>
                </c:pt>
                <c:pt idx="371">
                  <c:v>16</c:v>
                </c:pt>
                <c:pt idx="372">
                  <c:v>16</c:v>
                </c:pt>
                <c:pt idx="373">
                  <c:v>16</c:v>
                </c:pt>
                <c:pt idx="374">
                  <c:v>16</c:v>
                </c:pt>
                <c:pt idx="375">
                  <c:v>16</c:v>
                </c:pt>
                <c:pt idx="376">
                  <c:v>16</c:v>
                </c:pt>
                <c:pt idx="377">
                  <c:v>16</c:v>
                </c:pt>
                <c:pt idx="378">
                  <c:v>16</c:v>
                </c:pt>
                <c:pt idx="379">
                  <c:v>16</c:v>
                </c:pt>
                <c:pt idx="380">
                  <c:v>16</c:v>
                </c:pt>
                <c:pt idx="381">
                  <c:v>16</c:v>
                </c:pt>
                <c:pt idx="382">
                  <c:v>16</c:v>
                </c:pt>
                <c:pt idx="383">
                  <c:v>16</c:v>
                </c:pt>
                <c:pt idx="384">
                  <c:v>17</c:v>
                </c:pt>
                <c:pt idx="385">
                  <c:v>17</c:v>
                </c:pt>
                <c:pt idx="386">
                  <c:v>17</c:v>
                </c:pt>
                <c:pt idx="387">
                  <c:v>17</c:v>
                </c:pt>
                <c:pt idx="388">
                  <c:v>17</c:v>
                </c:pt>
                <c:pt idx="389">
                  <c:v>17</c:v>
                </c:pt>
                <c:pt idx="390">
                  <c:v>17</c:v>
                </c:pt>
                <c:pt idx="391">
                  <c:v>17</c:v>
                </c:pt>
                <c:pt idx="392">
                  <c:v>17</c:v>
                </c:pt>
                <c:pt idx="393">
                  <c:v>17</c:v>
                </c:pt>
                <c:pt idx="394">
                  <c:v>17</c:v>
                </c:pt>
                <c:pt idx="395">
                  <c:v>17</c:v>
                </c:pt>
                <c:pt idx="396">
                  <c:v>17</c:v>
                </c:pt>
                <c:pt idx="397">
                  <c:v>17</c:v>
                </c:pt>
                <c:pt idx="398">
                  <c:v>17</c:v>
                </c:pt>
                <c:pt idx="399">
                  <c:v>17</c:v>
                </c:pt>
                <c:pt idx="400">
                  <c:v>17</c:v>
                </c:pt>
                <c:pt idx="401">
                  <c:v>17</c:v>
                </c:pt>
                <c:pt idx="402">
                  <c:v>17</c:v>
                </c:pt>
                <c:pt idx="403">
                  <c:v>17</c:v>
                </c:pt>
                <c:pt idx="404">
                  <c:v>17</c:v>
                </c:pt>
                <c:pt idx="405">
                  <c:v>17</c:v>
                </c:pt>
                <c:pt idx="406">
                  <c:v>17</c:v>
                </c:pt>
                <c:pt idx="407">
                  <c:v>17</c:v>
                </c:pt>
                <c:pt idx="408">
                  <c:v>18</c:v>
                </c:pt>
                <c:pt idx="409">
                  <c:v>18</c:v>
                </c:pt>
                <c:pt idx="410">
                  <c:v>18</c:v>
                </c:pt>
                <c:pt idx="411">
                  <c:v>18</c:v>
                </c:pt>
                <c:pt idx="412">
                  <c:v>18</c:v>
                </c:pt>
                <c:pt idx="413">
                  <c:v>18</c:v>
                </c:pt>
                <c:pt idx="414">
                  <c:v>18</c:v>
                </c:pt>
                <c:pt idx="415">
                  <c:v>18</c:v>
                </c:pt>
                <c:pt idx="416">
                  <c:v>18</c:v>
                </c:pt>
                <c:pt idx="417">
                  <c:v>18</c:v>
                </c:pt>
                <c:pt idx="418">
                  <c:v>18</c:v>
                </c:pt>
                <c:pt idx="419">
                  <c:v>18</c:v>
                </c:pt>
                <c:pt idx="420">
                  <c:v>18</c:v>
                </c:pt>
                <c:pt idx="421">
                  <c:v>18</c:v>
                </c:pt>
                <c:pt idx="422">
                  <c:v>18</c:v>
                </c:pt>
                <c:pt idx="423">
                  <c:v>18</c:v>
                </c:pt>
                <c:pt idx="424">
                  <c:v>18</c:v>
                </c:pt>
                <c:pt idx="425">
                  <c:v>18</c:v>
                </c:pt>
                <c:pt idx="426">
                  <c:v>18</c:v>
                </c:pt>
                <c:pt idx="427">
                  <c:v>18</c:v>
                </c:pt>
                <c:pt idx="428">
                  <c:v>18</c:v>
                </c:pt>
                <c:pt idx="429">
                  <c:v>18</c:v>
                </c:pt>
                <c:pt idx="430">
                  <c:v>18</c:v>
                </c:pt>
                <c:pt idx="431">
                  <c:v>18</c:v>
                </c:pt>
                <c:pt idx="432">
                  <c:v>19</c:v>
                </c:pt>
                <c:pt idx="433">
                  <c:v>19</c:v>
                </c:pt>
                <c:pt idx="434">
                  <c:v>19</c:v>
                </c:pt>
                <c:pt idx="435">
                  <c:v>19</c:v>
                </c:pt>
                <c:pt idx="436">
                  <c:v>19</c:v>
                </c:pt>
                <c:pt idx="437">
                  <c:v>19</c:v>
                </c:pt>
                <c:pt idx="438">
                  <c:v>19</c:v>
                </c:pt>
                <c:pt idx="439">
                  <c:v>19</c:v>
                </c:pt>
                <c:pt idx="440">
                  <c:v>19</c:v>
                </c:pt>
                <c:pt idx="441">
                  <c:v>19</c:v>
                </c:pt>
                <c:pt idx="442">
                  <c:v>19</c:v>
                </c:pt>
                <c:pt idx="443">
                  <c:v>19</c:v>
                </c:pt>
                <c:pt idx="444">
                  <c:v>19</c:v>
                </c:pt>
                <c:pt idx="445">
                  <c:v>19</c:v>
                </c:pt>
                <c:pt idx="446">
                  <c:v>19</c:v>
                </c:pt>
                <c:pt idx="447">
                  <c:v>19</c:v>
                </c:pt>
                <c:pt idx="448">
                  <c:v>19</c:v>
                </c:pt>
                <c:pt idx="449">
                  <c:v>19</c:v>
                </c:pt>
                <c:pt idx="450">
                  <c:v>19</c:v>
                </c:pt>
                <c:pt idx="451">
                  <c:v>19</c:v>
                </c:pt>
                <c:pt idx="452">
                  <c:v>19</c:v>
                </c:pt>
                <c:pt idx="453">
                  <c:v>19</c:v>
                </c:pt>
                <c:pt idx="454">
                  <c:v>19</c:v>
                </c:pt>
                <c:pt idx="455">
                  <c:v>19</c:v>
                </c:pt>
                <c:pt idx="456">
                  <c:v>20</c:v>
                </c:pt>
                <c:pt idx="457">
                  <c:v>20</c:v>
                </c:pt>
                <c:pt idx="458">
                  <c:v>20</c:v>
                </c:pt>
                <c:pt idx="459">
                  <c:v>20</c:v>
                </c:pt>
                <c:pt idx="460">
                  <c:v>20</c:v>
                </c:pt>
                <c:pt idx="461">
                  <c:v>20</c:v>
                </c:pt>
                <c:pt idx="462">
                  <c:v>20</c:v>
                </c:pt>
                <c:pt idx="463">
                  <c:v>20</c:v>
                </c:pt>
                <c:pt idx="464">
                  <c:v>20</c:v>
                </c:pt>
                <c:pt idx="465">
                  <c:v>20</c:v>
                </c:pt>
                <c:pt idx="466">
                  <c:v>20</c:v>
                </c:pt>
                <c:pt idx="467">
                  <c:v>20</c:v>
                </c:pt>
                <c:pt idx="468">
                  <c:v>20</c:v>
                </c:pt>
                <c:pt idx="469">
                  <c:v>20</c:v>
                </c:pt>
                <c:pt idx="470">
                  <c:v>20</c:v>
                </c:pt>
                <c:pt idx="471">
                  <c:v>20</c:v>
                </c:pt>
                <c:pt idx="472">
                  <c:v>20</c:v>
                </c:pt>
                <c:pt idx="473">
                  <c:v>20</c:v>
                </c:pt>
                <c:pt idx="474">
                  <c:v>20</c:v>
                </c:pt>
                <c:pt idx="475">
                  <c:v>20</c:v>
                </c:pt>
                <c:pt idx="476">
                  <c:v>20</c:v>
                </c:pt>
                <c:pt idx="477">
                  <c:v>20</c:v>
                </c:pt>
                <c:pt idx="478">
                  <c:v>20</c:v>
                </c:pt>
                <c:pt idx="479">
                  <c:v>20</c:v>
                </c:pt>
              </c:strCache>
            </c:strRef>
          </c:cat>
          <c:val>
            <c:numRef>
              <c:f>'Calculation of Typical Day'!$BZ$21:$BZ$500</c:f>
              <c:numCache>
                <c:formatCode>#,##0.00</c:formatCode>
                <c:ptCount val="48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0</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numCache>
            </c:numRef>
          </c:val>
          <c:smooth val="0"/>
          <c:extLst>
            <c:ext xmlns:c16="http://schemas.microsoft.com/office/drawing/2014/chart" uri="{C3380CC4-5D6E-409C-BE32-E72D297353CC}">
              <c16:uniqueId val="{00000000-3779-4187-B565-B3439E7A5866}"/>
            </c:ext>
          </c:extLst>
        </c:ser>
        <c:ser>
          <c:idx val="1"/>
          <c:order val="1"/>
          <c:tx>
            <c:strRef>
              <c:f>'Calculation of Typical Day'!$CO$13</c:f>
              <c:strCache>
                <c:ptCount val="1"/>
                <c:pt idx="0">
                  <c:v>SRMC Heat-pump is lower than SRMC of alternative heat production</c:v>
                </c:pt>
              </c:strCache>
            </c:strRef>
          </c:tx>
          <c:spPr>
            <a:ln w="31750" cap="rnd">
              <a:solidFill>
                <a:schemeClr val="accent2"/>
              </a:solidFill>
              <a:round/>
            </a:ln>
            <a:effectLst/>
          </c:spPr>
          <c:marker>
            <c:symbol val="none"/>
          </c:marker>
          <c:val>
            <c:numRef>
              <c:f>'Calculation of Typical Day'!$CO$21:$CO$500</c:f>
              <c:numCache>
                <c:formatCode>#,##0</c:formatCode>
                <c:ptCount val="480"/>
                <c:pt idx="0">
                  <c:v>1.05</c:v>
                </c:pt>
                <c:pt idx="1">
                  <c:v>1.05</c:v>
                </c:pt>
                <c:pt idx="2">
                  <c:v>1.05</c:v>
                </c:pt>
                <c:pt idx="3">
                  <c:v>1.05</c:v>
                </c:pt>
                <c:pt idx="4">
                  <c:v>1.05</c:v>
                </c:pt>
                <c:pt idx="5">
                  <c:v>1.05</c:v>
                </c:pt>
                <c:pt idx="6">
                  <c:v>1.05</c:v>
                </c:pt>
                <c:pt idx="7">
                  <c:v>1.05</c:v>
                </c:pt>
                <c:pt idx="8">
                  <c:v>1.05</c:v>
                </c:pt>
                <c:pt idx="9">
                  <c:v>1.05</c:v>
                </c:pt>
                <c:pt idx="10">
                  <c:v>1.05</c:v>
                </c:pt>
                <c:pt idx="11">
                  <c:v>1.05</c:v>
                </c:pt>
                <c:pt idx="12">
                  <c:v>1.05</c:v>
                </c:pt>
                <c:pt idx="13">
                  <c:v>1.05</c:v>
                </c:pt>
                <c:pt idx="14">
                  <c:v>1.05</c:v>
                </c:pt>
                <c:pt idx="15">
                  <c:v>1.05</c:v>
                </c:pt>
                <c:pt idx="16">
                  <c:v>1.05</c:v>
                </c:pt>
                <c:pt idx="17">
                  <c:v>1.05</c:v>
                </c:pt>
                <c:pt idx="18">
                  <c:v>1.05</c:v>
                </c:pt>
                <c:pt idx="19">
                  <c:v>1.05</c:v>
                </c:pt>
                <c:pt idx="20">
                  <c:v>1.05</c:v>
                </c:pt>
                <c:pt idx="21">
                  <c:v>1.05</c:v>
                </c:pt>
                <c:pt idx="22">
                  <c:v>1.05</c:v>
                </c:pt>
                <c:pt idx="23">
                  <c:v>1.05</c:v>
                </c:pt>
                <c:pt idx="24">
                  <c:v>1.05</c:v>
                </c:pt>
                <c:pt idx="25">
                  <c:v>1.05</c:v>
                </c:pt>
                <c:pt idx="26">
                  <c:v>1.05</c:v>
                </c:pt>
                <c:pt idx="27">
                  <c:v>1.05</c:v>
                </c:pt>
                <c:pt idx="28">
                  <c:v>1.05</c:v>
                </c:pt>
                <c:pt idx="29">
                  <c:v>1.05</c:v>
                </c:pt>
                <c:pt idx="30">
                  <c:v>1.05</c:v>
                </c:pt>
                <c:pt idx="31">
                  <c:v>1.05</c:v>
                </c:pt>
                <c:pt idx="32">
                  <c:v>1.05</c:v>
                </c:pt>
                <c:pt idx="33">
                  <c:v>1.05</c:v>
                </c:pt>
                <c:pt idx="34">
                  <c:v>1.05</c:v>
                </c:pt>
                <c:pt idx="35">
                  <c:v>1.05</c:v>
                </c:pt>
                <c:pt idx="36">
                  <c:v>1.05</c:v>
                </c:pt>
                <c:pt idx="37">
                  <c:v>1.05</c:v>
                </c:pt>
                <c:pt idx="38">
                  <c:v>1.05</c:v>
                </c:pt>
                <c:pt idx="39">
                  <c:v>1.05</c:v>
                </c:pt>
                <c:pt idx="40">
                  <c:v>1.05</c:v>
                </c:pt>
                <c:pt idx="41">
                  <c:v>1.05</c:v>
                </c:pt>
                <c:pt idx="42">
                  <c:v>1.05</c:v>
                </c:pt>
                <c:pt idx="43">
                  <c:v>1.05</c:v>
                </c:pt>
                <c:pt idx="44">
                  <c:v>1.05</c:v>
                </c:pt>
                <c:pt idx="45">
                  <c:v>1.05</c:v>
                </c:pt>
                <c:pt idx="46">
                  <c:v>1.05</c:v>
                </c:pt>
                <c:pt idx="47">
                  <c:v>1.05</c:v>
                </c:pt>
                <c:pt idx="48">
                  <c:v>1.05</c:v>
                </c:pt>
                <c:pt idx="49">
                  <c:v>1.05</c:v>
                </c:pt>
                <c:pt idx="50">
                  <c:v>1.05</c:v>
                </c:pt>
                <c:pt idx="51">
                  <c:v>1.05</c:v>
                </c:pt>
                <c:pt idx="52">
                  <c:v>1.05</c:v>
                </c:pt>
                <c:pt idx="53">
                  <c:v>1.05</c:v>
                </c:pt>
                <c:pt idx="54">
                  <c:v>1.05</c:v>
                </c:pt>
                <c:pt idx="55">
                  <c:v>1.05</c:v>
                </c:pt>
                <c:pt idx="56">
                  <c:v>1.05</c:v>
                </c:pt>
                <c:pt idx="57">
                  <c:v>1.05</c:v>
                </c:pt>
                <c:pt idx="58">
                  <c:v>1.05</c:v>
                </c:pt>
                <c:pt idx="59">
                  <c:v>1.05</c:v>
                </c:pt>
                <c:pt idx="60">
                  <c:v>1.05</c:v>
                </c:pt>
                <c:pt idx="61">
                  <c:v>1.05</c:v>
                </c:pt>
                <c:pt idx="62">
                  <c:v>1.05</c:v>
                </c:pt>
                <c:pt idx="63">
                  <c:v>1.05</c:v>
                </c:pt>
                <c:pt idx="64">
                  <c:v>1.05</c:v>
                </c:pt>
                <c:pt idx="65">
                  <c:v>1.05</c:v>
                </c:pt>
                <c:pt idx="66">
                  <c:v>1.05</c:v>
                </c:pt>
                <c:pt idx="67">
                  <c:v>1.05</c:v>
                </c:pt>
                <c:pt idx="68">
                  <c:v>1.05</c:v>
                </c:pt>
                <c:pt idx="69">
                  <c:v>1.05</c:v>
                </c:pt>
                <c:pt idx="70">
                  <c:v>1.05</c:v>
                </c:pt>
                <c:pt idx="71">
                  <c:v>1.05</c:v>
                </c:pt>
                <c:pt idx="72">
                  <c:v>1.05</c:v>
                </c:pt>
                <c:pt idx="73">
                  <c:v>1.05</c:v>
                </c:pt>
                <c:pt idx="74">
                  <c:v>1.05</c:v>
                </c:pt>
                <c:pt idx="75">
                  <c:v>1.05</c:v>
                </c:pt>
                <c:pt idx="76">
                  <c:v>1.05</c:v>
                </c:pt>
                <c:pt idx="77">
                  <c:v>1.05</c:v>
                </c:pt>
                <c:pt idx="78">
                  <c:v>1.05</c:v>
                </c:pt>
                <c:pt idx="79">
                  <c:v>1.05</c:v>
                </c:pt>
                <c:pt idx="80">
                  <c:v>1.05</c:v>
                </c:pt>
                <c:pt idx="81">
                  <c:v>1.05</c:v>
                </c:pt>
                <c:pt idx="82">
                  <c:v>1.05</c:v>
                </c:pt>
                <c:pt idx="83">
                  <c:v>1.05</c:v>
                </c:pt>
                <c:pt idx="84">
                  <c:v>1.05</c:v>
                </c:pt>
                <c:pt idx="85">
                  <c:v>1.05</c:v>
                </c:pt>
                <c:pt idx="86">
                  <c:v>1.05</c:v>
                </c:pt>
                <c:pt idx="87">
                  <c:v>1.05</c:v>
                </c:pt>
                <c:pt idx="88">
                  <c:v>1.05</c:v>
                </c:pt>
                <c:pt idx="89">
                  <c:v>1.05</c:v>
                </c:pt>
                <c:pt idx="90">
                  <c:v>1.05</c:v>
                </c:pt>
                <c:pt idx="91">
                  <c:v>1.05</c:v>
                </c:pt>
                <c:pt idx="92">
                  <c:v>0.03</c:v>
                </c:pt>
                <c:pt idx="93">
                  <c:v>1.05</c:v>
                </c:pt>
                <c:pt idx="94">
                  <c:v>1.05</c:v>
                </c:pt>
                <c:pt idx="95">
                  <c:v>1.05</c:v>
                </c:pt>
                <c:pt idx="96">
                  <c:v>1.05</c:v>
                </c:pt>
                <c:pt idx="97">
                  <c:v>1.05</c:v>
                </c:pt>
                <c:pt idx="98">
                  <c:v>1.05</c:v>
                </c:pt>
                <c:pt idx="99">
                  <c:v>1.05</c:v>
                </c:pt>
                <c:pt idx="100">
                  <c:v>1.05</c:v>
                </c:pt>
                <c:pt idx="101">
                  <c:v>1.05</c:v>
                </c:pt>
                <c:pt idx="102">
                  <c:v>1.05</c:v>
                </c:pt>
                <c:pt idx="103">
                  <c:v>1.05</c:v>
                </c:pt>
                <c:pt idx="104">
                  <c:v>1.05</c:v>
                </c:pt>
                <c:pt idx="105">
                  <c:v>1.05</c:v>
                </c:pt>
                <c:pt idx="106">
                  <c:v>1.05</c:v>
                </c:pt>
                <c:pt idx="107">
                  <c:v>1.05</c:v>
                </c:pt>
                <c:pt idx="108">
                  <c:v>1.05</c:v>
                </c:pt>
                <c:pt idx="109">
                  <c:v>1.05</c:v>
                </c:pt>
                <c:pt idx="110">
                  <c:v>1.05</c:v>
                </c:pt>
                <c:pt idx="111">
                  <c:v>1.05</c:v>
                </c:pt>
                <c:pt idx="112">
                  <c:v>1.05</c:v>
                </c:pt>
                <c:pt idx="113">
                  <c:v>1.05</c:v>
                </c:pt>
                <c:pt idx="114">
                  <c:v>1.05</c:v>
                </c:pt>
                <c:pt idx="115">
                  <c:v>1.05</c:v>
                </c:pt>
                <c:pt idx="116">
                  <c:v>1.05</c:v>
                </c:pt>
                <c:pt idx="117">
                  <c:v>1.05</c:v>
                </c:pt>
                <c:pt idx="118">
                  <c:v>1.05</c:v>
                </c:pt>
                <c:pt idx="119">
                  <c:v>1.05</c:v>
                </c:pt>
                <c:pt idx="120">
                  <c:v>1.05</c:v>
                </c:pt>
                <c:pt idx="121">
                  <c:v>1.05</c:v>
                </c:pt>
                <c:pt idx="122">
                  <c:v>1.05</c:v>
                </c:pt>
                <c:pt idx="123">
                  <c:v>1.05</c:v>
                </c:pt>
                <c:pt idx="124">
                  <c:v>1.05</c:v>
                </c:pt>
                <c:pt idx="125">
                  <c:v>1.05</c:v>
                </c:pt>
                <c:pt idx="126">
                  <c:v>1.05</c:v>
                </c:pt>
                <c:pt idx="127">
                  <c:v>1.05</c:v>
                </c:pt>
                <c:pt idx="128">
                  <c:v>1.05</c:v>
                </c:pt>
                <c:pt idx="129">
                  <c:v>1.05</c:v>
                </c:pt>
                <c:pt idx="130">
                  <c:v>1.05</c:v>
                </c:pt>
                <c:pt idx="131">
                  <c:v>1.05</c:v>
                </c:pt>
                <c:pt idx="132">
                  <c:v>1.05</c:v>
                </c:pt>
                <c:pt idx="133">
                  <c:v>1.05</c:v>
                </c:pt>
                <c:pt idx="134">
                  <c:v>1.05</c:v>
                </c:pt>
                <c:pt idx="135">
                  <c:v>1.05</c:v>
                </c:pt>
                <c:pt idx="136">
                  <c:v>1.05</c:v>
                </c:pt>
                <c:pt idx="137">
                  <c:v>1.05</c:v>
                </c:pt>
                <c:pt idx="138">
                  <c:v>1.05</c:v>
                </c:pt>
                <c:pt idx="139">
                  <c:v>1.05</c:v>
                </c:pt>
                <c:pt idx="140">
                  <c:v>1.05</c:v>
                </c:pt>
                <c:pt idx="141">
                  <c:v>1.05</c:v>
                </c:pt>
                <c:pt idx="142">
                  <c:v>1.05</c:v>
                </c:pt>
                <c:pt idx="143">
                  <c:v>1.05</c:v>
                </c:pt>
                <c:pt idx="144">
                  <c:v>1.05</c:v>
                </c:pt>
                <c:pt idx="145">
                  <c:v>1.05</c:v>
                </c:pt>
                <c:pt idx="146">
                  <c:v>1.05</c:v>
                </c:pt>
                <c:pt idx="147">
                  <c:v>1.05</c:v>
                </c:pt>
                <c:pt idx="148">
                  <c:v>1.05</c:v>
                </c:pt>
                <c:pt idx="149">
                  <c:v>1.05</c:v>
                </c:pt>
                <c:pt idx="150">
                  <c:v>1.05</c:v>
                </c:pt>
                <c:pt idx="151">
                  <c:v>1.05</c:v>
                </c:pt>
                <c:pt idx="152">
                  <c:v>1.05</c:v>
                </c:pt>
                <c:pt idx="153">
                  <c:v>1.05</c:v>
                </c:pt>
                <c:pt idx="154">
                  <c:v>1.05</c:v>
                </c:pt>
                <c:pt idx="155">
                  <c:v>1.05</c:v>
                </c:pt>
                <c:pt idx="156">
                  <c:v>1.05</c:v>
                </c:pt>
                <c:pt idx="157">
                  <c:v>1.05</c:v>
                </c:pt>
                <c:pt idx="158">
                  <c:v>1.05</c:v>
                </c:pt>
                <c:pt idx="159">
                  <c:v>1.05</c:v>
                </c:pt>
                <c:pt idx="160">
                  <c:v>1.05</c:v>
                </c:pt>
                <c:pt idx="161">
                  <c:v>1.05</c:v>
                </c:pt>
                <c:pt idx="162">
                  <c:v>1.05</c:v>
                </c:pt>
                <c:pt idx="163">
                  <c:v>1.05</c:v>
                </c:pt>
                <c:pt idx="164">
                  <c:v>1.05</c:v>
                </c:pt>
                <c:pt idx="165">
                  <c:v>1.05</c:v>
                </c:pt>
                <c:pt idx="166">
                  <c:v>1.05</c:v>
                </c:pt>
                <c:pt idx="167">
                  <c:v>1.05</c:v>
                </c:pt>
                <c:pt idx="168">
                  <c:v>1.05</c:v>
                </c:pt>
                <c:pt idx="169">
                  <c:v>1.05</c:v>
                </c:pt>
                <c:pt idx="170">
                  <c:v>1.05</c:v>
                </c:pt>
                <c:pt idx="171">
                  <c:v>1.05</c:v>
                </c:pt>
                <c:pt idx="172">
                  <c:v>1.05</c:v>
                </c:pt>
                <c:pt idx="173">
                  <c:v>1.05</c:v>
                </c:pt>
                <c:pt idx="174">
                  <c:v>1.05</c:v>
                </c:pt>
                <c:pt idx="175">
                  <c:v>1.05</c:v>
                </c:pt>
                <c:pt idx="176">
                  <c:v>1.05</c:v>
                </c:pt>
                <c:pt idx="177">
                  <c:v>1.05</c:v>
                </c:pt>
                <c:pt idx="178">
                  <c:v>1.05</c:v>
                </c:pt>
                <c:pt idx="179">
                  <c:v>1.05</c:v>
                </c:pt>
                <c:pt idx="180">
                  <c:v>1.05</c:v>
                </c:pt>
                <c:pt idx="181">
                  <c:v>1.05</c:v>
                </c:pt>
                <c:pt idx="182">
                  <c:v>1.05</c:v>
                </c:pt>
                <c:pt idx="183">
                  <c:v>1.05</c:v>
                </c:pt>
                <c:pt idx="184">
                  <c:v>1.05</c:v>
                </c:pt>
                <c:pt idx="185">
                  <c:v>1.05</c:v>
                </c:pt>
                <c:pt idx="186">
                  <c:v>1.05</c:v>
                </c:pt>
                <c:pt idx="187">
                  <c:v>1.05</c:v>
                </c:pt>
                <c:pt idx="188">
                  <c:v>1.05</c:v>
                </c:pt>
                <c:pt idx="189">
                  <c:v>1.05</c:v>
                </c:pt>
                <c:pt idx="190">
                  <c:v>1.05</c:v>
                </c:pt>
                <c:pt idx="191">
                  <c:v>1.05</c:v>
                </c:pt>
                <c:pt idx="192">
                  <c:v>1.05</c:v>
                </c:pt>
                <c:pt idx="193">
                  <c:v>1.05</c:v>
                </c:pt>
                <c:pt idx="194">
                  <c:v>1.05</c:v>
                </c:pt>
                <c:pt idx="195">
                  <c:v>1.05</c:v>
                </c:pt>
                <c:pt idx="196">
                  <c:v>1.05</c:v>
                </c:pt>
                <c:pt idx="197">
                  <c:v>1.05</c:v>
                </c:pt>
                <c:pt idx="198">
                  <c:v>1.05</c:v>
                </c:pt>
                <c:pt idx="199">
                  <c:v>1.05</c:v>
                </c:pt>
                <c:pt idx="200">
                  <c:v>1.05</c:v>
                </c:pt>
                <c:pt idx="201">
                  <c:v>1.05</c:v>
                </c:pt>
                <c:pt idx="202">
                  <c:v>1.05</c:v>
                </c:pt>
                <c:pt idx="203">
                  <c:v>1.05</c:v>
                </c:pt>
                <c:pt idx="204">
                  <c:v>1.05</c:v>
                </c:pt>
                <c:pt idx="205">
                  <c:v>1.05</c:v>
                </c:pt>
                <c:pt idx="206">
                  <c:v>1.05</c:v>
                </c:pt>
                <c:pt idx="207">
                  <c:v>1.05</c:v>
                </c:pt>
                <c:pt idx="208">
                  <c:v>1.05</c:v>
                </c:pt>
                <c:pt idx="209">
                  <c:v>1.05</c:v>
                </c:pt>
                <c:pt idx="210">
                  <c:v>1.05</c:v>
                </c:pt>
                <c:pt idx="211">
                  <c:v>1.05</c:v>
                </c:pt>
                <c:pt idx="212">
                  <c:v>1.05</c:v>
                </c:pt>
                <c:pt idx="213">
                  <c:v>1.05</c:v>
                </c:pt>
                <c:pt idx="214">
                  <c:v>1.05</c:v>
                </c:pt>
                <c:pt idx="215">
                  <c:v>1.05</c:v>
                </c:pt>
                <c:pt idx="216">
                  <c:v>1.05</c:v>
                </c:pt>
                <c:pt idx="217">
                  <c:v>1.05</c:v>
                </c:pt>
                <c:pt idx="218">
                  <c:v>1.05</c:v>
                </c:pt>
                <c:pt idx="219">
                  <c:v>1.05</c:v>
                </c:pt>
                <c:pt idx="220">
                  <c:v>1.05</c:v>
                </c:pt>
                <c:pt idx="221">
                  <c:v>1.05</c:v>
                </c:pt>
                <c:pt idx="222">
                  <c:v>1.05</c:v>
                </c:pt>
                <c:pt idx="223">
                  <c:v>1.05</c:v>
                </c:pt>
                <c:pt idx="224">
                  <c:v>1.05</c:v>
                </c:pt>
                <c:pt idx="225">
                  <c:v>1.05</c:v>
                </c:pt>
                <c:pt idx="226">
                  <c:v>1.05</c:v>
                </c:pt>
                <c:pt idx="227">
                  <c:v>1.05</c:v>
                </c:pt>
                <c:pt idx="228">
                  <c:v>1.05</c:v>
                </c:pt>
                <c:pt idx="229">
                  <c:v>1.05</c:v>
                </c:pt>
                <c:pt idx="230">
                  <c:v>1.05</c:v>
                </c:pt>
                <c:pt idx="231">
                  <c:v>1.05</c:v>
                </c:pt>
                <c:pt idx="232">
                  <c:v>1.05</c:v>
                </c:pt>
                <c:pt idx="233">
                  <c:v>1.05</c:v>
                </c:pt>
                <c:pt idx="234">
                  <c:v>1.05</c:v>
                </c:pt>
                <c:pt idx="235">
                  <c:v>1.05</c:v>
                </c:pt>
                <c:pt idx="236">
                  <c:v>1.05</c:v>
                </c:pt>
                <c:pt idx="237">
                  <c:v>1.05</c:v>
                </c:pt>
                <c:pt idx="238">
                  <c:v>1.05</c:v>
                </c:pt>
                <c:pt idx="239">
                  <c:v>1.05</c:v>
                </c:pt>
                <c:pt idx="240">
                  <c:v>1.05</c:v>
                </c:pt>
                <c:pt idx="241">
                  <c:v>1.05</c:v>
                </c:pt>
                <c:pt idx="242">
                  <c:v>1.05</c:v>
                </c:pt>
                <c:pt idx="243">
                  <c:v>1.05</c:v>
                </c:pt>
                <c:pt idx="244">
                  <c:v>1.05</c:v>
                </c:pt>
                <c:pt idx="245">
                  <c:v>1.05</c:v>
                </c:pt>
                <c:pt idx="246">
                  <c:v>1.05</c:v>
                </c:pt>
                <c:pt idx="247">
                  <c:v>1.05</c:v>
                </c:pt>
                <c:pt idx="248">
                  <c:v>1.05</c:v>
                </c:pt>
                <c:pt idx="249">
                  <c:v>1.05</c:v>
                </c:pt>
                <c:pt idx="250">
                  <c:v>1.05</c:v>
                </c:pt>
                <c:pt idx="251">
                  <c:v>1.05</c:v>
                </c:pt>
                <c:pt idx="252">
                  <c:v>1.05</c:v>
                </c:pt>
                <c:pt idx="253">
                  <c:v>1.05</c:v>
                </c:pt>
                <c:pt idx="254">
                  <c:v>1.05</c:v>
                </c:pt>
                <c:pt idx="255">
                  <c:v>1.05</c:v>
                </c:pt>
                <c:pt idx="256">
                  <c:v>1.05</c:v>
                </c:pt>
                <c:pt idx="257">
                  <c:v>1.05</c:v>
                </c:pt>
                <c:pt idx="258">
                  <c:v>1.05</c:v>
                </c:pt>
                <c:pt idx="259">
                  <c:v>1.05</c:v>
                </c:pt>
                <c:pt idx="260">
                  <c:v>1.05</c:v>
                </c:pt>
                <c:pt idx="261">
                  <c:v>1.05</c:v>
                </c:pt>
                <c:pt idx="262">
                  <c:v>1.05</c:v>
                </c:pt>
                <c:pt idx="263">
                  <c:v>1.05</c:v>
                </c:pt>
                <c:pt idx="264">
                  <c:v>1.05</c:v>
                </c:pt>
                <c:pt idx="265">
                  <c:v>1.05</c:v>
                </c:pt>
                <c:pt idx="266">
                  <c:v>1.05</c:v>
                </c:pt>
                <c:pt idx="267">
                  <c:v>1.05</c:v>
                </c:pt>
                <c:pt idx="268">
                  <c:v>1.05</c:v>
                </c:pt>
                <c:pt idx="269">
                  <c:v>1.05</c:v>
                </c:pt>
                <c:pt idx="270">
                  <c:v>1.05</c:v>
                </c:pt>
                <c:pt idx="271">
                  <c:v>1.05</c:v>
                </c:pt>
                <c:pt idx="272">
                  <c:v>1.05</c:v>
                </c:pt>
                <c:pt idx="273">
                  <c:v>1.05</c:v>
                </c:pt>
                <c:pt idx="274">
                  <c:v>1.05</c:v>
                </c:pt>
                <c:pt idx="275">
                  <c:v>1.05</c:v>
                </c:pt>
                <c:pt idx="276">
                  <c:v>1.05</c:v>
                </c:pt>
                <c:pt idx="277">
                  <c:v>1.05</c:v>
                </c:pt>
                <c:pt idx="278">
                  <c:v>1.05</c:v>
                </c:pt>
                <c:pt idx="279">
                  <c:v>1.05</c:v>
                </c:pt>
                <c:pt idx="280">
                  <c:v>1.05</c:v>
                </c:pt>
                <c:pt idx="281">
                  <c:v>1.05</c:v>
                </c:pt>
                <c:pt idx="282">
                  <c:v>1.05</c:v>
                </c:pt>
                <c:pt idx="283">
                  <c:v>1.05</c:v>
                </c:pt>
                <c:pt idx="284">
                  <c:v>1.05</c:v>
                </c:pt>
                <c:pt idx="285">
                  <c:v>1.05</c:v>
                </c:pt>
                <c:pt idx="286">
                  <c:v>1.05</c:v>
                </c:pt>
                <c:pt idx="287">
                  <c:v>1.05</c:v>
                </c:pt>
                <c:pt idx="288">
                  <c:v>1.05</c:v>
                </c:pt>
                <c:pt idx="289">
                  <c:v>1.05</c:v>
                </c:pt>
                <c:pt idx="290">
                  <c:v>1.05</c:v>
                </c:pt>
                <c:pt idx="291">
                  <c:v>1.05</c:v>
                </c:pt>
                <c:pt idx="292">
                  <c:v>1.05</c:v>
                </c:pt>
                <c:pt idx="293">
                  <c:v>1.05</c:v>
                </c:pt>
                <c:pt idx="294">
                  <c:v>1.05</c:v>
                </c:pt>
                <c:pt idx="295">
                  <c:v>1.05</c:v>
                </c:pt>
                <c:pt idx="296">
                  <c:v>1.05</c:v>
                </c:pt>
                <c:pt idx="297">
                  <c:v>1.05</c:v>
                </c:pt>
                <c:pt idx="298">
                  <c:v>1.05</c:v>
                </c:pt>
                <c:pt idx="299">
                  <c:v>1.05</c:v>
                </c:pt>
                <c:pt idx="300">
                  <c:v>1.05</c:v>
                </c:pt>
                <c:pt idx="301">
                  <c:v>1.05</c:v>
                </c:pt>
                <c:pt idx="302">
                  <c:v>1.05</c:v>
                </c:pt>
                <c:pt idx="303">
                  <c:v>1.05</c:v>
                </c:pt>
                <c:pt idx="304">
                  <c:v>1.05</c:v>
                </c:pt>
                <c:pt idx="305">
                  <c:v>1.05</c:v>
                </c:pt>
                <c:pt idx="306">
                  <c:v>1.05</c:v>
                </c:pt>
                <c:pt idx="307">
                  <c:v>1.05</c:v>
                </c:pt>
                <c:pt idx="308">
                  <c:v>1.05</c:v>
                </c:pt>
                <c:pt idx="309">
                  <c:v>1.05</c:v>
                </c:pt>
                <c:pt idx="310">
                  <c:v>1.05</c:v>
                </c:pt>
                <c:pt idx="311">
                  <c:v>1.05</c:v>
                </c:pt>
                <c:pt idx="312">
                  <c:v>1.05</c:v>
                </c:pt>
                <c:pt idx="313">
                  <c:v>1.05</c:v>
                </c:pt>
                <c:pt idx="314">
                  <c:v>1.05</c:v>
                </c:pt>
                <c:pt idx="315">
                  <c:v>1.05</c:v>
                </c:pt>
                <c:pt idx="316">
                  <c:v>1.05</c:v>
                </c:pt>
                <c:pt idx="317">
                  <c:v>1.05</c:v>
                </c:pt>
                <c:pt idx="318">
                  <c:v>1.05</c:v>
                </c:pt>
                <c:pt idx="319">
                  <c:v>1.05</c:v>
                </c:pt>
                <c:pt idx="320">
                  <c:v>1.05</c:v>
                </c:pt>
                <c:pt idx="321">
                  <c:v>1.05</c:v>
                </c:pt>
                <c:pt idx="322">
                  <c:v>1.05</c:v>
                </c:pt>
                <c:pt idx="323">
                  <c:v>1.05</c:v>
                </c:pt>
                <c:pt idx="324">
                  <c:v>1.05</c:v>
                </c:pt>
                <c:pt idx="325">
                  <c:v>1.05</c:v>
                </c:pt>
                <c:pt idx="326">
                  <c:v>1.05</c:v>
                </c:pt>
                <c:pt idx="327">
                  <c:v>1.05</c:v>
                </c:pt>
                <c:pt idx="328">
                  <c:v>1.05</c:v>
                </c:pt>
                <c:pt idx="329">
                  <c:v>1.05</c:v>
                </c:pt>
                <c:pt idx="330">
                  <c:v>1.05</c:v>
                </c:pt>
                <c:pt idx="331">
                  <c:v>1.05</c:v>
                </c:pt>
                <c:pt idx="332">
                  <c:v>1.05</c:v>
                </c:pt>
                <c:pt idx="333">
                  <c:v>1.05</c:v>
                </c:pt>
                <c:pt idx="334">
                  <c:v>1.05</c:v>
                </c:pt>
                <c:pt idx="335">
                  <c:v>1.05</c:v>
                </c:pt>
                <c:pt idx="336">
                  <c:v>1.05</c:v>
                </c:pt>
                <c:pt idx="337">
                  <c:v>1.05</c:v>
                </c:pt>
                <c:pt idx="338">
                  <c:v>1.05</c:v>
                </c:pt>
                <c:pt idx="339">
                  <c:v>1.05</c:v>
                </c:pt>
                <c:pt idx="340">
                  <c:v>1.05</c:v>
                </c:pt>
                <c:pt idx="341">
                  <c:v>1.05</c:v>
                </c:pt>
                <c:pt idx="342">
                  <c:v>1.05</c:v>
                </c:pt>
                <c:pt idx="343">
                  <c:v>1.05</c:v>
                </c:pt>
                <c:pt idx="344">
                  <c:v>1.05</c:v>
                </c:pt>
                <c:pt idx="345">
                  <c:v>1.05</c:v>
                </c:pt>
                <c:pt idx="346">
                  <c:v>1.05</c:v>
                </c:pt>
                <c:pt idx="347">
                  <c:v>1.05</c:v>
                </c:pt>
                <c:pt idx="348">
                  <c:v>1.05</c:v>
                </c:pt>
                <c:pt idx="349">
                  <c:v>1.05</c:v>
                </c:pt>
                <c:pt idx="350">
                  <c:v>1.05</c:v>
                </c:pt>
                <c:pt idx="351">
                  <c:v>1.05</c:v>
                </c:pt>
                <c:pt idx="352">
                  <c:v>1.05</c:v>
                </c:pt>
                <c:pt idx="353">
                  <c:v>1.05</c:v>
                </c:pt>
                <c:pt idx="354">
                  <c:v>1.05</c:v>
                </c:pt>
                <c:pt idx="355">
                  <c:v>1.05</c:v>
                </c:pt>
                <c:pt idx="356">
                  <c:v>1.05</c:v>
                </c:pt>
                <c:pt idx="357">
                  <c:v>1.05</c:v>
                </c:pt>
                <c:pt idx="358">
                  <c:v>1.05</c:v>
                </c:pt>
                <c:pt idx="359">
                  <c:v>1.05</c:v>
                </c:pt>
                <c:pt idx="360">
                  <c:v>1.05</c:v>
                </c:pt>
                <c:pt idx="361">
                  <c:v>1.05</c:v>
                </c:pt>
                <c:pt idx="362">
                  <c:v>1.05</c:v>
                </c:pt>
                <c:pt idx="363">
                  <c:v>1.05</c:v>
                </c:pt>
                <c:pt idx="364">
                  <c:v>1.05</c:v>
                </c:pt>
                <c:pt idx="365">
                  <c:v>1.05</c:v>
                </c:pt>
                <c:pt idx="366">
                  <c:v>1.05</c:v>
                </c:pt>
                <c:pt idx="367">
                  <c:v>1.05</c:v>
                </c:pt>
                <c:pt idx="368">
                  <c:v>1.05</c:v>
                </c:pt>
                <c:pt idx="369">
                  <c:v>1.05</c:v>
                </c:pt>
                <c:pt idx="370">
                  <c:v>1.05</c:v>
                </c:pt>
                <c:pt idx="371">
                  <c:v>1.05</c:v>
                </c:pt>
                <c:pt idx="372">
                  <c:v>1.05</c:v>
                </c:pt>
                <c:pt idx="373">
                  <c:v>1.05</c:v>
                </c:pt>
                <c:pt idx="374">
                  <c:v>1.05</c:v>
                </c:pt>
                <c:pt idx="375">
                  <c:v>1.05</c:v>
                </c:pt>
                <c:pt idx="376">
                  <c:v>1.05</c:v>
                </c:pt>
                <c:pt idx="377">
                  <c:v>1.05</c:v>
                </c:pt>
                <c:pt idx="378">
                  <c:v>1.05</c:v>
                </c:pt>
                <c:pt idx="379">
                  <c:v>1.05</c:v>
                </c:pt>
                <c:pt idx="380">
                  <c:v>1.05</c:v>
                </c:pt>
                <c:pt idx="381">
                  <c:v>1.05</c:v>
                </c:pt>
                <c:pt idx="382">
                  <c:v>1.05</c:v>
                </c:pt>
                <c:pt idx="383">
                  <c:v>1.05</c:v>
                </c:pt>
                <c:pt idx="384">
                  <c:v>1.05</c:v>
                </c:pt>
                <c:pt idx="385">
                  <c:v>1.05</c:v>
                </c:pt>
                <c:pt idx="386">
                  <c:v>1.05</c:v>
                </c:pt>
                <c:pt idx="387">
                  <c:v>1.05</c:v>
                </c:pt>
                <c:pt idx="388">
                  <c:v>1.05</c:v>
                </c:pt>
                <c:pt idx="389">
                  <c:v>1.05</c:v>
                </c:pt>
                <c:pt idx="390">
                  <c:v>1.05</c:v>
                </c:pt>
                <c:pt idx="391">
                  <c:v>1.05</c:v>
                </c:pt>
                <c:pt idx="392">
                  <c:v>1.05</c:v>
                </c:pt>
                <c:pt idx="393">
                  <c:v>1.05</c:v>
                </c:pt>
                <c:pt idx="394">
                  <c:v>1.05</c:v>
                </c:pt>
                <c:pt idx="395">
                  <c:v>1.05</c:v>
                </c:pt>
                <c:pt idx="396">
                  <c:v>1.05</c:v>
                </c:pt>
                <c:pt idx="397">
                  <c:v>1.05</c:v>
                </c:pt>
                <c:pt idx="398">
                  <c:v>1.05</c:v>
                </c:pt>
                <c:pt idx="399">
                  <c:v>1.05</c:v>
                </c:pt>
                <c:pt idx="400">
                  <c:v>1.05</c:v>
                </c:pt>
                <c:pt idx="401">
                  <c:v>1.05</c:v>
                </c:pt>
                <c:pt idx="402">
                  <c:v>1.05</c:v>
                </c:pt>
                <c:pt idx="403">
                  <c:v>1.05</c:v>
                </c:pt>
                <c:pt idx="404">
                  <c:v>1.05</c:v>
                </c:pt>
                <c:pt idx="405">
                  <c:v>1.05</c:v>
                </c:pt>
                <c:pt idx="406">
                  <c:v>1.05</c:v>
                </c:pt>
                <c:pt idx="407">
                  <c:v>1.05</c:v>
                </c:pt>
                <c:pt idx="408">
                  <c:v>1.05</c:v>
                </c:pt>
                <c:pt idx="409">
                  <c:v>1.05</c:v>
                </c:pt>
                <c:pt idx="410">
                  <c:v>1.05</c:v>
                </c:pt>
                <c:pt idx="411">
                  <c:v>1.05</c:v>
                </c:pt>
                <c:pt idx="412">
                  <c:v>1.05</c:v>
                </c:pt>
                <c:pt idx="413">
                  <c:v>1.05</c:v>
                </c:pt>
                <c:pt idx="414">
                  <c:v>1.05</c:v>
                </c:pt>
                <c:pt idx="415">
                  <c:v>1.05</c:v>
                </c:pt>
                <c:pt idx="416">
                  <c:v>1.05</c:v>
                </c:pt>
                <c:pt idx="417">
                  <c:v>1.05</c:v>
                </c:pt>
                <c:pt idx="418">
                  <c:v>1.05</c:v>
                </c:pt>
                <c:pt idx="419">
                  <c:v>1.05</c:v>
                </c:pt>
                <c:pt idx="420">
                  <c:v>1.05</c:v>
                </c:pt>
                <c:pt idx="421">
                  <c:v>1.05</c:v>
                </c:pt>
                <c:pt idx="422">
                  <c:v>1.05</c:v>
                </c:pt>
                <c:pt idx="423">
                  <c:v>1.05</c:v>
                </c:pt>
                <c:pt idx="424">
                  <c:v>1.05</c:v>
                </c:pt>
                <c:pt idx="425">
                  <c:v>1.05</c:v>
                </c:pt>
                <c:pt idx="426">
                  <c:v>1.05</c:v>
                </c:pt>
                <c:pt idx="427">
                  <c:v>1.05</c:v>
                </c:pt>
                <c:pt idx="428">
                  <c:v>1.05</c:v>
                </c:pt>
                <c:pt idx="429">
                  <c:v>1.05</c:v>
                </c:pt>
                <c:pt idx="430">
                  <c:v>1.05</c:v>
                </c:pt>
                <c:pt idx="431">
                  <c:v>1.05</c:v>
                </c:pt>
                <c:pt idx="432">
                  <c:v>1.05</c:v>
                </c:pt>
                <c:pt idx="433">
                  <c:v>1.05</c:v>
                </c:pt>
                <c:pt idx="434">
                  <c:v>1.05</c:v>
                </c:pt>
                <c:pt idx="435">
                  <c:v>1.05</c:v>
                </c:pt>
                <c:pt idx="436">
                  <c:v>1.05</c:v>
                </c:pt>
                <c:pt idx="437">
                  <c:v>1.05</c:v>
                </c:pt>
                <c:pt idx="438">
                  <c:v>1.05</c:v>
                </c:pt>
                <c:pt idx="439">
                  <c:v>1.05</c:v>
                </c:pt>
                <c:pt idx="440">
                  <c:v>1.05</c:v>
                </c:pt>
                <c:pt idx="441">
                  <c:v>1.05</c:v>
                </c:pt>
                <c:pt idx="442">
                  <c:v>1.05</c:v>
                </c:pt>
                <c:pt idx="443">
                  <c:v>1.05</c:v>
                </c:pt>
                <c:pt idx="444">
                  <c:v>1.05</c:v>
                </c:pt>
                <c:pt idx="445">
                  <c:v>1.05</c:v>
                </c:pt>
                <c:pt idx="446">
                  <c:v>1.05</c:v>
                </c:pt>
                <c:pt idx="447">
                  <c:v>1.05</c:v>
                </c:pt>
                <c:pt idx="448">
                  <c:v>1.05</c:v>
                </c:pt>
                <c:pt idx="449">
                  <c:v>1.05</c:v>
                </c:pt>
                <c:pt idx="450">
                  <c:v>1.05</c:v>
                </c:pt>
                <c:pt idx="451">
                  <c:v>1.05</c:v>
                </c:pt>
                <c:pt idx="452">
                  <c:v>1.05</c:v>
                </c:pt>
                <c:pt idx="453">
                  <c:v>1.05</c:v>
                </c:pt>
                <c:pt idx="454">
                  <c:v>1.05</c:v>
                </c:pt>
                <c:pt idx="455">
                  <c:v>1.05</c:v>
                </c:pt>
                <c:pt idx="456">
                  <c:v>1.05</c:v>
                </c:pt>
                <c:pt idx="457">
                  <c:v>1.05</c:v>
                </c:pt>
                <c:pt idx="458">
                  <c:v>1.05</c:v>
                </c:pt>
                <c:pt idx="459">
                  <c:v>1.05</c:v>
                </c:pt>
                <c:pt idx="460">
                  <c:v>1.05</c:v>
                </c:pt>
                <c:pt idx="461">
                  <c:v>1.05</c:v>
                </c:pt>
                <c:pt idx="462">
                  <c:v>1.05</c:v>
                </c:pt>
                <c:pt idx="463">
                  <c:v>1.05</c:v>
                </c:pt>
                <c:pt idx="464">
                  <c:v>1.05</c:v>
                </c:pt>
                <c:pt idx="465">
                  <c:v>1.05</c:v>
                </c:pt>
                <c:pt idx="466">
                  <c:v>1.05</c:v>
                </c:pt>
                <c:pt idx="467">
                  <c:v>1.05</c:v>
                </c:pt>
                <c:pt idx="468">
                  <c:v>1.05</c:v>
                </c:pt>
                <c:pt idx="469">
                  <c:v>1.05</c:v>
                </c:pt>
                <c:pt idx="470">
                  <c:v>1.05</c:v>
                </c:pt>
                <c:pt idx="471">
                  <c:v>1.05</c:v>
                </c:pt>
                <c:pt idx="472">
                  <c:v>1.05</c:v>
                </c:pt>
                <c:pt idx="473">
                  <c:v>1.05</c:v>
                </c:pt>
                <c:pt idx="474">
                  <c:v>1.05</c:v>
                </c:pt>
                <c:pt idx="475">
                  <c:v>1.05</c:v>
                </c:pt>
                <c:pt idx="476">
                  <c:v>1.05</c:v>
                </c:pt>
                <c:pt idx="477">
                  <c:v>1.05</c:v>
                </c:pt>
                <c:pt idx="478">
                  <c:v>1.05</c:v>
                </c:pt>
                <c:pt idx="479">
                  <c:v>1.05</c:v>
                </c:pt>
              </c:numCache>
            </c:numRef>
          </c:val>
          <c:smooth val="0"/>
          <c:extLst>
            <c:ext xmlns:c16="http://schemas.microsoft.com/office/drawing/2014/chart" uri="{C3380CC4-5D6E-409C-BE32-E72D297353CC}">
              <c16:uniqueId val="{00000001-3779-4187-B565-B3439E7A5866}"/>
            </c:ext>
          </c:extLst>
        </c:ser>
        <c:ser>
          <c:idx val="2"/>
          <c:order val="2"/>
          <c:tx>
            <c:strRef>
              <c:f>'Calculation of Typical Day'!$CP$13</c:f>
              <c:strCache>
                <c:ptCount val="1"/>
                <c:pt idx="0">
                  <c:v>Heat demand (DH) is given</c:v>
                </c:pt>
              </c:strCache>
            </c:strRef>
          </c:tx>
          <c:spPr>
            <a:ln w="31750" cap="rnd">
              <a:solidFill>
                <a:schemeClr val="accent3"/>
              </a:solidFill>
              <a:round/>
            </a:ln>
            <a:effectLst/>
          </c:spPr>
          <c:marker>
            <c:symbol val="none"/>
          </c:marker>
          <c:val>
            <c:numRef>
              <c:f>'Calculation of Typical Day'!$CP$21:$CP$500</c:f>
              <c:numCache>
                <c:formatCode>#,##0</c:formatCode>
                <c:ptCount val="480"/>
                <c:pt idx="0">
                  <c:v>0.98</c:v>
                </c:pt>
                <c:pt idx="1">
                  <c:v>0.98</c:v>
                </c:pt>
                <c:pt idx="2">
                  <c:v>0.98</c:v>
                </c:pt>
                <c:pt idx="3">
                  <c:v>0.98</c:v>
                </c:pt>
                <c:pt idx="4">
                  <c:v>0.98</c:v>
                </c:pt>
                <c:pt idx="5">
                  <c:v>0.98</c:v>
                </c:pt>
                <c:pt idx="6">
                  <c:v>0.98</c:v>
                </c:pt>
                <c:pt idx="7">
                  <c:v>0.98</c:v>
                </c:pt>
                <c:pt idx="8">
                  <c:v>0.98</c:v>
                </c:pt>
                <c:pt idx="9">
                  <c:v>0.98</c:v>
                </c:pt>
                <c:pt idx="10">
                  <c:v>0.98</c:v>
                </c:pt>
                <c:pt idx="11">
                  <c:v>0.98</c:v>
                </c:pt>
                <c:pt idx="12">
                  <c:v>0.98</c:v>
                </c:pt>
                <c:pt idx="13">
                  <c:v>0.98</c:v>
                </c:pt>
                <c:pt idx="14">
                  <c:v>0.98</c:v>
                </c:pt>
                <c:pt idx="15">
                  <c:v>0.98</c:v>
                </c:pt>
                <c:pt idx="16">
                  <c:v>0.98</c:v>
                </c:pt>
                <c:pt idx="17">
                  <c:v>0.98</c:v>
                </c:pt>
                <c:pt idx="18">
                  <c:v>0.98</c:v>
                </c:pt>
                <c:pt idx="19">
                  <c:v>0.98</c:v>
                </c:pt>
                <c:pt idx="20">
                  <c:v>0.98</c:v>
                </c:pt>
                <c:pt idx="21">
                  <c:v>0.98</c:v>
                </c:pt>
                <c:pt idx="22">
                  <c:v>0.98</c:v>
                </c:pt>
                <c:pt idx="23">
                  <c:v>0.98</c:v>
                </c:pt>
                <c:pt idx="24">
                  <c:v>0.98</c:v>
                </c:pt>
                <c:pt idx="25">
                  <c:v>0.98</c:v>
                </c:pt>
                <c:pt idx="26">
                  <c:v>0.98</c:v>
                </c:pt>
                <c:pt idx="27">
                  <c:v>0.98</c:v>
                </c:pt>
                <c:pt idx="28">
                  <c:v>0.98</c:v>
                </c:pt>
                <c:pt idx="29">
                  <c:v>0.98</c:v>
                </c:pt>
                <c:pt idx="30">
                  <c:v>0.98</c:v>
                </c:pt>
                <c:pt idx="31">
                  <c:v>0.98</c:v>
                </c:pt>
                <c:pt idx="32">
                  <c:v>0.98</c:v>
                </c:pt>
                <c:pt idx="33">
                  <c:v>0.98</c:v>
                </c:pt>
                <c:pt idx="34">
                  <c:v>0.98</c:v>
                </c:pt>
                <c:pt idx="35">
                  <c:v>0.98</c:v>
                </c:pt>
                <c:pt idx="36">
                  <c:v>0.98</c:v>
                </c:pt>
                <c:pt idx="37">
                  <c:v>0.98</c:v>
                </c:pt>
                <c:pt idx="38">
                  <c:v>0.98</c:v>
                </c:pt>
                <c:pt idx="39">
                  <c:v>0.98</c:v>
                </c:pt>
                <c:pt idx="40">
                  <c:v>0.98</c:v>
                </c:pt>
                <c:pt idx="41">
                  <c:v>0.98</c:v>
                </c:pt>
                <c:pt idx="42">
                  <c:v>0.98</c:v>
                </c:pt>
                <c:pt idx="43">
                  <c:v>0.98</c:v>
                </c:pt>
                <c:pt idx="44">
                  <c:v>0.98</c:v>
                </c:pt>
                <c:pt idx="45">
                  <c:v>0.98</c:v>
                </c:pt>
                <c:pt idx="46">
                  <c:v>0.98</c:v>
                </c:pt>
                <c:pt idx="47">
                  <c:v>0.98</c:v>
                </c:pt>
                <c:pt idx="48">
                  <c:v>0.98</c:v>
                </c:pt>
                <c:pt idx="49">
                  <c:v>0.98</c:v>
                </c:pt>
                <c:pt idx="50">
                  <c:v>0.98</c:v>
                </c:pt>
                <c:pt idx="51">
                  <c:v>0.98</c:v>
                </c:pt>
                <c:pt idx="52">
                  <c:v>0.98</c:v>
                </c:pt>
                <c:pt idx="53">
                  <c:v>0.98</c:v>
                </c:pt>
                <c:pt idx="54">
                  <c:v>0.98</c:v>
                </c:pt>
                <c:pt idx="55">
                  <c:v>0.98</c:v>
                </c:pt>
                <c:pt idx="56">
                  <c:v>0.98</c:v>
                </c:pt>
                <c:pt idx="57">
                  <c:v>0.98</c:v>
                </c:pt>
                <c:pt idx="58">
                  <c:v>0.98</c:v>
                </c:pt>
                <c:pt idx="59">
                  <c:v>0.98</c:v>
                </c:pt>
                <c:pt idx="60">
                  <c:v>0.98</c:v>
                </c:pt>
                <c:pt idx="61">
                  <c:v>0.98</c:v>
                </c:pt>
                <c:pt idx="62">
                  <c:v>0.98</c:v>
                </c:pt>
                <c:pt idx="63">
                  <c:v>0.98</c:v>
                </c:pt>
                <c:pt idx="64">
                  <c:v>0.98</c:v>
                </c:pt>
                <c:pt idx="65">
                  <c:v>0.98</c:v>
                </c:pt>
                <c:pt idx="66">
                  <c:v>0.98</c:v>
                </c:pt>
                <c:pt idx="67">
                  <c:v>0.98</c:v>
                </c:pt>
                <c:pt idx="68">
                  <c:v>0.98</c:v>
                </c:pt>
                <c:pt idx="69">
                  <c:v>0.98</c:v>
                </c:pt>
                <c:pt idx="70">
                  <c:v>0.98</c:v>
                </c:pt>
                <c:pt idx="71">
                  <c:v>0.98</c:v>
                </c:pt>
                <c:pt idx="72">
                  <c:v>0.98</c:v>
                </c:pt>
                <c:pt idx="73">
                  <c:v>0.98</c:v>
                </c:pt>
                <c:pt idx="74">
                  <c:v>0.98</c:v>
                </c:pt>
                <c:pt idx="75">
                  <c:v>0.98</c:v>
                </c:pt>
                <c:pt idx="76">
                  <c:v>0.98</c:v>
                </c:pt>
                <c:pt idx="77">
                  <c:v>0.98</c:v>
                </c:pt>
                <c:pt idx="78">
                  <c:v>0.98</c:v>
                </c:pt>
                <c:pt idx="79">
                  <c:v>0.98</c:v>
                </c:pt>
                <c:pt idx="80">
                  <c:v>0.98</c:v>
                </c:pt>
                <c:pt idx="81">
                  <c:v>0.98</c:v>
                </c:pt>
                <c:pt idx="82">
                  <c:v>0.98</c:v>
                </c:pt>
                <c:pt idx="83">
                  <c:v>0.98</c:v>
                </c:pt>
                <c:pt idx="84">
                  <c:v>0.98</c:v>
                </c:pt>
                <c:pt idx="85">
                  <c:v>0.98</c:v>
                </c:pt>
                <c:pt idx="86">
                  <c:v>0.98</c:v>
                </c:pt>
                <c:pt idx="87">
                  <c:v>0.98</c:v>
                </c:pt>
                <c:pt idx="88">
                  <c:v>0.98</c:v>
                </c:pt>
                <c:pt idx="89">
                  <c:v>0.98</c:v>
                </c:pt>
                <c:pt idx="90">
                  <c:v>0.98</c:v>
                </c:pt>
                <c:pt idx="91">
                  <c:v>0.98</c:v>
                </c:pt>
                <c:pt idx="92">
                  <c:v>0.98</c:v>
                </c:pt>
                <c:pt idx="93">
                  <c:v>0.98</c:v>
                </c:pt>
                <c:pt idx="94">
                  <c:v>0.98</c:v>
                </c:pt>
                <c:pt idx="95">
                  <c:v>0.98</c:v>
                </c:pt>
                <c:pt idx="96">
                  <c:v>0.98</c:v>
                </c:pt>
                <c:pt idx="97">
                  <c:v>0.98</c:v>
                </c:pt>
                <c:pt idx="98">
                  <c:v>0.98</c:v>
                </c:pt>
                <c:pt idx="99">
                  <c:v>0.98</c:v>
                </c:pt>
                <c:pt idx="100">
                  <c:v>0.98</c:v>
                </c:pt>
                <c:pt idx="101">
                  <c:v>0.98</c:v>
                </c:pt>
                <c:pt idx="102">
                  <c:v>0.98</c:v>
                </c:pt>
                <c:pt idx="103">
                  <c:v>0.98</c:v>
                </c:pt>
                <c:pt idx="104">
                  <c:v>0.98</c:v>
                </c:pt>
                <c:pt idx="105">
                  <c:v>0.98</c:v>
                </c:pt>
                <c:pt idx="106">
                  <c:v>0.98</c:v>
                </c:pt>
                <c:pt idx="107">
                  <c:v>0.98</c:v>
                </c:pt>
                <c:pt idx="108">
                  <c:v>0.98</c:v>
                </c:pt>
                <c:pt idx="109">
                  <c:v>0.98</c:v>
                </c:pt>
                <c:pt idx="110">
                  <c:v>0.98</c:v>
                </c:pt>
                <c:pt idx="111">
                  <c:v>0.98</c:v>
                </c:pt>
                <c:pt idx="112">
                  <c:v>0.98</c:v>
                </c:pt>
                <c:pt idx="113">
                  <c:v>0.98</c:v>
                </c:pt>
                <c:pt idx="114">
                  <c:v>0.98</c:v>
                </c:pt>
                <c:pt idx="115">
                  <c:v>0.98</c:v>
                </c:pt>
                <c:pt idx="116">
                  <c:v>0.98</c:v>
                </c:pt>
                <c:pt idx="117">
                  <c:v>0.98</c:v>
                </c:pt>
                <c:pt idx="118">
                  <c:v>0.98</c:v>
                </c:pt>
                <c:pt idx="119">
                  <c:v>0.98</c:v>
                </c:pt>
                <c:pt idx="120">
                  <c:v>0.02</c:v>
                </c:pt>
                <c:pt idx="121">
                  <c:v>0.02</c:v>
                </c:pt>
                <c:pt idx="122">
                  <c:v>0.02</c:v>
                </c:pt>
                <c:pt idx="123">
                  <c:v>0.02</c:v>
                </c:pt>
                <c:pt idx="124">
                  <c:v>0.02</c:v>
                </c:pt>
                <c:pt idx="125">
                  <c:v>0.02</c:v>
                </c:pt>
                <c:pt idx="126">
                  <c:v>0.02</c:v>
                </c:pt>
                <c:pt idx="127">
                  <c:v>0.02</c:v>
                </c:pt>
                <c:pt idx="128">
                  <c:v>0.02</c:v>
                </c:pt>
                <c:pt idx="129">
                  <c:v>0.02</c:v>
                </c:pt>
                <c:pt idx="130">
                  <c:v>0.02</c:v>
                </c:pt>
                <c:pt idx="131">
                  <c:v>0.02</c:v>
                </c:pt>
                <c:pt idx="132">
                  <c:v>0.02</c:v>
                </c:pt>
                <c:pt idx="133">
                  <c:v>0.02</c:v>
                </c:pt>
                <c:pt idx="134">
                  <c:v>0.02</c:v>
                </c:pt>
                <c:pt idx="135">
                  <c:v>0.02</c:v>
                </c:pt>
                <c:pt idx="136">
                  <c:v>0.02</c:v>
                </c:pt>
                <c:pt idx="137">
                  <c:v>0.02</c:v>
                </c:pt>
                <c:pt idx="138">
                  <c:v>0.02</c:v>
                </c:pt>
                <c:pt idx="139">
                  <c:v>0.02</c:v>
                </c:pt>
                <c:pt idx="140">
                  <c:v>0.02</c:v>
                </c:pt>
                <c:pt idx="141">
                  <c:v>0.02</c:v>
                </c:pt>
                <c:pt idx="142">
                  <c:v>0.02</c:v>
                </c:pt>
                <c:pt idx="143">
                  <c:v>0.02</c:v>
                </c:pt>
                <c:pt idx="144">
                  <c:v>0.02</c:v>
                </c:pt>
                <c:pt idx="145">
                  <c:v>0.02</c:v>
                </c:pt>
                <c:pt idx="146">
                  <c:v>0.02</c:v>
                </c:pt>
                <c:pt idx="147">
                  <c:v>0.02</c:v>
                </c:pt>
                <c:pt idx="148">
                  <c:v>0.02</c:v>
                </c:pt>
                <c:pt idx="149">
                  <c:v>0.02</c:v>
                </c:pt>
                <c:pt idx="150">
                  <c:v>0.02</c:v>
                </c:pt>
                <c:pt idx="151">
                  <c:v>0.02</c:v>
                </c:pt>
                <c:pt idx="152">
                  <c:v>0.02</c:v>
                </c:pt>
                <c:pt idx="153">
                  <c:v>0.02</c:v>
                </c:pt>
                <c:pt idx="154">
                  <c:v>0.02</c:v>
                </c:pt>
                <c:pt idx="155">
                  <c:v>0.02</c:v>
                </c:pt>
                <c:pt idx="156">
                  <c:v>0.02</c:v>
                </c:pt>
                <c:pt idx="157">
                  <c:v>0.02</c:v>
                </c:pt>
                <c:pt idx="158">
                  <c:v>0.02</c:v>
                </c:pt>
                <c:pt idx="159">
                  <c:v>0.02</c:v>
                </c:pt>
                <c:pt idx="160">
                  <c:v>0.02</c:v>
                </c:pt>
                <c:pt idx="161">
                  <c:v>0.02</c:v>
                </c:pt>
                <c:pt idx="162">
                  <c:v>0.02</c:v>
                </c:pt>
                <c:pt idx="163">
                  <c:v>0.02</c:v>
                </c:pt>
                <c:pt idx="164">
                  <c:v>0.02</c:v>
                </c:pt>
                <c:pt idx="165">
                  <c:v>0.02</c:v>
                </c:pt>
                <c:pt idx="166">
                  <c:v>0.02</c:v>
                </c:pt>
                <c:pt idx="167">
                  <c:v>0.02</c:v>
                </c:pt>
                <c:pt idx="168">
                  <c:v>0.02</c:v>
                </c:pt>
                <c:pt idx="169">
                  <c:v>0.02</c:v>
                </c:pt>
                <c:pt idx="170">
                  <c:v>0.02</c:v>
                </c:pt>
                <c:pt idx="171">
                  <c:v>0.02</c:v>
                </c:pt>
                <c:pt idx="172">
                  <c:v>0.02</c:v>
                </c:pt>
                <c:pt idx="173">
                  <c:v>0.02</c:v>
                </c:pt>
                <c:pt idx="174">
                  <c:v>0.02</c:v>
                </c:pt>
                <c:pt idx="175">
                  <c:v>0.02</c:v>
                </c:pt>
                <c:pt idx="176">
                  <c:v>0.02</c:v>
                </c:pt>
                <c:pt idx="177">
                  <c:v>0.02</c:v>
                </c:pt>
                <c:pt idx="178">
                  <c:v>0.02</c:v>
                </c:pt>
                <c:pt idx="179">
                  <c:v>0.02</c:v>
                </c:pt>
                <c:pt idx="180">
                  <c:v>0.02</c:v>
                </c:pt>
                <c:pt idx="181">
                  <c:v>0.02</c:v>
                </c:pt>
                <c:pt idx="182">
                  <c:v>0.02</c:v>
                </c:pt>
                <c:pt idx="183">
                  <c:v>0.02</c:v>
                </c:pt>
                <c:pt idx="184">
                  <c:v>0.02</c:v>
                </c:pt>
                <c:pt idx="185">
                  <c:v>0.02</c:v>
                </c:pt>
                <c:pt idx="186">
                  <c:v>0.02</c:v>
                </c:pt>
                <c:pt idx="187">
                  <c:v>0.02</c:v>
                </c:pt>
                <c:pt idx="188">
                  <c:v>0.02</c:v>
                </c:pt>
                <c:pt idx="189">
                  <c:v>0.02</c:v>
                </c:pt>
                <c:pt idx="190">
                  <c:v>0.02</c:v>
                </c:pt>
                <c:pt idx="191">
                  <c:v>0.02</c:v>
                </c:pt>
                <c:pt idx="192">
                  <c:v>0.02</c:v>
                </c:pt>
                <c:pt idx="193">
                  <c:v>0.02</c:v>
                </c:pt>
                <c:pt idx="194">
                  <c:v>0.02</c:v>
                </c:pt>
                <c:pt idx="195">
                  <c:v>0.02</c:v>
                </c:pt>
                <c:pt idx="196">
                  <c:v>0.02</c:v>
                </c:pt>
                <c:pt idx="197">
                  <c:v>0.02</c:v>
                </c:pt>
                <c:pt idx="198">
                  <c:v>0.02</c:v>
                </c:pt>
                <c:pt idx="199">
                  <c:v>0.02</c:v>
                </c:pt>
                <c:pt idx="200">
                  <c:v>0.02</c:v>
                </c:pt>
                <c:pt idx="201">
                  <c:v>0.02</c:v>
                </c:pt>
                <c:pt idx="202">
                  <c:v>0.02</c:v>
                </c:pt>
                <c:pt idx="203">
                  <c:v>0.02</c:v>
                </c:pt>
                <c:pt idx="204">
                  <c:v>0.02</c:v>
                </c:pt>
                <c:pt idx="205">
                  <c:v>0.02</c:v>
                </c:pt>
                <c:pt idx="206">
                  <c:v>0.02</c:v>
                </c:pt>
                <c:pt idx="207">
                  <c:v>0.02</c:v>
                </c:pt>
                <c:pt idx="208">
                  <c:v>0.02</c:v>
                </c:pt>
                <c:pt idx="209">
                  <c:v>0.02</c:v>
                </c:pt>
                <c:pt idx="210">
                  <c:v>0.02</c:v>
                </c:pt>
                <c:pt idx="211">
                  <c:v>0.02</c:v>
                </c:pt>
                <c:pt idx="212">
                  <c:v>0.02</c:v>
                </c:pt>
                <c:pt idx="213">
                  <c:v>0.02</c:v>
                </c:pt>
                <c:pt idx="214">
                  <c:v>0.02</c:v>
                </c:pt>
                <c:pt idx="215">
                  <c:v>0.02</c:v>
                </c:pt>
                <c:pt idx="216">
                  <c:v>0.02</c:v>
                </c:pt>
                <c:pt idx="217">
                  <c:v>0.02</c:v>
                </c:pt>
                <c:pt idx="218">
                  <c:v>0.02</c:v>
                </c:pt>
                <c:pt idx="219">
                  <c:v>0.02</c:v>
                </c:pt>
                <c:pt idx="220">
                  <c:v>0.02</c:v>
                </c:pt>
                <c:pt idx="221">
                  <c:v>0.02</c:v>
                </c:pt>
                <c:pt idx="222">
                  <c:v>0.02</c:v>
                </c:pt>
                <c:pt idx="223">
                  <c:v>0.02</c:v>
                </c:pt>
                <c:pt idx="224">
                  <c:v>0.02</c:v>
                </c:pt>
                <c:pt idx="225">
                  <c:v>0.02</c:v>
                </c:pt>
                <c:pt idx="226">
                  <c:v>0.02</c:v>
                </c:pt>
                <c:pt idx="227">
                  <c:v>0.02</c:v>
                </c:pt>
                <c:pt idx="228">
                  <c:v>0.02</c:v>
                </c:pt>
                <c:pt idx="229">
                  <c:v>0.02</c:v>
                </c:pt>
                <c:pt idx="230">
                  <c:v>0.02</c:v>
                </c:pt>
                <c:pt idx="231">
                  <c:v>0.02</c:v>
                </c:pt>
                <c:pt idx="232">
                  <c:v>0.02</c:v>
                </c:pt>
                <c:pt idx="233">
                  <c:v>0.02</c:v>
                </c:pt>
                <c:pt idx="234">
                  <c:v>0.02</c:v>
                </c:pt>
                <c:pt idx="235">
                  <c:v>0.02</c:v>
                </c:pt>
                <c:pt idx="236">
                  <c:v>0.02</c:v>
                </c:pt>
                <c:pt idx="237">
                  <c:v>0.02</c:v>
                </c:pt>
                <c:pt idx="238">
                  <c:v>0.02</c:v>
                </c:pt>
                <c:pt idx="239">
                  <c:v>0.02</c:v>
                </c:pt>
                <c:pt idx="240">
                  <c:v>0.02</c:v>
                </c:pt>
                <c:pt idx="241">
                  <c:v>0.02</c:v>
                </c:pt>
                <c:pt idx="242">
                  <c:v>0.02</c:v>
                </c:pt>
                <c:pt idx="243">
                  <c:v>0.02</c:v>
                </c:pt>
                <c:pt idx="244">
                  <c:v>0.02</c:v>
                </c:pt>
                <c:pt idx="245">
                  <c:v>0.02</c:v>
                </c:pt>
                <c:pt idx="246">
                  <c:v>0.02</c:v>
                </c:pt>
                <c:pt idx="247">
                  <c:v>0.02</c:v>
                </c:pt>
                <c:pt idx="248">
                  <c:v>0.02</c:v>
                </c:pt>
                <c:pt idx="249">
                  <c:v>0.02</c:v>
                </c:pt>
                <c:pt idx="250">
                  <c:v>0.02</c:v>
                </c:pt>
                <c:pt idx="251">
                  <c:v>0.02</c:v>
                </c:pt>
                <c:pt idx="252">
                  <c:v>0.02</c:v>
                </c:pt>
                <c:pt idx="253">
                  <c:v>0.02</c:v>
                </c:pt>
                <c:pt idx="254">
                  <c:v>0.02</c:v>
                </c:pt>
                <c:pt idx="255">
                  <c:v>0.02</c:v>
                </c:pt>
                <c:pt idx="256">
                  <c:v>0.02</c:v>
                </c:pt>
                <c:pt idx="257">
                  <c:v>0.02</c:v>
                </c:pt>
                <c:pt idx="258">
                  <c:v>0.02</c:v>
                </c:pt>
                <c:pt idx="259">
                  <c:v>0.02</c:v>
                </c:pt>
                <c:pt idx="260">
                  <c:v>0.02</c:v>
                </c:pt>
                <c:pt idx="261">
                  <c:v>0.02</c:v>
                </c:pt>
                <c:pt idx="262">
                  <c:v>0.02</c:v>
                </c:pt>
                <c:pt idx="263">
                  <c:v>0.02</c:v>
                </c:pt>
                <c:pt idx="264">
                  <c:v>0.02</c:v>
                </c:pt>
                <c:pt idx="265">
                  <c:v>0.02</c:v>
                </c:pt>
                <c:pt idx="266">
                  <c:v>0.02</c:v>
                </c:pt>
                <c:pt idx="267">
                  <c:v>0.02</c:v>
                </c:pt>
                <c:pt idx="268">
                  <c:v>0.02</c:v>
                </c:pt>
                <c:pt idx="269">
                  <c:v>0.02</c:v>
                </c:pt>
                <c:pt idx="270">
                  <c:v>0.02</c:v>
                </c:pt>
                <c:pt idx="271">
                  <c:v>0.02</c:v>
                </c:pt>
                <c:pt idx="272">
                  <c:v>0.02</c:v>
                </c:pt>
                <c:pt idx="273">
                  <c:v>0.02</c:v>
                </c:pt>
                <c:pt idx="274">
                  <c:v>0.02</c:v>
                </c:pt>
                <c:pt idx="275">
                  <c:v>0.02</c:v>
                </c:pt>
                <c:pt idx="276">
                  <c:v>0.02</c:v>
                </c:pt>
                <c:pt idx="277">
                  <c:v>0.02</c:v>
                </c:pt>
                <c:pt idx="278">
                  <c:v>0.02</c:v>
                </c:pt>
                <c:pt idx="279">
                  <c:v>0.02</c:v>
                </c:pt>
                <c:pt idx="280">
                  <c:v>0.02</c:v>
                </c:pt>
                <c:pt idx="281">
                  <c:v>0.02</c:v>
                </c:pt>
                <c:pt idx="282">
                  <c:v>0.02</c:v>
                </c:pt>
                <c:pt idx="283">
                  <c:v>0.02</c:v>
                </c:pt>
                <c:pt idx="284">
                  <c:v>0.02</c:v>
                </c:pt>
                <c:pt idx="285">
                  <c:v>0.02</c:v>
                </c:pt>
                <c:pt idx="286">
                  <c:v>0.02</c:v>
                </c:pt>
                <c:pt idx="287">
                  <c:v>0.02</c:v>
                </c:pt>
                <c:pt idx="288">
                  <c:v>0.02</c:v>
                </c:pt>
                <c:pt idx="289">
                  <c:v>0.02</c:v>
                </c:pt>
                <c:pt idx="290">
                  <c:v>0.02</c:v>
                </c:pt>
                <c:pt idx="291">
                  <c:v>0.02</c:v>
                </c:pt>
                <c:pt idx="292">
                  <c:v>0.02</c:v>
                </c:pt>
                <c:pt idx="293">
                  <c:v>0.02</c:v>
                </c:pt>
                <c:pt idx="294">
                  <c:v>0.02</c:v>
                </c:pt>
                <c:pt idx="295">
                  <c:v>0.02</c:v>
                </c:pt>
                <c:pt idx="296">
                  <c:v>0.02</c:v>
                </c:pt>
                <c:pt idx="297">
                  <c:v>0.02</c:v>
                </c:pt>
                <c:pt idx="298">
                  <c:v>0.02</c:v>
                </c:pt>
                <c:pt idx="299">
                  <c:v>0.02</c:v>
                </c:pt>
                <c:pt idx="300">
                  <c:v>0.02</c:v>
                </c:pt>
                <c:pt idx="301">
                  <c:v>0.02</c:v>
                </c:pt>
                <c:pt idx="302">
                  <c:v>0.02</c:v>
                </c:pt>
                <c:pt idx="303">
                  <c:v>0.02</c:v>
                </c:pt>
                <c:pt idx="304">
                  <c:v>0.02</c:v>
                </c:pt>
                <c:pt idx="305">
                  <c:v>0.02</c:v>
                </c:pt>
                <c:pt idx="306">
                  <c:v>0.02</c:v>
                </c:pt>
                <c:pt idx="307">
                  <c:v>0.02</c:v>
                </c:pt>
                <c:pt idx="308">
                  <c:v>0.02</c:v>
                </c:pt>
                <c:pt idx="309">
                  <c:v>0.02</c:v>
                </c:pt>
                <c:pt idx="310">
                  <c:v>0.02</c:v>
                </c:pt>
                <c:pt idx="311">
                  <c:v>0.02</c:v>
                </c:pt>
                <c:pt idx="312">
                  <c:v>0.02</c:v>
                </c:pt>
                <c:pt idx="313">
                  <c:v>0.02</c:v>
                </c:pt>
                <c:pt idx="314">
                  <c:v>0.02</c:v>
                </c:pt>
                <c:pt idx="315">
                  <c:v>0.02</c:v>
                </c:pt>
                <c:pt idx="316">
                  <c:v>0.02</c:v>
                </c:pt>
                <c:pt idx="317">
                  <c:v>0.02</c:v>
                </c:pt>
                <c:pt idx="318">
                  <c:v>0.02</c:v>
                </c:pt>
                <c:pt idx="319">
                  <c:v>0.02</c:v>
                </c:pt>
                <c:pt idx="320">
                  <c:v>0.02</c:v>
                </c:pt>
                <c:pt idx="321">
                  <c:v>0.02</c:v>
                </c:pt>
                <c:pt idx="322">
                  <c:v>0.02</c:v>
                </c:pt>
                <c:pt idx="323">
                  <c:v>0.02</c:v>
                </c:pt>
                <c:pt idx="324">
                  <c:v>0.02</c:v>
                </c:pt>
                <c:pt idx="325">
                  <c:v>0.02</c:v>
                </c:pt>
                <c:pt idx="326">
                  <c:v>0.02</c:v>
                </c:pt>
                <c:pt idx="327">
                  <c:v>0.02</c:v>
                </c:pt>
                <c:pt idx="328">
                  <c:v>0.02</c:v>
                </c:pt>
                <c:pt idx="329">
                  <c:v>0.02</c:v>
                </c:pt>
                <c:pt idx="330">
                  <c:v>0.02</c:v>
                </c:pt>
                <c:pt idx="331">
                  <c:v>0.02</c:v>
                </c:pt>
                <c:pt idx="332">
                  <c:v>0.02</c:v>
                </c:pt>
                <c:pt idx="333">
                  <c:v>0.02</c:v>
                </c:pt>
                <c:pt idx="334">
                  <c:v>0.02</c:v>
                </c:pt>
                <c:pt idx="335">
                  <c:v>0.02</c:v>
                </c:pt>
                <c:pt idx="336">
                  <c:v>0.02</c:v>
                </c:pt>
                <c:pt idx="337">
                  <c:v>0.02</c:v>
                </c:pt>
                <c:pt idx="338">
                  <c:v>0.02</c:v>
                </c:pt>
                <c:pt idx="339">
                  <c:v>0.02</c:v>
                </c:pt>
                <c:pt idx="340">
                  <c:v>0.02</c:v>
                </c:pt>
                <c:pt idx="341">
                  <c:v>0.02</c:v>
                </c:pt>
                <c:pt idx="342">
                  <c:v>0.02</c:v>
                </c:pt>
                <c:pt idx="343">
                  <c:v>0.02</c:v>
                </c:pt>
                <c:pt idx="344">
                  <c:v>0.02</c:v>
                </c:pt>
                <c:pt idx="345">
                  <c:v>0.02</c:v>
                </c:pt>
                <c:pt idx="346">
                  <c:v>0.02</c:v>
                </c:pt>
                <c:pt idx="347">
                  <c:v>0.02</c:v>
                </c:pt>
                <c:pt idx="348">
                  <c:v>0.02</c:v>
                </c:pt>
                <c:pt idx="349">
                  <c:v>0.02</c:v>
                </c:pt>
                <c:pt idx="350">
                  <c:v>0.02</c:v>
                </c:pt>
                <c:pt idx="351">
                  <c:v>0.02</c:v>
                </c:pt>
                <c:pt idx="352">
                  <c:v>0.02</c:v>
                </c:pt>
                <c:pt idx="353">
                  <c:v>0.02</c:v>
                </c:pt>
                <c:pt idx="354">
                  <c:v>0.02</c:v>
                </c:pt>
                <c:pt idx="355">
                  <c:v>0.02</c:v>
                </c:pt>
                <c:pt idx="356">
                  <c:v>0.02</c:v>
                </c:pt>
                <c:pt idx="357">
                  <c:v>0.02</c:v>
                </c:pt>
                <c:pt idx="358">
                  <c:v>0.02</c:v>
                </c:pt>
                <c:pt idx="359">
                  <c:v>0.02</c:v>
                </c:pt>
                <c:pt idx="360">
                  <c:v>0.02</c:v>
                </c:pt>
                <c:pt idx="361">
                  <c:v>0.02</c:v>
                </c:pt>
                <c:pt idx="362">
                  <c:v>0.02</c:v>
                </c:pt>
                <c:pt idx="363">
                  <c:v>0.02</c:v>
                </c:pt>
                <c:pt idx="364">
                  <c:v>0.02</c:v>
                </c:pt>
                <c:pt idx="365">
                  <c:v>0.02</c:v>
                </c:pt>
                <c:pt idx="366">
                  <c:v>0.02</c:v>
                </c:pt>
                <c:pt idx="367">
                  <c:v>0.02</c:v>
                </c:pt>
                <c:pt idx="368">
                  <c:v>0.02</c:v>
                </c:pt>
                <c:pt idx="369">
                  <c:v>0.02</c:v>
                </c:pt>
                <c:pt idx="370">
                  <c:v>0.02</c:v>
                </c:pt>
                <c:pt idx="371">
                  <c:v>0.02</c:v>
                </c:pt>
                <c:pt idx="372">
                  <c:v>0.02</c:v>
                </c:pt>
                <c:pt idx="373">
                  <c:v>0.02</c:v>
                </c:pt>
                <c:pt idx="374">
                  <c:v>0.02</c:v>
                </c:pt>
                <c:pt idx="375">
                  <c:v>0.02</c:v>
                </c:pt>
                <c:pt idx="376">
                  <c:v>0.02</c:v>
                </c:pt>
                <c:pt idx="377">
                  <c:v>0.02</c:v>
                </c:pt>
                <c:pt idx="378">
                  <c:v>0.02</c:v>
                </c:pt>
                <c:pt idx="379">
                  <c:v>0.02</c:v>
                </c:pt>
                <c:pt idx="380">
                  <c:v>0.02</c:v>
                </c:pt>
                <c:pt idx="381">
                  <c:v>0.02</c:v>
                </c:pt>
                <c:pt idx="382">
                  <c:v>0.02</c:v>
                </c:pt>
                <c:pt idx="383">
                  <c:v>0.02</c:v>
                </c:pt>
                <c:pt idx="384">
                  <c:v>0.02</c:v>
                </c:pt>
                <c:pt idx="385">
                  <c:v>0.02</c:v>
                </c:pt>
                <c:pt idx="386">
                  <c:v>0.02</c:v>
                </c:pt>
                <c:pt idx="387">
                  <c:v>0.02</c:v>
                </c:pt>
                <c:pt idx="388">
                  <c:v>0.02</c:v>
                </c:pt>
                <c:pt idx="389">
                  <c:v>0.02</c:v>
                </c:pt>
                <c:pt idx="390">
                  <c:v>0.02</c:v>
                </c:pt>
                <c:pt idx="391">
                  <c:v>0.02</c:v>
                </c:pt>
                <c:pt idx="392">
                  <c:v>0.02</c:v>
                </c:pt>
                <c:pt idx="393">
                  <c:v>0.02</c:v>
                </c:pt>
                <c:pt idx="394">
                  <c:v>0.02</c:v>
                </c:pt>
                <c:pt idx="395">
                  <c:v>0.02</c:v>
                </c:pt>
                <c:pt idx="396">
                  <c:v>0.02</c:v>
                </c:pt>
                <c:pt idx="397">
                  <c:v>0.02</c:v>
                </c:pt>
                <c:pt idx="398">
                  <c:v>0.02</c:v>
                </c:pt>
                <c:pt idx="399">
                  <c:v>0.02</c:v>
                </c:pt>
                <c:pt idx="400">
                  <c:v>0.02</c:v>
                </c:pt>
                <c:pt idx="401">
                  <c:v>0.02</c:v>
                </c:pt>
                <c:pt idx="402">
                  <c:v>0.02</c:v>
                </c:pt>
                <c:pt idx="403">
                  <c:v>0.02</c:v>
                </c:pt>
                <c:pt idx="404">
                  <c:v>0.02</c:v>
                </c:pt>
                <c:pt idx="405">
                  <c:v>0.02</c:v>
                </c:pt>
                <c:pt idx="406">
                  <c:v>0.02</c:v>
                </c:pt>
                <c:pt idx="407">
                  <c:v>0.02</c:v>
                </c:pt>
                <c:pt idx="408">
                  <c:v>0.02</c:v>
                </c:pt>
                <c:pt idx="409">
                  <c:v>0.02</c:v>
                </c:pt>
                <c:pt idx="410">
                  <c:v>0.02</c:v>
                </c:pt>
                <c:pt idx="411">
                  <c:v>0.02</c:v>
                </c:pt>
                <c:pt idx="412">
                  <c:v>0.02</c:v>
                </c:pt>
                <c:pt idx="413">
                  <c:v>0.02</c:v>
                </c:pt>
                <c:pt idx="414">
                  <c:v>0.02</c:v>
                </c:pt>
                <c:pt idx="415">
                  <c:v>0.02</c:v>
                </c:pt>
                <c:pt idx="416">
                  <c:v>0.02</c:v>
                </c:pt>
                <c:pt idx="417">
                  <c:v>0.02</c:v>
                </c:pt>
                <c:pt idx="418">
                  <c:v>0.02</c:v>
                </c:pt>
                <c:pt idx="419">
                  <c:v>0.02</c:v>
                </c:pt>
                <c:pt idx="420">
                  <c:v>0.02</c:v>
                </c:pt>
                <c:pt idx="421">
                  <c:v>0.02</c:v>
                </c:pt>
                <c:pt idx="422">
                  <c:v>0.02</c:v>
                </c:pt>
                <c:pt idx="423">
                  <c:v>0.02</c:v>
                </c:pt>
                <c:pt idx="424">
                  <c:v>0.02</c:v>
                </c:pt>
                <c:pt idx="425">
                  <c:v>0.02</c:v>
                </c:pt>
                <c:pt idx="426">
                  <c:v>0.02</c:v>
                </c:pt>
                <c:pt idx="427">
                  <c:v>0.02</c:v>
                </c:pt>
                <c:pt idx="428">
                  <c:v>0.02</c:v>
                </c:pt>
                <c:pt idx="429">
                  <c:v>0.02</c:v>
                </c:pt>
                <c:pt idx="430">
                  <c:v>0.02</c:v>
                </c:pt>
                <c:pt idx="431">
                  <c:v>0.02</c:v>
                </c:pt>
                <c:pt idx="432">
                  <c:v>0.02</c:v>
                </c:pt>
                <c:pt idx="433">
                  <c:v>0.02</c:v>
                </c:pt>
                <c:pt idx="434">
                  <c:v>0.02</c:v>
                </c:pt>
                <c:pt idx="435">
                  <c:v>0.02</c:v>
                </c:pt>
                <c:pt idx="436">
                  <c:v>0.02</c:v>
                </c:pt>
                <c:pt idx="437">
                  <c:v>0.02</c:v>
                </c:pt>
                <c:pt idx="438">
                  <c:v>0.02</c:v>
                </c:pt>
                <c:pt idx="439">
                  <c:v>0.02</c:v>
                </c:pt>
                <c:pt idx="440">
                  <c:v>0.02</c:v>
                </c:pt>
                <c:pt idx="441">
                  <c:v>0.02</c:v>
                </c:pt>
                <c:pt idx="442">
                  <c:v>0.02</c:v>
                </c:pt>
                <c:pt idx="443">
                  <c:v>0.02</c:v>
                </c:pt>
                <c:pt idx="444">
                  <c:v>0.02</c:v>
                </c:pt>
                <c:pt idx="445">
                  <c:v>0.02</c:v>
                </c:pt>
                <c:pt idx="446">
                  <c:v>0.02</c:v>
                </c:pt>
                <c:pt idx="447">
                  <c:v>0.02</c:v>
                </c:pt>
                <c:pt idx="448">
                  <c:v>0.02</c:v>
                </c:pt>
                <c:pt idx="449">
                  <c:v>0.02</c:v>
                </c:pt>
                <c:pt idx="450">
                  <c:v>0.02</c:v>
                </c:pt>
                <c:pt idx="451">
                  <c:v>0.02</c:v>
                </c:pt>
                <c:pt idx="452">
                  <c:v>0.02</c:v>
                </c:pt>
                <c:pt idx="453">
                  <c:v>0.02</c:v>
                </c:pt>
                <c:pt idx="454">
                  <c:v>0.02</c:v>
                </c:pt>
                <c:pt idx="455">
                  <c:v>0.02</c:v>
                </c:pt>
                <c:pt idx="456">
                  <c:v>0.98</c:v>
                </c:pt>
                <c:pt idx="457">
                  <c:v>0.98</c:v>
                </c:pt>
                <c:pt idx="458">
                  <c:v>0.98</c:v>
                </c:pt>
                <c:pt idx="459">
                  <c:v>0.98</c:v>
                </c:pt>
                <c:pt idx="460">
                  <c:v>0.98</c:v>
                </c:pt>
                <c:pt idx="461">
                  <c:v>0.98</c:v>
                </c:pt>
                <c:pt idx="462">
                  <c:v>0.98</c:v>
                </c:pt>
                <c:pt idx="463">
                  <c:v>0.98</c:v>
                </c:pt>
                <c:pt idx="464">
                  <c:v>0.98</c:v>
                </c:pt>
                <c:pt idx="465">
                  <c:v>0.98</c:v>
                </c:pt>
                <c:pt idx="466">
                  <c:v>0.98</c:v>
                </c:pt>
                <c:pt idx="467">
                  <c:v>0.98</c:v>
                </c:pt>
                <c:pt idx="468">
                  <c:v>0.98</c:v>
                </c:pt>
                <c:pt idx="469">
                  <c:v>0.98</c:v>
                </c:pt>
                <c:pt idx="470">
                  <c:v>0.98</c:v>
                </c:pt>
                <c:pt idx="471">
                  <c:v>0.98</c:v>
                </c:pt>
                <c:pt idx="472">
                  <c:v>0.98</c:v>
                </c:pt>
                <c:pt idx="473">
                  <c:v>0.98</c:v>
                </c:pt>
                <c:pt idx="474">
                  <c:v>0.98</c:v>
                </c:pt>
                <c:pt idx="475">
                  <c:v>0.98</c:v>
                </c:pt>
                <c:pt idx="476">
                  <c:v>0.98</c:v>
                </c:pt>
                <c:pt idx="477">
                  <c:v>0.98</c:v>
                </c:pt>
                <c:pt idx="478">
                  <c:v>0.98</c:v>
                </c:pt>
                <c:pt idx="479">
                  <c:v>0.98</c:v>
                </c:pt>
              </c:numCache>
            </c:numRef>
          </c:val>
          <c:smooth val="0"/>
          <c:extLst>
            <c:ext xmlns:c16="http://schemas.microsoft.com/office/drawing/2014/chart" uri="{C3380CC4-5D6E-409C-BE32-E72D297353CC}">
              <c16:uniqueId val="{00000002-3779-4187-B565-B3439E7A5866}"/>
            </c:ext>
          </c:extLst>
        </c:ser>
        <c:ser>
          <c:idx val="3"/>
          <c:order val="3"/>
          <c:tx>
            <c:strRef>
              <c:f>'Calculation of Typical Day'!$CQ$13</c:f>
              <c:strCache>
                <c:ptCount val="1"/>
                <c:pt idx="0">
                  <c:v>Waste heat is available</c:v>
                </c:pt>
              </c:strCache>
            </c:strRef>
          </c:tx>
          <c:spPr>
            <a:ln w="31750" cap="rnd">
              <a:solidFill>
                <a:schemeClr val="accent4"/>
              </a:solidFill>
              <a:round/>
            </a:ln>
            <a:effectLst/>
          </c:spPr>
          <c:marker>
            <c:symbol val="none"/>
          </c:marker>
          <c:val>
            <c:numRef>
              <c:f>'Calculation of Typical Day'!$CQ$21:$CQ$500</c:f>
              <c:numCache>
                <c:formatCode>#,##0</c:formatCode>
                <c:ptCount val="480"/>
                <c:pt idx="0">
                  <c:v>0.96</c:v>
                </c:pt>
                <c:pt idx="1">
                  <c:v>0.96</c:v>
                </c:pt>
                <c:pt idx="2">
                  <c:v>0.96</c:v>
                </c:pt>
                <c:pt idx="3">
                  <c:v>0.96</c:v>
                </c:pt>
                <c:pt idx="4">
                  <c:v>0.96</c:v>
                </c:pt>
                <c:pt idx="5">
                  <c:v>0.96</c:v>
                </c:pt>
                <c:pt idx="6">
                  <c:v>0.96</c:v>
                </c:pt>
                <c:pt idx="7">
                  <c:v>0.96</c:v>
                </c:pt>
                <c:pt idx="8">
                  <c:v>0.96</c:v>
                </c:pt>
                <c:pt idx="9">
                  <c:v>0.96</c:v>
                </c:pt>
                <c:pt idx="10">
                  <c:v>0.96</c:v>
                </c:pt>
                <c:pt idx="11">
                  <c:v>0.96</c:v>
                </c:pt>
                <c:pt idx="12">
                  <c:v>0.96</c:v>
                </c:pt>
                <c:pt idx="13">
                  <c:v>0.96</c:v>
                </c:pt>
                <c:pt idx="14">
                  <c:v>0.96</c:v>
                </c:pt>
                <c:pt idx="15">
                  <c:v>0.96</c:v>
                </c:pt>
                <c:pt idx="16">
                  <c:v>0.96</c:v>
                </c:pt>
                <c:pt idx="17">
                  <c:v>0.96</c:v>
                </c:pt>
                <c:pt idx="18">
                  <c:v>0.96</c:v>
                </c:pt>
                <c:pt idx="19">
                  <c:v>0.96</c:v>
                </c:pt>
                <c:pt idx="20">
                  <c:v>0.96</c:v>
                </c:pt>
                <c:pt idx="21">
                  <c:v>0.96</c:v>
                </c:pt>
                <c:pt idx="22">
                  <c:v>0.96</c:v>
                </c:pt>
                <c:pt idx="23">
                  <c:v>0.96</c:v>
                </c:pt>
                <c:pt idx="24">
                  <c:v>0.96</c:v>
                </c:pt>
                <c:pt idx="25">
                  <c:v>0.96</c:v>
                </c:pt>
                <c:pt idx="26">
                  <c:v>0.96</c:v>
                </c:pt>
                <c:pt idx="27">
                  <c:v>0.96</c:v>
                </c:pt>
                <c:pt idx="28">
                  <c:v>0.96</c:v>
                </c:pt>
                <c:pt idx="29">
                  <c:v>0.96</c:v>
                </c:pt>
                <c:pt idx="30">
                  <c:v>0.96</c:v>
                </c:pt>
                <c:pt idx="31">
                  <c:v>0.96</c:v>
                </c:pt>
                <c:pt idx="32">
                  <c:v>0.96</c:v>
                </c:pt>
                <c:pt idx="33">
                  <c:v>0.96</c:v>
                </c:pt>
                <c:pt idx="34">
                  <c:v>0.96</c:v>
                </c:pt>
                <c:pt idx="35">
                  <c:v>0.96</c:v>
                </c:pt>
                <c:pt idx="36">
                  <c:v>0.96</c:v>
                </c:pt>
                <c:pt idx="37">
                  <c:v>0.96</c:v>
                </c:pt>
                <c:pt idx="38">
                  <c:v>0.96</c:v>
                </c:pt>
                <c:pt idx="39">
                  <c:v>0.96</c:v>
                </c:pt>
                <c:pt idx="40">
                  <c:v>0.96</c:v>
                </c:pt>
                <c:pt idx="41">
                  <c:v>0.96</c:v>
                </c:pt>
                <c:pt idx="42">
                  <c:v>0.96</c:v>
                </c:pt>
                <c:pt idx="43">
                  <c:v>0.96</c:v>
                </c:pt>
                <c:pt idx="44">
                  <c:v>0.96</c:v>
                </c:pt>
                <c:pt idx="45">
                  <c:v>0.96</c:v>
                </c:pt>
                <c:pt idx="46">
                  <c:v>0.96</c:v>
                </c:pt>
                <c:pt idx="47">
                  <c:v>0.96</c:v>
                </c:pt>
                <c:pt idx="48">
                  <c:v>0.96</c:v>
                </c:pt>
                <c:pt idx="49">
                  <c:v>0.96</c:v>
                </c:pt>
                <c:pt idx="50">
                  <c:v>0.96</c:v>
                </c:pt>
                <c:pt idx="51">
                  <c:v>0.96</c:v>
                </c:pt>
                <c:pt idx="52">
                  <c:v>0.96</c:v>
                </c:pt>
                <c:pt idx="53">
                  <c:v>0.96</c:v>
                </c:pt>
                <c:pt idx="54">
                  <c:v>0.96</c:v>
                </c:pt>
                <c:pt idx="55">
                  <c:v>0.96</c:v>
                </c:pt>
                <c:pt idx="56">
                  <c:v>0.96</c:v>
                </c:pt>
                <c:pt idx="57">
                  <c:v>0.96</c:v>
                </c:pt>
                <c:pt idx="58">
                  <c:v>0.96</c:v>
                </c:pt>
                <c:pt idx="59">
                  <c:v>0.96</c:v>
                </c:pt>
                <c:pt idx="60">
                  <c:v>0.96</c:v>
                </c:pt>
                <c:pt idx="61">
                  <c:v>0.96</c:v>
                </c:pt>
                <c:pt idx="62">
                  <c:v>0.96</c:v>
                </c:pt>
                <c:pt idx="63">
                  <c:v>0.96</c:v>
                </c:pt>
                <c:pt idx="64">
                  <c:v>0.96</c:v>
                </c:pt>
                <c:pt idx="65">
                  <c:v>0.96</c:v>
                </c:pt>
                <c:pt idx="66">
                  <c:v>0.96</c:v>
                </c:pt>
                <c:pt idx="67">
                  <c:v>0.96</c:v>
                </c:pt>
                <c:pt idx="68">
                  <c:v>0.96</c:v>
                </c:pt>
                <c:pt idx="69">
                  <c:v>0.96</c:v>
                </c:pt>
                <c:pt idx="70">
                  <c:v>0.96</c:v>
                </c:pt>
                <c:pt idx="71">
                  <c:v>0.96</c:v>
                </c:pt>
                <c:pt idx="72">
                  <c:v>0.96</c:v>
                </c:pt>
                <c:pt idx="73">
                  <c:v>0.96</c:v>
                </c:pt>
                <c:pt idx="74">
                  <c:v>0.96</c:v>
                </c:pt>
                <c:pt idx="75">
                  <c:v>0.96</c:v>
                </c:pt>
                <c:pt idx="76">
                  <c:v>0.96</c:v>
                </c:pt>
                <c:pt idx="77">
                  <c:v>0.96</c:v>
                </c:pt>
                <c:pt idx="78">
                  <c:v>0.96</c:v>
                </c:pt>
                <c:pt idx="79">
                  <c:v>0.96</c:v>
                </c:pt>
                <c:pt idx="80">
                  <c:v>0.96</c:v>
                </c:pt>
                <c:pt idx="81">
                  <c:v>0.96</c:v>
                </c:pt>
                <c:pt idx="82">
                  <c:v>0.96</c:v>
                </c:pt>
                <c:pt idx="83">
                  <c:v>0.96</c:v>
                </c:pt>
                <c:pt idx="84">
                  <c:v>0.96</c:v>
                </c:pt>
                <c:pt idx="85">
                  <c:v>0.96</c:v>
                </c:pt>
                <c:pt idx="86">
                  <c:v>0.96</c:v>
                </c:pt>
                <c:pt idx="87">
                  <c:v>0.96</c:v>
                </c:pt>
                <c:pt idx="88">
                  <c:v>0.96</c:v>
                </c:pt>
                <c:pt idx="89">
                  <c:v>0.96</c:v>
                </c:pt>
                <c:pt idx="90">
                  <c:v>0.96</c:v>
                </c:pt>
                <c:pt idx="91">
                  <c:v>0.96</c:v>
                </c:pt>
                <c:pt idx="92">
                  <c:v>0.96</c:v>
                </c:pt>
                <c:pt idx="93">
                  <c:v>0.96</c:v>
                </c:pt>
                <c:pt idx="94">
                  <c:v>0.96</c:v>
                </c:pt>
                <c:pt idx="95">
                  <c:v>0.96</c:v>
                </c:pt>
                <c:pt idx="96">
                  <c:v>0.96</c:v>
                </c:pt>
                <c:pt idx="97">
                  <c:v>0.96</c:v>
                </c:pt>
                <c:pt idx="98">
                  <c:v>0.96</c:v>
                </c:pt>
                <c:pt idx="99">
                  <c:v>0.96</c:v>
                </c:pt>
                <c:pt idx="100">
                  <c:v>0.96</c:v>
                </c:pt>
                <c:pt idx="101">
                  <c:v>0.96</c:v>
                </c:pt>
                <c:pt idx="102">
                  <c:v>0.96</c:v>
                </c:pt>
                <c:pt idx="103">
                  <c:v>0.96</c:v>
                </c:pt>
                <c:pt idx="104">
                  <c:v>0.96</c:v>
                </c:pt>
                <c:pt idx="105">
                  <c:v>0.96</c:v>
                </c:pt>
                <c:pt idx="106">
                  <c:v>0.96</c:v>
                </c:pt>
                <c:pt idx="107">
                  <c:v>0.96</c:v>
                </c:pt>
                <c:pt idx="108">
                  <c:v>0.96</c:v>
                </c:pt>
                <c:pt idx="109">
                  <c:v>0.96</c:v>
                </c:pt>
                <c:pt idx="110">
                  <c:v>0.96</c:v>
                </c:pt>
                <c:pt idx="111">
                  <c:v>0.96</c:v>
                </c:pt>
                <c:pt idx="112">
                  <c:v>0.96</c:v>
                </c:pt>
                <c:pt idx="113">
                  <c:v>0.96</c:v>
                </c:pt>
                <c:pt idx="114">
                  <c:v>0.96</c:v>
                </c:pt>
                <c:pt idx="115">
                  <c:v>0.96</c:v>
                </c:pt>
                <c:pt idx="116">
                  <c:v>0.96</c:v>
                </c:pt>
                <c:pt idx="117">
                  <c:v>0.96</c:v>
                </c:pt>
                <c:pt idx="118">
                  <c:v>0.96</c:v>
                </c:pt>
                <c:pt idx="119">
                  <c:v>0.96</c:v>
                </c:pt>
                <c:pt idx="120">
                  <c:v>-2.5000000000000001E-2</c:v>
                </c:pt>
                <c:pt idx="121">
                  <c:v>-2.5000000000000001E-2</c:v>
                </c:pt>
                <c:pt idx="122">
                  <c:v>-2.5000000000000001E-2</c:v>
                </c:pt>
                <c:pt idx="123">
                  <c:v>-2.5000000000000001E-2</c:v>
                </c:pt>
                <c:pt idx="124">
                  <c:v>-2.5000000000000001E-2</c:v>
                </c:pt>
                <c:pt idx="125">
                  <c:v>-2.5000000000000001E-2</c:v>
                </c:pt>
                <c:pt idx="126">
                  <c:v>-2.5000000000000001E-2</c:v>
                </c:pt>
                <c:pt idx="127">
                  <c:v>-2.5000000000000001E-2</c:v>
                </c:pt>
                <c:pt idx="128">
                  <c:v>-2.5000000000000001E-2</c:v>
                </c:pt>
                <c:pt idx="129">
                  <c:v>-2.5000000000000001E-2</c:v>
                </c:pt>
                <c:pt idx="130">
                  <c:v>-2.5000000000000001E-2</c:v>
                </c:pt>
                <c:pt idx="131">
                  <c:v>-2.5000000000000001E-2</c:v>
                </c:pt>
                <c:pt idx="132">
                  <c:v>-2.5000000000000001E-2</c:v>
                </c:pt>
                <c:pt idx="133">
                  <c:v>-2.5000000000000001E-2</c:v>
                </c:pt>
                <c:pt idx="134">
                  <c:v>-2.5000000000000001E-2</c:v>
                </c:pt>
                <c:pt idx="135">
                  <c:v>-2.5000000000000001E-2</c:v>
                </c:pt>
                <c:pt idx="136">
                  <c:v>-2.5000000000000001E-2</c:v>
                </c:pt>
                <c:pt idx="137">
                  <c:v>-2.5000000000000001E-2</c:v>
                </c:pt>
                <c:pt idx="138">
                  <c:v>-2.5000000000000001E-2</c:v>
                </c:pt>
                <c:pt idx="139">
                  <c:v>-2.5000000000000001E-2</c:v>
                </c:pt>
                <c:pt idx="140">
                  <c:v>-2.5000000000000001E-2</c:v>
                </c:pt>
                <c:pt idx="141">
                  <c:v>-2.5000000000000001E-2</c:v>
                </c:pt>
                <c:pt idx="142">
                  <c:v>-2.5000000000000001E-2</c:v>
                </c:pt>
                <c:pt idx="143">
                  <c:v>-2.5000000000000001E-2</c:v>
                </c:pt>
                <c:pt idx="144">
                  <c:v>-2.5000000000000001E-2</c:v>
                </c:pt>
                <c:pt idx="145">
                  <c:v>-2.5000000000000001E-2</c:v>
                </c:pt>
                <c:pt idx="146">
                  <c:v>-2.5000000000000001E-2</c:v>
                </c:pt>
                <c:pt idx="147">
                  <c:v>-2.5000000000000001E-2</c:v>
                </c:pt>
                <c:pt idx="148">
                  <c:v>-2.5000000000000001E-2</c:v>
                </c:pt>
                <c:pt idx="149">
                  <c:v>-2.5000000000000001E-2</c:v>
                </c:pt>
                <c:pt idx="150">
                  <c:v>-2.5000000000000001E-2</c:v>
                </c:pt>
                <c:pt idx="151">
                  <c:v>-2.5000000000000001E-2</c:v>
                </c:pt>
                <c:pt idx="152">
                  <c:v>-2.5000000000000001E-2</c:v>
                </c:pt>
                <c:pt idx="153">
                  <c:v>-2.5000000000000001E-2</c:v>
                </c:pt>
                <c:pt idx="154">
                  <c:v>-2.5000000000000001E-2</c:v>
                </c:pt>
                <c:pt idx="155">
                  <c:v>-2.5000000000000001E-2</c:v>
                </c:pt>
                <c:pt idx="156">
                  <c:v>-2.5000000000000001E-2</c:v>
                </c:pt>
                <c:pt idx="157">
                  <c:v>-2.5000000000000001E-2</c:v>
                </c:pt>
                <c:pt idx="158">
                  <c:v>-2.5000000000000001E-2</c:v>
                </c:pt>
                <c:pt idx="159">
                  <c:v>-2.5000000000000001E-2</c:v>
                </c:pt>
                <c:pt idx="160">
                  <c:v>-2.5000000000000001E-2</c:v>
                </c:pt>
                <c:pt idx="161">
                  <c:v>-2.5000000000000001E-2</c:v>
                </c:pt>
                <c:pt idx="162">
                  <c:v>-2.5000000000000001E-2</c:v>
                </c:pt>
                <c:pt idx="163">
                  <c:v>-2.5000000000000001E-2</c:v>
                </c:pt>
                <c:pt idx="164">
                  <c:v>-2.5000000000000001E-2</c:v>
                </c:pt>
                <c:pt idx="165">
                  <c:v>-2.5000000000000001E-2</c:v>
                </c:pt>
                <c:pt idx="166">
                  <c:v>-2.5000000000000001E-2</c:v>
                </c:pt>
                <c:pt idx="167">
                  <c:v>-2.5000000000000001E-2</c:v>
                </c:pt>
                <c:pt idx="168">
                  <c:v>-2.5000000000000001E-2</c:v>
                </c:pt>
                <c:pt idx="169">
                  <c:v>-2.5000000000000001E-2</c:v>
                </c:pt>
                <c:pt idx="170">
                  <c:v>-2.5000000000000001E-2</c:v>
                </c:pt>
                <c:pt idx="171">
                  <c:v>-2.5000000000000001E-2</c:v>
                </c:pt>
                <c:pt idx="172">
                  <c:v>-2.5000000000000001E-2</c:v>
                </c:pt>
                <c:pt idx="173">
                  <c:v>-2.5000000000000001E-2</c:v>
                </c:pt>
                <c:pt idx="174">
                  <c:v>-2.5000000000000001E-2</c:v>
                </c:pt>
                <c:pt idx="175">
                  <c:v>-2.5000000000000001E-2</c:v>
                </c:pt>
                <c:pt idx="176">
                  <c:v>-2.5000000000000001E-2</c:v>
                </c:pt>
                <c:pt idx="177">
                  <c:v>-2.5000000000000001E-2</c:v>
                </c:pt>
                <c:pt idx="178">
                  <c:v>-2.5000000000000001E-2</c:v>
                </c:pt>
                <c:pt idx="179">
                  <c:v>-2.5000000000000001E-2</c:v>
                </c:pt>
                <c:pt idx="180">
                  <c:v>-2.5000000000000001E-2</c:v>
                </c:pt>
                <c:pt idx="181">
                  <c:v>-2.5000000000000001E-2</c:v>
                </c:pt>
                <c:pt idx="182">
                  <c:v>-2.5000000000000001E-2</c:v>
                </c:pt>
                <c:pt idx="183">
                  <c:v>-2.5000000000000001E-2</c:v>
                </c:pt>
                <c:pt idx="184">
                  <c:v>-2.5000000000000001E-2</c:v>
                </c:pt>
                <c:pt idx="185">
                  <c:v>-2.5000000000000001E-2</c:v>
                </c:pt>
                <c:pt idx="186">
                  <c:v>-2.5000000000000001E-2</c:v>
                </c:pt>
                <c:pt idx="187">
                  <c:v>-2.5000000000000001E-2</c:v>
                </c:pt>
                <c:pt idx="188">
                  <c:v>-2.5000000000000001E-2</c:v>
                </c:pt>
                <c:pt idx="189">
                  <c:v>-2.5000000000000001E-2</c:v>
                </c:pt>
                <c:pt idx="190">
                  <c:v>-2.5000000000000001E-2</c:v>
                </c:pt>
                <c:pt idx="191">
                  <c:v>-2.5000000000000001E-2</c:v>
                </c:pt>
                <c:pt idx="192">
                  <c:v>-2.5000000000000001E-2</c:v>
                </c:pt>
                <c:pt idx="193">
                  <c:v>-2.5000000000000001E-2</c:v>
                </c:pt>
                <c:pt idx="194">
                  <c:v>-2.5000000000000001E-2</c:v>
                </c:pt>
                <c:pt idx="195">
                  <c:v>-2.5000000000000001E-2</c:v>
                </c:pt>
                <c:pt idx="196">
                  <c:v>-2.5000000000000001E-2</c:v>
                </c:pt>
                <c:pt idx="197">
                  <c:v>-2.5000000000000001E-2</c:v>
                </c:pt>
                <c:pt idx="198">
                  <c:v>-2.5000000000000001E-2</c:v>
                </c:pt>
                <c:pt idx="199">
                  <c:v>-2.5000000000000001E-2</c:v>
                </c:pt>
                <c:pt idx="200">
                  <c:v>-2.5000000000000001E-2</c:v>
                </c:pt>
                <c:pt idx="201">
                  <c:v>-2.5000000000000001E-2</c:v>
                </c:pt>
                <c:pt idx="202">
                  <c:v>-2.5000000000000001E-2</c:v>
                </c:pt>
                <c:pt idx="203">
                  <c:v>-2.5000000000000001E-2</c:v>
                </c:pt>
                <c:pt idx="204">
                  <c:v>-2.5000000000000001E-2</c:v>
                </c:pt>
                <c:pt idx="205">
                  <c:v>-2.5000000000000001E-2</c:v>
                </c:pt>
                <c:pt idx="206">
                  <c:v>-2.5000000000000001E-2</c:v>
                </c:pt>
                <c:pt idx="207">
                  <c:v>-2.5000000000000001E-2</c:v>
                </c:pt>
                <c:pt idx="208">
                  <c:v>-2.5000000000000001E-2</c:v>
                </c:pt>
                <c:pt idx="209">
                  <c:v>-2.5000000000000001E-2</c:v>
                </c:pt>
                <c:pt idx="210">
                  <c:v>-2.5000000000000001E-2</c:v>
                </c:pt>
                <c:pt idx="211">
                  <c:v>-2.5000000000000001E-2</c:v>
                </c:pt>
                <c:pt idx="212">
                  <c:v>-2.5000000000000001E-2</c:v>
                </c:pt>
                <c:pt idx="213">
                  <c:v>-2.5000000000000001E-2</c:v>
                </c:pt>
                <c:pt idx="214">
                  <c:v>-2.5000000000000001E-2</c:v>
                </c:pt>
                <c:pt idx="215">
                  <c:v>-2.5000000000000001E-2</c:v>
                </c:pt>
                <c:pt idx="216">
                  <c:v>-2.5000000000000001E-2</c:v>
                </c:pt>
                <c:pt idx="217">
                  <c:v>-2.5000000000000001E-2</c:v>
                </c:pt>
                <c:pt idx="218">
                  <c:v>-2.5000000000000001E-2</c:v>
                </c:pt>
                <c:pt idx="219">
                  <c:v>-2.5000000000000001E-2</c:v>
                </c:pt>
                <c:pt idx="220">
                  <c:v>-2.5000000000000001E-2</c:v>
                </c:pt>
                <c:pt idx="221">
                  <c:v>-2.5000000000000001E-2</c:v>
                </c:pt>
                <c:pt idx="222">
                  <c:v>-2.5000000000000001E-2</c:v>
                </c:pt>
                <c:pt idx="223">
                  <c:v>-2.5000000000000001E-2</c:v>
                </c:pt>
                <c:pt idx="224">
                  <c:v>-2.5000000000000001E-2</c:v>
                </c:pt>
                <c:pt idx="225">
                  <c:v>-2.5000000000000001E-2</c:v>
                </c:pt>
                <c:pt idx="226">
                  <c:v>-2.5000000000000001E-2</c:v>
                </c:pt>
                <c:pt idx="227">
                  <c:v>-2.5000000000000001E-2</c:v>
                </c:pt>
                <c:pt idx="228">
                  <c:v>-2.5000000000000001E-2</c:v>
                </c:pt>
                <c:pt idx="229">
                  <c:v>-2.5000000000000001E-2</c:v>
                </c:pt>
                <c:pt idx="230">
                  <c:v>-2.5000000000000001E-2</c:v>
                </c:pt>
                <c:pt idx="231">
                  <c:v>-2.5000000000000001E-2</c:v>
                </c:pt>
                <c:pt idx="232">
                  <c:v>-2.5000000000000001E-2</c:v>
                </c:pt>
                <c:pt idx="233">
                  <c:v>-2.5000000000000001E-2</c:v>
                </c:pt>
                <c:pt idx="234">
                  <c:v>-2.5000000000000001E-2</c:v>
                </c:pt>
                <c:pt idx="235">
                  <c:v>-2.5000000000000001E-2</c:v>
                </c:pt>
                <c:pt idx="236">
                  <c:v>-2.5000000000000001E-2</c:v>
                </c:pt>
                <c:pt idx="237">
                  <c:v>-2.5000000000000001E-2</c:v>
                </c:pt>
                <c:pt idx="238">
                  <c:v>-2.5000000000000001E-2</c:v>
                </c:pt>
                <c:pt idx="239">
                  <c:v>-2.5000000000000001E-2</c:v>
                </c:pt>
                <c:pt idx="240">
                  <c:v>-2.5000000000000001E-2</c:v>
                </c:pt>
                <c:pt idx="241">
                  <c:v>-2.5000000000000001E-2</c:v>
                </c:pt>
                <c:pt idx="242">
                  <c:v>-2.5000000000000001E-2</c:v>
                </c:pt>
                <c:pt idx="243">
                  <c:v>-2.5000000000000001E-2</c:v>
                </c:pt>
                <c:pt idx="244">
                  <c:v>-2.5000000000000001E-2</c:v>
                </c:pt>
                <c:pt idx="245">
                  <c:v>-2.5000000000000001E-2</c:v>
                </c:pt>
                <c:pt idx="246">
                  <c:v>-2.5000000000000001E-2</c:v>
                </c:pt>
                <c:pt idx="247">
                  <c:v>-2.5000000000000001E-2</c:v>
                </c:pt>
                <c:pt idx="248">
                  <c:v>-2.5000000000000001E-2</c:v>
                </c:pt>
                <c:pt idx="249">
                  <c:v>-2.5000000000000001E-2</c:v>
                </c:pt>
                <c:pt idx="250">
                  <c:v>-2.5000000000000001E-2</c:v>
                </c:pt>
                <c:pt idx="251">
                  <c:v>-2.5000000000000001E-2</c:v>
                </c:pt>
                <c:pt idx="252">
                  <c:v>-2.5000000000000001E-2</c:v>
                </c:pt>
                <c:pt idx="253">
                  <c:v>-2.5000000000000001E-2</c:v>
                </c:pt>
                <c:pt idx="254">
                  <c:v>-2.5000000000000001E-2</c:v>
                </c:pt>
                <c:pt idx="255">
                  <c:v>-2.5000000000000001E-2</c:v>
                </c:pt>
                <c:pt idx="256">
                  <c:v>-2.5000000000000001E-2</c:v>
                </c:pt>
                <c:pt idx="257">
                  <c:v>-2.5000000000000001E-2</c:v>
                </c:pt>
                <c:pt idx="258">
                  <c:v>-2.5000000000000001E-2</c:v>
                </c:pt>
                <c:pt idx="259">
                  <c:v>-2.5000000000000001E-2</c:v>
                </c:pt>
                <c:pt idx="260">
                  <c:v>-2.5000000000000001E-2</c:v>
                </c:pt>
                <c:pt idx="261">
                  <c:v>-2.5000000000000001E-2</c:v>
                </c:pt>
                <c:pt idx="262">
                  <c:v>-2.5000000000000001E-2</c:v>
                </c:pt>
                <c:pt idx="263">
                  <c:v>-2.5000000000000001E-2</c:v>
                </c:pt>
                <c:pt idx="264">
                  <c:v>-2.5000000000000001E-2</c:v>
                </c:pt>
                <c:pt idx="265">
                  <c:v>-2.5000000000000001E-2</c:v>
                </c:pt>
                <c:pt idx="266">
                  <c:v>-2.5000000000000001E-2</c:v>
                </c:pt>
                <c:pt idx="267">
                  <c:v>-2.5000000000000001E-2</c:v>
                </c:pt>
                <c:pt idx="268">
                  <c:v>-2.5000000000000001E-2</c:v>
                </c:pt>
                <c:pt idx="269">
                  <c:v>-2.5000000000000001E-2</c:v>
                </c:pt>
                <c:pt idx="270">
                  <c:v>-2.5000000000000001E-2</c:v>
                </c:pt>
                <c:pt idx="271">
                  <c:v>-2.5000000000000001E-2</c:v>
                </c:pt>
                <c:pt idx="272">
                  <c:v>-2.5000000000000001E-2</c:v>
                </c:pt>
                <c:pt idx="273">
                  <c:v>-2.5000000000000001E-2</c:v>
                </c:pt>
                <c:pt idx="274">
                  <c:v>-2.5000000000000001E-2</c:v>
                </c:pt>
                <c:pt idx="275">
                  <c:v>-2.5000000000000001E-2</c:v>
                </c:pt>
                <c:pt idx="276">
                  <c:v>-2.5000000000000001E-2</c:v>
                </c:pt>
                <c:pt idx="277">
                  <c:v>-2.5000000000000001E-2</c:v>
                </c:pt>
                <c:pt idx="278">
                  <c:v>-2.5000000000000001E-2</c:v>
                </c:pt>
                <c:pt idx="279">
                  <c:v>-2.5000000000000001E-2</c:v>
                </c:pt>
                <c:pt idx="280">
                  <c:v>-2.5000000000000001E-2</c:v>
                </c:pt>
                <c:pt idx="281">
                  <c:v>-2.5000000000000001E-2</c:v>
                </c:pt>
                <c:pt idx="282">
                  <c:v>-2.5000000000000001E-2</c:v>
                </c:pt>
                <c:pt idx="283">
                  <c:v>-2.5000000000000001E-2</c:v>
                </c:pt>
                <c:pt idx="284">
                  <c:v>-2.5000000000000001E-2</c:v>
                </c:pt>
                <c:pt idx="285">
                  <c:v>-2.5000000000000001E-2</c:v>
                </c:pt>
                <c:pt idx="286">
                  <c:v>-2.5000000000000001E-2</c:v>
                </c:pt>
                <c:pt idx="287">
                  <c:v>-2.5000000000000001E-2</c:v>
                </c:pt>
                <c:pt idx="288">
                  <c:v>-2.5000000000000001E-2</c:v>
                </c:pt>
                <c:pt idx="289">
                  <c:v>-2.5000000000000001E-2</c:v>
                </c:pt>
                <c:pt idx="290">
                  <c:v>-2.5000000000000001E-2</c:v>
                </c:pt>
                <c:pt idx="291">
                  <c:v>-2.5000000000000001E-2</c:v>
                </c:pt>
                <c:pt idx="292">
                  <c:v>-2.5000000000000001E-2</c:v>
                </c:pt>
                <c:pt idx="293">
                  <c:v>-2.5000000000000001E-2</c:v>
                </c:pt>
                <c:pt idx="294">
                  <c:v>-2.5000000000000001E-2</c:v>
                </c:pt>
                <c:pt idx="295">
                  <c:v>-2.5000000000000001E-2</c:v>
                </c:pt>
                <c:pt idx="296">
                  <c:v>-2.5000000000000001E-2</c:v>
                </c:pt>
                <c:pt idx="297">
                  <c:v>-2.5000000000000001E-2</c:v>
                </c:pt>
                <c:pt idx="298">
                  <c:v>-2.5000000000000001E-2</c:v>
                </c:pt>
                <c:pt idx="299">
                  <c:v>-2.5000000000000001E-2</c:v>
                </c:pt>
                <c:pt idx="300">
                  <c:v>-2.5000000000000001E-2</c:v>
                </c:pt>
                <c:pt idx="301">
                  <c:v>-2.5000000000000001E-2</c:v>
                </c:pt>
                <c:pt idx="302">
                  <c:v>-2.5000000000000001E-2</c:v>
                </c:pt>
                <c:pt idx="303">
                  <c:v>-2.5000000000000001E-2</c:v>
                </c:pt>
                <c:pt idx="304">
                  <c:v>-2.5000000000000001E-2</c:v>
                </c:pt>
                <c:pt idx="305">
                  <c:v>-2.5000000000000001E-2</c:v>
                </c:pt>
                <c:pt idx="306">
                  <c:v>-2.5000000000000001E-2</c:v>
                </c:pt>
                <c:pt idx="307">
                  <c:v>-2.5000000000000001E-2</c:v>
                </c:pt>
                <c:pt idx="308">
                  <c:v>-2.5000000000000001E-2</c:v>
                </c:pt>
                <c:pt idx="309">
                  <c:v>-2.5000000000000001E-2</c:v>
                </c:pt>
                <c:pt idx="310">
                  <c:v>-2.5000000000000001E-2</c:v>
                </c:pt>
                <c:pt idx="311">
                  <c:v>-2.5000000000000001E-2</c:v>
                </c:pt>
                <c:pt idx="312">
                  <c:v>-2.5000000000000001E-2</c:v>
                </c:pt>
                <c:pt idx="313">
                  <c:v>-2.5000000000000001E-2</c:v>
                </c:pt>
                <c:pt idx="314">
                  <c:v>-2.5000000000000001E-2</c:v>
                </c:pt>
                <c:pt idx="315">
                  <c:v>-2.5000000000000001E-2</c:v>
                </c:pt>
                <c:pt idx="316">
                  <c:v>-2.5000000000000001E-2</c:v>
                </c:pt>
                <c:pt idx="317">
                  <c:v>-2.5000000000000001E-2</c:v>
                </c:pt>
                <c:pt idx="318">
                  <c:v>-2.5000000000000001E-2</c:v>
                </c:pt>
                <c:pt idx="319">
                  <c:v>-2.5000000000000001E-2</c:v>
                </c:pt>
                <c:pt idx="320">
                  <c:v>-2.5000000000000001E-2</c:v>
                </c:pt>
                <c:pt idx="321">
                  <c:v>-2.5000000000000001E-2</c:v>
                </c:pt>
                <c:pt idx="322">
                  <c:v>-2.5000000000000001E-2</c:v>
                </c:pt>
                <c:pt idx="323">
                  <c:v>-2.5000000000000001E-2</c:v>
                </c:pt>
                <c:pt idx="324">
                  <c:v>-2.5000000000000001E-2</c:v>
                </c:pt>
                <c:pt idx="325">
                  <c:v>-2.5000000000000001E-2</c:v>
                </c:pt>
                <c:pt idx="326">
                  <c:v>-2.5000000000000001E-2</c:v>
                </c:pt>
                <c:pt idx="327">
                  <c:v>-2.5000000000000001E-2</c:v>
                </c:pt>
                <c:pt idx="328">
                  <c:v>-2.5000000000000001E-2</c:v>
                </c:pt>
                <c:pt idx="329">
                  <c:v>-2.5000000000000001E-2</c:v>
                </c:pt>
                <c:pt idx="330">
                  <c:v>-2.5000000000000001E-2</c:v>
                </c:pt>
                <c:pt idx="331">
                  <c:v>-2.5000000000000001E-2</c:v>
                </c:pt>
                <c:pt idx="332">
                  <c:v>-2.5000000000000001E-2</c:v>
                </c:pt>
                <c:pt idx="333">
                  <c:v>-2.5000000000000001E-2</c:v>
                </c:pt>
                <c:pt idx="334">
                  <c:v>-2.5000000000000001E-2</c:v>
                </c:pt>
                <c:pt idx="335">
                  <c:v>-2.5000000000000001E-2</c:v>
                </c:pt>
                <c:pt idx="336">
                  <c:v>-2.5000000000000001E-2</c:v>
                </c:pt>
                <c:pt idx="337">
                  <c:v>-2.5000000000000001E-2</c:v>
                </c:pt>
                <c:pt idx="338">
                  <c:v>-2.5000000000000001E-2</c:v>
                </c:pt>
                <c:pt idx="339">
                  <c:v>-2.5000000000000001E-2</c:v>
                </c:pt>
                <c:pt idx="340">
                  <c:v>-2.5000000000000001E-2</c:v>
                </c:pt>
                <c:pt idx="341">
                  <c:v>-2.5000000000000001E-2</c:v>
                </c:pt>
                <c:pt idx="342">
                  <c:v>-2.5000000000000001E-2</c:v>
                </c:pt>
                <c:pt idx="343">
                  <c:v>-2.5000000000000001E-2</c:v>
                </c:pt>
                <c:pt idx="344">
                  <c:v>-2.5000000000000001E-2</c:v>
                </c:pt>
                <c:pt idx="345">
                  <c:v>-2.5000000000000001E-2</c:v>
                </c:pt>
                <c:pt idx="346">
                  <c:v>-2.5000000000000001E-2</c:v>
                </c:pt>
                <c:pt idx="347">
                  <c:v>-2.5000000000000001E-2</c:v>
                </c:pt>
                <c:pt idx="348">
                  <c:v>-2.5000000000000001E-2</c:v>
                </c:pt>
                <c:pt idx="349">
                  <c:v>-2.5000000000000001E-2</c:v>
                </c:pt>
                <c:pt idx="350">
                  <c:v>-2.5000000000000001E-2</c:v>
                </c:pt>
                <c:pt idx="351">
                  <c:v>-2.5000000000000001E-2</c:v>
                </c:pt>
                <c:pt idx="352">
                  <c:v>-2.5000000000000001E-2</c:v>
                </c:pt>
                <c:pt idx="353">
                  <c:v>-2.5000000000000001E-2</c:v>
                </c:pt>
                <c:pt idx="354">
                  <c:v>-2.5000000000000001E-2</c:v>
                </c:pt>
                <c:pt idx="355">
                  <c:v>-2.5000000000000001E-2</c:v>
                </c:pt>
                <c:pt idx="356">
                  <c:v>-2.5000000000000001E-2</c:v>
                </c:pt>
                <c:pt idx="357">
                  <c:v>-2.5000000000000001E-2</c:v>
                </c:pt>
                <c:pt idx="358">
                  <c:v>-2.5000000000000001E-2</c:v>
                </c:pt>
                <c:pt idx="359">
                  <c:v>-2.5000000000000001E-2</c:v>
                </c:pt>
                <c:pt idx="360">
                  <c:v>-2.5000000000000001E-2</c:v>
                </c:pt>
                <c:pt idx="361">
                  <c:v>-2.5000000000000001E-2</c:v>
                </c:pt>
                <c:pt idx="362">
                  <c:v>-2.5000000000000001E-2</c:v>
                </c:pt>
                <c:pt idx="363">
                  <c:v>-2.5000000000000001E-2</c:v>
                </c:pt>
                <c:pt idx="364">
                  <c:v>-2.5000000000000001E-2</c:v>
                </c:pt>
                <c:pt idx="365">
                  <c:v>-2.5000000000000001E-2</c:v>
                </c:pt>
                <c:pt idx="366">
                  <c:v>-2.5000000000000001E-2</c:v>
                </c:pt>
                <c:pt idx="367">
                  <c:v>-2.5000000000000001E-2</c:v>
                </c:pt>
                <c:pt idx="368">
                  <c:v>-2.5000000000000001E-2</c:v>
                </c:pt>
                <c:pt idx="369">
                  <c:v>-2.5000000000000001E-2</c:v>
                </c:pt>
                <c:pt idx="370">
                  <c:v>-2.5000000000000001E-2</c:v>
                </c:pt>
                <c:pt idx="371">
                  <c:v>-2.5000000000000001E-2</c:v>
                </c:pt>
                <c:pt idx="372">
                  <c:v>-2.5000000000000001E-2</c:v>
                </c:pt>
                <c:pt idx="373">
                  <c:v>-2.5000000000000001E-2</c:v>
                </c:pt>
                <c:pt idx="374">
                  <c:v>-2.5000000000000001E-2</c:v>
                </c:pt>
                <c:pt idx="375">
                  <c:v>-2.5000000000000001E-2</c:v>
                </c:pt>
                <c:pt idx="376">
                  <c:v>-2.5000000000000001E-2</c:v>
                </c:pt>
                <c:pt idx="377">
                  <c:v>-2.5000000000000001E-2</c:v>
                </c:pt>
                <c:pt idx="378">
                  <c:v>-2.5000000000000001E-2</c:v>
                </c:pt>
                <c:pt idx="379">
                  <c:v>-2.5000000000000001E-2</c:v>
                </c:pt>
                <c:pt idx="380">
                  <c:v>-2.5000000000000001E-2</c:v>
                </c:pt>
                <c:pt idx="381">
                  <c:v>-2.5000000000000001E-2</c:v>
                </c:pt>
                <c:pt idx="382">
                  <c:v>-2.5000000000000001E-2</c:v>
                </c:pt>
                <c:pt idx="383">
                  <c:v>-2.5000000000000001E-2</c:v>
                </c:pt>
                <c:pt idx="384">
                  <c:v>-2.5000000000000001E-2</c:v>
                </c:pt>
                <c:pt idx="385">
                  <c:v>-2.5000000000000001E-2</c:v>
                </c:pt>
                <c:pt idx="386">
                  <c:v>-2.5000000000000001E-2</c:v>
                </c:pt>
                <c:pt idx="387">
                  <c:v>-2.5000000000000001E-2</c:v>
                </c:pt>
                <c:pt idx="388">
                  <c:v>-2.5000000000000001E-2</c:v>
                </c:pt>
                <c:pt idx="389">
                  <c:v>-2.5000000000000001E-2</c:v>
                </c:pt>
                <c:pt idx="390">
                  <c:v>-2.5000000000000001E-2</c:v>
                </c:pt>
                <c:pt idx="391">
                  <c:v>-2.5000000000000001E-2</c:v>
                </c:pt>
                <c:pt idx="392">
                  <c:v>-2.5000000000000001E-2</c:v>
                </c:pt>
                <c:pt idx="393">
                  <c:v>-2.5000000000000001E-2</c:v>
                </c:pt>
                <c:pt idx="394">
                  <c:v>-2.5000000000000001E-2</c:v>
                </c:pt>
                <c:pt idx="395">
                  <c:v>-2.5000000000000001E-2</c:v>
                </c:pt>
                <c:pt idx="396">
                  <c:v>-2.5000000000000001E-2</c:v>
                </c:pt>
                <c:pt idx="397">
                  <c:v>-2.5000000000000001E-2</c:v>
                </c:pt>
                <c:pt idx="398">
                  <c:v>-2.5000000000000001E-2</c:v>
                </c:pt>
                <c:pt idx="399">
                  <c:v>-2.5000000000000001E-2</c:v>
                </c:pt>
                <c:pt idx="400">
                  <c:v>-2.5000000000000001E-2</c:v>
                </c:pt>
                <c:pt idx="401">
                  <c:v>-2.5000000000000001E-2</c:v>
                </c:pt>
                <c:pt idx="402">
                  <c:v>-2.5000000000000001E-2</c:v>
                </c:pt>
                <c:pt idx="403">
                  <c:v>-2.5000000000000001E-2</c:v>
                </c:pt>
                <c:pt idx="404">
                  <c:v>-2.5000000000000001E-2</c:v>
                </c:pt>
                <c:pt idx="405">
                  <c:v>-2.5000000000000001E-2</c:v>
                </c:pt>
                <c:pt idx="406">
                  <c:v>-2.5000000000000001E-2</c:v>
                </c:pt>
                <c:pt idx="407">
                  <c:v>-2.5000000000000001E-2</c:v>
                </c:pt>
                <c:pt idx="408">
                  <c:v>-2.5000000000000001E-2</c:v>
                </c:pt>
                <c:pt idx="409">
                  <c:v>-2.5000000000000001E-2</c:v>
                </c:pt>
                <c:pt idx="410">
                  <c:v>-2.5000000000000001E-2</c:v>
                </c:pt>
                <c:pt idx="411">
                  <c:v>-2.5000000000000001E-2</c:v>
                </c:pt>
                <c:pt idx="412">
                  <c:v>-2.5000000000000001E-2</c:v>
                </c:pt>
                <c:pt idx="413">
                  <c:v>-2.5000000000000001E-2</c:v>
                </c:pt>
                <c:pt idx="414">
                  <c:v>-2.5000000000000001E-2</c:v>
                </c:pt>
                <c:pt idx="415">
                  <c:v>-2.5000000000000001E-2</c:v>
                </c:pt>
                <c:pt idx="416">
                  <c:v>-2.5000000000000001E-2</c:v>
                </c:pt>
                <c:pt idx="417">
                  <c:v>-2.5000000000000001E-2</c:v>
                </c:pt>
                <c:pt idx="418">
                  <c:v>-2.5000000000000001E-2</c:v>
                </c:pt>
                <c:pt idx="419">
                  <c:v>-2.5000000000000001E-2</c:v>
                </c:pt>
                <c:pt idx="420">
                  <c:v>-2.5000000000000001E-2</c:v>
                </c:pt>
                <c:pt idx="421">
                  <c:v>-2.5000000000000001E-2</c:v>
                </c:pt>
                <c:pt idx="422">
                  <c:v>-2.5000000000000001E-2</c:v>
                </c:pt>
                <c:pt idx="423">
                  <c:v>-2.5000000000000001E-2</c:v>
                </c:pt>
                <c:pt idx="424">
                  <c:v>-2.5000000000000001E-2</c:v>
                </c:pt>
                <c:pt idx="425">
                  <c:v>-2.5000000000000001E-2</c:v>
                </c:pt>
                <c:pt idx="426">
                  <c:v>-2.5000000000000001E-2</c:v>
                </c:pt>
                <c:pt idx="427">
                  <c:v>-2.5000000000000001E-2</c:v>
                </c:pt>
                <c:pt idx="428">
                  <c:v>-2.5000000000000001E-2</c:v>
                </c:pt>
                <c:pt idx="429">
                  <c:v>-2.5000000000000001E-2</c:v>
                </c:pt>
                <c:pt idx="430">
                  <c:v>-2.5000000000000001E-2</c:v>
                </c:pt>
                <c:pt idx="431">
                  <c:v>-2.5000000000000001E-2</c:v>
                </c:pt>
                <c:pt idx="432">
                  <c:v>-2.5000000000000001E-2</c:v>
                </c:pt>
                <c:pt idx="433">
                  <c:v>-2.5000000000000001E-2</c:v>
                </c:pt>
                <c:pt idx="434">
                  <c:v>-2.5000000000000001E-2</c:v>
                </c:pt>
                <c:pt idx="435">
                  <c:v>-2.5000000000000001E-2</c:v>
                </c:pt>
                <c:pt idx="436">
                  <c:v>-2.5000000000000001E-2</c:v>
                </c:pt>
                <c:pt idx="437">
                  <c:v>-2.5000000000000001E-2</c:v>
                </c:pt>
                <c:pt idx="438">
                  <c:v>-2.5000000000000001E-2</c:v>
                </c:pt>
                <c:pt idx="439">
                  <c:v>-2.5000000000000001E-2</c:v>
                </c:pt>
                <c:pt idx="440">
                  <c:v>-2.5000000000000001E-2</c:v>
                </c:pt>
                <c:pt idx="441">
                  <c:v>-2.5000000000000001E-2</c:v>
                </c:pt>
                <c:pt idx="442">
                  <c:v>-2.5000000000000001E-2</c:v>
                </c:pt>
                <c:pt idx="443">
                  <c:v>-2.5000000000000001E-2</c:v>
                </c:pt>
                <c:pt idx="444">
                  <c:v>-2.5000000000000001E-2</c:v>
                </c:pt>
                <c:pt idx="445">
                  <c:v>-2.5000000000000001E-2</c:v>
                </c:pt>
                <c:pt idx="446">
                  <c:v>-2.5000000000000001E-2</c:v>
                </c:pt>
                <c:pt idx="447">
                  <c:v>-2.5000000000000001E-2</c:v>
                </c:pt>
                <c:pt idx="448">
                  <c:v>-2.5000000000000001E-2</c:v>
                </c:pt>
                <c:pt idx="449">
                  <c:v>-2.5000000000000001E-2</c:v>
                </c:pt>
                <c:pt idx="450">
                  <c:v>-2.5000000000000001E-2</c:v>
                </c:pt>
                <c:pt idx="451">
                  <c:v>-2.5000000000000001E-2</c:v>
                </c:pt>
                <c:pt idx="452">
                  <c:v>-2.5000000000000001E-2</c:v>
                </c:pt>
                <c:pt idx="453">
                  <c:v>-2.5000000000000001E-2</c:v>
                </c:pt>
                <c:pt idx="454">
                  <c:v>-2.5000000000000001E-2</c:v>
                </c:pt>
                <c:pt idx="455">
                  <c:v>-2.5000000000000001E-2</c:v>
                </c:pt>
                <c:pt idx="456">
                  <c:v>-2.5000000000000001E-2</c:v>
                </c:pt>
                <c:pt idx="457">
                  <c:v>-2.5000000000000001E-2</c:v>
                </c:pt>
                <c:pt idx="458">
                  <c:v>-2.5000000000000001E-2</c:v>
                </c:pt>
                <c:pt idx="459">
                  <c:v>-2.5000000000000001E-2</c:v>
                </c:pt>
                <c:pt idx="460">
                  <c:v>-2.5000000000000001E-2</c:v>
                </c:pt>
                <c:pt idx="461">
                  <c:v>-2.5000000000000001E-2</c:v>
                </c:pt>
                <c:pt idx="462">
                  <c:v>-2.5000000000000001E-2</c:v>
                </c:pt>
                <c:pt idx="463">
                  <c:v>-2.5000000000000001E-2</c:v>
                </c:pt>
                <c:pt idx="464">
                  <c:v>-2.5000000000000001E-2</c:v>
                </c:pt>
                <c:pt idx="465">
                  <c:v>-2.5000000000000001E-2</c:v>
                </c:pt>
                <c:pt idx="466">
                  <c:v>-2.5000000000000001E-2</c:v>
                </c:pt>
                <c:pt idx="467">
                  <c:v>-2.5000000000000001E-2</c:v>
                </c:pt>
                <c:pt idx="468">
                  <c:v>-2.5000000000000001E-2</c:v>
                </c:pt>
                <c:pt idx="469">
                  <c:v>-2.5000000000000001E-2</c:v>
                </c:pt>
                <c:pt idx="470">
                  <c:v>-2.5000000000000001E-2</c:v>
                </c:pt>
                <c:pt idx="471">
                  <c:v>-2.5000000000000001E-2</c:v>
                </c:pt>
                <c:pt idx="472">
                  <c:v>-2.5000000000000001E-2</c:v>
                </c:pt>
                <c:pt idx="473">
                  <c:v>-2.5000000000000001E-2</c:v>
                </c:pt>
                <c:pt idx="474">
                  <c:v>-2.5000000000000001E-2</c:v>
                </c:pt>
                <c:pt idx="475">
                  <c:v>-2.5000000000000001E-2</c:v>
                </c:pt>
                <c:pt idx="476">
                  <c:v>-2.5000000000000001E-2</c:v>
                </c:pt>
                <c:pt idx="477">
                  <c:v>-2.5000000000000001E-2</c:v>
                </c:pt>
                <c:pt idx="478">
                  <c:v>-2.5000000000000001E-2</c:v>
                </c:pt>
                <c:pt idx="479">
                  <c:v>-2.5000000000000001E-2</c:v>
                </c:pt>
              </c:numCache>
            </c:numRef>
          </c:val>
          <c:smooth val="0"/>
          <c:extLst>
            <c:ext xmlns:c16="http://schemas.microsoft.com/office/drawing/2014/chart" uri="{C3380CC4-5D6E-409C-BE32-E72D297353CC}">
              <c16:uniqueId val="{00000003-3779-4187-B565-B3439E7A5866}"/>
            </c:ext>
          </c:extLst>
        </c:ser>
        <c:ser>
          <c:idx val="4"/>
          <c:order val="4"/>
          <c:tx>
            <c:strRef>
              <c:f>'Calculation of Typical Day'!$CR$13</c:f>
              <c:strCache>
                <c:ptCount val="1"/>
                <c:pt idx="0">
                  <c:v>Temperature demand of DH grid is met </c:v>
                </c:pt>
              </c:strCache>
            </c:strRef>
          </c:tx>
          <c:spPr>
            <a:ln w="31750" cap="rnd">
              <a:solidFill>
                <a:schemeClr val="accent5"/>
              </a:solidFill>
              <a:round/>
            </a:ln>
            <a:effectLst/>
          </c:spPr>
          <c:marker>
            <c:symbol val="none"/>
          </c:marker>
          <c:val>
            <c:numRef>
              <c:f>'Calculation of Typical Day'!$CR$21:$CR$500</c:f>
              <c:numCache>
                <c:formatCode>#,##0</c:formatCode>
                <c:ptCount val="480"/>
                <c:pt idx="0">
                  <c:v>0.95</c:v>
                </c:pt>
                <c:pt idx="1">
                  <c:v>0.95</c:v>
                </c:pt>
                <c:pt idx="2">
                  <c:v>0.95</c:v>
                </c:pt>
                <c:pt idx="3">
                  <c:v>0.95</c:v>
                </c:pt>
                <c:pt idx="4">
                  <c:v>0.95</c:v>
                </c:pt>
                <c:pt idx="5">
                  <c:v>0.95</c:v>
                </c:pt>
                <c:pt idx="6">
                  <c:v>0.95</c:v>
                </c:pt>
                <c:pt idx="7">
                  <c:v>0.95</c:v>
                </c:pt>
                <c:pt idx="8">
                  <c:v>0.95</c:v>
                </c:pt>
                <c:pt idx="9">
                  <c:v>0.95</c:v>
                </c:pt>
                <c:pt idx="10">
                  <c:v>0.95</c:v>
                </c:pt>
                <c:pt idx="11">
                  <c:v>0.95</c:v>
                </c:pt>
                <c:pt idx="12">
                  <c:v>0.95</c:v>
                </c:pt>
                <c:pt idx="13">
                  <c:v>0.95</c:v>
                </c:pt>
                <c:pt idx="14">
                  <c:v>0.95</c:v>
                </c:pt>
                <c:pt idx="15">
                  <c:v>0.95</c:v>
                </c:pt>
                <c:pt idx="16">
                  <c:v>0.95</c:v>
                </c:pt>
                <c:pt idx="17">
                  <c:v>0.95</c:v>
                </c:pt>
                <c:pt idx="18">
                  <c:v>0.95</c:v>
                </c:pt>
                <c:pt idx="19">
                  <c:v>0.95</c:v>
                </c:pt>
                <c:pt idx="20">
                  <c:v>0.95</c:v>
                </c:pt>
                <c:pt idx="21">
                  <c:v>0.95</c:v>
                </c:pt>
                <c:pt idx="22">
                  <c:v>0.95</c:v>
                </c:pt>
                <c:pt idx="23">
                  <c:v>0.95</c:v>
                </c:pt>
                <c:pt idx="24">
                  <c:v>0.95</c:v>
                </c:pt>
                <c:pt idx="25">
                  <c:v>0.95</c:v>
                </c:pt>
                <c:pt idx="26">
                  <c:v>0.95</c:v>
                </c:pt>
                <c:pt idx="27">
                  <c:v>0.95</c:v>
                </c:pt>
                <c:pt idx="28">
                  <c:v>0.95</c:v>
                </c:pt>
                <c:pt idx="29">
                  <c:v>0.95</c:v>
                </c:pt>
                <c:pt idx="30">
                  <c:v>0.95</c:v>
                </c:pt>
                <c:pt idx="31">
                  <c:v>0.95</c:v>
                </c:pt>
                <c:pt idx="32">
                  <c:v>0.95</c:v>
                </c:pt>
                <c:pt idx="33">
                  <c:v>0.95</c:v>
                </c:pt>
                <c:pt idx="34">
                  <c:v>0.95</c:v>
                </c:pt>
                <c:pt idx="35">
                  <c:v>0.95</c:v>
                </c:pt>
                <c:pt idx="36">
                  <c:v>0.95</c:v>
                </c:pt>
                <c:pt idx="37">
                  <c:v>0.95</c:v>
                </c:pt>
                <c:pt idx="38">
                  <c:v>0.95</c:v>
                </c:pt>
                <c:pt idx="39">
                  <c:v>0.95</c:v>
                </c:pt>
                <c:pt idx="40">
                  <c:v>0.95</c:v>
                </c:pt>
                <c:pt idx="41">
                  <c:v>0.95</c:v>
                </c:pt>
                <c:pt idx="42">
                  <c:v>0.95</c:v>
                </c:pt>
                <c:pt idx="43">
                  <c:v>0.95</c:v>
                </c:pt>
                <c:pt idx="44">
                  <c:v>0.95</c:v>
                </c:pt>
                <c:pt idx="45">
                  <c:v>0.95</c:v>
                </c:pt>
                <c:pt idx="46">
                  <c:v>0.95</c:v>
                </c:pt>
                <c:pt idx="47">
                  <c:v>0.95</c:v>
                </c:pt>
                <c:pt idx="48">
                  <c:v>0.95</c:v>
                </c:pt>
                <c:pt idx="49">
                  <c:v>0.95</c:v>
                </c:pt>
                <c:pt idx="50">
                  <c:v>0.95</c:v>
                </c:pt>
                <c:pt idx="51">
                  <c:v>0.95</c:v>
                </c:pt>
                <c:pt idx="52">
                  <c:v>0.95</c:v>
                </c:pt>
                <c:pt idx="53">
                  <c:v>0.95</c:v>
                </c:pt>
                <c:pt idx="54">
                  <c:v>0.95</c:v>
                </c:pt>
                <c:pt idx="55">
                  <c:v>0.95</c:v>
                </c:pt>
                <c:pt idx="56">
                  <c:v>0.95</c:v>
                </c:pt>
                <c:pt idx="57">
                  <c:v>0.95</c:v>
                </c:pt>
                <c:pt idx="58">
                  <c:v>0.95</c:v>
                </c:pt>
                <c:pt idx="59">
                  <c:v>0.95</c:v>
                </c:pt>
                <c:pt idx="60">
                  <c:v>0.95</c:v>
                </c:pt>
                <c:pt idx="61">
                  <c:v>0.95</c:v>
                </c:pt>
                <c:pt idx="62">
                  <c:v>0.95</c:v>
                </c:pt>
                <c:pt idx="63">
                  <c:v>0.95</c:v>
                </c:pt>
                <c:pt idx="64">
                  <c:v>0.95</c:v>
                </c:pt>
                <c:pt idx="65">
                  <c:v>0.95</c:v>
                </c:pt>
                <c:pt idx="66">
                  <c:v>0.95</c:v>
                </c:pt>
                <c:pt idx="67">
                  <c:v>0.95</c:v>
                </c:pt>
                <c:pt idx="68">
                  <c:v>0.95</c:v>
                </c:pt>
                <c:pt idx="69">
                  <c:v>0.95</c:v>
                </c:pt>
                <c:pt idx="70">
                  <c:v>0.95</c:v>
                </c:pt>
                <c:pt idx="71">
                  <c:v>0.95</c:v>
                </c:pt>
                <c:pt idx="72">
                  <c:v>0.95</c:v>
                </c:pt>
                <c:pt idx="73">
                  <c:v>0.95</c:v>
                </c:pt>
                <c:pt idx="74">
                  <c:v>0.95</c:v>
                </c:pt>
                <c:pt idx="75">
                  <c:v>0.95</c:v>
                </c:pt>
                <c:pt idx="76">
                  <c:v>0.95</c:v>
                </c:pt>
                <c:pt idx="77">
                  <c:v>0.95</c:v>
                </c:pt>
                <c:pt idx="78">
                  <c:v>0.95</c:v>
                </c:pt>
                <c:pt idx="79">
                  <c:v>0.95</c:v>
                </c:pt>
                <c:pt idx="80">
                  <c:v>0.95</c:v>
                </c:pt>
                <c:pt idx="81">
                  <c:v>0.95</c:v>
                </c:pt>
                <c:pt idx="82">
                  <c:v>0.95</c:v>
                </c:pt>
                <c:pt idx="83">
                  <c:v>0.95</c:v>
                </c:pt>
                <c:pt idx="84">
                  <c:v>0.95</c:v>
                </c:pt>
                <c:pt idx="85">
                  <c:v>0.95</c:v>
                </c:pt>
                <c:pt idx="86">
                  <c:v>0.95</c:v>
                </c:pt>
                <c:pt idx="87">
                  <c:v>0.95</c:v>
                </c:pt>
                <c:pt idx="88">
                  <c:v>0.95</c:v>
                </c:pt>
                <c:pt idx="89">
                  <c:v>0.95</c:v>
                </c:pt>
                <c:pt idx="90">
                  <c:v>0.95</c:v>
                </c:pt>
                <c:pt idx="91">
                  <c:v>0.95</c:v>
                </c:pt>
                <c:pt idx="92">
                  <c:v>0.95</c:v>
                </c:pt>
                <c:pt idx="93">
                  <c:v>0.95</c:v>
                </c:pt>
                <c:pt idx="94">
                  <c:v>0.95</c:v>
                </c:pt>
                <c:pt idx="95">
                  <c:v>0.95</c:v>
                </c:pt>
                <c:pt idx="96">
                  <c:v>0.95</c:v>
                </c:pt>
                <c:pt idx="97">
                  <c:v>0.95</c:v>
                </c:pt>
                <c:pt idx="98">
                  <c:v>0.95</c:v>
                </c:pt>
                <c:pt idx="99">
                  <c:v>0.95</c:v>
                </c:pt>
                <c:pt idx="100">
                  <c:v>0.95</c:v>
                </c:pt>
                <c:pt idx="101">
                  <c:v>0.95</c:v>
                </c:pt>
                <c:pt idx="102">
                  <c:v>0.95</c:v>
                </c:pt>
                <c:pt idx="103">
                  <c:v>0.95</c:v>
                </c:pt>
                <c:pt idx="104">
                  <c:v>0.95</c:v>
                </c:pt>
                <c:pt idx="105">
                  <c:v>0.95</c:v>
                </c:pt>
                <c:pt idx="106">
                  <c:v>0.95</c:v>
                </c:pt>
                <c:pt idx="107">
                  <c:v>0.95</c:v>
                </c:pt>
                <c:pt idx="108">
                  <c:v>0.95</c:v>
                </c:pt>
                <c:pt idx="109">
                  <c:v>0.95</c:v>
                </c:pt>
                <c:pt idx="110">
                  <c:v>0.95</c:v>
                </c:pt>
                <c:pt idx="111">
                  <c:v>0.95</c:v>
                </c:pt>
                <c:pt idx="112">
                  <c:v>0.95</c:v>
                </c:pt>
                <c:pt idx="113">
                  <c:v>0.95</c:v>
                </c:pt>
                <c:pt idx="114">
                  <c:v>0.95</c:v>
                </c:pt>
                <c:pt idx="115">
                  <c:v>0.95</c:v>
                </c:pt>
                <c:pt idx="116">
                  <c:v>0.95</c:v>
                </c:pt>
                <c:pt idx="117">
                  <c:v>0.95</c:v>
                </c:pt>
                <c:pt idx="118">
                  <c:v>0.95</c:v>
                </c:pt>
                <c:pt idx="119">
                  <c:v>0.95</c:v>
                </c:pt>
                <c:pt idx="120">
                  <c:v>0.95</c:v>
                </c:pt>
                <c:pt idx="121">
                  <c:v>0.95</c:v>
                </c:pt>
                <c:pt idx="122">
                  <c:v>0.95</c:v>
                </c:pt>
                <c:pt idx="123">
                  <c:v>0.95</c:v>
                </c:pt>
                <c:pt idx="124">
                  <c:v>0.95</c:v>
                </c:pt>
                <c:pt idx="125">
                  <c:v>0.95</c:v>
                </c:pt>
                <c:pt idx="126">
                  <c:v>0.95</c:v>
                </c:pt>
                <c:pt idx="127">
                  <c:v>0.95</c:v>
                </c:pt>
                <c:pt idx="128">
                  <c:v>0.95</c:v>
                </c:pt>
                <c:pt idx="129">
                  <c:v>0.95</c:v>
                </c:pt>
                <c:pt idx="130">
                  <c:v>0.95</c:v>
                </c:pt>
                <c:pt idx="131">
                  <c:v>0.95</c:v>
                </c:pt>
                <c:pt idx="132">
                  <c:v>0.95</c:v>
                </c:pt>
                <c:pt idx="133">
                  <c:v>0.95</c:v>
                </c:pt>
                <c:pt idx="134">
                  <c:v>0.95</c:v>
                </c:pt>
                <c:pt idx="135">
                  <c:v>0.95</c:v>
                </c:pt>
                <c:pt idx="136">
                  <c:v>0.95</c:v>
                </c:pt>
                <c:pt idx="137">
                  <c:v>0.95</c:v>
                </c:pt>
                <c:pt idx="138">
                  <c:v>0.95</c:v>
                </c:pt>
                <c:pt idx="139">
                  <c:v>0.95</c:v>
                </c:pt>
                <c:pt idx="140">
                  <c:v>0.95</c:v>
                </c:pt>
                <c:pt idx="141">
                  <c:v>0.95</c:v>
                </c:pt>
                <c:pt idx="142">
                  <c:v>0.95</c:v>
                </c:pt>
                <c:pt idx="143">
                  <c:v>0.95</c:v>
                </c:pt>
                <c:pt idx="144">
                  <c:v>0.95</c:v>
                </c:pt>
                <c:pt idx="145">
                  <c:v>0.95</c:v>
                </c:pt>
                <c:pt idx="146">
                  <c:v>0.95</c:v>
                </c:pt>
                <c:pt idx="147">
                  <c:v>0.95</c:v>
                </c:pt>
                <c:pt idx="148">
                  <c:v>0.95</c:v>
                </c:pt>
                <c:pt idx="149">
                  <c:v>0.95</c:v>
                </c:pt>
                <c:pt idx="150">
                  <c:v>0.95</c:v>
                </c:pt>
                <c:pt idx="151">
                  <c:v>0.95</c:v>
                </c:pt>
                <c:pt idx="152">
                  <c:v>0.95</c:v>
                </c:pt>
                <c:pt idx="153">
                  <c:v>0.95</c:v>
                </c:pt>
                <c:pt idx="154">
                  <c:v>0.95</c:v>
                </c:pt>
                <c:pt idx="155">
                  <c:v>0.95</c:v>
                </c:pt>
                <c:pt idx="156">
                  <c:v>0.95</c:v>
                </c:pt>
                <c:pt idx="157">
                  <c:v>0.95</c:v>
                </c:pt>
                <c:pt idx="158">
                  <c:v>0.95</c:v>
                </c:pt>
                <c:pt idx="159">
                  <c:v>0.95</c:v>
                </c:pt>
                <c:pt idx="160">
                  <c:v>0.95</c:v>
                </c:pt>
                <c:pt idx="161">
                  <c:v>0.95</c:v>
                </c:pt>
                <c:pt idx="162">
                  <c:v>0.95</c:v>
                </c:pt>
                <c:pt idx="163">
                  <c:v>0.95</c:v>
                </c:pt>
                <c:pt idx="164">
                  <c:v>0.95</c:v>
                </c:pt>
                <c:pt idx="165">
                  <c:v>0.95</c:v>
                </c:pt>
                <c:pt idx="166">
                  <c:v>0.95</c:v>
                </c:pt>
                <c:pt idx="167">
                  <c:v>0.95</c:v>
                </c:pt>
                <c:pt idx="168">
                  <c:v>0.95</c:v>
                </c:pt>
                <c:pt idx="169">
                  <c:v>0.95</c:v>
                </c:pt>
                <c:pt idx="170">
                  <c:v>0.95</c:v>
                </c:pt>
                <c:pt idx="171">
                  <c:v>0.95</c:v>
                </c:pt>
                <c:pt idx="172">
                  <c:v>0.95</c:v>
                </c:pt>
                <c:pt idx="173">
                  <c:v>0.95</c:v>
                </c:pt>
                <c:pt idx="174">
                  <c:v>0.95</c:v>
                </c:pt>
                <c:pt idx="175">
                  <c:v>0.95</c:v>
                </c:pt>
                <c:pt idx="176">
                  <c:v>0.95</c:v>
                </c:pt>
                <c:pt idx="177">
                  <c:v>0.95</c:v>
                </c:pt>
                <c:pt idx="178">
                  <c:v>0.95</c:v>
                </c:pt>
                <c:pt idx="179">
                  <c:v>0.95</c:v>
                </c:pt>
                <c:pt idx="180">
                  <c:v>0.95</c:v>
                </c:pt>
                <c:pt idx="181">
                  <c:v>0.95</c:v>
                </c:pt>
                <c:pt idx="182">
                  <c:v>0.95</c:v>
                </c:pt>
                <c:pt idx="183">
                  <c:v>0.95</c:v>
                </c:pt>
                <c:pt idx="184">
                  <c:v>0.95</c:v>
                </c:pt>
                <c:pt idx="185">
                  <c:v>0.95</c:v>
                </c:pt>
                <c:pt idx="186">
                  <c:v>0.95</c:v>
                </c:pt>
                <c:pt idx="187">
                  <c:v>0.95</c:v>
                </c:pt>
                <c:pt idx="188">
                  <c:v>0.95</c:v>
                </c:pt>
                <c:pt idx="189">
                  <c:v>0.95</c:v>
                </c:pt>
                <c:pt idx="190">
                  <c:v>0.95</c:v>
                </c:pt>
                <c:pt idx="191">
                  <c:v>0.95</c:v>
                </c:pt>
                <c:pt idx="192">
                  <c:v>0.95</c:v>
                </c:pt>
                <c:pt idx="193">
                  <c:v>0.95</c:v>
                </c:pt>
                <c:pt idx="194">
                  <c:v>0.95</c:v>
                </c:pt>
                <c:pt idx="195">
                  <c:v>0.95</c:v>
                </c:pt>
                <c:pt idx="196">
                  <c:v>0.95</c:v>
                </c:pt>
                <c:pt idx="197">
                  <c:v>0.95</c:v>
                </c:pt>
                <c:pt idx="198">
                  <c:v>0.95</c:v>
                </c:pt>
                <c:pt idx="199">
                  <c:v>0.95</c:v>
                </c:pt>
                <c:pt idx="200">
                  <c:v>0.95</c:v>
                </c:pt>
                <c:pt idx="201">
                  <c:v>0.95</c:v>
                </c:pt>
                <c:pt idx="202">
                  <c:v>0.95</c:v>
                </c:pt>
                <c:pt idx="203">
                  <c:v>0.95</c:v>
                </c:pt>
                <c:pt idx="204">
                  <c:v>0.95</c:v>
                </c:pt>
                <c:pt idx="205">
                  <c:v>0.95</c:v>
                </c:pt>
                <c:pt idx="206">
                  <c:v>0.95</c:v>
                </c:pt>
                <c:pt idx="207">
                  <c:v>0.95</c:v>
                </c:pt>
                <c:pt idx="208">
                  <c:v>0.95</c:v>
                </c:pt>
                <c:pt idx="209">
                  <c:v>0.95</c:v>
                </c:pt>
                <c:pt idx="210">
                  <c:v>0.95</c:v>
                </c:pt>
                <c:pt idx="211">
                  <c:v>0.95</c:v>
                </c:pt>
                <c:pt idx="212">
                  <c:v>0.95</c:v>
                </c:pt>
                <c:pt idx="213">
                  <c:v>0.95</c:v>
                </c:pt>
                <c:pt idx="214">
                  <c:v>0.95</c:v>
                </c:pt>
                <c:pt idx="215">
                  <c:v>0.95</c:v>
                </c:pt>
                <c:pt idx="216">
                  <c:v>0.95</c:v>
                </c:pt>
                <c:pt idx="217">
                  <c:v>0.95</c:v>
                </c:pt>
                <c:pt idx="218">
                  <c:v>0.95</c:v>
                </c:pt>
                <c:pt idx="219">
                  <c:v>0.95</c:v>
                </c:pt>
                <c:pt idx="220">
                  <c:v>0.95</c:v>
                </c:pt>
                <c:pt idx="221">
                  <c:v>0.95</c:v>
                </c:pt>
                <c:pt idx="222">
                  <c:v>0.95</c:v>
                </c:pt>
                <c:pt idx="223">
                  <c:v>0.95</c:v>
                </c:pt>
                <c:pt idx="224">
                  <c:v>0.95</c:v>
                </c:pt>
                <c:pt idx="225">
                  <c:v>0.95</c:v>
                </c:pt>
                <c:pt idx="226">
                  <c:v>0.95</c:v>
                </c:pt>
                <c:pt idx="227">
                  <c:v>0.95</c:v>
                </c:pt>
                <c:pt idx="228">
                  <c:v>0.95</c:v>
                </c:pt>
                <c:pt idx="229">
                  <c:v>0.95</c:v>
                </c:pt>
                <c:pt idx="230">
                  <c:v>0.95</c:v>
                </c:pt>
                <c:pt idx="231">
                  <c:v>0.95</c:v>
                </c:pt>
                <c:pt idx="232">
                  <c:v>0.95</c:v>
                </c:pt>
                <c:pt idx="233">
                  <c:v>0.95</c:v>
                </c:pt>
                <c:pt idx="234">
                  <c:v>0.95</c:v>
                </c:pt>
                <c:pt idx="235">
                  <c:v>0.95</c:v>
                </c:pt>
                <c:pt idx="236">
                  <c:v>0.95</c:v>
                </c:pt>
                <c:pt idx="237">
                  <c:v>0.95</c:v>
                </c:pt>
                <c:pt idx="238">
                  <c:v>0.95</c:v>
                </c:pt>
                <c:pt idx="239">
                  <c:v>0.95</c:v>
                </c:pt>
                <c:pt idx="240">
                  <c:v>0.95</c:v>
                </c:pt>
                <c:pt idx="241">
                  <c:v>0.95</c:v>
                </c:pt>
                <c:pt idx="242">
                  <c:v>0.95</c:v>
                </c:pt>
                <c:pt idx="243">
                  <c:v>0.95</c:v>
                </c:pt>
                <c:pt idx="244">
                  <c:v>0.95</c:v>
                </c:pt>
                <c:pt idx="245">
                  <c:v>0.95</c:v>
                </c:pt>
                <c:pt idx="246">
                  <c:v>0.95</c:v>
                </c:pt>
                <c:pt idx="247">
                  <c:v>0.95</c:v>
                </c:pt>
                <c:pt idx="248">
                  <c:v>0.95</c:v>
                </c:pt>
                <c:pt idx="249">
                  <c:v>0.95</c:v>
                </c:pt>
                <c:pt idx="250">
                  <c:v>0.95</c:v>
                </c:pt>
                <c:pt idx="251">
                  <c:v>0.95</c:v>
                </c:pt>
                <c:pt idx="252">
                  <c:v>0.95</c:v>
                </c:pt>
                <c:pt idx="253">
                  <c:v>0.95</c:v>
                </c:pt>
                <c:pt idx="254">
                  <c:v>0.95</c:v>
                </c:pt>
                <c:pt idx="255">
                  <c:v>0.95</c:v>
                </c:pt>
                <c:pt idx="256">
                  <c:v>0.95</c:v>
                </c:pt>
                <c:pt idx="257">
                  <c:v>0.95</c:v>
                </c:pt>
                <c:pt idx="258">
                  <c:v>0.95</c:v>
                </c:pt>
                <c:pt idx="259">
                  <c:v>0.95</c:v>
                </c:pt>
                <c:pt idx="260">
                  <c:v>0.95</c:v>
                </c:pt>
                <c:pt idx="261">
                  <c:v>0.95</c:v>
                </c:pt>
                <c:pt idx="262">
                  <c:v>0.95</c:v>
                </c:pt>
                <c:pt idx="263">
                  <c:v>0.95</c:v>
                </c:pt>
                <c:pt idx="264">
                  <c:v>0.95</c:v>
                </c:pt>
                <c:pt idx="265">
                  <c:v>0.95</c:v>
                </c:pt>
                <c:pt idx="266">
                  <c:v>0.95</c:v>
                </c:pt>
                <c:pt idx="267">
                  <c:v>0.95</c:v>
                </c:pt>
                <c:pt idx="268">
                  <c:v>0.95</c:v>
                </c:pt>
                <c:pt idx="269">
                  <c:v>0.95</c:v>
                </c:pt>
                <c:pt idx="270">
                  <c:v>0.95</c:v>
                </c:pt>
                <c:pt idx="271">
                  <c:v>0.95</c:v>
                </c:pt>
                <c:pt idx="272">
                  <c:v>0.95</c:v>
                </c:pt>
                <c:pt idx="273">
                  <c:v>0.95</c:v>
                </c:pt>
                <c:pt idx="274">
                  <c:v>0.95</c:v>
                </c:pt>
                <c:pt idx="275">
                  <c:v>0.95</c:v>
                </c:pt>
                <c:pt idx="276">
                  <c:v>0.95</c:v>
                </c:pt>
                <c:pt idx="277">
                  <c:v>0.95</c:v>
                </c:pt>
                <c:pt idx="278">
                  <c:v>0.95</c:v>
                </c:pt>
                <c:pt idx="279">
                  <c:v>0.95</c:v>
                </c:pt>
                <c:pt idx="280">
                  <c:v>0.95</c:v>
                </c:pt>
                <c:pt idx="281">
                  <c:v>0.95</c:v>
                </c:pt>
                <c:pt idx="282">
                  <c:v>0.95</c:v>
                </c:pt>
                <c:pt idx="283">
                  <c:v>0.95</c:v>
                </c:pt>
                <c:pt idx="284">
                  <c:v>0.95</c:v>
                </c:pt>
                <c:pt idx="285">
                  <c:v>0.95</c:v>
                </c:pt>
                <c:pt idx="286">
                  <c:v>0.95</c:v>
                </c:pt>
                <c:pt idx="287">
                  <c:v>0.95</c:v>
                </c:pt>
                <c:pt idx="288">
                  <c:v>0.95</c:v>
                </c:pt>
                <c:pt idx="289">
                  <c:v>0.95</c:v>
                </c:pt>
                <c:pt idx="290">
                  <c:v>0.95</c:v>
                </c:pt>
                <c:pt idx="291">
                  <c:v>0.95</c:v>
                </c:pt>
                <c:pt idx="292">
                  <c:v>0.95</c:v>
                </c:pt>
                <c:pt idx="293">
                  <c:v>0.95</c:v>
                </c:pt>
                <c:pt idx="294">
                  <c:v>0.95</c:v>
                </c:pt>
                <c:pt idx="295">
                  <c:v>0.95</c:v>
                </c:pt>
                <c:pt idx="296">
                  <c:v>0.95</c:v>
                </c:pt>
                <c:pt idx="297">
                  <c:v>0.95</c:v>
                </c:pt>
                <c:pt idx="298">
                  <c:v>0.95</c:v>
                </c:pt>
                <c:pt idx="299">
                  <c:v>0.95</c:v>
                </c:pt>
                <c:pt idx="300">
                  <c:v>0.95</c:v>
                </c:pt>
                <c:pt idx="301">
                  <c:v>0.95</c:v>
                </c:pt>
                <c:pt idx="302">
                  <c:v>0.95</c:v>
                </c:pt>
                <c:pt idx="303">
                  <c:v>0.95</c:v>
                </c:pt>
                <c:pt idx="304">
                  <c:v>0.95</c:v>
                </c:pt>
                <c:pt idx="305">
                  <c:v>0.95</c:v>
                </c:pt>
                <c:pt idx="306">
                  <c:v>0.95</c:v>
                </c:pt>
                <c:pt idx="307">
                  <c:v>0.95</c:v>
                </c:pt>
                <c:pt idx="308">
                  <c:v>0.95</c:v>
                </c:pt>
                <c:pt idx="309">
                  <c:v>0.95</c:v>
                </c:pt>
                <c:pt idx="310">
                  <c:v>0.95</c:v>
                </c:pt>
                <c:pt idx="311">
                  <c:v>0.95</c:v>
                </c:pt>
                <c:pt idx="312">
                  <c:v>0.95</c:v>
                </c:pt>
                <c:pt idx="313">
                  <c:v>0.95</c:v>
                </c:pt>
                <c:pt idx="314">
                  <c:v>0.95</c:v>
                </c:pt>
                <c:pt idx="315">
                  <c:v>0.95</c:v>
                </c:pt>
                <c:pt idx="316">
                  <c:v>0.95</c:v>
                </c:pt>
                <c:pt idx="317">
                  <c:v>0.95</c:v>
                </c:pt>
                <c:pt idx="318">
                  <c:v>0.95</c:v>
                </c:pt>
                <c:pt idx="319">
                  <c:v>0.95</c:v>
                </c:pt>
                <c:pt idx="320">
                  <c:v>0.95</c:v>
                </c:pt>
                <c:pt idx="321">
                  <c:v>0.95</c:v>
                </c:pt>
                <c:pt idx="322">
                  <c:v>0.95</c:v>
                </c:pt>
                <c:pt idx="323">
                  <c:v>0.95</c:v>
                </c:pt>
                <c:pt idx="324">
                  <c:v>0.95</c:v>
                </c:pt>
                <c:pt idx="325">
                  <c:v>0.95</c:v>
                </c:pt>
                <c:pt idx="326">
                  <c:v>0.95</c:v>
                </c:pt>
                <c:pt idx="327">
                  <c:v>0.95</c:v>
                </c:pt>
                <c:pt idx="328">
                  <c:v>0.95</c:v>
                </c:pt>
                <c:pt idx="329">
                  <c:v>0.95</c:v>
                </c:pt>
                <c:pt idx="330">
                  <c:v>0.95</c:v>
                </c:pt>
                <c:pt idx="331">
                  <c:v>0.95</c:v>
                </c:pt>
                <c:pt idx="332">
                  <c:v>0.95</c:v>
                </c:pt>
                <c:pt idx="333">
                  <c:v>0.95</c:v>
                </c:pt>
                <c:pt idx="334">
                  <c:v>0.95</c:v>
                </c:pt>
                <c:pt idx="335">
                  <c:v>0.95</c:v>
                </c:pt>
                <c:pt idx="336">
                  <c:v>0.95</c:v>
                </c:pt>
                <c:pt idx="337">
                  <c:v>0.95</c:v>
                </c:pt>
                <c:pt idx="338">
                  <c:v>0.95</c:v>
                </c:pt>
                <c:pt idx="339">
                  <c:v>0.95</c:v>
                </c:pt>
                <c:pt idx="340">
                  <c:v>0.95</c:v>
                </c:pt>
                <c:pt idx="341">
                  <c:v>0.95</c:v>
                </c:pt>
                <c:pt idx="342">
                  <c:v>0.95</c:v>
                </c:pt>
                <c:pt idx="343">
                  <c:v>0.95</c:v>
                </c:pt>
                <c:pt idx="344">
                  <c:v>0.95</c:v>
                </c:pt>
                <c:pt idx="345">
                  <c:v>0.95</c:v>
                </c:pt>
                <c:pt idx="346">
                  <c:v>0.95</c:v>
                </c:pt>
                <c:pt idx="347">
                  <c:v>0.95</c:v>
                </c:pt>
                <c:pt idx="348">
                  <c:v>0.95</c:v>
                </c:pt>
                <c:pt idx="349">
                  <c:v>0.95</c:v>
                </c:pt>
                <c:pt idx="350">
                  <c:v>0.95</c:v>
                </c:pt>
                <c:pt idx="351">
                  <c:v>0.95</c:v>
                </c:pt>
                <c:pt idx="352">
                  <c:v>0.95</c:v>
                </c:pt>
                <c:pt idx="353">
                  <c:v>0.95</c:v>
                </c:pt>
                <c:pt idx="354">
                  <c:v>0.95</c:v>
                </c:pt>
                <c:pt idx="355">
                  <c:v>0.95</c:v>
                </c:pt>
                <c:pt idx="356">
                  <c:v>0.95</c:v>
                </c:pt>
                <c:pt idx="357">
                  <c:v>0.95</c:v>
                </c:pt>
                <c:pt idx="358">
                  <c:v>0.95</c:v>
                </c:pt>
                <c:pt idx="359">
                  <c:v>0.95</c:v>
                </c:pt>
                <c:pt idx="360">
                  <c:v>0.95</c:v>
                </c:pt>
                <c:pt idx="361">
                  <c:v>0.95</c:v>
                </c:pt>
                <c:pt idx="362">
                  <c:v>0.95</c:v>
                </c:pt>
                <c:pt idx="363">
                  <c:v>0.95</c:v>
                </c:pt>
                <c:pt idx="364">
                  <c:v>0.95</c:v>
                </c:pt>
                <c:pt idx="365">
                  <c:v>0.95</c:v>
                </c:pt>
                <c:pt idx="366">
                  <c:v>0.95</c:v>
                </c:pt>
                <c:pt idx="367">
                  <c:v>0.95</c:v>
                </c:pt>
                <c:pt idx="368">
                  <c:v>0.95</c:v>
                </c:pt>
                <c:pt idx="369">
                  <c:v>0.95</c:v>
                </c:pt>
                <c:pt idx="370">
                  <c:v>0.95</c:v>
                </c:pt>
                <c:pt idx="371">
                  <c:v>0.95</c:v>
                </c:pt>
                <c:pt idx="372">
                  <c:v>0.95</c:v>
                </c:pt>
                <c:pt idx="373">
                  <c:v>0.95</c:v>
                </c:pt>
                <c:pt idx="374">
                  <c:v>0.95</c:v>
                </c:pt>
                <c:pt idx="375">
                  <c:v>0.95</c:v>
                </c:pt>
                <c:pt idx="376">
                  <c:v>0.95</c:v>
                </c:pt>
                <c:pt idx="377">
                  <c:v>0.95</c:v>
                </c:pt>
                <c:pt idx="378">
                  <c:v>0.95</c:v>
                </c:pt>
                <c:pt idx="379">
                  <c:v>0.95</c:v>
                </c:pt>
                <c:pt idx="380">
                  <c:v>0.95</c:v>
                </c:pt>
                <c:pt idx="381">
                  <c:v>0.95</c:v>
                </c:pt>
                <c:pt idx="382">
                  <c:v>0.95</c:v>
                </c:pt>
                <c:pt idx="383">
                  <c:v>0.95</c:v>
                </c:pt>
                <c:pt idx="384">
                  <c:v>0.95</c:v>
                </c:pt>
                <c:pt idx="385">
                  <c:v>0.95</c:v>
                </c:pt>
                <c:pt idx="386">
                  <c:v>0.95</c:v>
                </c:pt>
                <c:pt idx="387">
                  <c:v>0.95</c:v>
                </c:pt>
                <c:pt idx="388">
                  <c:v>0.95</c:v>
                </c:pt>
                <c:pt idx="389">
                  <c:v>0.95</c:v>
                </c:pt>
                <c:pt idx="390">
                  <c:v>0.95</c:v>
                </c:pt>
                <c:pt idx="391">
                  <c:v>0.95</c:v>
                </c:pt>
                <c:pt idx="392">
                  <c:v>0.95</c:v>
                </c:pt>
                <c:pt idx="393">
                  <c:v>0.95</c:v>
                </c:pt>
                <c:pt idx="394">
                  <c:v>0.95</c:v>
                </c:pt>
                <c:pt idx="395">
                  <c:v>0.95</c:v>
                </c:pt>
                <c:pt idx="396">
                  <c:v>0.95</c:v>
                </c:pt>
                <c:pt idx="397">
                  <c:v>0.95</c:v>
                </c:pt>
                <c:pt idx="398">
                  <c:v>0.95</c:v>
                </c:pt>
                <c:pt idx="399">
                  <c:v>0.95</c:v>
                </c:pt>
                <c:pt idx="400">
                  <c:v>0.95</c:v>
                </c:pt>
                <c:pt idx="401">
                  <c:v>0.95</c:v>
                </c:pt>
                <c:pt idx="402">
                  <c:v>0.95</c:v>
                </c:pt>
                <c:pt idx="403">
                  <c:v>0.95</c:v>
                </c:pt>
                <c:pt idx="404">
                  <c:v>0.95</c:v>
                </c:pt>
                <c:pt idx="405">
                  <c:v>0.95</c:v>
                </c:pt>
                <c:pt idx="406">
                  <c:v>0.95</c:v>
                </c:pt>
                <c:pt idx="407">
                  <c:v>0.95</c:v>
                </c:pt>
                <c:pt idx="408">
                  <c:v>0.95</c:v>
                </c:pt>
                <c:pt idx="409">
                  <c:v>0.95</c:v>
                </c:pt>
                <c:pt idx="410">
                  <c:v>0.95</c:v>
                </c:pt>
                <c:pt idx="411">
                  <c:v>0.95</c:v>
                </c:pt>
                <c:pt idx="412">
                  <c:v>0.95</c:v>
                </c:pt>
                <c:pt idx="413">
                  <c:v>0.95</c:v>
                </c:pt>
                <c:pt idx="414">
                  <c:v>0.95</c:v>
                </c:pt>
                <c:pt idx="415">
                  <c:v>0.95</c:v>
                </c:pt>
                <c:pt idx="416">
                  <c:v>0.95</c:v>
                </c:pt>
                <c:pt idx="417">
                  <c:v>0.95</c:v>
                </c:pt>
                <c:pt idx="418">
                  <c:v>0.95</c:v>
                </c:pt>
                <c:pt idx="419">
                  <c:v>0.95</c:v>
                </c:pt>
                <c:pt idx="420">
                  <c:v>0.95</c:v>
                </c:pt>
                <c:pt idx="421">
                  <c:v>0.95</c:v>
                </c:pt>
                <c:pt idx="422">
                  <c:v>0.95</c:v>
                </c:pt>
                <c:pt idx="423">
                  <c:v>0.95</c:v>
                </c:pt>
                <c:pt idx="424">
                  <c:v>0.95</c:v>
                </c:pt>
                <c:pt idx="425">
                  <c:v>0.95</c:v>
                </c:pt>
                <c:pt idx="426">
                  <c:v>0.95</c:v>
                </c:pt>
                <c:pt idx="427">
                  <c:v>0.95</c:v>
                </c:pt>
                <c:pt idx="428">
                  <c:v>0.95</c:v>
                </c:pt>
                <c:pt idx="429">
                  <c:v>0.95</c:v>
                </c:pt>
                <c:pt idx="430">
                  <c:v>0.95</c:v>
                </c:pt>
                <c:pt idx="431">
                  <c:v>0.95</c:v>
                </c:pt>
                <c:pt idx="432">
                  <c:v>0.95</c:v>
                </c:pt>
                <c:pt idx="433">
                  <c:v>0.95</c:v>
                </c:pt>
                <c:pt idx="434">
                  <c:v>0.95</c:v>
                </c:pt>
                <c:pt idx="435">
                  <c:v>0.95</c:v>
                </c:pt>
                <c:pt idx="436">
                  <c:v>0.95</c:v>
                </c:pt>
                <c:pt idx="437">
                  <c:v>0.95</c:v>
                </c:pt>
                <c:pt idx="438">
                  <c:v>0.95</c:v>
                </c:pt>
                <c:pt idx="439">
                  <c:v>0.95</c:v>
                </c:pt>
                <c:pt idx="440">
                  <c:v>0.95</c:v>
                </c:pt>
                <c:pt idx="441">
                  <c:v>0.95</c:v>
                </c:pt>
                <c:pt idx="442">
                  <c:v>0.95</c:v>
                </c:pt>
                <c:pt idx="443">
                  <c:v>0.95</c:v>
                </c:pt>
                <c:pt idx="444">
                  <c:v>0.95</c:v>
                </c:pt>
                <c:pt idx="445">
                  <c:v>0.95</c:v>
                </c:pt>
                <c:pt idx="446">
                  <c:v>0.95</c:v>
                </c:pt>
                <c:pt idx="447">
                  <c:v>0.95</c:v>
                </c:pt>
                <c:pt idx="448">
                  <c:v>0.95</c:v>
                </c:pt>
                <c:pt idx="449">
                  <c:v>0.95</c:v>
                </c:pt>
                <c:pt idx="450">
                  <c:v>0.95</c:v>
                </c:pt>
                <c:pt idx="451">
                  <c:v>0.95</c:v>
                </c:pt>
                <c:pt idx="452">
                  <c:v>0.95</c:v>
                </c:pt>
                <c:pt idx="453">
                  <c:v>0.95</c:v>
                </c:pt>
                <c:pt idx="454">
                  <c:v>0.95</c:v>
                </c:pt>
                <c:pt idx="455">
                  <c:v>0.95</c:v>
                </c:pt>
                <c:pt idx="456">
                  <c:v>0.95</c:v>
                </c:pt>
                <c:pt idx="457">
                  <c:v>0.95</c:v>
                </c:pt>
                <c:pt idx="458">
                  <c:v>0.95</c:v>
                </c:pt>
                <c:pt idx="459">
                  <c:v>0.95</c:v>
                </c:pt>
                <c:pt idx="460">
                  <c:v>0.95</c:v>
                </c:pt>
                <c:pt idx="461">
                  <c:v>0.95</c:v>
                </c:pt>
                <c:pt idx="462">
                  <c:v>0.95</c:v>
                </c:pt>
                <c:pt idx="463">
                  <c:v>0.95</c:v>
                </c:pt>
                <c:pt idx="464">
                  <c:v>0.95</c:v>
                </c:pt>
                <c:pt idx="465">
                  <c:v>0.95</c:v>
                </c:pt>
                <c:pt idx="466">
                  <c:v>0.95</c:v>
                </c:pt>
                <c:pt idx="467">
                  <c:v>0.95</c:v>
                </c:pt>
                <c:pt idx="468">
                  <c:v>0.95</c:v>
                </c:pt>
                <c:pt idx="469">
                  <c:v>0.95</c:v>
                </c:pt>
                <c:pt idx="470">
                  <c:v>0.95</c:v>
                </c:pt>
                <c:pt idx="471">
                  <c:v>0.95</c:v>
                </c:pt>
                <c:pt idx="472">
                  <c:v>0.95</c:v>
                </c:pt>
                <c:pt idx="473">
                  <c:v>0.95</c:v>
                </c:pt>
                <c:pt idx="474">
                  <c:v>0.95</c:v>
                </c:pt>
                <c:pt idx="475">
                  <c:v>0.95</c:v>
                </c:pt>
                <c:pt idx="476">
                  <c:v>0.95</c:v>
                </c:pt>
                <c:pt idx="477">
                  <c:v>0.95</c:v>
                </c:pt>
                <c:pt idx="478">
                  <c:v>0.95</c:v>
                </c:pt>
                <c:pt idx="479">
                  <c:v>0.95</c:v>
                </c:pt>
              </c:numCache>
            </c:numRef>
          </c:val>
          <c:smooth val="0"/>
          <c:extLst>
            <c:ext xmlns:c16="http://schemas.microsoft.com/office/drawing/2014/chart" uri="{C3380CC4-5D6E-409C-BE32-E72D297353CC}">
              <c16:uniqueId val="{00000004-3779-4187-B565-B3439E7A5866}"/>
            </c:ext>
          </c:extLst>
        </c:ser>
        <c:ser>
          <c:idx val="5"/>
          <c:order val="5"/>
          <c:tx>
            <c:strRef>
              <c:f>'Calculation of Typical Day'!$CS$20</c:f>
              <c:strCache>
                <c:ptCount val="1"/>
                <c:pt idx="0">
                  <c:v>Heat pump is running</c:v>
                </c:pt>
              </c:strCache>
            </c:strRef>
          </c:tx>
          <c:spPr>
            <a:ln w="31750" cap="rnd">
              <a:solidFill>
                <a:schemeClr val="accent6"/>
              </a:solidFill>
              <a:round/>
            </a:ln>
            <a:effectLst/>
          </c:spPr>
          <c:marker>
            <c:symbol val="none"/>
          </c:marker>
          <c:val>
            <c:numRef>
              <c:f>'Calculation of Typical Day'!$CS$21:$CS$500</c:f>
              <c:numCache>
                <c:formatCode>#,##0</c:formatCode>
                <c:ptCount val="480"/>
                <c:pt idx="0">
                  <c:v>1.02</c:v>
                </c:pt>
                <c:pt idx="1">
                  <c:v>1.02</c:v>
                </c:pt>
                <c:pt idx="2">
                  <c:v>1.02</c:v>
                </c:pt>
                <c:pt idx="3">
                  <c:v>1.02</c:v>
                </c:pt>
                <c:pt idx="4">
                  <c:v>1.02</c:v>
                </c:pt>
                <c:pt idx="5">
                  <c:v>1.02</c:v>
                </c:pt>
                <c:pt idx="6">
                  <c:v>1.02</c:v>
                </c:pt>
                <c:pt idx="7">
                  <c:v>1.02</c:v>
                </c:pt>
                <c:pt idx="8">
                  <c:v>1.02</c:v>
                </c:pt>
                <c:pt idx="9">
                  <c:v>1.02</c:v>
                </c:pt>
                <c:pt idx="10">
                  <c:v>1.02</c:v>
                </c:pt>
                <c:pt idx="11">
                  <c:v>1.02</c:v>
                </c:pt>
                <c:pt idx="12">
                  <c:v>1.02</c:v>
                </c:pt>
                <c:pt idx="13">
                  <c:v>1.02</c:v>
                </c:pt>
                <c:pt idx="14">
                  <c:v>1.02</c:v>
                </c:pt>
                <c:pt idx="15">
                  <c:v>1.02</c:v>
                </c:pt>
                <c:pt idx="16">
                  <c:v>1.02</c:v>
                </c:pt>
                <c:pt idx="17">
                  <c:v>1.02</c:v>
                </c:pt>
                <c:pt idx="18">
                  <c:v>1.02</c:v>
                </c:pt>
                <c:pt idx="19">
                  <c:v>1.02</c:v>
                </c:pt>
                <c:pt idx="20">
                  <c:v>1.02</c:v>
                </c:pt>
                <c:pt idx="21">
                  <c:v>1.02</c:v>
                </c:pt>
                <c:pt idx="22">
                  <c:v>1.02</c:v>
                </c:pt>
                <c:pt idx="23">
                  <c:v>1.02</c:v>
                </c:pt>
                <c:pt idx="24">
                  <c:v>1.02</c:v>
                </c:pt>
                <c:pt idx="25">
                  <c:v>1.02</c:v>
                </c:pt>
                <c:pt idx="26">
                  <c:v>1.02</c:v>
                </c:pt>
                <c:pt idx="27">
                  <c:v>1.02</c:v>
                </c:pt>
                <c:pt idx="28">
                  <c:v>1.02</c:v>
                </c:pt>
                <c:pt idx="29">
                  <c:v>1.02</c:v>
                </c:pt>
                <c:pt idx="30">
                  <c:v>1.02</c:v>
                </c:pt>
                <c:pt idx="31">
                  <c:v>1.02</c:v>
                </c:pt>
                <c:pt idx="32">
                  <c:v>1.02</c:v>
                </c:pt>
                <c:pt idx="33">
                  <c:v>1.02</c:v>
                </c:pt>
                <c:pt idx="34">
                  <c:v>1.02</c:v>
                </c:pt>
                <c:pt idx="35">
                  <c:v>1.02</c:v>
                </c:pt>
                <c:pt idx="36">
                  <c:v>1.02</c:v>
                </c:pt>
                <c:pt idx="37">
                  <c:v>1.02</c:v>
                </c:pt>
                <c:pt idx="38">
                  <c:v>1.02</c:v>
                </c:pt>
                <c:pt idx="39">
                  <c:v>1.02</c:v>
                </c:pt>
                <c:pt idx="40">
                  <c:v>1.02</c:v>
                </c:pt>
                <c:pt idx="41">
                  <c:v>1.02</c:v>
                </c:pt>
                <c:pt idx="42">
                  <c:v>1.02</c:v>
                </c:pt>
                <c:pt idx="43">
                  <c:v>1.02</c:v>
                </c:pt>
                <c:pt idx="44">
                  <c:v>1.02</c:v>
                </c:pt>
                <c:pt idx="45">
                  <c:v>1.02</c:v>
                </c:pt>
                <c:pt idx="46">
                  <c:v>1.02</c:v>
                </c:pt>
                <c:pt idx="47">
                  <c:v>1.02</c:v>
                </c:pt>
                <c:pt idx="48">
                  <c:v>1.02</c:v>
                </c:pt>
                <c:pt idx="49">
                  <c:v>1.02</c:v>
                </c:pt>
                <c:pt idx="50">
                  <c:v>1.02</c:v>
                </c:pt>
                <c:pt idx="51">
                  <c:v>1.02</c:v>
                </c:pt>
                <c:pt idx="52">
                  <c:v>1.02</c:v>
                </c:pt>
                <c:pt idx="53">
                  <c:v>1.02</c:v>
                </c:pt>
                <c:pt idx="54">
                  <c:v>1.02</c:v>
                </c:pt>
                <c:pt idx="55">
                  <c:v>1.02</c:v>
                </c:pt>
                <c:pt idx="56">
                  <c:v>1.02</c:v>
                </c:pt>
                <c:pt idx="57">
                  <c:v>1.02</c:v>
                </c:pt>
                <c:pt idx="58">
                  <c:v>1.02</c:v>
                </c:pt>
                <c:pt idx="59">
                  <c:v>1.02</c:v>
                </c:pt>
                <c:pt idx="60">
                  <c:v>1.02</c:v>
                </c:pt>
                <c:pt idx="61">
                  <c:v>1.02</c:v>
                </c:pt>
                <c:pt idx="62">
                  <c:v>1.02</c:v>
                </c:pt>
                <c:pt idx="63">
                  <c:v>1.02</c:v>
                </c:pt>
                <c:pt idx="64">
                  <c:v>1.02</c:v>
                </c:pt>
                <c:pt idx="65">
                  <c:v>1.02</c:v>
                </c:pt>
                <c:pt idx="66">
                  <c:v>1.02</c:v>
                </c:pt>
                <c:pt idx="67">
                  <c:v>1.02</c:v>
                </c:pt>
                <c:pt idx="68">
                  <c:v>1.02</c:v>
                </c:pt>
                <c:pt idx="69">
                  <c:v>1.02</c:v>
                </c:pt>
                <c:pt idx="70">
                  <c:v>1.02</c:v>
                </c:pt>
                <c:pt idx="71">
                  <c:v>1.02</c:v>
                </c:pt>
                <c:pt idx="72">
                  <c:v>1.02</c:v>
                </c:pt>
                <c:pt idx="73">
                  <c:v>1.02</c:v>
                </c:pt>
                <c:pt idx="74">
                  <c:v>1.02</c:v>
                </c:pt>
                <c:pt idx="75">
                  <c:v>1.02</c:v>
                </c:pt>
                <c:pt idx="76">
                  <c:v>1.02</c:v>
                </c:pt>
                <c:pt idx="77">
                  <c:v>1.02</c:v>
                </c:pt>
                <c:pt idx="78">
                  <c:v>1.02</c:v>
                </c:pt>
                <c:pt idx="79">
                  <c:v>1.02</c:v>
                </c:pt>
                <c:pt idx="80">
                  <c:v>1.02</c:v>
                </c:pt>
                <c:pt idx="81">
                  <c:v>1.02</c:v>
                </c:pt>
                <c:pt idx="82">
                  <c:v>1.02</c:v>
                </c:pt>
                <c:pt idx="83">
                  <c:v>1.02</c:v>
                </c:pt>
                <c:pt idx="84">
                  <c:v>1.02</c:v>
                </c:pt>
                <c:pt idx="85">
                  <c:v>1.02</c:v>
                </c:pt>
                <c:pt idx="86">
                  <c:v>1.02</c:v>
                </c:pt>
                <c:pt idx="87">
                  <c:v>1.02</c:v>
                </c:pt>
                <c:pt idx="88">
                  <c:v>1.02</c:v>
                </c:pt>
                <c:pt idx="89">
                  <c:v>1.02</c:v>
                </c:pt>
                <c:pt idx="90">
                  <c:v>1.02</c:v>
                </c:pt>
                <c:pt idx="91">
                  <c:v>1.02</c:v>
                </c:pt>
                <c:pt idx="92">
                  <c:v>1.02</c:v>
                </c:pt>
                <c:pt idx="93">
                  <c:v>1.02</c:v>
                </c:pt>
                <c:pt idx="94">
                  <c:v>1.02</c:v>
                </c:pt>
                <c:pt idx="95">
                  <c:v>1.02</c:v>
                </c:pt>
                <c:pt idx="96">
                  <c:v>1.02</c:v>
                </c:pt>
                <c:pt idx="97">
                  <c:v>1.02</c:v>
                </c:pt>
                <c:pt idx="98">
                  <c:v>1.02</c:v>
                </c:pt>
                <c:pt idx="99">
                  <c:v>1.02</c:v>
                </c:pt>
                <c:pt idx="100">
                  <c:v>1.02</c:v>
                </c:pt>
                <c:pt idx="101">
                  <c:v>1.02</c:v>
                </c:pt>
                <c:pt idx="102">
                  <c:v>1.02</c:v>
                </c:pt>
                <c:pt idx="103">
                  <c:v>1.02</c:v>
                </c:pt>
                <c:pt idx="104">
                  <c:v>1.02</c:v>
                </c:pt>
                <c:pt idx="105">
                  <c:v>1.02</c:v>
                </c:pt>
                <c:pt idx="106">
                  <c:v>1.02</c:v>
                </c:pt>
                <c:pt idx="107">
                  <c:v>1.02</c:v>
                </c:pt>
                <c:pt idx="108">
                  <c:v>1.02</c:v>
                </c:pt>
                <c:pt idx="109">
                  <c:v>1.02</c:v>
                </c:pt>
                <c:pt idx="110">
                  <c:v>1.02</c:v>
                </c:pt>
                <c:pt idx="111">
                  <c:v>1.02</c:v>
                </c:pt>
                <c:pt idx="112">
                  <c:v>1.02</c:v>
                </c:pt>
                <c:pt idx="113">
                  <c:v>1.02</c:v>
                </c:pt>
                <c:pt idx="114">
                  <c:v>1.02</c:v>
                </c:pt>
                <c:pt idx="115">
                  <c:v>1.02</c:v>
                </c:pt>
                <c:pt idx="116">
                  <c:v>1.02</c:v>
                </c:pt>
                <c:pt idx="117">
                  <c:v>1.02</c:v>
                </c:pt>
                <c:pt idx="118">
                  <c:v>1.02</c:v>
                </c:pt>
                <c:pt idx="119">
                  <c:v>1.02</c:v>
                </c:pt>
                <c:pt idx="120">
                  <c:v>0.03</c:v>
                </c:pt>
                <c:pt idx="121">
                  <c:v>0.03</c:v>
                </c:pt>
                <c:pt idx="122">
                  <c:v>0.03</c:v>
                </c:pt>
                <c:pt idx="123">
                  <c:v>0.03</c:v>
                </c:pt>
                <c:pt idx="124">
                  <c:v>0.03</c:v>
                </c:pt>
                <c:pt idx="125">
                  <c:v>0.03</c:v>
                </c:pt>
                <c:pt idx="126">
                  <c:v>0.03</c:v>
                </c:pt>
                <c:pt idx="127">
                  <c:v>0.03</c:v>
                </c:pt>
                <c:pt idx="128">
                  <c:v>0.03</c:v>
                </c:pt>
                <c:pt idx="129">
                  <c:v>0.03</c:v>
                </c:pt>
                <c:pt idx="130">
                  <c:v>0.03</c:v>
                </c:pt>
                <c:pt idx="131">
                  <c:v>0.03</c:v>
                </c:pt>
                <c:pt idx="132">
                  <c:v>0.03</c:v>
                </c:pt>
                <c:pt idx="133">
                  <c:v>0.03</c:v>
                </c:pt>
                <c:pt idx="134">
                  <c:v>0.03</c:v>
                </c:pt>
                <c:pt idx="135">
                  <c:v>0.03</c:v>
                </c:pt>
                <c:pt idx="136">
                  <c:v>0.03</c:v>
                </c:pt>
                <c:pt idx="137">
                  <c:v>0.03</c:v>
                </c:pt>
                <c:pt idx="138">
                  <c:v>0.03</c:v>
                </c:pt>
                <c:pt idx="139">
                  <c:v>0.03</c:v>
                </c:pt>
                <c:pt idx="140">
                  <c:v>0.03</c:v>
                </c:pt>
                <c:pt idx="141">
                  <c:v>0.03</c:v>
                </c:pt>
                <c:pt idx="142">
                  <c:v>0.03</c:v>
                </c:pt>
                <c:pt idx="143">
                  <c:v>0.03</c:v>
                </c:pt>
                <c:pt idx="144">
                  <c:v>0.03</c:v>
                </c:pt>
                <c:pt idx="145">
                  <c:v>0.03</c:v>
                </c:pt>
                <c:pt idx="146">
                  <c:v>0.03</c:v>
                </c:pt>
                <c:pt idx="147">
                  <c:v>0.03</c:v>
                </c:pt>
                <c:pt idx="148">
                  <c:v>0.03</c:v>
                </c:pt>
                <c:pt idx="149">
                  <c:v>0.03</c:v>
                </c:pt>
                <c:pt idx="150">
                  <c:v>0.03</c:v>
                </c:pt>
                <c:pt idx="151">
                  <c:v>0.03</c:v>
                </c:pt>
                <c:pt idx="152">
                  <c:v>0.03</c:v>
                </c:pt>
                <c:pt idx="153">
                  <c:v>0.03</c:v>
                </c:pt>
                <c:pt idx="154">
                  <c:v>0.03</c:v>
                </c:pt>
                <c:pt idx="155">
                  <c:v>0.03</c:v>
                </c:pt>
                <c:pt idx="156">
                  <c:v>0.03</c:v>
                </c:pt>
                <c:pt idx="157">
                  <c:v>0.03</c:v>
                </c:pt>
                <c:pt idx="158">
                  <c:v>0.03</c:v>
                </c:pt>
                <c:pt idx="159">
                  <c:v>0.03</c:v>
                </c:pt>
                <c:pt idx="160">
                  <c:v>0.03</c:v>
                </c:pt>
                <c:pt idx="161">
                  <c:v>0.03</c:v>
                </c:pt>
                <c:pt idx="162">
                  <c:v>0.03</c:v>
                </c:pt>
                <c:pt idx="163">
                  <c:v>0.03</c:v>
                </c:pt>
                <c:pt idx="164">
                  <c:v>0.03</c:v>
                </c:pt>
                <c:pt idx="165">
                  <c:v>0.03</c:v>
                </c:pt>
                <c:pt idx="166">
                  <c:v>0.03</c:v>
                </c:pt>
                <c:pt idx="167">
                  <c:v>0.03</c:v>
                </c:pt>
                <c:pt idx="168">
                  <c:v>0.03</c:v>
                </c:pt>
                <c:pt idx="169">
                  <c:v>0.03</c:v>
                </c:pt>
                <c:pt idx="170">
                  <c:v>0.03</c:v>
                </c:pt>
                <c:pt idx="171">
                  <c:v>0.03</c:v>
                </c:pt>
                <c:pt idx="172">
                  <c:v>0.03</c:v>
                </c:pt>
                <c:pt idx="173">
                  <c:v>0.03</c:v>
                </c:pt>
                <c:pt idx="174">
                  <c:v>0.03</c:v>
                </c:pt>
                <c:pt idx="175">
                  <c:v>0.03</c:v>
                </c:pt>
                <c:pt idx="176">
                  <c:v>0.03</c:v>
                </c:pt>
                <c:pt idx="177">
                  <c:v>0.03</c:v>
                </c:pt>
                <c:pt idx="178">
                  <c:v>0.03</c:v>
                </c:pt>
                <c:pt idx="179">
                  <c:v>0.03</c:v>
                </c:pt>
                <c:pt idx="180">
                  <c:v>0.03</c:v>
                </c:pt>
                <c:pt idx="181">
                  <c:v>0.03</c:v>
                </c:pt>
                <c:pt idx="182">
                  <c:v>0.03</c:v>
                </c:pt>
                <c:pt idx="183">
                  <c:v>0.03</c:v>
                </c:pt>
                <c:pt idx="184">
                  <c:v>0.03</c:v>
                </c:pt>
                <c:pt idx="185">
                  <c:v>0.03</c:v>
                </c:pt>
                <c:pt idx="186">
                  <c:v>0.03</c:v>
                </c:pt>
                <c:pt idx="187">
                  <c:v>0.03</c:v>
                </c:pt>
                <c:pt idx="188">
                  <c:v>0.03</c:v>
                </c:pt>
                <c:pt idx="189">
                  <c:v>0.03</c:v>
                </c:pt>
                <c:pt idx="190">
                  <c:v>0.03</c:v>
                </c:pt>
                <c:pt idx="191">
                  <c:v>0.03</c:v>
                </c:pt>
                <c:pt idx="192">
                  <c:v>0.03</c:v>
                </c:pt>
                <c:pt idx="193">
                  <c:v>0.03</c:v>
                </c:pt>
                <c:pt idx="194">
                  <c:v>0.03</c:v>
                </c:pt>
                <c:pt idx="195">
                  <c:v>0.03</c:v>
                </c:pt>
                <c:pt idx="196">
                  <c:v>0.03</c:v>
                </c:pt>
                <c:pt idx="197">
                  <c:v>0.03</c:v>
                </c:pt>
                <c:pt idx="198">
                  <c:v>0.03</c:v>
                </c:pt>
                <c:pt idx="199">
                  <c:v>0.03</c:v>
                </c:pt>
                <c:pt idx="200">
                  <c:v>0.03</c:v>
                </c:pt>
                <c:pt idx="201">
                  <c:v>0.03</c:v>
                </c:pt>
                <c:pt idx="202">
                  <c:v>0.03</c:v>
                </c:pt>
                <c:pt idx="203">
                  <c:v>0.03</c:v>
                </c:pt>
                <c:pt idx="204">
                  <c:v>0.03</c:v>
                </c:pt>
                <c:pt idx="205">
                  <c:v>0.03</c:v>
                </c:pt>
                <c:pt idx="206">
                  <c:v>0.03</c:v>
                </c:pt>
                <c:pt idx="207">
                  <c:v>0.03</c:v>
                </c:pt>
                <c:pt idx="208">
                  <c:v>0.03</c:v>
                </c:pt>
                <c:pt idx="209">
                  <c:v>0.03</c:v>
                </c:pt>
                <c:pt idx="210">
                  <c:v>0.03</c:v>
                </c:pt>
                <c:pt idx="211">
                  <c:v>0.03</c:v>
                </c:pt>
                <c:pt idx="212">
                  <c:v>0.03</c:v>
                </c:pt>
                <c:pt idx="213">
                  <c:v>0.03</c:v>
                </c:pt>
                <c:pt idx="214">
                  <c:v>0.03</c:v>
                </c:pt>
                <c:pt idx="215">
                  <c:v>0.03</c:v>
                </c:pt>
                <c:pt idx="216">
                  <c:v>0.03</c:v>
                </c:pt>
                <c:pt idx="217">
                  <c:v>0.03</c:v>
                </c:pt>
                <c:pt idx="218">
                  <c:v>0.03</c:v>
                </c:pt>
                <c:pt idx="219">
                  <c:v>0.03</c:v>
                </c:pt>
                <c:pt idx="220">
                  <c:v>0.03</c:v>
                </c:pt>
                <c:pt idx="221">
                  <c:v>0.03</c:v>
                </c:pt>
                <c:pt idx="222">
                  <c:v>0.03</c:v>
                </c:pt>
                <c:pt idx="223">
                  <c:v>0.03</c:v>
                </c:pt>
                <c:pt idx="224">
                  <c:v>0.03</c:v>
                </c:pt>
                <c:pt idx="225">
                  <c:v>0.03</c:v>
                </c:pt>
                <c:pt idx="226">
                  <c:v>0.03</c:v>
                </c:pt>
                <c:pt idx="227">
                  <c:v>0.03</c:v>
                </c:pt>
                <c:pt idx="228">
                  <c:v>0.03</c:v>
                </c:pt>
                <c:pt idx="229">
                  <c:v>0.03</c:v>
                </c:pt>
                <c:pt idx="230">
                  <c:v>0.03</c:v>
                </c:pt>
                <c:pt idx="231">
                  <c:v>0.03</c:v>
                </c:pt>
                <c:pt idx="232">
                  <c:v>0.03</c:v>
                </c:pt>
                <c:pt idx="233">
                  <c:v>0.03</c:v>
                </c:pt>
                <c:pt idx="234">
                  <c:v>0.03</c:v>
                </c:pt>
                <c:pt idx="235">
                  <c:v>0.03</c:v>
                </c:pt>
                <c:pt idx="236">
                  <c:v>0.03</c:v>
                </c:pt>
                <c:pt idx="237">
                  <c:v>0.03</c:v>
                </c:pt>
                <c:pt idx="238">
                  <c:v>0.03</c:v>
                </c:pt>
                <c:pt idx="239">
                  <c:v>0.03</c:v>
                </c:pt>
                <c:pt idx="240">
                  <c:v>0.03</c:v>
                </c:pt>
                <c:pt idx="241">
                  <c:v>0.03</c:v>
                </c:pt>
                <c:pt idx="242">
                  <c:v>0.03</c:v>
                </c:pt>
                <c:pt idx="243">
                  <c:v>0.03</c:v>
                </c:pt>
                <c:pt idx="244">
                  <c:v>0.03</c:v>
                </c:pt>
                <c:pt idx="245">
                  <c:v>0.03</c:v>
                </c:pt>
                <c:pt idx="246">
                  <c:v>0.03</c:v>
                </c:pt>
                <c:pt idx="247">
                  <c:v>0.03</c:v>
                </c:pt>
                <c:pt idx="248">
                  <c:v>0.03</c:v>
                </c:pt>
                <c:pt idx="249">
                  <c:v>0.03</c:v>
                </c:pt>
                <c:pt idx="250">
                  <c:v>0.03</c:v>
                </c:pt>
                <c:pt idx="251">
                  <c:v>0.03</c:v>
                </c:pt>
                <c:pt idx="252">
                  <c:v>0.03</c:v>
                </c:pt>
                <c:pt idx="253">
                  <c:v>0.03</c:v>
                </c:pt>
                <c:pt idx="254">
                  <c:v>0.03</c:v>
                </c:pt>
                <c:pt idx="255">
                  <c:v>0.03</c:v>
                </c:pt>
                <c:pt idx="256">
                  <c:v>0.03</c:v>
                </c:pt>
                <c:pt idx="257">
                  <c:v>0.03</c:v>
                </c:pt>
                <c:pt idx="258">
                  <c:v>0.03</c:v>
                </c:pt>
                <c:pt idx="259">
                  <c:v>0.03</c:v>
                </c:pt>
                <c:pt idx="260">
                  <c:v>0.03</c:v>
                </c:pt>
                <c:pt idx="261">
                  <c:v>0.03</c:v>
                </c:pt>
                <c:pt idx="262">
                  <c:v>0.03</c:v>
                </c:pt>
                <c:pt idx="263">
                  <c:v>0.03</c:v>
                </c:pt>
                <c:pt idx="264">
                  <c:v>0.03</c:v>
                </c:pt>
                <c:pt idx="265">
                  <c:v>0.03</c:v>
                </c:pt>
                <c:pt idx="266">
                  <c:v>0.03</c:v>
                </c:pt>
                <c:pt idx="267">
                  <c:v>0.03</c:v>
                </c:pt>
                <c:pt idx="268">
                  <c:v>0.03</c:v>
                </c:pt>
                <c:pt idx="269">
                  <c:v>0.03</c:v>
                </c:pt>
                <c:pt idx="270">
                  <c:v>0.03</c:v>
                </c:pt>
                <c:pt idx="271">
                  <c:v>0.03</c:v>
                </c:pt>
                <c:pt idx="272">
                  <c:v>0.03</c:v>
                </c:pt>
                <c:pt idx="273">
                  <c:v>0.03</c:v>
                </c:pt>
                <c:pt idx="274">
                  <c:v>0.03</c:v>
                </c:pt>
                <c:pt idx="275">
                  <c:v>0.03</c:v>
                </c:pt>
                <c:pt idx="276">
                  <c:v>0.03</c:v>
                </c:pt>
                <c:pt idx="277">
                  <c:v>0.03</c:v>
                </c:pt>
                <c:pt idx="278">
                  <c:v>0.03</c:v>
                </c:pt>
                <c:pt idx="279">
                  <c:v>0.03</c:v>
                </c:pt>
                <c:pt idx="280">
                  <c:v>0.03</c:v>
                </c:pt>
                <c:pt idx="281">
                  <c:v>0.03</c:v>
                </c:pt>
                <c:pt idx="282">
                  <c:v>0.03</c:v>
                </c:pt>
                <c:pt idx="283">
                  <c:v>0.03</c:v>
                </c:pt>
                <c:pt idx="284">
                  <c:v>0.03</c:v>
                </c:pt>
                <c:pt idx="285">
                  <c:v>0.03</c:v>
                </c:pt>
                <c:pt idx="286">
                  <c:v>0.03</c:v>
                </c:pt>
                <c:pt idx="287">
                  <c:v>0.03</c:v>
                </c:pt>
                <c:pt idx="288">
                  <c:v>0.03</c:v>
                </c:pt>
                <c:pt idx="289">
                  <c:v>0.03</c:v>
                </c:pt>
                <c:pt idx="290">
                  <c:v>0.03</c:v>
                </c:pt>
                <c:pt idx="291">
                  <c:v>0.03</c:v>
                </c:pt>
                <c:pt idx="292">
                  <c:v>0.03</c:v>
                </c:pt>
                <c:pt idx="293">
                  <c:v>0.03</c:v>
                </c:pt>
                <c:pt idx="294">
                  <c:v>0.03</c:v>
                </c:pt>
                <c:pt idx="295">
                  <c:v>0.03</c:v>
                </c:pt>
                <c:pt idx="296">
                  <c:v>0.03</c:v>
                </c:pt>
                <c:pt idx="297">
                  <c:v>0.03</c:v>
                </c:pt>
                <c:pt idx="298">
                  <c:v>0.03</c:v>
                </c:pt>
                <c:pt idx="299">
                  <c:v>0.03</c:v>
                </c:pt>
                <c:pt idx="300">
                  <c:v>0.03</c:v>
                </c:pt>
                <c:pt idx="301">
                  <c:v>0.03</c:v>
                </c:pt>
                <c:pt idx="302">
                  <c:v>0.03</c:v>
                </c:pt>
                <c:pt idx="303">
                  <c:v>0.03</c:v>
                </c:pt>
                <c:pt idx="304">
                  <c:v>0.03</c:v>
                </c:pt>
                <c:pt idx="305">
                  <c:v>0.03</c:v>
                </c:pt>
                <c:pt idx="306">
                  <c:v>0.03</c:v>
                </c:pt>
                <c:pt idx="307">
                  <c:v>0.03</c:v>
                </c:pt>
                <c:pt idx="308">
                  <c:v>0.03</c:v>
                </c:pt>
                <c:pt idx="309">
                  <c:v>0.03</c:v>
                </c:pt>
                <c:pt idx="310">
                  <c:v>0.03</c:v>
                </c:pt>
                <c:pt idx="311">
                  <c:v>0.03</c:v>
                </c:pt>
                <c:pt idx="312">
                  <c:v>0.03</c:v>
                </c:pt>
                <c:pt idx="313">
                  <c:v>0.03</c:v>
                </c:pt>
                <c:pt idx="314">
                  <c:v>0.03</c:v>
                </c:pt>
                <c:pt idx="315">
                  <c:v>0.03</c:v>
                </c:pt>
                <c:pt idx="316">
                  <c:v>0.03</c:v>
                </c:pt>
                <c:pt idx="317">
                  <c:v>0.03</c:v>
                </c:pt>
                <c:pt idx="318">
                  <c:v>0.03</c:v>
                </c:pt>
                <c:pt idx="319">
                  <c:v>0.03</c:v>
                </c:pt>
                <c:pt idx="320">
                  <c:v>0.03</c:v>
                </c:pt>
                <c:pt idx="321">
                  <c:v>0.03</c:v>
                </c:pt>
                <c:pt idx="322">
                  <c:v>0.03</c:v>
                </c:pt>
                <c:pt idx="323">
                  <c:v>0.03</c:v>
                </c:pt>
                <c:pt idx="324">
                  <c:v>0.03</c:v>
                </c:pt>
                <c:pt idx="325">
                  <c:v>0.03</c:v>
                </c:pt>
                <c:pt idx="326">
                  <c:v>0.03</c:v>
                </c:pt>
                <c:pt idx="327">
                  <c:v>0.03</c:v>
                </c:pt>
                <c:pt idx="328">
                  <c:v>0.03</c:v>
                </c:pt>
                <c:pt idx="329">
                  <c:v>0.03</c:v>
                </c:pt>
                <c:pt idx="330">
                  <c:v>0.03</c:v>
                </c:pt>
                <c:pt idx="331">
                  <c:v>0.03</c:v>
                </c:pt>
                <c:pt idx="332">
                  <c:v>0.03</c:v>
                </c:pt>
                <c:pt idx="333">
                  <c:v>0.03</c:v>
                </c:pt>
                <c:pt idx="334">
                  <c:v>0.03</c:v>
                </c:pt>
                <c:pt idx="335">
                  <c:v>0.03</c:v>
                </c:pt>
                <c:pt idx="336">
                  <c:v>0.03</c:v>
                </c:pt>
                <c:pt idx="337">
                  <c:v>0.03</c:v>
                </c:pt>
                <c:pt idx="338">
                  <c:v>0.03</c:v>
                </c:pt>
                <c:pt idx="339">
                  <c:v>0.03</c:v>
                </c:pt>
                <c:pt idx="340">
                  <c:v>0.03</c:v>
                </c:pt>
                <c:pt idx="341">
                  <c:v>0.03</c:v>
                </c:pt>
                <c:pt idx="342">
                  <c:v>0.03</c:v>
                </c:pt>
                <c:pt idx="343">
                  <c:v>0.03</c:v>
                </c:pt>
                <c:pt idx="344">
                  <c:v>0.03</c:v>
                </c:pt>
                <c:pt idx="345">
                  <c:v>0.03</c:v>
                </c:pt>
                <c:pt idx="346">
                  <c:v>0.03</c:v>
                </c:pt>
                <c:pt idx="347">
                  <c:v>0.03</c:v>
                </c:pt>
                <c:pt idx="348">
                  <c:v>0.03</c:v>
                </c:pt>
                <c:pt idx="349">
                  <c:v>0.03</c:v>
                </c:pt>
                <c:pt idx="350">
                  <c:v>0.03</c:v>
                </c:pt>
                <c:pt idx="351">
                  <c:v>0.03</c:v>
                </c:pt>
                <c:pt idx="352">
                  <c:v>0.03</c:v>
                </c:pt>
                <c:pt idx="353">
                  <c:v>0.03</c:v>
                </c:pt>
                <c:pt idx="354">
                  <c:v>0.03</c:v>
                </c:pt>
                <c:pt idx="355">
                  <c:v>0.03</c:v>
                </c:pt>
                <c:pt idx="356">
                  <c:v>0.03</c:v>
                </c:pt>
                <c:pt idx="357">
                  <c:v>0.03</c:v>
                </c:pt>
                <c:pt idx="358">
                  <c:v>0.03</c:v>
                </c:pt>
                <c:pt idx="359">
                  <c:v>0.03</c:v>
                </c:pt>
                <c:pt idx="360">
                  <c:v>0.03</c:v>
                </c:pt>
                <c:pt idx="361">
                  <c:v>0.03</c:v>
                </c:pt>
                <c:pt idx="362">
                  <c:v>0.03</c:v>
                </c:pt>
                <c:pt idx="363">
                  <c:v>0.03</c:v>
                </c:pt>
                <c:pt idx="364">
                  <c:v>0.03</c:v>
                </c:pt>
                <c:pt idx="365">
                  <c:v>0.03</c:v>
                </c:pt>
                <c:pt idx="366">
                  <c:v>0.03</c:v>
                </c:pt>
                <c:pt idx="367">
                  <c:v>0.03</c:v>
                </c:pt>
                <c:pt idx="368">
                  <c:v>0.03</c:v>
                </c:pt>
                <c:pt idx="369">
                  <c:v>0.03</c:v>
                </c:pt>
                <c:pt idx="370">
                  <c:v>0.03</c:v>
                </c:pt>
                <c:pt idx="371">
                  <c:v>0.03</c:v>
                </c:pt>
                <c:pt idx="372">
                  <c:v>0.03</c:v>
                </c:pt>
                <c:pt idx="373">
                  <c:v>0.03</c:v>
                </c:pt>
                <c:pt idx="374">
                  <c:v>0.03</c:v>
                </c:pt>
                <c:pt idx="375">
                  <c:v>0.03</c:v>
                </c:pt>
                <c:pt idx="376">
                  <c:v>0.03</c:v>
                </c:pt>
                <c:pt idx="377">
                  <c:v>0.03</c:v>
                </c:pt>
                <c:pt idx="378">
                  <c:v>0.03</c:v>
                </c:pt>
                <c:pt idx="379">
                  <c:v>0.03</c:v>
                </c:pt>
                <c:pt idx="380">
                  <c:v>0.03</c:v>
                </c:pt>
                <c:pt idx="381">
                  <c:v>0.03</c:v>
                </c:pt>
                <c:pt idx="382">
                  <c:v>0.03</c:v>
                </c:pt>
                <c:pt idx="383">
                  <c:v>0.03</c:v>
                </c:pt>
                <c:pt idx="384">
                  <c:v>0.03</c:v>
                </c:pt>
                <c:pt idx="385">
                  <c:v>0.03</c:v>
                </c:pt>
                <c:pt idx="386">
                  <c:v>0.03</c:v>
                </c:pt>
                <c:pt idx="387">
                  <c:v>0.03</c:v>
                </c:pt>
                <c:pt idx="388">
                  <c:v>0.03</c:v>
                </c:pt>
                <c:pt idx="389">
                  <c:v>0.03</c:v>
                </c:pt>
                <c:pt idx="390">
                  <c:v>0.03</c:v>
                </c:pt>
                <c:pt idx="391">
                  <c:v>0.03</c:v>
                </c:pt>
                <c:pt idx="392">
                  <c:v>0.03</c:v>
                </c:pt>
                <c:pt idx="393">
                  <c:v>0.03</c:v>
                </c:pt>
                <c:pt idx="394">
                  <c:v>0.03</c:v>
                </c:pt>
                <c:pt idx="395">
                  <c:v>0.03</c:v>
                </c:pt>
                <c:pt idx="396">
                  <c:v>0.03</c:v>
                </c:pt>
                <c:pt idx="397">
                  <c:v>0.03</c:v>
                </c:pt>
                <c:pt idx="398">
                  <c:v>0.03</c:v>
                </c:pt>
                <c:pt idx="399">
                  <c:v>0.03</c:v>
                </c:pt>
                <c:pt idx="400">
                  <c:v>0.03</c:v>
                </c:pt>
                <c:pt idx="401">
                  <c:v>0.03</c:v>
                </c:pt>
                <c:pt idx="402">
                  <c:v>0.03</c:v>
                </c:pt>
                <c:pt idx="403">
                  <c:v>0.03</c:v>
                </c:pt>
                <c:pt idx="404">
                  <c:v>0.03</c:v>
                </c:pt>
                <c:pt idx="405">
                  <c:v>0.03</c:v>
                </c:pt>
                <c:pt idx="406">
                  <c:v>0.03</c:v>
                </c:pt>
                <c:pt idx="407">
                  <c:v>0.03</c:v>
                </c:pt>
                <c:pt idx="408">
                  <c:v>0.03</c:v>
                </c:pt>
                <c:pt idx="409">
                  <c:v>0.03</c:v>
                </c:pt>
                <c:pt idx="410">
                  <c:v>0.03</c:v>
                </c:pt>
                <c:pt idx="411">
                  <c:v>0.03</c:v>
                </c:pt>
                <c:pt idx="412">
                  <c:v>0.03</c:v>
                </c:pt>
                <c:pt idx="413">
                  <c:v>0.03</c:v>
                </c:pt>
                <c:pt idx="414">
                  <c:v>0.03</c:v>
                </c:pt>
                <c:pt idx="415">
                  <c:v>0.03</c:v>
                </c:pt>
                <c:pt idx="416">
                  <c:v>0.03</c:v>
                </c:pt>
                <c:pt idx="417">
                  <c:v>0.03</c:v>
                </c:pt>
                <c:pt idx="418">
                  <c:v>0.03</c:v>
                </c:pt>
                <c:pt idx="419">
                  <c:v>0.03</c:v>
                </c:pt>
                <c:pt idx="420">
                  <c:v>0.03</c:v>
                </c:pt>
                <c:pt idx="421">
                  <c:v>0.03</c:v>
                </c:pt>
                <c:pt idx="422">
                  <c:v>0.03</c:v>
                </c:pt>
                <c:pt idx="423">
                  <c:v>0.03</c:v>
                </c:pt>
                <c:pt idx="424">
                  <c:v>0.03</c:v>
                </c:pt>
                <c:pt idx="425">
                  <c:v>0.03</c:v>
                </c:pt>
                <c:pt idx="426">
                  <c:v>0.03</c:v>
                </c:pt>
                <c:pt idx="427">
                  <c:v>0.03</c:v>
                </c:pt>
                <c:pt idx="428">
                  <c:v>0.03</c:v>
                </c:pt>
                <c:pt idx="429">
                  <c:v>0.03</c:v>
                </c:pt>
                <c:pt idx="430">
                  <c:v>0.03</c:v>
                </c:pt>
                <c:pt idx="431">
                  <c:v>0.03</c:v>
                </c:pt>
                <c:pt idx="432">
                  <c:v>0.03</c:v>
                </c:pt>
                <c:pt idx="433">
                  <c:v>0.03</c:v>
                </c:pt>
                <c:pt idx="434">
                  <c:v>0.03</c:v>
                </c:pt>
                <c:pt idx="435">
                  <c:v>0.03</c:v>
                </c:pt>
                <c:pt idx="436">
                  <c:v>0.03</c:v>
                </c:pt>
                <c:pt idx="437">
                  <c:v>0.03</c:v>
                </c:pt>
                <c:pt idx="438">
                  <c:v>0.03</c:v>
                </c:pt>
                <c:pt idx="439">
                  <c:v>0.03</c:v>
                </c:pt>
                <c:pt idx="440">
                  <c:v>0.03</c:v>
                </c:pt>
                <c:pt idx="441">
                  <c:v>0.03</c:v>
                </c:pt>
                <c:pt idx="442">
                  <c:v>0.03</c:v>
                </c:pt>
                <c:pt idx="443">
                  <c:v>0.03</c:v>
                </c:pt>
                <c:pt idx="444">
                  <c:v>0.03</c:v>
                </c:pt>
                <c:pt idx="445">
                  <c:v>0.03</c:v>
                </c:pt>
                <c:pt idx="446">
                  <c:v>0.03</c:v>
                </c:pt>
                <c:pt idx="447">
                  <c:v>0.03</c:v>
                </c:pt>
                <c:pt idx="448">
                  <c:v>0.03</c:v>
                </c:pt>
                <c:pt idx="449">
                  <c:v>0.03</c:v>
                </c:pt>
                <c:pt idx="450">
                  <c:v>0.03</c:v>
                </c:pt>
                <c:pt idx="451">
                  <c:v>0.03</c:v>
                </c:pt>
                <c:pt idx="452">
                  <c:v>0.03</c:v>
                </c:pt>
                <c:pt idx="453">
                  <c:v>0.03</c:v>
                </c:pt>
                <c:pt idx="454">
                  <c:v>0.03</c:v>
                </c:pt>
                <c:pt idx="455">
                  <c:v>0.03</c:v>
                </c:pt>
                <c:pt idx="456">
                  <c:v>0.03</c:v>
                </c:pt>
                <c:pt idx="457">
                  <c:v>0.03</c:v>
                </c:pt>
                <c:pt idx="458">
                  <c:v>0.03</c:v>
                </c:pt>
                <c:pt idx="459">
                  <c:v>0.03</c:v>
                </c:pt>
                <c:pt idx="460">
                  <c:v>0.03</c:v>
                </c:pt>
                <c:pt idx="461">
                  <c:v>0.03</c:v>
                </c:pt>
                <c:pt idx="462">
                  <c:v>0.03</c:v>
                </c:pt>
                <c:pt idx="463">
                  <c:v>0.03</c:v>
                </c:pt>
                <c:pt idx="464">
                  <c:v>0.03</c:v>
                </c:pt>
                <c:pt idx="465">
                  <c:v>0.03</c:v>
                </c:pt>
                <c:pt idx="466">
                  <c:v>0.03</c:v>
                </c:pt>
                <c:pt idx="467">
                  <c:v>0.03</c:v>
                </c:pt>
                <c:pt idx="468">
                  <c:v>0.03</c:v>
                </c:pt>
                <c:pt idx="469">
                  <c:v>0.03</c:v>
                </c:pt>
                <c:pt idx="470">
                  <c:v>0.03</c:v>
                </c:pt>
                <c:pt idx="471">
                  <c:v>0.03</c:v>
                </c:pt>
                <c:pt idx="472">
                  <c:v>0.03</c:v>
                </c:pt>
                <c:pt idx="473">
                  <c:v>0.03</c:v>
                </c:pt>
                <c:pt idx="474">
                  <c:v>0.03</c:v>
                </c:pt>
                <c:pt idx="475">
                  <c:v>0.03</c:v>
                </c:pt>
                <c:pt idx="476">
                  <c:v>0.03</c:v>
                </c:pt>
                <c:pt idx="477">
                  <c:v>0.03</c:v>
                </c:pt>
                <c:pt idx="478">
                  <c:v>0.03</c:v>
                </c:pt>
                <c:pt idx="479">
                  <c:v>0.03</c:v>
                </c:pt>
              </c:numCache>
            </c:numRef>
          </c:val>
          <c:smooth val="0"/>
          <c:extLst>
            <c:ext xmlns:c16="http://schemas.microsoft.com/office/drawing/2014/chart" uri="{C3380CC4-5D6E-409C-BE32-E72D297353CC}">
              <c16:uniqueId val="{00000005-3779-4187-B565-B3439E7A5866}"/>
            </c:ext>
          </c:extLst>
        </c:ser>
        <c:ser>
          <c:idx val="6"/>
          <c:order val="6"/>
          <c:tx>
            <c:strRef>
              <c:f>'Calculation of Typical Day'!$CT$20</c:f>
              <c:strCache>
                <c:ptCount val="1"/>
                <c:pt idx="0">
                  <c:v>Booster is running</c:v>
                </c:pt>
              </c:strCache>
            </c:strRef>
          </c:tx>
          <c:spPr>
            <a:ln w="31750" cap="rnd">
              <a:solidFill>
                <a:schemeClr val="accent1">
                  <a:lumMod val="60000"/>
                </a:schemeClr>
              </a:solidFill>
              <a:round/>
            </a:ln>
            <a:effectLst/>
          </c:spPr>
          <c:marker>
            <c:symbol val="none"/>
          </c:marker>
          <c:val>
            <c:numRef>
              <c:f>'Calculation of Typical Day'!$CT$21:$CT$500</c:f>
              <c:numCache>
                <c:formatCode>#,##0</c:formatCode>
                <c:ptCount val="480"/>
                <c:pt idx="0">
                  <c:v>0.02</c:v>
                </c:pt>
                <c:pt idx="1">
                  <c:v>0.02</c:v>
                </c:pt>
                <c:pt idx="2">
                  <c:v>0.02</c:v>
                </c:pt>
                <c:pt idx="3">
                  <c:v>0.02</c:v>
                </c:pt>
                <c:pt idx="4">
                  <c:v>0.02</c:v>
                </c:pt>
                <c:pt idx="5">
                  <c:v>1.01</c:v>
                </c:pt>
                <c:pt idx="6">
                  <c:v>1.01</c:v>
                </c:pt>
                <c:pt idx="7">
                  <c:v>1.01</c:v>
                </c:pt>
                <c:pt idx="8">
                  <c:v>1.01</c:v>
                </c:pt>
                <c:pt idx="9">
                  <c:v>0.02</c:v>
                </c:pt>
                <c:pt idx="10">
                  <c:v>0.02</c:v>
                </c:pt>
                <c:pt idx="11">
                  <c:v>0.02</c:v>
                </c:pt>
                <c:pt idx="12">
                  <c:v>0.02</c:v>
                </c:pt>
                <c:pt idx="13">
                  <c:v>0.02</c:v>
                </c:pt>
                <c:pt idx="14">
                  <c:v>0.02</c:v>
                </c:pt>
                <c:pt idx="15">
                  <c:v>0.02</c:v>
                </c:pt>
                <c:pt idx="16">
                  <c:v>0.02</c:v>
                </c:pt>
                <c:pt idx="17">
                  <c:v>0.02</c:v>
                </c:pt>
                <c:pt idx="18">
                  <c:v>0.02</c:v>
                </c:pt>
                <c:pt idx="19">
                  <c:v>0.02</c:v>
                </c:pt>
                <c:pt idx="20">
                  <c:v>0.02</c:v>
                </c:pt>
                <c:pt idx="21">
                  <c:v>0.02</c:v>
                </c:pt>
                <c:pt idx="22">
                  <c:v>0.02</c:v>
                </c:pt>
                <c:pt idx="23">
                  <c:v>0.02</c:v>
                </c:pt>
                <c:pt idx="24">
                  <c:v>0.02</c:v>
                </c:pt>
                <c:pt idx="25">
                  <c:v>0.02</c:v>
                </c:pt>
                <c:pt idx="26">
                  <c:v>0.02</c:v>
                </c:pt>
                <c:pt idx="27">
                  <c:v>0.02</c:v>
                </c:pt>
                <c:pt idx="28">
                  <c:v>0.02</c:v>
                </c:pt>
                <c:pt idx="29">
                  <c:v>0.02</c:v>
                </c:pt>
                <c:pt idx="30">
                  <c:v>0.02</c:v>
                </c:pt>
                <c:pt idx="31">
                  <c:v>0.02</c:v>
                </c:pt>
                <c:pt idx="32">
                  <c:v>0.02</c:v>
                </c:pt>
                <c:pt idx="33">
                  <c:v>0.02</c:v>
                </c:pt>
                <c:pt idx="34">
                  <c:v>0.02</c:v>
                </c:pt>
                <c:pt idx="35">
                  <c:v>0.02</c:v>
                </c:pt>
                <c:pt idx="36">
                  <c:v>0.02</c:v>
                </c:pt>
                <c:pt idx="37">
                  <c:v>0.02</c:v>
                </c:pt>
                <c:pt idx="38">
                  <c:v>0.02</c:v>
                </c:pt>
                <c:pt idx="39">
                  <c:v>0.02</c:v>
                </c:pt>
                <c:pt idx="40">
                  <c:v>0.02</c:v>
                </c:pt>
                <c:pt idx="41">
                  <c:v>0.02</c:v>
                </c:pt>
                <c:pt idx="42">
                  <c:v>0.02</c:v>
                </c:pt>
                <c:pt idx="43">
                  <c:v>0.02</c:v>
                </c:pt>
                <c:pt idx="44">
                  <c:v>0.02</c:v>
                </c:pt>
                <c:pt idx="45">
                  <c:v>0.02</c:v>
                </c:pt>
                <c:pt idx="46">
                  <c:v>0.02</c:v>
                </c:pt>
                <c:pt idx="47">
                  <c:v>0.02</c:v>
                </c:pt>
                <c:pt idx="48">
                  <c:v>0.02</c:v>
                </c:pt>
                <c:pt idx="49">
                  <c:v>0.02</c:v>
                </c:pt>
                <c:pt idx="50">
                  <c:v>0.02</c:v>
                </c:pt>
                <c:pt idx="51">
                  <c:v>0.02</c:v>
                </c:pt>
                <c:pt idx="52">
                  <c:v>0.02</c:v>
                </c:pt>
                <c:pt idx="53">
                  <c:v>0.02</c:v>
                </c:pt>
                <c:pt idx="54">
                  <c:v>0.02</c:v>
                </c:pt>
                <c:pt idx="55">
                  <c:v>0.02</c:v>
                </c:pt>
                <c:pt idx="56">
                  <c:v>0.02</c:v>
                </c:pt>
                <c:pt idx="57">
                  <c:v>0.02</c:v>
                </c:pt>
                <c:pt idx="58">
                  <c:v>0.02</c:v>
                </c:pt>
                <c:pt idx="59">
                  <c:v>0.02</c:v>
                </c:pt>
                <c:pt idx="60">
                  <c:v>0.02</c:v>
                </c:pt>
                <c:pt idx="61">
                  <c:v>0.02</c:v>
                </c:pt>
                <c:pt idx="62">
                  <c:v>0.02</c:v>
                </c:pt>
                <c:pt idx="63">
                  <c:v>0.02</c:v>
                </c:pt>
                <c:pt idx="64">
                  <c:v>0.02</c:v>
                </c:pt>
                <c:pt idx="65">
                  <c:v>0.02</c:v>
                </c:pt>
                <c:pt idx="66">
                  <c:v>0.02</c:v>
                </c:pt>
                <c:pt idx="67">
                  <c:v>0.02</c:v>
                </c:pt>
                <c:pt idx="68">
                  <c:v>0.02</c:v>
                </c:pt>
                <c:pt idx="69">
                  <c:v>0.02</c:v>
                </c:pt>
                <c:pt idx="70">
                  <c:v>0.02</c:v>
                </c:pt>
                <c:pt idx="71">
                  <c:v>0.02</c:v>
                </c:pt>
                <c:pt idx="72">
                  <c:v>0.02</c:v>
                </c:pt>
                <c:pt idx="73">
                  <c:v>0.02</c:v>
                </c:pt>
                <c:pt idx="74">
                  <c:v>0.02</c:v>
                </c:pt>
                <c:pt idx="75">
                  <c:v>0.02</c:v>
                </c:pt>
                <c:pt idx="76">
                  <c:v>0.02</c:v>
                </c:pt>
                <c:pt idx="77">
                  <c:v>0.02</c:v>
                </c:pt>
                <c:pt idx="78">
                  <c:v>0.02</c:v>
                </c:pt>
                <c:pt idx="79">
                  <c:v>0.02</c:v>
                </c:pt>
                <c:pt idx="80">
                  <c:v>0.02</c:v>
                </c:pt>
                <c:pt idx="81">
                  <c:v>0.02</c:v>
                </c:pt>
                <c:pt idx="82">
                  <c:v>0.02</c:v>
                </c:pt>
                <c:pt idx="83">
                  <c:v>0.02</c:v>
                </c:pt>
                <c:pt idx="84">
                  <c:v>0.02</c:v>
                </c:pt>
                <c:pt idx="85">
                  <c:v>0.02</c:v>
                </c:pt>
                <c:pt idx="86">
                  <c:v>0.02</c:v>
                </c:pt>
                <c:pt idx="87">
                  <c:v>0.02</c:v>
                </c:pt>
                <c:pt idx="88">
                  <c:v>0.02</c:v>
                </c:pt>
                <c:pt idx="89">
                  <c:v>0.02</c:v>
                </c:pt>
                <c:pt idx="90">
                  <c:v>0.02</c:v>
                </c:pt>
                <c:pt idx="91">
                  <c:v>0.02</c:v>
                </c:pt>
                <c:pt idx="92">
                  <c:v>0.02</c:v>
                </c:pt>
                <c:pt idx="93">
                  <c:v>0.02</c:v>
                </c:pt>
                <c:pt idx="94">
                  <c:v>0.02</c:v>
                </c:pt>
                <c:pt idx="95">
                  <c:v>0.02</c:v>
                </c:pt>
                <c:pt idx="96">
                  <c:v>0.02</c:v>
                </c:pt>
                <c:pt idx="97">
                  <c:v>0.02</c:v>
                </c:pt>
                <c:pt idx="98">
                  <c:v>0.02</c:v>
                </c:pt>
                <c:pt idx="99">
                  <c:v>0.02</c:v>
                </c:pt>
                <c:pt idx="100">
                  <c:v>0.02</c:v>
                </c:pt>
                <c:pt idx="101">
                  <c:v>0.02</c:v>
                </c:pt>
                <c:pt idx="102">
                  <c:v>0.02</c:v>
                </c:pt>
                <c:pt idx="103">
                  <c:v>0.02</c:v>
                </c:pt>
                <c:pt idx="104">
                  <c:v>0.02</c:v>
                </c:pt>
                <c:pt idx="105">
                  <c:v>0.02</c:v>
                </c:pt>
                <c:pt idx="106">
                  <c:v>0.02</c:v>
                </c:pt>
                <c:pt idx="107">
                  <c:v>0.02</c:v>
                </c:pt>
                <c:pt idx="108">
                  <c:v>0.02</c:v>
                </c:pt>
                <c:pt idx="109">
                  <c:v>0.02</c:v>
                </c:pt>
                <c:pt idx="110">
                  <c:v>0.02</c:v>
                </c:pt>
                <c:pt idx="111">
                  <c:v>0.02</c:v>
                </c:pt>
                <c:pt idx="112">
                  <c:v>0.02</c:v>
                </c:pt>
                <c:pt idx="113">
                  <c:v>0.02</c:v>
                </c:pt>
                <c:pt idx="114">
                  <c:v>0.02</c:v>
                </c:pt>
                <c:pt idx="115">
                  <c:v>0.02</c:v>
                </c:pt>
                <c:pt idx="116">
                  <c:v>0.02</c:v>
                </c:pt>
                <c:pt idx="117">
                  <c:v>0.02</c:v>
                </c:pt>
                <c:pt idx="118">
                  <c:v>0.02</c:v>
                </c:pt>
                <c:pt idx="119">
                  <c:v>0.02</c:v>
                </c:pt>
                <c:pt idx="120">
                  <c:v>0.02</c:v>
                </c:pt>
                <c:pt idx="121">
                  <c:v>0.02</c:v>
                </c:pt>
                <c:pt idx="122">
                  <c:v>0.02</c:v>
                </c:pt>
                <c:pt idx="123">
                  <c:v>0.02</c:v>
                </c:pt>
                <c:pt idx="124">
                  <c:v>0.02</c:v>
                </c:pt>
                <c:pt idx="125">
                  <c:v>0.02</c:v>
                </c:pt>
                <c:pt idx="126">
                  <c:v>0.02</c:v>
                </c:pt>
                <c:pt idx="127">
                  <c:v>0.02</c:v>
                </c:pt>
                <c:pt idx="128">
                  <c:v>0.02</c:v>
                </c:pt>
                <c:pt idx="129">
                  <c:v>0.02</c:v>
                </c:pt>
                <c:pt idx="130">
                  <c:v>0.02</c:v>
                </c:pt>
                <c:pt idx="131">
                  <c:v>0.02</c:v>
                </c:pt>
                <c:pt idx="132">
                  <c:v>0.02</c:v>
                </c:pt>
                <c:pt idx="133">
                  <c:v>0.02</c:v>
                </c:pt>
                <c:pt idx="134">
                  <c:v>0.02</c:v>
                </c:pt>
                <c:pt idx="135">
                  <c:v>0.02</c:v>
                </c:pt>
                <c:pt idx="136">
                  <c:v>0.02</c:v>
                </c:pt>
                <c:pt idx="137">
                  <c:v>0.02</c:v>
                </c:pt>
                <c:pt idx="138">
                  <c:v>0.02</c:v>
                </c:pt>
                <c:pt idx="139">
                  <c:v>0.02</c:v>
                </c:pt>
                <c:pt idx="140">
                  <c:v>0.02</c:v>
                </c:pt>
                <c:pt idx="141">
                  <c:v>0.02</c:v>
                </c:pt>
                <c:pt idx="142">
                  <c:v>0.02</c:v>
                </c:pt>
                <c:pt idx="143">
                  <c:v>0.02</c:v>
                </c:pt>
                <c:pt idx="144">
                  <c:v>0.02</c:v>
                </c:pt>
                <c:pt idx="145">
                  <c:v>0.02</c:v>
                </c:pt>
                <c:pt idx="146">
                  <c:v>0.02</c:v>
                </c:pt>
                <c:pt idx="147">
                  <c:v>0.02</c:v>
                </c:pt>
                <c:pt idx="148">
                  <c:v>0.02</c:v>
                </c:pt>
                <c:pt idx="149">
                  <c:v>0.02</c:v>
                </c:pt>
                <c:pt idx="150">
                  <c:v>0.02</c:v>
                </c:pt>
                <c:pt idx="151">
                  <c:v>0.02</c:v>
                </c:pt>
                <c:pt idx="152">
                  <c:v>0.02</c:v>
                </c:pt>
                <c:pt idx="153">
                  <c:v>0.02</c:v>
                </c:pt>
                <c:pt idx="154">
                  <c:v>0.02</c:v>
                </c:pt>
                <c:pt idx="155">
                  <c:v>0.02</c:v>
                </c:pt>
                <c:pt idx="156">
                  <c:v>0.02</c:v>
                </c:pt>
                <c:pt idx="157">
                  <c:v>0.02</c:v>
                </c:pt>
                <c:pt idx="158">
                  <c:v>0.02</c:v>
                </c:pt>
                <c:pt idx="159">
                  <c:v>0.02</c:v>
                </c:pt>
                <c:pt idx="160">
                  <c:v>0.02</c:v>
                </c:pt>
                <c:pt idx="161">
                  <c:v>0.02</c:v>
                </c:pt>
                <c:pt idx="162">
                  <c:v>0.02</c:v>
                </c:pt>
                <c:pt idx="163">
                  <c:v>0.02</c:v>
                </c:pt>
                <c:pt idx="164">
                  <c:v>0.02</c:v>
                </c:pt>
                <c:pt idx="165">
                  <c:v>0.02</c:v>
                </c:pt>
                <c:pt idx="166">
                  <c:v>0.02</c:v>
                </c:pt>
                <c:pt idx="167">
                  <c:v>0.02</c:v>
                </c:pt>
                <c:pt idx="168">
                  <c:v>0.02</c:v>
                </c:pt>
                <c:pt idx="169">
                  <c:v>0.02</c:v>
                </c:pt>
                <c:pt idx="170">
                  <c:v>0.02</c:v>
                </c:pt>
                <c:pt idx="171">
                  <c:v>0.02</c:v>
                </c:pt>
                <c:pt idx="172">
                  <c:v>0.02</c:v>
                </c:pt>
                <c:pt idx="173">
                  <c:v>0.02</c:v>
                </c:pt>
                <c:pt idx="174">
                  <c:v>0.02</c:v>
                </c:pt>
                <c:pt idx="175">
                  <c:v>0.02</c:v>
                </c:pt>
                <c:pt idx="176">
                  <c:v>0.02</c:v>
                </c:pt>
                <c:pt idx="177">
                  <c:v>0.02</c:v>
                </c:pt>
                <c:pt idx="178">
                  <c:v>0.02</c:v>
                </c:pt>
                <c:pt idx="179">
                  <c:v>0.02</c:v>
                </c:pt>
                <c:pt idx="180">
                  <c:v>0.02</c:v>
                </c:pt>
                <c:pt idx="181">
                  <c:v>0.02</c:v>
                </c:pt>
                <c:pt idx="182">
                  <c:v>0.02</c:v>
                </c:pt>
                <c:pt idx="183">
                  <c:v>0.02</c:v>
                </c:pt>
                <c:pt idx="184">
                  <c:v>0.02</c:v>
                </c:pt>
                <c:pt idx="185">
                  <c:v>0.02</c:v>
                </c:pt>
                <c:pt idx="186">
                  <c:v>0.02</c:v>
                </c:pt>
                <c:pt idx="187">
                  <c:v>0.02</c:v>
                </c:pt>
                <c:pt idx="188">
                  <c:v>0.02</c:v>
                </c:pt>
                <c:pt idx="189">
                  <c:v>0.02</c:v>
                </c:pt>
                <c:pt idx="190">
                  <c:v>0.02</c:v>
                </c:pt>
                <c:pt idx="191">
                  <c:v>0.02</c:v>
                </c:pt>
                <c:pt idx="192">
                  <c:v>0.02</c:v>
                </c:pt>
                <c:pt idx="193">
                  <c:v>0.02</c:v>
                </c:pt>
                <c:pt idx="194">
                  <c:v>0.02</c:v>
                </c:pt>
                <c:pt idx="195">
                  <c:v>0.02</c:v>
                </c:pt>
                <c:pt idx="196">
                  <c:v>0.02</c:v>
                </c:pt>
                <c:pt idx="197">
                  <c:v>0.02</c:v>
                </c:pt>
                <c:pt idx="198">
                  <c:v>0.02</c:v>
                </c:pt>
                <c:pt idx="199">
                  <c:v>0.02</c:v>
                </c:pt>
                <c:pt idx="200">
                  <c:v>0.02</c:v>
                </c:pt>
                <c:pt idx="201">
                  <c:v>0.02</c:v>
                </c:pt>
                <c:pt idx="202">
                  <c:v>0.02</c:v>
                </c:pt>
                <c:pt idx="203">
                  <c:v>0.02</c:v>
                </c:pt>
                <c:pt idx="204">
                  <c:v>0.02</c:v>
                </c:pt>
                <c:pt idx="205">
                  <c:v>0.02</c:v>
                </c:pt>
                <c:pt idx="206">
                  <c:v>0.02</c:v>
                </c:pt>
                <c:pt idx="207">
                  <c:v>0.02</c:v>
                </c:pt>
                <c:pt idx="208">
                  <c:v>0.02</c:v>
                </c:pt>
                <c:pt idx="209">
                  <c:v>0.02</c:v>
                </c:pt>
                <c:pt idx="210">
                  <c:v>0.02</c:v>
                </c:pt>
                <c:pt idx="211">
                  <c:v>0.02</c:v>
                </c:pt>
                <c:pt idx="212">
                  <c:v>0.02</c:v>
                </c:pt>
                <c:pt idx="213">
                  <c:v>0.02</c:v>
                </c:pt>
                <c:pt idx="214">
                  <c:v>0.02</c:v>
                </c:pt>
                <c:pt idx="215">
                  <c:v>0.02</c:v>
                </c:pt>
                <c:pt idx="216">
                  <c:v>0.02</c:v>
                </c:pt>
                <c:pt idx="217">
                  <c:v>0.02</c:v>
                </c:pt>
                <c:pt idx="218">
                  <c:v>0.02</c:v>
                </c:pt>
                <c:pt idx="219">
                  <c:v>0.02</c:v>
                </c:pt>
                <c:pt idx="220">
                  <c:v>0.02</c:v>
                </c:pt>
                <c:pt idx="221">
                  <c:v>0.02</c:v>
                </c:pt>
                <c:pt idx="222">
                  <c:v>0.02</c:v>
                </c:pt>
                <c:pt idx="223">
                  <c:v>0.02</c:v>
                </c:pt>
                <c:pt idx="224">
                  <c:v>0.02</c:v>
                </c:pt>
                <c:pt idx="225">
                  <c:v>0.02</c:v>
                </c:pt>
                <c:pt idx="226">
                  <c:v>0.02</c:v>
                </c:pt>
                <c:pt idx="227">
                  <c:v>0.02</c:v>
                </c:pt>
                <c:pt idx="228">
                  <c:v>0.02</c:v>
                </c:pt>
                <c:pt idx="229">
                  <c:v>0.02</c:v>
                </c:pt>
                <c:pt idx="230">
                  <c:v>0.02</c:v>
                </c:pt>
                <c:pt idx="231">
                  <c:v>0.02</c:v>
                </c:pt>
                <c:pt idx="232">
                  <c:v>0.02</c:v>
                </c:pt>
                <c:pt idx="233">
                  <c:v>0.02</c:v>
                </c:pt>
                <c:pt idx="234">
                  <c:v>0.02</c:v>
                </c:pt>
                <c:pt idx="235">
                  <c:v>0.02</c:v>
                </c:pt>
                <c:pt idx="236">
                  <c:v>0.02</c:v>
                </c:pt>
                <c:pt idx="237">
                  <c:v>0.02</c:v>
                </c:pt>
                <c:pt idx="238">
                  <c:v>0.02</c:v>
                </c:pt>
                <c:pt idx="239">
                  <c:v>0.02</c:v>
                </c:pt>
                <c:pt idx="240">
                  <c:v>0.02</c:v>
                </c:pt>
                <c:pt idx="241">
                  <c:v>0.02</c:v>
                </c:pt>
                <c:pt idx="242">
                  <c:v>0.02</c:v>
                </c:pt>
                <c:pt idx="243">
                  <c:v>0.02</c:v>
                </c:pt>
                <c:pt idx="244">
                  <c:v>0.02</c:v>
                </c:pt>
                <c:pt idx="245">
                  <c:v>0.02</c:v>
                </c:pt>
                <c:pt idx="246">
                  <c:v>0.02</c:v>
                </c:pt>
                <c:pt idx="247">
                  <c:v>0.02</c:v>
                </c:pt>
                <c:pt idx="248">
                  <c:v>0.02</c:v>
                </c:pt>
                <c:pt idx="249">
                  <c:v>0.02</c:v>
                </c:pt>
                <c:pt idx="250">
                  <c:v>0.02</c:v>
                </c:pt>
                <c:pt idx="251">
                  <c:v>0.02</c:v>
                </c:pt>
                <c:pt idx="252">
                  <c:v>0.02</c:v>
                </c:pt>
                <c:pt idx="253">
                  <c:v>0.02</c:v>
                </c:pt>
                <c:pt idx="254">
                  <c:v>0.02</c:v>
                </c:pt>
                <c:pt idx="255">
                  <c:v>0.02</c:v>
                </c:pt>
                <c:pt idx="256">
                  <c:v>0.02</c:v>
                </c:pt>
                <c:pt idx="257">
                  <c:v>0.02</c:v>
                </c:pt>
                <c:pt idx="258">
                  <c:v>0.02</c:v>
                </c:pt>
                <c:pt idx="259">
                  <c:v>0.02</c:v>
                </c:pt>
                <c:pt idx="260">
                  <c:v>0.02</c:v>
                </c:pt>
                <c:pt idx="261">
                  <c:v>0.02</c:v>
                </c:pt>
                <c:pt idx="262">
                  <c:v>0.02</c:v>
                </c:pt>
                <c:pt idx="263">
                  <c:v>0.02</c:v>
                </c:pt>
                <c:pt idx="264">
                  <c:v>0.02</c:v>
                </c:pt>
                <c:pt idx="265">
                  <c:v>0.02</c:v>
                </c:pt>
                <c:pt idx="266">
                  <c:v>0.02</c:v>
                </c:pt>
                <c:pt idx="267">
                  <c:v>0.02</c:v>
                </c:pt>
                <c:pt idx="268">
                  <c:v>0.02</c:v>
                </c:pt>
                <c:pt idx="269">
                  <c:v>0.02</c:v>
                </c:pt>
                <c:pt idx="270">
                  <c:v>0.02</c:v>
                </c:pt>
                <c:pt idx="271">
                  <c:v>0.02</c:v>
                </c:pt>
                <c:pt idx="272">
                  <c:v>0.02</c:v>
                </c:pt>
                <c:pt idx="273">
                  <c:v>0.02</c:v>
                </c:pt>
                <c:pt idx="274">
                  <c:v>0.02</c:v>
                </c:pt>
                <c:pt idx="275">
                  <c:v>0.02</c:v>
                </c:pt>
                <c:pt idx="276">
                  <c:v>0.02</c:v>
                </c:pt>
                <c:pt idx="277">
                  <c:v>0.02</c:v>
                </c:pt>
                <c:pt idx="278">
                  <c:v>0.02</c:v>
                </c:pt>
                <c:pt idx="279">
                  <c:v>0.02</c:v>
                </c:pt>
                <c:pt idx="280">
                  <c:v>0.02</c:v>
                </c:pt>
                <c:pt idx="281">
                  <c:v>0.02</c:v>
                </c:pt>
                <c:pt idx="282">
                  <c:v>0.02</c:v>
                </c:pt>
                <c:pt idx="283">
                  <c:v>0.02</c:v>
                </c:pt>
                <c:pt idx="284">
                  <c:v>0.02</c:v>
                </c:pt>
                <c:pt idx="285">
                  <c:v>0.02</c:v>
                </c:pt>
                <c:pt idx="286">
                  <c:v>0.02</c:v>
                </c:pt>
                <c:pt idx="287">
                  <c:v>0.02</c:v>
                </c:pt>
                <c:pt idx="288">
                  <c:v>0.02</c:v>
                </c:pt>
                <c:pt idx="289">
                  <c:v>0.02</c:v>
                </c:pt>
                <c:pt idx="290">
                  <c:v>0.02</c:v>
                </c:pt>
                <c:pt idx="291">
                  <c:v>0.02</c:v>
                </c:pt>
                <c:pt idx="292">
                  <c:v>0.02</c:v>
                </c:pt>
                <c:pt idx="293">
                  <c:v>0.02</c:v>
                </c:pt>
                <c:pt idx="294">
                  <c:v>0.02</c:v>
                </c:pt>
                <c:pt idx="295">
                  <c:v>0.02</c:v>
                </c:pt>
                <c:pt idx="296">
                  <c:v>0.02</c:v>
                </c:pt>
                <c:pt idx="297">
                  <c:v>0.02</c:v>
                </c:pt>
                <c:pt idx="298">
                  <c:v>0.02</c:v>
                </c:pt>
                <c:pt idx="299">
                  <c:v>0.02</c:v>
                </c:pt>
                <c:pt idx="300">
                  <c:v>0.02</c:v>
                </c:pt>
                <c:pt idx="301">
                  <c:v>0.02</c:v>
                </c:pt>
                <c:pt idx="302">
                  <c:v>0.02</c:v>
                </c:pt>
                <c:pt idx="303">
                  <c:v>0.02</c:v>
                </c:pt>
                <c:pt idx="304">
                  <c:v>0.02</c:v>
                </c:pt>
                <c:pt idx="305">
                  <c:v>0.02</c:v>
                </c:pt>
                <c:pt idx="306">
                  <c:v>0.02</c:v>
                </c:pt>
                <c:pt idx="307">
                  <c:v>0.02</c:v>
                </c:pt>
                <c:pt idx="308">
                  <c:v>0.02</c:v>
                </c:pt>
                <c:pt idx="309">
                  <c:v>0.02</c:v>
                </c:pt>
                <c:pt idx="310">
                  <c:v>0.02</c:v>
                </c:pt>
                <c:pt idx="311">
                  <c:v>0.02</c:v>
                </c:pt>
                <c:pt idx="312">
                  <c:v>0.02</c:v>
                </c:pt>
                <c:pt idx="313">
                  <c:v>0.02</c:v>
                </c:pt>
                <c:pt idx="314">
                  <c:v>0.02</c:v>
                </c:pt>
                <c:pt idx="315">
                  <c:v>0.02</c:v>
                </c:pt>
                <c:pt idx="316">
                  <c:v>0.02</c:v>
                </c:pt>
                <c:pt idx="317">
                  <c:v>0.02</c:v>
                </c:pt>
                <c:pt idx="318">
                  <c:v>0.02</c:v>
                </c:pt>
                <c:pt idx="319">
                  <c:v>0.02</c:v>
                </c:pt>
                <c:pt idx="320">
                  <c:v>0.02</c:v>
                </c:pt>
                <c:pt idx="321">
                  <c:v>0.02</c:v>
                </c:pt>
                <c:pt idx="322">
                  <c:v>0.02</c:v>
                </c:pt>
                <c:pt idx="323">
                  <c:v>0.02</c:v>
                </c:pt>
                <c:pt idx="324">
                  <c:v>0.02</c:v>
                </c:pt>
                <c:pt idx="325">
                  <c:v>0.02</c:v>
                </c:pt>
                <c:pt idx="326">
                  <c:v>0.02</c:v>
                </c:pt>
                <c:pt idx="327">
                  <c:v>0.02</c:v>
                </c:pt>
                <c:pt idx="328">
                  <c:v>0.02</c:v>
                </c:pt>
                <c:pt idx="329">
                  <c:v>0.02</c:v>
                </c:pt>
                <c:pt idx="330">
                  <c:v>0.02</c:v>
                </c:pt>
                <c:pt idx="331">
                  <c:v>0.02</c:v>
                </c:pt>
                <c:pt idx="332">
                  <c:v>0.02</c:v>
                </c:pt>
                <c:pt idx="333">
                  <c:v>0.02</c:v>
                </c:pt>
                <c:pt idx="334">
                  <c:v>0.02</c:v>
                </c:pt>
                <c:pt idx="335">
                  <c:v>0.02</c:v>
                </c:pt>
                <c:pt idx="336">
                  <c:v>0.02</c:v>
                </c:pt>
                <c:pt idx="337">
                  <c:v>0.02</c:v>
                </c:pt>
                <c:pt idx="338">
                  <c:v>0.02</c:v>
                </c:pt>
                <c:pt idx="339">
                  <c:v>0.02</c:v>
                </c:pt>
                <c:pt idx="340">
                  <c:v>0.02</c:v>
                </c:pt>
                <c:pt idx="341">
                  <c:v>0.02</c:v>
                </c:pt>
                <c:pt idx="342">
                  <c:v>0.02</c:v>
                </c:pt>
                <c:pt idx="343">
                  <c:v>0.02</c:v>
                </c:pt>
                <c:pt idx="344">
                  <c:v>0.02</c:v>
                </c:pt>
                <c:pt idx="345">
                  <c:v>0.02</c:v>
                </c:pt>
                <c:pt idx="346">
                  <c:v>0.02</c:v>
                </c:pt>
                <c:pt idx="347">
                  <c:v>0.02</c:v>
                </c:pt>
                <c:pt idx="348">
                  <c:v>0.02</c:v>
                </c:pt>
                <c:pt idx="349">
                  <c:v>0.02</c:v>
                </c:pt>
                <c:pt idx="350">
                  <c:v>0.02</c:v>
                </c:pt>
                <c:pt idx="351">
                  <c:v>0.02</c:v>
                </c:pt>
                <c:pt idx="352">
                  <c:v>0.02</c:v>
                </c:pt>
                <c:pt idx="353">
                  <c:v>0.02</c:v>
                </c:pt>
                <c:pt idx="354">
                  <c:v>0.02</c:v>
                </c:pt>
                <c:pt idx="355">
                  <c:v>0.02</c:v>
                </c:pt>
                <c:pt idx="356">
                  <c:v>0.02</c:v>
                </c:pt>
                <c:pt idx="357">
                  <c:v>0.02</c:v>
                </c:pt>
                <c:pt idx="358">
                  <c:v>0.02</c:v>
                </c:pt>
                <c:pt idx="359">
                  <c:v>0.02</c:v>
                </c:pt>
                <c:pt idx="360">
                  <c:v>0.02</c:v>
                </c:pt>
                <c:pt idx="361">
                  <c:v>0.02</c:v>
                </c:pt>
                <c:pt idx="362">
                  <c:v>0.02</c:v>
                </c:pt>
                <c:pt idx="363">
                  <c:v>0.02</c:v>
                </c:pt>
                <c:pt idx="364">
                  <c:v>0.02</c:v>
                </c:pt>
                <c:pt idx="365">
                  <c:v>0.02</c:v>
                </c:pt>
                <c:pt idx="366">
                  <c:v>0.02</c:v>
                </c:pt>
                <c:pt idx="367">
                  <c:v>0.02</c:v>
                </c:pt>
                <c:pt idx="368">
                  <c:v>0.02</c:v>
                </c:pt>
                <c:pt idx="369">
                  <c:v>0.02</c:v>
                </c:pt>
                <c:pt idx="370">
                  <c:v>0.02</c:v>
                </c:pt>
                <c:pt idx="371">
                  <c:v>0.02</c:v>
                </c:pt>
                <c:pt idx="372">
                  <c:v>0.02</c:v>
                </c:pt>
                <c:pt idx="373">
                  <c:v>0.02</c:v>
                </c:pt>
                <c:pt idx="374">
                  <c:v>0.02</c:v>
                </c:pt>
                <c:pt idx="375">
                  <c:v>0.02</c:v>
                </c:pt>
                <c:pt idx="376">
                  <c:v>0.02</c:v>
                </c:pt>
                <c:pt idx="377">
                  <c:v>0.02</c:v>
                </c:pt>
                <c:pt idx="378">
                  <c:v>0.02</c:v>
                </c:pt>
                <c:pt idx="379">
                  <c:v>0.02</c:v>
                </c:pt>
                <c:pt idx="380">
                  <c:v>0.02</c:v>
                </c:pt>
                <c:pt idx="381">
                  <c:v>0.02</c:v>
                </c:pt>
                <c:pt idx="382">
                  <c:v>0.02</c:v>
                </c:pt>
                <c:pt idx="383">
                  <c:v>0.02</c:v>
                </c:pt>
                <c:pt idx="384">
                  <c:v>0.02</c:v>
                </c:pt>
                <c:pt idx="385">
                  <c:v>0.02</c:v>
                </c:pt>
                <c:pt idx="386">
                  <c:v>0.02</c:v>
                </c:pt>
                <c:pt idx="387">
                  <c:v>0.02</c:v>
                </c:pt>
                <c:pt idx="388">
                  <c:v>0.02</c:v>
                </c:pt>
                <c:pt idx="389">
                  <c:v>0.02</c:v>
                </c:pt>
                <c:pt idx="390">
                  <c:v>0.02</c:v>
                </c:pt>
                <c:pt idx="391">
                  <c:v>0.02</c:v>
                </c:pt>
                <c:pt idx="392">
                  <c:v>0.02</c:v>
                </c:pt>
                <c:pt idx="393">
                  <c:v>0.02</c:v>
                </c:pt>
                <c:pt idx="394">
                  <c:v>0.02</c:v>
                </c:pt>
                <c:pt idx="395">
                  <c:v>0.02</c:v>
                </c:pt>
                <c:pt idx="396">
                  <c:v>0.02</c:v>
                </c:pt>
                <c:pt idx="397">
                  <c:v>0.02</c:v>
                </c:pt>
                <c:pt idx="398">
                  <c:v>0.02</c:v>
                </c:pt>
                <c:pt idx="399">
                  <c:v>0.02</c:v>
                </c:pt>
                <c:pt idx="400">
                  <c:v>0.02</c:v>
                </c:pt>
                <c:pt idx="401">
                  <c:v>0.02</c:v>
                </c:pt>
                <c:pt idx="402">
                  <c:v>0.02</c:v>
                </c:pt>
                <c:pt idx="403">
                  <c:v>0.02</c:v>
                </c:pt>
                <c:pt idx="404">
                  <c:v>0.02</c:v>
                </c:pt>
                <c:pt idx="405">
                  <c:v>0.02</c:v>
                </c:pt>
                <c:pt idx="406">
                  <c:v>0.02</c:v>
                </c:pt>
                <c:pt idx="407">
                  <c:v>0.02</c:v>
                </c:pt>
                <c:pt idx="408">
                  <c:v>0.02</c:v>
                </c:pt>
                <c:pt idx="409">
                  <c:v>0.02</c:v>
                </c:pt>
                <c:pt idx="410">
                  <c:v>0.02</c:v>
                </c:pt>
                <c:pt idx="411">
                  <c:v>0.02</c:v>
                </c:pt>
                <c:pt idx="412">
                  <c:v>0.02</c:v>
                </c:pt>
                <c:pt idx="413">
                  <c:v>0.02</c:v>
                </c:pt>
                <c:pt idx="414">
                  <c:v>0.02</c:v>
                </c:pt>
                <c:pt idx="415">
                  <c:v>0.02</c:v>
                </c:pt>
                <c:pt idx="416">
                  <c:v>0.02</c:v>
                </c:pt>
                <c:pt idx="417">
                  <c:v>0.02</c:v>
                </c:pt>
                <c:pt idx="418">
                  <c:v>0.02</c:v>
                </c:pt>
                <c:pt idx="419">
                  <c:v>0.02</c:v>
                </c:pt>
                <c:pt idx="420">
                  <c:v>0.02</c:v>
                </c:pt>
                <c:pt idx="421">
                  <c:v>0.02</c:v>
                </c:pt>
                <c:pt idx="422">
                  <c:v>0.02</c:v>
                </c:pt>
                <c:pt idx="423">
                  <c:v>0.02</c:v>
                </c:pt>
                <c:pt idx="424">
                  <c:v>0.02</c:v>
                </c:pt>
                <c:pt idx="425">
                  <c:v>0.02</c:v>
                </c:pt>
                <c:pt idx="426">
                  <c:v>0.02</c:v>
                </c:pt>
                <c:pt idx="427">
                  <c:v>0.02</c:v>
                </c:pt>
                <c:pt idx="428">
                  <c:v>0.02</c:v>
                </c:pt>
                <c:pt idx="429">
                  <c:v>0.02</c:v>
                </c:pt>
                <c:pt idx="430">
                  <c:v>0.02</c:v>
                </c:pt>
                <c:pt idx="431">
                  <c:v>0.02</c:v>
                </c:pt>
                <c:pt idx="432">
                  <c:v>0.02</c:v>
                </c:pt>
                <c:pt idx="433">
                  <c:v>0.02</c:v>
                </c:pt>
                <c:pt idx="434">
                  <c:v>0.02</c:v>
                </c:pt>
                <c:pt idx="435">
                  <c:v>0.02</c:v>
                </c:pt>
                <c:pt idx="436">
                  <c:v>0.02</c:v>
                </c:pt>
                <c:pt idx="437">
                  <c:v>0.02</c:v>
                </c:pt>
                <c:pt idx="438">
                  <c:v>0.02</c:v>
                </c:pt>
                <c:pt idx="439">
                  <c:v>0.02</c:v>
                </c:pt>
                <c:pt idx="440">
                  <c:v>0.02</c:v>
                </c:pt>
                <c:pt idx="441">
                  <c:v>0.02</c:v>
                </c:pt>
                <c:pt idx="442">
                  <c:v>0.02</c:v>
                </c:pt>
                <c:pt idx="443">
                  <c:v>0.02</c:v>
                </c:pt>
                <c:pt idx="444">
                  <c:v>0.02</c:v>
                </c:pt>
                <c:pt idx="445">
                  <c:v>0.02</c:v>
                </c:pt>
                <c:pt idx="446">
                  <c:v>0.02</c:v>
                </c:pt>
                <c:pt idx="447">
                  <c:v>0.02</c:v>
                </c:pt>
                <c:pt idx="448">
                  <c:v>0.02</c:v>
                </c:pt>
                <c:pt idx="449">
                  <c:v>0.02</c:v>
                </c:pt>
                <c:pt idx="450">
                  <c:v>0.02</c:v>
                </c:pt>
                <c:pt idx="451">
                  <c:v>0.02</c:v>
                </c:pt>
                <c:pt idx="452">
                  <c:v>0.02</c:v>
                </c:pt>
                <c:pt idx="453">
                  <c:v>0.02</c:v>
                </c:pt>
                <c:pt idx="454">
                  <c:v>0.02</c:v>
                </c:pt>
                <c:pt idx="455">
                  <c:v>0.02</c:v>
                </c:pt>
                <c:pt idx="456">
                  <c:v>0.02</c:v>
                </c:pt>
                <c:pt idx="457">
                  <c:v>0.02</c:v>
                </c:pt>
                <c:pt idx="458">
                  <c:v>0.02</c:v>
                </c:pt>
                <c:pt idx="459">
                  <c:v>0.02</c:v>
                </c:pt>
                <c:pt idx="460">
                  <c:v>0.02</c:v>
                </c:pt>
                <c:pt idx="461">
                  <c:v>0.02</c:v>
                </c:pt>
                <c:pt idx="462">
                  <c:v>0.02</c:v>
                </c:pt>
                <c:pt idx="463">
                  <c:v>0.02</c:v>
                </c:pt>
                <c:pt idx="464">
                  <c:v>0.02</c:v>
                </c:pt>
                <c:pt idx="465">
                  <c:v>0.02</c:v>
                </c:pt>
                <c:pt idx="466">
                  <c:v>0.02</c:v>
                </c:pt>
                <c:pt idx="467">
                  <c:v>0.02</c:v>
                </c:pt>
                <c:pt idx="468">
                  <c:v>0.02</c:v>
                </c:pt>
                <c:pt idx="469">
                  <c:v>0.02</c:v>
                </c:pt>
                <c:pt idx="470">
                  <c:v>0.02</c:v>
                </c:pt>
                <c:pt idx="471">
                  <c:v>0.02</c:v>
                </c:pt>
                <c:pt idx="472">
                  <c:v>0.02</c:v>
                </c:pt>
                <c:pt idx="473">
                  <c:v>0.02</c:v>
                </c:pt>
                <c:pt idx="474">
                  <c:v>0.02</c:v>
                </c:pt>
                <c:pt idx="475">
                  <c:v>0.02</c:v>
                </c:pt>
                <c:pt idx="476">
                  <c:v>0.02</c:v>
                </c:pt>
                <c:pt idx="477">
                  <c:v>0.02</c:v>
                </c:pt>
                <c:pt idx="478">
                  <c:v>0.02</c:v>
                </c:pt>
                <c:pt idx="479">
                  <c:v>0.02</c:v>
                </c:pt>
              </c:numCache>
            </c:numRef>
          </c:val>
          <c:smooth val="0"/>
          <c:extLst>
            <c:ext xmlns:c16="http://schemas.microsoft.com/office/drawing/2014/chart" uri="{C3380CC4-5D6E-409C-BE32-E72D297353CC}">
              <c16:uniqueId val="{00000006-3779-4187-B565-B3439E7A5866}"/>
            </c:ext>
          </c:extLst>
        </c:ser>
        <c:dLbls>
          <c:showLegendKey val="0"/>
          <c:showVal val="0"/>
          <c:showCatName val="0"/>
          <c:showSerName val="0"/>
          <c:showPercent val="0"/>
          <c:showBubbleSize val="0"/>
        </c:dLbls>
        <c:smooth val="0"/>
        <c:axId val="881776943"/>
        <c:axId val="881777423"/>
      </c:lineChart>
      <c:catAx>
        <c:axId val="881776943"/>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881777423"/>
        <c:crosses val="autoZero"/>
        <c:auto val="1"/>
        <c:lblAlgn val="ctr"/>
        <c:lblOffset val="100"/>
        <c:tickLblSkip val="6"/>
        <c:tickMarkSkip val="24"/>
        <c:noMultiLvlLbl val="0"/>
      </c:catAx>
      <c:valAx>
        <c:axId val="881777423"/>
        <c:scaling>
          <c:orientation val="minMax"/>
          <c:max val="1.1000000000000001"/>
          <c:min val="0"/>
        </c:scaling>
        <c:delete val="0"/>
        <c:axPos val="l"/>
        <c:majorGridlines>
          <c:spPr>
            <a:ln w="9525" cap="flat" cmpd="sng" algn="ctr">
              <a:solidFill>
                <a:schemeClr val="tx2">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de-DE"/>
          </a:p>
        </c:txPr>
        <c:crossAx val="881776943"/>
        <c:crosses val="autoZero"/>
        <c:crossBetween val="midCat"/>
        <c:majorUnit val="1"/>
      </c:valAx>
      <c:spPr>
        <a:noFill/>
        <a:ln>
          <a:noFill/>
        </a:ln>
        <a:effectLst/>
      </c:spPr>
    </c:plotArea>
    <c:legend>
      <c:legendPos val="b"/>
      <c:layout>
        <c:manualLayout>
          <c:xMode val="edge"/>
          <c:yMode val="edge"/>
          <c:x val="0.21812391975308643"/>
          <c:y val="0.88873132003644451"/>
          <c:w val="0.60626867283950614"/>
          <c:h val="9.4890350243705138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baseline="0">
                <a:solidFill>
                  <a:schemeClr val="tx2"/>
                </a:solidFill>
                <a:latin typeface="+mn-lt"/>
                <a:ea typeface="+mn-ea"/>
                <a:cs typeface="+mn-cs"/>
              </a:defRPr>
            </a:pPr>
            <a:r>
              <a:rPr lang="de-DE" sz="2000"/>
              <a:t>Overview: System up-time per hour and defined typical day</a:t>
            </a:r>
            <a:r>
              <a:rPr lang="de-DE" sz="2000" baseline="0"/>
              <a:t> (on/True  - off/False)</a:t>
            </a:r>
            <a:r>
              <a:rPr lang="de-DE" sz="2000"/>
              <a:t> </a:t>
            </a:r>
          </a:p>
        </c:rich>
      </c:tx>
      <c:layout>
        <c:manualLayout>
          <c:xMode val="edge"/>
          <c:yMode val="edge"/>
          <c:x val="0.25599651414350238"/>
          <c:y val="2.4816174674605236E-2"/>
        </c:manualLayout>
      </c:layout>
      <c:overlay val="0"/>
      <c:spPr>
        <a:noFill/>
        <a:ln>
          <a:noFill/>
        </a:ln>
        <a:effectLst/>
      </c:spPr>
      <c:txPr>
        <a:bodyPr rot="0" spcFirstLastPara="1" vertOverflow="ellipsis" vert="horz" wrap="square" anchor="ctr" anchorCtr="1"/>
        <a:lstStyle/>
        <a:p>
          <a:pPr>
            <a:defRPr sz="20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2.3160225724528815E-2"/>
          <c:y val="9.8082060455137982E-2"/>
          <c:w val="0.96725622313415738"/>
          <c:h val="0.51392335806538025"/>
        </c:manualLayout>
      </c:layout>
      <c:lineChart>
        <c:grouping val="standard"/>
        <c:varyColors val="0"/>
        <c:ser>
          <c:idx val="0"/>
          <c:order val="0"/>
          <c:tx>
            <c:v>System is Running</c:v>
          </c:tx>
          <c:spPr>
            <a:ln w="31750" cap="rnd">
              <a:solidFill>
                <a:schemeClr val="accent1"/>
              </a:solidFill>
              <a:round/>
            </a:ln>
            <a:effectLst/>
          </c:spPr>
          <c:marker>
            <c:symbol val="none"/>
          </c:marker>
          <c:cat>
            <c:strRef>
              <c:f>'Calculation of Typical Day'!$CE$21:$CE$500</c:f>
              <c:strCache>
                <c:ptCount val="480"/>
                <c:pt idx="0">
                  <c:v>Winter day</c:v>
                </c:pt>
                <c:pt idx="1">
                  <c:v>Winter day</c:v>
                </c:pt>
                <c:pt idx="2">
                  <c:v>Winter day</c:v>
                </c:pt>
                <c:pt idx="3">
                  <c:v>Winter day</c:v>
                </c:pt>
                <c:pt idx="4">
                  <c:v>Winter day</c:v>
                </c:pt>
                <c:pt idx="5">
                  <c:v>Winter day</c:v>
                </c:pt>
                <c:pt idx="6">
                  <c:v>Winter day</c:v>
                </c:pt>
                <c:pt idx="7">
                  <c:v>Winter day</c:v>
                </c:pt>
                <c:pt idx="8">
                  <c:v>Winter day</c:v>
                </c:pt>
                <c:pt idx="9">
                  <c:v>Winter day</c:v>
                </c:pt>
                <c:pt idx="10">
                  <c:v>Winter day</c:v>
                </c:pt>
                <c:pt idx="11">
                  <c:v>Winter day</c:v>
                </c:pt>
                <c:pt idx="12">
                  <c:v>Winter day</c:v>
                </c:pt>
                <c:pt idx="13">
                  <c:v>Winter day</c:v>
                </c:pt>
                <c:pt idx="14">
                  <c:v>Winter day</c:v>
                </c:pt>
                <c:pt idx="15">
                  <c:v>Winter day</c:v>
                </c:pt>
                <c:pt idx="16">
                  <c:v>Winter day</c:v>
                </c:pt>
                <c:pt idx="17">
                  <c:v>Winter day</c:v>
                </c:pt>
                <c:pt idx="18">
                  <c:v>Winter day</c:v>
                </c:pt>
                <c:pt idx="19">
                  <c:v>Winter day</c:v>
                </c:pt>
                <c:pt idx="20">
                  <c:v>Winter day</c:v>
                </c:pt>
                <c:pt idx="21">
                  <c:v>Winter day</c:v>
                </c:pt>
                <c:pt idx="22">
                  <c:v>Winter day</c:v>
                </c:pt>
                <c:pt idx="23">
                  <c:v>Winter day</c:v>
                </c:pt>
                <c:pt idx="24">
                  <c:v>Spring / fall weekday</c:v>
                </c:pt>
                <c:pt idx="25">
                  <c:v>Spring / fall weekday</c:v>
                </c:pt>
                <c:pt idx="26">
                  <c:v>Spring / fall weekday</c:v>
                </c:pt>
                <c:pt idx="27">
                  <c:v>Spring / fall weekday</c:v>
                </c:pt>
                <c:pt idx="28">
                  <c:v>Spring / fall weekday</c:v>
                </c:pt>
                <c:pt idx="29">
                  <c:v>Spring / fall weekday</c:v>
                </c:pt>
                <c:pt idx="30">
                  <c:v>Spring / fall weekday</c:v>
                </c:pt>
                <c:pt idx="31">
                  <c:v>Spring / fall weekday</c:v>
                </c:pt>
                <c:pt idx="32">
                  <c:v>Spring / fall weekday</c:v>
                </c:pt>
                <c:pt idx="33">
                  <c:v>Spring / fall weekday</c:v>
                </c:pt>
                <c:pt idx="34">
                  <c:v>Spring / fall weekday</c:v>
                </c:pt>
                <c:pt idx="35">
                  <c:v>Spring / fall weekday</c:v>
                </c:pt>
                <c:pt idx="36">
                  <c:v>Spring / fall weekday</c:v>
                </c:pt>
                <c:pt idx="37">
                  <c:v>Spring / fall weekday</c:v>
                </c:pt>
                <c:pt idx="38">
                  <c:v>Spring / fall weekday</c:v>
                </c:pt>
                <c:pt idx="39">
                  <c:v>Spring / fall weekday</c:v>
                </c:pt>
                <c:pt idx="40">
                  <c:v>Spring / fall weekday</c:v>
                </c:pt>
                <c:pt idx="41">
                  <c:v>Spring / fall weekday</c:v>
                </c:pt>
                <c:pt idx="42">
                  <c:v>Spring / fall weekday</c:v>
                </c:pt>
                <c:pt idx="43">
                  <c:v>Spring / fall weekday</c:v>
                </c:pt>
                <c:pt idx="44">
                  <c:v>Spring / fall weekday</c:v>
                </c:pt>
                <c:pt idx="45">
                  <c:v>Spring / fall weekday</c:v>
                </c:pt>
                <c:pt idx="46">
                  <c:v>Spring / fall weekday</c:v>
                </c:pt>
                <c:pt idx="47">
                  <c:v>Spring / fall weekday</c:v>
                </c:pt>
                <c:pt idx="48">
                  <c:v>Spring / fall weekend</c:v>
                </c:pt>
                <c:pt idx="49">
                  <c:v>Spring / fall weekend</c:v>
                </c:pt>
                <c:pt idx="50">
                  <c:v>Spring / fall weekend</c:v>
                </c:pt>
                <c:pt idx="51">
                  <c:v>Spring / fall weekend</c:v>
                </c:pt>
                <c:pt idx="52">
                  <c:v>Spring / fall weekend</c:v>
                </c:pt>
                <c:pt idx="53">
                  <c:v>Spring / fall weekend</c:v>
                </c:pt>
                <c:pt idx="54">
                  <c:v>Spring / fall weekend</c:v>
                </c:pt>
                <c:pt idx="55">
                  <c:v>Spring / fall weekend</c:v>
                </c:pt>
                <c:pt idx="56">
                  <c:v>Spring / fall weekend</c:v>
                </c:pt>
                <c:pt idx="57">
                  <c:v>Spring / fall weekend</c:v>
                </c:pt>
                <c:pt idx="58">
                  <c:v>Spring / fall weekend</c:v>
                </c:pt>
                <c:pt idx="59">
                  <c:v>Spring / fall weekend</c:v>
                </c:pt>
                <c:pt idx="60">
                  <c:v>Spring / fall weekend</c:v>
                </c:pt>
                <c:pt idx="61">
                  <c:v>Spring / fall weekend</c:v>
                </c:pt>
                <c:pt idx="62">
                  <c:v>Spring / fall weekend</c:v>
                </c:pt>
                <c:pt idx="63">
                  <c:v>Spring / fall weekend</c:v>
                </c:pt>
                <c:pt idx="64">
                  <c:v>Spring / fall weekend</c:v>
                </c:pt>
                <c:pt idx="65">
                  <c:v>Spring / fall weekend</c:v>
                </c:pt>
                <c:pt idx="66">
                  <c:v>Spring / fall weekend</c:v>
                </c:pt>
                <c:pt idx="67">
                  <c:v>Spring / fall weekend</c:v>
                </c:pt>
                <c:pt idx="68">
                  <c:v>Spring / fall weekend</c:v>
                </c:pt>
                <c:pt idx="69">
                  <c:v>Spring / fall weekend</c:v>
                </c:pt>
                <c:pt idx="70">
                  <c:v>Spring / fall weekend</c:v>
                </c:pt>
                <c:pt idx="71">
                  <c:v>Spring / fall weekend</c:v>
                </c:pt>
                <c:pt idx="72">
                  <c:v>Summer weekday</c:v>
                </c:pt>
                <c:pt idx="73">
                  <c:v>Summer weekday</c:v>
                </c:pt>
                <c:pt idx="74">
                  <c:v>Summer weekday</c:v>
                </c:pt>
                <c:pt idx="75">
                  <c:v>Summer weekday</c:v>
                </c:pt>
                <c:pt idx="76">
                  <c:v>Summer weekday</c:v>
                </c:pt>
                <c:pt idx="77">
                  <c:v>Summer weekday</c:v>
                </c:pt>
                <c:pt idx="78">
                  <c:v>Summer weekday</c:v>
                </c:pt>
                <c:pt idx="79">
                  <c:v>Summer weekday</c:v>
                </c:pt>
                <c:pt idx="80">
                  <c:v>Summer weekday</c:v>
                </c:pt>
                <c:pt idx="81">
                  <c:v>Summer weekday</c:v>
                </c:pt>
                <c:pt idx="82">
                  <c:v>Summer weekday</c:v>
                </c:pt>
                <c:pt idx="83">
                  <c:v>Summer weekday</c:v>
                </c:pt>
                <c:pt idx="84">
                  <c:v>Summer weekday</c:v>
                </c:pt>
                <c:pt idx="85">
                  <c:v>Summer weekday</c:v>
                </c:pt>
                <c:pt idx="86">
                  <c:v>Summer weekday</c:v>
                </c:pt>
                <c:pt idx="87">
                  <c:v>Summer weekday</c:v>
                </c:pt>
                <c:pt idx="88">
                  <c:v>Summer weekday</c:v>
                </c:pt>
                <c:pt idx="89">
                  <c:v>Summer weekday</c:v>
                </c:pt>
                <c:pt idx="90">
                  <c:v>Summer weekday</c:v>
                </c:pt>
                <c:pt idx="91">
                  <c:v>Summer weekday</c:v>
                </c:pt>
                <c:pt idx="92">
                  <c:v>Summer weekday</c:v>
                </c:pt>
                <c:pt idx="93">
                  <c:v>Summer weekday</c:v>
                </c:pt>
                <c:pt idx="94">
                  <c:v>Summer weekday</c:v>
                </c:pt>
                <c:pt idx="95">
                  <c:v>Summer weekday</c:v>
                </c:pt>
                <c:pt idx="96">
                  <c:v>Summer weekend</c:v>
                </c:pt>
                <c:pt idx="97">
                  <c:v>Summer weekend</c:v>
                </c:pt>
                <c:pt idx="98">
                  <c:v>Summer weekend</c:v>
                </c:pt>
                <c:pt idx="99">
                  <c:v>Summer weekend</c:v>
                </c:pt>
                <c:pt idx="100">
                  <c:v>Summer weekend</c:v>
                </c:pt>
                <c:pt idx="101">
                  <c:v>Summer weekend</c:v>
                </c:pt>
                <c:pt idx="102">
                  <c:v>Summer weekend</c:v>
                </c:pt>
                <c:pt idx="103">
                  <c:v>Summer weekend</c:v>
                </c:pt>
                <c:pt idx="104">
                  <c:v>Summer weekend</c:v>
                </c:pt>
                <c:pt idx="105">
                  <c:v>Summer weekend</c:v>
                </c:pt>
                <c:pt idx="106">
                  <c:v>Summer weekend</c:v>
                </c:pt>
                <c:pt idx="107">
                  <c:v>Summer weekend</c:v>
                </c:pt>
                <c:pt idx="108">
                  <c:v>Summer weekend</c:v>
                </c:pt>
                <c:pt idx="109">
                  <c:v>Summer weekend</c:v>
                </c:pt>
                <c:pt idx="110">
                  <c:v>Summer weekend</c:v>
                </c:pt>
                <c:pt idx="111">
                  <c:v>Summer weekend</c:v>
                </c:pt>
                <c:pt idx="112">
                  <c:v>Summer weekend</c:v>
                </c:pt>
                <c:pt idx="113">
                  <c:v>Summer weekend</c:v>
                </c:pt>
                <c:pt idx="114">
                  <c:v>Summer weekend</c:v>
                </c:pt>
                <c:pt idx="115">
                  <c:v>Summer weekend</c:v>
                </c:pt>
                <c:pt idx="116">
                  <c:v>Summer weekend</c:v>
                </c:pt>
                <c:pt idx="117">
                  <c:v>Summer weekend</c:v>
                </c:pt>
                <c:pt idx="118">
                  <c:v>Summer weekend</c:v>
                </c:pt>
                <c:pt idx="119">
                  <c:v>Summer weekend</c:v>
                </c:pt>
                <c:pt idx="120">
                  <c:v>Maintenance of HP</c:v>
                </c:pt>
                <c:pt idx="121">
                  <c:v>Maintenance of HP</c:v>
                </c:pt>
                <c:pt idx="122">
                  <c:v>Maintenance of HP</c:v>
                </c:pt>
                <c:pt idx="123">
                  <c:v>Maintenance of HP</c:v>
                </c:pt>
                <c:pt idx="124">
                  <c:v>Maintenance of HP</c:v>
                </c:pt>
                <c:pt idx="125">
                  <c:v>Maintenance of HP</c:v>
                </c:pt>
                <c:pt idx="126">
                  <c:v>Maintenance of HP</c:v>
                </c:pt>
                <c:pt idx="127">
                  <c:v>Maintenance of HP</c:v>
                </c:pt>
                <c:pt idx="128">
                  <c:v>Maintenance of HP</c:v>
                </c:pt>
                <c:pt idx="129">
                  <c:v>Maintenance of HP</c:v>
                </c:pt>
                <c:pt idx="130">
                  <c:v>Maintenance of HP</c:v>
                </c:pt>
                <c:pt idx="131">
                  <c:v>Maintenance of HP</c:v>
                </c:pt>
                <c:pt idx="132">
                  <c:v>Maintenance of HP</c:v>
                </c:pt>
                <c:pt idx="133">
                  <c:v>Maintenance of HP</c:v>
                </c:pt>
                <c:pt idx="134">
                  <c:v>Maintenance of HP</c:v>
                </c:pt>
                <c:pt idx="135">
                  <c:v>Maintenance of HP</c:v>
                </c:pt>
                <c:pt idx="136">
                  <c:v>Maintenance of HP</c:v>
                </c:pt>
                <c:pt idx="137">
                  <c:v>Maintenance of HP</c:v>
                </c:pt>
                <c:pt idx="138">
                  <c:v>Maintenance of HP</c:v>
                </c:pt>
                <c:pt idx="139">
                  <c:v>Maintenance of HP</c:v>
                </c:pt>
                <c:pt idx="140">
                  <c:v>Maintenance of HP</c:v>
                </c:pt>
                <c:pt idx="141">
                  <c:v>Maintenance of HP</c:v>
                </c:pt>
                <c:pt idx="142">
                  <c:v>Maintenance of HP</c:v>
                </c:pt>
                <c:pt idx="143">
                  <c:v>Maintenance of HP</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7</c:v>
                </c:pt>
                <c:pt idx="165">
                  <c:v>7</c:v>
                </c:pt>
                <c:pt idx="166">
                  <c:v>7</c:v>
                </c:pt>
                <c:pt idx="167">
                  <c:v>7</c:v>
                </c:pt>
                <c:pt idx="168">
                  <c:v>8</c:v>
                </c:pt>
                <c:pt idx="169">
                  <c:v>8</c:v>
                </c:pt>
                <c:pt idx="170">
                  <c:v>8</c:v>
                </c:pt>
                <c:pt idx="171">
                  <c:v>8</c:v>
                </c:pt>
                <c:pt idx="172">
                  <c:v>8</c:v>
                </c:pt>
                <c:pt idx="173">
                  <c:v>8</c:v>
                </c:pt>
                <c:pt idx="174">
                  <c:v>8</c:v>
                </c:pt>
                <c:pt idx="175">
                  <c:v>8</c:v>
                </c:pt>
                <c:pt idx="176">
                  <c:v>8</c:v>
                </c:pt>
                <c:pt idx="177">
                  <c:v>8</c:v>
                </c:pt>
                <c:pt idx="178">
                  <c:v>8</c:v>
                </c:pt>
                <c:pt idx="179">
                  <c:v>8</c:v>
                </c:pt>
                <c:pt idx="180">
                  <c:v>8</c:v>
                </c:pt>
                <c:pt idx="181">
                  <c:v>8</c:v>
                </c:pt>
                <c:pt idx="182">
                  <c:v>8</c:v>
                </c:pt>
                <c:pt idx="183">
                  <c:v>8</c:v>
                </c:pt>
                <c:pt idx="184">
                  <c:v>8</c:v>
                </c:pt>
                <c:pt idx="185">
                  <c:v>8</c:v>
                </c:pt>
                <c:pt idx="186">
                  <c:v>8</c:v>
                </c:pt>
                <c:pt idx="187">
                  <c:v>8</c:v>
                </c:pt>
                <c:pt idx="188">
                  <c:v>8</c:v>
                </c:pt>
                <c:pt idx="189">
                  <c:v>8</c:v>
                </c:pt>
                <c:pt idx="190">
                  <c:v>8</c:v>
                </c:pt>
                <c:pt idx="191">
                  <c:v>8</c:v>
                </c:pt>
                <c:pt idx="192">
                  <c:v>9</c:v>
                </c:pt>
                <c:pt idx="193">
                  <c:v>9</c:v>
                </c:pt>
                <c:pt idx="194">
                  <c:v>9</c:v>
                </c:pt>
                <c:pt idx="195">
                  <c:v>9</c:v>
                </c:pt>
                <c:pt idx="196">
                  <c:v>9</c:v>
                </c:pt>
                <c:pt idx="197">
                  <c:v>9</c:v>
                </c:pt>
                <c:pt idx="198">
                  <c:v>9</c:v>
                </c:pt>
                <c:pt idx="199">
                  <c:v>9</c:v>
                </c:pt>
                <c:pt idx="200">
                  <c:v>9</c:v>
                </c:pt>
                <c:pt idx="201">
                  <c:v>9</c:v>
                </c:pt>
                <c:pt idx="202">
                  <c:v>9</c:v>
                </c:pt>
                <c:pt idx="203">
                  <c:v>9</c:v>
                </c:pt>
                <c:pt idx="204">
                  <c:v>9</c:v>
                </c:pt>
                <c:pt idx="205">
                  <c:v>9</c:v>
                </c:pt>
                <c:pt idx="206">
                  <c:v>9</c:v>
                </c:pt>
                <c:pt idx="207">
                  <c:v>9</c:v>
                </c:pt>
                <c:pt idx="208">
                  <c:v>9</c:v>
                </c:pt>
                <c:pt idx="209">
                  <c:v>9</c:v>
                </c:pt>
                <c:pt idx="210">
                  <c:v>9</c:v>
                </c:pt>
                <c:pt idx="211">
                  <c:v>9</c:v>
                </c:pt>
                <c:pt idx="212">
                  <c:v>9</c:v>
                </c:pt>
                <c:pt idx="213">
                  <c:v>9</c:v>
                </c:pt>
                <c:pt idx="214">
                  <c:v>9</c:v>
                </c:pt>
                <c:pt idx="215">
                  <c:v>9</c:v>
                </c:pt>
                <c:pt idx="216">
                  <c:v>10</c:v>
                </c:pt>
                <c:pt idx="217">
                  <c:v>10</c:v>
                </c:pt>
                <c:pt idx="218">
                  <c:v>10</c:v>
                </c:pt>
                <c:pt idx="219">
                  <c:v>10</c:v>
                </c:pt>
                <c:pt idx="220">
                  <c:v>10</c:v>
                </c:pt>
                <c:pt idx="221">
                  <c:v>10</c:v>
                </c:pt>
                <c:pt idx="222">
                  <c:v>10</c:v>
                </c:pt>
                <c:pt idx="223">
                  <c:v>10</c:v>
                </c:pt>
                <c:pt idx="224">
                  <c:v>10</c:v>
                </c:pt>
                <c:pt idx="225">
                  <c:v>10</c:v>
                </c:pt>
                <c:pt idx="226">
                  <c:v>10</c:v>
                </c:pt>
                <c:pt idx="227">
                  <c:v>10</c:v>
                </c:pt>
                <c:pt idx="228">
                  <c:v>10</c:v>
                </c:pt>
                <c:pt idx="229">
                  <c:v>10</c:v>
                </c:pt>
                <c:pt idx="230">
                  <c:v>10</c:v>
                </c:pt>
                <c:pt idx="231">
                  <c:v>10</c:v>
                </c:pt>
                <c:pt idx="232">
                  <c:v>10</c:v>
                </c:pt>
                <c:pt idx="233">
                  <c:v>10</c:v>
                </c:pt>
                <c:pt idx="234">
                  <c:v>10</c:v>
                </c:pt>
                <c:pt idx="235">
                  <c:v>10</c:v>
                </c:pt>
                <c:pt idx="236">
                  <c:v>10</c:v>
                </c:pt>
                <c:pt idx="237">
                  <c:v>10</c:v>
                </c:pt>
                <c:pt idx="238">
                  <c:v>10</c:v>
                </c:pt>
                <c:pt idx="239">
                  <c:v>10</c:v>
                </c:pt>
                <c:pt idx="240">
                  <c:v>11</c:v>
                </c:pt>
                <c:pt idx="241">
                  <c:v>11</c:v>
                </c:pt>
                <c:pt idx="242">
                  <c:v>11</c:v>
                </c:pt>
                <c:pt idx="243">
                  <c:v>11</c:v>
                </c:pt>
                <c:pt idx="244">
                  <c:v>11</c:v>
                </c:pt>
                <c:pt idx="245">
                  <c:v>11</c:v>
                </c:pt>
                <c:pt idx="246">
                  <c:v>11</c:v>
                </c:pt>
                <c:pt idx="247">
                  <c:v>11</c:v>
                </c:pt>
                <c:pt idx="248">
                  <c:v>11</c:v>
                </c:pt>
                <c:pt idx="249">
                  <c:v>11</c:v>
                </c:pt>
                <c:pt idx="250">
                  <c:v>11</c:v>
                </c:pt>
                <c:pt idx="251">
                  <c:v>11</c:v>
                </c:pt>
                <c:pt idx="252">
                  <c:v>11</c:v>
                </c:pt>
                <c:pt idx="253">
                  <c:v>11</c:v>
                </c:pt>
                <c:pt idx="254">
                  <c:v>11</c:v>
                </c:pt>
                <c:pt idx="255">
                  <c:v>11</c:v>
                </c:pt>
                <c:pt idx="256">
                  <c:v>11</c:v>
                </c:pt>
                <c:pt idx="257">
                  <c:v>11</c:v>
                </c:pt>
                <c:pt idx="258">
                  <c:v>11</c:v>
                </c:pt>
                <c:pt idx="259">
                  <c:v>11</c:v>
                </c:pt>
                <c:pt idx="260">
                  <c:v>11</c:v>
                </c:pt>
                <c:pt idx="261">
                  <c:v>11</c:v>
                </c:pt>
                <c:pt idx="262">
                  <c:v>11</c:v>
                </c:pt>
                <c:pt idx="263">
                  <c:v>11</c:v>
                </c:pt>
                <c:pt idx="264">
                  <c:v>12</c:v>
                </c:pt>
                <c:pt idx="265">
                  <c:v>12</c:v>
                </c:pt>
                <c:pt idx="266">
                  <c:v>12</c:v>
                </c:pt>
                <c:pt idx="267">
                  <c:v>12</c:v>
                </c:pt>
                <c:pt idx="268">
                  <c:v>12</c:v>
                </c:pt>
                <c:pt idx="269">
                  <c:v>12</c:v>
                </c:pt>
                <c:pt idx="270">
                  <c:v>12</c:v>
                </c:pt>
                <c:pt idx="271">
                  <c:v>12</c:v>
                </c:pt>
                <c:pt idx="272">
                  <c:v>12</c:v>
                </c:pt>
                <c:pt idx="273">
                  <c:v>12</c:v>
                </c:pt>
                <c:pt idx="274">
                  <c:v>12</c:v>
                </c:pt>
                <c:pt idx="275">
                  <c:v>12</c:v>
                </c:pt>
                <c:pt idx="276">
                  <c:v>12</c:v>
                </c:pt>
                <c:pt idx="277">
                  <c:v>12</c:v>
                </c:pt>
                <c:pt idx="278">
                  <c:v>12</c:v>
                </c:pt>
                <c:pt idx="279">
                  <c:v>12</c:v>
                </c:pt>
                <c:pt idx="280">
                  <c:v>12</c:v>
                </c:pt>
                <c:pt idx="281">
                  <c:v>12</c:v>
                </c:pt>
                <c:pt idx="282">
                  <c:v>12</c:v>
                </c:pt>
                <c:pt idx="283">
                  <c:v>12</c:v>
                </c:pt>
                <c:pt idx="284">
                  <c:v>12</c:v>
                </c:pt>
                <c:pt idx="285">
                  <c:v>12</c:v>
                </c:pt>
                <c:pt idx="286">
                  <c:v>12</c:v>
                </c:pt>
                <c:pt idx="287">
                  <c:v>12</c:v>
                </c:pt>
                <c:pt idx="288">
                  <c:v>13</c:v>
                </c:pt>
                <c:pt idx="289">
                  <c:v>13</c:v>
                </c:pt>
                <c:pt idx="290">
                  <c:v>13</c:v>
                </c:pt>
                <c:pt idx="291">
                  <c:v>13</c:v>
                </c:pt>
                <c:pt idx="292">
                  <c:v>13</c:v>
                </c:pt>
                <c:pt idx="293">
                  <c:v>13</c:v>
                </c:pt>
                <c:pt idx="294">
                  <c:v>13</c:v>
                </c:pt>
                <c:pt idx="295">
                  <c:v>13</c:v>
                </c:pt>
                <c:pt idx="296">
                  <c:v>13</c:v>
                </c:pt>
                <c:pt idx="297">
                  <c:v>13</c:v>
                </c:pt>
                <c:pt idx="298">
                  <c:v>13</c:v>
                </c:pt>
                <c:pt idx="299">
                  <c:v>13</c:v>
                </c:pt>
                <c:pt idx="300">
                  <c:v>13</c:v>
                </c:pt>
                <c:pt idx="301">
                  <c:v>13</c:v>
                </c:pt>
                <c:pt idx="302">
                  <c:v>13</c:v>
                </c:pt>
                <c:pt idx="303">
                  <c:v>13</c:v>
                </c:pt>
                <c:pt idx="304">
                  <c:v>13</c:v>
                </c:pt>
                <c:pt idx="305">
                  <c:v>13</c:v>
                </c:pt>
                <c:pt idx="306">
                  <c:v>13</c:v>
                </c:pt>
                <c:pt idx="307">
                  <c:v>13</c:v>
                </c:pt>
                <c:pt idx="308">
                  <c:v>13</c:v>
                </c:pt>
                <c:pt idx="309">
                  <c:v>13</c:v>
                </c:pt>
                <c:pt idx="310">
                  <c:v>13</c:v>
                </c:pt>
                <c:pt idx="311">
                  <c:v>13</c:v>
                </c:pt>
                <c:pt idx="312">
                  <c:v>14</c:v>
                </c:pt>
                <c:pt idx="313">
                  <c:v>14</c:v>
                </c:pt>
                <c:pt idx="314">
                  <c:v>14</c:v>
                </c:pt>
                <c:pt idx="315">
                  <c:v>14</c:v>
                </c:pt>
                <c:pt idx="316">
                  <c:v>14</c:v>
                </c:pt>
                <c:pt idx="317">
                  <c:v>14</c:v>
                </c:pt>
                <c:pt idx="318">
                  <c:v>14</c:v>
                </c:pt>
                <c:pt idx="319">
                  <c:v>14</c:v>
                </c:pt>
                <c:pt idx="320">
                  <c:v>14</c:v>
                </c:pt>
                <c:pt idx="321">
                  <c:v>14</c:v>
                </c:pt>
                <c:pt idx="322">
                  <c:v>14</c:v>
                </c:pt>
                <c:pt idx="323">
                  <c:v>14</c:v>
                </c:pt>
                <c:pt idx="324">
                  <c:v>14</c:v>
                </c:pt>
                <c:pt idx="325">
                  <c:v>14</c:v>
                </c:pt>
                <c:pt idx="326">
                  <c:v>14</c:v>
                </c:pt>
                <c:pt idx="327">
                  <c:v>14</c:v>
                </c:pt>
                <c:pt idx="328">
                  <c:v>14</c:v>
                </c:pt>
                <c:pt idx="329">
                  <c:v>14</c:v>
                </c:pt>
                <c:pt idx="330">
                  <c:v>14</c:v>
                </c:pt>
                <c:pt idx="331">
                  <c:v>14</c:v>
                </c:pt>
                <c:pt idx="332">
                  <c:v>14</c:v>
                </c:pt>
                <c:pt idx="333">
                  <c:v>14</c:v>
                </c:pt>
                <c:pt idx="334">
                  <c:v>14</c:v>
                </c:pt>
                <c:pt idx="335">
                  <c:v>14</c:v>
                </c:pt>
                <c:pt idx="336">
                  <c:v>15</c:v>
                </c:pt>
                <c:pt idx="337">
                  <c:v>15</c:v>
                </c:pt>
                <c:pt idx="338">
                  <c:v>15</c:v>
                </c:pt>
                <c:pt idx="339">
                  <c:v>15</c:v>
                </c:pt>
                <c:pt idx="340">
                  <c:v>15</c:v>
                </c:pt>
                <c:pt idx="341">
                  <c:v>15</c:v>
                </c:pt>
                <c:pt idx="342">
                  <c:v>15</c:v>
                </c:pt>
                <c:pt idx="343">
                  <c:v>15</c:v>
                </c:pt>
                <c:pt idx="344">
                  <c:v>15</c:v>
                </c:pt>
                <c:pt idx="345">
                  <c:v>15</c:v>
                </c:pt>
                <c:pt idx="346">
                  <c:v>15</c:v>
                </c:pt>
                <c:pt idx="347">
                  <c:v>15</c:v>
                </c:pt>
                <c:pt idx="348">
                  <c:v>15</c:v>
                </c:pt>
                <c:pt idx="349">
                  <c:v>15</c:v>
                </c:pt>
                <c:pt idx="350">
                  <c:v>15</c:v>
                </c:pt>
                <c:pt idx="351">
                  <c:v>15</c:v>
                </c:pt>
                <c:pt idx="352">
                  <c:v>15</c:v>
                </c:pt>
                <c:pt idx="353">
                  <c:v>15</c:v>
                </c:pt>
                <c:pt idx="354">
                  <c:v>15</c:v>
                </c:pt>
                <c:pt idx="355">
                  <c:v>15</c:v>
                </c:pt>
                <c:pt idx="356">
                  <c:v>15</c:v>
                </c:pt>
                <c:pt idx="357">
                  <c:v>15</c:v>
                </c:pt>
                <c:pt idx="358">
                  <c:v>15</c:v>
                </c:pt>
                <c:pt idx="359">
                  <c:v>15</c:v>
                </c:pt>
                <c:pt idx="360">
                  <c:v>16</c:v>
                </c:pt>
                <c:pt idx="361">
                  <c:v>16</c:v>
                </c:pt>
                <c:pt idx="362">
                  <c:v>16</c:v>
                </c:pt>
                <c:pt idx="363">
                  <c:v>16</c:v>
                </c:pt>
                <c:pt idx="364">
                  <c:v>16</c:v>
                </c:pt>
                <c:pt idx="365">
                  <c:v>16</c:v>
                </c:pt>
                <c:pt idx="366">
                  <c:v>16</c:v>
                </c:pt>
                <c:pt idx="367">
                  <c:v>16</c:v>
                </c:pt>
                <c:pt idx="368">
                  <c:v>16</c:v>
                </c:pt>
                <c:pt idx="369">
                  <c:v>16</c:v>
                </c:pt>
                <c:pt idx="370">
                  <c:v>16</c:v>
                </c:pt>
                <c:pt idx="371">
                  <c:v>16</c:v>
                </c:pt>
                <c:pt idx="372">
                  <c:v>16</c:v>
                </c:pt>
                <c:pt idx="373">
                  <c:v>16</c:v>
                </c:pt>
                <c:pt idx="374">
                  <c:v>16</c:v>
                </c:pt>
                <c:pt idx="375">
                  <c:v>16</c:v>
                </c:pt>
                <c:pt idx="376">
                  <c:v>16</c:v>
                </c:pt>
                <c:pt idx="377">
                  <c:v>16</c:v>
                </c:pt>
                <c:pt idx="378">
                  <c:v>16</c:v>
                </c:pt>
                <c:pt idx="379">
                  <c:v>16</c:v>
                </c:pt>
                <c:pt idx="380">
                  <c:v>16</c:v>
                </c:pt>
                <c:pt idx="381">
                  <c:v>16</c:v>
                </c:pt>
                <c:pt idx="382">
                  <c:v>16</c:v>
                </c:pt>
                <c:pt idx="383">
                  <c:v>16</c:v>
                </c:pt>
                <c:pt idx="384">
                  <c:v>17</c:v>
                </c:pt>
                <c:pt idx="385">
                  <c:v>17</c:v>
                </c:pt>
                <c:pt idx="386">
                  <c:v>17</c:v>
                </c:pt>
                <c:pt idx="387">
                  <c:v>17</c:v>
                </c:pt>
                <c:pt idx="388">
                  <c:v>17</c:v>
                </c:pt>
                <c:pt idx="389">
                  <c:v>17</c:v>
                </c:pt>
                <c:pt idx="390">
                  <c:v>17</c:v>
                </c:pt>
                <c:pt idx="391">
                  <c:v>17</c:v>
                </c:pt>
                <c:pt idx="392">
                  <c:v>17</c:v>
                </c:pt>
                <c:pt idx="393">
                  <c:v>17</c:v>
                </c:pt>
                <c:pt idx="394">
                  <c:v>17</c:v>
                </c:pt>
                <c:pt idx="395">
                  <c:v>17</c:v>
                </c:pt>
                <c:pt idx="396">
                  <c:v>17</c:v>
                </c:pt>
                <c:pt idx="397">
                  <c:v>17</c:v>
                </c:pt>
                <c:pt idx="398">
                  <c:v>17</c:v>
                </c:pt>
                <c:pt idx="399">
                  <c:v>17</c:v>
                </c:pt>
                <c:pt idx="400">
                  <c:v>17</c:v>
                </c:pt>
                <c:pt idx="401">
                  <c:v>17</c:v>
                </c:pt>
                <c:pt idx="402">
                  <c:v>17</c:v>
                </c:pt>
                <c:pt idx="403">
                  <c:v>17</c:v>
                </c:pt>
                <c:pt idx="404">
                  <c:v>17</c:v>
                </c:pt>
                <c:pt idx="405">
                  <c:v>17</c:v>
                </c:pt>
                <c:pt idx="406">
                  <c:v>17</c:v>
                </c:pt>
                <c:pt idx="407">
                  <c:v>17</c:v>
                </c:pt>
                <c:pt idx="408">
                  <c:v>18</c:v>
                </c:pt>
                <c:pt idx="409">
                  <c:v>18</c:v>
                </c:pt>
                <c:pt idx="410">
                  <c:v>18</c:v>
                </c:pt>
                <c:pt idx="411">
                  <c:v>18</c:v>
                </c:pt>
                <c:pt idx="412">
                  <c:v>18</c:v>
                </c:pt>
                <c:pt idx="413">
                  <c:v>18</c:v>
                </c:pt>
                <c:pt idx="414">
                  <c:v>18</c:v>
                </c:pt>
                <c:pt idx="415">
                  <c:v>18</c:v>
                </c:pt>
                <c:pt idx="416">
                  <c:v>18</c:v>
                </c:pt>
                <c:pt idx="417">
                  <c:v>18</c:v>
                </c:pt>
                <c:pt idx="418">
                  <c:v>18</c:v>
                </c:pt>
                <c:pt idx="419">
                  <c:v>18</c:v>
                </c:pt>
                <c:pt idx="420">
                  <c:v>18</c:v>
                </c:pt>
                <c:pt idx="421">
                  <c:v>18</c:v>
                </c:pt>
                <c:pt idx="422">
                  <c:v>18</c:v>
                </c:pt>
                <c:pt idx="423">
                  <c:v>18</c:v>
                </c:pt>
                <c:pt idx="424">
                  <c:v>18</c:v>
                </c:pt>
                <c:pt idx="425">
                  <c:v>18</c:v>
                </c:pt>
                <c:pt idx="426">
                  <c:v>18</c:v>
                </c:pt>
                <c:pt idx="427">
                  <c:v>18</c:v>
                </c:pt>
                <c:pt idx="428">
                  <c:v>18</c:v>
                </c:pt>
                <c:pt idx="429">
                  <c:v>18</c:v>
                </c:pt>
                <c:pt idx="430">
                  <c:v>18</c:v>
                </c:pt>
                <c:pt idx="431">
                  <c:v>18</c:v>
                </c:pt>
                <c:pt idx="432">
                  <c:v>19</c:v>
                </c:pt>
                <c:pt idx="433">
                  <c:v>19</c:v>
                </c:pt>
                <c:pt idx="434">
                  <c:v>19</c:v>
                </c:pt>
                <c:pt idx="435">
                  <c:v>19</c:v>
                </c:pt>
                <c:pt idx="436">
                  <c:v>19</c:v>
                </c:pt>
                <c:pt idx="437">
                  <c:v>19</c:v>
                </c:pt>
                <c:pt idx="438">
                  <c:v>19</c:v>
                </c:pt>
                <c:pt idx="439">
                  <c:v>19</c:v>
                </c:pt>
                <c:pt idx="440">
                  <c:v>19</c:v>
                </c:pt>
                <c:pt idx="441">
                  <c:v>19</c:v>
                </c:pt>
                <c:pt idx="442">
                  <c:v>19</c:v>
                </c:pt>
                <c:pt idx="443">
                  <c:v>19</c:v>
                </c:pt>
                <c:pt idx="444">
                  <c:v>19</c:v>
                </c:pt>
                <c:pt idx="445">
                  <c:v>19</c:v>
                </c:pt>
                <c:pt idx="446">
                  <c:v>19</c:v>
                </c:pt>
                <c:pt idx="447">
                  <c:v>19</c:v>
                </c:pt>
                <c:pt idx="448">
                  <c:v>19</c:v>
                </c:pt>
                <c:pt idx="449">
                  <c:v>19</c:v>
                </c:pt>
                <c:pt idx="450">
                  <c:v>19</c:v>
                </c:pt>
                <c:pt idx="451">
                  <c:v>19</c:v>
                </c:pt>
                <c:pt idx="452">
                  <c:v>19</c:v>
                </c:pt>
                <c:pt idx="453">
                  <c:v>19</c:v>
                </c:pt>
                <c:pt idx="454">
                  <c:v>19</c:v>
                </c:pt>
                <c:pt idx="455">
                  <c:v>19</c:v>
                </c:pt>
                <c:pt idx="456">
                  <c:v>20</c:v>
                </c:pt>
                <c:pt idx="457">
                  <c:v>20</c:v>
                </c:pt>
                <c:pt idx="458">
                  <c:v>20</c:v>
                </c:pt>
                <c:pt idx="459">
                  <c:v>20</c:v>
                </c:pt>
                <c:pt idx="460">
                  <c:v>20</c:v>
                </c:pt>
                <c:pt idx="461">
                  <c:v>20</c:v>
                </c:pt>
                <c:pt idx="462">
                  <c:v>20</c:v>
                </c:pt>
                <c:pt idx="463">
                  <c:v>20</c:v>
                </c:pt>
                <c:pt idx="464">
                  <c:v>20</c:v>
                </c:pt>
                <c:pt idx="465">
                  <c:v>20</c:v>
                </c:pt>
                <c:pt idx="466">
                  <c:v>20</c:v>
                </c:pt>
                <c:pt idx="467">
                  <c:v>20</c:v>
                </c:pt>
                <c:pt idx="468">
                  <c:v>20</c:v>
                </c:pt>
                <c:pt idx="469">
                  <c:v>20</c:v>
                </c:pt>
                <c:pt idx="470">
                  <c:v>20</c:v>
                </c:pt>
                <c:pt idx="471">
                  <c:v>20</c:v>
                </c:pt>
                <c:pt idx="472">
                  <c:v>20</c:v>
                </c:pt>
                <c:pt idx="473">
                  <c:v>20</c:v>
                </c:pt>
                <c:pt idx="474">
                  <c:v>20</c:v>
                </c:pt>
                <c:pt idx="475">
                  <c:v>20</c:v>
                </c:pt>
                <c:pt idx="476">
                  <c:v>20</c:v>
                </c:pt>
                <c:pt idx="477">
                  <c:v>20</c:v>
                </c:pt>
                <c:pt idx="478">
                  <c:v>20</c:v>
                </c:pt>
                <c:pt idx="479">
                  <c:v>20</c:v>
                </c:pt>
              </c:strCache>
            </c:strRef>
          </c:cat>
          <c:val>
            <c:numRef>
              <c:f>'Calculation of Typical Day'!$BZ$21:$BZ$500</c:f>
              <c:numCache>
                <c:formatCode>#,##0.00</c:formatCode>
                <c:ptCount val="48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0</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numCache>
            </c:numRef>
          </c:val>
          <c:smooth val="0"/>
          <c:extLst>
            <c:ext xmlns:c16="http://schemas.microsoft.com/office/drawing/2014/chart" uri="{C3380CC4-5D6E-409C-BE32-E72D297353CC}">
              <c16:uniqueId val="{00000000-B64F-46A5-BC0D-03A2C2DC02DE}"/>
            </c:ext>
          </c:extLst>
        </c:ser>
        <c:ser>
          <c:idx val="1"/>
          <c:order val="1"/>
          <c:tx>
            <c:strRef>
              <c:f>'Calculation of Typical Day'!$CO$13</c:f>
              <c:strCache>
                <c:ptCount val="1"/>
                <c:pt idx="0">
                  <c:v>SRMC Heat-pump is lower than SRMC of alternative heat production</c:v>
                </c:pt>
              </c:strCache>
            </c:strRef>
          </c:tx>
          <c:spPr>
            <a:ln w="31750" cap="rnd">
              <a:solidFill>
                <a:schemeClr val="accent2"/>
              </a:solidFill>
              <a:round/>
            </a:ln>
            <a:effectLst/>
          </c:spPr>
          <c:marker>
            <c:symbol val="none"/>
          </c:marker>
          <c:val>
            <c:numRef>
              <c:f>'Calculation of Typical Day'!$CO$21:$CO$500</c:f>
              <c:numCache>
                <c:formatCode>#,##0</c:formatCode>
                <c:ptCount val="480"/>
                <c:pt idx="0">
                  <c:v>1.05</c:v>
                </c:pt>
                <c:pt idx="1">
                  <c:v>1.05</c:v>
                </c:pt>
                <c:pt idx="2">
                  <c:v>1.05</c:v>
                </c:pt>
                <c:pt idx="3">
                  <c:v>1.05</c:v>
                </c:pt>
                <c:pt idx="4">
                  <c:v>1.05</c:v>
                </c:pt>
                <c:pt idx="5">
                  <c:v>1.05</c:v>
                </c:pt>
                <c:pt idx="6">
                  <c:v>1.05</c:v>
                </c:pt>
                <c:pt idx="7">
                  <c:v>1.05</c:v>
                </c:pt>
                <c:pt idx="8">
                  <c:v>1.05</c:v>
                </c:pt>
                <c:pt idx="9">
                  <c:v>1.05</c:v>
                </c:pt>
                <c:pt idx="10">
                  <c:v>1.05</c:v>
                </c:pt>
                <c:pt idx="11">
                  <c:v>1.05</c:v>
                </c:pt>
                <c:pt idx="12">
                  <c:v>1.05</c:v>
                </c:pt>
                <c:pt idx="13">
                  <c:v>1.05</c:v>
                </c:pt>
                <c:pt idx="14">
                  <c:v>1.05</c:v>
                </c:pt>
                <c:pt idx="15">
                  <c:v>1.05</c:v>
                </c:pt>
                <c:pt idx="16">
                  <c:v>1.05</c:v>
                </c:pt>
                <c:pt idx="17">
                  <c:v>1.05</c:v>
                </c:pt>
                <c:pt idx="18">
                  <c:v>1.05</c:v>
                </c:pt>
                <c:pt idx="19">
                  <c:v>1.05</c:v>
                </c:pt>
                <c:pt idx="20">
                  <c:v>1.05</c:v>
                </c:pt>
                <c:pt idx="21">
                  <c:v>1.05</c:v>
                </c:pt>
                <c:pt idx="22">
                  <c:v>1.05</c:v>
                </c:pt>
                <c:pt idx="23">
                  <c:v>1.05</c:v>
                </c:pt>
                <c:pt idx="24">
                  <c:v>1.05</c:v>
                </c:pt>
                <c:pt idx="25">
                  <c:v>1.05</c:v>
                </c:pt>
                <c:pt idx="26">
                  <c:v>1.05</c:v>
                </c:pt>
                <c:pt idx="27">
                  <c:v>1.05</c:v>
                </c:pt>
                <c:pt idx="28">
                  <c:v>1.05</c:v>
                </c:pt>
                <c:pt idx="29">
                  <c:v>1.05</c:v>
                </c:pt>
                <c:pt idx="30">
                  <c:v>1.05</c:v>
                </c:pt>
                <c:pt idx="31">
                  <c:v>1.05</c:v>
                </c:pt>
                <c:pt idx="32">
                  <c:v>1.05</c:v>
                </c:pt>
                <c:pt idx="33">
                  <c:v>1.05</c:v>
                </c:pt>
                <c:pt idx="34">
                  <c:v>1.05</c:v>
                </c:pt>
                <c:pt idx="35">
                  <c:v>1.05</c:v>
                </c:pt>
                <c:pt idx="36">
                  <c:v>1.05</c:v>
                </c:pt>
                <c:pt idx="37">
                  <c:v>1.05</c:v>
                </c:pt>
                <c:pt idx="38">
                  <c:v>1.05</c:v>
                </c:pt>
                <c:pt idx="39">
                  <c:v>1.05</c:v>
                </c:pt>
                <c:pt idx="40">
                  <c:v>1.05</c:v>
                </c:pt>
                <c:pt idx="41">
                  <c:v>1.05</c:v>
                </c:pt>
                <c:pt idx="42">
                  <c:v>1.05</c:v>
                </c:pt>
                <c:pt idx="43">
                  <c:v>1.05</c:v>
                </c:pt>
                <c:pt idx="44">
                  <c:v>1.05</c:v>
                </c:pt>
                <c:pt idx="45">
                  <c:v>1.05</c:v>
                </c:pt>
                <c:pt idx="46">
                  <c:v>1.05</c:v>
                </c:pt>
                <c:pt idx="47">
                  <c:v>1.05</c:v>
                </c:pt>
                <c:pt idx="48">
                  <c:v>1.05</c:v>
                </c:pt>
                <c:pt idx="49">
                  <c:v>1.05</c:v>
                </c:pt>
                <c:pt idx="50">
                  <c:v>1.05</c:v>
                </c:pt>
                <c:pt idx="51">
                  <c:v>1.05</c:v>
                </c:pt>
                <c:pt idx="52">
                  <c:v>1.05</c:v>
                </c:pt>
                <c:pt idx="53">
                  <c:v>1.05</c:v>
                </c:pt>
                <c:pt idx="54">
                  <c:v>1.05</c:v>
                </c:pt>
                <c:pt idx="55">
                  <c:v>1.05</c:v>
                </c:pt>
                <c:pt idx="56">
                  <c:v>1.05</c:v>
                </c:pt>
                <c:pt idx="57">
                  <c:v>1.05</c:v>
                </c:pt>
                <c:pt idx="58">
                  <c:v>1.05</c:v>
                </c:pt>
                <c:pt idx="59">
                  <c:v>1.05</c:v>
                </c:pt>
                <c:pt idx="60">
                  <c:v>1.05</c:v>
                </c:pt>
                <c:pt idx="61">
                  <c:v>1.05</c:v>
                </c:pt>
                <c:pt idx="62">
                  <c:v>1.05</c:v>
                </c:pt>
                <c:pt idx="63">
                  <c:v>1.05</c:v>
                </c:pt>
                <c:pt idx="64">
                  <c:v>1.05</c:v>
                </c:pt>
                <c:pt idx="65">
                  <c:v>1.05</c:v>
                </c:pt>
                <c:pt idx="66">
                  <c:v>1.05</c:v>
                </c:pt>
                <c:pt idx="67">
                  <c:v>1.05</c:v>
                </c:pt>
                <c:pt idx="68">
                  <c:v>1.05</c:v>
                </c:pt>
                <c:pt idx="69">
                  <c:v>1.05</c:v>
                </c:pt>
                <c:pt idx="70">
                  <c:v>1.05</c:v>
                </c:pt>
                <c:pt idx="71">
                  <c:v>1.05</c:v>
                </c:pt>
                <c:pt idx="72">
                  <c:v>1.05</c:v>
                </c:pt>
                <c:pt idx="73">
                  <c:v>1.05</c:v>
                </c:pt>
                <c:pt idx="74">
                  <c:v>1.05</c:v>
                </c:pt>
                <c:pt idx="75">
                  <c:v>1.05</c:v>
                </c:pt>
                <c:pt idx="76">
                  <c:v>1.05</c:v>
                </c:pt>
                <c:pt idx="77">
                  <c:v>1.05</c:v>
                </c:pt>
                <c:pt idx="78">
                  <c:v>1.05</c:v>
                </c:pt>
                <c:pt idx="79">
                  <c:v>1.05</c:v>
                </c:pt>
                <c:pt idx="80">
                  <c:v>1.05</c:v>
                </c:pt>
                <c:pt idx="81">
                  <c:v>1.05</c:v>
                </c:pt>
                <c:pt idx="82">
                  <c:v>1.05</c:v>
                </c:pt>
                <c:pt idx="83">
                  <c:v>1.05</c:v>
                </c:pt>
                <c:pt idx="84">
                  <c:v>1.05</c:v>
                </c:pt>
                <c:pt idx="85">
                  <c:v>1.05</c:v>
                </c:pt>
                <c:pt idx="86">
                  <c:v>1.05</c:v>
                </c:pt>
                <c:pt idx="87">
                  <c:v>1.05</c:v>
                </c:pt>
                <c:pt idx="88">
                  <c:v>1.05</c:v>
                </c:pt>
                <c:pt idx="89">
                  <c:v>1.05</c:v>
                </c:pt>
                <c:pt idx="90">
                  <c:v>1.05</c:v>
                </c:pt>
                <c:pt idx="91">
                  <c:v>1.05</c:v>
                </c:pt>
                <c:pt idx="92">
                  <c:v>0.03</c:v>
                </c:pt>
                <c:pt idx="93">
                  <c:v>1.05</c:v>
                </c:pt>
                <c:pt idx="94">
                  <c:v>1.05</c:v>
                </c:pt>
                <c:pt idx="95">
                  <c:v>1.05</c:v>
                </c:pt>
                <c:pt idx="96">
                  <c:v>1.05</c:v>
                </c:pt>
                <c:pt idx="97">
                  <c:v>1.05</c:v>
                </c:pt>
                <c:pt idx="98">
                  <c:v>1.05</c:v>
                </c:pt>
                <c:pt idx="99">
                  <c:v>1.05</c:v>
                </c:pt>
                <c:pt idx="100">
                  <c:v>1.05</c:v>
                </c:pt>
                <c:pt idx="101">
                  <c:v>1.05</c:v>
                </c:pt>
                <c:pt idx="102">
                  <c:v>1.05</c:v>
                </c:pt>
                <c:pt idx="103">
                  <c:v>1.05</c:v>
                </c:pt>
                <c:pt idx="104">
                  <c:v>1.05</c:v>
                </c:pt>
                <c:pt idx="105">
                  <c:v>1.05</c:v>
                </c:pt>
                <c:pt idx="106">
                  <c:v>1.05</c:v>
                </c:pt>
                <c:pt idx="107">
                  <c:v>1.05</c:v>
                </c:pt>
                <c:pt idx="108">
                  <c:v>1.05</c:v>
                </c:pt>
                <c:pt idx="109">
                  <c:v>1.05</c:v>
                </c:pt>
                <c:pt idx="110">
                  <c:v>1.05</c:v>
                </c:pt>
                <c:pt idx="111">
                  <c:v>1.05</c:v>
                </c:pt>
                <c:pt idx="112">
                  <c:v>1.05</c:v>
                </c:pt>
                <c:pt idx="113">
                  <c:v>1.05</c:v>
                </c:pt>
                <c:pt idx="114">
                  <c:v>1.05</c:v>
                </c:pt>
                <c:pt idx="115">
                  <c:v>1.05</c:v>
                </c:pt>
                <c:pt idx="116">
                  <c:v>1.05</c:v>
                </c:pt>
                <c:pt idx="117">
                  <c:v>1.05</c:v>
                </c:pt>
                <c:pt idx="118">
                  <c:v>1.05</c:v>
                </c:pt>
                <c:pt idx="119">
                  <c:v>1.05</c:v>
                </c:pt>
                <c:pt idx="120">
                  <c:v>1.05</c:v>
                </c:pt>
                <c:pt idx="121">
                  <c:v>1.05</c:v>
                </c:pt>
                <c:pt idx="122">
                  <c:v>1.05</c:v>
                </c:pt>
                <c:pt idx="123">
                  <c:v>1.05</c:v>
                </c:pt>
                <c:pt idx="124">
                  <c:v>1.05</c:v>
                </c:pt>
                <c:pt idx="125">
                  <c:v>1.05</c:v>
                </c:pt>
                <c:pt idx="126">
                  <c:v>1.05</c:v>
                </c:pt>
                <c:pt idx="127">
                  <c:v>1.05</c:v>
                </c:pt>
                <c:pt idx="128">
                  <c:v>1.05</c:v>
                </c:pt>
                <c:pt idx="129">
                  <c:v>1.05</c:v>
                </c:pt>
                <c:pt idx="130">
                  <c:v>1.05</c:v>
                </c:pt>
                <c:pt idx="131">
                  <c:v>1.05</c:v>
                </c:pt>
                <c:pt idx="132">
                  <c:v>1.05</c:v>
                </c:pt>
                <c:pt idx="133">
                  <c:v>1.05</c:v>
                </c:pt>
                <c:pt idx="134">
                  <c:v>1.05</c:v>
                </c:pt>
                <c:pt idx="135">
                  <c:v>1.05</c:v>
                </c:pt>
                <c:pt idx="136">
                  <c:v>1.05</c:v>
                </c:pt>
                <c:pt idx="137">
                  <c:v>1.05</c:v>
                </c:pt>
                <c:pt idx="138">
                  <c:v>1.05</c:v>
                </c:pt>
                <c:pt idx="139">
                  <c:v>1.05</c:v>
                </c:pt>
                <c:pt idx="140">
                  <c:v>1.05</c:v>
                </c:pt>
                <c:pt idx="141">
                  <c:v>1.05</c:v>
                </c:pt>
                <c:pt idx="142">
                  <c:v>1.05</c:v>
                </c:pt>
                <c:pt idx="143">
                  <c:v>1.05</c:v>
                </c:pt>
                <c:pt idx="144">
                  <c:v>1.05</c:v>
                </c:pt>
                <c:pt idx="145">
                  <c:v>1.05</c:v>
                </c:pt>
                <c:pt idx="146">
                  <c:v>1.05</c:v>
                </c:pt>
                <c:pt idx="147">
                  <c:v>1.05</c:v>
                </c:pt>
                <c:pt idx="148">
                  <c:v>1.05</c:v>
                </c:pt>
                <c:pt idx="149">
                  <c:v>1.05</c:v>
                </c:pt>
                <c:pt idx="150">
                  <c:v>1.05</c:v>
                </c:pt>
                <c:pt idx="151">
                  <c:v>1.05</c:v>
                </c:pt>
                <c:pt idx="152">
                  <c:v>1.05</c:v>
                </c:pt>
                <c:pt idx="153">
                  <c:v>1.05</c:v>
                </c:pt>
                <c:pt idx="154">
                  <c:v>1.05</c:v>
                </c:pt>
                <c:pt idx="155">
                  <c:v>1.05</c:v>
                </c:pt>
                <c:pt idx="156">
                  <c:v>1.05</c:v>
                </c:pt>
                <c:pt idx="157">
                  <c:v>1.05</c:v>
                </c:pt>
                <c:pt idx="158">
                  <c:v>1.05</c:v>
                </c:pt>
                <c:pt idx="159">
                  <c:v>1.05</c:v>
                </c:pt>
                <c:pt idx="160">
                  <c:v>1.05</c:v>
                </c:pt>
                <c:pt idx="161">
                  <c:v>1.05</c:v>
                </c:pt>
                <c:pt idx="162">
                  <c:v>1.05</c:v>
                </c:pt>
                <c:pt idx="163">
                  <c:v>1.05</c:v>
                </c:pt>
                <c:pt idx="164">
                  <c:v>1.05</c:v>
                </c:pt>
                <c:pt idx="165">
                  <c:v>1.05</c:v>
                </c:pt>
                <c:pt idx="166">
                  <c:v>1.05</c:v>
                </c:pt>
                <c:pt idx="167">
                  <c:v>1.05</c:v>
                </c:pt>
                <c:pt idx="168">
                  <c:v>1.05</c:v>
                </c:pt>
                <c:pt idx="169">
                  <c:v>1.05</c:v>
                </c:pt>
                <c:pt idx="170">
                  <c:v>1.05</c:v>
                </c:pt>
                <c:pt idx="171">
                  <c:v>1.05</c:v>
                </c:pt>
                <c:pt idx="172">
                  <c:v>1.05</c:v>
                </c:pt>
                <c:pt idx="173">
                  <c:v>1.05</c:v>
                </c:pt>
                <c:pt idx="174">
                  <c:v>1.05</c:v>
                </c:pt>
                <c:pt idx="175">
                  <c:v>1.05</c:v>
                </c:pt>
                <c:pt idx="176">
                  <c:v>1.05</c:v>
                </c:pt>
                <c:pt idx="177">
                  <c:v>1.05</c:v>
                </c:pt>
                <c:pt idx="178">
                  <c:v>1.05</c:v>
                </c:pt>
                <c:pt idx="179">
                  <c:v>1.05</c:v>
                </c:pt>
                <c:pt idx="180">
                  <c:v>1.05</c:v>
                </c:pt>
                <c:pt idx="181">
                  <c:v>1.05</c:v>
                </c:pt>
                <c:pt idx="182">
                  <c:v>1.05</c:v>
                </c:pt>
                <c:pt idx="183">
                  <c:v>1.05</c:v>
                </c:pt>
                <c:pt idx="184">
                  <c:v>1.05</c:v>
                </c:pt>
                <c:pt idx="185">
                  <c:v>1.05</c:v>
                </c:pt>
                <c:pt idx="186">
                  <c:v>1.05</c:v>
                </c:pt>
                <c:pt idx="187">
                  <c:v>1.05</c:v>
                </c:pt>
                <c:pt idx="188">
                  <c:v>1.05</c:v>
                </c:pt>
                <c:pt idx="189">
                  <c:v>1.05</c:v>
                </c:pt>
                <c:pt idx="190">
                  <c:v>1.05</c:v>
                </c:pt>
                <c:pt idx="191">
                  <c:v>1.05</c:v>
                </c:pt>
                <c:pt idx="192">
                  <c:v>1.05</c:v>
                </c:pt>
                <c:pt idx="193">
                  <c:v>1.05</c:v>
                </c:pt>
                <c:pt idx="194">
                  <c:v>1.05</c:v>
                </c:pt>
                <c:pt idx="195">
                  <c:v>1.05</c:v>
                </c:pt>
                <c:pt idx="196">
                  <c:v>1.05</c:v>
                </c:pt>
                <c:pt idx="197">
                  <c:v>1.05</c:v>
                </c:pt>
                <c:pt idx="198">
                  <c:v>1.05</c:v>
                </c:pt>
                <c:pt idx="199">
                  <c:v>1.05</c:v>
                </c:pt>
                <c:pt idx="200">
                  <c:v>1.05</c:v>
                </c:pt>
                <c:pt idx="201">
                  <c:v>1.05</c:v>
                </c:pt>
                <c:pt idx="202">
                  <c:v>1.05</c:v>
                </c:pt>
                <c:pt idx="203">
                  <c:v>1.05</c:v>
                </c:pt>
                <c:pt idx="204">
                  <c:v>1.05</c:v>
                </c:pt>
                <c:pt idx="205">
                  <c:v>1.05</c:v>
                </c:pt>
                <c:pt idx="206">
                  <c:v>1.05</c:v>
                </c:pt>
                <c:pt idx="207">
                  <c:v>1.05</c:v>
                </c:pt>
                <c:pt idx="208">
                  <c:v>1.05</c:v>
                </c:pt>
                <c:pt idx="209">
                  <c:v>1.05</c:v>
                </c:pt>
                <c:pt idx="210">
                  <c:v>1.05</c:v>
                </c:pt>
                <c:pt idx="211">
                  <c:v>1.05</c:v>
                </c:pt>
                <c:pt idx="212">
                  <c:v>1.05</c:v>
                </c:pt>
                <c:pt idx="213">
                  <c:v>1.05</c:v>
                </c:pt>
                <c:pt idx="214">
                  <c:v>1.05</c:v>
                </c:pt>
                <c:pt idx="215">
                  <c:v>1.05</c:v>
                </c:pt>
                <c:pt idx="216">
                  <c:v>1.05</c:v>
                </c:pt>
                <c:pt idx="217">
                  <c:v>1.05</c:v>
                </c:pt>
                <c:pt idx="218">
                  <c:v>1.05</c:v>
                </c:pt>
                <c:pt idx="219">
                  <c:v>1.05</c:v>
                </c:pt>
                <c:pt idx="220">
                  <c:v>1.05</c:v>
                </c:pt>
                <c:pt idx="221">
                  <c:v>1.05</c:v>
                </c:pt>
                <c:pt idx="222">
                  <c:v>1.05</c:v>
                </c:pt>
                <c:pt idx="223">
                  <c:v>1.05</c:v>
                </c:pt>
                <c:pt idx="224">
                  <c:v>1.05</c:v>
                </c:pt>
                <c:pt idx="225">
                  <c:v>1.05</c:v>
                </c:pt>
                <c:pt idx="226">
                  <c:v>1.05</c:v>
                </c:pt>
                <c:pt idx="227">
                  <c:v>1.05</c:v>
                </c:pt>
                <c:pt idx="228">
                  <c:v>1.05</c:v>
                </c:pt>
                <c:pt idx="229">
                  <c:v>1.05</c:v>
                </c:pt>
                <c:pt idx="230">
                  <c:v>1.05</c:v>
                </c:pt>
                <c:pt idx="231">
                  <c:v>1.05</c:v>
                </c:pt>
                <c:pt idx="232">
                  <c:v>1.05</c:v>
                </c:pt>
                <c:pt idx="233">
                  <c:v>1.05</c:v>
                </c:pt>
                <c:pt idx="234">
                  <c:v>1.05</c:v>
                </c:pt>
                <c:pt idx="235">
                  <c:v>1.05</c:v>
                </c:pt>
                <c:pt idx="236">
                  <c:v>1.05</c:v>
                </c:pt>
                <c:pt idx="237">
                  <c:v>1.05</c:v>
                </c:pt>
                <c:pt idx="238">
                  <c:v>1.05</c:v>
                </c:pt>
                <c:pt idx="239">
                  <c:v>1.05</c:v>
                </c:pt>
                <c:pt idx="240">
                  <c:v>1.05</c:v>
                </c:pt>
                <c:pt idx="241">
                  <c:v>1.05</c:v>
                </c:pt>
                <c:pt idx="242">
                  <c:v>1.05</c:v>
                </c:pt>
                <c:pt idx="243">
                  <c:v>1.05</c:v>
                </c:pt>
                <c:pt idx="244">
                  <c:v>1.05</c:v>
                </c:pt>
                <c:pt idx="245">
                  <c:v>1.05</c:v>
                </c:pt>
                <c:pt idx="246">
                  <c:v>1.05</c:v>
                </c:pt>
                <c:pt idx="247">
                  <c:v>1.05</c:v>
                </c:pt>
                <c:pt idx="248">
                  <c:v>1.05</c:v>
                </c:pt>
                <c:pt idx="249">
                  <c:v>1.05</c:v>
                </c:pt>
                <c:pt idx="250">
                  <c:v>1.05</c:v>
                </c:pt>
                <c:pt idx="251">
                  <c:v>1.05</c:v>
                </c:pt>
                <c:pt idx="252">
                  <c:v>1.05</c:v>
                </c:pt>
                <c:pt idx="253">
                  <c:v>1.05</c:v>
                </c:pt>
                <c:pt idx="254">
                  <c:v>1.05</c:v>
                </c:pt>
                <c:pt idx="255">
                  <c:v>1.05</c:v>
                </c:pt>
                <c:pt idx="256">
                  <c:v>1.05</c:v>
                </c:pt>
                <c:pt idx="257">
                  <c:v>1.05</c:v>
                </c:pt>
                <c:pt idx="258">
                  <c:v>1.05</c:v>
                </c:pt>
                <c:pt idx="259">
                  <c:v>1.05</c:v>
                </c:pt>
                <c:pt idx="260">
                  <c:v>1.05</c:v>
                </c:pt>
                <c:pt idx="261">
                  <c:v>1.05</c:v>
                </c:pt>
                <c:pt idx="262">
                  <c:v>1.05</c:v>
                </c:pt>
                <c:pt idx="263">
                  <c:v>1.05</c:v>
                </c:pt>
                <c:pt idx="264">
                  <c:v>1.05</c:v>
                </c:pt>
                <c:pt idx="265">
                  <c:v>1.05</c:v>
                </c:pt>
                <c:pt idx="266">
                  <c:v>1.05</c:v>
                </c:pt>
                <c:pt idx="267">
                  <c:v>1.05</c:v>
                </c:pt>
                <c:pt idx="268">
                  <c:v>1.05</c:v>
                </c:pt>
                <c:pt idx="269">
                  <c:v>1.05</c:v>
                </c:pt>
                <c:pt idx="270">
                  <c:v>1.05</c:v>
                </c:pt>
                <c:pt idx="271">
                  <c:v>1.05</c:v>
                </c:pt>
                <c:pt idx="272">
                  <c:v>1.05</c:v>
                </c:pt>
                <c:pt idx="273">
                  <c:v>1.05</c:v>
                </c:pt>
                <c:pt idx="274">
                  <c:v>1.05</c:v>
                </c:pt>
                <c:pt idx="275">
                  <c:v>1.05</c:v>
                </c:pt>
                <c:pt idx="276">
                  <c:v>1.05</c:v>
                </c:pt>
                <c:pt idx="277">
                  <c:v>1.05</c:v>
                </c:pt>
                <c:pt idx="278">
                  <c:v>1.05</c:v>
                </c:pt>
                <c:pt idx="279">
                  <c:v>1.05</c:v>
                </c:pt>
                <c:pt idx="280">
                  <c:v>1.05</c:v>
                </c:pt>
                <c:pt idx="281">
                  <c:v>1.05</c:v>
                </c:pt>
                <c:pt idx="282">
                  <c:v>1.05</c:v>
                </c:pt>
                <c:pt idx="283">
                  <c:v>1.05</c:v>
                </c:pt>
                <c:pt idx="284">
                  <c:v>1.05</c:v>
                </c:pt>
                <c:pt idx="285">
                  <c:v>1.05</c:v>
                </c:pt>
                <c:pt idx="286">
                  <c:v>1.05</c:v>
                </c:pt>
                <c:pt idx="287">
                  <c:v>1.05</c:v>
                </c:pt>
                <c:pt idx="288">
                  <c:v>1.05</c:v>
                </c:pt>
                <c:pt idx="289">
                  <c:v>1.05</c:v>
                </c:pt>
                <c:pt idx="290">
                  <c:v>1.05</c:v>
                </c:pt>
                <c:pt idx="291">
                  <c:v>1.05</c:v>
                </c:pt>
                <c:pt idx="292">
                  <c:v>1.05</c:v>
                </c:pt>
                <c:pt idx="293">
                  <c:v>1.05</c:v>
                </c:pt>
                <c:pt idx="294">
                  <c:v>1.05</c:v>
                </c:pt>
                <c:pt idx="295">
                  <c:v>1.05</c:v>
                </c:pt>
                <c:pt idx="296">
                  <c:v>1.05</c:v>
                </c:pt>
                <c:pt idx="297">
                  <c:v>1.05</c:v>
                </c:pt>
                <c:pt idx="298">
                  <c:v>1.05</c:v>
                </c:pt>
                <c:pt idx="299">
                  <c:v>1.05</c:v>
                </c:pt>
                <c:pt idx="300">
                  <c:v>1.05</c:v>
                </c:pt>
                <c:pt idx="301">
                  <c:v>1.05</c:v>
                </c:pt>
                <c:pt idx="302">
                  <c:v>1.05</c:v>
                </c:pt>
                <c:pt idx="303">
                  <c:v>1.05</c:v>
                </c:pt>
                <c:pt idx="304">
                  <c:v>1.05</c:v>
                </c:pt>
                <c:pt idx="305">
                  <c:v>1.05</c:v>
                </c:pt>
                <c:pt idx="306">
                  <c:v>1.05</c:v>
                </c:pt>
                <c:pt idx="307">
                  <c:v>1.05</c:v>
                </c:pt>
                <c:pt idx="308">
                  <c:v>1.05</c:v>
                </c:pt>
                <c:pt idx="309">
                  <c:v>1.05</c:v>
                </c:pt>
                <c:pt idx="310">
                  <c:v>1.05</c:v>
                </c:pt>
                <c:pt idx="311">
                  <c:v>1.05</c:v>
                </c:pt>
                <c:pt idx="312">
                  <c:v>1.05</c:v>
                </c:pt>
                <c:pt idx="313">
                  <c:v>1.05</c:v>
                </c:pt>
                <c:pt idx="314">
                  <c:v>1.05</c:v>
                </c:pt>
                <c:pt idx="315">
                  <c:v>1.05</c:v>
                </c:pt>
                <c:pt idx="316">
                  <c:v>1.05</c:v>
                </c:pt>
                <c:pt idx="317">
                  <c:v>1.05</c:v>
                </c:pt>
                <c:pt idx="318">
                  <c:v>1.05</c:v>
                </c:pt>
                <c:pt idx="319">
                  <c:v>1.05</c:v>
                </c:pt>
                <c:pt idx="320">
                  <c:v>1.05</c:v>
                </c:pt>
                <c:pt idx="321">
                  <c:v>1.05</c:v>
                </c:pt>
                <c:pt idx="322">
                  <c:v>1.05</c:v>
                </c:pt>
                <c:pt idx="323">
                  <c:v>1.05</c:v>
                </c:pt>
                <c:pt idx="324">
                  <c:v>1.05</c:v>
                </c:pt>
                <c:pt idx="325">
                  <c:v>1.05</c:v>
                </c:pt>
                <c:pt idx="326">
                  <c:v>1.05</c:v>
                </c:pt>
                <c:pt idx="327">
                  <c:v>1.05</c:v>
                </c:pt>
                <c:pt idx="328">
                  <c:v>1.05</c:v>
                </c:pt>
                <c:pt idx="329">
                  <c:v>1.05</c:v>
                </c:pt>
                <c:pt idx="330">
                  <c:v>1.05</c:v>
                </c:pt>
                <c:pt idx="331">
                  <c:v>1.05</c:v>
                </c:pt>
                <c:pt idx="332">
                  <c:v>1.05</c:v>
                </c:pt>
                <c:pt idx="333">
                  <c:v>1.05</c:v>
                </c:pt>
                <c:pt idx="334">
                  <c:v>1.05</c:v>
                </c:pt>
                <c:pt idx="335">
                  <c:v>1.05</c:v>
                </c:pt>
                <c:pt idx="336">
                  <c:v>1.05</c:v>
                </c:pt>
                <c:pt idx="337">
                  <c:v>1.05</c:v>
                </c:pt>
                <c:pt idx="338">
                  <c:v>1.05</c:v>
                </c:pt>
                <c:pt idx="339">
                  <c:v>1.05</c:v>
                </c:pt>
                <c:pt idx="340">
                  <c:v>1.05</c:v>
                </c:pt>
                <c:pt idx="341">
                  <c:v>1.05</c:v>
                </c:pt>
                <c:pt idx="342">
                  <c:v>1.05</c:v>
                </c:pt>
                <c:pt idx="343">
                  <c:v>1.05</c:v>
                </c:pt>
                <c:pt idx="344">
                  <c:v>1.05</c:v>
                </c:pt>
                <c:pt idx="345">
                  <c:v>1.05</c:v>
                </c:pt>
                <c:pt idx="346">
                  <c:v>1.05</c:v>
                </c:pt>
                <c:pt idx="347">
                  <c:v>1.05</c:v>
                </c:pt>
                <c:pt idx="348">
                  <c:v>1.05</c:v>
                </c:pt>
                <c:pt idx="349">
                  <c:v>1.05</c:v>
                </c:pt>
                <c:pt idx="350">
                  <c:v>1.05</c:v>
                </c:pt>
                <c:pt idx="351">
                  <c:v>1.05</c:v>
                </c:pt>
                <c:pt idx="352">
                  <c:v>1.05</c:v>
                </c:pt>
                <c:pt idx="353">
                  <c:v>1.05</c:v>
                </c:pt>
                <c:pt idx="354">
                  <c:v>1.05</c:v>
                </c:pt>
                <c:pt idx="355">
                  <c:v>1.05</c:v>
                </c:pt>
                <c:pt idx="356">
                  <c:v>1.05</c:v>
                </c:pt>
                <c:pt idx="357">
                  <c:v>1.05</c:v>
                </c:pt>
                <c:pt idx="358">
                  <c:v>1.05</c:v>
                </c:pt>
                <c:pt idx="359">
                  <c:v>1.05</c:v>
                </c:pt>
                <c:pt idx="360">
                  <c:v>1.05</c:v>
                </c:pt>
                <c:pt idx="361">
                  <c:v>1.05</c:v>
                </c:pt>
                <c:pt idx="362">
                  <c:v>1.05</c:v>
                </c:pt>
                <c:pt idx="363">
                  <c:v>1.05</c:v>
                </c:pt>
                <c:pt idx="364">
                  <c:v>1.05</c:v>
                </c:pt>
                <c:pt idx="365">
                  <c:v>1.05</c:v>
                </c:pt>
                <c:pt idx="366">
                  <c:v>1.05</c:v>
                </c:pt>
                <c:pt idx="367">
                  <c:v>1.05</c:v>
                </c:pt>
                <c:pt idx="368">
                  <c:v>1.05</c:v>
                </c:pt>
                <c:pt idx="369">
                  <c:v>1.05</c:v>
                </c:pt>
                <c:pt idx="370">
                  <c:v>1.05</c:v>
                </c:pt>
                <c:pt idx="371">
                  <c:v>1.05</c:v>
                </c:pt>
                <c:pt idx="372">
                  <c:v>1.05</c:v>
                </c:pt>
                <c:pt idx="373">
                  <c:v>1.05</c:v>
                </c:pt>
                <c:pt idx="374">
                  <c:v>1.05</c:v>
                </c:pt>
                <c:pt idx="375">
                  <c:v>1.05</c:v>
                </c:pt>
                <c:pt idx="376">
                  <c:v>1.05</c:v>
                </c:pt>
                <c:pt idx="377">
                  <c:v>1.05</c:v>
                </c:pt>
                <c:pt idx="378">
                  <c:v>1.05</c:v>
                </c:pt>
                <c:pt idx="379">
                  <c:v>1.05</c:v>
                </c:pt>
                <c:pt idx="380">
                  <c:v>1.05</c:v>
                </c:pt>
                <c:pt idx="381">
                  <c:v>1.05</c:v>
                </c:pt>
                <c:pt idx="382">
                  <c:v>1.05</c:v>
                </c:pt>
                <c:pt idx="383">
                  <c:v>1.05</c:v>
                </c:pt>
                <c:pt idx="384">
                  <c:v>1.05</c:v>
                </c:pt>
                <c:pt idx="385">
                  <c:v>1.05</c:v>
                </c:pt>
                <c:pt idx="386">
                  <c:v>1.05</c:v>
                </c:pt>
                <c:pt idx="387">
                  <c:v>1.05</c:v>
                </c:pt>
                <c:pt idx="388">
                  <c:v>1.05</c:v>
                </c:pt>
                <c:pt idx="389">
                  <c:v>1.05</c:v>
                </c:pt>
                <c:pt idx="390">
                  <c:v>1.05</c:v>
                </c:pt>
                <c:pt idx="391">
                  <c:v>1.05</c:v>
                </c:pt>
                <c:pt idx="392">
                  <c:v>1.05</c:v>
                </c:pt>
                <c:pt idx="393">
                  <c:v>1.05</c:v>
                </c:pt>
                <c:pt idx="394">
                  <c:v>1.05</c:v>
                </c:pt>
                <c:pt idx="395">
                  <c:v>1.05</c:v>
                </c:pt>
                <c:pt idx="396">
                  <c:v>1.05</c:v>
                </c:pt>
                <c:pt idx="397">
                  <c:v>1.05</c:v>
                </c:pt>
                <c:pt idx="398">
                  <c:v>1.05</c:v>
                </c:pt>
                <c:pt idx="399">
                  <c:v>1.05</c:v>
                </c:pt>
                <c:pt idx="400">
                  <c:v>1.05</c:v>
                </c:pt>
                <c:pt idx="401">
                  <c:v>1.05</c:v>
                </c:pt>
                <c:pt idx="402">
                  <c:v>1.05</c:v>
                </c:pt>
                <c:pt idx="403">
                  <c:v>1.05</c:v>
                </c:pt>
                <c:pt idx="404">
                  <c:v>1.05</c:v>
                </c:pt>
                <c:pt idx="405">
                  <c:v>1.05</c:v>
                </c:pt>
                <c:pt idx="406">
                  <c:v>1.05</c:v>
                </c:pt>
                <c:pt idx="407">
                  <c:v>1.05</c:v>
                </c:pt>
                <c:pt idx="408">
                  <c:v>1.05</c:v>
                </c:pt>
                <c:pt idx="409">
                  <c:v>1.05</c:v>
                </c:pt>
                <c:pt idx="410">
                  <c:v>1.05</c:v>
                </c:pt>
                <c:pt idx="411">
                  <c:v>1.05</c:v>
                </c:pt>
                <c:pt idx="412">
                  <c:v>1.05</c:v>
                </c:pt>
                <c:pt idx="413">
                  <c:v>1.05</c:v>
                </c:pt>
                <c:pt idx="414">
                  <c:v>1.05</c:v>
                </c:pt>
                <c:pt idx="415">
                  <c:v>1.05</c:v>
                </c:pt>
                <c:pt idx="416">
                  <c:v>1.05</c:v>
                </c:pt>
                <c:pt idx="417">
                  <c:v>1.05</c:v>
                </c:pt>
                <c:pt idx="418">
                  <c:v>1.05</c:v>
                </c:pt>
                <c:pt idx="419">
                  <c:v>1.05</c:v>
                </c:pt>
                <c:pt idx="420">
                  <c:v>1.05</c:v>
                </c:pt>
                <c:pt idx="421">
                  <c:v>1.05</c:v>
                </c:pt>
                <c:pt idx="422">
                  <c:v>1.05</c:v>
                </c:pt>
                <c:pt idx="423">
                  <c:v>1.05</c:v>
                </c:pt>
                <c:pt idx="424">
                  <c:v>1.05</c:v>
                </c:pt>
                <c:pt idx="425">
                  <c:v>1.05</c:v>
                </c:pt>
                <c:pt idx="426">
                  <c:v>1.05</c:v>
                </c:pt>
                <c:pt idx="427">
                  <c:v>1.05</c:v>
                </c:pt>
                <c:pt idx="428">
                  <c:v>1.05</c:v>
                </c:pt>
                <c:pt idx="429">
                  <c:v>1.05</c:v>
                </c:pt>
                <c:pt idx="430">
                  <c:v>1.05</c:v>
                </c:pt>
                <c:pt idx="431">
                  <c:v>1.05</c:v>
                </c:pt>
                <c:pt idx="432">
                  <c:v>1.05</c:v>
                </c:pt>
                <c:pt idx="433">
                  <c:v>1.05</c:v>
                </c:pt>
                <c:pt idx="434">
                  <c:v>1.05</c:v>
                </c:pt>
                <c:pt idx="435">
                  <c:v>1.05</c:v>
                </c:pt>
                <c:pt idx="436">
                  <c:v>1.05</c:v>
                </c:pt>
                <c:pt idx="437">
                  <c:v>1.05</c:v>
                </c:pt>
                <c:pt idx="438">
                  <c:v>1.05</c:v>
                </c:pt>
                <c:pt idx="439">
                  <c:v>1.05</c:v>
                </c:pt>
                <c:pt idx="440">
                  <c:v>1.05</c:v>
                </c:pt>
                <c:pt idx="441">
                  <c:v>1.05</c:v>
                </c:pt>
                <c:pt idx="442">
                  <c:v>1.05</c:v>
                </c:pt>
                <c:pt idx="443">
                  <c:v>1.05</c:v>
                </c:pt>
                <c:pt idx="444">
                  <c:v>1.05</c:v>
                </c:pt>
                <c:pt idx="445">
                  <c:v>1.05</c:v>
                </c:pt>
                <c:pt idx="446">
                  <c:v>1.05</c:v>
                </c:pt>
                <c:pt idx="447">
                  <c:v>1.05</c:v>
                </c:pt>
                <c:pt idx="448">
                  <c:v>1.05</c:v>
                </c:pt>
                <c:pt idx="449">
                  <c:v>1.05</c:v>
                </c:pt>
                <c:pt idx="450">
                  <c:v>1.05</c:v>
                </c:pt>
                <c:pt idx="451">
                  <c:v>1.05</c:v>
                </c:pt>
                <c:pt idx="452">
                  <c:v>1.05</c:v>
                </c:pt>
                <c:pt idx="453">
                  <c:v>1.05</c:v>
                </c:pt>
                <c:pt idx="454">
                  <c:v>1.05</c:v>
                </c:pt>
                <c:pt idx="455">
                  <c:v>1.05</c:v>
                </c:pt>
                <c:pt idx="456">
                  <c:v>1.05</c:v>
                </c:pt>
                <c:pt idx="457">
                  <c:v>1.05</c:v>
                </c:pt>
                <c:pt idx="458">
                  <c:v>1.05</c:v>
                </c:pt>
                <c:pt idx="459">
                  <c:v>1.05</c:v>
                </c:pt>
                <c:pt idx="460">
                  <c:v>1.05</c:v>
                </c:pt>
                <c:pt idx="461">
                  <c:v>1.05</c:v>
                </c:pt>
                <c:pt idx="462">
                  <c:v>1.05</c:v>
                </c:pt>
                <c:pt idx="463">
                  <c:v>1.05</c:v>
                </c:pt>
                <c:pt idx="464">
                  <c:v>1.05</c:v>
                </c:pt>
                <c:pt idx="465">
                  <c:v>1.05</c:v>
                </c:pt>
                <c:pt idx="466">
                  <c:v>1.05</c:v>
                </c:pt>
                <c:pt idx="467">
                  <c:v>1.05</c:v>
                </c:pt>
                <c:pt idx="468">
                  <c:v>1.05</c:v>
                </c:pt>
                <c:pt idx="469">
                  <c:v>1.05</c:v>
                </c:pt>
                <c:pt idx="470">
                  <c:v>1.05</c:v>
                </c:pt>
                <c:pt idx="471">
                  <c:v>1.05</c:v>
                </c:pt>
                <c:pt idx="472">
                  <c:v>1.05</c:v>
                </c:pt>
                <c:pt idx="473">
                  <c:v>1.05</c:v>
                </c:pt>
                <c:pt idx="474">
                  <c:v>1.05</c:v>
                </c:pt>
                <c:pt idx="475">
                  <c:v>1.05</c:v>
                </c:pt>
                <c:pt idx="476">
                  <c:v>1.05</c:v>
                </c:pt>
                <c:pt idx="477">
                  <c:v>1.05</c:v>
                </c:pt>
                <c:pt idx="478">
                  <c:v>1.05</c:v>
                </c:pt>
                <c:pt idx="479">
                  <c:v>1.05</c:v>
                </c:pt>
              </c:numCache>
            </c:numRef>
          </c:val>
          <c:smooth val="0"/>
          <c:extLst>
            <c:ext xmlns:c16="http://schemas.microsoft.com/office/drawing/2014/chart" uri="{C3380CC4-5D6E-409C-BE32-E72D297353CC}">
              <c16:uniqueId val="{00000001-B64F-46A5-BC0D-03A2C2DC02DE}"/>
            </c:ext>
          </c:extLst>
        </c:ser>
        <c:ser>
          <c:idx val="2"/>
          <c:order val="2"/>
          <c:tx>
            <c:strRef>
              <c:f>'Calculation of Typical Day'!$CP$13</c:f>
              <c:strCache>
                <c:ptCount val="1"/>
                <c:pt idx="0">
                  <c:v>Heat demand (DH) is given</c:v>
                </c:pt>
              </c:strCache>
            </c:strRef>
          </c:tx>
          <c:spPr>
            <a:ln w="31750" cap="rnd">
              <a:solidFill>
                <a:schemeClr val="accent3"/>
              </a:solidFill>
              <a:round/>
            </a:ln>
            <a:effectLst/>
          </c:spPr>
          <c:marker>
            <c:symbol val="none"/>
          </c:marker>
          <c:val>
            <c:numRef>
              <c:f>'Calculation of Typical Day'!$CP$21:$CP$500</c:f>
              <c:numCache>
                <c:formatCode>#,##0</c:formatCode>
                <c:ptCount val="480"/>
                <c:pt idx="0">
                  <c:v>0.98</c:v>
                </c:pt>
                <c:pt idx="1">
                  <c:v>0.98</c:v>
                </c:pt>
                <c:pt idx="2">
                  <c:v>0.98</c:v>
                </c:pt>
                <c:pt idx="3">
                  <c:v>0.98</c:v>
                </c:pt>
                <c:pt idx="4">
                  <c:v>0.98</c:v>
                </c:pt>
                <c:pt idx="5">
                  <c:v>0.98</c:v>
                </c:pt>
                <c:pt idx="6">
                  <c:v>0.98</c:v>
                </c:pt>
                <c:pt idx="7">
                  <c:v>0.98</c:v>
                </c:pt>
                <c:pt idx="8">
                  <c:v>0.98</c:v>
                </c:pt>
                <c:pt idx="9">
                  <c:v>0.98</c:v>
                </c:pt>
                <c:pt idx="10">
                  <c:v>0.98</c:v>
                </c:pt>
                <c:pt idx="11">
                  <c:v>0.98</c:v>
                </c:pt>
                <c:pt idx="12">
                  <c:v>0.98</c:v>
                </c:pt>
                <c:pt idx="13">
                  <c:v>0.98</c:v>
                </c:pt>
                <c:pt idx="14">
                  <c:v>0.98</c:v>
                </c:pt>
                <c:pt idx="15">
                  <c:v>0.98</c:v>
                </c:pt>
                <c:pt idx="16">
                  <c:v>0.98</c:v>
                </c:pt>
                <c:pt idx="17">
                  <c:v>0.98</c:v>
                </c:pt>
                <c:pt idx="18">
                  <c:v>0.98</c:v>
                </c:pt>
                <c:pt idx="19">
                  <c:v>0.98</c:v>
                </c:pt>
                <c:pt idx="20">
                  <c:v>0.98</c:v>
                </c:pt>
                <c:pt idx="21">
                  <c:v>0.98</c:v>
                </c:pt>
                <c:pt idx="22">
                  <c:v>0.98</c:v>
                </c:pt>
                <c:pt idx="23">
                  <c:v>0.98</c:v>
                </c:pt>
                <c:pt idx="24">
                  <c:v>0.98</c:v>
                </c:pt>
                <c:pt idx="25">
                  <c:v>0.98</c:v>
                </c:pt>
                <c:pt idx="26">
                  <c:v>0.98</c:v>
                </c:pt>
                <c:pt idx="27">
                  <c:v>0.98</c:v>
                </c:pt>
                <c:pt idx="28">
                  <c:v>0.98</c:v>
                </c:pt>
                <c:pt idx="29">
                  <c:v>0.98</c:v>
                </c:pt>
                <c:pt idx="30">
                  <c:v>0.98</c:v>
                </c:pt>
                <c:pt idx="31">
                  <c:v>0.98</c:v>
                </c:pt>
                <c:pt idx="32">
                  <c:v>0.98</c:v>
                </c:pt>
                <c:pt idx="33">
                  <c:v>0.98</c:v>
                </c:pt>
                <c:pt idx="34">
                  <c:v>0.98</c:v>
                </c:pt>
                <c:pt idx="35">
                  <c:v>0.98</c:v>
                </c:pt>
                <c:pt idx="36">
                  <c:v>0.98</c:v>
                </c:pt>
                <c:pt idx="37">
                  <c:v>0.98</c:v>
                </c:pt>
                <c:pt idx="38">
                  <c:v>0.98</c:v>
                </c:pt>
                <c:pt idx="39">
                  <c:v>0.98</c:v>
                </c:pt>
                <c:pt idx="40">
                  <c:v>0.98</c:v>
                </c:pt>
                <c:pt idx="41">
                  <c:v>0.98</c:v>
                </c:pt>
                <c:pt idx="42">
                  <c:v>0.98</c:v>
                </c:pt>
                <c:pt idx="43">
                  <c:v>0.98</c:v>
                </c:pt>
                <c:pt idx="44">
                  <c:v>0.98</c:v>
                </c:pt>
                <c:pt idx="45">
                  <c:v>0.98</c:v>
                </c:pt>
                <c:pt idx="46">
                  <c:v>0.98</c:v>
                </c:pt>
                <c:pt idx="47">
                  <c:v>0.98</c:v>
                </c:pt>
                <c:pt idx="48">
                  <c:v>0.98</c:v>
                </c:pt>
                <c:pt idx="49">
                  <c:v>0.98</c:v>
                </c:pt>
                <c:pt idx="50">
                  <c:v>0.98</c:v>
                </c:pt>
                <c:pt idx="51">
                  <c:v>0.98</c:v>
                </c:pt>
                <c:pt idx="52">
                  <c:v>0.98</c:v>
                </c:pt>
                <c:pt idx="53">
                  <c:v>0.98</c:v>
                </c:pt>
                <c:pt idx="54">
                  <c:v>0.98</c:v>
                </c:pt>
                <c:pt idx="55">
                  <c:v>0.98</c:v>
                </c:pt>
                <c:pt idx="56">
                  <c:v>0.98</c:v>
                </c:pt>
                <c:pt idx="57">
                  <c:v>0.98</c:v>
                </c:pt>
                <c:pt idx="58">
                  <c:v>0.98</c:v>
                </c:pt>
                <c:pt idx="59">
                  <c:v>0.98</c:v>
                </c:pt>
                <c:pt idx="60">
                  <c:v>0.98</c:v>
                </c:pt>
                <c:pt idx="61">
                  <c:v>0.98</c:v>
                </c:pt>
                <c:pt idx="62">
                  <c:v>0.98</c:v>
                </c:pt>
                <c:pt idx="63">
                  <c:v>0.98</c:v>
                </c:pt>
                <c:pt idx="64">
                  <c:v>0.98</c:v>
                </c:pt>
                <c:pt idx="65">
                  <c:v>0.98</c:v>
                </c:pt>
                <c:pt idx="66">
                  <c:v>0.98</c:v>
                </c:pt>
                <c:pt idx="67">
                  <c:v>0.98</c:v>
                </c:pt>
                <c:pt idx="68">
                  <c:v>0.98</c:v>
                </c:pt>
                <c:pt idx="69">
                  <c:v>0.98</c:v>
                </c:pt>
                <c:pt idx="70">
                  <c:v>0.98</c:v>
                </c:pt>
                <c:pt idx="71">
                  <c:v>0.98</c:v>
                </c:pt>
                <c:pt idx="72">
                  <c:v>0.98</c:v>
                </c:pt>
                <c:pt idx="73">
                  <c:v>0.98</c:v>
                </c:pt>
                <c:pt idx="74">
                  <c:v>0.98</c:v>
                </c:pt>
                <c:pt idx="75">
                  <c:v>0.98</c:v>
                </c:pt>
                <c:pt idx="76">
                  <c:v>0.98</c:v>
                </c:pt>
                <c:pt idx="77">
                  <c:v>0.98</c:v>
                </c:pt>
                <c:pt idx="78">
                  <c:v>0.98</c:v>
                </c:pt>
                <c:pt idx="79">
                  <c:v>0.98</c:v>
                </c:pt>
                <c:pt idx="80">
                  <c:v>0.98</c:v>
                </c:pt>
                <c:pt idx="81">
                  <c:v>0.98</c:v>
                </c:pt>
                <c:pt idx="82">
                  <c:v>0.98</c:v>
                </c:pt>
                <c:pt idx="83">
                  <c:v>0.98</c:v>
                </c:pt>
                <c:pt idx="84">
                  <c:v>0.98</c:v>
                </c:pt>
                <c:pt idx="85">
                  <c:v>0.98</c:v>
                </c:pt>
                <c:pt idx="86">
                  <c:v>0.98</c:v>
                </c:pt>
                <c:pt idx="87">
                  <c:v>0.98</c:v>
                </c:pt>
                <c:pt idx="88">
                  <c:v>0.98</c:v>
                </c:pt>
                <c:pt idx="89">
                  <c:v>0.98</c:v>
                </c:pt>
                <c:pt idx="90">
                  <c:v>0.98</c:v>
                </c:pt>
                <c:pt idx="91">
                  <c:v>0.98</c:v>
                </c:pt>
                <c:pt idx="92">
                  <c:v>0.98</c:v>
                </c:pt>
                <c:pt idx="93">
                  <c:v>0.98</c:v>
                </c:pt>
                <c:pt idx="94">
                  <c:v>0.98</c:v>
                </c:pt>
                <c:pt idx="95">
                  <c:v>0.98</c:v>
                </c:pt>
                <c:pt idx="96">
                  <c:v>0.98</c:v>
                </c:pt>
                <c:pt idx="97">
                  <c:v>0.98</c:v>
                </c:pt>
                <c:pt idx="98">
                  <c:v>0.98</c:v>
                </c:pt>
                <c:pt idx="99">
                  <c:v>0.98</c:v>
                </c:pt>
                <c:pt idx="100">
                  <c:v>0.98</c:v>
                </c:pt>
                <c:pt idx="101">
                  <c:v>0.98</c:v>
                </c:pt>
                <c:pt idx="102">
                  <c:v>0.98</c:v>
                </c:pt>
                <c:pt idx="103">
                  <c:v>0.98</c:v>
                </c:pt>
                <c:pt idx="104">
                  <c:v>0.98</c:v>
                </c:pt>
                <c:pt idx="105">
                  <c:v>0.98</c:v>
                </c:pt>
                <c:pt idx="106">
                  <c:v>0.98</c:v>
                </c:pt>
                <c:pt idx="107">
                  <c:v>0.98</c:v>
                </c:pt>
                <c:pt idx="108">
                  <c:v>0.98</c:v>
                </c:pt>
                <c:pt idx="109">
                  <c:v>0.98</c:v>
                </c:pt>
                <c:pt idx="110">
                  <c:v>0.98</c:v>
                </c:pt>
                <c:pt idx="111">
                  <c:v>0.98</c:v>
                </c:pt>
                <c:pt idx="112">
                  <c:v>0.98</c:v>
                </c:pt>
                <c:pt idx="113">
                  <c:v>0.98</c:v>
                </c:pt>
                <c:pt idx="114">
                  <c:v>0.98</c:v>
                </c:pt>
                <c:pt idx="115">
                  <c:v>0.98</c:v>
                </c:pt>
                <c:pt idx="116">
                  <c:v>0.98</c:v>
                </c:pt>
                <c:pt idx="117">
                  <c:v>0.98</c:v>
                </c:pt>
                <c:pt idx="118">
                  <c:v>0.98</c:v>
                </c:pt>
                <c:pt idx="119">
                  <c:v>0.98</c:v>
                </c:pt>
                <c:pt idx="120">
                  <c:v>0.02</c:v>
                </c:pt>
                <c:pt idx="121">
                  <c:v>0.02</c:v>
                </c:pt>
                <c:pt idx="122">
                  <c:v>0.02</c:v>
                </c:pt>
                <c:pt idx="123">
                  <c:v>0.02</c:v>
                </c:pt>
                <c:pt idx="124">
                  <c:v>0.02</c:v>
                </c:pt>
                <c:pt idx="125">
                  <c:v>0.02</c:v>
                </c:pt>
                <c:pt idx="126">
                  <c:v>0.02</c:v>
                </c:pt>
                <c:pt idx="127">
                  <c:v>0.02</c:v>
                </c:pt>
                <c:pt idx="128">
                  <c:v>0.02</c:v>
                </c:pt>
                <c:pt idx="129">
                  <c:v>0.02</c:v>
                </c:pt>
                <c:pt idx="130">
                  <c:v>0.02</c:v>
                </c:pt>
                <c:pt idx="131">
                  <c:v>0.02</c:v>
                </c:pt>
                <c:pt idx="132">
                  <c:v>0.02</c:v>
                </c:pt>
                <c:pt idx="133">
                  <c:v>0.02</c:v>
                </c:pt>
                <c:pt idx="134">
                  <c:v>0.02</c:v>
                </c:pt>
                <c:pt idx="135">
                  <c:v>0.02</c:v>
                </c:pt>
                <c:pt idx="136">
                  <c:v>0.02</c:v>
                </c:pt>
                <c:pt idx="137">
                  <c:v>0.02</c:v>
                </c:pt>
                <c:pt idx="138">
                  <c:v>0.02</c:v>
                </c:pt>
                <c:pt idx="139">
                  <c:v>0.02</c:v>
                </c:pt>
                <c:pt idx="140">
                  <c:v>0.02</c:v>
                </c:pt>
                <c:pt idx="141">
                  <c:v>0.02</c:v>
                </c:pt>
                <c:pt idx="142">
                  <c:v>0.02</c:v>
                </c:pt>
                <c:pt idx="143">
                  <c:v>0.02</c:v>
                </c:pt>
                <c:pt idx="144">
                  <c:v>0.02</c:v>
                </c:pt>
                <c:pt idx="145">
                  <c:v>0.02</c:v>
                </c:pt>
                <c:pt idx="146">
                  <c:v>0.02</c:v>
                </c:pt>
                <c:pt idx="147">
                  <c:v>0.02</c:v>
                </c:pt>
                <c:pt idx="148">
                  <c:v>0.02</c:v>
                </c:pt>
                <c:pt idx="149">
                  <c:v>0.02</c:v>
                </c:pt>
                <c:pt idx="150">
                  <c:v>0.02</c:v>
                </c:pt>
                <c:pt idx="151">
                  <c:v>0.02</c:v>
                </c:pt>
                <c:pt idx="152">
                  <c:v>0.02</c:v>
                </c:pt>
                <c:pt idx="153">
                  <c:v>0.02</c:v>
                </c:pt>
                <c:pt idx="154">
                  <c:v>0.02</c:v>
                </c:pt>
                <c:pt idx="155">
                  <c:v>0.02</c:v>
                </c:pt>
                <c:pt idx="156">
                  <c:v>0.02</c:v>
                </c:pt>
                <c:pt idx="157">
                  <c:v>0.02</c:v>
                </c:pt>
                <c:pt idx="158">
                  <c:v>0.02</c:v>
                </c:pt>
                <c:pt idx="159">
                  <c:v>0.02</c:v>
                </c:pt>
                <c:pt idx="160">
                  <c:v>0.02</c:v>
                </c:pt>
                <c:pt idx="161">
                  <c:v>0.02</c:v>
                </c:pt>
                <c:pt idx="162">
                  <c:v>0.02</c:v>
                </c:pt>
                <c:pt idx="163">
                  <c:v>0.02</c:v>
                </c:pt>
                <c:pt idx="164">
                  <c:v>0.02</c:v>
                </c:pt>
                <c:pt idx="165">
                  <c:v>0.02</c:v>
                </c:pt>
                <c:pt idx="166">
                  <c:v>0.02</c:v>
                </c:pt>
                <c:pt idx="167">
                  <c:v>0.02</c:v>
                </c:pt>
                <c:pt idx="168">
                  <c:v>0.02</c:v>
                </c:pt>
                <c:pt idx="169">
                  <c:v>0.02</c:v>
                </c:pt>
                <c:pt idx="170">
                  <c:v>0.02</c:v>
                </c:pt>
                <c:pt idx="171">
                  <c:v>0.02</c:v>
                </c:pt>
                <c:pt idx="172">
                  <c:v>0.02</c:v>
                </c:pt>
                <c:pt idx="173">
                  <c:v>0.02</c:v>
                </c:pt>
                <c:pt idx="174">
                  <c:v>0.02</c:v>
                </c:pt>
                <c:pt idx="175">
                  <c:v>0.02</c:v>
                </c:pt>
                <c:pt idx="176">
                  <c:v>0.02</c:v>
                </c:pt>
                <c:pt idx="177">
                  <c:v>0.02</c:v>
                </c:pt>
                <c:pt idx="178">
                  <c:v>0.02</c:v>
                </c:pt>
                <c:pt idx="179">
                  <c:v>0.02</c:v>
                </c:pt>
                <c:pt idx="180">
                  <c:v>0.02</c:v>
                </c:pt>
                <c:pt idx="181">
                  <c:v>0.02</c:v>
                </c:pt>
                <c:pt idx="182">
                  <c:v>0.02</c:v>
                </c:pt>
                <c:pt idx="183">
                  <c:v>0.02</c:v>
                </c:pt>
                <c:pt idx="184">
                  <c:v>0.02</c:v>
                </c:pt>
                <c:pt idx="185">
                  <c:v>0.02</c:v>
                </c:pt>
                <c:pt idx="186">
                  <c:v>0.02</c:v>
                </c:pt>
                <c:pt idx="187">
                  <c:v>0.02</c:v>
                </c:pt>
                <c:pt idx="188">
                  <c:v>0.02</c:v>
                </c:pt>
                <c:pt idx="189">
                  <c:v>0.02</c:v>
                </c:pt>
                <c:pt idx="190">
                  <c:v>0.02</c:v>
                </c:pt>
                <c:pt idx="191">
                  <c:v>0.02</c:v>
                </c:pt>
                <c:pt idx="192">
                  <c:v>0.02</c:v>
                </c:pt>
                <c:pt idx="193">
                  <c:v>0.02</c:v>
                </c:pt>
                <c:pt idx="194">
                  <c:v>0.02</c:v>
                </c:pt>
                <c:pt idx="195">
                  <c:v>0.02</c:v>
                </c:pt>
                <c:pt idx="196">
                  <c:v>0.02</c:v>
                </c:pt>
                <c:pt idx="197">
                  <c:v>0.02</c:v>
                </c:pt>
                <c:pt idx="198">
                  <c:v>0.02</c:v>
                </c:pt>
                <c:pt idx="199">
                  <c:v>0.02</c:v>
                </c:pt>
                <c:pt idx="200">
                  <c:v>0.02</c:v>
                </c:pt>
                <c:pt idx="201">
                  <c:v>0.02</c:v>
                </c:pt>
                <c:pt idx="202">
                  <c:v>0.02</c:v>
                </c:pt>
                <c:pt idx="203">
                  <c:v>0.02</c:v>
                </c:pt>
                <c:pt idx="204">
                  <c:v>0.02</c:v>
                </c:pt>
                <c:pt idx="205">
                  <c:v>0.02</c:v>
                </c:pt>
                <c:pt idx="206">
                  <c:v>0.02</c:v>
                </c:pt>
                <c:pt idx="207">
                  <c:v>0.02</c:v>
                </c:pt>
                <c:pt idx="208">
                  <c:v>0.02</c:v>
                </c:pt>
                <c:pt idx="209">
                  <c:v>0.02</c:v>
                </c:pt>
                <c:pt idx="210">
                  <c:v>0.02</c:v>
                </c:pt>
                <c:pt idx="211">
                  <c:v>0.02</c:v>
                </c:pt>
                <c:pt idx="212">
                  <c:v>0.02</c:v>
                </c:pt>
                <c:pt idx="213">
                  <c:v>0.02</c:v>
                </c:pt>
                <c:pt idx="214">
                  <c:v>0.02</c:v>
                </c:pt>
                <c:pt idx="215">
                  <c:v>0.02</c:v>
                </c:pt>
                <c:pt idx="216">
                  <c:v>0.02</c:v>
                </c:pt>
                <c:pt idx="217">
                  <c:v>0.02</c:v>
                </c:pt>
                <c:pt idx="218">
                  <c:v>0.02</c:v>
                </c:pt>
                <c:pt idx="219">
                  <c:v>0.02</c:v>
                </c:pt>
                <c:pt idx="220">
                  <c:v>0.02</c:v>
                </c:pt>
                <c:pt idx="221">
                  <c:v>0.02</c:v>
                </c:pt>
                <c:pt idx="222">
                  <c:v>0.02</c:v>
                </c:pt>
                <c:pt idx="223">
                  <c:v>0.02</c:v>
                </c:pt>
                <c:pt idx="224">
                  <c:v>0.02</c:v>
                </c:pt>
                <c:pt idx="225">
                  <c:v>0.02</c:v>
                </c:pt>
                <c:pt idx="226">
                  <c:v>0.02</c:v>
                </c:pt>
                <c:pt idx="227">
                  <c:v>0.02</c:v>
                </c:pt>
                <c:pt idx="228">
                  <c:v>0.02</c:v>
                </c:pt>
                <c:pt idx="229">
                  <c:v>0.02</c:v>
                </c:pt>
                <c:pt idx="230">
                  <c:v>0.02</c:v>
                </c:pt>
                <c:pt idx="231">
                  <c:v>0.02</c:v>
                </c:pt>
                <c:pt idx="232">
                  <c:v>0.02</c:v>
                </c:pt>
                <c:pt idx="233">
                  <c:v>0.02</c:v>
                </c:pt>
                <c:pt idx="234">
                  <c:v>0.02</c:v>
                </c:pt>
                <c:pt idx="235">
                  <c:v>0.02</c:v>
                </c:pt>
                <c:pt idx="236">
                  <c:v>0.02</c:v>
                </c:pt>
                <c:pt idx="237">
                  <c:v>0.02</c:v>
                </c:pt>
                <c:pt idx="238">
                  <c:v>0.02</c:v>
                </c:pt>
                <c:pt idx="239">
                  <c:v>0.02</c:v>
                </c:pt>
                <c:pt idx="240">
                  <c:v>0.02</c:v>
                </c:pt>
                <c:pt idx="241">
                  <c:v>0.02</c:v>
                </c:pt>
                <c:pt idx="242">
                  <c:v>0.02</c:v>
                </c:pt>
                <c:pt idx="243">
                  <c:v>0.02</c:v>
                </c:pt>
                <c:pt idx="244">
                  <c:v>0.02</c:v>
                </c:pt>
                <c:pt idx="245">
                  <c:v>0.02</c:v>
                </c:pt>
                <c:pt idx="246">
                  <c:v>0.02</c:v>
                </c:pt>
                <c:pt idx="247">
                  <c:v>0.02</c:v>
                </c:pt>
                <c:pt idx="248">
                  <c:v>0.02</c:v>
                </c:pt>
                <c:pt idx="249">
                  <c:v>0.02</c:v>
                </c:pt>
                <c:pt idx="250">
                  <c:v>0.02</c:v>
                </c:pt>
                <c:pt idx="251">
                  <c:v>0.02</c:v>
                </c:pt>
                <c:pt idx="252">
                  <c:v>0.02</c:v>
                </c:pt>
                <c:pt idx="253">
                  <c:v>0.02</c:v>
                </c:pt>
                <c:pt idx="254">
                  <c:v>0.02</c:v>
                </c:pt>
                <c:pt idx="255">
                  <c:v>0.02</c:v>
                </c:pt>
                <c:pt idx="256">
                  <c:v>0.02</c:v>
                </c:pt>
                <c:pt idx="257">
                  <c:v>0.02</c:v>
                </c:pt>
                <c:pt idx="258">
                  <c:v>0.02</c:v>
                </c:pt>
                <c:pt idx="259">
                  <c:v>0.02</c:v>
                </c:pt>
                <c:pt idx="260">
                  <c:v>0.02</c:v>
                </c:pt>
                <c:pt idx="261">
                  <c:v>0.02</c:v>
                </c:pt>
                <c:pt idx="262">
                  <c:v>0.02</c:v>
                </c:pt>
                <c:pt idx="263">
                  <c:v>0.02</c:v>
                </c:pt>
                <c:pt idx="264">
                  <c:v>0.02</c:v>
                </c:pt>
                <c:pt idx="265">
                  <c:v>0.02</c:v>
                </c:pt>
                <c:pt idx="266">
                  <c:v>0.02</c:v>
                </c:pt>
                <c:pt idx="267">
                  <c:v>0.02</c:v>
                </c:pt>
                <c:pt idx="268">
                  <c:v>0.02</c:v>
                </c:pt>
                <c:pt idx="269">
                  <c:v>0.02</c:v>
                </c:pt>
                <c:pt idx="270">
                  <c:v>0.02</c:v>
                </c:pt>
                <c:pt idx="271">
                  <c:v>0.02</c:v>
                </c:pt>
                <c:pt idx="272">
                  <c:v>0.02</c:v>
                </c:pt>
                <c:pt idx="273">
                  <c:v>0.02</c:v>
                </c:pt>
                <c:pt idx="274">
                  <c:v>0.02</c:v>
                </c:pt>
                <c:pt idx="275">
                  <c:v>0.02</c:v>
                </c:pt>
                <c:pt idx="276">
                  <c:v>0.02</c:v>
                </c:pt>
                <c:pt idx="277">
                  <c:v>0.02</c:v>
                </c:pt>
                <c:pt idx="278">
                  <c:v>0.02</c:v>
                </c:pt>
                <c:pt idx="279">
                  <c:v>0.02</c:v>
                </c:pt>
                <c:pt idx="280">
                  <c:v>0.02</c:v>
                </c:pt>
                <c:pt idx="281">
                  <c:v>0.02</c:v>
                </c:pt>
                <c:pt idx="282">
                  <c:v>0.02</c:v>
                </c:pt>
                <c:pt idx="283">
                  <c:v>0.02</c:v>
                </c:pt>
                <c:pt idx="284">
                  <c:v>0.02</c:v>
                </c:pt>
                <c:pt idx="285">
                  <c:v>0.02</c:v>
                </c:pt>
                <c:pt idx="286">
                  <c:v>0.02</c:v>
                </c:pt>
                <c:pt idx="287">
                  <c:v>0.02</c:v>
                </c:pt>
                <c:pt idx="288">
                  <c:v>0.02</c:v>
                </c:pt>
                <c:pt idx="289">
                  <c:v>0.02</c:v>
                </c:pt>
                <c:pt idx="290">
                  <c:v>0.02</c:v>
                </c:pt>
                <c:pt idx="291">
                  <c:v>0.02</c:v>
                </c:pt>
                <c:pt idx="292">
                  <c:v>0.02</c:v>
                </c:pt>
                <c:pt idx="293">
                  <c:v>0.02</c:v>
                </c:pt>
                <c:pt idx="294">
                  <c:v>0.02</c:v>
                </c:pt>
                <c:pt idx="295">
                  <c:v>0.02</c:v>
                </c:pt>
                <c:pt idx="296">
                  <c:v>0.02</c:v>
                </c:pt>
                <c:pt idx="297">
                  <c:v>0.02</c:v>
                </c:pt>
                <c:pt idx="298">
                  <c:v>0.02</c:v>
                </c:pt>
                <c:pt idx="299">
                  <c:v>0.02</c:v>
                </c:pt>
                <c:pt idx="300">
                  <c:v>0.02</c:v>
                </c:pt>
                <c:pt idx="301">
                  <c:v>0.02</c:v>
                </c:pt>
                <c:pt idx="302">
                  <c:v>0.02</c:v>
                </c:pt>
                <c:pt idx="303">
                  <c:v>0.02</c:v>
                </c:pt>
                <c:pt idx="304">
                  <c:v>0.02</c:v>
                </c:pt>
                <c:pt idx="305">
                  <c:v>0.02</c:v>
                </c:pt>
                <c:pt idx="306">
                  <c:v>0.02</c:v>
                </c:pt>
                <c:pt idx="307">
                  <c:v>0.02</c:v>
                </c:pt>
                <c:pt idx="308">
                  <c:v>0.02</c:v>
                </c:pt>
                <c:pt idx="309">
                  <c:v>0.02</c:v>
                </c:pt>
                <c:pt idx="310">
                  <c:v>0.02</c:v>
                </c:pt>
                <c:pt idx="311">
                  <c:v>0.02</c:v>
                </c:pt>
                <c:pt idx="312">
                  <c:v>0.02</c:v>
                </c:pt>
                <c:pt idx="313">
                  <c:v>0.02</c:v>
                </c:pt>
                <c:pt idx="314">
                  <c:v>0.02</c:v>
                </c:pt>
                <c:pt idx="315">
                  <c:v>0.02</c:v>
                </c:pt>
                <c:pt idx="316">
                  <c:v>0.02</c:v>
                </c:pt>
                <c:pt idx="317">
                  <c:v>0.02</c:v>
                </c:pt>
                <c:pt idx="318">
                  <c:v>0.02</c:v>
                </c:pt>
                <c:pt idx="319">
                  <c:v>0.02</c:v>
                </c:pt>
                <c:pt idx="320">
                  <c:v>0.02</c:v>
                </c:pt>
                <c:pt idx="321">
                  <c:v>0.02</c:v>
                </c:pt>
                <c:pt idx="322">
                  <c:v>0.02</c:v>
                </c:pt>
                <c:pt idx="323">
                  <c:v>0.02</c:v>
                </c:pt>
                <c:pt idx="324">
                  <c:v>0.02</c:v>
                </c:pt>
                <c:pt idx="325">
                  <c:v>0.02</c:v>
                </c:pt>
                <c:pt idx="326">
                  <c:v>0.02</c:v>
                </c:pt>
                <c:pt idx="327">
                  <c:v>0.02</c:v>
                </c:pt>
                <c:pt idx="328">
                  <c:v>0.02</c:v>
                </c:pt>
                <c:pt idx="329">
                  <c:v>0.02</c:v>
                </c:pt>
                <c:pt idx="330">
                  <c:v>0.02</c:v>
                </c:pt>
                <c:pt idx="331">
                  <c:v>0.02</c:v>
                </c:pt>
                <c:pt idx="332">
                  <c:v>0.02</c:v>
                </c:pt>
                <c:pt idx="333">
                  <c:v>0.02</c:v>
                </c:pt>
                <c:pt idx="334">
                  <c:v>0.02</c:v>
                </c:pt>
                <c:pt idx="335">
                  <c:v>0.02</c:v>
                </c:pt>
                <c:pt idx="336">
                  <c:v>0.02</c:v>
                </c:pt>
                <c:pt idx="337">
                  <c:v>0.02</c:v>
                </c:pt>
                <c:pt idx="338">
                  <c:v>0.02</c:v>
                </c:pt>
                <c:pt idx="339">
                  <c:v>0.02</c:v>
                </c:pt>
                <c:pt idx="340">
                  <c:v>0.02</c:v>
                </c:pt>
                <c:pt idx="341">
                  <c:v>0.02</c:v>
                </c:pt>
                <c:pt idx="342">
                  <c:v>0.02</c:v>
                </c:pt>
                <c:pt idx="343">
                  <c:v>0.02</c:v>
                </c:pt>
                <c:pt idx="344">
                  <c:v>0.02</c:v>
                </c:pt>
                <c:pt idx="345">
                  <c:v>0.02</c:v>
                </c:pt>
                <c:pt idx="346">
                  <c:v>0.02</c:v>
                </c:pt>
                <c:pt idx="347">
                  <c:v>0.02</c:v>
                </c:pt>
                <c:pt idx="348">
                  <c:v>0.02</c:v>
                </c:pt>
                <c:pt idx="349">
                  <c:v>0.02</c:v>
                </c:pt>
                <c:pt idx="350">
                  <c:v>0.02</c:v>
                </c:pt>
                <c:pt idx="351">
                  <c:v>0.02</c:v>
                </c:pt>
                <c:pt idx="352">
                  <c:v>0.02</c:v>
                </c:pt>
                <c:pt idx="353">
                  <c:v>0.02</c:v>
                </c:pt>
                <c:pt idx="354">
                  <c:v>0.02</c:v>
                </c:pt>
                <c:pt idx="355">
                  <c:v>0.02</c:v>
                </c:pt>
                <c:pt idx="356">
                  <c:v>0.02</c:v>
                </c:pt>
                <c:pt idx="357">
                  <c:v>0.02</c:v>
                </c:pt>
                <c:pt idx="358">
                  <c:v>0.02</c:v>
                </c:pt>
                <c:pt idx="359">
                  <c:v>0.02</c:v>
                </c:pt>
                <c:pt idx="360">
                  <c:v>0.02</c:v>
                </c:pt>
                <c:pt idx="361">
                  <c:v>0.02</c:v>
                </c:pt>
                <c:pt idx="362">
                  <c:v>0.02</c:v>
                </c:pt>
                <c:pt idx="363">
                  <c:v>0.02</c:v>
                </c:pt>
                <c:pt idx="364">
                  <c:v>0.02</c:v>
                </c:pt>
                <c:pt idx="365">
                  <c:v>0.02</c:v>
                </c:pt>
                <c:pt idx="366">
                  <c:v>0.02</c:v>
                </c:pt>
                <c:pt idx="367">
                  <c:v>0.02</c:v>
                </c:pt>
                <c:pt idx="368">
                  <c:v>0.02</c:v>
                </c:pt>
                <c:pt idx="369">
                  <c:v>0.02</c:v>
                </c:pt>
                <c:pt idx="370">
                  <c:v>0.02</c:v>
                </c:pt>
                <c:pt idx="371">
                  <c:v>0.02</c:v>
                </c:pt>
                <c:pt idx="372">
                  <c:v>0.02</c:v>
                </c:pt>
                <c:pt idx="373">
                  <c:v>0.02</c:v>
                </c:pt>
                <c:pt idx="374">
                  <c:v>0.02</c:v>
                </c:pt>
                <c:pt idx="375">
                  <c:v>0.02</c:v>
                </c:pt>
                <c:pt idx="376">
                  <c:v>0.02</c:v>
                </c:pt>
                <c:pt idx="377">
                  <c:v>0.02</c:v>
                </c:pt>
                <c:pt idx="378">
                  <c:v>0.02</c:v>
                </c:pt>
                <c:pt idx="379">
                  <c:v>0.02</c:v>
                </c:pt>
                <c:pt idx="380">
                  <c:v>0.02</c:v>
                </c:pt>
                <c:pt idx="381">
                  <c:v>0.02</c:v>
                </c:pt>
                <c:pt idx="382">
                  <c:v>0.02</c:v>
                </c:pt>
                <c:pt idx="383">
                  <c:v>0.02</c:v>
                </c:pt>
                <c:pt idx="384">
                  <c:v>0.02</c:v>
                </c:pt>
                <c:pt idx="385">
                  <c:v>0.02</c:v>
                </c:pt>
                <c:pt idx="386">
                  <c:v>0.02</c:v>
                </c:pt>
                <c:pt idx="387">
                  <c:v>0.02</c:v>
                </c:pt>
                <c:pt idx="388">
                  <c:v>0.02</c:v>
                </c:pt>
                <c:pt idx="389">
                  <c:v>0.02</c:v>
                </c:pt>
                <c:pt idx="390">
                  <c:v>0.02</c:v>
                </c:pt>
                <c:pt idx="391">
                  <c:v>0.02</c:v>
                </c:pt>
                <c:pt idx="392">
                  <c:v>0.02</c:v>
                </c:pt>
                <c:pt idx="393">
                  <c:v>0.02</c:v>
                </c:pt>
                <c:pt idx="394">
                  <c:v>0.02</c:v>
                </c:pt>
                <c:pt idx="395">
                  <c:v>0.02</c:v>
                </c:pt>
                <c:pt idx="396">
                  <c:v>0.02</c:v>
                </c:pt>
                <c:pt idx="397">
                  <c:v>0.02</c:v>
                </c:pt>
                <c:pt idx="398">
                  <c:v>0.02</c:v>
                </c:pt>
                <c:pt idx="399">
                  <c:v>0.02</c:v>
                </c:pt>
                <c:pt idx="400">
                  <c:v>0.02</c:v>
                </c:pt>
                <c:pt idx="401">
                  <c:v>0.02</c:v>
                </c:pt>
                <c:pt idx="402">
                  <c:v>0.02</c:v>
                </c:pt>
                <c:pt idx="403">
                  <c:v>0.02</c:v>
                </c:pt>
                <c:pt idx="404">
                  <c:v>0.02</c:v>
                </c:pt>
                <c:pt idx="405">
                  <c:v>0.02</c:v>
                </c:pt>
                <c:pt idx="406">
                  <c:v>0.02</c:v>
                </c:pt>
                <c:pt idx="407">
                  <c:v>0.02</c:v>
                </c:pt>
                <c:pt idx="408">
                  <c:v>0.02</c:v>
                </c:pt>
                <c:pt idx="409">
                  <c:v>0.02</c:v>
                </c:pt>
                <c:pt idx="410">
                  <c:v>0.02</c:v>
                </c:pt>
                <c:pt idx="411">
                  <c:v>0.02</c:v>
                </c:pt>
                <c:pt idx="412">
                  <c:v>0.02</c:v>
                </c:pt>
                <c:pt idx="413">
                  <c:v>0.02</c:v>
                </c:pt>
                <c:pt idx="414">
                  <c:v>0.02</c:v>
                </c:pt>
                <c:pt idx="415">
                  <c:v>0.02</c:v>
                </c:pt>
                <c:pt idx="416">
                  <c:v>0.02</c:v>
                </c:pt>
                <c:pt idx="417">
                  <c:v>0.02</c:v>
                </c:pt>
                <c:pt idx="418">
                  <c:v>0.02</c:v>
                </c:pt>
                <c:pt idx="419">
                  <c:v>0.02</c:v>
                </c:pt>
                <c:pt idx="420">
                  <c:v>0.02</c:v>
                </c:pt>
                <c:pt idx="421">
                  <c:v>0.02</c:v>
                </c:pt>
                <c:pt idx="422">
                  <c:v>0.02</c:v>
                </c:pt>
                <c:pt idx="423">
                  <c:v>0.02</c:v>
                </c:pt>
                <c:pt idx="424">
                  <c:v>0.02</c:v>
                </c:pt>
                <c:pt idx="425">
                  <c:v>0.02</c:v>
                </c:pt>
                <c:pt idx="426">
                  <c:v>0.02</c:v>
                </c:pt>
                <c:pt idx="427">
                  <c:v>0.02</c:v>
                </c:pt>
                <c:pt idx="428">
                  <c:v>0.02</c:v>
                </c:pt>
                <c:pt idx="429">
                  <c:v>0.02</c:v>
                </c:pt>
                <c:pt idx="430">
                  <c:v>0.02</c:v>
                </c:pt>
                <c:pt idx="431">
                  <c:v>0.02</c:v>
                </c:pt>
                <c:pt idx="432">
                  <c:v>0.02</c:v>
                </c:pt>
                <c:pt idx="433">
                  <c:v>0.02</c:v>
                </c:pt>
                <c:pt idx="434">
                  <c:v>0.02</c:v>
                </c:pt>
                <c:pt idx="435">
                  <c:v>0.02</c:v>
                </c:pt>
                <c:pt idx="436">
                  <c:v>0.02</c:v>
                </c:pt>
                <c:pt idx="437">
                  <c:v>0.02</c:v>
                </c:pt>
                <c:pt idx="438">
                  <c:v>0.02</c:v>
                </c:pt>
                <c:pt idx="439">
                  <c:v>0.02</c:v>
                </c:pt>
                <c:pt idx="440">
                  <c:v>0.02</c:v>
                </c:pt>
                <c:pt idx="441">
                  <c:v>0.02</c:v>
                </c:pt>
                <c:pt idx="442">
                  <c:v>0.02</c:v>
                </c:pt>
                <c:pt idx="443">
                  <c:v>0.02</c:v>
                </c:pt>
                <c:pt idx="444">
                  <c:v>0.02</c:v>
                </c:pt>
                <c:pt idx="445">
                  <c:v>0.02</c:v>
                </c:pt>
                <c:pt idx="446">
                  <c:v>0.02</c:v>
                </c:pt>
                <c:pt idx="447">
                  <c:v>0.02</c:v>
                </c:pt>
                <c:pt idx="448">
                  <c:v>0.02</c:v>
                </c:pt>
                <c:pt idx="449">
                  <c:v>0.02</c:v>
                </c:pt>
                <c:pt idx="450">
                  <c:v>0.02</c:v>
                </c:pt>
                <c:pt idx="451">
                  <c:v>0.02</c:v>
                </c:pt>
                <c:pt idx="452">
                  <c:v>0.02</c:v>
                </c:pt>
                <c:pt idx="453">
                  <c:v>0.02</c:v>
                </c:pt>
                <c:pt idx="454">
                  <c:v>0.02</c:v>
                </c:pt>
                <c:pt idx="455">
                  <c:v>0.02</c:v>
                </c:pt>
                <c:pt idx="456">
                  <c:v>0.98</c:v>
                </c:pt>
                <c:pt idx="457">
                  <c:v>0.98</c:v>
                </c:pt>
                <c:pt idx="458">
                  <c:v>0.98</c:v>
                </c:pt>
                <c:pt idx="459">
                  <c:v>0.98</c:v>
                </c:pt>
                <c:pt idx="460">
                  <c:v>0.98</c:v>
                </c:pt>
                <c:pt idx="461">
                  <c:v>0.98</c:v>
                </c:pt>
                <c:pt idx="462">
                  <c:v>0.98</c:v>
                </c:pt>
                <c:pt idx="463">
                  <c:v>0.98</c:v>
                </c:pt>
                <c:pt idx="464">
                  <c:v>0.98</c:v>
                </c:pt>
                <c:pt idx="465">
                  <c:v>0.98</c:v>
                </c:pt>
                <c:pt idx="466">
                  <c:v>0.98</c:v>
                </c:pt>
                <c:pt idx="467">
                  <c:v>0.98</c:v>
                </c:pt>
                <c:pt idx="468">
                  <c:v>0.98</c:v>
                </c:pt>
                <c:pt idx="469">
                  <c:v>0.98</c:v>
                </c:pt>
                <c:pt idx="470">
                  <c:v>0.98</c:v>
                </c:pt>
                <c:pt idx="471">
                  <c:v>0.98</c:v>
                </c:pt>
                <c:pt idx="472">
                  <c:v>0.98</c:v>
                </c:pt>
                <c:pt idx="473">
                  <c:v>0.98</c:v>
                </c:pt>
                <c:pt idx="474">
                  <c:v>0.98</c:v>
                </c:pt>
                <c:pt idx="475">
                  <c:v>0.98</c:v>
                </c:pt>
                <c:pt idx="476">
                  <c:v>0.98</c:v>
                </c:pt>
                <c:pt idx="477">
                  <c:v>0.98</c:v>
                </c:pt>
                <c:pt idx="478">
                  <c:v>0.98</c:v>
                </c:pt>
                <c:pt idx="479">
                  <c:v>0.98</c:v>
                </c:pt>
              </c:numCache>
            </c:numRef>
          </c:val>
          <c:smooth val="0"/>
          <c:extLst>
            <c:ext xmlns:c16="http://schemas.microsoft.com/office/drawing/2014/chart" uri="{C3380CC4-5D6E-409C-BE32-E72D297353CC}">
              <c16:uniqueId val="{00000002-B64F-46A5-BC0D-03A2C2DC02DE}"/>
            </c:ext>
          </c:extLst>
        </c:ser>
        <c:ser>
          <c:idx val="3"/>
          <c:order val="3"/>
          <c:tx>
            <c:strRef>
              <c:f>'Calculation of Typical Day'!$CQ$13</c:f>
              <c:strCache>
                <c:ptCount val="1"/>
                <c:pt idx="0">
                  <c:v>Waste heat is available</c:v>
                </c:pt>
              </c:strCache>
            </c:strRef>
          </c:tx>
          <c:spPr>
            <a:ln w="31750" cap="rnd">
              <a:solidFill>
                <a:schemeClr val="accent4"/>
              </a:solidFill>
              <a:round/>
            </a:ln>
            <a:effectLst/>
          </c:spPr>
          <c:marker>
            <c:symbol val="none"/>
          </c:marker>
          <c:val>
            <c:numRef>
              <c:f>'Calculation of Typical Day'!$CQ$21:$CQ$500</c:f>
              <c:numCache>
                <c:formatCode>#,##0</c:formatCode>
                <c:ptCount val="480"/>
                <c:pt idx="0">
                  <c:v>0.96</c:v>
                </c:pt>
                <c:pt idx="1">
                  <c:v>0.96</c:v>
                </c:pt>
                <c:pt idx="2">
                  <c:v>0.96</c:v>
                </c:pt>
                <c:pt idx="3">
                  <c:v>0.96</c:v>
                </c:pt>
                <c:pt idx="4">
                  <c:v>0.96</c:v>
                </c:pt>
                <c:pt idx="5">
                  <c:v>0.96</c:v>
                </c:pt>
                <c:pt idx="6">
                  <c:v>0.96</c:v>
                </c:pt>
                <c:pt idx="7">
                  <c:v>0.96</c:v>
                </c:pt>
                <c:pt idx="8">
                  <c:v>0.96</c:v>
                </c:pt>
                <c:pt idx="9">
                  <c:v>0.96</c:v>
                </c:pt>
                <c:pt idx="10">
                  <c:v>0.96</c:v>
                </c:pt>
                <c:pt idx="11">
                  <c:v>0.96</c:v>
                </c:pt>
                <c:pt idx="12">
                  <c:v>0.96</c:v>
                </c:pt>
                <c:pt idx="13">
                  <c:v>0.96</c:v>
                </c:pt>
                <c:pt idx="14">
                  <c:v>0.96</c:v>
                </c:pt>
                <c:pt idx="15">
                  <c:v>0.96</c:v>
                </c:pt>
                <c:pt idx="16">
                  <c:v>0.96</c:v>
                </c:pt>
                <c:pt idx="17">
                  <c:v>0.96</c:v>
                </c:pt>
                <c:pt idx="18">
                  <c:v>0.96</c:v>
                </c:pt>
                <c:pt idx="19">
                  <c:v>0.96</c:v>
                </c:pt>
                <c:pt idx="20">
                  <c:v>0.96</c:v>
                </c:pt>
                <c:pt idx="21">
                  <c:v>0.96</c:v>
                </c:pt>
                <c:pt idx="22">
                  <c:v>0.96</c:v>
                </c:pt>
                <c:pt idx="23">
                  <c:v>0.96</c:v>
                </c:pt>
                <c:pt idx="24">
                  <c:v>0.96</c:v>
                </c:pt>
                <c:pt idx="25">
                  <c:v>0.96</c:v>
                </c:pt>
                <c:pt idx="26">
                  <c:v>0.96</c:v>
                </c:pt>
                <c:pt idx="27">
                  <c:v>0.96</c:v>
                </c:pt>
                <c:pt idx="28">
                  <c:v>0.96</c:v>
                </c:pt>
                <c:pt idx="29">
                  <c:v>0.96</c:v>
                </c:pt>
                <c:pt idx="30">
                  <c:v>0.96</c:v>
                </c:pt>
                <c:pt idx="31">
                  <c:v>0.96</c:v>
                </c:pt>
                <c:pt idx="32">
                  <c:v>0.96</c:v>
                </c:pt>
                <c:pt idx="33">
                  <c:v>0.96</c:v>
                </c:pt>
                <c:pt idx="34">
                  <c:v>0.96</c:v>
                </c:pt>
                <c:pt idx="35">
                  <c:v>0.96</c:v>
                </c:pt>
                <c:pt idx="36">
                  <c:v>0.96</c:v>
                </c:pt>
                <c:pt idx="37">
                  <c:v>0.96</c:v>
                </c:pt>
                <c:pt idx="38">
                  <c:v>0.96</c:v>
                </c:pt>
                <c:pt idx="39">
                  <c:v>0.96</c:v>
                </c:pt>
                <c:pt idx="40">
                  <c:v>0.96</c:v>
                </c:pt>
                <c:pt idx="41">
                  <c:v>0.96</c:v>
                </c:pt>
                <c:pt idx="42">
                  <c:v>0.96</c:v>
                </c:pt>
                <c:pt idx="43">
                  <c:v>0.96</c:v>
                </c:pt>
                <c:pt idx="44">
                  <c:v>0.96</c:v>
                </c:pt>
                <c:pt idx="45">
                  <c:v>0.96</c:v>
                </c:pt>
                <c:pt idx="46">
                  <c:v>0.96</c:v>
                </c:pt>
                <c:pt idx="47">
                  <c:v>0.96</c:v>
                </c:pt>
                <c:pt idx="48">
                  <c:v>0.96</c:v>
                </c:pt>
                <c:pt idx="49">
                  <c:v>0.96</c:v>
                </c:pt>
                <c:pt idx="50">
                  <c:v>0.96</c:v>
                </c:pt>
                <c:pt idx="51">
                  <c:v>0.96</c:v>
                </c:pt>
                <c:pt idx="52">
                  <c:v>0.96</c:v>
                </c:pt>
                <c:pt idx="53">
                  <c:v>0.96</c:v>
                </c:pt>
                <c:pt idx="54">
                  <c:v>0.96</c:v>
                </c:pt>
                <c:pt idx="55">
                  <c:v>0.96</c:v>
                </c:pt>
                <c:pt idx="56">
                  <c:v>0.96</c:v>
                </c:pt>
                <c:pt idx="57">
                  <c:v>0.96</c:v>
                </c:pt>
                <c:pt idx="58">
                  <c:v>0.96</c:v>
                </c:pt>
                <c:pt idx="59">
                  <c:v>0.96</c:v>
                </c:pt>
                <c:pt idx="60">
                  <c:v>0.96</c:v>
                </c:pt>
                <c:pt idx="61">
                  <c:v>0.96</c:v>
                </c:pt>
                <c:pt idx="62">
                  <c:v>0.96</c:v>
                </c:pt>
                <c:pt idx="63">
                  <c:v>0.96</c:v>
                </c:pt>
                <c:pt idx="64">
                  <c:v>0.96</c:v>
                </c:pt>
                <c:pt idx="65">
                  <c:v>0.96</c:v>
                </c:pt>
                <c:pt idx="66">
                  <c:v>0.96</c:v>
                </c:pt>
                <c:pt idx="67">
                  <c:v>0.96</c:v>
                </c:pt>
                <c:pt idx="68">
                  <c:v>0.96</c:v>
                </c:pt>
                <c:pt idx="69">
                  <c:v>0.96</c:v>
                </c:pt>
                <c:pt idx="70">
                  <c:v>0.96</c:v>
                </c:pt>
                <c:pt idx="71">
                  <c:v>0.96</c:v>
                </c:pt>
                <c:pt idx="72">
                  <c:v>0.96</c:v>
                </c:pt>
                <c:pt idx="73">
                  <c:v>0.96</c:v>
                </c:pt>
                <c:pt idx="74">
                  <c:v>0.96</c:v>
                </c:pt>
                <c:pt idx="75">
                  <c:v>0.96</c:v>
                </c:pt>
                <c:pt idx="76">
                  <c:v>0.96</c:v>
                </c:pt>
                <c:pt idx="77">
                  <c:v>0.96</c:v>
                </c:pt>
                <c:pt idx="78">
                  <c:v>0.96</c:v>
                </c:pt>
                <c:pt idx="79">
                  <c:v>0.96</c:v>
                </c:pt>
                <c:pt idx="80">
                  <c:v>0.96</c:v>
                </c:pt>
                <c:pt idx="81">
                  <c:v>0.96</c:v>
                </c:pt>
                <c:pt idx="82">
                  <c:v>0.96</c:v>
                </c:pt>
                <c:pt idx="83">
                  <c:v>0.96</c:v>
                </c:pt>
                <c:pt idx="84">
                  <c:v>0.96</c:v>
                </c:pt>
                <c:pt idx="85">
                  <c:v>0.96</c:v>
                </c:pt>
                <c:pt idx="86">
                  <c:v>0.96</c:v>
                </c:pt>
                <c:pt idx="87">
                  <c:v>0.96</c:v>
                </c:pt>
                <c:pt idx="88">
                  <c:v>0.96</c:v>
                </c:pt>
                <c:pt idx="89">
                  <c:v>0.96</c:v>
                </c:pt>
                <c:pt idx="90">
                  <c:v>0.96</c:v>
                </c:pt>
                <c:pt idx="91">
                  <c:v>0.96</c:v>
                </c:pt>
                <c:pt idx="92">
                  <c:v>0.96</c:v>
                </c:pt>
                <c:pt idx="93">
                  <c:v>0.96</c:v>
                </c:pt>
                <c:pt idx="94">
                  <c:v>0.96</c:v>
                </c:pt>
                <c:pt idx="95">
                  <c:v>0.96</c:v>
                </c:pt>
                <c:pt idx="96">
                  <c:v>0.96</c:v>
                </c:pt>
                <c:pt idx="97">
                  <c:v>0.96</c:v>
                </c:pt>
                <c:pt idx="98">
                  <c:v>0.96</c:v>
                </c:pt>
                <c:pt idx="99">
                  <c:v>0.96</c:v>
                </c:pt>
                <c:pt idx="100">
                  <c:v>0.96</c:v>
                </c:pt>
                <c:pt idx="101">
                  <c:v>0.96</c:v>
                </c:pt>
                <c:pt idx="102">
                  <c:v>0.96</c:v>
                </c:pt>
                <c:pt idx="103">
                  <c:v>0.96</c:v>
                </c:pt>
                <c:pt idx="104">
                  <c:v>0.96</c:v>
                </c:pt>
                <c:pt idx="105">
                  <c:v>0.96</c:v>
                </c:pt>
                <c:pt idx="106">
                  <c:v>0.96</c:v>
                </c:pt>
                <c:pt idx="107">
                  <c:v>0.96</c:v>
                </c:pt>
                <c:pt idx="108">
                  <c:v>0.96</c:v>
                </c:pt>
                <c:pt idx="109">
                  <c:v>0.96</c:v>
                </c:pt>
                <c:pt idx="110">
                  <c:v>0.96</c:v>
                </c:pt>
                <c:pt idx="111">
                  <c:v>0.96</c:v>
                </c:pt>
                <c:pt idx="112">
                  <c:v>0.96</c:v>
                </c:pt>
                <c:pt idx="113">
                  <c:v>0.96</c:v>
                </c:pt>
                <c:pt idx="114">
                  <c:v>0.96</c:v>
                </c:pt>
                <c:pt idx="115">
                  <c:v>0.96</c:v>
                </c:pt>
                <c:pt idx="116">
                  <c:v>0.96</c:v>
                </c:pt>
                <c:pt idx="117">
                  <c:v>0.96</c:v>
                </c:pt>
                <c:pt idx="118">
                  <c:v>0.96</c:v>
                </c:pt>
                <c:pt idx="119">
                  <c:v>0.96</c:v>
                </c:pt>
                <c:pt idx="120">
                  <c:v>-2.5000000000000001E-2</c:v>
                </c:pt>
                <c:pt idx="121">
                  <c:v>-2.5000000000000001E-2</c:v>
                </c:pt>
                <c:pt idx="122">
                  <c:v>-2.5000000000000001E-2</c:v>
                </c:pt>
                <c:pt idx="123">
                  <c:v>-2.5000000000000001E-2</c:v>
                </c:pt>
                <c:pt idx="124">
                  <c:v>-2.5000000000000001E-2</c:v>
                </c:pt>
                <c:pt idx="125">
                  <c:v>-2.5000000000000001E-2</c:v>
                </c:pt>
                <c:pt idx="126">
                  <c:v>-2.5000000000000001E-2</c:v>
                </c:pt>
                <c:pt idx="127">
                  <c:v>-2.5000000000000001E-2</c:v>
                </c:pt>
                <c:pt idx="128">
                  <c:v>-2.5000000000000001E-2</c:v>
                </c:pt>
                <c:pt idx="129">
                  <c:v>-2.5000000000000001E-2</c:v>
                </c:pt>
                <c:pt idx="130">
                  <c:v>-2.5000000000000001E-2</c:v>
                </c:pt>
                <c:pt idx="131">
                  <c:v>-2.5000000000000001E-2</c:v>
                </c:pt>
                <c:pt idx="132">
                  <c:v>-2.5000000000000001E-2</c:v>
                </c:pt>
                <c:pt idx="133">
                  <c:v>-2.5000000000000001E-2</c:v>
                </c:pt>
                <c:pt idx="134">
                  <c:v>-2.5000000000000001E-2</c:v>
                </c:pt>
                <c:pt idx="135">
                  <c:v>-2.5000000000000001E-2</c:v>
                </c:pt>
                <c:pt idx="136">
                  <c:v>-2.5000000000000001E-2</c:v>
                </c:pt>
                <c:pt idx="137">
                  <c:v>-2.5000000000000001E-2</c:v>
                </c:pt>
                <c:pt idx="138">
                  <c:v>-2.5000000000000001E-2</c:v>
                </c:pt>
                <c:pt idx="139">
                  <c:v>-2.5000000000000001E-2</c:v>
                </c:pt>
                <c:pt idx="140">
                  <c:v>-2.5000000000000001E-2</c:v>
                </c:pt>
                <c:pt idx="141">
                  <c:v>-2.5000000000000001E-2</c:v>
                </c:pt>
                <c:pt idx="142">
                  <c:v>-2.5000000000000001E-2</c:v>
                </c:pt>
                <c:pt idx="143">
                  <c:v>-2.5000000000000001E-2</c:v>
                </c:pt>
                <c:pt idx="144">
                  <c:v>-2.5000000000000001E-2</c:v>
                </c:pt>
                <c:pt idx="145">
                  <c:v>-2.5000000000000001E-2</c:v>
                </c:pt>
                <c:pt idx="146">
                  <c:v>-2.5000000000000001E-2</c:v>
                </c:pt>
                <c:pt idx="147">
                  <c:v>-2.5000000000000001E-2</c:v>
                </c:pt>
                <c:pt idx="148">
                  <c:v>-2.5000000000000001E-2</c:v>
                </c:pt>
                <c:pt idx="149">
                  <c:v>-2.5000000000000001E-2</c:v>
                </c:pt>
                <c:pt idx="150">
                  <c:v>-2.5000000000000001E-2</c:v>
                </c:pt>
                <c:pt idx="151">
                  <c:v>-2.5000000000000001E-2</c:v>
                </c:pt>
                <c:pt idx="152">
                  <c:v>-2.5000000000000001E-2</c:v>
                </c:pt>
                <c:pt idx="153">
                  <c:v>-2.5000000000000001E-2</c:v>
                </c:pt>
                <c:pt idx="154">
                  <c:v>-2.5000000000000001E-2</c:v>
                </c:pt>
                <c:pt idx="155">
                  <c:v>-2.5000000000000001E-2</c:v>
                </c:pt>
                <c:pt idx="156">
                  <c:v>-2.5000000000000001E-2</c:v>
                </c:pt>
                <c:pt idx="157">
                  <c:v>-2.5000000000000001E-2</c:v>
                </c:pt>
                <c:pt idx="158">
                  <c:v>-2.5000000000000001E-2</c:v>
                </c:pt>
                <c:pt idx="159">
                  <c:v>-2.5000000000000001E-2</c:v>
                </c:pt>
                <c:pt idx="160">
                  <c:v>-2.5000000000000001E-2</c:v>
                </c:pt>
                <c:pt idx="161">
                  <c:v>-2.5000000000000001E-2</c:v>
                </c:pt>
                <c:pt idx="162">
                  <c:v>-2.5000000000000001E-2</c:v>
                </c:pt>
                <c:pt idx="163">
                  <c:v>-2.5000000000000001E-2</c:v>
                </c:pt>
                <c:pt idx="164">
                  <c:v>-2.5000000000000001E-2</c:v>
                </c:pt>
                <c:pt idx="165">
                  <c:v>-2.5000000000000001E-2</c:v>
                </c:pt>
                <c:pt idx="166">
                  <c:v>-2.5000000000000001E-2</c:v>
                </c:pt>
                <c:pt idx="167">
                  <c:v>-2.5000000000000001E-2</c:v>
                </c:pt>
                <c:pt idx="168">
                  <c:v>-2.5000000000000001E-2</c:v>
                </c:pt>
                <c:pt idx="169">
                  <c:v>-2.5000000000000001E-2</c:v>
                </c:pt>
                <c:pt idx="170">
                  <c:v>-2.5000000000000001E-2</c:v>
                </c:pt>
                <c:pt idx="171">
                  <c:v>-2.5000000000000001E-2</c:v>
                </c:pt>
                <c:pt idx="172">
                  <c:v>-2.5000000000000001E-2</c:v>
                </c:pt>
                <c:pt idx="173">
                  <c:v>-2.5000000000000001E-2</c:v>
                </c:pt>
                <c:pt idx="174">
                  <c:v>-2.5000000000000001E-2</c:v>
                </c:pt>
                <c:pt idx="175">
                  <c:v>-2.5000000000000001E-2</c:v>
                </c:pt>
                <c:pt idx="176">
                  <c:v>-2.5000000000000001E-2</c:v>
                </c:pt>
                <c:pt idx="177">
                  <c:v>-2.5000000000000001E-2</c:v>
                </c:pt>
                <c:pt idx="178">
                  <c:v>-2.5000000000000001E-2</c:v>
                </c:pt>
                <c:pt idx="179">
                  <c:v>-2.5000000000000001E-2</c:v>
                </c:pt>
                <c:pt idx="180">
                  <c:v>-2.5000000000000001E-2</c:v>
                </c:pt>
                <c:pt idx="181">
                  <c:v>-2.5000000000000001E-2</c:v>
                </c:pt>
                <c:pt idx="182">
                  <c:v>-2.5000000000000001E-2</c:v>
                </c:pt>
                <c:pt idx="183">
                  <c:v>-2.5000000000000001E-2</c:v>
                </c:pt>
                <c:pt idx="184">
                  <c:v>-2.5000000000000001E-2</c:v>
                </c:pt>
                <c:pt idx="185">
                  <c:v>-2.5000000000000001E-2</c:v>
                </c:pt>
                <c:pt idx="186">
                  <c:v>-2.5000000000000001E-2</c:v>
                </c:pt>
                <c:pt idx="187">
                  <c:v>-2.5000000000000001E-2</c:v>
                </c:pt>
                <c:pt idx="188">
                  <c:v>-2.5000000000000001E-2</c:v>
                </c:pt>
                <c:pt idx="189">
                  <c:v>-2.5000000000000001E-2</c:v>
                </c:pt>
                <c:pt idx="190">
                  <c:v>-2.5000000000000001E-2</c:v>
                </c:pt>
                <c:pt idx="191">
                  <c:v>-2.5000000000000001E-2</c:v>
                </c:pt>
                <c:pt idx="192">
                  <c:v>-2.5000000000000001E-2</c:v>
                </c:pt>
                <c:pt idx="193">
                  <c:v>-2.5000000000000001E-2</c:v>
                </c:pt>
                <c:pt idx="194">
                  <c:v>-2.5000000000000001E-2</c:v>
                </c:pt>
                <c:pt idx="195">
                  <c:v>-2.5000000000000001E-2</c:v>
                </c:pt>
                <c:pt idx="196">
                  <c:v>-2.5000000000000001E-2</c:v>
                </c:pt>
                <c:pt idx="197">
                  <c:v>-2.5000000000000001E-2</c:v>
                </c:pt>
                <c:pt idx="198">
                  <c:v>-2.5000000000000001E-2</c:v>
                </c:pt>
                <c:pt idx="199">
                  <c:v>-2.5000000000000001E-2</c:v>
                </c:pt>
                <c:pt idx="200">
                  <c:v>-2.5000000000000001E-2</c:v>
                </c:pt>
                <c:pt idx="201">
                  <c:v>-2.5000000000000001E-2</c:v>
                </c:pt>
                <c:pt idx="202">
                  <c:v>-2.5000000000000001E-2</c:v>
                </c:pt>
                <c:pt idx="203">
                  <c:v>-2.5000000000000001E-2</c:v>
                </c:pt>
                <c:pt idx="204">
                  <c:v>-2.5000000000000001E-2</c:v>
                </c:pt>
                <c:pt idx="205">
                  <c:v>-2.5000000000000001E-2</c:v>
                </c:pt>
                <c:pt idx="206">
                  <c:v>-2.5000000000000001E-2</c:v>
                </c:pt>
                <c:pt idx="207">
                  <c:v>-2.5000000000000001E-2</c:v>
                </c:pt>
                <c:pt idx="208">
                  <c:v>-2.5000000000000001E-2</c:v>
                </c:pt>
                <c:pt idx="209">
                  <c:v>-2.5000000000000001E-2</c:v>
                </c:pt>
                <c:pt idx="210">
                  <c:v>-2.5000000000000001E-2</c:v>
                </c:pt>
                <c:pt idx="211">
                  <c:v>-2.5000000000000001E-2</c:v>
                </c:pt>
                <c:pt idx="212">
                  <c:v>-2.5000000000000001E-2</c:v>
                </c:pt>
                <c:pt idx="213">
                  <c:v>-2.5000000000000001E-2</c:v>
                </c:pt>
                <c:pt idx="214">
                  <c:v>-2.5000000000000001E-2</c:v>
                </c:pt>
                <c:pt idx="215">
                  <c:v>-2.5000000000000001E-2</c:v>
                </c:pt>
                <c:pt idx="216">
                  <c:v>-2.5000000000000001E-2</c:v>
                </c:pt>
                <c:pt idx="217">
                  <c:v>-2.5000000000000001E-2</c:v>
                </c:pt>
                <c:pt idx="218">
                  <c:v>-2.5000000000000001E-2</c:v>
                </c:pt>
                <c:pt idx="219">
                  <c:v>-2.5000000000000001E-2</c:v>
                </c:pt>
                <c:pt idx="220">
                  <c:v>-2.5000000000000001E-2</c:v>
                </c:pt>
                <c:pt idx="221">
                  <c:v>-2.5000000000000001E-2</c:v>
                </c:pt>
                <c:pt idx="222">
                  <c:v>-2.5000000000000001E-2</c:v>
                </c:pt>
                <c:pt idx="223">
                  <c:v>-2.5000000000000001E-2</c:v>
                </c:pt>
                <c:pt idx="224">
                  <c:v>-2.5000000000000001E-2</c:v>
                </c:pt>
                <c:pt idx="225">
                  <c:v>-2.5000000000000001E-2</c:v>
                </c:pt>
                <c:pt idx="226">
                  <c:v>-2.5000000000000001E-2</c:v>
                </c:pt>
                <c:pt idx="227">
                  <c:v>-2.5000000000000001E-2</c:v>
                </c:pt>
                <c:pt idx="228">
                  <c:v>-2.5000000000000001E-2</c:v>
                </c:pt>
                <c:pt idx="229">
                  <c:v>-2.5000000000000001E-2</c:v>
                </c:pt>
                <c:pt idx="230">
                  <c:v>-2.5000000000000001E-2</c:v>
                </c:pt>
                <c:pt idx="231">
                  <c:v>-2.5000000000000001E-2</c:v>
                </c:pt>
                <c:pt idx="232">
                  <c:v>-2.5000000000000001E-2</c:v>
                </c:pt>
                <c:pt idx="233">
                  <c:v>-2.5000000000000001E-2</c:v>
                </c:pt>
                <c:pt idx="234">
                  <c:v>-2.5000000000000001E-2</c:v>
                </c:pt>
                <c:pt idx="235">
                  <c:v>-2.5000000000000001E-2</c:v>
                </c:pt>
                <c:pt idx="236">
                  <c:v>-2.5000000000000001E-2</c:v>
                </c:pt>
                <c:pt idx="237">
                  <c:v>-2.5000000000000001E-2</c:v>
                </c:pt>
                <c:pt idx="238">
                  <c:v>-2.5000000000000001E-2</c:v>
                </c:pt>
                <c:pt idx="239">
                  <c:v>-2.5000000000000001E-2</c:v>
                </c:pt>
                <c:pt idx="240">
                  <c:v>-2.5000000000000001E-2</c:v>
                </c:pt>
                <c:pt idx="241">
                  <c:v>-2.5000000000000001E-2</c:v>
                </c:pt>
                <c:pt idx="242">
                  <c:v>-2.5000000000000001E-2</c:v>
                </c:pt>
                <c:pt idx="243">
                  <c:v>-2.5000000000000001E-2</c:v>
                </c:pt>
                <c:pt idx="244">
                  <c:v>-2.5000000000000001E-2</c:v>
                </c:pt>
                <c:pt idx="245">
                  <c:v>-2.5000000000000001E-2</c:v>
                </c:pt>
                <c:pt idx="246">
                  <c:v>-2.5000000000000001E-2</c:v>
                </c:pt>
                <c:pt idx="247">
                  <c:v>-2.5000000000000001E-2</c:v>
                </c:pt>
                <c:pt idx="248">
                  <c:v>-2.5000000000000001E-2</c:v>
                </c:pt>
                <c:pt idx="249">
                  <c:v>-2.5000000000000001E-2</c:v>
                </c:pt>
                <c:pt idx="250">
                  <c:v>-2.5000000000000001E-2</c:v>
                </c:pt>
                <c:pt idx="251">
                  <c:v>-2.5000000000000001E-2</c:v>
                </c:pt>
                <c:pt idx="252">
                  <c:v>-2.5000000000000001E-2</c:v>
                </c:pt>
                <c:pt idx="253">
                  <c:v>-2.5000000000000001E-2</c:v>
                </c:pt>
                <c:pt idx="254">
                  <c:v>-2.5000000000000001E-2</c:v>
                </c:pt>
                <c:pt idx="255">
                  <c:v>-2.5000000000000001E-2</c:v>
                </c:pt>
                <c:pt idx="256">
                  <c:v>-2.5000000000000001E-2</c:v>
                </c:pt>
                <c:pt idx="257">
                  <c:v>-2.5000000000000001E-2</c:v>
                </c:pt>
                <c:pt idx="258">
                  <c:v>-2.5000000000000001E-2</c:v>
                </c:pt>
                <c:pt idx="259">
                  <c:v>-2.5000000000000001E-2</c:v>
                </c:pt>
                <c:pt idx="260">
                  <c:v>-2.5000000000000001E-2</c:v>
                </c:pt>
                <c:pt idx="261">
                  <c:v>-2.5000000000000001E-2</c:v>
                </c:pt>
                <c:pt idx="262">
                  <c:v>-2.5000000000000001E-2</c:v>
                </c:pt>
                <c:pt idx="263">
                  <c:v>-2.5000000000000001E-2</c:v>
                </c:pt>
                <c:pt idx="264">
                  <c:v>-2.5000000000000001E-2</c:v>
                </c:pt>
                <c:pt idx="265">
                  <c:v>-2.5000000000000001E-2</c:v>
                </c:pt>
                <c:pt idx="266">
                  <c:v>-2.5000000000000001E-2</c:v>
                </c:pt>
                <c:pt idx="267">
                  <c:v>-2.5000000000000001E-2</c:v>
                </c:pt>
                <c:pt idx="268">
                  <c:v>-2.5000000000000001E-2</c:v>
                </c:pt>
                <c:pt idx="269">
                  <c:v>-2.5000000000000001E-2</c:v>
                </c:pt>
                <c:pt idx="270">
                  <c:v>-2.5000000000000001E-2</c:v>
                </c:pt>
                <c:pt idx="271">
                  <c:v>-2.5000000000000001E-2</c:v>
                </c:pt>
                <c:pt idx="272">
                  <c:v>-2.5000000000000001E-2</c:v>
                </c:pt>
                <c:pt idx="273">
                  <c:v>-2.5000000000000001E-2</c:v>
                </c:pt>
                <c:pt idx="274">
                  <c:v>-2.5000000000000001E-2</c:v>
                </c:pt>
                <c:pt idx="275">
                  <c:v>-2.5000000000000001E-2</c:v>
                </c:pt>
                <c:pt idx="276">
                  <c:v>-2.5000000000000001E-2</c:v>
                </c:pt>
                <c:pt idx="277">
                  <c:v>-2.5000000000000001E-2</c:v>
                </c:pt>
                <c:pt idx="278">
                  <c:v>-2.5000000000000001E-2</c:v>
                </c:pt>
                <c:pt idx="279">
                  <c:v>-2.5000000000000001E-2</c:v>
                </c:pt>
                <c:pt idx="280">
                  <c:v>-2.5000000000000001E-2</c:v>
                </c:pt>
                <c:pt idx="281">
                  <c:v>-2.5000000000000001E-2</c:v>
                </c:pt>
                <c:pt idx="282">
                  <c:v>-2.5000000000000001E-2</c:v>
                </c:pt>
                <c:pt idx="283">
                  <c:v>-2.5000000000000001E-2</c:v>
                </c:pt>
                <c:pt idx="284">
                  <c:v>-2.5000000000000001E-2</c:v>
                </c:pt>
                <c:pt idx="285">
                  <c:v>-2.5000000000000001E-2</c:v>
                </c:pt>
                <c:pt idx="286">
                  <c:v>-2.5000000000000001E-2</c:v>
                </c:pt>
                <c:pt idx="287">
                  <c:v>-2.5000000000000001E-2</c:v>
                </c:pt>
                <c:pt idx="288">
                  <c:v>-2.5000000000000001E-2</c:v>
                </c:pt>
                <c:pt idx="289">
                  <c:v>-2.5000000000000001E-2</c:v>
                </c:pt>
                <c:pt idx="290">
                  <c:v>-2.5000000000000001E-2</c:v>
                </c:pt>
                <c:pt idx="291">
                  <c:v>-2.5000000000000001E-2</c:v>
                </c:pt>
                <c:pt idx="292">
                  <c:v>-2.5000000000000001E-2</c:v>
                </c:pt>
                <c:pt idx="293">
                  <c:v>-2.5000000000000001E-2</c:v>
                </c:pt>
                <c:pt idx="294">
                  <c:v>-2.5000000000000001E-2</c:v>
                </c:pt>
                <c:pt idx="295">
                  <c:v>-2.5000000000000001E-2</c:v>
                </c:pt>
                <c:pt idx="296">
                  <c:v>-2.5000000000000001E-2</c:v>
                </c:pt>
                <c:pt idx="297">
                  <c:v>-2.5000000000000001E-2</c:v>
                </c:pt>
                <c:pt idx="298">
                  <c:v>-2.5000000000000001E-2</c:v>
                </c:pt>
                <c:pt idx="299">
                  <c:v>-2.5000000000000001E-2</c:v>
                </c:pt>
                <c:pt idx="300">
                  <c:v>-2.5000000000000001E-2</c:v>
                </c:pt>
                <c:pt idx="301">
                  <c:v>-2.5000000000000001E-2</c:v>
                </c:pt>
                <c:pt idx="302">
                  <c:v>-2.5000000000000001E-2</c:v>
                </c:pt>
                <c:pt idx="303">
                  <c:v>-2.5000000000000001E-2</c:v>
                </c:pt>
                <c:pt idx="304">
                  <c:v>-2.5000000000000001E-2</c:v>
                </c:pt>
                <c:pt idx="305">
                  <c:v>-2.5000000000000001E-2</c:v>
                </c:pt>
                <c:pt idx="306">
                  <c:v>-2.5000000000000001E-2</c:v>
                </c:pt>
                <c:pt idx="307">
                  <c:v>-2.5000000000000001E-2</c:v>
                </c:pt>
                <c:pt idx="308">
                  <c:v>-2.5000000000000001E-2</c:v>
                </c:pt>
                <c:pt idx="309">
                  <c:v>-2.5000000000000001E-2</c:v>
                </c:pt>
                <c:pt idx="310">
                  <c:v>-2.5000000000000001E-2</c:v>
                </c:pt>
                <c:pt idx="311">
                  <c:v>-2.5000000000000001E-2</c:v>
                </c:pt>
                <c:pt idx="312">
                  <c:v>-2.5000000000000001E-2</c:v>
                </c:pt>
                <c:pt idx="313">
                  <c:v>-2.5000000000000001E-2</c:v>
                </c:pt>
                <c:pt idx="314">
                  <c:v>-2.5000000000000001E-2</c:v>
                </c:pt>
                <c:pt idx="315">
                  <c:v>-2.5000000000000001E-2</c:v>
                </c:pt>
                <c:pt idx="316">
                  <c:v>-2.5000000000000001E-2</c:v>
                </c:pt>
                <c:pt idx="317">
                  <c:v>-2.5000000000000001E-2</c:v>
                </c:pt>
                <c:pt idx="318">
                  <c:v>-2.5000000000000001E-2</c:v>
                </c:pt>
                <c:pt idx="319">
                  <c:v>-2.5000000000000001E-2</c:v>
                </c:pt>
                <c:pt idx="320">
                  <c:v>-2.5000000000000001E-2</c:v>
                </c:pt>
                <c:pt idx="321">
                  <c:v>-2.5000000000000001E-2</c:v>
                </c:pt>
                <c:pt idx="322">
                  <c:v>-2.5000000000000001E-2</c:v>
                </c:pt>
                <c:pt idx="323">
                  <c:v>-2.5000000000000001E-2</c:v>
                </c:pt>
                <c:pt idx="324">
                  <c:v>-2.5000000000000001E-2</c:v>
                </c:pt>
                <c:pt idx="325">
                  <c:v>-2.5000000000000001E-2</c:v>
                </c:pt>
                <c:pt idx="326">
                  <c:v>-2.5000000000000001E-2</c:v>
                </c:pt>
                <c:pt idx="327">
                  <c:v>-2.5000000000000001E-2</c:v>
                </c:pt>
                <c:pt idx="328">
                  <c:v>-2.5000000000000001E-2</c:v>
                </c:pt>
                <c:pt idx="329">
                  <c:v>-2.5000000000000001E-2</c:v>
                </c:pt>
                <c:pt idx="330">
                  <c:v>-2.5000000000000001E-2</c:v>
                </c:pt>
                <c:pt idx="331">
                  <c:v>-2.5000000000000001E-2</c:v>
                </c:pt>
                <c:pt idx="332">
                  <c:v>-2.5000000000000001E-2</c:v>
                </c:pt>
                <c:pt idx="333">
                  <c:v>-2.5000000000000001E-2</c:v>
                </c:pt>
                <c:pt idx="334">
                  <c:v>-2.5000000000000001E-2</c:v>
                </c:pt>
                <c:pt idx="335">
                  <c:v>-2.5000000000000001E-2</c:v>
                </c:pt>
                <c:pt idx="336">
                  <c:v>-2.5000000000000001E-2</c:v>
                </c:pt>
                <c:pt idx="337">
                  <c:v>-2.5000000000000001E-2</c:v>
                </c:pt>
                <c:pt idx="338">
                  <c:v>-2.5000000000000001E-2</c:v>
                </c:pt>
                <c:pt idx="339">
                  <c:v>-2.5000000000000001E-2</c:v>
                </c:pt>
                <c:pt idx="340">
                  <c:v>-2.5000000000000001E-2</c:v>
                </c:pt>
                <c:pt idx="341">
                  <c:v>-2.5000000000000001E-2</c:v>
                </c:pt>
                <c:pt idx="342">
                  <c:v>-2.5000000000000001E-2</c:v>
                </c:pt>
                <c:pt idx="343">
                  <c:v>-2.5000000000000001E-2</c:v>
                </c:pt>
                <c:pt idx="344">
                  <c:v>-2.5000000000000001E-2</c:v>
                </c:pt>
                <c:pt idx="345">
                  <c:v>-2.5000000000000001E-2</c:v>
                </c:pt>
                <c:pt idx="346">
                  <c:v>-2.5000000000000001E-2</c:v>
                </c:pt>
                <c:pt idx="347">
                  <c:v>-2.5000000000000001E-2</c:v>
                </c:pt>
                <c:pt idx="348">
                  <c:v>-2.5000000000000001E-2</c:v>
                </c:pt>
                <c:pt idx="349">
                  <c:v>-2.5000000000000001E-2</c:v>
                </c:pt>
                <c:pt idx="350">
                  <c:v>-2.5000000000000001E-2</c:v>
                </c:pt>
                <c:pt idx="351">
                  <c:v>-2.5000000000000001E-2</c:v>
                </c:pt>
                <c:pt idx="352">
                  <c:v>-2.5000000000000001E-2</c:v>
                </c:pt>
                <c:pt idx="353">
                  <c:v>-2.5000000000000001E-2</c:v>
                </c:pt>
                <c:pt idx="354">
                  <c:v>-2.5000000000000001E-2</c:v>
                </c:pt>
                <c:pt idx="355">
                  <c:v>-2.5000000000000001E-2</c:v>
                </c:pt>
                <c:pt idx="356">
                  <c:v>-2.5000000000000001E-2</c:v>
                </c:pt>
                <c:pt idx="357">
                  <c:v>-2.5000000000000001E-2</c:v>
                </c:pt>
                <c:pt idx="358">
                  <c:v>-2.5000000000000001E-2</c:v>
                </c:pt>
                <c:pt idx="359">
                  <c:v>-2.5000000000000001E-2</c:v>
                </c:pt>
                <c:pt idx="360">
                  <c:v>-2.5000000000000001E-2</c:v>
                </c:pt>
                <c:pt idx="361">
                  <c:v>-2.5000000000000001E-2</c:v>
                </c:pt>
                <c:pt idx="362">
                  <c:v>-2.5000000000000001E-2</c:v>
                </c:pt>
                <c:pt idx="363">
                  <c:v>-2.5000000000000001E-2</c:v>
                </c:pt>
                <c:pt idx="364">
                  <c:v>-2.5000000000000001E-2</c:v>
                </c:pt>
                <c:pt idx="365">
                  <c:v>-2.5000000000000001E-2</c:v>
                </c:pt>
                <c:pt idx="366">
                  <c:v>-2.5000000000000001E-2</c:v>
                </c:pt>
                <c:pt idx="367">
                  <c:v>-2.5000000000000001E-2</c:v>
                </c:pt>
                <c:pt idx="368">
                  <c:v>-2.5000000000000001E-2</c:v>
                </c:pt>
                <c:pt idx="369">
                  <c:v>-2.5000000000000001E-2</c:v>
                </c:pt>
                <c:pt idx="370">
                  <c:v>-2.5000000000000001E-2</c:v>
                </c:pt>
                <c:pt idx="371">
                  <c:v>-2.5000000000000001E-2</c:v>
                </c:pt>
                <c:pt idx="372">
                  <c:v>-2.5000000000000001E-2</c:v>
                </c:pt>
                <c:pt idx="373">
                  <c:v>-2.5000000000000001E-2</c:v>
                </c:pt>
                <c:pt idx="374">
                  <c:v>-2.5000000000000001E-2</c:v>
                </c:pt>
                <c:pt idx="375">
                  <c:v>-2.5000000000000001E-2</c:v>
                </c:pt>
                <c:pt idx="376">
                  <c:v>-2.5000000000000001E-2</c:v>
                </c:pt>
                <c:pt idx="377">
                  <c:v>-2.5000000000000001E-2</c:v>
                </c:pt>
                <c:pt idx="378">
                  <c:v>-2.5000000000000001E-2</c:v>
                </c:pt>
                <c:pt idx="379">
                  <c:v>-2.5000000000000001E-2</c:v>
                </c:pt>
                <c:pt idx="380">
                  <c:v>-2.5000000000000001E-2</c:v>
                </c:pt>
                <c:pt idx="381">
                  <c:v>-2.5000000000000001E-2</c:v>
                </c:pt>
                <c:pt idx="382">
                  <c:v>-2.5000000000000001E-2</c:v>
                </c:pt>
                <c:pt idx="383">
                  <c:v>-2.5000000000000001E-2</c:v>
                </c:pt>
                <c:pt idx="384">
                  <c:v>-2.5000000000000001E-2</c:v>
                </c:pt>
                <c:pt idx="385">
                  <c:v>-2.5000000000000001E-2</c:v>
                </c:pt>
                <c:pt idx="386">
                  <c:v>-2.5000000000000001E-2</c:v>
                </c:pt>
                <c:pt idx="387">
                  <c:v>-2.5000000000000001E-2</c:v>
                </c:pt>
                <c:pt idx="388">
                  <c:v>-2.5000000000000001E-2</c:v>
                </c:pt>
                <c:pt idx="389">
                  <c:v>-2.5000000000000001E-2</c:v>
                </c:pt>
                <c:pt idx="390">
                  <c:v>-2.5000000000000001E-2</c:v>
                </c:pt>
                <c:pt idx="391">
                  <c:v>-2.5000000000000001E-2</c:v>
                </c:pt>
                <c:pt idx="392">
                  <c:v>-2.5000000000000001E-2</c:v>
                </c:pt>
                <c:pt idx="393">
                  <c:v>-2.5000000000000001E-2</c:v>
                </c:pt>
                <c:pt idx="394">
                  <c:v>-2.5000000000000001E-2</c:v>
                </c:pt>
                <c:pt idx="395">
                  <c:v>-2.5000000000000001E-2</c:v>
                </c:pt>
                <c:pt idx="396">
                  <c:v>-2.5000000000000001E-2</c:v>
                </c:pt>
                <c:pt idx="397">
                  <c:v>-2.5000000000000001E-2</c:v>
                </c:pt>
                <c:pt idx="398">
                  <c:v>-2.5000000000000001E-2</c:v>
                </c:pt>
                <c:pt idx="399">
                  <c:v>-2.5000000000000001E-2</c:v>
                </c:pt>
                <c:pt idx="400">
                  <c:v>-2.5000000000000001E-2</c:v>
                </c:pt>
                <c:pt idx="401">
                  <c:v>-2.5000000000000001E-2</c:v>
                </c:pt>
                <c:pt idx="402">
                  <c:v>-2.5000000000000001E-2</c:v>
                </c:pt>
                <c:pt idx="403">
                  <c:v>-2.5000000000000001E-2</c:v>
                </c:pt>
                <c:pt idx="404">
                  <c:v>-2.5000000000000001E-2</c:v>
                </c:pt>
                <c:pt idx="405">
                  <c:v>-2.5000000000000001E-2</c:v>
                </c:pt>
                <c:pt idx="406">
                  <c:v>-2.5000000000000001E-2</c:v>
                </c:pt>
                <c:pt idx="407">
                  <c:v>-2.5000000000000001E-2</c:v>
                </c:pt>
                <c:pt idx="408">
                  <c:v>-2.5000000000000001E-2</c:v>
                </c:pt>
                <c:pt idx="409">
                  <c:v>-2.5000000000000001E-2</c:v>
                </c:pt>
                <c:pt idx="410">
                  <c:v>-2.5000000000000001E-2</c:v>
                </c:pt>
                <c:pt idx="411">
                  <c:v>-2.5000000000000001E-2</c:v>
                </c:pt>
                <c:pt idx="412">
                  <c:v>-2.5000000000000001E-2</c:v>
                </c:pt>
                <c:pt idx="413">
                  <c:v>-2.5000000000000001E-2</c:v>
                </c:pt>
                <c:pt idx="414">
                  <c:v>-2.5000000000000001E-2</c:v>
                </c:pt>
                <c:pt idx="415">
                  <c:v>-2.5000000000000001E-2</c:v>
                </c:pt>
                <c:pt idx="416">
                  <c:v>-2.5000000000000001E-2</c:v>
                </c:pt>
                <c:pt idx="417">
                  <c:v>-2.5000000000000001E-2</c:v>
                </c:pt>
                <c:pt idx="418">
                  <c:v>-2.5000000000000001E-2</c:v>
                </c:pt>
                <c:pt idx="419">
                  <c:v>-2.5000000000000001E-2</c:v>
                </c:pt>
                <c:pt idx="420">
                  <c:v>-2.5000000000000001E-2</c:v>
                </c:pt>
                <c:pt idx="421">
                  <c:v>-2.5000000000000001E-2</c:v>
                </c:pt>
                <c:pt idx="422">
                  <c:v>-2.5000000000000001E-2</c:v>
                </c:pt>
                <c:pt idx="423">
                  <c:v>-2.5000000000000001E-2</c:v>
                </c:pt>
                <c:pt idx="424">
                  <c:v>-2.5000000000000001E-2</c:v>
                </c:pt>
                <c:pt idx="425">
                  <c:v>-2.5000000000000001E-2</c:v>
                </c:pt>
                <c:pt idx="426">
                  <c:v>-2.5000000000000001E-2</c:v>
                </c:pt>
                <c:pt idx="427">
                  <c:v>-2.5000000000000001E-2</c:v>
                </c:pt>
                <c:pt idx="428">
                  <c:v>-2.5000000000000001E-2</c:v>
                </c:pt>
                <c:pt idx="429">
                  <c:v>-2.5000000000000001E-2</c:v>
                </c:pt>
                <c:pt idx="430">
                  <c:v>-2.5000000000000001E-2</c:v>
                </c:pt>
                <c:pt idx="431">
                  <c:v>-2.5000000000000001E-2</c:v>
                </c:pt>
                <c:pt idx="432">
                  <c:v>-2.5000000000000001E-2</c:v>
                </c:pt>
                <c:pt idx="433">
                  <c:v>-2.5000000000000001E-2</c:v>
                </c:pt>
                <c:pt idx="434">
                  <c:v>-2.5000000000000001E-2</c:v>
                </c:pt>
                <c:pt idx="435">
                  <c:v>-2.5000000000000001E-2</c:v>
                </c:pt>
                <c:pt idx="436">
                  <c:v>-2.5000000000000001E-2</c:v>
                </c:pt>
                <c:pt idx="437">
                  <c:v>-2.5000000000000001E-2</c:v>
                </c:pt>
                <c:pt idx="438">
                  <c:v>-2.5000000000000001E-2</c:v>
                </c:pt>
                <c:pt idx="439">
                  <c:v>-2.5000000000000001E-2</c:v>
                </c:pt>
                <c:pt idx="440">
                  <c:v>-2.5000000000000001E-2</c:v>
                </c:pt>
                <c:pt idx="441">
                  <c:v>-2.5000000000000001E-2</c:v>
                </c:pt>
                <c:pt idx="442">
                  <c:v>-2.5000000000000001E-2</c:v>
                </c:pt>
                <c:pt idx="443">
                  <c:v>-2.5000000000000001E-2</c:v>
                </c:pt>
                <c:pt idx="444">
                  <c:v>-2.5000000000000001E-2</c:v>
                </c:pt>
                <c:pt idx="445">
                  <c:v>-2.5000000000000001E-2</c:v>
                </c:pt>
                <c:pt idx="446">
                  <c:v>-2.5000000000000001E-2</c:v>
                </c:pt>
                <c:pt idx="447">
                  <c:v>-2.5000000000000001E-2</c:v>
                </c:pt>
                <c:pt idx="448">
                  <c:v>-2.5000000000000001E-2</c:v>
                </c:pt>
                <c:pt idx="449">
                  <c:v>-2.5000000000000001E-2</c:v>
                </c:pt>
                <c:pt idx="450">
                  <c:v>-2.5000000000000001E-2</c:v>
                </c:pt>
                <c:pt idx="451">
                  <c:v>-2.5000000000000001E-2</c:v>
                </c:pt>
                <c:pt idx="452">
                  <c:v>-2.5000000000000001E-2</c:v>
                </c:pt>
                <c:pt idx="453">
                  <c:v>-2.5000000000000001E-2</c:v>
                </c:pt>
                <c:pt idx="454">
                  <c:v>-2.5000000000000001E-2</c:v>
                </c:pt>
                <c:pt idx="455">
                  <c:v>-2.5000000000000001E-2</c:v>
                </c:pt>
                <c:pt idx="456">
                  <c:v>-2.5000000000000001E-2</c:v>
                </c:pt>
                <c:pt idx="457">
                  <c:v>-2.5000000000000001E-2</c:v>
                </c:pt>
                <c:pt idx="458">
                  <c:v>-2.5000000000000001E-2</c:v>
                </c:pt>
                <c:pt idx="459">
                  <c:v>-2.5000000000000001E-2</c:v>
                </c:pt>
                <c:pt idx="460">
                  <c:v>-2.5000000000000001E-2</c:v>
                </c:pt>
                <c:pt idx="461">
                  <c:v>-2.5000000000000001E-2</c:v>
                </c:pt>
                <c:pt idx="462">
                  <c:v>-2.5000000000000001E-2</c:v>
                </c:pt>
                <c:pt idx="463">
                  <c:v>-2.5000000000000001E-2</c:v>
                </c:pt>
                <c:pt idx="464">
                  <c:v>-2.5000000000000001E-2</c:v>
                </c:pt>
                <c:pt idx="465">
                  <c:v>-2.5000000000000001E-2</c:v>
                </c:pt>
                <c:pt idx="466">
                  <c:v>-2.5000000000000001E-2</c:v>
                </c:pt>
                <c:pt idx="467">
                  <c:v>-2.5000000000000001E-2</c:v>
                </c:pt>
                <c:pt idx="468">
                  <c:v>-2.5000000000000001E-2</c:v>
                </c:pt>
                <c:pt idx="469">
                  <c:v>-2.5000000000000001E-2</c:v>
                </c:pt>
                <c:pt idx="470">
                  <c:v>-2.5000000000000001E-2</c:v>
                </c:pt>
                <c:pt idx="471">
                  <c:v>-2.5000000000000001E-2</c:v>
                </c:pt>
                <c:pt idx="472">
                  <c:v>-2.5000000000000001E-2</c:v>
                </c:pt>
                <c:pt idx="473">
                  <c:v>-2.5000000000000001E-2</c:v>
                </c:pt>
                <c:pt idx="474">
                  <c:v>-2.5000000000000001E-2</c:v>
                </c:pt>
                <c:pt idx="475">
                  <c:v>-2.5000000000000001E-2</c:v>
                </c:pt>
                <c:pt idx="476">
                  <c:v>-2.5000000000000001E-2</c:v>
                </c:pt>
                <c:pt idx="477">
                  <c:v>-2.5000000000000001E-2</c:v>
                </c:pt>
                <c:pt idx="478">
                  <c:v>-2.5000000000000001E-2</c:v>
                </c:pt>
                <c:pt idx="479">
                  <c:v>-2.5000000000000001E-2</c:v>
                </c:pt>
              </c:numCache>
            </c:numRef>
          </c:val>
          <c:smooth val="0"/>
          <c:extLst>
            <c:ext xmlns:c16="http://schemas.microsoft.com/office/drawing/2014/chart" uri="{C3380CC4-5D6E-409C-BE32-E72D297353CC}">
              <c16:uniqueId val="{00000003-B64F-46A5-BC0D-03A2C2DC02DE}"/>
            </c:ext>
          </c:extLst>
        </c:ser>
        <c:ser>
          <c:idx val="4"/>
          <c:order val="4"/>
          <c:tx>
            <c:strRef>
              <c:f>'Calculation of Typical Day'!$CR$13</c:f>
              <c:strCache>
                <c:ptCount val="1"/>
                <c:pt idx="0">
                  <c:v>Temperature demand of DH grid is met </c:v>
                </c:pt>
              </c:strCache>
            </c:strRef>
          </c:tx>
          <c:spPr>
            <a:ln w="31750" cap="rnd">
              <a:solidFill>
                <a:schemeClr val="accent5"/>
              </a:solidFill>
              <a:round/>
            </a:ln>
            <a:effectLst/>
          </c:spPr>
          <c:marker>
            <c:symbol val="none"/>
          </c:marker>
          <c:val>
            <c:numRef>
              <c:f>'Calculation of Typical Day'!$CR$21:$CR$500</c:f>
              <c:numCache>
                <c:formatCode>#,##0</c:formatCode>
                <c:ptCount val="480"/>
                <c:pt idx="0">
                  <c:v>0.95</c:v>
                </c:pt>
                <c:pt idx="1">
                  <c:v>0.95</c:v>
                </c:pt>
                <c:pt idx="2">
                  <c:v>0.95</c:v>
                </c:pt>
                <c:pt idx="3">
                  <c:v>0.95</c:v>
                </c:pt>
                <c:pt idx="4">
                  <c:v>0.95</c:v>
                </c:pt>
                <c:pt idx="5">
                  <c:v>0.95</c:v>
                </c:pt>
                <c:pt idx="6">
                  <c:v>0.95</c:v>
                </c:pt>
                <c:pt idx="7">
                  <c:v>0.95</c:v>
                </c:pt>
                <c:pt idx="8">
                  <c:v>0.95</c:v>
                </c:pt>
                <c:pt idx="9">
                  <c:v>0.95</c:v>
                </c:pt>
                <c:pt idx="10">
                  <c:v>0.95</c:v>
                </c:pt>
                <c:pt idx="11">
                  <c:v>0.95</c:v>
                </c:pt>
                <c:pt idx="12">
                  <c:v>0.95</c:v>
                </c:pt>
                <c:pt idx="13">
                  <c:v>0.95</c:v>
                </c:pt>
                <c:pt idx="14">
                  <c:v>0.95</c:v>
                </c:pt>
                <c:pt idx="15">
                  <c:v>0.95</c:v>
                </c:pt>
                <c:pt idx="16">
                  <c:v>0.95</c:v>
                </c:pt>
                <c:pt idx="17">
                  <c:v>0.95</c:v>
                </c:pt>
                <c:pt idx="18">
                  <c:v>0.95</c:v>
                </c:pt>
                <c:pt idx="19">
                  <c:v>0.95</c:v>
                </c:pt>
                <c:pt idx="20">
                  <c:v>0.95</c:v>
                </c:pt>
                <c:pt idx="21">
                  <c:v>0.95</c:v>
                </c:pt>
                <c:pt idx="22">
                  <c:v>0.95</c:v>
                </c:pt>
                <c:pt idx="23">
                  <c:v>0.95</c:v>
                </c:pt>
                <c:pt idx="24">
                  <c:v>0.95</c:v>
                </c:pt>
                <c:pt idx="25">
                  <c:v>0.95</c:v>
                </c:pt>
                <c:pt idx="26">
                  <c:v>0.95</c:v>
                </c:pt>
                <c:pt idx="27">
                  <c:v>0.95</c:v>
                </c:pt>
                <c:pt idx="28">
                  <c:v>0.95</c:v>
                </c:pt>
                <c:pt idx="29">
                  <c:v>0.95</c:v>
                </c:pt>
                <c:pt idx="30">
                  <c:v>0.95</c:v>
                </c:pt>
                <c:pt idx="31">
                  <c:v>0.95</c:v>
                </c:pt>
                <c:pt idx="32">
                  <c:v>0.95</c:v>
                </c:pt>
                <c:pt idx="33">
                  <c:v>0.95</c:v>
                </c:pt>
                <c:pt idx="34">
                  <c:v>0.95</c:v>
                </c:pt>
                <c:pt idx="35">
                  <c:v>0.95</c:v>
                </c:pt>
                <c:pt idx="36">
                  <c:v>0.95</c:v>
                </c:pt>
                <c:pt idx="37">
                  <c:v>0.95</c:v>
                </c:pt>
                <c:pt idx="38">
                  <c:v>0.95</c:v>
                </c:pt>
                <c:pt idx="39">
                  <c:v>0.95</c:v>
                </c:pt>
                <c:pt idx="40">
                  <c:v>0.95</c:v>
                </c:pt>
                <c:pt idx="41">
                  <c:v>0.95</c:v>
                </c:pt>
                <c:pt idx="42">
                  <c:v>0.95</c:v>
                </c:pt>
                <c:pt idx="43">
                  <c:v>0.95</c:v>
                </c:pt>
                <c:pt idx="44">
                  <c:v>0.95</c:v>
                </c:pt>
                <c:pt idx="45">
                  <c:v>0.95</c:v>
                </c:pt>
                <c:pt idx="46">
                  <c:v>0.95</c:v>
                </c:pt>
                <c:pt idx="47">
                  <c:v>0.95</c:v>
                </c:pt>
                <c:pt idx="48">
                  <c:v>0.95</c:v>
                </c:pt>
                <c:pt idx="49">
                  <c:v>0.95</c:v>
                </c:pt>
                <c:pt idx="50">
                  <c:v>0.95</c:v>
                </c:pt>
                <c:pt idx="51">
                  <c:v>0.95</c:v>
                </c:pt>
                <c:pt idx="52">
                  <c:v>0.95</c:v>
                </c:pt>
                <c:pt idx="53">
                  <c:v>0.95</c:v>
                </c:pt>
                <c:pt idx="54">
                  <c:v>0.95</c:v>
                </c:pt>
                <c:pt idx="55">
                  <c:v>0.95</c:v>
                </c:pt>
                <c:pt idx="56">
                  <c:v>0.95</c:v>
                </c:pt>
                <c:pt idx="57">
                  <c:v>0.95</c:v>
                </c:pt>
                <c:pt idx="58">
                  <c:v>0.95</c:v>
                </c:pt>
                <c:pt idx="59">
                  <c:v>0.95</c:v>
                </c:pt>
                <c:pt idx="60">
                  <c:v>0.95</c:v>
                </c:pt>
                <c:pt idx="61">
                  <c:v>0.95</c:v>
                </c:pt>
                <c:pt idx="62">
                  <c:v>0.95</c:v>
                </c:pt>
                <c:pt idx="63">
                  <c:v>0.95</c:v>
                </c:pt>
                <c:pt idx="64">
                  <c:v>0.95</c:v>
                </c:pt>
                <c:pt idx="65">
                  <c:v>0.95</c:v>
                </c:pt>
                <c:pt idx="66">
                  <c:v>0.95</c:v>
                </c:pt>
                <c:pt idx="67">
                  <c:v>0.95</c:v>
                </c:pt>
                <c:pt idx="68">
                  <c:v>0.95</c:v>
                </c:pt>
                <c:pt idx="69">
                  <c:v>0.95</c:v>
                </c:pt>
                <c:pt idx="70">
                  <c:v>0.95</c:v>
                </c:pt>
                <c:pt idx="71">
                  <c:v>0.95</c:v>
                </c:pt>
                <c:pt idx="72">
                  <c:v>0.95</c:v>
                </c:pt>
                <c:pt idx="73">
                  <c:v>0.95</c:v>
                </c:pt>
                <c:pt idx="74">
                  <c:v>0.95</c:v>
                </c:pt>
                <c:pt idx="75">
                  <c:v>0.95</c:v>
                </c:pt>
                <c:pt idx="76">
                  <c:v>0.95</c:v>
                </c:pt>
                <c:pt idx="77">
                  <c:v>0.95</c:v>
                </c:pt>
                <c:pt idx="78">
                  <c:v>0.95</c:v>
                </c:pt>
                <c:pt idx="79">
                  <c:v>0.95</c:v>
                </c:pt>
                <c:pt idx="80">
                  <c:v>0.95</c:v>
                </c:pt>
                <c:pt idx="81">
                  <c:v>0.95</c:v>
                </c:pt>
                <c:pt idx="82">
                  <c:v>0.95</c:v>
                </c:pt>
                <c:pt idx="83">
                  <c:v>0.95</c:v>
                </c:pt>
                <c:pt idx="84">
                  <c:v>0.95</c:v>
                </c:pt>
                <c:pt idx="85">
                  <c:v>0.95</c:v>
                </c:pt>
                <c:pt idx="86">
                  <c:v>0.95</c:v>
                </c:pt>
                <c:pt idx="87">
                  <c:v>0.95</c:v>
                </c:pt>
                <c:pt idx="88">
                  <c:v>0.95</c:v>
                </c:pt>
                <c:pt idx="89">
                  <c:v>0.95</c:v>
                </c:pt>
                <c:pt idx="90">
                  <c:v>0.95</c:v>
                </c:pt>
                <c:pt idx="91">
                  <c:v>0.95</c:v>
                </c:pt>
                <c:pt idx="92">
                  <c:v>0.95</c:v>
                </c:pt>
                <c:pt idx="93">
                  <c:v>0.95</c:v>
                </c:pt>
                <c:pt idx="94">
                  <c:v>0.95</c:v>
                </c:pt>
                <c:pt idx="95">
                  <c:v>0.95</c:v>
                </c:pt>
                <c:pt idx="96">
                  <c:v>0.95</c:v>
                </c:pt>
                <c:pt idx="97">
                  <c:v>0.95</c:v>
                </c:pt>
                <c:pt idx="98">
                  <c:v>0.95</c:v>
                </c:pt>
                <c:pt idx="99">
                  <c:v>0.95</c:v>
                </c:pt>
                <c:pt idx="100">
                  <c:v>0.95</c:v>
                </c:pt>
                <c:pt idx="101">
                  <c:v>0.95</c:v>
                </c:pt>
                <c:pt idx="102">
                  <c:v>0.95</c:v>
                </c:pt>
                <c:pt idx="103">
                  <c:v>0.95</c:v>
                </c:pt>
                <c:pt idx="104">
                  <c:v>0.95</c:v>
                </c:pt>
                <c:pt idx="105">
                  <c:v>0.95</c:v>
                </c:pt>
                <c:pt idx="106">
                  <c:v>0.95</c:v>
                </c:pt>
                <c:pt idx="107">
                  <c:v>0.95</c:v>
                </c:pt>
                <c:pt idx="108">
                  <c:v>0.95</c:v>
                </c:pt>
                <c:pt idx="109">
                  <c:v>0.95</c:v>
                </c:pt>
                <c:pt idx="110">
                  <c:v>0.95</c:v>
                </c:pt>
                <c:pt idx="111">
                  <c:v>0.95</c:v>
                </c:pt>
                <c:pt idx="112">
                  <c:v>0.95</c:v>
                </c:pt>
                <c:pt idx="113">
                  <c:v>0.95</c:v>
                </c:pt>
                <c:pt idx="114">
                  <c:v>0.95</c:v>
                </c:pt>
                <c:pt idx="115">
                  <c:v>0.95</c:v>
                </c:pt>
                <c:pt idx="116">
                  <c:v>0.95</c:v>
                </c:pt>
                <c:pt idx="117">
                  <c:v>0.95</c:v>
                </c:pt>
                <c:pt idx="118">
                  <c:v>0.95</c:v>
                </c:pt>
                <c:pt idx="119">
                  <c:v>0.95</c:v>
                </c:pt>
                <c:pt idx="120">
                  <c:v>0.95</c:v>
                </c:pt>
                <c:pt idx="121">
                  <c:v>0.95</c:v>
                </c:pt>
                <c:pt idx="122">
                  <c:v>0.95</c:v>
                </c:pt>
                <c:pt idx="123">
                  <c:v>0.95</c:v>
                </c:pt>
                <c:pt idx="124">
                  <c:v>0.95</c:v>
                </c:pt>
                <c:pt idx="125">
                  <c:v>0.95</c:v>
                </c:pt>
                <c:pt idx="126">
                  <c:v>0.95</c:v>
                </c:pt>
                <c:pt idx="127">
                  <c:v>0.95</c:v>
                </c:pt>
                <c:pt idx="128">
                  <c:v>0.95</c:v>
                </c:pt>
                <c:pt idx="129">
                  <c:v>0.95</c:v>
                </c:pt>
                <c:pt idx="130">
                  <c:v>0.95</c:v>
                </c:pt>
                <c:pt idx="131">
                  <c:v>0.95</c:v>
                </c:pt>
                <c:pt idx="132">
                  <c:v>0.95</c:v>
                </c:pt>
                <c:pt idx="133">
                  <c:v>0.95</c:v>
                </c:pt>
                <c:pt idx="134">
                  <c:v>0.95</c:v>
                </c:pt>
                <c:pt idx="135">
                  <c:v>0.95</c:v>
                </c:pt>
                <c:pt idx="136">
                  <c:v>0.95</c:v>
                </c:pt>
                <c:pt idx="137">
                  <c:v>0.95</c:v>
                </c:pt>
                <c:pt idx="138">
                  <c:v>0.95</c:v>
                </c:pt>
                <c:pt idx="139">
                  <c:v>0.95</c:v>
                </c:pt>
                <c:pt idx="140">
                  <c:v>0.95</c:v>
                </c:pt>
                <c:pt idx="141">
                  <c:v>0.95</c:v>
                </c:pt>
                <c:pt idx="142">
                  <c:v>0.95</c:v>
                </c:pt>
                <c:pt idx="143">
                  <c:v>0.95</c:v>
                </c:pt>
                <c:pt idx="144">
                  <c:v>0.95</c:v>
                </c:pt>
                <c:pt idx="145">
                  <c:v>0.95</c:v>
                </c:pt>
                <c:pt idx="146">
                  <c:v>0.95</c:v>
                </c:pt>
                <c:pt idx="147">
                  <c:v>0.95</c:v>
                </c:pt>
                <c:pt idx="148">
                  <c:v>0.95</c:v>
                </c:pt>
                <c:pt idx="149">
                  <c:v>0.95</c:v>
                </c:pt>
                <c:pt idx="150">
                  <c:v>0.95</c:v>
                </c:pt>
                <c:pt idx="151">
                  <c:v>0.95</c:v>
                </c:pt>
                <c:pt idx="152">
                  <c:v>0.95</c:v>
                </c:pt>
                <c:pt idx="153">
                  <c:v>0.95</c:v>
                </c:pt>
                <c:pt idx="154">
                  <c:v>0.95</c:v>
                </c:pt>
                <c:pt idx="155">
                  <c:v>0.95</c:v>
                </c:pt>
                <c:pt idx="156">
                  <c:v>0.95</c:v>
                </c:pt>
                <c:pt idx="157">
                  <c:v>0.95</c:v>
                </c:pt>
                <c:pt idx="158">
                  <c:v>0.95</c:v>
                </c:pt>
                <c:pt idx="159">
                  <c:v>0.95</c:v>
                </c:pt>
                <c:pt idx="160">
                  <c:v>0.95</c:v>
                </c:pt>
                <c:pt idx="161">
                  <c:v>0.95</c:v>
                </c:pt>
                <c:pt idx="162">
                  <c:v>0.95</c:v>
                </c:pt>
                <c:pt idx="163">
                  <c:v>0.95</c:v>
                </c:pt>
                <c:pt idx="164">
                  <c:v>0.95</c:v>
                </c:pt>
                <c:pt idx="165">
                  <c:v>0.95</c:v>
                </c:pt>
                <c:pt idx="166">
                  <c:v>0.95</c:v>
                </c:pt>
                <c:pt idx="167">
                  <c:v>0.95</c:v>
                </c:pt>
                <c:pt idx="168">
                  <c:v>0.95</c:v>
                </c:pt>
                <c:pt idx="169">
                  <c:v>0.95</c:v>
                </c:pt>
                <c:pt idx="170">
                  <c:v>0.95</c:v>
                </c:pt>
                <c:pt idx="171">
                  <c:v>0.95</c:v>
                </c:pt>
                <c:pt idx="172">
                  <c:v>0.95</c:v>
                </c:pt>
                <c:pt idx="173">
                  <c:v>0.95</c:v>
                </c:pt>
                <c:pt idx="174">
                  <c:v>0.95</c:v>
                </c:pt>
                <c:pt idx="175">
                  <c:v>0.95</c:v>
                </c:pt>
                <c:pt idx="176">
                  <c:v>0.95</c:v>
                </c:pt>
                <c:pt idx="177">
                  <c:v>0.95</c:v>
                </c:pt>
                <c:pt idx="178">
                  <c:v>0.95</c:v>
                </c:pt>
                <c:pt idx="179">
                  <c:v>0.95</c:v>
                </c:pt>
                <c:pt idx="180">
                  <c:v>0.95</c:v>
                </c:pt>
                <c:pt idx="181">
                  <c:v>0.95</c:v>
                </c:pt>
                <c:pt idx="182">
                  <c:v>0.95</c:v>
                </c:pt>
                <c:pt idx="183">
                  <c:v>0.95</c:v>
                </c:pt>
                <c:pt idx="184">
                  <c:v>0.95</c:v>
                </c:pt>
                <c:pt idx="185">
                  <c:v>0.95</c:v>
                </c:pt>
                <c:pt idx="186">
                  <c:v>0.95</c:v>
                </c:pt>
                <c:pt idx="187">
                  <c:v>0.95</c:v>
                </c:pt>
                <c:pt idx="188">
                  <c:v>0.95</c:v>
                </c:pt>
                <c:pt idx="189">
                  <c:v>0.95</c:v>
                </c:pt>
                <c:pt idx="190">
                  <c:v>0.95</c:v>
                </c:pt>
                <c:pt idx="191">
                  <c:v>0.95</c:v>
                </c:pt>
                <c:pt idx="192">
                  <c:v>0.95</c:v>
                </c:pt>
                <c:pt idx="193">
                  <c:v>0.95</c:v>
                </c:pt>
                <c:pt idx="194">
                  <c:v>0.95</c:v>
                </c:pt>
                <c:pt idx="195">
                  <c:v>0.95</c:v>
                </c:pt>
                <c:pt idx="196">
                  <c:v>0.95</c:v>
                </c:pt>
                <c:pt idx="197">
                  <c:v>0.95</c:v>
                </c:pt>
                <c:pt idx="198">
                  <c:v>0.95</c:v>
                </c:pt>
                <c:pt idx="199">
                  <c:v>0.95</c:v>
                </c:pt>
                <c:pt idx="200">
                  <c:v>0.95</c:v>
                </c:pt>
                <c:pt idx="201">
                  <c:v>0.95</c:v>
                </c:pt>
                <c:pt idx="202">
                  <c:v>0.95</c:v>
                </c:pt>
                <c:pt idx="203">
                  <c:v>0.95</c:v>
                </c:pt>
                <c:pt idx="204">
                  <c:v>0.95</c:v>
                </c:pt>
                <c:pt idx="205">
                  <c:v>0.95</c:v>
                </c:pt>
                <c:pt idx="206">
                  <c:v>0.95</c:v>
                </c:pt>
                <c:pt idx="207">
                  <c:v>0.95</c:v>
                </c:pt>
                <c:pt idx="208">
                  <c:v>0.95</c:v>
                </c:pt>
                <c:pt idx="209">
                  <c:v>0.95</c:v>
                </c:pt>
                <c:pt idx="210">
                  <c:v>0.95</c:v>
                </c:pt>
                <c:pt idx="211">
                  <c:v>0.95</c:v>
                </c:pt>
                <c:pt idx="212">
                  <c:v>0.95</c:v>
                </c:pt>
                <c:pt idx="213">
                  <c:v>0.95</c:v>
                </c:pt>
                <c:pt idx="214">
                  <c:v>0.95</c:v>
                </c:pt>
                <c:pt idx="215">
                  <c:v>0.95</c:v>
                </c:pt>
                <c:pt idx="216">
                  <c:v>0.95</c:v>
                </c:pt>
                <c:pt idx="217">
                  <c:v>0.95</c:v>
                </c:pt>
                <c:pt idx="218">
                  <c:v>0.95</c:v>
                </c:pt>
                <c:pt idx="219">
                  <c:v>0.95</c:v>
                </c:pt>
                <c:pt idx="220">
                  <c:v>0.95</c:v>
                </c:pt>
                <c:pt idx="221">
                  <c:v>0.95</c:v>
                </c:pt>
                <c:pt idx="222">
                  <c:v>0.95</c:v>
                </c:pt>
                <c:pt idx="223">
                  <c:v>0.95</c:v>
                </c:pt>
                <c:pt idx="224">
                  <c:v>0.95</c:v>
                </c:pt>
                <c:pt idx="225">
                  <c:v>0.95</c:v>
                </c:pt>
                <c:pt idx="226">
                  <c:v>0.95</c:v>
                </c:pt>
                <c:pt idx="227">
                  <c:v>0.95</c:v>
                </c:pt>
                <c:pt idx="228">
                  <c:v>0.95</c:v>
                </c:pt>
                <c:pt idx="229">
                  <c:v>0.95</c:v>
                </c:pt>
                <c:pt idx="230">
                  <c:v>0.95</c:v>
                </c:pt>
                <c:pt idx="231">
                  <c:v>0.95</c:v>
                </c:pt>
                <c:pt idx="232">
                  <c:v>0.95</c:v>
                </c:pt>
                <c:pt idx="233">
                  <c:v>0.95</c:v>
                </c:pt>
                <c:pt idx="234">
                  <c:v>0.95</c:v>
                </c:pt>
                <c:pt idx="235">
                  <c:v>0.95</c:v>
                </c:pt>
                <c:pt idx="236">
                  <c:v>0.95</c:v>
                </c:pt>
                <c:pt idx="237">
                  <c:v>0.95</c:v>
                </c:pt>
                <c:pt idx="238">
                  <c:v>0.95</c:v>
                </c:pt>
                <c:pt idx="239">
                  <c:v>0.95</c:v>
                </c:pt>
                <c:pt idx="240">
                  <c:v>0.95</c:v>
                </c:pt>
                <c:pt idx="241">
                  <c:v>0.95</c:v>
                </c:pt>
                <c:pt idx="242">
                  <c:v>0.95</c:v>
                </c:pt>
                <c:pt idx="243">
                  <c:v>0.95</c:v>
                </c:pt>
                <c:pt idx="244">
                  <c:v>0.95</c:v>
                </c:pt>
                <c:pt idx="245">
                  <c:v>0.95</c:v>
                </c:pt>
                <c:pt idx="246">
                  <c:v>0.95</c:v>
                </c:pt>
                <c:pt idx="247">
                  <c:v>0.95</c:v>
                </c:pt>
                <c:pt idx="248">
                  <c:v>0.95</c:v>
                </c:pt>
                <c:pt idx="249">
                  <c:v>0.95</c:v>
                </c:pt>
                <c:pt idx="250">
                  <c:v>0.95</c:v>
                </c:pt>
                <c:pt idx="251">
                  <c:v>0.95</c:v>
                </c:pt>
                <c:pt idx="252">
                  <c:v>0.95</c:v>
                </c:pt>
                <c:pt idx="253">
                  <c:v>0.95</c:v>
                </c:pt>
                <c:pt idx="254">
                  <c:v>0.95</c:v>
                </c:pt>
                <c:pt idx="255">
                  <c:v>0.95</c:v>
                </c:pt>
                <c:pt idx="256">
                  <c:v>0.95</c:v>
                </c:pt>
                <c:pt idx="257">
                  <c:v>0.95</c:v>
                </c:pt>
                <c:pt idx="258">
                  <c:v>0.95</c:v>
                </c:pt>
                <c:pt idx="259">
                  <c:v>0.95</c:v>
                </c:pt>
                <c:pt idx="260">
                  <c:v>0.95</c:v>
                </c:pt>
                <c:pt idx="261">
                  <c:v>0.95</c:v>
                </c:pt>
                <c:pt idx="262">
                  <c:v>0.95</c:v>
                </c:pt>
                <c:pt idx="263">
                  <c:v>0.95</c:v>
                </c:pt>
                <c:pt idx="264">
                  <c:v>0.95</c:v>
                </c:pt>
                <c:pt idx="265">
                  <c:v>0.95</c:v>
                </c:pt>
                <c:pt idx="266">
                  <c:v>0.95</c:v>
                </c:pt>
                <c:pt idx="267">
                  <c:v>0.95</c:v>
                </c:pt>
                <c:pt idx="268">
                  <c:v>0.95</c:v>
                </c:pt>
                <c:pt idx="269">
                  <c:v>0.95</c:v>
                </c:pt>
                <c:pt idx="270">
                  <c:v>0.95</c:v>
                </c:pt>
                <c:pt idx="271">
                  <c:v>0.95</c:v>
                </c:pt>
                <c:pt idx="272">
                  <c:v>0.95</c:v>
                </c:pt>
                <c:pt idx="273">
                  <c:v>0.95</c:v>
                </c:pt>
                <c:pt idx="274">
                  <c:v>0.95</c:v>
                </c:pt>
                <c:pt idx="275">
                  <c:v>0.95</c:v>
                </c:pt>
                <c:pt idx="276">
                  <c:v>0.95</c:v>
                </c:pt>
                <c:pt idx="277">
                  <c:v>0.95</c:v>
                </c:pt>
                <c:pt idx="278">
                  <c:v>0.95</c:v>
                </c:pt>
                <c:pt idx="279">
                  <c:v>0.95</c:v>
                </c:pt>
                <c:pt idx="280">
                  <c:v>0.95</c:v>
                </c:pt>
                <c:pt idx="281">
                  <c:v>0.95</c:v>
                </c:pt>
                <c:pt idx="282">
                  <c:v>0.95</c:v>
                </c:pt>
                <c:pt idx="283">
                  <c:v>0.95</c:v>
                </c:pt>
                <c:pt idx="284">
                  <c:v>0.95</c:v>
                </c:pt>
                <c:pt idx="285">
                  <c:v>0.95</c:v>
                </c:pt>
                <c:pt idx="286">
                  <c:v>0.95</c:v>
                </c:pt>
                <c:pt idx="287">
                  <c:v>0.95</c:v>
                </c:pt>
                <c:pt idx="288">
                  <c:v>0.95</c:v>
                </c:pt>
                <c:pt idx="289">
                  <c:v>0.95</c:v>
                </c:pt>
                <c:pt idx="290">
                  <c:v>0.95</c:v>
                </c:pt>
                <c:pt idx="291">
                  <c:v>0.95</c:v>
                </c:pt>
                <c:pt idx="292">
                  <c:v>0.95</c:v>
                </c:pt>
                <c:pt idx="293">
                  <c:v>0.95</c:v>
                </c:pt>
                <c:pt idx="294">
                  <c:v>0.95</c:v>
                </c:pt>
                <c:pt idx="295">
                  <c:v>0.95</c:v>
                </c:pt>
                <c:pt idx="296">
                  <c:v>0.95</c:v>
                </c:pt>
                <c:pt idx="297">
                  <c:v>0.95</c:v>
                </c:pt>
                <c:pt idx="298">
                  <c:v>0.95</c:v>
                </c:pt>
                <c:pt idx="299">
                  <c:v>0.95</c:v>
                </c:pt>
                <c:pt idx="300">
                  <c:v>0.95</c:v>
                </c:pt>
                <c:pt idx="301">
                  <c:v>0.95</c:v>
                </c:pt>
                <c:pt idx="302">
                  <c:v>0.95</c:v>
                </c:pt>
                <c:pt idx="303">
                  <c:v>0.95</c:v>
                </c:pt>
                <c:pt idx="304">
                  <c:v>0.95</c:v>
                </c:pt>
                <c:pt idx="305">
                  <c:v>0.95</c:v>
                </c:pt>
                <c:pt idx="306">
                  <c:v>0.95</c:v>
                </c:pt>
                <c:pt idx="307">
                  <c:v>0.95</c:v>
                </c:pt>
                <c:pt idx="308">
                  <c:v>0.95</c:v>
                </c:pt>
                <c:pt idx="309">
                  <c:v>0.95</c:v>
                </c:pt>
                <c:pt idx="310">
                  <c:v>0.95</c:v>
                </c:pt>
                <c:pt idx="311">
                  <c:v>0.95</c:v>
                </c:pt>
                <c:pt idx="312">
                  <c:v>0.95</c:v>
                </c:pt>
                <c:pt idx="313">
                  <c:v>0.95</c:v>
                </c:pt>
                <c:pt idx="314">
                  <c:v>0.95</c:v>
                </c:pt>
                <c:pt idx="315">
                  <c:v>0.95</c:v>
                </c:pt>
                <c:pt idx="316">
                  <c:v>0.95</c:v>
                </c:pt>
                <c:pt idx="317">
                  <c:v>0.95</c:v>
                </c:pt>
                <c:pt idx="318">
                  <c:v>0.95</c:v>
                </c:pt>
                <c:pt idx="319">
                  <c:v>0.95</c:v>
                </c:pt>
                <c:pt idx="320">
                  <c:v>0.95</c:v>
                </c:pt>
                <c:pt idx="321">
                  <c:v>0.95</c:v>
                </c:pt>
                <c:pt idx="322">
                  <c:v>0.95</c:v>
                </c:pt>
                <c:pt idx="323">
                  <c:v>0.95</c:v>
                </c:pt>
                <c:pt idx="324">
                  <c:v>0.95</c:v>
                </c:pt>
                <c:pt idx="325">
                  <c:v>0.95</c:v>
                </c:pt>
                <c:pt idx="326">
                  <c:v>0.95</c:v>
                </c:pt>
                <c:pt idx="327">
                  <c:v>0.95</c:v>
                </c:pt>
                <c:pt idx="328">
                  <c:v>0.95</c:v>
                </c:pt>
                <c:pt idx="329">
                  <c:v>0.95</c:v>
                </c:pt>
                <c:pt idx="330">
                  <c:v>0.95</c:v>
                </c:pt>
                <c:pt idx="331">
                  <c:v>0.95</c:v>
                </c:pt>
                <c:pt idx="332">
                  <c:v>0.95</c:v>
                </c:pt>
                <c:pt idx="333">
                  <c:v>0.95</c:v>
                </c:pt>
                <c:pt idx="334">
                  <c:v>0.95</c:v>
                </c:pt>
                <c:pt idx="335">
                  <c:v>0.95</c:v>
                </c:pt>
                <c:pt idx="336">
                  <c:v>0.95</c:v>
                </c:pt>
                <c:pt idx="337">
                  <c:v>0.95</c:v>
                </c:pt>
                <c:pt idx="338">
                  <c:v>0.95</c:v>
                </c:pt>
                <c:pt idx="339">
                  <c:v>0.95</c:v>
                </c:pt>
                <c:pt idx="340">
                  <c:v>0.95</c:v>
                </c:pt>
                <c:pt idx="341">
                  <c:v>0.95</c:v>
                </c:pt>
                <c:pt idx="342">
                  <c:v>0.95</c:v>
                </c:pt>
                <c:pt idx="343">
                  <c:v>0.95</c:v>
                </c:pt>
                <c:pt idx="344">
                  <c:v>0.95</c:v>
                </c:pt>
                <c:pt idx="345">
                  <c:v>0.95</c:v>
                </c:pt>
                <c:pt idx="346">
                  <c:v>0.95</c:v>
                </c:pt>
                <c:pt idx="347">
                  <c:v>0.95</c:v>
                </c:pt>
                <c:pt idx="348">
                  <c:v>0.95</c:v>
                </c:pt>
                <c:pt idx="349">
                  <c:v>0.95</c:v>
                </c:pt>
                <c:pt idx="350">
                  <c:v>0.95</c:v>
                </c:pt>
                <c:pt idx="351">
                  <c:v>0.95</c:v>
                </c:pt>
                <c:pt idx="352">
                  <c:v>0.95</c:v>
                </c:pt>
                <c:pt idx="353">
                  <c:v>0.95</c:v>
                </c:pt>
                <c:pt idx="354">
                  <c:v>0.95</c:v>
                </c:pt>
                <c:pt idx="355">
                  <c:v>0.95</c:v>
                </c:pt>
                <c:pt idx="356">
                  <c:v>0.95</c:v>
                </c:pt>
                <c:pt idx="357">
                  <c:v>0.95</c:v>
                </c:pt>
                <c:pt idx="358">
                  <c:v>0.95</c:v>
                </c:pt>
                <c:pt idx="359">
                  <c:v>0.95</c:v>
                </c:pt>
                <c:pt idx="360">
                  <c:v>0.95</c:v>
                </c:pt>
                <c:pt idx="361">
                  <c:v>0.95</c:v>
                </c:pt>
                <c:pt idx="362">
                  <c:v>0.95</c:v>
                </c:pt>
                <c:pt idx="363">
                  <c:v>0.95</c:v>
                </c:pt>
                <c:pt idx="364">
                  <c:v>0.95</c:v>
                </c:pt>
                <c:pt idx="365">
                  <c:v>0.95</c:v>
                </c:pt>
                <c:pt idx="366">
                  <c:v>0.95</c:v>
                </c:pt>
                <c:pt idx="367">
                  <c:v>0.95</c:v>
                </c:pt>
                <c:pt idx="368">
                  <c:v>0.95</c:v>
                </c:pt>
                <c:pt idx="369">
                  <c:v>0.95</c:v>
                </c:pt>
                <c:pt idx="370">
                  <c:v>0.95</c:v>
                </c:pt>
                <c:pt idx="371">
                  <c:v>0.95</c:v>
                </c:pt>
                <c:pt idx="372">
                  <c:v>0.95</c:v>
                </c:pt>
                <c:pt idx="373">
                  <c:v>0.95</c:v>
                </c:pt>
                <c:pt idx="374">
                  <c:v>0.95</c:v>
                </c:pt>
                <c:pt idx="375">
                  <c:v>0.95</c:v>
                </c:pt>
                <c:pt idx="376">
                  <c:v>0.95</c:v>
                </c:pt>
                <c:pt idx="377">
                  <c:v>0.95</c:v>
                </c:pt>
                <c:pt idx="378">
                  <c:v>0.95</c:v>
                </c:pt>
                <c:pt idx="379">
                  <c:v>0.95</c:v>
                </c:pt>
                <c:pt idx="380">
                  <c:v>0.95</c:v>
                </c:pt>
                <c:pt idx="381">
                  <c:v>0.95</c:v>
                </c:pt>
                <c:pt idx="382">
                  <c:v>0.95</c:v>
                </c:pt>
                <c:pt idx="383">
                  <c:v>0.95</c:v>
                </c:pt>
                <c:pt idx="384">
                  <c:v>0.95</c:v>
                </c:pt>
                <c:pt idx="385">
                  <c:v>0.95</c:v>
                </c:pt>
                <c:pt idx="386">
                  <c:v>0.95</c:v>
                </c:pt>
                <c:pt idx="387">
                  <c:v>0.95</c:v>
                </c:pt>
                <c:pt idx="388">
                  <c:v>0.95</c:v>
                </c:pt>
                <c:pt idx="389">
                  <c:v>0.95</c:v>
                </c:pt>
                <c:pt idx="390">
                  <c:v>0.95</c:v>
                </c:pt>
                <c:pt idx="391">
                  <c:v>0.95</c:v>
                </c:pt>
                <c:pt idx="392">
                  <c:v>0.95</c:v>
                </c:pt>
                <c:pt idx="393">
                  <c:v>0.95</c:v>
                </c:pt>
                <c:pt idx="394">
                  <c:v>0.95</c:v>
                </c:pt>
                <c:pt idx="395">
                  <c:v>0.95</c:v>
                </c:pt>
                <c:pt idx="396">
                  <c:v>0.95</c:v>
                </c:pt>
                <c:pt idx="397">
                  <c:v>0.95</c:v>
                </c:pt>
                <c:pt idx="398">
                  <c:v>0.95</c:v>
                </c:pt>
                <c:pt idx="399">
                  <c:v>0.95</c:v>
                </c:pt>
                <c:pt idx="400">
                  <c:v>0.95</c:v>
                </c:pt>
                <c:pt idx="401">
                  <c:v>0.95</c:v>
                </c:pt>
                <c:pt idx="402">
                  <c:v>0.95</c:v>
                </c:pt>
                <c:pt idx="403">
                  <c:v>0.95</c:v>
                </c:pt>
                <c:pt idx="404">
                  <c:v>0.95</c:v>
                </c:pt>
                <c:pt idx="405">
                  <c:v>0.95</c:v>
                </c:pt>
                <c:pt idx="406">
                  <c:v>0.95</c:v>
                </c:pt>
                <c:pt idx="407">
                  <c:v>0.95</c:v>
                </c:pt>
                <c:pt idx="408">
                  <c:v>0.95</c:v>
                </c:pt>
                <c:pt idx="409">
                  <c:v>0.95</c:v>
                </c:pt>
                <c:pt idx="410">
                  <c:v>0.95</c:v>
                </c:pt>
                <c:pt idx="411">
                  <c:v>0.95</c:v>
                </c:pt>
                <c:pt idx="412">
                  <c:v>0.95</c:v>
                </c:pt>
                <c:pt idx="413">
                  <c:v>0.95</c:v>
                </c:pt>
                <c:pt idx="414">
                  <c:v>0.95</c:v>
                </c:pt>
                <c:pt idx="415">
                  <c:v>0.95</c:v>
                </c:pt>
                <c:pt idx="416">
                  <c:v>0.95</c:v>
                </c:pt>
                <c:pt idx="417">
                  <c:v>0.95</c:v>
                </c:pt>
                <c:pt idx="418">
                  <c:v>0.95</c:v>
                </c:pt>
                <c:pt idx="419">
                  <c:v>0.95</c:v>
                </c:pt>
                <c:pt idx="420">
                  <c:v>0.95</c:v>
                </c:pt>
                <c:pt idx="421">
                  <c:v>0.95</c:v>
                </c:pt>
                <c:pt idx="422">
                  <c:v>0.95</c:v>
                </c:pt>
                <c:pt idx="423">
                  <c:v>0.95</c:v>
                </c:pt>
                <c:pt idx="424">
                  <c:v>0.95</c:v>
                </c:pt>
                <c:pt idx="425">
                  <c:v>0.95</c:v>
                </c:pt>
                <c:pt idx="426">
                  <c:v>0.95</c:v>
                </c:pt>
                <c:pt idx="427">
                  <c:v>0.95</c:v>
                </c:pt>
                <c:pt idx="428">
                  <c:v>0.95</c:v>
                </c:pt>
                <c:pt idx="429">
                  <c:v>0.95</c:v>
                </c:pt>
                <c:pt idx="430">
                  <c:v>0.95</c:v>
                </c:pt>
                <c:pt idx="431">
                  <c:v>0.95</c:v>
                </c:pt>
                <c:pt idx="432">
                  <c:v>0.95</c:v>
                </c:pt>
                <c:pt idx="433">
                  <c:v>0.95</c:v>
                </c:pt>
                <c:pt idx="434">
                  <c:v>0.95</c:v>
                </c:pt>
                <c:pt idx="435">
                  <c:v>0.95</c:v>
                </c:pt>
                <c:pt idx="436">
                  <c:v>0.95</c:v>
                </c:pt>
                <c:pt idx="437">
                  <c:v>0.95</c:v>
                </c:pt>
                <c:pt idx="438">
                  <c:v>0.95</c:v>
                </c:pt>
                <c:pt idx="439">
                  <c:v>0.95</c:v>
                </c:pt>
                <c:pt idx="440">
                  <c:v>0.95</c:v>
                </c:pt>
                <c:pt idx="441">
                  <c:v>0.95</c:v>
                </c:pt>
                <c:pt idx="442">
                  <c:v>0.95</c:v>
                </c:pt>
                <c:pt idx="443">
                  <c:v>0.95</c:v>
                </c:pt>
                <c:pt idx="444">
                  <c:v>0.95</c:v>
                </c:pt>
                <c:pt idx="445">
                  <c:v>0.95</c:v>
                </c:pt>
                <c:pt idx="446">
                  <c:v>0.95</c:v>
                </c:pt>
                <c:pt idx="447">
                  <c:v>0.95</c:v>
                </c:pt>
                <c:pt idx="448">
                  <c:v>0.95</c:v>
                </c:pt>
                <c:pt idx="449">
                  <c:v>0.95</c:v>
                </c:pt>
                <c:pt idx="450">
                  <c:v>0.95</c:v>
                </c:pt>
                <c:pt idx="451">
                  <c:v>0.95</c:v>
                </c:pt>
                <c:pt idx="452">
                  <c:v>0.95</c:v>
                </c:pt>
                <c:pt idx="453">
                  <c:v>0.95</c:v>
                </c:pt>
                <c:pt idx="454">
                  <c:v>0.95</c:v>
                </c:pt>
                <c:pt idx="455">
                  <c:v>0.95</c:v>
                </c:pt>
                <c:pt idx="456">
                  <c:v>0.95</c:v>
                </c:pt>
                <c:pt idx="457">
                  <c:v>0.95</c:v>
                </c:pt>
                <c:pt idx="458">
                  <c:v>0.95</c:v>
                </c:pt>
                <c:pt idx="459">
                  <c:v>0.95</c:v>
                </c:pt>
                <c:pt idx="460">
                  <c:v>0.95</c:v>
                </c:pt>
                <c:pt idx="461">
                  <c:v>0.95</c:v>
                </c:pt>
                <c:pt idx="462">
                  <c:v>0.95</c:v>
                </c:pt>
                <c:pt idx="463">
                  <c:v>0.95</c:v>
                </c:pt>
                <c:pt idx="464">
                  <c:v>0.95</c:v>
                </c:pt>
                <c:pt idx="465">
                  <c:v>0.95</c:v>
                </c:pt>
                <c:pt idx="466">
                  <c:v>0.95</c:v>
                </c:pt>
                <c:pt idx="467">
                  <c:v>0.95</c:v>
                </c:pt>
                <c:pt idx="468">
                  <c:v>0.95</c:v>
                </c:pt>
                <c:pt idx="469">
                  <c:v>0.95</c:v>
                </c:pt>
                <c:pt idx="470">
                  <c:v>0.95</c:v>
                </c:pt>
                <c:pt idx="471">
                  <c:v>0.95</c:v>
                </c:pt>
                <c:pt idx="472">
                  <c:v>0.95</c:v>
                </c:pt>
                <c:pt idx="473">
                  <c:v>0.95</c:v>
                </c:pt>
                <c:pt idx="474">
                  <c:v>0.95</c:v>
                </c:pt>
                <c:pt idx="475">
                  <c:v>0.95</c:v>
                </c:pt>
                <c:pt idx="476">
                  <c:v>0.95</c:v>
                </c:pt>
                <c:pt idx="477">
                  <c:v>0.95</c:v>
                </c:pt>
                <c:pt idx="478">
                  <c:v>0.95</c:v>
                </c:pt>
                <c:pt idx="479">
                  <c:v>0.95</c:v>
                </c:pt>
              </c:numCache>
            </c:numRef>
          </c:val>
          <c:smooth val="0"/>
          <c:extLst>
            <c:ext xmlns:c16="http://schemas.microsoft.com/office/drawing/2014/chart" uri="{C3380CC4-5D6E-409C-BE32-E72D297353CC}">
              <c16:uniqueId val="{00000004-B64F-46A5-BC0D-03A2C2DC02DE}"/>
            </c:ext>
          </c:extLst>
        </c:ser>
        <c:ser>
          <c:idx val="5"/>
          <c:order val="5"/>
          <c:tx>
            <c:strRef>
              <c:f>'Calculation of Typical Day'!$CS$20</c:f>
              <c:strCache>
                <c:ptCount val="1"/>
                <c:pt idx="0">
                  <c:v>Heat pump is running</c:v>
                </c:pt>
              </c:strCache>
            </c:strRef>
          </c:tx>
          <c:spPr>
            <a:ln w="31750" cap="rnd">
              <a:solidFill>
                <a:schemeClr val="accent6"/>
              </a:solidFill>
              <a:round/>
            </a:ln>
            <a:effectLst/>
          </c:spPr>
          <c:marker>
            <c:symbol val="none"/>
          </c:marker>
          <c:val>
            <c:numRef>
              <c:f>'Calculation of Typical Day'!$CS$21:$CS$500</c:f>
              <c:numCache>
                <c:formatCode>#,##0</c:formatCode>
                <c:ptCount val="480"/>
                <c:pt idx="0">
                  <c:v>1.02</c:v>
                </c:pt>
                <c:pt idx="1">
                  <c:v>1.02</c:v>
                </c:pt>
                <c:pt idx="2">
                  <c:v>1.02</c:v>
                </c:pt>
                <c:pt idx="3">
                  <c:v>1.02</c:v>
                </c:pt>
                <c:pt idx="4">
                  <c:v>1.02</c:v>
                </c:pt>
                <c:pt idx="5">
                  <c:v>1.02</c:v>
                </c:pt>
                <c:pt idx="6">
                  <c:v>1.02</c:v>
                </c:pt>
                <c:pt idx="7">
                  <c:v>1.02</c:v>
                </c:pt>
                <c:pt idx="8">
                  <c:v>1.02</c:v>
                </c:pt>
                <c:pt idx="9">
                  <c:v>1.02</c:v>
                </c:pt>
                <c:pt idx="10">
                  <c:v>1.02</c:v>
                </c:pt>
                <c:pt idx="11">
                  <c:v>1.02</c:v>
                </c:pt>
                <c:pt idx="12">
                  <c:v>1.02</c:v>
                </c:pt>
                <c:pt idx="13">
                  <c:v>1.02</c:v>
                </c:pt>
                <c:pt idx="14">
                  <c:v>1.02</c:v>
                </c:pt>
                <c:pt idx="15">
                  <c:v>1.02</c:v>
                </c:pt>
                <c:pt idx="16">
                  <c:v>1.02</c:v>
                </c:pt>
                <c:pt idx="17">
                  <c:v>1.02</c:v>
                </c:pt>
                <c:pt idx="18">
                  <c:v>1.02</c:v>
                </c:pt>
                <c:pt idx="19">
                  <c:v>1.02</c:v>
                </c:pt>
                <c:pt idx="20">
                  <c:v>1.02</c:v>
                </c:pt>
                <c:pt idx="21">
                  <c:v>1.02</c:v>
                </c:pt>
                <c:pt idx="22">
                  <c:v>1.02</c:v>
                </c:pt>
                <c:pt idx="23">
                  <c:v>1.02</c:v>
                </c:pt>
                <c:pt idx="24">
                  <c:v>1.02</c:v>
                </c:pt>
                <c:pt idx="25">
                  <c:v>1.02</c:v>
                </c:pt>
                <c:pt idx="26">
                  <c:v>1.02</c:v>
                </c:pt>
                <c:pt idx="27">
                  <c:v>1.02</c:v>
                </c:pt>
                <c:pt idx="28">
                  <c:v>1.02</c:v>
                </c:pt>
                <c:pt idx="29">
                  <c:v>1.02</c:v>
                </c:pt>
                <c:pt idx="30">
                  <c:v>1.02</c:v>
                </c:pt>
                <c:pt idx="31">
                  <c:v>1.02</c:v>
                </c:pt>
                <c:pt idx="32">
                  <c:v>1.02</c:v>
                </c:pt>
                <c:pt idx="33">
                  <c:v>1.02</c:v>
                </c:pt>
                <c:pt idx="34">
                  <c:v>1.02</c:v>
                </c:pt>
                <c:pt idx="35">
                  <c:v>1.02</c:v>
                </c:pt>
                <c:pt idx="36">
                  <c:v>1.02</c:v>
                </c:pt>
                <c:pt idx="37">
                  <c:v>1.02</c:v>
                </c:pt>
                <c:pt idx="38">
                  <c:v>1.02</c:v>
                </c:pt>
                <c:pt idx="39">
                  <c:v>1.02</c:v>
                </c:pt>
                <c:pt idx="40">
                  <c:v>1.02</c:v>
                </c:pt>
                <c:pt idx="41">
                  <c:v>1.02</c:v>
                </c:pt>
                <c:pt idx="42">
                  <c:v>1.02</c:v>
                </c:pt>
                <c:pt idx="43">
                  <c:v>1.02</c:v>
                </c:pt>
                <c:pt idx="44">
                  <c:v>1.02</c:v>
                </c:pt>
                <c:pt idx="45">
                  <c:v>1.02</c:v>
                </c:pt>
                <c:pt idx="46">
                  <c:v>1.02</c:v>
                </c:pt>
                <c:pt idx="47">
                  <c:v>1.02</c:v>
                </c:pt>
                <c:pt idx="48">
                  <c:v>1.02</c:v>
                </c:pt>
                <c:pt idx="49">
                  <c:v>1.02</c:v>
                </c:pt>
                <c:pt idx="50">
                  <c:v>1.02</c:v>
                </c:pt>
                <c:pt idx="51">
                  <c:v>1.02</c:v>
                </c:pt>
                <c:pt idx="52">
                  <c:v>1.02</c:v>
                </c:pt>
                <c:pt idx="53">
                  <c:v>1.02</c:v>
                </c:pt>
                <c:pt idx="54">
                  <c:v>1.02</c:v>
                </c:pt>
                <c:pt idx="55">
                  <c:v>1.02</c:v>
                </c:pt>
                <c:pt idx="56">
                  <c:v>1.02</c:v>
                </c:pt>
                <c:pt idx="57">
                  <c:v>1.02</c:v>
                </c:pt>
                <c:pt idx="58">
                  <c:v>1.02</c:v>
                </c:pt>
                <c:pt idx="59">
                  <c:v>1.02</c:v>
                </c:pt>
                <c:pt idx="60">
                  <c:v>1.02</c:v>
                </c:pt>
                <c:pt idx="61">
                  <c:v>1.02</c:v>
                </c:pt>
                <c:pt idx="62">
                  <c:v>1.02</c:v>
                </c:pt>
                <c:pt idx="63">
                  <c:v>1.02</c:v>
                </c:pt>
                <c:pt idx="64">
                  <c:v>1.02</c:v>
                </c:pt>
                <c:pt idx="65">
                  <c:v>1.02</c:v>
                </c:pt>
                <c:pt idx="66">
                  <c:v>1.02</c:v>
                </c:pt>
                <c:pt idx="67">
                  <c:v>1.02</c:v>
                </c:pt>
                <c:pt idx="68">
                  <c:v>1.02</c:v>
                </c:pt>
                <c:pt idx="69">
                  <c:v>1.02</c:v>
                </c:pt>
                <c:pt idx="70">
                  <c:v>1.02</c:v>
                </c:pt>
                <c:pt idx="71">
                  <c:v>1.02</c:v>
                </c:pt>
                <c:pt idx="72">
                  <c:v>1.02</c:v>
                </c:pt>
                <c:pt idx="73">
                  <c:v>1.02</c:v>
                </c:pt>
                <c:pt idx="74">
                  <c:v>1.02</c:v>
                </c:pt>
                <c:pt idx="75">
                  <c:v>1.02</c:v>
                </c:pt>
                <c:pt idx="76">
                  <c:v>1.02</c:v>
                </c:pt>
                <c:pt idx="77">
                  <c:v>1.02</c:v>
                </c:pt>
                <c:pt idx="78">
                  <c:v>1.02</c:v>
                </c:pt>
                <c:pt idx="79">
                  <c:v>1.02</c:v>
                </c:pt>
                <c:pt idx="80">
                  <c:v>1.02</c:v>
                </c:pt>
                <c:pt idx="81">
                  <c:v>1.02</c:v>
                </c:pt>
                <c:pt idx="82">
                  <c:v>1.02</c:v>
                </c:pt>
                <c:pt idx="83">
                  <c:v>1.02</c:v>
                </c:pt>
                <c:pt idx="84">
                  <c:v>1.02</c:v>
                </c:pt>
                <c:pt idx="85">
                  <c:v>1.02</c:v>
                </c:pt>
                <c:pt idx="86">
                  <c:v>1.02</c:v>
                </c:pt>
                <c:pt idx="87">
                  <c:v>1.02</c:v>
                </c:pt>
                <c:pt idx="88">
                  <c:v>1.02</c:v>
                </c:pt>
                <c:pt idx="89">
                  <c:v>1.02</c:v>
                </c:pt>
                <c:pt idx="90">
                  <c:v>1.02</c:v>
                </c:pt>
                <c:pt idx="91">
                  <c:v>1.02</c:v>
                </c:pt>
                <c:pt idx="92">
                  <c:v>1.02</c:v>
                </c:pt>
                <c:pt idx="93">
                  <c:v>1.02</c:v>
                </c:pt>
                <c:pt idx="94">
                  <c:v>1.02</c:v>
                </c:pt>
                <c:pt idx="95">
                  <c:v>1.02</c:v>
                </c:pt>
                <c:pt idx="96">
                  <c:v>1.02</c:v>
                </c:pt>
                <c:pt idx="97">
                  <c:v>1.02</c:v>
                </c:pt>
                <c:pt idx="98">
                  <c:v>1.02</c:v>
                </c:pt>
                <c:pt idx="99">
                  <c:v>1.02</c:v>
                </c:pt>
                <c:pt idx="100">
                  <c:v>1.02</c:v>
                </c:pt>
                <c:pt idx="101">
                  <c:v>1.02</c:v>
                </c:pt>
                <c:pt idx="102">
                  <c:v>1.02</c:v>
                </c:pt>
                <c:pt idx="103">
                  <c:v>1.02</c:v>
                </c:pt>
                <c:pt idx="104">
                  <c:v>1.02</c:v>
                </c:pt>
                <c:pt idx="105">
                  <c:v>1.02</c:v>
                </c:pt>
                <c:pt idx="106">
                  <c:v>1.02</c:v>
                </c:pt>
                <c:pt idx="107">
                  <c:v>1.02</c:v>
                </c:pt>
                <c:pt idx="108">
                  <c:v>1.02</c:v>
                </c:pt>
                <c:pt idx="109">
                  <c:v>1.02</c:v>
                </c:pt>
                <c:pt idx="110">
                  <c:v>1.02</c:v>
                </c:pt>
                <c:pt idx="111">
                  <c:v>1.02</c:v>
                </c:pt>
                <c:pt idx="112">
                  <c:v>1.02</c:v>
                </c:pt>
                <c:pt idx="113">
                  <c:v>1.02</c:v>
                </c:pt>
                <c:pt idx="114">
                  <c:v>1.02</c:v>
                </c:pt>
                <c:pt idx="115">
                  <c:v>1.02</c:v>
                </c:pt>
                <c:pt idx="116">
                  <c:v>1.02</c:v>
                </c:pt>
                <c:pt idx="117">
                  <c:v>1.02</c:v>
                </c:pt>
                <c:pt idx="118">
                  <c:v>1.02</c:v>
                </c:pt>
                <c:pt idx="119">
                  <c:v>1.02</c:v>
                </c:pt>
                <c:pt idx="120">
                  <c:v>0.03</c:v>
                </c:pt>
                <c:pt idx="121">
                  <c:v>0.03</c:v>
                </c:pt>
                <c:pt idx="122">
                  <c:v>0.03</c:v>
                </c:pt>
                <c:pt idx="123">
                  <c:v>0.03</c:v>
                </c:pt>
                <c:pt idx="124">
                  <c:v>0.03</c:v>
                </c:pt>
                <c:pt idx="125">
                  <c:v>0.03</c:v>
                </c:pt>
                <c:pt idx="126">
                  <c:v>0.03</c:v>
                </c:pt>
                <c:pt idx="127">
                  <c:v>0.03</c:v>
                </c:pt>
                <c:pt idx="128">
                  <c:v>0.03</c:v>
                </c:pt>
                <c:pt idx="129">
                  <c:v>0.03</c:v>
                </c:pt>
                <c:pt idx="130">
                  <c:v>0.03</c:v>
                </c:pt>
                <c:pt idx="131">
                  <c:v>0.03</c:v>
                </c:pt>
                <c:pt idx="132">
                  <c:v>0.03</c:v>
                </c:pt>
                <c:pt idx="133">
                  <c:v>0.03</c:v>
                </c:pt>
                <c:pt idx="134">
                  <c:v>0.03</c:v>
                </c:pt>
                <c:pt idx="135">
                  <c:v>0.03</c:v>
                </c:pt>
                <c:pt idx="136">
                  <c:v>0.03</c:v>
                </c:pt>
                <c:pt idx="137">
                  <c:v>0.03</c:v>
                </c:pt>
                <c:pt idx="138">
                  <c:v>0.03</c:v>
                </c:pt>
                <c:pt idx="139">
                  <c:v>0.03</c:v>
                </c:pt>
                <c:pt idx="140">
                  <c:v>0.03</c:v>
                </c:pt>
                <c:pt idx="141">
                  <c:v>0.03</c:v>
                </c:pt>
                <c:pt idx="142">
                  <c:v>0.03</c:v>
                </c:pt>
                <c:pt idx="143">
                  <c:v>0.03</c:v>
                </c:pt>
                <c:pt idx="144">
                  <c:v>0.03</c:v>
                </c:pt>
                <c:pt idx="145">
                  <c:v>0.03</c:v>
                </c:pt>
                <c:pt idx="146">
                  <c:v>0.03</c:v>
                </c:pt>
                <c:pt idx="147">
                  <c:v>0.03</c:v>
                </c:pt>
                <c:pt idx="148">
                  <c:v>0.03</c:v>
                </c:pt>
                <c:pt idx="149">
                  <c:v>0.03</c:v>
                </c:pt>
                <c:pt idx="150">
                  <c:v>0.03</c:v>
                </c:pt>
                <c:pt idx="151">
                  <c:v>0.03</c:v>
                </c:pt>
                <c:pt idx="152">
                  <c:v>0.03</c:v>
                </c:pt>
                <c:pt idx="153">
                  <c:v>0.03</c:v>
                </c:pt>
                <c:pt idx="154">
                  <c:v>0.03</c:v>
                </c:pt>
                <c:pt idx="155">
                  <c:v>0.03</c:v>
                </c:pt>
                <c:pt idx="156">
                  <c:v>0.03</c:v>
                </c:pt>
                <c:pt idx="157">
                  <c:v>0.03</c:v>
                </c:pt>
                <c:pt idx="158">
                  <c:v>0.03</c:v>
                </c:pt>
                <c:pt idx="159">
                  <c:v>0.03</c:v>
                </c:pt>
                <c:pt idx="160">
                  <c:v>0.03</c:v>
                </c:pt>
                <c:pt idx="161">
                  <c:v>0.03</c:v>
                </c:pt>
                <c:pt idx="162">
                  <c:v>0.03</c:v>
                </c:pt>
                <c:pt idx="163">
                  <c:v>0.03</c:v>
                </c:pt>
                <c:pt idx="164">
                  <c:v>0.03</c:v>
                </c:pt>
                <c:pt idx="165">
                  <c:v>0.03</c:v>
                </c:pt>
                <c:pt idx="166">
                  <c:v>0.03</c:v>
                </c:pt>
                <c:pt idx="167">
                  <c:v>0.03</c:v>
                </c:pt>
                <c:pt idx="168">
                  <c:v>0.03</c:v>
                </c:pt>
                <c:pt idx="169">
                  <c:v>0.03</c:v>
                </c:pt>
                <c:pt idx="170">
                  <c:v>0.03</c:v>
                </c:pt>
                <c:pt idx="171">
                  <c:v>0.03</c:v>
                </c:pt>
                <c:pt idx="172">
                  <c:v>0.03</c:v>
                </c:pt>
                <c:pt idx="173">
                  <c:v>0.03</c:v>
                </c:pt>
                <c:pt idx="174">
                  <c:v>0.03</c:v>
                </c:pt>
                <c:pt idx="175">
                  <c:v>0.03</c:v>
                </c:pt>
                <c:pt idx="176">
                  <c:v>0.03</c:v>
                </c:pt>
                <c:pt idx="177">
                  <c:v>0.03</c:v>
                </c:pt>
                <c:pt idx="178">
                  <c:v>0.03</c:v>
                </c:pt>
                <c:pt idx="179">
                  <c:v>0.03</c:v>
                </c:pt>
                <c:pt idx="180">
                  <c:v>0.03</c:v>
                </c:pt>
                <c:pt idx="181">
                  <c:v>0.03</c:v>
                </c:pt>
                <c:pt idx="182">
                  <c:v>0.03</c:v>
                </c:pt>
                <c:pt idx="183">
                  <c:v>0.03</c:v>
                </c:pt>
                <c:pt idx="184">
                  <c:v>0.03</c:v>
                </c:pt>
                <c:pt idx="185">
                  <c:v>0.03</c:v>
                </c:pt>
                <c:pt idx="186">
                  <c:v>0.03</c:v>
                </c:pt>
                <c:pt idx="187">
                  <c:v>0.03</c:v>
                </c:pt>
                <c:pt idx="188">
                  <c:v>0.03</c:v>
                </c:pt>
                <c:pt idx="189">
                  <c:v>0.03</c:v>
                </c:pt>
                <c:pt idx="190">
                  <c:v>0.03</c:v>
                </c:pt>
                <c:pt idx="191">
                  <c:v>0.03</c:v>
                </c:pt>
                <c:pt idx="192">
                  <c:v>0.03</c:v>
                </c:pt>
                <c:pt idx="193">
                  <c:v>0.03</c:v>
                </c:pt>
                <c:pt idx="194">
                  <c:v>0.03</c:v>
                </c:pt>
                <c:pt idx="195">
                  <c:v>0.03</c:v>
                </c:pt>
                <c:pt idx="196">
                  <c:v>0.03</c:v>
                </c:pt>
                <c:pt idx="197">
                  <c:v>0.03</c:v>
                </c:pt>
                <c:pt idx="198">
                  <c:v>0.03</c:v>
                </c:pt>
                <c:pt idx="199">
                  <c:v>0.03</c:v>
                </c:pt>
                <c:pt idx="200">
                  <c:v>0.03</c:v>
                </c:pt>
                <c:pt idx="201">
                  <c:v>0.03</c:v>
                </c:pt>
                <c:pt idx="202">
                  <c:v>0.03</c:v>
                </c:pt>
                <c:pt idx="203">
                  <c:v>0.03</c:v>
                </c:pt>
                <c:pt idx="204">
                  <c:v>0.03</c:v>
                </c:pt>
                <c:pt idx="205">
                  <c:v>0.03</c:v>
                </c:pt>
                <c:pt idx="206">
                  <c:v>0.03</c:v>
                </c:pt>
                <c:pt idx="207">
                  <c:v>0.03</c:v>
                </c:pt>
                <c:pt idx="208">
                  <c:v>0.03</c:v>
                </c:pt>
                <c:pt idx="209">
                  <c:v>0.03</c:v>
                </c:pt>
                <c:pt idx="210">
                  <c:v>0.03</c:v>
                </c:pt>
                <c:pt idx="211">
                  <c:v>0.03</c:v>
                </c:pt>
                <c:pt idx="212">
                  <c:v>0.03</c:v>
                </c:pt>
                <c:pt idx="213">
                  <c:v>0.03</c:v>
                </c:pt>
                <c:pt idx="214">
                  <c:v>0.03</c:v>
                </c:pt>
                <c:pt idx="215">
                  <c:v>0.03</c:v>
                </c:pt>
                <c:pt idx="216">
                  <c:v>0.03</c:v>
                </c:pt>
                <c:pt idx="217">
                  <c:v>0.03</c:v>
                </c:pt>
                <c:pt idx="218">
                  <c:v>0.03</c:v>
                </c:pt>
                <c:pt idx="219">
                  <c:v>0.03</c:v>
                </c:pt>
                <c:pt idx="220">
                  <c:v>0.03</c:v>
                </c:pt>
                <c:pt idx="221">
                  <c:v>0.03</c:v>
                </c:pt>
                <c:pt idx="222">
                  <c:v>0.03</c:v>
                </c:pt>
                <c:pt idx="223">
                  <c:v>0.03</c:v>
                </c:pt>
                <c:pt idx="224">
                  <c:v>0.03</c:v>
                </c:pt>
                <c:pt idx="225">
                  <c:v>0.03</c:v>
                </c:pt>
                <c:pt idx="226">
                  <c:v>0.03</c:v>
                </c:pt>
                <c:pt idx="227">
                  <c:v>0.03</c:v>
                </c:pt>
                <c:pt idx="228">
                  <c:v>0.03</c:v>
                </c:pt>
                <c:pt idx="229">
                  <c:v>0.03</c:v>
                </c:pt>
                <c:pt idx="230">
                  <c:v>0.03</c:v>
                </c:pt>
                <c:pt idx="231">
                  <c:v>0.03</c:v>
                </c:pt>
                <c:pt idx="232">
                  <c:v>0.03</c:v>
                </c:pt>
                <c:pt idx="233">
                  <c:v>0.03</c:v>
                </c:pt>
                <c:pt idx="234">
                  <c:v>0.03</c:v>
                </c:pt>
                <c:pt idx="235">
                  <c:v>0.03</c:v>
                </c:pt>
                <c:pt idx="236">
                  <c:v>0.03</c:v>
                </c:pt>
                <c:pt idx="237">
                  <c:v>0.03</c:v>
                </c:pt>
                <c:pt idx="238">
                  <c:v>0.03</c:v>
                </c:pt>
                <c:pt idx="239">
                  <c:v>0.03</c:v>
                </c:pt>
                <c:pt idx="240">
                  <c:v>0.03</c:v>
                </c:pt>
                <c:pt idx="241">
                  <c:v>0.03</c:v>
                </c:pt>
                <c:pt idx="242">
                  <c:v>0.03</c:v>
                </c:pt>
                <c:pt idx="243">
                  <c:v>0.03</c:v>
                </c:pt>
                <c:pt idx="244">
                  <c:v>0.03</c:v>
                </c:pt>
                <c:pt idx="245">
                  <c:v>0.03</c:v>
                </c:pt>
                <c:pt idx="246">
                  <c:v>0.03</c:v>
                </c:pt>
                <c:pt idx="247">
                  <c:v>0.03</c:v>
                </c:pt>
                <c:pt idx="248">
                  <c:v>0.03</c:v>
                </c:pt>
                <c:pt idx="249">
                  <c:v>0.03</c:v>
                </c:pt>
                <c:pt idx="250">
                  <c:v>0.03</c:v>
                </c:pt>
                <c:pt idx="251">
                  <c:v>0.03</c:v>
                </c:pt>
                <c:pt idx="252">
                  <c:v>0.03</c:v>
                </c:pt>
                <c:pt idx="253">
                  <c:v>0.03</c:v>
                </c:pt>
                <c:pt idx="254">
                  <c:v>0.03</c:v>
                </c:pt>
                <c:pt idx="255">
                  <c:v>0.03</c:v>
                </c:pt>
                <c:pt idx="256">
                  <c:v>0.03</c:v>
                </c:pt>
                <c:pt idx="257">
                  <c:v>0.03</c:v>
                </c:pt>
                <c:pt idx="258">
                  <c:v>0.03</c:v>
                </c:pt>
                <c:pt idx="259">
                  <c:v>0.03</c:v>
                </c:pt>
                <c:pt idx="260">
                  <c:v>0.03</c:v>
                </c:pt>
                <c:pt idx="261">
                  <c:v>0.03</c:v>
                </c:pt>
                <c:pt idx="262">
                  <c:v>0.03</c:v>
                </c:pt>
                <c:pt idx="263">
                  <c:v>0.03</c:v>
                </c:pt>
                <c:pt idx="264">
                  <c:v>0.03</c:v>
                </c:pt>
                <c:pt idx="265">
                  <c:v>0.03</c:v>
                </c:pt>
                <c:pt idx="266">
                  <c:v>0.03</c:v>
                </c:pt>
                <c:pt idx="267">
                  <c:v>0.03</c:v>
                </c:pt>
                <c:pt idx="268">
                  <c:v>0.03</c:v>
                </c:pt>
                <c:pt idx="269">
                  <c:v>0.03</c:v>
                </c:pt>
                <c:pt idx="270">
                  <c:v>0.03</c:v>
                </c:pt>
                <c:pt idx="271">
                  <c:v>0.03</c:v>
                </c:pt>
                <c:pt idx="272">
                  <c:v>0.03</c:v>
                </c:pt>
                <c:pt idx="273">
                  <c:v>0.03</c:v>
                </c:pt>
                <c:pt idx="274">
                  <c:v>0.03</c:v>
                </c:pt>
                <c:pt idx="275">
                  <c:v>0.03</c:v>
                </c:pt>
                <c:pt idx="276">
                  <c:v>0.03</c:v>
                </c:pt>
                <c:pt idx="277">
                  <c:v>0.03</c:v>
                </c:pt>
                <c:pt idx="278">
                  <c:v>0.03</c:v>
                </c:pt>
                <c:pt idx="279">
                  <c:v>0.03</c:v>
                </c:pt>
                <c:pt idx="280">
                  <c:v>0.03</c:v>
                </c:pt>
                <c:pt idx="281">
                  <c:v>0.03</c:v>
                </c:pt>
                <c:pt idx="282">
                  <c:v>0.03</c:v>
                </c:pt>
                <c:pt idx="283">
                  <c:v>0.03</c:v>
                </c:pt>
                <c:pt idx="284">
                  <c:v>0.03</c:v>
                </c:pt>
                <c:pt idx="285">
                  <c:v>0.03</c:v>
                </c:pt>
                <c:pt idx="286">
                  <c:v>0.03</c:v>
                </c:pt>
                <c:pt idx="287">
                  <c:v>0.03</c:v>
                </c:pt>
                <c:pt idx="288">
                  <c:v>0.03</c:v>
                </c:pt>
                <c:pt idx="289">
                  <c:v>0.03</c:v>
                </c:pt>
                <c:pt idx="290">
                  <c:v>0.03</c:v>
                </c:pt>
                <c:pt idx="291">
                  <c:v>0.03</c:v>
                </c:pt>
                <c:pt idx="292">
                  <c:v>0.03</c:v>
                </c:pt>
                <c:pt idx="293">
                  <c:v>0.03</c:v>
                </c:pt>
                <c:pt idx="294">
                  <c:v>0.03</c:v>
                </c:pt>
                <c:pt idx="295">
                  <c:v>0.03</c:v>
                </c:pt>
                <c:pt idx="296">
                  <c:v>0.03</c:v>
                </c:pt>
                <c:pt idx="297">
                  <c:v>0.03</c:v>
                </c:pt>
                <c:pt idx="298">
                  <c:v>0.03</c:v>
                </c:pt>
                <c:pt idx="299">
                  <c:v>0.03</c:v>
                </c:pt>
                <c:pt idx="300">
                  <c:v>0.03</c:v>
                </c:pt>
                <c:pt idx="301">
                  <c:v>0.03</c:v>
                </c:pt>
                <c:pt idx="302">
                  <c:v>0.03</c:v>
                </c:pt>
                <c:pt idx="303">
                  <c:v>0.03</c:v>
                </c:pt>
                <c:pt idx="304">
                  <c:v>0.03</c:v>
                </c:pt>
                <c:pt idx="305">
                  <c:v>0.03</c:v>
                </c:pt>
                <c:pt idx="306">
                  <c:v>0.03</c:v>
                </c:pt>
                <c:pt idx="307">
                  <c:v>0.03</c:v>
                </c:pt>
                <c:pt idx="308">
                  <c:v>0.03</c:v>
                </c:pt>
                <c:pt idx="309">
                  <c:v>0.03</c:v>
                </c:pt>
                <c:pt idx="310">
                  <c:v>0.03</c:v>
                </c:pt>
                <c:pt idx="311">
                  <c:v>0.03</c:v>
                </c:pt>
                <c:pt idx="312">
                  <c:v>0.03</c:v>
                </c:pt>
                <c:pt idx="313">
                  <c:v>0.03</c:v>
                </c:pt>
                <c:pt idx="314">
                  <c:v>0.03</c:v>
                </c:pt>
                <c:pt idx="315">
                  <c:v>0.03</c:v>
                </c:pt>
                <c:pt idx="316">
                  <c:v>0.03</c:v>
                </c:pt>
                <c:pt idx="317">
                  <c:v>0.03</c:v>
                </c:pt>
                <c:pt idx="318">
                  <c:v>0.03</c:v>
                </c:pt>
                <c:pt idx="319">
                  <c:v>0.03</c:v>
                </c:pt>
                <c:pt idx="320">
                  <c:v>0.03</c:v>
                </c:pt>
                <c:pt idx="321">
                  <c:v>0.03</c:v>
                </c:pt>
                <c:pt idx="322">
                  <c:v>0.03</c:v>
                </c:pt>
                <c:pt idx="323">
                  <c:v>0.03</c:v>
                </c:pt>
                <c:pt idx="324">
                  <c:v>0.03</c:v>
                </c:pt>
                <c:pt idx="325">
                  <c:v>0.03</c:v>
                </c:pt>
                <c:pt idx="326">
                  <c:v>0.03</c:v>
                </c:pt>
                <c:pt idx="327">
                  <c:v>0.03</c:v>
                </c:pt>
                <c:pt idx="328">
                  <c:v>0.03</c:v>
                </c:pt>
                <c:pt idx="329">
                  <c:v>0.03</c:v>
                </c:pt>
                <c:pt idx="330">
                  <c:v>0.03</c:v>
                </c:pt>
                <c:pt idx="331">
                  <c:v>0.03</c:v>
                </c:pt>
                <c:pt idx="332">
                  <c:v>0.03</c:v>
                </c:pt>
                <c:pt idx="333">
                  <c:v>0.03</c:v>
                </c:pt>
                <c:pt idx="334">
                  <c:v>0.03</c:v>
                </c:pt>
                <c:pt idx="335">
                  <c:v>0.03</c:v>
                </c:pt>
                <c:pt idx="336">
                  <c:v>0.03</c:v>
                </c:pt>
                <c:pt idx="337">
                  <c:v>0.03</c:v>
                </c:pt>
                <c:pt idx="338">
                  <c:v>0.03</c:v>
                </c:pt>
                <c:pt idx="339">
                  <c:v>0.03</c:v>
                </c:pt>
                <c:pt idx="340">
                  <c:v>0.03</c:v>
                </c:pt>
                <c:pt idx="341">
                  <c:v>0.03</c:v>
                </c:pt>
                <c:pt idx="342">
                  <c:v>0.03</c:v>
                </c:pt>
                <c:pt idx="343">
                  <c:v>0.03</c:v>
                </c:pt>
                <c:pt idx="344">
                  <c:v>0.03</c:v>
                </c:pt>
                <c:pt idx="345">
                  <c:v>0.03</c:v>
                </c:pt>
                <c:pt idx="346">
                  <c:v>0.03</c:v>
                </c:pt>
                <c:pt idx="347">
                  <c:v>0.03</c:v>
                </c:pt>
                <c:pt idx="348">
                  <c:v>0.03</c:v>
                </c:pt>
                <c:pt idx="349">
                  <c:v>0.03</c:v>
                </c:pt>
                <c:pt idx="350">
                  <c:v>0.03</c:v>
                </c:pt>
                <c:pt idx="351">
                  <c:v>0.03</c:v>
                </c:pt>
                <c:pt idx="352">
                  <c:v>0.03</c:v>
                </c:pt>
                <c:pt idx="353">
                  <c:v>0.03</c:v>
                </c:pt>
                <c:pt idx="354">
                  <c:v>0.03</c:v>
                </c:pt>
                <c:pt idx="355">
                  <c:v>0.03</c:v>
                </c:pt>
                <c:pt idx="356">
                  <c:v>0.03</c:v>
                </c:pt>
                <c:pt idx="357">
                  <c:v>0.03</c:v>
                </c:pt>
                <c:pt idx="358">
                  <c:v>0.03</c:v>
                </c:pt>
                <c:pt idx="359">
                  <c:v>0.03</c:v>
                </c:pt>
                <c:pt idx="360">
                  <c:v>0.03</c:v>
                </c:pt>
                <c:pt idx="361">
                  <c:v>0.03</c:v>
                </c:pt>
                <c:pt idx="362">
                  <c:v>0.03</c:v>
                </c:pt>
                <c:pt idx="363">
                  <c:v>0.03</c:v>
                </c:pt>
                <c:pt idx="364">
                  <c:v>0.03</c:v>
                </c:pt>
                <c:pt idx="365">
                  <c:v>0.03</c:v>
                </c:pt>
                <c:pt idx="366">
                  <c:v>0.03</c:v>
                </c:pt>
                <c:pt idx="367">
                  <c:v>0.03</c:v>
                </c:pt>
                <c:pt idx="368">
                  <c:v>0.03</c:v>
                </c:pt>
                <c:pt idx="369">
                  <c:v>0.03</c:v>
                </c:pt>
                <c:pt idx="370">
                  <c:v>0.03</c:v>
                </c:pt>
                <c:pt idx="371">
                  <c:v>0.03</c:v>
                </c:pt>
                <c:pt idx="372">
                  <c:v>0.03</c:v>
                </c:pt>
                <c:pt idx="373">
                  <c:v>0.03</c:v>
                </c:pt>
                <c:pt idx="374">
                  <c:v>0.03</c:v>
                </c:pt>
                <c:pt idx="375">
                  <c:v>0.03</c:v>
                </c:pt>
                <c:pt idx="376">
                  <c:v>0.03</c:v>
                </c:pt>
                <c:pt idx="377">
                  <c:v>0.03</c:v>
                </c:pt>
                <c:pt idx="378">
                  <c:v>0.03</c:v>
                </c:pt>
                <c:pt idx="379">
                  <c:v>0.03</c:v>
                </c:pt>
                <c:pt idx="380">
                  <c:v>0.03</c:v>
                </c:pt>
                <c:pt idx="381">
                  <c:v>0.03</c:v>
                </c:pt>
                <c:pt idx="382">
                  <c:v>0.03</c:v>
                </c:pt>
                <c:pt idx="383">
                  <c:v>0.03</c:v>
                </c:pt>
                <c:pt idx="384">
                  <c:v>0.03</c:v>
                </c:pt>
                <c:pt idx="385">
                  <c:v>0.03</c:v>
                </c:pt>
                <c:pt idx="386">
                  <c:v>0.03</c:v>
                </c:pt>
                <c:pt idx="387">
                  <c:v>0.03</c:v>
                </c:pt>
                <c:pt idx="388">
                  <c:v>0.03</c:v>
                </c:pt>
                <c:pt idx="389">
                  <c:v>0.03</c:v>
                </c:pt>
                <c:pt idx="390">
                  <c:v>0.03</c:v>
                </c:pt>
                <c:pt idx="391">
                  <c:v>0.03</c:v>
                </c:pt>
                <c:pt idx="392">
                  <c:v>0.03</c:v>
                </c:pt>
                <c:pt idx="393">
                  <c:v>0.03</c:v>
                </c:pt>
                <c:pt idx="394">
                  <c:v>0.03</c:v>
                </c:pt>
                <c:pt idx="395">
                  <c:v>0.03</c:v>
                </c:pt>
                <c:pt idx="396">
                  <c:v>0.03</c:v>
                </c:pt>
                <c:pt idx="397">
                  <c:v>0.03</c:v>
                </c:pt>
                <c:pt idx="398">
                  <c:v>0.03</c:v>
                </c:pt>
                <c:pt idx="399">
                  <c:v>0.03</c:v>
                </c:pt>
                <c:pt idx="400">
                  <c:v>0.03</c:v>
                </c:pt>
                <c:pt idx="401">
                  <c:v>0.03</c:v>
                </c:pt>
                <c:pt idx="402">
                  <c:v>0.03</c:v>
                </c:pt>
                <c:pt idx="403">
                  <c:v>0.03</c:v>
                </c:pt>
                <c:pt idx="404">
                  <c:v>0.03</c:v>
                </c:pt>
                <c:pt idx="405">
                  <c:v>0.03</c:v>
                </c:pt>
                <c:pt idx="406">
                  <c:v>0.03</c:v>
                </c:pt>
                <c:pt idx="407">
                  <c:v>0.03</c:v>
                </c:pt>
                <c:pt idx="408">
                  <c:v>0.03</c:v>
                </c:pt>
                <c:pt idx="409">
                  <c:v>0.03</c:v>
                </c:pt>
                <c:pt idx="410">
                  <c:v>0.03</c:v>
                </c:pt>
                <c:pt idx="411">
                  <c:v>0.03</c:v>
                </c:pt>
                <c:pt idx="412">
                  <c:v>0.03</c:v>
                </c:pt>
                <c:pt idx="413">
                  <c:v>0.03</c:v>
                </c:pt>
                <c:pt idx="414">
                  <c:v>0.03</c:v>
                </c:pt>
                <c:pt idx="415">
                  <c:v>0.03</c:v>
                </c:pt>
                <c:pt idx="416">
                  <c:v>0.03</c:v>
                </c:pt>
                <c:pt idx="417">
                  <c:v>0.03</c:v>
                </c:pt>
                <c:pt idx="418">
                  <c:v>0.03</c:v>
                </c:pt>
                <c:pt idx="419">
                  <c:v>0.03</c:v>
                </c:pt>
                <c:pt idx="420">
                  <c:v>0.03</c:v>
                </c:pt>
                <c:pt idx="421">
                  <c:v>0.03</c:v>
                </c:pt>
                <c:pt idx="422">
                  <c:v>0.03</c:v>
                </c:pt>
                <c:pt idx="423">
                  <c:v>0.03</c:v>
                </c:pt>
                <c:pt idx="424">
                  <c:v>0.03</c:v>
                </c:pt>
                <c:pt idx="425">
                  <c:v>0.03</c:v>
                </c:pt>
                <c:pt idx="426">
                  <c:v>0.03</c:v>
                </c:pt>
                <c:pt idx="427">
                  <c:v>0.03</c:v>
                </c:pt>
                <c:pt idx="428">
                  <c:v>0.03</c:v>
                </c:pt>
                <c:pt idx="429">
                  <c:v>0.03</c:v>
                </c:pt>
                <c:pt idx="430">
                  <c:v>0.03</c:v>
                </c:pt>
                <c:pt idx="431">
                  <c:v>0.03</c:v>
                </c:pt>
                <c:pt idx="432">
                  <c:v>0.03</c:v>
                </c:pt>
                <c:pt idx="433">
                  <c:v>0.03</c:v>
                </c:pt>
                <c:pt idx="434">
                  <c:v>0.03</c:v>
                </c:pt>
                <c:pt idx="435">
                  <c:v>0.03</c:v>
                </c:pt>
                <c:pt idx="436">
                  <c:v>0.03</c:v>
                </c:pt>
                <c:pt idx="437">
                  <c:v>0.03</c:v>
                </c:pt>
                <c:pt idx="438">
                  <c:v>0.03</c:v>
                </c:pt>
                <c:pt idx="439">
                  <c:v>0.03</c:v>
                </c:pt>
                <c:pt idx="440">
                  <c:v>0.03</c:v>
                </c:pt>
                <c:pt idx="441">
                  <c:v>0.03</c:v>
                </c:pt>
                <c:pt idx="442">
                  <c:v>0.03</c:v>
                </c:pt>
                <c:pt idx="443">
                  <c:v>0.03</c:v>
                </c:pt>
                <c:pt idx="444">
                  <c:v>0.03</c:v>
                </c:pt>
                <c:pt idx="445">
                  <c:v>0.03</c:v>
                </c:pt>
                <c:pt idx="446">
                  <c:v>0.03</c:v>
                </c:pt>
                <c:pt idx="447">
                  <c:v>0.03</c:v>
                </c:pt>
                <c:pt idx="448">
                  <c:v>0.03</c:v>
                </c:pt>
                <c:pt idx="449">
                  <c:v>0.03</c:v>
                </c:pt>
                <c:pt idx="450">
                  <c:v>0.03</c:v>
                </c:pt>
                <c:pt idx="451">
                  <c:v>0.03</c:v>
                </c:pt>
                <c:pt idx="452">
                  <c:v>0.03</c:v>
                </c:pt>
                <c:pt idx="453">
                  <c:v>0.03</c:v>
                </c:pt>
                <c:pt idx="454">
                  <c:v>0.03</c:v>
                </c:pt>
                <c:pt idx="455">
                  <c:v>0.03</c:v>
                </c:pt>
                <c:pt idx="456">
                  <c:v>0.03</c:v>
                </c:pt>
                <c:pt idx="457">
                  <c:v>0.03</c:v>
                </c:pt>
                <c:pt idx="458">
                  <c:v>0.03</c:v>
                </c:pt>
                <c:pt idx="459">
                  <c:v>0.03</c:v>
                </c:pt>
                <c:pt idx="460">
                  <c:v>0.03</c:v>
                </c:pt>
                <c:pt idx="461">
                  <c:v>0.03</c:v>
                </c:pt>
                <c:pt idx="462">
                  <c:v>0.03</c:v>
                </c:pt>
                <c:pt idx="463">
                  <c:v>0.03</c:v>
                </c:pt>
                <c:pt idx="464">
                  <c:v>0.03</c:v>
                </c:pt>
                <c:pt idx="465">
                  <c:v>0.03</c:v>
                </c:pt>
                <c:pt idx="466">
                  <c:v>0.03</c:v>
                </c:pt>
                <c:pt idx="467">
                  <c:v>0.03</c:v>
                </c:pt>
                <c:pt idx="468">
                  <c:v>0.03</c:v>
                </c:pt>
                <c:pt idx="469">
                  <c:v>0.03</c:v>
                </c:pt>
                <c:pt idx="470">
                  <c:v>0.03</c:v>
                </c:pt>
                <c:pt idx="471">
                  <c:v>0.03</c:v>
                </c:pt>
                <c:pt idx="472">
                  <c:v>0.03</c:v>
                </c:pt>
                <c:pt idx="473">
                  <c:v>0.03</c:v>
                </c:pt>
                <c:pt idx="474">
                  <c:v>0.03</c:v>
                </c:pt>
                <c:pt idx="475">
                  <c:v>0.03</c:v>
                </c:pt>
                <c:pt idx="476">
                  <c:v>0.03</c:v>
                </c:pt>
                <c:pt idx="477">
                  <c:v>0.03</c:v>
                </c:pt>
                <c:pt idx="478">
                  <c:v>0.03</c:v>
                </c:pt>
                <c:pt idx="479">
                  <c:v>0.03</c:v>
                </c:pt>
              </c:numCache>
            </c:numRef>
          </c:val>
          <c:smooth val="0"/>
          <c:extLst>
            <c:ext xmlns:c16="http://schemas.microsoft.com/office/drawing/2014/chart" uri="{C3380CC4-5D6E-409C-BE32-E72D297353CC}">
              <c16:uniqueId val="{00000005-B64F-46A5-BC0D-03A2C2DC02DE}"/>
            </c:ext>
          </c:extLst>
        </c:ser>
        <c:ser>
          <c:idx val="6"/>
          <c:order val="6"/>
          <c:tx>
            <c:strRef>
              <c:f>'Calculation of Typical Day'!$CT$20</c:f>
              <c:strCache>
                <c:ptCount val="1"/>
                <c:pt idx="0">
                  <c:v>Booster is running</c:v>
                </c:pt>
              </c:strCache>
            </c:strRef>
          </c:tx>
          <c:spPr>
            <a:ln w="31750" cap="rnd">
              <a:solidFill>
                <a:schemeClr val="accent1">
                  <a:lumMod val="60000"/>
                </a:schemeClr>
              </a:solidFill>
              <a:round/>
            </a:ln>
            <a:effectLst/>
          </c:spPr>
          <c:marker>
            <c:symbol val="none"/>
          </c:marker>
          <c:val>
            <c:numRef>
              <c:f>'Calculation of Typical Day'!$CT$21:$CT$500</c:f>
              <c:numCache>
                <c:formatCode>#,##0</c:formatCode>
                <c:ptCount val="480"/>
                <c:pt idx="0">
                  <c:v>0.02</c:v>
                </c:pt>
                <c:pt idx="1">
                  <c:v>0.02</c:v>
                </c:pt>
                <c:pt idx="2">
                  <c:v>0.02</c:v>
                </c:pt>
                <c:pt idx="3">
                  <c:v>0.02</c:v>
                </c:pt>
                <c:pt idx="4">
                  <c:v>0.02</c:v>
                </c:pt>
                <c:pt idx="5">
                  <c:v>1.01</c:v>
                </c:pt>
                <c:pt idx="6">
                  <c:v>1.01</c:v>
                </c:pt>
                <c:pt idx="7">
                  <c:v>1.01</c:v>
                </c:pt>
                <c:pt idx="8">
                  <c:v>1.01</c:v>
                </c:pt>
                <c:pt idx="9">
                  <c:v>0.02</c:v>
                </c:pt>
                <c:pt idx="10">
                  <c:v>0.02</c:v>
                </c:pt>
                <c:pt idx="11">
                  <c:v>0.02</c:v>
                </c:pt>
                <c:pt idx="12">
                  <c:v>0.02</c:v>
                </c:pt>
                <c:pt idx="13">
                  <c:v>0.02</c:v>
                </c:pt>
                <c:pt idx="14">
                  <c:v>0.02</c:v>
                </c:pt>
                <c:pt idx="15">
                  <c:v>0.02</c:v>
                </c:pt>
                <c:pt idx="16">
                  <c:v>0.02</c:v>
                </c:pt>
                <c:pt idx="17">
                  <c:v>0.02</c:v>
                </c:pt>
                <c:pt idx="18">
                  <c:v>0.02</c:v>
                </c:pt>
                <c:pt idx="19">
                  <c:v>0.02</c:v>
                </c:pt>
                <c:pt idx="20">
                  <c:v>0.02</c:v>
                </c:pt>
                <c:pt idx="21">
                  <c:v>0.02</c:v>
                </c:pt>
                <c:pt idx="22">
                  <c:v>0.02</c:v>
                </c:pt>
                <c:pt idx="23">
                  <c:v>0.02</c:v>
                </c:pt>
                <c:pt idx="24">
                  <c:v>0.02</c:v>
                </c:pt>
                <c:pt idx="25">
                  <c:v>0.02</c:v>
                </c:pt>
                <c:pt idx="26">
                  <c:v>0.02</c:v>
                </c:pt>
                <c:pt idx="27">
                  <c:v>0.02</c:v>
                </c:pt>
                <c:pt idx="28">
                  <c:v>0.02</c:v>
                </c:pt>
                <c:pt idx="29">
                  <c:v>0.02</c:v>
                </c:pt>
                <c:pt idx="30">
                  <c:v>0.02</c:v>
                </c:pt>
                <c:pt idx="31">
                  <c:v>0.02</c:v>
                </c:pt>
                <c:pt idx="32">
                  <c:v>0.02</c:v>
                </c:pt>
                <c:pt idx="33">
                  <c:v>0.02</c:v>
                </c:pt>
                <c:pt idx="34">
                  <c:v>0.02</c:v>
                </c:pt>
                <c:pt idx="35">
                  <c:v>0.02</c:v>
                </c:pt>
                <c:pt idx="36">
                  <c:v>0.02</c:v>
                </c:pt>
                <c:pt idx="37">
                  <c:v>0.02</c:v>
                </c:pt>
                <c:pt idx="38">
                  <c:v>0.02</c:v>
                </c:pt>
                <c:pt idx="39">
                  <c:v>0.02</c:v>
                </c:pt>
                <c:pt idx="40">
                  <c:v>0.02</c:v>
                </c:pt>
                <c:pt idx="41">
                  <c:v>0.02</c:v>
                </c:pt>
                <c:pt idx="42">
                  <c:v>0.02</c:v>
                </c:pt>
                <c:pt idx="43">
                  <c:v>0.02</c:v>
                </c:pt>
                <c:pt idx="44">
                  <c:v>0.02</c:v>
                </c:pt>
                <c:pt idx="45">
                  <c:v>0.02</c:v>
                </c:pt>
                <c:pt idx="46">
                  <c:v>0.02</c:v>
                </c:pt>
                <c:pt idx="47">
                  <c:v>0.02</c:v>
                </c:pt>
                <c:pt idx="48">
                  <c:v>0.02</c:v>
                </c:pt>
                <c:pt idx="49">
                  <c:v>0.02</c:v>
                </c:pt>
                <c:pt idx="50">
                  <c:v>0.02</c:v>
                </c:pt>
                <c:pt idx="51">
                  <c:v>0.02</c:v>
                </c:pt>
                <c:pt idx="52">
                  <c:v>0.02</c:v>
                </c:pt>
                <c:pt idx="53">
                  <c:v>0.02</c:v>
                </c:pt>
                <c:pt idx="54">
                  <c:v>0.02</c:v>
                </c:pt>
                <c:pt idx="55">
                  <c:v>0.02</c:v>
                </c:pt>
                <c:pt idx="56">
                  <c:v>0.02</c:v>
                </c:pt>
                <c:pt idx="57">
                  <c:v>0.02</c:v>
                </c:pt>
                <c:pt idx="58">
                  <c:v>0.02</c:v>
                </c:pt>
                <c:pt idx="59">
                  <c:v>0.02</c:v>
                </c:pt>
                <c:pt idx="60">
                  <c:v>0.02</c:v>
                </c:pt>
                <c:pt idx="61">
                  <c:v>0.02</c:v>
                </c:pt>
                <c:pt idx="62">
                  <c:v>0.02</c:v>
                </c:pt>
                <c:pt idx="63">
                  <c:v>0.02</c:v>
                </c:pt>
                <c:pt idx="64">
                  <c:v>0.02</c:v>
                </c:pt>
                <c:pt idx="65">
                  <c:v>0.02</c:v>
                </c:pt>
                <c:pt idx="66">
                  <c:v>0.02</c:v>
                </c:pt>
                <c:pt idx="67">
                  <c:v>0.02</c:v>
                </c:pt>
                <c:pt idx="68">
                  <c:v>0.02</c:v>
                </c:pt>
                <c:pt idx="69">
                  <c:v>0.02</c:v>
                </c:pt>
                <c:pt idx="70">
                  <c:v>0.02</c:v>
                </c:pt>
                <c:pt idx="71">
                  <c:v>0.02</c:v>
                </c:pt>
                <c:pt idx="72">
                  <c:v>0.02</c:v>
                </c:pt>
                <c:pt idx="73">
                  <c:v>0.02</c:v>
                </c:pt>
                <c:pt idx="74">
                  <c:v>0.02</c:v>
                </c:pt>
                <c:pt idx="75">
                  <c:v>0.02</c:v>
                </c:pt>
                <c:pt idx="76">
                  <c:v>0.02</c:v>
                </c:pt>
                <c:pt idx="77">
                  <c:v>0.02</c:v>
                </c:pt>
                <c:pt idx="78">
                  <c:v>0.02</c:v>
                </c:pt>
                <c:pt idx="79">
                  <c:v>0.02</c:v>
                </c:pt>
                <c:pt idx="80">
                  <c:v>0.02</c:v>
                </c:pt>
                <c:pt idx="81">
                  <c:v>0.02</c:v>
                </c:pt>
                <c:pt idx="82">
                  <c:v>0.02</c:v>
                </c:pt>
                <c:pt idx="83">
                  <c:v>0.02</c:v>
                </c:pt>
                <c:pt idx="84">
                  <c:v>0.02</c:v>
                </c:pt>
                <c:pt idx="85">
                  <c:v>0.02</c:v>
                </c:pt>
                <c:pt idx="86">
                  <c:v>0.02</c:v>
                </c:pt>
                <c:pt idx="87">
                  <c:v>0.02</c:v>
                </c:pt>
                <c:pt idx="88">
                  <c:v>0.02</c:v>
                </c:pt>
                <c:pt idx="89">
                  <c:v>0.02</c:v>
                </c:pt>
                <c:pt idx="90">
                  <c:v>0.02</c:v>
                </c:pt>
                <c:pt idx="91">
                  <c:v>0.02</c:v>
                </c:pt>
                <c:pt idx="92">
                  <c:v>0.02</c:v>
                </c:pt>
                <c:pt idx="93">
                  <c:v>0.02</c:v>
                </c:pt>
                <c:pt idx="94">
                  <c:v>0.02</c:v>
                </c:pt>
                <c:pt idx="95">
                  <c:v>0.02</c:v>
                </c:pt>
                <c:pt idx="96">
                  <c:v>0.02</c:v>
                </c:pt>
                <c:pt idx="97">
                  <c:v>0.02</c:v>
                </c:pt>
                <c:pt idx="98">
                  <c:v>0.02</c:v>
                </c:pt>
                <c:pt idx="99">
                  <c:v>0.02</c:v>
                </c:pt>
                <c:pt idx="100">
                  <c:v>0.02</c:v>
                </c:pt>
                <c:pt idx="101">
                  <c:v>0.02</c:v>
                </c:pt>
                <c:pt idx="102">
                  <c:v>0.02</c:v>
                </c:pt>
                <c:pt idx="103">
                  <c:v>0.02</c:v>
                </c:pt>
                <c:pt idx="104">
                  <c:v>0.02</c:v>
                </c:pt>
                <c:pt idx="105">
                  <c:v>0.02</c:v>
                </c:pt>
                <c:pt idx="106">
                  <c:v>0.02</c:v>
                </c:pt>
                <c:pt idx="107">
                  <c:v>0.02</c:v>
                </c:pt>
                <c:pt idx="108">
                  <c:v>0.02</c:v>
                </c:pt>
                <c:pt idx="109">
                  <c:v>0.02</c:v>
                </c:pt>
                <c:pt idx="110">
                  <c:v>0.02</c:v>
                </c:pt>
                <c:pt idx="111">
                  <c:v>0.02</c:v>
                </c:pt>
                <c:pt idx="112">
                  <c:v>0.02</c:v>
                </c:pt>
                <c:pt idx="113">
                  <c:v>0.02</c:v>
                </c:pt>
                <c:pt idx="114">
                  <c:v>0.02</c:v>
                </c:pt>
                <c:pt idx="115">
                  <c:v>0.02</c:v>
                </c:pt>
                <c:pt idx="116">
                  <c:v>0.02</c:v>
                </c:pt>
                <c:pt idx="117">
                  <c:v>0.02</c:v>
                </c:pt>
                <c:pt idx="118">
                  <c:v>0.02</c:v>
                </c:pt>
                <c:pt idx="119">
                  <c:v>0.02</c:v>
                </c:pt>
                <c:pt idx="120">
                  <c:v>0.02</c:v>
                </c:pt>
                <c:pt idx="121">
                  <c:v>0.02</c:v>
                </c:pt>
                <c:pt idx="122">
                  <c:v>0.02</c:v>
                </c:pt>
                <c:pt idx="123">
                  <c:v>0.02</c:v>
                </c:pt>
                <c:pt idx="124">
                  <c:v>0.02</c:v>
                </c:pt>
                <c:pt idx="125">
                  <c:v>0.02</c:v>
                </c:pt>
                <c:pt idx="126">
                  <c:v>0.02</c:v>
                </c:pt>
                <c:pt idx="127">
                  <c:v>0.02</c:v>
                </c:pt>
                <c:pt idx="128">
                  <c:v>0.02</c:v>
                </c:pt>
                <c:pt idx="129">
                  <c:v>0.02</c:v>
                </c:pt>
                <c:pt idx="130">
                  <c:v>0.02</c:v>
                </c:pt>
                <c:pt idx="131">
                  <c:v>0.02</c:v>
                </c:pt>
                <c:pt idx="132">
                  <c:v>0.02</c:v>
                </c:pt>
                <c:pt idx="133">
                  <c:v>0.02</c:v>
                </c:pt>
                <c:pt idx="134">
                  <c:v>0.02</c:v>
                </c:pt>
                <c:pt idx="135">
                  <c:v>0.02</c:v>
                </c:pt>
                <c:pt idx="136">
                  <c:v>0.02</c:v>
                </c:pt>
                <c:pt idx="137">
                  <c:v>0.02</c:v>
                </c:pt>
                <c:pt idx="138">
                  <c:v>0.02</c:v>
                </c:pt>
                <c:pt idx="139">
                  <c:v>0.02</c:v>
                </c:pt>
                <c:pt idx="140">
                  <c:v>0.02</c:v>
                </c:pt>
                <c:pt idx="141">
                  <c:v>0.02</c:v>
                </c:pt>
                <c:pt idx="142">
                  <c:v>0.02</c:v>
                </c:pt>
                <c:pt idx="143">
                  <c:v>0.02</c:v>
                </c:pt>
                <c:pt idx="144">
                  <c:v>0.02</c:v>
                </c:pt>
                <c:pt idx="145">
                  <c:v>0.02</c:v>
                </c:pt>
                <c:pt idx="146">
                  <c:v>0.02</c:v>
                </c:pt>
                <c:pt idx="147">
                  <c:v>0.02</c:v>
                </c:pt>
                <c:pt idx="148">
                  <c:v>0.02</c:v>
                </c:pt>
                <c:pt idx="149">
                  <c:v>0.02</c:v>
                </c:pt>
                <c:pt idx="150">
                  <c:v>0.02</c:v>
                </c:pt>
                <c:pt idx="151">
                  <c:v>0.02</c:v>
                </c:pt>
                <c:pt idx="152">
                  <c:v>0.02</c:v>
                </c:pt>
                <c:pt idx="153">
                  <c:v>0.02</c:v>
                </c:pt>
                <c:pt idx="154">
                  <c:v>0.02</c:v>
                </c:pt>
                <c:pt idx="155">
                  <c:v>0.02</c:v>
                </c:pt>
                <c:pt idx="156">
                  <c:v>0.02</c:v>
                </c:pt>
                <c:pt idx="157">
                  <c:v>0.02</c:v>
                </c:pt>
                <c:pt idx="158">
                  <c:v>0.02</c:v>
                </c:pt>
                <c:pt idx="159">
                  <c:v>0.02</c:v>
                </c:pt>
                <c:pt idx="160">
                  <c:v>0.02</c:v>
                </c:pt>
                <c:pt idx="161">
                  <c:v>0.02</c:v>
                </c:pt>
                <c:pt idx="162">
                  <c:v>0.02</c:v>
                </c:pt>
                <c:pt idx="163">
                  <c:v>0.02</c:v>
                </c:pt>
                <c:pt idx="164">
                  <c:v>0.02</c:v>
                </c:pt>
                <c:pt idx="165">
                  <c:v>0.02</c:v>
                </c:pt>
                <c:pt idx="166">
                  <c:v>0.02</c:v>
                </c:pt>
                <c:pt idx="167">
                  <c:v>0.02</c:v>
                </c:pt>
                <c:pt idx="168">
                  <c:v>0.02</c:v>
                </c:pt>
                <c:pt idx="169">
                  <c:v>0.02</c:v>
                </c:pt>
                <c:pt idx="170">
                  <c:v>0.02</c:v>
                </c:pt>
                <c:pt idx="171">
                  <c:v>0.02</c:v>
                </c:pt>
                <c:pt idx="172">
                  <c:v>0.02</c:v>
                </c:pt>
                <c:pt idx="173">
                  <c:v>0.02</c:v>
                </c:pt>
                <c:pt idx="174">
                  <c:v>0.02</c:v>
                </c:pt>
                <c:pt idx="175">
                  <c:v>0.02</c:v>
                </c:pt>
                <c:pt idx="176">
                  <c:v>0.02</c:v>
                </c:pt>
                <c:pt idx="177">
                  <c:v>0.02</c:v>
                </c:pt>
                <c:pt idx="178">
                  <c:v>0.02</c:v>
                </c:pt>
                <c:pt idx="179">
                  <c:v>0.02</c:v>
                </c:pt>
                <c:pt idx="180">
                  <c:v>0.02</c:v>
                </c:pt>
                <c:pt idx="181">
                  <c:v>0.02</c:v>
                </c:pt>
                <c:pt idx="182">
                  <c:v>0.02</c:v>
                </c:pt>
                <c:pt idx="183">
                  <c:v>0.02</c:v>
                </c:pt>
                <c:pt idx="184">
                  <c:v>0.02</c:v>
                </c:pt>
                <c:pt idx="185">
                  <c:v>0.02</c:v>
                </c:pt>
                <c:pt idx="186">
                  <c:v>0.02</c:v>
                </c:pt>
                <c:pt idx="187">
                  <c:v>0.02</c:v>
                </c:pt>
                <c:pt idx="188">
                  <c:v>0.02</c:v>
                </c:pt>
                <c:pt idx="189">
                  <c:v>0.02</c:v>
                </c:pt>
                <c:pt idx="190">
                  <c:v>0.02</c:v>
                </c:pt>
                <c:pt idx="191">
                  <c:v>0.02</c:v>
                </c:pt>
                <c:pt idx="192">
                  <c:v>0.02</c:v>
                </c:pt>
                <c:pt idx="193">
                  <c:v>0.02</c:v>
                </c:pt>
                <c:pt idx="194">
                  <c:v>0.02</c:v>
                </c:pt>
                <c:pt idx="195">
                  <c:v>0.02</c:v>
                </c:pt>
                <c:pt idx="196">
                  <c:v>0.02</c:v>
                </c:pt>
                <c:pt idx="197">
                  <c:v>0.02</c:v>
                </c:pt>
                <c:pt idx="198">
                  <c:v>0.02</c:v>
                </c:pt>
                <c:pt idx="199">
                  <c:v>0.02</c:v>
                </c:pt>
                <c:pt idx="200">
                  <c:v>0.02</c:v>
                </c:pt>
                <c:pt idx="201">
                  <c:v>0.02</c:v>
                </c:pt>
                <c:pt idx="202">
                  <c:v>0.02</c:v>
                </c:pt>
                <c:pt idx="203">
                  <c:v>0.02</c:v>
                </c:pt>
                <c:pt idx="204">
                  <c:v>0.02</c:v>
                </c:pt>
                <c:pt idx="205">
                  <c:v>0.02</c:v>
                </c:pt>
                <c:pt idx="206">
                  <c:v>0.02</c:v>
                </c:pt>
                <c:pt idx="207">
                  <c:v>0.02</c:v>
                </c:pt>
                <c:pt idx="208">
                  <c:v>0.02</c:v>
                </c:pt>
                <c:pt idx="209">
                  <c:v>0.02</c:v>
                </c:pt>
                <c:pt idx="210">
                  <c:v>0.02</c:v>
                </c:pt>
                <c:pt idx="211">
                  <c:v>0.02</c:v>
                </c:pt>
                <c:pt idx="212">
                  <c:v>0.02</c:v>
                </c:pt>
                <c:pt idx="213">
                  <c:v>0.02</c:v>
                </c:pt>
                <c:pt idx="214">
                  <c:v>0.02</c:v>
                </c:pt>
                <c:pt idx="215">
                  <c:v>0.02</c:v>
                </c:pt>
                <c:pt idx="216">
                  <c:v>0.02</c:v>
                </c:pt>
                <c:pt idx="217">
                  <c:v>0.02</c:v>
                </c:pt>
                <c:pt idx="218">
                  <c:v>0.02</c:v>
                </c:pt>
                <c:pt idx="219">
                  <c:v>0.02</c:v>
                </c:pt>
                <c:pt idx="220">
                  <c:v>0.02</c:v>
                </c:pt>
                <c:pt idx="221">
                  <c:v>0.02</c:v>
                </c:pt>
                <c:pt idx="222">
                  <c:v>0.02</c:v>
                </c:pt>
                <c:pt idx="223">
                  <c:v>0.02</c:v>
                </c:pt>
                <c:pt idx="224">
                  <c:v>0.02</c:v>
                </c:pt>
                <c:pt idx="225">
                  <c:v>0.02</c:v>
                </c:pt>
                <c:pt idx="226">
                  <c:v>0.02</c:v>
                </c:pt>
                <c:pt idx="227">
                  <c:v>0.02</c:v>
                </c:pt>
                <c:pt idx="228">
                  <c:v>0.02</c:v>
                </c:pt>
                <c:pt idx="229">
                  <c:v>0.02</c:v>
                </c:pt>
                <c:pt idx="230">
                  <c:v>0.02</c:v>
                </c:pt>
                <c:pt idx="231">
                  <c:v>0.02</c:v>
                </c:pt>
                <c:pt idx="232">
                  <c:v>0.02</c:v>
                </c:pt>
                <c:pt idx="233">
                  <c:v>0.02</c:v>
                </c:pt>
                <c:pt idx="234">
                  <c:v>0.02</c:v>
                </c:pt>
                <c:pt idx="235">
                  <c:v>0.02</c:v>
                </c:pt>
                <c:pt idx="236">
                  <c:v>0.02</c:v>
                </c:pt>
                <c:pt idx="237">
                  <c:v>0.02</c:v>
                </c:pt>
                <c:pt idx="238">
                  <c:v>0.02</c:v>
                </c:pt>
                <c:pt idx="239">
                  <c:v>0.02</c:v>
                </c:pt>
                <c:pt idx="240">
                  <c:v>0.02</c:v>
                </c:pt>
                <c:pt idx="241">
                  <c:v>0.02</c:v>
                </c:pt>
                <c:pt idx="242">
                  <c:v>0.02</c:v>
                </c:pt>
                <c:pt idx="243">
                  <c:v>0.02</c:v>
                </c:pt>
                <c:pt idx="244">
                  <c:v>0.02</c:v>
                </c:pt>
                <c:pt idx="245">
                  <c:v>0.02</c:v>
                </c:pt>
                <c:pt idx="246">
                  <c:v>0.02</c:v>
                </c:pt>
                <c:pt idx="247">
                  <c:v>0.02</c:v>
                </c:pt>
                <c:pt idx="248">
                  <c:v>0.02</c:v>
                </c:pt>
                <c:pt idx="249">
                  <c:v>0.02</c:v>
                </c:pt>
                <c:pt idx="250">
                  <c:v>0.02</c:v>
                </c:pt>
                <c:pt idx="251">
                  <c:v>0.02</c:v>
                </c:pt>
                <c:pt idx="252">
                  <c:v>0.02</c:v>
                </c:pt>
                <c:pt idx="253">
                  <c:v>0.02</c:v>
                </c:pt>
                <c:pt idx="254">
                  <c:v>0.02</c:v>
                </c:pt>
                <c:pt idx="255">
                  <c:v>0.02</c:v>
                </c:pt>
                <c:pt idx="256">
                  <c:v>0.02</c:v>
                </c:pt>
                <c:pt idx="257">
                  <c:v>0.02</c:v>
                </c:pt>
                <c:pt idx="258">
                  <c:v>0.02</c:v>
                </c:pt>
                <c:pt idx="259">
                  <c:v>0.02</c:v>
                </c:pt>
                <c:pt idx="260">
                  <c:v>0.02</c:v>
                </c:pt>
                <c:pt idx="261">
                  <c:v>0.02</c:v>
                </c:pt>
                <c:pt idx="262">
                  <c:v>0.02</c:v>
                </c:pt>
                <c:pt idx="263">
                  <c:v>0.02</c:v>
                </c:pt>
                <c:pt idx="264">
                  <c:v>0.02</c:v>
                </c:pt>
                <c:pt idx="265">
                  <c:v>0.02</c:v>
                </c:pt>
                <c:pt idx="266">
                  <c:v>0.02</c:v>
                </c:pt>
                <c:pt idx="267">
                  <c:v>0.02</c:v>
                </c:pt>
                <c:pt idx="268">
                  <c:v>0.02</c:v>
                </c:pt>
                <c:pt idx="269">
                  <c:v>0.02</c:v>
                </c:pt>
                <c:pt idx="270">
                  <c:v>0.02</c:v>
                </c:pt>
                <c:pt idx="271">
                  <c:v>0.02</c:v>
                </c:pt>
                <c:pt idx="272">
                  <c:v>0.02</c:v>
                </c:pt>
                <c:pt idx="273">
                  <c:v>0.02</c:v>
                </c:pt>
                <c:pt idx="274">
                  <c:v>0.02</c:v>
                </c:pt>
                <c:pt idx="275">
                  <c:v>0.02</c:v>
                </c:pt>
                <c:pt idx="276">
                  <c:v>0.02</c:v>
                </c:pt>
                <c:pt idx="277">
                  <c:v>0.02</c:v>
                </c:pt>
                <c:pt idx="278">
                  <c:v>0.02</c:v>
                </c:pt>
                <c:pt idx="279">
                  <c:v>0.02</c:v>
                </c:pt>
                <c:pt idx="280">
                  <c:v>0.02</c:v>
                </c:pt>
                <c:pt idx="281">
                  <c:v>0.02</c:v>
                </c:pt>
                <c:pt idx="282">
                  <c:v>0.02</c:v>
                </c:pt>
                <c:pt idx="283">
                  <c:v>0.02</c:v>
                </c:pt>
                <c:pt idx="284">
                  <c:v>0.02</c:v>
                </c:pt>
                <c:pt idx="285">
                  <c:v>0.02</c:v>
                </c:pt>
                <c:pt idx="286">
                  <c:v>0.02</c:v>
                </c:pt>
                <c:pt idx="287">
                  <c:v>0.02</c:v>
                </c:pt>
                <c:pt idx="288">
                  <c:v>0.02</c:v>
                </c:pt>
                <c:pt idx="289">
                  <c:v>0.02</c:v>
                </c:pt>
                <c:pt idx="290">
                  <c:v>0.02</c:v>
                </c:pt>
                <c:pt idx="291">
                  <c:v>0.02</c:v>
                </c:pt>
                <c:pt idx="292">
                  <c:v>0.02</c:v>
                </c:pt>
                <c:pt idx="293">
                  <c:v>0.02</c:v>
                </c:pt>
                <c:pt idx="294">
                  <c:v>0.02</c:v>
                </c:pt>
                <c:pt idx="295">
                  <c:v>0.02</c:v>
                </c:pt>
                <c:pt idx="296">
                  <c:v>0.02</c:v>
                </c:pt>
                <c:pt idx="297">
                  <c:v>0.02</c:v>
                </c:pt>
                <c:pt idx="298">
                  <c:v>0.02</c:v>
                </c:pt>
                <c:pt idx="299">
                  <c:v>0.02</c:v>
                </c:pt>
                <c:pt idx="300">
                  <c:v>0.02</c:v>
                </c:pt>
                <c:pt idx="301">
                  <c:v>0.02</c:v>
                </c:pt>
                <c:pt idx="302">
                  <c:v>0.02</c:v>
                </c:pt>
                <c:pt idx="303">
                  <c:v>0.02</c:v>
                </c:pt>
                <c:pt idx="304">
                  <c:v>0.02</c:v>
                </c:pt>
                <c:pt idx="305">
                  <c:v>0.02</c:v>
                </c:pt>
                <c:pt idx="306">
                  <c:v>0.02</c:v>
                </c:pt>
                <c:pt idx="307">
                  <c:v>0.02</c:v>
                </c:pt>
                <c:pt idx="308">
                  <c:v>0.02</c:v>
                </c:pt>
                <c:pt idx="309">
                  <c:v>0.02</c:v>
                </c:pt>
                <c:pt idx="310">
                  <c:v>0.02</c:v>
                </c:pt>
                <c:pt idx="311">
                  <c:v>0.02</c:v>
                </c:pt>
                <c:pt idx="312">
                  <c:v>0.02</c:v>
                </c:pt>
                <c:pt idx="313">
                  <c:v>0.02</c:v>
                </c:pt>
                <c:pt idx="314">
                  <c:v>0.02</c:v>
                </c:pt>
                <c:pt idx="315">
                  <c:v>0.02</c:v>
                </c:pt>
                <c:pt idx="316">
                  <c:v>0.02</c:v>
                </c:pt>
                <c:pt idx="317">
                  <c:v>0.02</c:v>
                </c:pt>
                <c:pt idx="318">
                  <c:v>0.02</c:v>
                </c:pt>
                <c:pt idx="319">
                  <c:v>0.02</c:v>
                </c:pt>
                <c:pt idx="320">
                  <c:v>0.02</c:v>
                </c:pt>
                <c:pt idx="321">
                  <c:v>0.02</c:v>
                </c:pt>
                <c:pt idx="322">
                  <c:v>0.02</c:v>
                </c:pt>
                <c:pt idx="323">
                  <c:v>0.02</c:v>
                </c:pt>
                <c:pt idx="324">
                  <c:v>0.02</c:v>
                </c:pt>
                <c:pt idx="325">
                  <c:v>0.02</c:v>
                </c:pt>
                <c:pt idx="326">
                  <c:v>0.02</c:v>
                </c:pt>
                <c:pt idx="327">
                  <c:v>0.02</c:v>
                </c:pt>
                <c:pt idx="328">
                  <c:v>0.02</c:v>
                </c:pt>
                <c:pt idx="329">
                  <c:v>0.02</c:v>
                </c:pt>
                <c:pt idx="330">
                  <c:v>0.02</c:v>
                </c:pt>
                <c:pt idx="331">
                  <c:v>0.02</c:v>
                </c:pt>
                <c:pt idx="332">
                  <c:v>0.02</c:v>
                </c:pt>
                <c:pt idx="333">
                  <c:v>0.02</c:v>
                </c:pt>
                <c:pt idx="334">
                  <c:v>0.02</c:v>
                </c:pt>
                <c:pt idx="335">
                  <c:v>0.02</c:v>
                </c:pt>
                <c:pt idx="336">
                  <c:v>0.02</c:v>
                </c:pt>
                <c:pt idx="337">
                  <c:v>0.02</c:v>
                </c:pt>
                <c:pt idx="338">
                  <c:v>0.02</c:v>
                </c:pt>
                <c:pt idx="339">
                  <c:v>0.02</c:v>
                </c:pt>
                <c:pt idx="340">
                  <c:v>0.02</c:v>
                </c:pt>
                <c:pt idx="341">
                  <c:v>0.02</c:v>
                </c:pt>
                <c:pt idx="342">
                  <c:v>0.02</c:v>
                </c:pt>
                <c:pt idx="343">
                  <c:v>0.02</c:v>
                </c:pt>
                <c:pt idx="344">
                  <c:v>0.02</c:v>
                </c:pt>
                <c:pt idx="345">
                  <c:v>0.02</c:v>
                </c:pt>
                <c:pt idx="346">
                  <c:v>0.02</c:v>
                </c:pt>
                <c:pt idx="347">
                  <c:v>0.02</c:v>
                </c:pt>
                <c:pt idx="348">
                  <c:v>0.02</c:v>
                </c:pt>
                <c:pt idx="349">
                  <c:v>0.02</c:v>
                </c:pt>
                <c:pt idx="350">
                  <c:v>0.02</c:v>
                </c:pt>
                <c:pt idx="351">
                  <c:v>0.02</c:v>
                </c:pt>
                <c:pt idx="352">
                  <c:v>0.02</c:v>
                </c:pt>
                <c:pt idx="353">
                  <c:v>0.02</c:v>
                </c:pt>
                <c:pt idx="354">
                  <c:v>0.02</c:v>
                </c:pt>
                <c:pt idx="355">
                  <c:v>0.02</c:v>
                </c:pt>
                <c:pt idx="356">
                  <c:v>0.02</c:v>
                </c:pt>
                <c:pt idx="357">
                  <c:v>0.02</c:v>
                </c:pt>
                <c:pt idx="358">
                  <c:v>0.02</c:v>
                </c:pt>
                <c:pt idx="359">
                  <c:v>0.02</c:v>
                </c:pt>
                <c:pt idx="360">
                  <c:v>0.02</c:v>
                </c:pt>
                <c:pt idx="361">
                  <c:v>0.02</c:v>
                </c:pt>
                <c:pt idx="362">
                  <c:v>0.02</c:v>
                </c:pt>
                <c:pt idx="363">
                  <c:v>0.02</c:v>
                </c:pt>
                <c:pt idx="364">
                  <c:v>0.02</c:v>
                </c:pt>
                <c:pt idx="365">
                  <c:v>0.02</c:v>
                </c:pt>
                <c:pt idx="366">
                  <c:v>0.02</c:v>
                </c:pt>
                <c:pt idx="367">
                  <c:v>0.02</c:v>
                </c:pt>
                <c:pt idx="368">
                  <c:v>0.02</c:v>
                </c:pt>
                <c:pt idx="369">
                  <c:v>0.02</c:v>
                </c:pt>
                <c:pt idx="370">
                  <c:v>0.02</c:v>
                </c:pt>
                <c:pt idx="371">
                  <c:v>0.02</c:v>
                </c:pt>
                <c:pt idx="372">
                  <c:v>0.02</c:v>
                </c:pt>
                <c:pt idx="373">
                  <c:v>0.02</c:v>
                </c:pt>
                <c:pt idx="374">
                  <c:v>0.02</c:v>
                </c:pt>
                <c:pt idx="375">
                  <c:v>0.02</c:v>
                </c:pt>
                <c:pt idx="376">
                  <c:v>0.02</c:v>
                </c:pt>
                <c:pt idx="377">
                  <c:v>0.02</c:v>
                </c:pt>
                <c:pt idx="378">
                  <c:v>0.02</c:v>
                </c:pt>
                <c:pt idx="379">
                  <c:v>0.02</c:v>
                </c:pt>
                <c:pt idx="380">
                  <c:v>0.02</c:v>
                </c:pt>
                <c:pt idx="381">
                  <c:v>0.02</c:v>
                </c:pt>
                <c:pt idx="382">
                  <c:v>0.02</c:v>
                </c:pt>
                <c:pt idx="383">
                  <c:v>0.02</c:v>
                </c:pt>
                <c:pt idx="384">
                  <c:v>0.02</c:v>
                </c:pt>
                <c:pt idx="385">
                  <c:v>0.02</c:v>
                </c:pt>
                <c:pt idx="386">
                  <c:v>0.02</c:v>
                </c:pt>
                <c:pt idx="387">
                  <c:v>0.02</c:v>
                </c:pt>
                <c:pt idx="388">
                  <c:v>0.02</c:v>
                </c:pt>
                <c:pt idx="389">
                  <c:v>0.02</c:v>
                </c:pt>
                <c:pt idx="390">
                  <c:v>0.02</c:v>
                </c:pt>
                <c:pt idx="391">
                  <c:v>0.02</c:v>
                </c:pt>
                <c:pt idx="392">
                  <c:v>0.02</c:v>
                </c:pt>
                <c:pt idx="393">
                  <c:v>0.02</c:v>
                </c:pt>
                <c:pt idx="394">
                  <c:v>0.02</c:v>
                </c:pt>
                <c:pt idx="395">
                  <c:v>0.02</c:v>
                </c:pt>
                <c:pt idx="396">
                  <c:v>0.02</c:v>
                </c:pt>
                <c:pt idx="397">
                  <c:v>0.02</c:v>
                </c:pt>
                <c:pt idx="398">
                  <c:v>0.02</c:v>
                </c:pt>
                <c:pt idx="399">
                  <c:v>0.02</c:v>
                </c:pt>
                <c:pt idx="400">
                  <c:v>0.02</c:v>
                </c:pt>
                <c:pt idx="401">
                  <c:v>0.02</c:v>
                </c:pt>
                <c:pt idx="402">
                  <c:v>0.02</c:v>
                </c:pt>
                <c:pt idx="403">
                  <c:v>0.02</c:v>
                </c:pt>
                <c:pt idx="404">
                  <c:v>0.02</c:v>
                </c:pt>
                <c:pt idx="405">
                  <c:v>0.02</c:v>
                </c:pt>
                <c:pt idx="406">
                  <c:v>0.02</c:v>
                </c:pt>
                <c:pt idx="407">
                  <c:v>0.02</c:v>
                </c:pt>
                <c:pt idx="408">
                  <c:v>0.02</c:v>
                </c:pt>
                <c:pt idx="409">
                  <c:v>0.02</c:v>
                </c:pt>
                <c:pt idx="410">
                  <c:v>0.02</c:v>
                </c:pt>
                <c:pt idx="411">
                  <c:v>0.02</c:v>
                </c:pt>
                <c:pt idx="412">
                  <c:v>0.02</c:v>
                </c:pt>
                <c:pt idx="413">
                  <c:v>0.02</c:v>
                </c:pt>
                <c:pt idx="414">
                  <c:v>0.02</c:v>
                </c:pt>
                <c:pt idx="415">
                  <c:v>0.02</c:v>
                </c:pt>
                <c:pt idx="416">
                  <c:v>0.02</c:v>
                </c:pt>
                <c:pt idx="417">
                  <c:v>0.02</c:v>
                </c:pt>
                <c:pt idx="418">
                  <c:v>0.02</c:v>
                </c:pt>
                <c:pt idx="419">
                  <c:v>0.02</c:v>
                </c:pt>
                <c:pt idx="420">
                  <c:v>0.02</c:v>
                </c:pt>
                <c:pt idx="421">
                  <c:v>0.02</c:v>
                </c:pt>
                <c:pt idx="422">
                  <c:v>0.02</c:v>
                </c:pt>
                <c:pt idx="423">
                  <c:v>0.02</c:v>
                </c:pt>
                <c:pt idx="424">
                  <c:v>0.02</c:v>
                </c:pt>
                <c:pt idx="425">
                  <c:v>0.02</c:v>
                </c:pt>
                <c:pt idx="426">
                  <c:v>0.02</c:v>
                </c:pt>
                <c:pt idx="427">
                  <c:v>0.02</c:v>
                </c:pt>
                <c:pt idx="428">
                  <c:v>0.02</c:v>
                </c:pt>
                <c:pt idx="429">
                  <c:v>0.02</c:v>
                </c:pt>
                <c:pt idx="430">
                  <c:v>0.02</c:v>
                </c:pt>
                <c:pt idx="431">
                  <c:v>0.02</c:v>
                </c:pt>
                <c:pt idx="432">
                  <c:v>0.02</c:v>
                </c:pt>
                <c:pt idx="433">
                  <c:v>0.02</c:v>
                </c:pt>
                <c:pt idx="434">
                  <c:v>0.02</c:v>
                </c:pt>
                <c:pt idx="435">
                  <c:v>0.02</c:v>
                </c:pt>
                <c:pt idx="436">
                  <c:v>0.02</c:v>
                </c:pt>
                <c:pt idx="437">
                  <c:v>0.02</c:v>
                </c:pt>
                <c:pt idx="438">
                  <c:v>0.02</c:v>
                </c:pt>
                <c:pt idx="439">
                  <c:v>0.02</c:v>
                </c:pt>
                <c:pt idx="440">
                  <c:v>0.02</c:v>
                </c:pt>
                <c:pt idx="441">
                  <c:v>0.02</c:v>
                </c:pt>
                <c:pt idx="442">
                  <c:v>0.02</c:v>
                </c:pt>
                <c:pt idx="443">
                  <c:v>0.02</c:v>
                </c:pt>
                <c:pt idx="444">
                  <c:v>0.02</c:v>
                </c:pt>
                <c:pt idx="445">
                  <c:v>0.02</c:v>
                </c:pt>
                <c:pt idx="446">
                  <c:v>0.02</c:v>
                </c:pt>
                <c:pt idx="447">
                  <c:v>0.02</c:v>
                </c:pt>
                <c:pt idx="448">
                  <c:v>0.02</c:v>
                </c:pt>
                <c:pt idx="449">
                  <c:v>0.02</c:v>
                </c:pt>
                <c:pt idx="450">
                  <c:v>0.02</c:v>
                </c:pt>
                <c:pt idx="451">
                  <c:v>0.02</c:v>
                </c:pt>
                <c:pt idx="452">
                  <c:v>0.02</c:v>
                </c:pt>
                <c:pt idx="453">
                  <c:v>0.02</c:v>
                </c:pt>
                <c:pt idx="454">
                  <c:v>0.02</c:v>
                </c:pt>
                <c:pt idx="455">
                  <c:v>0.02</c:v>
                </c:pt>
                <c:pt idx="456">
                  <c:v>0.02</c:v>
                </c:pt>
                <c:pt idx="457">
                  <c:v>0.02</c:v>
                </c:pt>
                <c:pt idx="458">
                  <c:v>0.02</c:v>
                </c:pt>
                <c:pt idx="459">
                  <c:v>0.02</c:v>
                </c:pt>
                <c:pt idx="460">
                  <c:v>0.02</c:v>
                </c:pt>
                <c:pt idx="461">
                  <c:v>0.02</c:v>
                </c:pt>
                <c:pt idx="462">
                  <c:v>0.02</c:v>
                </c:pt>
                <c:pt idx="463">
                  <c:v>0.02</c:v>
                </c:pt>
                <c:pt idx="464">
                  <c:v>0.02</c:v>
                </c:pt>
                <c:pt idx="465">
                  <c:v>0.02</c:v>
                </c:pt>
                <c:pt idx="466">
                  <c:v>0.02</c:v>
                </c:pt>
                <c:pt idx="467">
                  <c:v>0.02</c:v>
                </c:pt>
                <c:pt idx="468">
                  <c:v>0.02</c:v>
                </c:pt>
                <c:pt idx="469">
                  <c:v>0.02</c:v>
                </c:pt>
                <c:pt idx="470">
                  <c:v>0.02</c:v>
                </c:pt>
                <c:pt idx="471">
                  <c:v>0.02</c:v>
                </c:pt>
                <c:pt idx="472">
                  <c:v>0.02</c:v>
                </c:pt>
                <c:pt idx="473">
                  <c:v>0.02</c:v>
                </c:pt>
                <c:pt idx="474">
                  <c:v>0.02</c:v>
                </c:pt>
                <c:pt idx="475">
                  <c:v>0.02</c:v>
                </c:pt>
                <c:pt idx="476">
                  <c:v>0.02</c:v>
                </c:pt>
                <c:pt idx="477">
                  <c:v>0.02</c:v>
                </c:pt>
                <c:pt idx="478">
                  <c:v>0.02</c:v>
                </c:pt>
                <c:pt idx="479">
                  <c:v>0.02</c:v>
                </c:pt>
              </c:numCache>
            </c:numRef>
          </c:val>
          <c:smooth val="0"/>
          <c:extLst>
            <c:ext xmlns:c16="http://schemas.microsoft.com/office/drawing/2014/chart" uri="{C3380CC4-5D6E-409C-BE32-E72D297353CC}">
              <c16:uniqueId val="{00000006-B64F-46A5-BC0D-03A2C2DC02DE}"/>
            </c:ext>
          </c:extLst>
        </c:ser>
        <c:dLbls>
          <c:showLegendKey val="0"/>
          <c:showVal val="0"/>
          <c:showCatName val="0"/>
          <c:showSerName val="0"/>
          <c:showPercent val="0"/>
          <c:showBubbleSize val="0"/>
        </c:dLbls>
        <c:smooth val="0"/>
        <c:axId val="881776943"/>
        <c:axId val="881777423"/>
      </c:lineChart>
      <c:catAx>
        <c:axId val="881776943"/>
        <c:scaling>
          <c:orientation val="minMax"/>
        </c:scaling>
        <c:delete val="0"/>
        <c:axPos val="b"/>
        <c:numFmt formatCode="General"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881777423"/>
        <c:crosses val="autoZero"/>
        <c:auto val="1"/>
        <c:lblAlgn val="ctr"/>
        <c:lblOffset val="100"/>
        <c:tickLblSkip val="6"/>
        <c:tickMarkSkip val="24"/>
        <c:noMultiLvlLbl val="0"/>
      </c:catAx>
      <c:valAx>
        <c:axId val="881777423"/>
        <c:scaling>
          <c:orientation val="minMax"/>
          <c:max val="1.1000000000000001"/>
          <c:min val="0"/>
        </c:scaling>
        <c:delete val="0"/>
        <c:axPos val="l"/>
        <c:majorGridlines>
          <c:spPr>
            <a:ln w="9525" cap="flat" cmpd="sng" algn="ctr">
              <a:solidFill>
                <a:schemeClr val="tx2">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de-DE"/>
          </a:p>
        </c:txPr>
        <c:crossAx val="881776943"/>
        <c:crosses val="autoZero"/>
        <c:crossBetween val="midCat"/>
        <c:majorUnit val="1"/>
      </c:valAx>
      <c:spPr>
        <a:noFill/>
        <a:ln>
          <a:noFill/>
        </a:ln>
        <a:effectLst/>
      </c:spPr>
    </c:plotArea>
    <c:legend>
      <c:legendPos val="b"/>
      <c:layout>
        <c:manualLayout>
          <c:xMode val="edge"/>
          <c:yMode val="edge"/>
          <c:x val="0.17407395770087494"/>
          <c:y val="0.85166796799624822"/>
          <c:w val="0.71546195761831843"/>
          <c:h val="0.1270537771206546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6350"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'Operation at Typical Day'!$E$24</c:f>
          <c:strCache>
            <c:ptCount val="1"/>
            <c:pt idx="0">
              <c:v>Spring / fall weekend</c:v>
            </c:pt>
          </c:strCache>
        </c:strRef>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6.0770580808080808E-2"/>
          <c:y val="9.2890868714588584E-2"/>
          <c:w val="0.87926212121212111"/>
          <c:h val="0.59422713864306786"/>
        </c:manualLayout>
      </c:layout>
      <c:lineChart>
        <c:grouping val="standard"/>
        <c:varyColors val="0"/>
        <c:ser>
          <c:idx val="0"/>
          <c:order val="0"/>
          <c:tx>
            <c:strRef>
              <c:f>'Operation at Typical Day'!$E$26</c:f>
              <c:strCache>
                <c:ptCount val="1"/>
                <c:pt idx="0">
                  <c:v>Waste heat output DC</c:v>
                </c:pt>
              </c:strCache>
            </c:strRef>
          </c:tx>
          <c:spPr>
            <a:ln w="31750" cap="rnd">
              <a:solidFill>
                <a:schemeClr val="accent1"/>
              </a:solidFill>
              <a:round/>
            </a:ln>
            <a:effectLst/>
          </c:spPr>
          <c:marker>
            <c:symbol val="none"/>
          </c:marker>
          <c:cat>
            <c:numRef>
              <c:f>'Operation at Typical Day'!$D$28:$D$51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Day'!$E$28:$E$51</c:f>
              <c:numCache>
                <c:formatCode>#,##0</c:formatCode>
                <c:ptCount val="24"/>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numCache>
            </c:numRef>
          </c:val>
          <c:smooth val="0"/>
          <c:extLst>
            <c:ext xmlns:c16="http://schemas.microsoft.com/office/drawing/2014/chart" uri="{C3380CC4-5D6E-409C-BE32-E72D297353CC}">
              <c16:uniqueId val="{00000000-9262-4A4D-B34D-464AC2C05DFB}"/>
            </c:ext>
          </c:extLst>
        </c:ser>
        <c:ser>
          <c:idx val="2"/>
          <c:order val="2"/>
          <c:tx>
            <c:strRef>
              <c:f>'Operation at Typical Day'!$G$26</c:f>
              <c:strCache>
                <c:ptCount val="1"/>
                <c:pt idx="0">
                  <c:v>Heat fed into grid considering actual operation</c:v>
                </c:pt>
              </c:strCache>
            </c:strRef>
          </c:tx>
          <c:spPr>
            <a:ln w="31750" cap="rnd">
              <a:solidFill>
                <a:schemeClr val="accent3"/>
              </a:solidFill>
              <a:round/>
            </a:ln>
            <a:effectLst/>
          </c:spPr>
          <c:marker>
            <c:symbol val="none"/>
          </c:marker>
          <c:cat>
            <c:numRef>
              <c:f>'Operation at Typical Day'!$D$28:$D$51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Day'!$G$28:$G$51</c:f>
              <c:numCache>
                <c:formatCode>#,##0</c:formatCode>
                <c:ptCount val="24"/>
                <c:pt idx="0">
                  <c:v>2.8605217906907794</c:v>
                </c:pt>
                <c:pt idx="1">
                  <c:v>2.8605217906907794</c:v>
                </c:pt>
                <c:pt idx="2">
                  <c:v>2.8605217906907794</c:v>
                </c:pt>
                <c:pt idx="3">
                  <c:v>2.8778234582829505</c:v>
                </c:pt>
                <c:pt idx="4">
                  <c:v>2.8958186864014799</c:v>
                </c:pt>
                <c:pt idx="5">
                  <c:v>2.8778234582829505</c:v>
                </c:pt>
                <c:pt idx="6">
                  <c:v>2.8778234582829505</c:v>
                </c:pt>
                <c:pt idx="7">
                  <c:v>2.8605217906907794</c:v>
                </c:pt>
                <c:pt idx="8">
                  <c:v>2.8438743455497382</c:v>
                </c:pt>
                <c:pt idx="9">
                  <c:v>2.8278447045389665</c:v>
                </c:pt>
                <c:pt idx="10">
                  <c:v>2.812399103139013</c:v>
                </c:pt>
                <c:pt idx="11">
                  <c:v>2.7975061932287364</c:v>
                </c:pt>
                <c:pt idx="12">
                  <c:v>2.7831368307193074</c:v>
                </c:pt>
                <c:pt idx="13">
                  <c:v>2.7692638851979798</c:v>
                </c:pt>
                <c:pt idx="14">
                  <c:v>2.7692638851979798</c:v>
                </c:pt>
                <c:pt idx="15">
                  <c:v>2.7558620689655173</c:v>
                </c:pt>
                <c:pt idx="16">
                  <c:v>2.7692638851979798</c:v>
                </c:pt>
                <c:pt idx="17">
                  <c:v>2.7831368307193074</c:v>
                </c:pt>
                <c:pt idx="18">
                  <c:v>2.7975061932287364</c:v>
                </c:pt>
                <c:pt idx="19">
                  <c:v>2.812399103139013</c:v>
                </c:pt>
                <c:pt idx="20">
                  <c:v>2.8278447045389665</c:v>
                </c:pt>
                <c:pt idx="21">
                  <c:v>2.8438743455497377</c:v>
                </c:pt>
                <c:pt idx="22">
                  <c:v>2.8438743455497377</c:v>
                </c:pt>
                <c:pt idx="23">
                  <c:v>2.8605217906907794</c:v>
                </c:pt>
              </c:numCache>
            </c:numRef>
          </c:val>
          <c:smooth val="0"/>
          <c:extLst>
            <c:ext xmlns:c16="http://schemas.microsoft.com/office/drawing/2014/chart" uri="{C3380CC4-5D6E-409C-BE32-E72D297353CC}">
              <c16:uniqueId val="{00000002-9262-4A4D-B34D-464AC2C05DFB}"/>
            </c:ext>
          </c:extLst>
        </c:ser>
        <c:ser>
          <c:idx val="3"/>
          <c:order val="3"/>
          <c:tx>
            <c:strRef>
              <c:f>'Operation at Typical Day'!$H$26</c:f>
              <c:strCache>
                <c:ptCount val="1"/>
                <c:pt idx="0">
                  <c:v>Waste heat input from DC actual operation</c:v>
                </c:pt>
              </c:strCache>
            </c:strRef>
          </c:tx>
          <c:spPr>
            <a:ln w="31750" cap="rnd">
              <a:solidFill>
                <a:schemeClr val="accent4"/>
              </a:solidFill>
              <a:round/>
            </a:ln>
            <a:effectLst/>
          </c:spPr>
          <c:marker>
            <c:symbol val="none"/>
          </c:marker>
          <c:cat>
            <c:numRef>
              <c:f>'Operation at Typical Day'!$D$28:$D$51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Day'!$H$28:$H$51</c:f>
              <c:numCache>
                <c:formatCode>#,##0.0</c:formatCode>
                <c:ptCount val="24"/>
                <c:pt idx="0">
                  <c:v>2</c:v>
                </c:pt>
                <c:pt idx="1">
                  <c:v>2</c:v>
                </c:pt>
                <c:pt idx="2">
                  <c:v>2</c:v>
                </c:pt>
                <c:pt idx="3">
                  <c:v>2</c:v>
                </c:pt>
                <c:pt idx="4">
                  <c:v>2</c:v>
                </c:pt>
                <c:pt idx="5">
                  <c:v>2</c:v>
                </c:pt>
                <c:pt idx="6">
                  <c:v>2</c:v>
                </c:pt>
                <c:pt idx="7">
                  <c:v>2</c:v>
                </c:pt>
                <c:pt idx="8">
                  <c:v>2.0000000000000004</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numCache>
            </c:numRef>
          </c:val>
          <c:smooth val="0"/>
          <c:extLst>
            <c:ext xmlns:c16="http://schemas.microsoft.com/office/drawing/2014/chart" uri="{C3380CC4-5D6E-409C-BE32-E72D297353CC}">
              <c16:uniqueId val="{00000003-9262-4A4D-B34D-464AC2C05DFB}"/>
            </c:ext>
          </c:extLst>
        </c:ser>
        <c:ser>
          <c:idx val="4"/>
          <c:order val="4"/>
          <c:tx>
            <c:strRef>
              <c:f>'Operation at Typical Day'!$I$26</c:f>
              <c:strCache>
                <c:ptCount val="1"/>
                <c:pt idx="0">
                  <c:v>Electricity input for heat pump actual operation</c:v>
                </c:pt>
              </c:strCache>
            </c:strRef>
          </c:tx>
          <c:spPr>
            <a:ln w="31750" cap="rnd">
              <a:solidFill>
                <a:schemeClr val="accent5"/>
              </a:solidFill>
              <a:round/>
            </a:ln>
            <a:effectLst/>
          </c:spPr>
          <c:marker>
            <c:symbol val="none"/>
          </c:marker>
          <c:cat>
            <c:numRef>
              <c:f>'Operation at Typical Day'!$D$28:$D$51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Day'!$I$28:$I$51</c:f>
              <c:numCache>
                <c:formatCode>#,##0</c:formatCode>
                <c:ptCount val="24"/>
                <c:pt idx="0">
                  <c:v>0.88941595019270647</c:v>
                </c:pt>
                <c:pt idx="1">
                  <c:v>0.88941595019270647</c:v>
                </c:pt>
                <c:pt idx="2">
                  <c:v>0.88941595019270647</c:v>
                </c:pt>
                <c:pt idx="3">
                  <c:v>0.90689238210399015</c:v>
                </c:pt>
                <c:pt idx="4">
                  <c:v>0.92506938020351503</c:v>
                </c:pt>
                <c:pt idx="5">
                  <c:v>0.90689238210399015</c:v>
                </c:pt>
                <c:pt idx="6">
                  <c:v>0.90689238210399015</c:v>
                </c:pt>
                <c:pt idx="7">
                  <c:v>0.88941595019270647</c:v>
                </c:pt>
                <c:pt idx="8">
                  <c:v>0.87260034904013961</c:v>
                </c:pt>
                <c:pt idx="9">
                  <c:v>0.85640879246360235</c:v>
                </c:pt>
                <c:pt idx="10">
                  <c:v>0.84080717488789203</c:v>
                </c:pt>
                <c:pt idx="11">
                  <c:v>0.82576383154417832</c:v>
                </c:pt>
                <c:pt idx="12">
                  <c:v>0.81124932395889626</c:v>
                </c:pt>
                <c:pt idx="13">
                  <c:v>0.79723624767472723</c:v>
                </c:pt>
                <c:pt idx="14">
                  <c:v>0.79723624767472723</c:v>
                </c:pt>
                <c:pt idx="15">
                  <c:v>0.78369905956112851</c:v>
                </c:pt>
                <c:pt idx="16">
                  <c:v>0.79723624767472723</c:v>
                </c:pt>
                <c:pt idx="17">
                  <c:v>0.81124932395889626</c:v>
                </c:pt>
                <c:pt idx="18">
                  <c:v>0.82576383154417832</c:v>
                </c:pt>
                <c:pt idx="19">
                  <c:v>0.84080717488789203</c:v>
                </c:pt>
                <c:pt idx="20">
                  <c:v>0.85640879246360235</c:v>
                </c:pt>
                <c:pt idx="21">
                  <c:v>0.87260034904013928</c:v>
                </c:pt>
                <c:pt idx="22">
                  <c:v>0.87260034904013928</c:v>
                </c:pt>
                <c:pt idx="23">
                  <c:v>0.88941595019270647</c:v>
                </c:pt>
              </c:numCache>
            </c:numRef>
          </c:val>
          <c:smooth val="0"/>
          <c:extLst>
            <c:ext xmlns:c16="http://schemas.microsoft.com/office/drawing/2014/chart" uri="{C3380CC4-5D6E-409C-BE32-E72D297353CC}">
              <c16:uniqueId val="{00000004-9262-4A4D-B34D-464AC2C05DFB}"/>
            </c:ext>
          </c:extLst>
        </c:ser>
        <c:ser>
          <c:idx val="5"/>
          <c:order val="5"/>
          <c:tx>
            <c:strRef>
              <c:f>'Operation at Typical Day'!$J$26</c:f>
              <c:strCache>
                <c:ptCount val="1"/>
                <c:pt idx="0">
                  <c:v>Energy input for booster actual operation</c:v>
                </c:pt>
              </c:strCache>
            </c:strRef>
          </c:tx>
          <c:spPr>
            <a:ln w="31750" cap="rnd">
              <a:solidFill>
                <a:schemeClr val="accent6"/>
              </a:solidFill>
              <a:round/>
            </a:ln>
            <a:effectLst/>
          </c:spPr>
          <c:marker>
            <c:symbol val="none"/>
          </c:marker>
          <c:cat>
            <c:numRef>
              <c:f>'Operation at Typical Day'!$D$28:$D$51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Day'!$J$28:$J$51</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5-9262-4A4D-B34D-464AC2C05DFB}"/>
            </c:ext>
          </c:extLst>
        </c:ser>
        <c:dLbls>
          <c:showLegendKey val="0"/>
          <c:showVal val="0"/>
          <c:showCatName val="0"/>
          <c:showSerName val="0"/>
          <c:showPercent val="0"/>
          <c:showBubbleSize val="0"/>
        </c:dLbls>
        <c:marker val="1"/>
        <c:smooth val="0"/>
        <c:axId val="1867926656"/>
        <c:axId val="1867928576"/>
      </c:lineChart>
      <c:lineChart>
        <c:grouping val="standard"/>
        <c:varyColors val="0"/>
        <c:ser>
          <c:idx val="1"/>
          <c:order val="1"/>
          <c:tx>
            <c:strRef>
              <c:f>'Operation at Typical Day'!$F$26</c:f>
              <c:strCache>
                <c:ptCount val="1"/>
                <c:pt idx="0">
                  <c:v>Max heat demand grid</c:v>
                </c:pt>
              </c:strCache>
            </c:strRef>
          </c:tx>
          <c:spPr>
            <a:ln w="31750" cap="rnd">
              <a:solidFill>
                <a:schemeClr val="accent2"/>
              </a:solidFill>
              <a:round/>
            </a:ln>
            <a:effectLst/>
          </c:spPr>
          <c:marker>
            <c:symbol val="none"/>
          </c:marker>
          <c:cat>
            <c:numRef>
              <c:f>'Operation at Typical Day'!$D$28:$D$51</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Day'!$F$28:$F$51</c:f>
              <c:numCache>
                <c:formatCode>#,##0</c:formatCode>
                <c:ptCount val="24"/>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numCache>
            </c:numRef>
          </c:val>
          <c:smooth val="0"/>
          <c:extLst>
            <c:ext xmlns:c16="http://schemas.microsoft.com/office/drawing/2014/chart" uri="{C3380CC4-5D6E-409C-BE32-E72D297353CC}">
              <c16:uniqueId val="{00000001-9262-4A4D-B34D-464AC2C05DFB}"/>
            </c:ext>
          </c:extLst>
        </c:ser>
        <c:dLbls>
          <c:showLegendKey val="0"/>
          <c:showVal val="0"/>
          <c:showCatName val="0"/>
          <c:showSerName val="0"/>
          <c:showPercent val="0"/>
          <c:showBubbleSize val="0"/>
        </c:dLbls>
        <c:marker val="1"/>
        <c:smooth val="0"/>
        <c:axId val="1701349920"/>
        <c:axId val="1701330720"/>
      </c:lineChart>
      <c:catAx>
        <c:axId val="1867926656"/>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de-DE"/>
                  <a:t>Hour</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867928576"/>
        <c:crosses val="autoZero"/>
        <c:auto val="1"/>
        <c:lblAlgn val="ctr"/>
        <c:lblOffset val="100"/>
        <c:noMultiLvlLbl val="0"/>
      </c:catAx>
      <c:valAx>
        <c:axId val="1867928576"/>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r>
                  <a:rPr lang="de-DE" sz="1200"/>
                  <a:t>Energy per hour [MWh_th]</a:t>
                </a:r>
              </a:p>
            </c:rich>
          </c:tx>
          <c:layout>
            <c:manualLayout>
              <c:xMode val="edge"/>
              <c:yMode val="edge"/>
              <c:x val="7.2309758522987252E-3"/>
              <c:y val="0.19076978605705058"/>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867926656"/>
        <c:crosses val="autoZero"/>
        <c:crossBetween val="between"/>
      </c:valAx>
      <c:valAx>
        <c:axId val="1701330720"/>
        <c:scaling>
          <c:orientation val="minMax"/>
        </c:scaling>
        <c:delete val="0"/>
        <c:axPos val="r"/>
        <c:title>
          <c:tx>
            <c:rich>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r>
                  <a:rPr lang="de-DE" sz="1200"/>
                  <a:t>Max heat demand grid per hour [MWh_th]</a:t>
                </a:r>
              </a:p>
            </c:rich>
          </c:tx>
          <c:overlay val="0"/>
          <c:spPr>
            <a:noFill/>
            <a:ln>
              <a:noFill/>
            </a:ln>
            <a:effectLst/>
          </c:spPr>
          <c:txPr>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701349920"/>
        <c:crosses val="max"/>
        <c:crossBetween val="between"/>
      </c:valAx>
      <c:catAx>
        <c:axId val="1701349920"/>
        <c:scaling>
          <c:orientation val="minMax"/>
        </c:scaling>
        <c:delete val="1"/>
        <c:axPos val="b"/>
        <c:numFmt formatCode="General" sourceLinked="1"/>
        <c:majorTickMark val="none"/>
        <c:minorTickMark val="none"/>
        <c:tickLblPos val="nextTo"/>
        <c:crossAx val="1701330720"/>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'Operation at Typical Day'!$E$24</c:f>
          <c:strCache>
            <c:ptCount val="1"/>
            <c:pt idx="0">
              <c:v>Spring / fall weekend</c:v>
            </c:pt>
          </c:strCache>
        </c:strRef>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7.2416951475569577E-2"/>
          <c:y val="9.5289780199313251E-2"/>
          <c:w val="0.87441477777777765"/>
          <c:h val="0.60283087512291056"/>
        </c:manualLayout>
      </c:layout>
      <c:lineChart>
        <c:grouping val="standard"/>
        <c:varyColors val="0"/>
        <c:ser>
          <c:idx val="0"/>
          <c:order val="0"/>
          <c:tx>
            <c:strRef>
              <c:f>'Operation at Typical Day'!$E$57</c:f>
              <c:strCache>
                <c:ptCount val="1"/>
                <c:pt idx="0">
                  <c:v>Electricity price Heat pump</c:v>
                </c:pt>
              </c:strCache>
            </c:strRef>
          </c:tx>
          <c:spPr>
            <a:ln w="31750" cap="rnd">
              <a:solidFill>
                <a:schemeClr val="accent1"/>
              </a:solidFill>
              <a:round/>
            </a:ln>
            <a:effectLst/>
          </c:spPr>
          <c:marker>
            <c:symbol val="none"/>
          </c:marker>
          <c:cat>
            <c:numRef>
              <c:f>'Operation at Typical Day'!$D$59:$D$82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Day'!$E$59:$E$82</c:f>
              <c:numCache>
                <c:formatCode>#,##0</c:formatCode>
                <c:ptCount val="24"/>
                <c:pt idx="0">
                  <c:v>92.85</c:v>
                </c:pt>
                <c:pt idx="1">
                  <c:v>81.59</c:v>
                </c:pt>
                <c:pt idx="2">
                  <c:v>80.53</c:v>
                </c:pt>
                <c:pt idx="3">
                  <c:v>75.400000000000006</c:v>
                </c:pt>
                <c:pt idx="4">
                  <c:v>74.88</c:v>
                </c:pt>
                <c:pt idx="5">
                  <c:v>74.62</c:v>
                </c:pt>
                <c:pt idx="6">
                  <c:v>75.430000000000007</c:v>
                </c:pt>
                <c:pt idx="7">
                  <c:v>71.53</c:v>
                </c:pt>
                <c:pt idx="8">
                  <c:v>71.88</c:v>
                </c:pt>
                <c:pt idx="9">
                  <c:v>66.38</c:v>
                </c:pt>
                <c:pt idx="10">
                  <c:v>43.99</c:v>
                </c:pt>
                <c:pt idx="11">
                  <c:v>47.96</c:v>
                </c:pt>
                <c:pt idx="12">
                  <c:v>17.059999999999999</c:v>
                </c:pt>
                <c:pt idx="13">
                  <c:v>11.28</c:v>
                </c:pt>
                <c:pt idx="14">
                  <c:v>10.1</c:v>
                </c:pt>
                <c:pt idx="15">
                  <c:v>11.75</c:v>
                </c:pt>
                <c:pt idx="16">
                  <c:v>17.009999999999998</c:v>
                </c:pt>
                <c:pt idx="17">
                  <c:v>69.22</c:v>
                </c:pt>
                <c:pt idx="18">
                  <c:v>85.6</c:v>
                </c:pt>
                <c:pt idx="19">
                  <c:v>100.36</c:v>
                </c:pt>
                <c:pt idx="20">
                  <c:v>106.26</c:v>
                </c:pt>
                <c:pt idx="21">
                  <c:v>102.07</c:v>
                </c:pt>
                <c:pt idx="22">
                  <c:v>100.41</c:v>
                </c:pt>
                <c:pt idx="23">
                  <c:v>99.46</c:v>
                </c:pt>
              </c:numCache>
            </c:numRef>
          </c:val>
          <c:smooth val="0"/>
          <c:extLst>
            <c:ext xmlns:c16="http://schemas.microsoft.com/office/drawing/2014/chart" uri="{C3380CC4-5D6E-409C-BE32-E72D297353CC}">
              <c16:uniqueId val="{00000000-AD99-42D2-A75D-E45EE2B70397}"/>
            </c:ext>
          </c:extLst>
        </c:ser>
        <c:ser>
          <c:idx val="1"/>
          <c:order val="1"/>
          <c:tx>
            <c:strRef>
              <c:f>'Operation at Typical Day'!$F$57</c:f>
              <c:strCache>
                <c:ptCount val="1"/>
                <c:pt idx="0">
                  <c:v>Fuel price booster</c:v>
                </c:pt>
              </c:strCache>
            </c:strRef>
          </c:tx>
          <c:spPr>
            <a:ln w="31750" cap="rnd">
              <a:solidFill>
                <a:schemeClr val="accent2"/>
              </a:solidFill>
              <a:round/>
            </a:ln>
            <a:effectLst/>
          </c:spPr>
          <c:marker>
            <c:symbol val="none"/>
          </c:marker>
          <c:cat>
            <c:numRef>
              <c:f>'Operation at Typical Day'!$D$59:$D$82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Day'!$F$59:$F$82</c:f>
              <c:numCache>
                <c:formatCode>#,##0</c:formatCode>
                <c:ptCount val="24"/>
                <c:pt idx="0">
                  <c:v>92.85</c:v>
                </c:pt>
                <c:pt idx="1">
                  <c:v>81.59</c:v>
                </c:pt>
                <c:pt idx="2">
                  <c:v>80.53</c:v>
                </c:pt>
                <c:pt idx="3">
                  <c:v>75.400000000000006</c:v>
                </c:pt>
                <c:pt idx="4">
                  <c:v>74.88</c:v>
                </c:pt>
                <c:pt idx="5">
                  <c:v>74.62</c:v>
                </c:pt>
                <c:pt idx="6">
                  <c:v>75.430000000000007</c:v>
                </c:pt>
                <c:pt idx="7">
                  <c:v>71.53</c:v>
                </c:pt>
                <c:pt idx="8">
                  <c:v>71.88</c:v>
                </c:pt>
                <c:pt idx="9">
                  <c:v>66.38</c:v>
                </c:pt>
                <c:pt idx="10">
                  <c:v>43.99</c:v>
                </c:pt>
                <c:pt idx="11">
                  <c:v>47.96</c:v>
                </c:pt>
                <c:pt idx="12">
                  <c:v>17.059999999999999</c:v>
                </c:pt>
                <c:pt idx="13">
                  <c:v>11.28</c:v>
                </c:pt>
                <c:pt idx="14">
                  <c:v>10.1</c:v>
                </c:pt>
                <c:pt idx="15">
                  <c:v>11.75</c:v>
                </c:pt>
                <c:pt idx="16">
                  <c:v>17.009999999999998</c:v>
                </c:pt>
                <c:pt idx="17">
                  <c:v>69.22</c:v>
                </c:pt>
                <c:pt idx="18">
                  <c:v>85.6</c:v>
                </c:pt>
                <c:pt idx="19">
                  <c:v>100.36</c:v>
                </c:pt>
                <c:pt idx="20">
                  <c:v>106.26</c:v>
                </c:pt>
                <c:pt idx="21">
                  <c:v>102.07</c:v>
                </c:pt>
                <c:pt idx="22">
                  <c:v>100.41</c:v>
                </c:pt>
                <c:pt idx="23">
                  <c:v>99.46</c:v>
                </c:pt>
              </c:numCache>
            </c:numRef>
          </c:val>
          <c:smooth val="0"/>
          <c:extLst>
            <c:ext xmlns:c16="http://schemas.microsoft.com/office/drawing/2014/chart" uri="{C3380CC4-5D6E-409C-BE32-E72D297353CC}">
              <c16:uniqueId val="{00000001-AD99-42D2-A75D-E45EE2B70397}"/>
            </c:ext>
          </c:extLst>
        </c:ser>
        <c:ser>
          <c:idx val="2"/>
          <c:order val="2"/>
          <c:tx>
            <c:strRef>
              <c:f>'Operation at Typical Day'!$G$57</c:f>
              <c:strCache>
                <c:ptCount val="1"/>
                <c:pt idx="0">
                  <c:v>SRMC Waste heat price (if Pay-as-you-go contract)</c:v>
                </c:pt>
              </c:strCache>
            </c:strRef>
          </c:tx>
          <c:spPr>
            <a:ln w="31750" cap="rnd">
              <a:solidFill>
                <a:schemeClr val="accent3"/>
              </a:solidFill>
              <a:round/>
            </a:ln>
            <a:effectLst/>
          </c:spPr>
          <c:marker>
            <c:symbol val="none"/>
          </c:marker>
          <c:cat>
            <c:numRef>
              <c:f>'Operation at Typical Day'!$D$59:$D$82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Day'!$G$59:$G$82</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2-AD99-42D2-A75D-E45EE2B70397}"/>
            </c:ext>
          </c:extLst>
        </c:ser>
        <c:ser>
          <c:idx val="3"/>
          <c:order val="3"/>
          <c:tx>
            <c:strRef>
              <c:f>'Operation at Typical Day'!$H$57</c:f>
              <c:strCache>
                <c:ptCount val="1"/>
                <c:pt idx="0">
                  <c:v>SRMC of heat production from waste heat</c:v>
                </c:pt>
              </c:strCache>
            </c:strRef>
          </c:tx>
          <c:spPr>
            <a:ln w="31750" cap="rnd">
              <a:solidFill>
                <a:schemeClr val="accent4"/>
              </a:solidFill>
              <a:round/>
            </a:ln>
            <a:effectLst/>
          </c:spPr>
          <c:marker>
            <c:symbol val="none"/>
          </c:marker>
          <c:cat>
            <c:numRef>
              <c:f>'Operation at Typical Day'!$D$59:$D$82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Day'!$H$59:$H$82</c:f>
              <c:numCache>
                <c:formatCode>#,##0</c:formatCode>
                <c:ptCount val="24"/>
                <c:pt idx="0">
                  <c:v>30.303996252282719</c:v>
                </c:pt>
                <c:pt idx="1">
                  <c:v>26.802948425357616</c:v>
                </c:pt>
                <c:pt idx="2">
                  <c:v>26.473364882147965</c:v>
                </c:pt>
                <c:pt idx="3">
                  <c:v>25.195246978940819</c:v>
                </c:pt>
                <c:pt idx="4">
                  <c:v>25.354762041669058</c:v>
                </c:pt>
                <c:pt idx="5">
                  <c:v>24.949444528479464</c:v>
                </c:pt>
                <c:pt idx="6">
                  <c:v>25.204700919343178</c:v>
                </c:pt>
                <c:pt idx="7">
                  <c:v>23.675014043575498</c:v>
                </c:pt>
                <c:pt idx="8">
                  <c:v>23.489647385151638</c:v>
                </c:pt>
                <c:pt idx="9">
                  <c:v>21.53743309569813</c:v>
                </c:pt>
                <c:pt idx="10">
                  <c:v>14.585786834405617</c:v>
                </c:pt>
                <c:pt idx="11">
                  <c:v>15.591106860539941</c:v>
                </c:pt>
                <c:pt idx="12">
                  <c:v>6.4071185110046187</c:v>
                </c:pt>
                <c:pt idx="13">
                  <c:v>4.6817135827206116</c:v>
                </c:pt>
                <c:pt idx="14">
                  <c:v>4.3420064218088141</c:v>
                </c:pt>
                <c:pt idx="15">
                  <c:v>4.7757530257530254</c:v>
                </c:pt>
                <c:pt idx="16">
                  <c:v>6.3313085251143377</c:v>
                </c:pt>
                <c:pt idx="17">
                  <c:v>21.61110139486437</c:v>
                </c:pt>
                <c:pt idx="18">
                  <c:v>26.701627614544037</c:v>
                </c:pt>
                <c:pt idx="19">
                  <c:v>31.438409350011554</c:v>
                </c:pt>
                <c:pt idx="20">
                  <c:v>33.615035019392394</c:v>
                </c:pt>
                <c:pt idx="21">
                  <c:v>32.752997778514171</c:v>
                </c:pt>
                <c:pt idx="22">
                  <c:v>32.243651582655218</c:v>
                </c:pt>
                <c:pt idx="23">
                  <c:v>32.359229479278717</c:v>
                </c:pt>
              </c:numCache>
            </c:numRef>
          </c:val>
          <c:smooth val="0"/>
          <c:extLst>
            <c:ext xmlns:c16="http://schemas.microsoft.com/office/drawing/2014/chart" uri="{C3380CC4-5D6E-409C-BE32-E72D297353CC}">
              <c16:uniqueId val="{00000003-AD99-42D2-A75D-E45EE2B70397}"/>
            </c:ext>
          </c:extLst>
        </c:ser>
        <c:ser>
          <c:idx val="4"/>
          <c:order val="4"/>
          <c:tx>
            <c:strRef>
              <c:f>'Operation at Typical Day'!$I$57</c:f>
              <c:strCache>
                <c:ptCount val="1"/>
                <c:pt idx="0">
                  <c:v>SRMC of alternative heat production</c:v>
                </c:pt>
              </c:strCache>
            </c:strRef>
          </c:tx>
          <c:spPr>
            <a:ln w="31750" cap="rnd">
              <a:solidFill>
                <a:schemeClr val="accent5"/>
              </a:solidFill>
              <a:round/>
            </a:ln>
            <a:effectLst/>
          </c:spPr>
          <c:marker>
            <c:symbol val="none"/>
          </c:marker>
          <c:cat>
            <c:numRef>
              <c:f>'Operation at Typical Day'!$D$59:$D$82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Day'!$I$59:$I$82</c:f>
              <c:numCache>
                <c:formatCode>#,##0</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4-AD99-42D2-A75D-E45EE2B70397}"/>
            </c:ext>
          </c:extLst>
        </c:ser>
        <c:dLbls>
          <c:showLegendKey val="0"/>
          <c:showVal val="0"/>
          <c:showCatName val="0"/>
          <c:showSerName val="0"/>
          <c:showPercent val="0"/>
          <c:showBubbleSize val="0"/>
        </c:dLbls>
        <c:marker val="1"/>
        <c:smooth val="0"/>
        <c:axId val="1867926656"/>
        <c:axId val="1867928576"/>
      </c:lineChart>
      <c:lineChart>
        <c:grouping val="standard"/>
        <c:varyColors val="0"/>
        <c:ser>
          <c:idx val="5"/>
          <c:order val="5"/>
          <c:tx>
            <c:strRef>
              <c:f>'Operation at Typical Day'!$J$57</c:f>
              <c:strCache>
                <c:ptCount val="1"/>
                <c:pt idx="0">
                  <c:v>Heat pump is running</c:v>
                </c:pt>
              </c:strCache>
            </c:strRef>
          </c:tx>
          <c:spPr>
            <a:ln w="31750" cap="rnd">
              <a:solidFill>
                <a:schemeClr val="accent6"/>
              </a:solidFill>
              <a:round/>
            </a:ln>
            <a:effectLst/>
          </c:spPr>
          <c:marker>
            <c:symbol val="none"/>
          </c:marker>
          <c:cat>
            <c:numRef>
              <c:f>'Operation at Typical Day'!$D$59:$D$82</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Day'!$J$59:$J$82</c:f>
              <c:numCache>
                <c:formatCode>#,##0</c:formatCode>
                <c:ptCount val="24"/>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numCache>
            </c:numRef>
          </c:val>
          <c:smooth val="0"/>
          <c:extLst>
            <c:ext xmlns:c16="http://schemas.microsoft.com/office/drawing/2014/chart" uri="{C3380CC4-5D6E-409C-BE32-E72D297353CC}">
              <c16:uniqueId val="{00000005-AD99-42D2-A75D-E45EE2B70397}"/>
            </c:ext>
          </c:extLst>
        </c:ser>
        <c:dLbls>
          <c:showLegendKey val="0"/>
          <c:showVal val="0"/>
          <c:showCatName val="0"/>
          <c:showSerName val="0"/>
          <c:showPercent val="0"/>
          <c:showBubbleSize val="0"/>
        </c:dLbls>
        <c:marker val="1"/>
        <c:smooth val="0"/>
        <c:axId val="1877877392"/>
        <c:axId val="1877899472"/>
      </c:lineChart>
      <c:catAx>
        <c:axId val="1867926656"/>
        <c:scaling>
          <c:orientation val="minMax"/>
        </c:scaling>
        <c:delete val="0"/>
        <c:axPos val="b"/>
        <c:title>
          <c:tx>
            <c:rich>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Hour </a:t>
                </a:r>
              </a:p>
            </c:rich>
          </c:tx>
          <c:overlay val="0"/>
          <c:spPr>
            <a:noFill/>
            <a:ln>
              <a:noFill/>
            </a:ln>
            <a:effectLst/>
          </c:spPr>
          <c:txPr>
            <a:bodyPr rot="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867928576"/>
        <c:crosses val="autoZero"/>
        <c:auto val="1"/>
        <c:lblAlgn val="ctr"/>
        <c:lblOffset val="100"/>
        <c:noMultiLvlLbl val="0"/>
      </c:catAx>
      <c:valAx>
        <c:axId val="1867928576"/>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Energy costs [EUR/MWh]</a:t>
                </a:r>
              </a:p>
            </c:rich>
          </c:tx>
          <c:layout>
            <c:manualLayout>
              <c:xMode val="edge"/>
              <c:yMode val="edge"/>
              <c:x val="9.4446827042802568E-3"/>
              <c:y val="0.2894509314384482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867926656"/>
        <c:crosses val="autoZero"/>
        <c:crossBetween val="between"/>
      </c:valAx>
      <c:valAx>
        <c:axId val="1877899472"/>
        <c:scaling>
          <c:orientation val="minMax"/>
          <c:max val="1"/>
        </c:scaling>
        <c:delete val="0"/>
        <c:axPos val="r"/>
        <c:title>
          <c:tx>
            <c:rich>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r>
                  <a:rPr lang="de-DE" sz="1200"/>
                  <a:t>System is running (0/1)</a:t>
                </a:r>
              </a:p>
            </c:rich>
          </c:tx>
          <c:layout>
            <c:manualLayout>
              <c:xMode val="edge"/>
              <c:yMode val="edge"/>
              <c:x val="0.9627090667291629"/>
              <c:y val="0.23162396599524424"/>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de-DE"/>
          </a:p>
        </c:txPr>
        <c:crossAx val="1877877392"/>
        <c:crosses val="max"/>
        <c:crossBetween val="between"/>
        <c:majorUnit val="1"/>
      </c:valAx>
      <c:catAx>
        <c:axId val="1877877392"/>
        <c:scaling>
          <c:orientation val="minMax"/>
        </c:scaling>
        <c:delete val="1"/>
        <c:axPos val="b"/>
        <c:numFmt formatCode="General" sourceLinked="1"/>
        <c:majorTickMark val="none"/>
        <c:minorTickMark val="none"/>
        <c:tickLblPos val="nextTo"/>
        <c:crossAx val="187789947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'Operation at Typical Day'!$E$24</c:f>
          <c:strCache>
            <c:ptCount val="1"/>
            <c:pt idx="0">
              <c:v>Spring / fall weekend</c:v>
            </c:pt>
          </c:strCache>
        </c:strRef>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de-DE"/>
        </a:p>
      </c:txPr>
    </c:title>
    <c:autoTitleDeleted val="0"/>
    <c:plotArea>
      <c:layout>
        <c:manualLayout>
          <c:layoutTarget val="inner"/>
          <c:xMode val="edge"/>
          <c:yMode val="edge"/>
          <c:x val="7.2416951475569577E-2"/>
          <c:y val="0.11132525252525252"/>
          <c:w val="0.85582335812524879"/>
          <c:h val="0.56806388888888892"/>
        </c:manualLayout>
      </c:layout>
      <c:lineChart>
        <c:grouping val="standard"/>
        <c:varyColors val="0"/>
        <c:ser>
          <c:idx val="0"/>
          <c:order val="0"/>
          <c:tx>
            <c:strRef>
              <c:f>'Operation at Typical Day'!$E$88</c:f>
              <c:strCache>
                <c:ptCount val="1"/>
                <c:pt idx="0">
                  <c:v>Flow temperature of data centre cooling system</c:v>
                </c:pt>
              </c:strCache>
            </c:strRef>
          </c:tx>
          <c:spPr>
            <a:ln w="31750" cap="rnd">
              <a:solidFill>
                <a:schemeClr val="accent1"/>
              </a:solidFill>
              <a:round/>
            </a:ln>
            <a:effectLst/>
          </c:spPr>
          <c:marker>
            <c:symbol val="none"/>
          </c:marker>
          <c:cat>
            <c:numRef>
              <c:f>'Operation at Typical Day'!$D$90:$D$113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Day'!$E$90:$E$113</c:f>
              <c:numCache>
                <c:formatCode>#,##0</c:formatCode>
                <c:ptCount val="24"/>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numCache>
            </c:numRef>
          </c:val>
          <c:smooth val="0"/>
          <c:extLst>
            <c:ext xmlns:c16="http://schemas.microsoft.com/office/drawing/2014/chart" uri="{C3380CC4-5D6E-409C-BE32-E72D297353CC}">
              <c16:uniqueId val="{00000000-61B8-4776-82E2-50E27CB99DE3}"/>
            </c:ext>
          </c:extLst>
        </c:ser>
        <c:ser>
          <c:idx val="1"/>
          <c:order val="1"/>
          <c:tx>
            <c:strRef>
              <c:f>'Operation at Typical Day'!$F$88</c:f>
              <c:strCache>
                <c:ptCount val="1"/>
                <c:pt idx="0">
                  <c:v>Flow Temperature HP </c:v>
                </c:pt>
              </c:strCache>
            </c:strRef>
          </c:tx>
          <c:spPr>
            <a:ln w="31750" cap="rnd">
              <a:solidFill>
                <a:schemeClr val="accent2"/>
              </a:solidFill>
              <a:round/>
            </a:ln>
            <a:effectLst/>
          </c:spPr>
          <c:marker>
            <c:symbol val="none"/>
          </c:marker>
          <c:cat>
            <c:numRef>
              <c:f>'Operation at Typical Day'!$D$90:$D$113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Day'!$F$90:$F$113</c:f>
              <c:numCache>
                <c:formatCode>#,##0</c:formatCode>
                <c:ptCount val="24"/>
                <c:pt idx="0">
                  <c:v>37</c:v>
                </c:pt>
                <c:pt idx="1">
                  <c:v>37</c:v>
                </c:pt>
                <c:pt idx="2">
                  <c:v>37</c:v>
                </c:pt>
                <c:pt idx="3">
                  <c:v>37</c:v>
                </c:pt>
                <c:pt idx="4">
                  <c:v>37</c:v>
                </c:pt>
                <c:pt idx="5">
                  <c:v>37</c:v>
                </c:pt>
                <c:pt idx="6">
                  <c:v>37</c:v>
                </c:pt>
                <c:pt idx="7">
                  <c:v>37</c:v>
                </c:pt>
                <c:pt idx="8">
                  <c:v>37</c:v>
                </c:pt>
                <c:pt idx="9">
                  <c:v>37</c:v>
                </c:pt>
                <c:pt idx="10">
                  <c:v>37</c:v>
                </c:pt>
                <c:pt idx="11">
                  <c:v>37</c:v>
                </c:pt>
                <c:pt idx="12">
                  <c:v>37</c:v>
                </c:pt>
                <c:pt idx="13">
                  <c:v>37</c:v>
                </c:pt>
                <c:pt idx="14">
                  <c:v>37</c:v>
                </c:pt>
                <c:pt idx="15">
                  <c:v>37</c:v>
                </c:pt>
                <c:pt idx="16">
                  <c:v>37</c:v>
                </c:pt>
                <c:pt idx="17">
                  <c:v>37</c:v>
                </c:pt>
                <c:pt idx="18">
                  <c:v>37</c:v>
                </c:pt>
                <c:pt idx="19">
                  <c:v>37</c:v>
                </c:pt>
                <c:pt idx="20">
                  <c:v>37</c:v>
                </c:pt>
                <c:pt idx="21">
                  <c:v>37</c:v>
                </c:pt>
                <c:pt idx="22">
                  <c:v>37</c:v>
                </c:pt>
                <c:pt idx="23">
                  <c:v>37</c:v>
                </c:pt>
              </c:numCache>
            </c:numRef>
          </c:val>
          <c:smooth val="0"/>
          <c:extLst>
            <c:ext xmlns:c16="http://schemas.microsoft.com/office/drawing/2014/chart" uri="{C3380CC4-5D6E-409C-BE32-E72D297353CC}">
              <c16:uniqueId val="{00000001-61B8-4776-82E2-50E27CB99DE3}"/>
            </c:ext>
          </c:extLst>
        </c:ser>
        <c:ser>
          <c:idx val="2"/>
          <c:order val="2"/>
          <c:tx>
            <c:strRef>
              <c:f>'Operation at Typical Day'!$G$88</c:f>
              <c:strCache>
                <c:ptCount val="1"/>
                <c:pt idx="0">
                  <c:v>DH supply line temperature</c:v>
                </c:pt>
              </c:strCache>
            </c:strRef>
          </c:tx>
          <c:spPr>
            <a:ln w="31750" cap="rnd">
              <a:solidFill>
                <a:schemeClr val="accent3"/>
              </a:solidFill>
              <a:round/>
            </a:ln>
            <a:effectLst/>
          </c:spPr>
          <c:marker>
            <c:symbol val="none"/>
          </c:marker>
          <c:cat>
            <c:numRef>
              <c:f>'Operation at Typical Day'!$D$90:$D$113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Day'!$G$90:$G$113</c:f>
              <c:numCache>
                <c:formatCode>#,##0</c:formatCode>
                <c:ptCount val="24"/>
                <c:pt idx="0">
                  <c:v>86.666666666666657</c:v>
                </c:pt>
                <c:pt idx="1">
                  <c:v>86.666666666666657</c:v>
                </c:pt>
                <c:pt idx="2">
                  <c:v>86.666666666666657</c:v>
                </c:pt>
                <c:pt idx="3">
                  <c:v>88.333333333333329</c:v>
                </c:pt>
                <c:pt idx="4">
                  <c:v>90</c:v>
                </c:pt>
                <c:pt idx="5">
                  <c:v>88.333333333333329</c:v>
                </c:pt>
                <c:pt idx="6">
                  <c:v>88.333333333333329</c:v>
                </c:pt>
                <c:pt idx="7">
                  <c:v>86.666666666666657</c:v>
                </c:pt>
                <c:pt idx="8">
                  <c:v>85</c:v>
                </c:pt>
                <c:pt idx="9">
                  <c:v>83.333333333333314</c:v>
                </c:pt>
                <c:pt idx="10">
                  <c:v>81.666666666666643</c:v>
                </c:pt>
                <c:pt idx="11">
                  <c:v>80</c:v>
                </c:pt>
                <c:pt idx="12">
                  <c:v>78.3333333333333</c:v>
                </c:pt>
                <c:pt idx="13">
                  <c:v>76.666666666666629</c:v>
                </c:pt>
                <c:pt idx="14">
                  <c:v>76.666666666666629</c:v>
                </c:pt>
                <c:pt idx="15">
                  <c:v>75</c:v>
                </c:pt>
                <c:pt idx="16">
                  <c:v>76.666666666666629</c:v>
                </c:pt>
                <c:pt idx="17">
                  <c:v>78.3333333333333</c:v>
                </c:pt>
                <c:pt idx="18">
                  <c:v>80</c:v>
                </c:pt>
                <c:pt idx="19">
                  <c:v>81.666666666666643</c:v>
                </c:pt>
                <c:pt idx="20">
                  <c:v>83.333333333333314</c:v>
                </c:pt>
                <c:pt idx="21">
                  <c:v>84.999999999999986</c:v>
                </c:pt>
                <c:pt idx="22">
                  <c:v>84.999999999999986</c:v>
                </c:pt>
                <c:pt idx="23">
                  <c:v>86.666666666666657</c:v>
                </c:pt>
              </c:numCache>
            </c:numRef>
          </c:val>
          <c:smooth val="0"/>
          <c:extLst>
            <c:ext xmlns:c16="http://schemas.microsoft.com/office/drawing/2014/chart" uri="{C3380CC4-5D6E-409C-BE32-E72D297353CC}">
              <c16:uniqueId val="{00000002-61B8-4776-82E2-50E27CB99DE3}"/>
            </c:ext>
          </c:extLst>
        </c:ser>
        <c:ser>
          <c:idx val="3"/>
          <c:order val="3"/>
          <c:tx>
            <c:strRef>
              <c:f>'Operation at Typical Day'!$H$88</c:f>
              <c:strCache>
                <c:ptCount val="1"/>
                <c:pt idx="0">
                  <c:v>Required temperature sink out</c:v>
                </c:pt>
              </c:strCache>
            </c:strRef>
          </c:tx>
          <c:spPr>
            <a:ln w="31750" cap="rnd">
              <a:solidFill>
                <a:schemeClr val="accent4"/>
              </a:solidFill>
              <a:round/>
            </a:ln>
            <a:effectLst/>
          </c:spPr>
          <c:marker>
            <c:symbol val="none"/>
          </c:marker>
          <c:cat>
            <c:numRef>
              <c:f>'Operation at Typical Day'!$D$90:$D$113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Day'!$H$90:$H$113</c:f>
              <c:numCache>
                <c:formatCode>#,##0</c:formatCode>
                <c:ptCount val="24"/>
                <c:pt idx="0">
                  <c:v>89.666666666666657</c:v>
                </c:pt>
                <c:pt idx="1">
                  <c:v>89.666666666666657</c:v>
                </c:pt>
                <c:pt idx="2">
                  <c:v>89.666666666666657</c:v>
                </c:pt>
                <c:pt idx="3">
                  <c:v>91.333333333333329</c:v>
                </c:pt>
                <c:pt idx="4">
                  <c:v>93</c:v>
                </c:pt>
                <c:pt idx="5">
                  <c:v>91.333333333333329</c:v>
                </c:pt>
                <c:pt idx="6">
                  <c:v>91.333333333333329</c:v>
                </c:pt>
                <c:pt idx="7">
                  <c:v>89.666666666666657</c:v>
                </c:pt>
                <c:pt idx="8">
                  <c:v>88</c:v>
                </c:pt>
                <c:pt idx="9">
                  <c:v>86.333333333333314</c:v>
                </c:pt>
                <c:pt idx="10">
                  <c:v>84.666666666666643</c:v>
                </c:pt>
                <c:pt idx="11">
                  <c:v>83</c:v>
                </c:pt>
                <c:pt idx="12">
                  <c:v>81.3333333333333</c:v>
                </c:pt>
                <c:pt idx="13">
                  <c:v>79.666666666666629</c:v>
                </c:pt>
                <c:pt idx="14">
                  <c:v>79.666666666666629</c:v>
                </c:pt>
                <c:pt idx="15">
                  <c:v>78</c:v>
                </c:pt>
                <c:pt idx="16">
                  <c:v>79.666666666666629</c:v>
                </c:pt>
                <c:pt idx="17">
                  <c:v>81.3333333333333</c:v>
                </c:pt>
                <c:pt idx="18">
                  <c:v>83</c:v>
                </c:pt>
                <c:pt idx="19">
                  <c:v>84.666666666666643</c:v>
                </c:pt>
                <c:pt idx="20">
                  <c:v>86.333333333333314</c:v>
                </c:pt>
                <c:pt idx="21">
                  <c:v>87.999999999999986</c:v>
                </c:pt>
                <c:pt idx="22">
                  <c:v>87.999999999999986</c:v>
                </c:pt>
                <c:pt idx="23">
                  <c:v>89.666666666666657</c:v>
                </c:pt>
              </c:numCache>
            </c:numRef>
          </c:val>
          <c:smooth val="0"/>
          <c:extLst>
            <c:ext xmlns:c16="http://schemas.microsoft.com/office/drawing/2014/chart" uri="{C3380CC4-5D6E-409C-BE32-E72D297353CC}">
              <c16:uniqueId val="{00000003-61B8-4776-82E2-50E27CB99DE3}"/>
            </c:ext>
          </c:extLst>
        </c:ser>
        <c:ser>
          <c:idx val="4"/>
          <c:order val="4"/>
          <c:tx>
            <c:strRef>
              <c:f>'Operation at Typical Day'!$I$88</c:f>
              <c:strCache>
                <c:ptCount val="1"/>
                <c:pt idx="0">
                  <c:v>DH return line temperature</c:v>
                </c:pt>
              </c:strCache>
            </c:strRef>
          </c:tx>
          <c:spPr>
            <a:ln w="31750" cap="rnd">
              <a:solidFill>
                <a:schemeClr val="accent5"/>
              </a:solidFill>
              <a:round/>
            </a:ln>
            <a:effectLst/>
          </c:spPr>
          <c:marker>
            <c:symbol val="none"/>
          </c:marker>
          <c:cat>
            <c:numRef>
              <c:f>'Operation at Typical Day'!$D$90:$D$113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Day'!$I$90:$I$113</c:f>
              <c:numCache>
                <c:formatCode>#,##0</c:formatCode>
                <c:ptCount val="24"/>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numCache>
            </c:numRef>
          </c:val>
          <c:smooth val="0"/>
          <c:extLst>
            <c:ext xmlns:c16="http://schemas.microsoft.com/office/drawing/2014/chart" uri="{C3380CC4-5D6E-409C-BE32-E72D297353CC}">
              <c16:uniqueId val="{00000004-61B8-4776-82E2-50E27CB99DE3}"/>
            </c:ext>
          </c:extLst>
        </c:ser>
        <c:ser>
          <c:idx val="5"/>
          <c:order val="5"/>
          <c:tx>
            <c:strRef>
              <c:f>'Operation at Typical Day'!$J$88</c:f>
              <c:strCache>
                <c:ptCount val="1"/>
                <c:pt idx="0">
                  <c:v>Temperature heat pump sink in</c:v>
                </c:pt>
              </c:strCache>
            </c:strRef>
          </c:tx>
          <c:spPr>
            <a:ln w="31750" cap="rnd">
              <a:solidFill>
                <a:schemeClr val="accent6"/>
              </a:solidFill>
              <a:round/>
            </a:ln>
            <a:effectLst/>
          </c:spPr>
          <c:marker>
            <c:symbol val="none"/>
          </c:marker>
          <c:cat>
            <c:numRef>
              <c:f>'Operation at Typical Day'!$D$90:$D$113</c:f>
              <c:numCache>
                <c:formatCode>General</c:formatCode>
                <c:ptCount val="24"/>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numCache>
            </c:numRef>
          </c:cat>
          <c:val>
            <c:numRef>
              <c:f>'Operation at Typical Day'!$J$90:$J$113</c:f>
              <c:numCache>
                <c:formatCode>#,##0</c:formatCode>
                <c:ptCount val="24"/>
                <c:pt idx="0">
                  <c:v>48</c:v>
                </c:pt>
                <c:pt idx="1">
                  <c:v>48</c:v>
                </c:pt>
                <c:pt idx="2">
                  <c:v>48</c:v>
                </c:pt>
                <c:pt idx="3">
                  <c:v>48</c:v>
                </c:pt>
                <c:pt idx="4">
                  <c:v>48</c:v>
                </c:pt>
                <c:pt idx="5">
                  <c:v>48</c:v>
                </c:pt>
                <c:pt idx="6">
                  <c:v>48</c:v>
                </c:pt>
                <c:pt idx="7">
                  <c:v>48</c:v>
                </c:pt>
                <c:pt idx="8">
                  <c:v>48</c:v>
                </c:pt>
                <c:pt idx="9">
                  <c:v>48</c:v>
                </c:pt>
                <c:pt idx="10">
                  <c:v>48</c:v>
                </c:pt>
                <c:pt idx="11">
                  <c:v>48</c:v>
                </c:pt>
                <c:pt idx="12">
                  <c:v>48</c:v>
                </c:pt>
                <c:pt idx="13">
                  <c:v>48</c:v>
                </c:pt>
                <c:pt idx="14">
                  <c:v>48</c:v>
                </c:pt>
                <c:pt idx="15">
                  <c:v>48</c:v>
                </c:pt>
                <c:pt idx="16">
                  <c:v>48</c:v>
                </c:pt>
                <c:pt idx="17">
                  <c:v>48</c:v>
                </c:pt>
                <c:pt idx="18">
                  <c:v>48</c:v>
                </c:pt>
                <c:pt idx="19">
                  <c:v>48</c:v>
                </c:pt>
                <c:pt idx="20">
                  <c:v>48</c:v>
                </c:pt>
                <c:pt idx="21">
                  <c:v>48</c:v>
                </c:pt>
                <c:pt idx="22">
                  <c:v>48</c:v>
                </c:pt>
                <c:pt idx="23">
                  <c:v>48</c:v>
                </c:pt>
              </c:numCache>
            </c:numRef>
          </c:val>
          <c:smooth val="0"/>
          <c:extLst>
            <c:ext xmlns:c16="http://schemas.microsoft.com/office/drawing/2014/chart" uri="{C3380CC4-5D6E-409C-BE32-E72D297353CC}">
              <c16:uniqueId val="{00000005-61B8-4776-82E2-50E27CB99DE3}"/>
            </c:ext>
          </c:extLst>
        </c:ser>
        <c:dLbls>
          <c:showLegendKey val="0"/>
          <c:showVal val="0"/>
          <c:showCatName val="0"/>
          <c:showSerName val="0"/>
          <c:showPercent val="0"/>
          <c:showBubbleSize val="0"/>
        </c:dLbls>
        <c:marker val="1"/>
        <c:smooth val="0"/>
        <c:axId val="1867926656"/>
        <c:axId val="1867928576"/>
      </c:lineChart>
      <c:lineChart>
        <c:grouping val="standard"/>
        <c:varyColors val="0"/>
        <c:ser>
          <c:idx val="6"/>
          <c:order val="6"/>
          <c:tx>
            <c:strRef>
              <c:f>'Operation at Typical Day'!$K$88</c:f>
              <c:strCache>
                <c:ptCount val="1"/>
                <c:pt idx="0">
                  <c:v>COP under current conditions</c:v>
                </c:pt>
              </c:strCache>
            </c:strRef>
          </c:tx>
          <c:spPr>
            <a:ln w="31750" cap="rnd">
              <a:solidFill>
                <a:schemeClr val="accent1">
                  <a:lumMod val="60000"/>
                </a:schemeClr>
              </a:solidFill>
              <a:round/>
            </a:ln>
            <a:effectLst/>
          </c:spPr>
          <c:marker>
            <c:symbol val="none"/>
          </c:marker>
          <c:val>
            <c:numRef>
              <c:f>'Operation at Typical Day'!$K$90:$K$113</c:f>
              <c:numCache>
                <c:formatCode>#,##0.0</c:formatCode>
                <c:ptCount val="24"/>
                <c:pt idx="0">
                  <c:v>3.2486666666666673</c:v>
                </c:pt>
                <c:pt idx="1">
                  <c:v>3.2486666666666673</c:v>
                </c:pt>
                <c:pt idx="2">
                  <c:v>3.2486666666666673</c:v>
                </c:pt>
                <c:pt idx="3">
                  <c:v>3.2053333333333338</c:v>
                </c:pt>
                <c:pt idx="4">
                  <c:v>3.1620000000000004</c:v>
                </c:pt>
                <c:pt idx="5">
                  <c:v>3.2053333333333338</c:v>
                </c:pt>
                <c:pt idx="6">
                  <c:v>3.2053333333333338</c:v>
                </c:pt>
                <c:pt idx="7">
                  <c:v>3.2486666666666673</c:v>
                </c:pt>
                <c:pt idx="8">
                  <c:v>3.2920000000000003</c:v>
                </c:pt>
                <c:pt idx="9">
                  <c:v>3.3353333333333341</c:v>
                </c:pt>
                <c:pt idx="10">
                  <c:v>3.3786666666666676</c:v>
                </c:pt>
                <c:pt idx="11">
                  <c:v>3.4220000000000002</c:v>
                </c:pt>
                <c:pt idx="12">
                  <c:v>3.4653333333333345</c:v>
                </c:pt>
                <c:pt idx="13">
                  <c:v>3.5086666666666679</c:v>
                </c:pt>
                <c:pt idx="14">
                  <c:v>3.5086666666666679</c:v>
                </c:pt>
                <c:pt idx="15">
                  <c:v>3.552</c:v>
                </c:pt>
                <c:pt idx="16">
                  <c:v>3.5086666666666679</c:v>
                </c:pt>
                <c:pt idx="17">
                  <c:v>3.4653333333333345</c:v>
                </c:pt>
                <c:pt idx="18">
                  <c:v>3.4220000000000002</c:v>
                </c:pt>
                <c:pt idx="19">
                  <c:v>3.3786666666666676</c:v>
                </c:pt>
                <c:pt idx="20">
                  <c:v>3.3353333333333341</c:v>
                </c:pt>
                <c:pt idx="21">
                  <c:v>3.2920000000000007</c:v>
                </c:pt>
                <c:pt idx="22">
                  <c:v>3.2920000000000007</c:v>
                </c:pt>
                <c:pt idx="23">
                  <c:v>3.2486666666666673</c:v>
                </c:pt>
              </c:numCache>
            </c:numRef>
          </c:val>
          <c:smooth val="0"/>
          <c:extLst>
            <c:ext xmlns:c16="http://schemas.microsoft.com/office/drawing/2014/chart" uri="{C3380CC4-5D6E-409C-BE32-E72D297353CC}">
              <c16:uniqueId val="{00000000-35CB-43F9-B8E0-58855FE6B3F9}"/>
            </c:ext>
          </c:extLst>
        </c:ser>
        <c:dLbls>
          <c:showLegendKey val="0"/>
          <c:showVal val="0"/>
          <c:showCatName val="0"/>
          <c:showSerName val="0"/>
          <c:showPercent val="0"/>
          <c:showBubbleSize val="0"/>
        </c:dLbls>
        <c:marker val="1"/>
        <c:smooth val="0"/>
        <c:axId val="24344847"/>
        <c:axId val="24350127"/>
      </c:lineChart>
      <c:catAx>
        <c:axId val="1867926656"/>
        <c:scaling>
          <c:orientation val="minMax"/>
        </c:scaling>
        <c:delete val="0"/>
        <c:axPos val="b"/>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de-DE"/>
                  <a:t>Hour </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867928576"/>
        <c:crosses val="autoZero"/>
        <c:auto val="1"/>
        <c:lblAlgn val="ctr"/>
        <c:lblOffset val="100"/>
        <c:noMultiLvlLbl val="0"/>
      </c:catAx>
      <c:valAx>
        <c:axId val="1867928576"/>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Temperature [°C]</a:t>
                </a:r>
              </a:p>
            </c:rich>
          </c:tx>
          <c:layout>
            <c:manualLayout>
              <c:xMode val="edge"/>
              <c:yMode val="edge"/>
              <c:x val="9.4446827042802568E-3"/>
              <c:y val="0.28945093143844824"/>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1867926656"/>
        <c:crosses val="autoZero"/>
        <c:crossBetween val="between"/>
      </c:valAx>
      <c:valAx>
        <c:axId val="24350127"/>
        <c:scaling>
          <c:orientation val="minMax"/>
        </c:scaling>
        <c:delete val="0"/>
        <c:axPos val="r"/>
        <c:title>
          <c:tx>
            <c:rich>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r>
                  <a:rPr lang="de-DE" sz="1100"/>
                  <a:t>COP</a:t>
                </a:r>
              </a:p>
            </c:rich>
          </c:tx>
          <c:overlay val="0"/>
          <c:spPr>
            <a:noFill/>
            <a:ln>
              <a:noFill/>
            </a:ln>
            <a:effectLst/>
          </c:spPr>
          <c:txPr>
            <a:bodyPr rot="-5400000" spcFirstLastPara="1" vertOverflow="ellipsis" vert="horz" wrap="square" anchor="ctr" anchorCtr="1"/>
            <a:lstStyle/>
            <a:p>
              <a:pPr>
                <a:defRPr sz="1100" b="1" i="0" u="none" strike="noStrike" kern="1200" baseline="0">
                  <a:solidFill>
                    <a:schemeClr val="tx2"/>
                  </a:solidFill>
                  <a:latin typeface="+mn-lt"/>
                  <a:ea typeface="+mn-ea"/>
                  <a:cs typeface="+mn-cs"/>
                </a:defRPr>
              </a:pPr>
              <a:endParaRPr lang="de-DE"/>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2"/>
                </a:solidFill>
                <a:latin typeface="+mn-lt"/>
                <a:ea typeface="+mn-ea"/>
                <a:cs typeface="+mn-cs"/>
              </a:defRPr>
            </a:pPr>
            <a:endParaRPr lang="de-DE"/>
          </a:p>
        </c:txPr>
        <c:crossAx val="24344847"/>
        <c:crosses val="max"/>
        <c:crossBetween val="between"/>
      </c:valAx>
      <c:catAx>
        <c:axId val="24344847"/>
        <c:scaling>
          <c:orientation val="minMax"/>
        </c:scaling>
        <c:delete val="1"/>
        <c:axPos val="b"/>
        <c:majorTickMark val="none"/>
        <c:minorTickMark val="none"/>
        <c:tickLblPos val="nextTo"/>
        <c:crossAx val="24350127"/>
        <c:crosses val="autoZero"/>
        <c:auto val="1"/>
        <c:lblAlgn val="ctr"/>
        <c:lblOffset val="100"/>
        <c:noMultiLvlLbl val="0"/>
      </c:catAx>
      <c:spPr>
        <a:noFill/>
        <a:ln>
          <a:noFill/>
        </a:ln>
        <a:effectLst/>
      </c:spPr>
    </c:plotArea>
    <c:legend>
      <c:legendPos val="b"/>
      <c:layout>
        <c:manualLayout>
          <c:xMode val="edge"/>
          <c:yMode val="edge"/>
          <c:x val="0.10900777777777777"/>
          <c:y val="0.8011873156342183"/>
          <c:w val="0.83560666666666661"/>
          <c:h val="0.1800811209439528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2"/>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Franklin Gothic Book" panose="020B0503020102020204" pitchFamily="34" charset="0"/>
                <a:ea typeface="+mn-ea"/>
                <a:cs typeface="+mn-cs"/>
              </a:defRPr>
            </a:pPr>
            <a:r>
              <a:rPr lang="de-DE"/>
              <a:t>KWW-TK-WP</a:t>
            </a:r>
            <a:r>
              <a:rPr lang="de-DE" baseline="0"/>
              <a:t> 2024: </a:t>
            </a:r>
            <a:r>
              <a:rPr lang="de-DE"/>
              <a:t>Spez. Investitionskosten Großwärmepumpen Abwärme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Franklin Gothic Book" panose="020B0503020102020204" pitchFamily="34" charset="0"/>
              <a:ea typeface="+mn-ea"/>
              <a:cs typeface="+mn-cs"/>
            </a:defRPr>
          </a:pPr>
          <a:endParaRPr lang="de-DE"/>
        </a:p>
      </c:txPr>
    </c:title>
    <c:autoTitleDeleted val="0"/>
    <c:plotArea>
      <c:layout/>
      <c:scatterChart>
        <c:scatterStyle val="lineMarker"/>
        <c:varyColors val="0"/>
        <c:ser>
          <c:idx val="0"/>
          <c:order val="0"/>
          <c:tx>
            <c:v>2023</c:v>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1"/>
            <c:trendlineLbl>
              <c:layout>
                <c:manualLayout>
                  <c:x val="5.8929352580927387E-2"/>
                  <c:y val="-5.8227814976792004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trendlineLbl>
          </c:trendline>
          <c:xVal>
            <c:numRef>
              <c:f>TechKatalogGWPA!$D$9:$G$9</c:f>
              <c:numCache>
                <c:formatCode>General</c:formatCode>
                <c:ptCount val="4"/>
                <c:pt idx="0">
                  <c:v>0.3</c:v>
                </c:pt>
                <c:pt idx="1">
                  <c:v>1.5</c:v>
                </c:pt>
                <c:pt idx="2">
                  <c:v>5</c:v>
                </c:pt>
                <c:pt idx="3">
                  <c:v>20</c:v>
                </c:pt>
              </c:numCache>
            </c:numRef>
          </c:xVal>
          <c:yVal>
            <c:numRef>
              <c:f>TechKatalogGWPA!$D$13:$G$13</c:f>
              <c:numCache>
                <c:formatCode>_-* #,##0_-;\-* #,##0_-;_-* "-"??_-;_-@_-</c:formatCode>
                <c:ptCount val="4"/>
                <c:pt idx="0">
                  <c:v>1861</c:v>
                </c:pt>
                <c:pt idx="1">
                  <c:v>1024</c:v>
                </c:pt>
                <c:pt idx="2">
                  <c:v>872</c:v>
                </c:pt>
                <c:pt idx="3">
                  <c:v>546</c:v>
                </c:pt>
              </c:numCache>
            </c:numRef>
          </c:yVal>
          <c:smooth val="0"/>
          <c:extLst>
            <c:ext xmlns:c16="http://schemas.microsoft.com/office/drawing/2014/chart" uri="{C3380CC4-5D6E-409C-BE32-E72D297353CC}">
              <c16:uniqueId val="{00000001-2470-4867-973A-515534FEE82E}"/>
            </c:ext>
          </c:extLst>
        </c:ser>
        <c:ser>
          <c:idx val="1"/>
          <c:order val="1"/>
          <c:tx>
            <c:strRef>
              <c:f>TechKatalogGWPA!$C$19</c:f>
              <c:strCache>
                <c:ptCount val="1"/>
                <c:pt idx="0">
                  <c:v>2030</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wer"/>
            <c:dispRSqr val="0"/>
            <c:dispEq val="1"/>
            <c:trendlineLbl>
              <c:layout>
                <c:manualLayout>
                  <c:x val="0.10991869377722163"/>
                  <c:y val="7.9505686219673979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trendlineLbl>
          </c:trendline>
          <c:xVal>
            <c:numRef>
              <c:f>TechKatalogGWPA!$D$21:$G$21</c:f>
              <c:numCache>
                <c:formatCode>General</c:formatCode>
                <c:ptCount val="4"/>
                <c:pt idx="0">
                  <c:v>0.3</c:v>
                </c:pt>
                <c:pt idx="1">
                  <c:v>1.5</c:v>
                </c:pt>
                <c:pt idx="2">
                  <c:v>5</c:v>
                </c:pt>
                <c:pt idx="3">
                  <c:v>20</c:v>
                </c:pt>
              </c:numCache>
            </c:numRef>
          </c:xVal>
          <c:yVal>
            <c:numRef>
              <c:f>TechKatalogGWPA!$D$25:$G$25</c:f>
              <c:numCache>
                <c:formatCode>_-* #,##0_-;\-* #,##0_-;_-* "-"??_-;_-@_-</c:formatCode>
                <c:ptCount val="4"/>
                <c:pt idx="0">
                  <c:v>1768</c:v>
                </c:pt>
                <c:pt idx="1">
                  <c:v>973</c:v>
                </c:pt>
                <c:pt idx="2">
                  <c:v>828</c:v>
                </c:pt>
                <c:pt idx="3">
                  <c:v>519</c:v>
                </c:pt>
              </c:numCache>
            </c:numRef>
          </c:yVal>
          <c:smooth val="0"/>
          <c:extLst xmlns:c15="http://schemas.microsoft.com/office/drawing/2012/chart">
            <c:ext xmlns:c16="http://schemas.microsoft.com/office/drawing/2014/chart" uri="{C3380CC4-5D6E-409C-BE32-E72D297353CC}">
              <c16:uniqueId val="{00000003-2470-4867-973A-515534FEE82E}"/>
            </c:ext>
          </c:extLst>
        </c:ser>
        <c:ser>
          <c:idx val="2"/>
          <c:order val="2"/>
          <c:tx>
            <c:strRef>
              <c:f>TechKatalogGWPA!$C$32</c:f>
              <c:strCache>
                <c:ptCount val="1"/>
                <c:pt idx="0">
                  <c:v>2040</c:v>
                </c:pt>
              </c:strCache>
            </c:strRef>
          </c:tx>
          <c:spPr>
            <a:ln w="25400" cap="rnd">
              <a:noFill/>
              <a:round/>
            </a:ln>
            <a:effectLst/>
          </c:spPr>
          <c:marker>
            <c:symbol val="circle"/>
            <c:size val="5"/>
            <c:spPr>
              <a:solidFill>
                <a:schemeClr val="accent3"/>
              </a:solidFill>
              <a:ln w="9525">
                <a:solidFill>
                  <a:schemeClr val="accent3"/>
                </a:solidFill>
              </a:ln>
              <a:effectLst/>
            </c:spPr>
          </c:marker>
          <c:trendline>
            <c:spPr>
              <a:ln w="19050" cap="rnd">
                <a:solidFill>
                  <a:schemeClr val="accent3"/>
                </a:solidFill>
                <a:prstDash val="sysDot"/>
              </a:ln>
              <a:effectLst/>
            </c:spPr>
            <c:trendlineType val="power"/>
            <c:dispRSqr val="0"/>
            <c:dispEq val="1"/>
            <c:trendlineLbl>
              <c:layout>
                <c:manualLayout>
                  <c:x val="-5.4122408480349611E-2"/>
                  <c:y val="5.1740969238021753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trendlineLbl>
          </c:trendline>
          <c:xVal>
            <c:numRef>
              <c:f>TechKatalogGWPA!$D$34:$G$34</c:f>
              <c:numCache>
                <c:formatCode>General</c:formatCode>
                <c:ptCount val="4"/>
                <c:pt idx="0">
                  <c:v>0.3</c:v>
                </c:pt>
                <c:pt idx="1">
                  <c:v>1.5</c:v>
                </c:pt>
                <c:pt idx="2">
                  <c:v>5</c:v>
                </c:pt>
                <c:pt idx="3">
                  <c:v>20</c:v>
                </c:pt>
              </c:numCache>
            </c:numRef>
          </c:xVal>
          <c:yVal>
            <c:numRef>
              <c:f>TechKatalogGWPA!$D$38:$G$38</c:f>
              <c:numCache>
                <c:formatCode>_-* #,##0_-;\-* #,##0_-;_-* "-"??_-;_-@_-</c:formatCode>
                <c:ptCount val="4"/>
                <c:pt idx="0">
                  <c:v>1675</c:v>
                </c:pt>
                <c:pt idx="1">
                  <c:v>921</c:v>
                </c:pt>
                <c:pt idx="2">
                  <c:v>785</c:v>
                </c:pt>
                <c:pt idx="3">
                  <c:v>492</c:v>
                </c:pt>
              </c:numCache>
            </c:numRef>
          </c:yVal>
          <c:smooth val="0"/>
          <c:extLst>
            <c:ext xmlns:c16="http://schemas.microsoft.com/office/drawing/2014/chart" uri="{C3380CC4-5D6E-409C-BE32-E72D297353CC}">
              <c16:uniqueId val="{00000005-2470-4867-973A-515534FEE82E}"/>
            </c:ext>
          </c:extLst>
        </c:ser>
        <c:dLbls>
          <c:showLegendKey val="0"/>
          <c:showVal val="0"/>
          <c:showCatName val="0"/>
          <c:showSerName val="0"/>
          <c:showPercent val="0"/>
          <c:showBubbleSize val="0"/>
        </c:dLbls>
        <c:axId val="14719936"/>
        <c:axId val="16286816"/>
        <c:extLst/>
      </c:scatterChart>
      <c:valAx>
        <c:axId val="147199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Franklin Gothic Book" panose="020B0503020102020204" pitchFamily="34" charset="0"/>
                    <a:ea typeface="+mn-ea"/>
                    <a:cs typeface="+mn-cs"/>
                  </a:defRPr>
                </a:pPr>
                <a:r>
                  <a:rPr lang="de-DE"/>
                  <a:t>Anlagenleistung [MW_th]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crossAx val="16286816"/>
        <c:crosses val="autoZero"/>
        <c:crossBetween val="midCat"/>
      </c:valAx>
      <c:valAx>
        <c:axId val="16286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Franklin Gothic Book" panose="020B0503020102020204" pitchFamily="34" charset="0"/>
                    <a:ea typeface="+mn-ea"/>
                    <a:cs typeface="+mn-cs"/>
                  </a:defRPr>
                </a:pPr>
                <a:r>
                  <a:rPr lang="de-DE"/>
                  <a:t>Spez. Investitionskosten [€/kW_th]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title>
        <c:numFmt formatCode="_-* #,##0_-;\-* #,##0_-;_-*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crossAx val="14719936"/>
        <c:crosses val="autoZero"/>
        <c:crossBetween val="midCat"/>
      </c:valAx>
      <c:spPr>
        <a:noFill/>
        <a:ln>
          <a:noFill/>
        </a:ln>
        <a:effectLst/>
      </c:spPr>
    </c:plotArea>
    <c:legend>
      <c:legendPos val="b"/>
      <c:legendEntry>
        <c:idx val="3"/>
        <c:delete val="1"/>
      </c:legendEntry>
      <c:legendEntry>
        <c:idx val="4"/>
        <c:delete val="1"/>
      </c:legendEntry>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Franklin Gothic Book" panose="020B0503020102020204" pitchFamily="34" charset="0"/>
        </a:defRPr>
      </a:pPr>
      <a:endParaRPr lang="de-DE"/>
    </a:p>
  </c:txPr>
  <c:printSettings>
    <c:headerFooter/>
    <c:pageMargins b="0.78740157499999996" l="0.7" r="0.7" t="0.78740157499999996"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Franklin Gothic Book" panose="020B0503020102020204" pitchFamily="34" charset="0"/>
                <a:ea typeface="+mn-ea"/>
                <a:cs typeface="+mn-cs"/>
              </a:defRPr>
            </a:pPr>
            <a:r>
              <a:rPr lang="de-DE"/>
              <a:t>KWW-TK-WP</a:t>
            </a:r>
            <a:r>
              <a:rPr lang="de-DE" baseline="0"/>
              <a:t> 2025: </a:t>
            </a:r>
            <a:r>
              <a:rPr lang="de-DE"/>
              <a:t>Spez. Investitionskosten Kompressionswärmepumpe Abwärme (zentral)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Franklin Gothic Book" panose="020B0503020102020204" pitchFamily="34" charset="0"/>
              <a:ea typeface="+mn-ea"/>
              <a:cs typeface="+mn-cs"/>
            </a:defRPr>
          </a:pPr>
          <a:endParaRPr lang="de-DE"/>
        </a:p>
      </c:txPr>
    </c:title>
    <c:autoTitleDeleted val="0"/>
    <c:plotArea>
      <c:layout/>
      <c:scatterChart>
        <c:scatterStyle val="lineMarker"/>
        <c:varyColors val="0"/>
        <c:ser>
          <c:idx val="0"/>
          <c:order val="0"/>
          <c:tx>
            <c:strRef>
              <c:f>TechKatalogGWPA!$C$64</c:f>
              <c:strCache>
                <c:ptCount val="1"/>
                <c:pt idx="0">
                  <c:v>2025</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wer"/>
            <c:dispRSqr val="0"/>
            <c:dispEq val="1"/>
            <c:trendlineLbl>
              <c:layout>
                <c:manualLayout>
                  <c:x val="5.8929352580927387E-2"/>
                  <c:y val="-5.8227814976792004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trendlineLbl>
          </c:trendline>
          <c:xVal>
            <c:numRef>
              <c:f>TechKatalogGWPA!$D$66:$I$66</c:f>
              <c:numCache>
                <c:formatCode>#,##0</c:formatCode>
                <c:ptCount val="6"/>
                <c:pt idx="0" formatCode="#,##0.0">
                  <c:v>0.3</c:v>
                </c:pt>
                <c:pt idx="1">
                  <c:v>1</c:v>
                </c:pt>
                <c:pt idx="2">
                  <c:v>2</c:v>
                </c:pt>
                <c:pt idx="3">
                  <c:v>5</c:v>
                </c:pt>
                <c:pt idx="4">
                  <c:v>10</c:v>
                </c:pt>
                <c:pt idx="5">
                  <c:v>20</c:v>
                </c:pt>
              </c:numCache>
            </c:numRef>
          </c:xVal>
          <c:yVal>
            <c:numRef>
              <c:f>TechKatalogGWPA!$D$70:$I$70</c:f>
              <c:numCache>
                <c:formatCode>#,##0</c:formatCode>
                <c:ptCount val="6"/>
                <c:pt idx="0">
                  <c:v>1770</c:v>
                </c:pt>
                <c:pt idx="1">
                  <c:v>1300</c:v>
                </c:pt>
                <c:pt idx="2">
                  <c:v>1080</c:v>
                </c:pt>
                <c:pt idx="3">
                  <c:v>850</c:v>
                </c:pt>
                <c:pt idx="4">
                  <c:v>710</c:v>
                </c:pt>
                <c:pt idx="5">
                  <c:v>590</c:v>
                </c:pt>
              </c:numCache>
            </c:numRef>
          </c:yVal>
          <c:smooth val="0"/>
          <c:extLst>
            <c:ext xmlns:c16="http://schemas.microsoft.com/office/drawing/2014/chart" uri="{C3380CC4-5D6E-409C-BE32-E72D297353CC}">
              <c16:uniqueId val="{00000001-5DAB-452E-B6E1-1E2B87250750}"/>
            </c:ext>
          </c:extLst>
        </c:ser>
        <c:dLbls>
          <c:showLegendKey val="0"/>
          <c:showVal val="0"/>
          <c:showCatName val="0"/>
          <c:showSerName val="0"/>
          <c:showPercent val="0"/>
          <c:showBubbleSize val="0"/>
        </c:dLbls>
        <c:axId val="14719936"/>
        <c:axId val="16286816"/>
        <c:extLst/>
      </c:scatterChart>
      <c:valAx>
        <c:axId val="147199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Franklin Gothic Book" panose="020B0503020102020204" pitchFamily="34" charset="0"/>
                    <a:ea typeface="+mn-ea"/>
                    <a:cs typeface="+mn-cs"/>
                  </a:defRPr>
                </a:pPr>
                <a:r>
                  <a:rPr lang="de-DE"/>
                  <a:t>Anlagenleistung [MW_th]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crossAx val="16286816"/>
        <c:crosses val="autoZero"/>
        <c:crossBetween val="midCat"/>
      </c:valAx>
      <c:valAx>
        <c:axId val="16286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Franklin Gothic Book" panose="020B0503020102020204" pitchFamily="34" charset="0"/>
                    <a:ea typeface="+mn-ea"/>
                    <a:cs typeface="+mn-cs"/>
                  </a:defRPr>
                </a:pPr>
                <a:r>
                  <a:rPr lang="de-DE"/>
                  <a:t>Spez. Investitionskosten [€/kW_th]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crossAx val="14719936"/>
        <c:crosses val="autoZero"/>
        <c:crossBetween val="midCat"/>
      </c:valAx>
      <c:spPr>
        <a:noFill/>
        <a:ln>
          <a:noFill/>
        </a:ln>
        <a:effectLst/>
      </c:spPr>
    </c:plotArea>
    <c:legend>
      <c:legendPos val="b"/>
      <c:legendEntry>
        <c:idx val="1"/>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Franklin Gothic Book" panose="020B0503020102020204" pitchFamily="34" charset="0"/>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Franklin Gothic Book" panose="020B0503020102020204" pitchFamily="34" charset="0"/>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4.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5.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6.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7.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8.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9.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0.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2.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3.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4.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5.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6.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7.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8.xml><?xml version="1.0" encoding="utf-8"?>
<cs:chartStyle xmlns:cs="http://schemas.microsoft.com/office/drawing/2012/chartStyle" xmlns:a="http://schemas.openxmlformats.org/drawingml/2006/main" id="32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dk1">
            <a:lumMod val="75000"/>
            <a:lumOff val="25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dk1">
            <a:lumMod val="75000"/>
            <a:lumOff val="25000"/>
          </a:schemeClr>
        </a:solidFill>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19.xml><?xml version="1.0" encoding="utf-8"?>
<cs:chartStyle xmlns:cs="http://schemas.microsoft.com/office/drawing/2012/chartStyle" xmlns:a="http://schemas.openxmlformats.org/drawingml/2006/main" id="32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dk1">
            <a:lumMod val="75000"/>
            <a:lumOff val="25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dk1">
            <a:lumMod val="75000"/>
            <a:lumOff val="25000"/>
          </a:schemeClr>
        </a:solidFill>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0.xml><?xml version="1.0" encoding="utf-8"?>
<cs:chartStyle xmlns:cs="http://schemas.microsoft.com/office/drawing/2012/chartStyle" xmlns:a="http://schemas.openxmlformats.org/drawingml/2006/main" id="32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dk1">
            <a:lumMod val="75000"/>
            <a:lumOff val="25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dk1">
            <a:lumMod val="75000"/>
            <a:lumOff val="25000"/>
          </a:schemeClr>
        </a:solidFill>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8" Type="http://schemas.openxmlformats.org/officeDocument/2006/relationships/chart" Target="../charts/chart13.xml"/><Relationship Id="rId3" Type="http://schemas.openxmlformats.org/officeDocument/2006/relationships/chart" Target="../charts/chart8.xml"/><Relationship Id="rId7" Type="http://schemas.openxmlformats.org/officeDocument/2006/relationships/chart" Target="../charts/chart12.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chart" Target="../charts/chart11.xml"/><Relationship Id="rId5" Type="http://schemas.openxmlformats.org/officeDocument/2006/relationships/chart" Target="../charts/chart10.xml"/><Relationship Id="rId10" Type="http://schemas.openxmlformats.org/officeDocument/2006/relationships/chart" Target="../charts/chart15.xml"/><Relationship Id="rId4" Type="http://schemas.openxmlformats.org/officeDocument/2006/relationships/chart" Target="../charts/chart9.xml"/><Relationship Id="rId9" Type="http://schemas.openxmlformats.org/officeDocument/2006/relationships/chart" Target="../charts/chart1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25</xdr:row>
      <xdr:rowOff>16958</xdr:rowOff>
    </xdr:from>
    <xdr:to>
      <xdr:col>1</xdr:col>
      <xdr:colOff>723086</xdr:colOff>
      <xdr:row>27</xdr:row>
      <xdr:rowOff>137401</xdr:rowOff>
    </xdr:to>
    <xdr:pic>
      <xdr:nvPicPr>
        <xdr:cNvPr id="3" name="Grafik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57787"/>
          <a:ext cx="2160000" cy="490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793695</xdr:colOff>
      <xdr:row>0</xdr:row>
      <xdr:rowOff>62753</xdr:rowOff>
    </xdr:from>
    <xdr:to>
      <xdr:col>4</xdr:col>
      <xdr:colOff>106297</xdr:colOff>
      <xdr:row>2</xdr:row>
      <xdr:rowOff>96650</xdr:rowOff>
    </xdr:to>
    <xdr:pic>
      <xdr:nvPicPr>
        <xdr:cNvPr id="6" name="Grafik 5" descr="logo support dhc">
          <a:extLst>
            <a:ext uri="{FF2B5EF4-FFF2-40B4-BE49-F238E27FC236}">
              <a16:creationId xmlns:a16="http://schemas.microsoft.com/office/drawing/2014/main" id="{8729A8B7-58C7-40D9-8B07-BEC7B8443E58}"/>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7627" r="6230"/>
        <a:stretch>
          <a:fillRect/>
        </a:stretch>
      </xdr:blipFill>
      <xdr:spPr bwMode="auto">
        <a:xfrm>
          <a:off x="7270695" y="62753"/>
          <a:ext cx="1391773" cy="752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0</xdr:row>
      <xdr:rowOff>104137</xdr:rowOff>
    </xdr:from>
    <xdr:to>
      <xdr:col>1</xdr:col>
      <xdr:colOff>60236</xdr:colOff>
      <xdr:row>1</xdr:row>
      <xdr:rowOff>306357</xdr:rowOff>
    </xdr:to>
    <xdr:pic>
      <xdr:nvPicPr>
        <xdr:cNvPr id="7" name="Picture 6" descr="Logo&#10;&#10;Description automatically generated">
          <a:extLst>
            <a:ext uri="{FF2B5EF4-FFF2-40B4-BE49-F238E27FC236}">
              <a16:creationId xmlns:a16="http://schemas.microsoft.com/office/drawing/2014/main" id="{1639B622-D509-AAD3-47D1-5977EBE24D1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104137"/>
          <a:ext cx="1440000" cy="5941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2446866</xdr:colOff>
      <xdr:row>152</xdr:row>
      <xdr:rowOff>177799</xdr:rowOff>
    </xdr:from>
    <xdr:to>
      <xdr:col>11</xdr:col>
      <xdr:colOff>643466</xdr:colOff>
      <xdr:row>158</xdr:row>
      <xdr:rowOff>550332</xdr:rowOff>
    </xdr:to>
    <xdr:sp macro="" textlink="">
      <xdr:nvSpPr>
        <xdr:cNvPr id="4" name="Textfeld 3">
          <a:extLst>
            <a:ext uri="{FF2B5EF4-FFF2-40B4-BE49-F238E27FC236}">
              <a16:creationId xmlns:a16="http://schemas.microsoft.com/office/drawing/2014/main" id="{C6C36873-023D-B963-18EB-741FBA623A20}"/>
            </a:ext>
          </a:extLst>
        </xdr:cNvPr>
        <xdr:cNvSpPr txBox="1"/>
      </xdr:nvSpPr>
      <xdr:spPr>
        <a:xfrm>
          <a:off x="12251266" y="41444332"/>
          <a:ext cx="10574867" cy="2743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a:t>Eine Betriebskostenförderung kann nicht gewährt werden, wenn die Wärmepumpe direkt mit eigens produziertem fossilem Strom betrieben wird. In Ausnahmefällen kann eine bilanzielle Trennung der Strommengen genehmigt werden, wenn es stromnetzseitig nicht möglich ist, die Wärmepumpe und den fossilen Stromerzeuger voneinander zu trennen.</a:t>
          </a:r>
        </a:p>
        <a:p>
          <a:endParaRPr lang="en-GB"/>
        </a:p>
        <a:p>
          <a:r>
            <a:rPr lang="en-GB"/>
            <a:t>Für Wärmepumpen, die den Strom aus dem Netz der allgemeinen Versorgung (§3 Nr. 17 EnWG) oder aus einem geschlossenen Verteilnetz (§110 EnWG) beziehen, gilt folgende Formel zur Berechnung des Förderbetrags:</a:t>
          </a:r>
        </a:p>
        <a:p>
          <a:endParaRPr lang="en-GB" b="1"/>
        </a:p>
        <a:p>
          <a:endParaRPr lang="en-GB" b="1"/>
        </a:p>
        <a:p>
          <a:r>
            <a:rPr lang="en-GB" b="0" i="1"/>
            <a:t>Förderbetrag = [5,5 − (6,8 − 17 / (SCOP bzw. JAZ)) * 0,75] * (SCOP bzw. JAZ / (SCOP bzw. JAZ − 1)) Cent/kWh</a:t>
          </a:r>
        </a:p>
        <a:p>
          <a:endParaRPr lang="en-GB"/>
        </a:p>
        <a:p>
          <a:r>
            <a:rPr lang="en-GB"/>
            <a:t>Der Förderbetrag ist auf </a:t>
          </a:r>
          <a:r>
            <a:rPr lang="en-GB" b="1"/>
            <a:t>9,2 Cent/kWh netto</a:t>
          </a:r>
          <a:r>
            <a:rPr lang="en-GB"/>
            <a:t> begrenzt. Die Fördersumme berechnet sich dann mit der Formel:</a:t>
          </a:r>
        </a:p>
        <a:p>
          <a:endParaRPr lang="en-GB" b="1"/>
        </a:p>
        <a:p>
          <a:r>
            <a:rPr lang="en-GB" b="0" i="1"/>
            <a:t>Fördersumme = (Strommenge * SCOP bzw. JAZ − Strommenge) * Förderbetrag</a:t>
          </a:r>
        </a:p>
        <a:p>
          <a:endParaRPr lang="en-GB" sz="1100"/>
        </a:p>
      </xdr:txBody>
    </xdr:sp>
    <xdr:clientData/>
  </xdr:twoCellAnchor>
  <xdr:twoCellAnchor>
    <xdr:from>
      <xdr:col>7</xdr:col>
      <xdr:colOff>2463800</xdr:colOff>
      <xdr:row>158</xdr:row>
      <xdr:rowOff>533399</xdr:rowOff>
    </xdr:from>
    <xdr:to>
      <xdr:col>12</xdr:col>
      <xdr:colOff>135467</xdr:colOff>
      <xdr:row>180</xdr:row>
      <xdr:rowOff>160864</xdr:rowOff>
    </xdr:to>
    <xdr:sp macro="" textlink="">
      <xdr:nvSpPr>
        <xdr:cNvPr id="5" name="Textfeld 4">
          <a:extLst>
            <a:ext uri="{FF2B5EF4-FFF2-40B4-BE49-F238E27FC236}">
              <a16:creationId xmlns:a16="http://schemas.microsoft.com/office/drawing/2014/main" id="{16EDEE76-C5A2-8131-6661-8708F5F6C124}"/>
            </a:ext>
          </a:extLst>
        </xdr:cNvPr>
        <xdr:cNvSpPr txBox="1"/>
      </xdr:nvSpPr>
      <xdr:spPr>
        <a:xfrm>
          <a:off x="12268200" y="43442466"/>
          <a:ext cx="10710334" cy="609599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a:t>Die Strommenge wird subtrahiert, da kein Strom aus fossiler Energie gefördert werden soll. Zusätzlich gilt eine Begrenzung auf 90% nachgewiesenen Stromkosten. D. h. die vom Antragsteller angegebenen Stromkosten werden mit 90% multipliziert und diese Summe mit der berechneten Fördersumme aus Strombezug und dem Förderbetrag in Cent/kWh sowie der Summer aus der WLB verglichen. Die niedrigste Summe entspricht dann der Förderung. Im VN werden ebenfalls nur 90% der Stromkosten berücksichtigt.</a:t>
          </a:r>
        </a:p>
        <a:p>
          <a:endParaRPr lang="en-GB"/>
        </a:p>
        <a:p>
          <a:r>
            <a:rPr lang="en-GB"/>
            <a:t>Bezieht eine Wärmepumpe Strom aus EE-Erzeugern ohne dass der Strom durch das öffentliche Stromnetz geleitet wird und kann durch ein entsprechendes Messkonzept der Bezug der Wärmepumpe von den EE-Erzeugern eindeutig erfasst werden gilt folgende Formel zur Berechnung der Förderung:</a:t>
          </a:r>
        </a:p>
        <a:p>
          <a:endParaRPr lang="en-GB"/>
        </a:p>
        <a:p>
          <a:r>
            <a:rPr lang="en-GB" i="1"/>
            <a:t>Förderbetrag = 3 − (8 / (2,5 × SCOP bzw. JAZ)) × 0,75 Cent/kWh</a:t>
          </a:r>
        </a:p>
        <a:p>
          <a:endParaRPr lang="en-GB"/>
        </a:p>
        <a:p>
          <a:r>
            <a:rPr lang="en-GB"/>
            <a:t>Der Förderbetrag ist auf 3 Cent/kWh netto begrenzt. Die Fördersumme berechnet sich dann mit der Formel:</a:t>
          </a:r>
        </a:p>
        <a:p>
          <a:r>
            <a:rPr lang="en-GB"/>
            <a:t>Fördersumme = Strombezug (aus der erneuerbaren Energiequelle) × SCOP bzw. JAZ × Förderbetrag</a:t>
          </a:r>
        </a:p>
        <a:p>
          <a:endParaRPr lang="en-GB"/>
        </a:p>
        <a:p>
          <a:r>
            <a:rPr lang="en-GB"/>
            <a:t>Wer der Eigentümer der EE-Erzeuger ist, ist dabei nicht relevant. Biogas-KWK werden als EE-Stromerzeuger akzeptiert.</a:t>
          </a:r>
        </a:p>
        <a:p>
          <a:endParaRPr lang="en-GB"/>
        </a:p>
        <a:p>
          <a:r>
            <a:rPr lang="en-GB"/>
            <a:t>Um entgangene Einnahmen EE geltend zu machen muss der Antragsteller folgendes liefern:</a:t>
          </a:r>
        </a:p>
        <a:p>
          <a:r>
            <a:rPr lang="en-GB"/>
            <a:t>Fördersatz mit Angabe einer offiziellen Quelle der Fördersätze. </a:t>
          </a:r>
        </a:p>
        <a:p>
          <a:r>
            <a:rPr lang="en-GB"/>
            <a:t>Berechnung, wie sich die entgangene Förderung ergibt. </a:t>
          </a:r>
        </a:p>
        <a:p>
          <a:r>
            <a:rPr lang="en-GB"/>
            <a:t>Formlose Erklärung/Bestätigung, dass die Anlage eine Förderung erhalten würde. </a:t>
          </a:r>
        </a:p>
        <a:p>
          <a:r>
            <a:rPr lang="en-GB"/>
            <a:t>Aufstellung der erzeugten Strommenge und des Verbrauchs der Wärmepumpe pro Monat. </a:t>
          </a:r>
        </a:p>
        <a:p>
          <a:endParaRPr lang="en-GB"/>
        </a:p>
        <a:p>
          <a:r>
            <a:rPr lang="en-GB"/>
            <a:t>Wird Strom </a:t>
          </a:r>
          <a:r>
            <a:rPr lang="en-GB" b="1"/>
            <a:t>aus beiden Varianten </a:t>
          </a:r>
          <a:r>
            <a:rPr lang="en-GB"/>
            <a:t>bezogen, muss ein entsprechendes Messkonzept die Anteile am Strom der beiden Varianten aufzeigen. Ist dies nicht möglich und befinden sich EE-Erzeuger und nicht EE-Erzeuger im selben Strom-/Verteilnetz kann so abgerechnet werden, als würde die Wärmepumpe zu 100% mit Strom aus dem öffentlichen Netz betrieben werden.</a:t>
          </a:r>
        </a:p>
        <a:p>
          <a:endParaRPr lang="en-GB"/>
        </a:p>
        <a:p>
          <a:r>
            <a:rPr lang="en-GB"/>
            <a:t>Wird eine förderfähige Wärmepumpe mit einer KWK-Anlage betrieben, kann eine Betriebskostenförderung gewährt und der überschüssige Strom darf verkauft werden, wenn dieser keine andere Vergütung erhält. Der Förderbetrag entspricht dann dem Förderbetrag, wie wenn die Wärmepumpe Strom aus dem Netz der öffentlichen Versorgung bezieht.</a:t>
          </a:r>
        </a:p>
        <a:p>
          <a:r>
            <a:rPr lang="en-GB"/>
            <a:t>Als Nachweis für die tatsächlichen Kosten bei Stromnetzbezug ist die Rechnung des Stromanbieters und Bilder von den Wärme- und Strommengenzählern einzureichen, die sich auf die Strommengen der Wärmepumpen bezieht.</a:t>
          </a:r>
        </a:p>
        <a:p>
          <a:br>
            <a:rPr lang="en-GB"/>
          </a:br>
          <a:r>
            <a:rPr lang="en-GB" b="1"/>
            <a:t>Wirtschaftlichkeitslückenberechnung</a:t>
          </a:r>
          <a:endParaRPr lang="en-GB"/>
        </a:p>
        <a:p>
          <a:r>
            <a:rPr lang="en-GB"/>
            <a:t>Als Investitionskosten dürfen nur die Kosten für die Komponenten angegeben werden, die im (S)COP bzw. der JAZ berücksichtigt wurden. Daneben können die Kosten für die Komponenten zur Förderung des Wärmemediums sowie die Stromanlagen und Steuerungstechnik berücksichtigt werden, die unmittelbar für deren Betrieb notwendig sind. Zum Nachweis der Kosten ist dem Antrag eine Aufstellung der im Modul 2 als förderfähig anerkannten Kosten beizufügen. Zu jeder Kostenposition ist auf denselben Nachweis wie im Modul 2 zu referenzieren und dieser Nachweis beizufügen. Sollten sich Änderungen zum Antrag Modul 2 ergeben haben, ist dies kenntlich zu machen und die aktuellen Dokumente beizufügen.</a:t>
          </a: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1219670</xdr:colOff>
      <xdr:row>30</xdr:row>
      <xdr:rowOff>61250</xdr:rowOff>
    </xdr:from>
    <xdr:to>
      <xdr:col>3</xdr:col>
      <xdr:colOff>322870</xdr:colOff>
      <xdr:row>48</xdr:row>
      <xdr:rowOff>88250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401982</xdr:colOff>
      <xdr:row>30</xdr:row>
      <xdr:rowOff>61250</xdr:rowOff>
    </xdr:from>
    <xdr:to>
      <xdr:col>11</xdr:col>
      <xdr:colOff>419582</xdr:colOff>
      <xdr:row>48</xdr:row>
      <xdr:rowOff>88250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498695</xdr:colOff>
      <xdr:row>30</xdr:row>
      <xdr:rowOff>61250</xdr:rowOff>
    </xdr:from>
    <xdr:to>
      <xdr:col>19</xdr:col>
      <xdr:colOff>516295</xdr:colOff>
      <xdr:row>48</xdr:row>
      <xdr:rowOff>88250</xdr:rowOff>
    </xdr:to>
    <xdr:graphicFrame macro="">
      <xdr:nvGraphicFramePr>
        <xdr:cNvPr id="4" name="Chart 2">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1219670</xdr:colOff>
      <xdr:row>50</xdr:row>
      <xdr:rowOff>63660</xdr:rowOff>
    </xdr:from>
    <xdr:to>
      <xdr:col>3</xdr:col>
      <xdr:colOff>322870</xdr:colOff>
      <xdr:row>68</xdr:row>
      <xdr:rowOff>90660</xdr:rowOff>
    </xdr:to>
    <xdr:graphicFrame macro="">
      <xdr:nvGraphicFramePr>
        <xdr:cNvPr id="8" name="Chart 1">
          <a:extLst>
            <a:ext uri="{FF2B5EF4-FFF2-40B4-BE49-F238E27FC236}">
              <a16:creationId xmlns:a16="http://schemas.microsoft.com/office/drawing/2014/main" id="{CE605639-97E0-485A-9193-46CDBBD7FA4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401982</xdr:colOff>
      <xdr:row>50</xdr:row>
      <xdr:rowOff>63421</xdr:rowOff>
    </xdr:from>
    <xdr:to>
      <xdr:col>11</xdr:col>
      <xdr:colOff>419582</xdr:colOff>
      <xdr:row>68</xdr:row>
      <xdr:rowOff>90421</xdr:rowOff>
    </xdr:to>
    <xdr:graphicFrame macro="">
      <xdr:nvGraphicFramePr>
        <xdr:cNvPr id="9" name="Chart 2">
          <a:extLst>
            <a:ext uri="{FF2B5EF4-FFF2-40B4-BE49-F238E27FC236}">
              <a16:creationId xmlns:a16="http://schemas.microsoft.com/office/drawing/2014/main" id="{9EA1EFB2-C0E5-46FE-9B3A-076D719360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428625</xdr:colOff>
      <xdr:row>67</xdr:row>
      <xdr:rowOff>50800</xdr:rowOff>
    </xdr:from>
    <xdr:to>
      <xdr:col>11</xdr:col>
      <xdr:colOff>374225</xdr:colOff>
      <xdr:row>68</xdr:row>
      <xdr:rowOff>31750</xdr:rowOff>
    </xdr:to>
    <xdr:sp macro="" textlink="">
      <xdr:nvSpPr>
        <xdr:cNvPr id="6" name="Textfeld 5">
          <a:extLst>
            <a:ext uri="{FF2B5EF4-FFF2-40B4-BE49-F238E27FC236}">
              <a16:creationId xmlns:a16="http://schemas.microsoft.com/office/drawing/2014/main" id="{8BD4015D-419C-BCA5-53F2-5E3A4689418C}"/>
            </a:ext>
          </a:extLst>
        </xdr:cNvPr>
        <xdr:cNvSpPr txBox="1"/>
      </xdr:nvSpPr>
      <xdr:spPr>
        <a:xfrm>
          <a:off x="7334250" y="14614525"/>
          <a:ext cx="5889200"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GB" sz="1000"/>
            <a:t>Note: </a:t>
          </a:r>
          <a:r>
            <a:rPr lang="en-GB" sz="1000" b="1" i="0" u="none" strike="noStrike" kern="1200" baseline="0">
              <a:solidFill>
                <a:srgbClr val="44546A"/>
              </a:solidFill>
              <a:latin typeface="+mn-lt"/>
              <a:ea typeface="+mn-ea"/>
              <a:cs typeface="+mn-cs"/>
            </a:rPr>
            <a:t>Figures</a:t>
          </a:r>
          <a:r>
            <a:rPr lang="en-GB" sz="1000"/>
            <a:t> reflect each contractor's own data and are not mutually aligned.</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0.00635</cdr:x>
      <cdr:y>0.94688</cdr:y>
    </cdr:from>
    <cdr:to>
      <cdr:x>0.99672</cdr:x>
      <cdr:y>0.98746</cdr:y>
    </cdr:to>
    <cdr:sp macro="" textlink="">
      <cdr:nvSpPr>
        <cdr:cNvPr id="2" name="Textfeld 5">
          <a:extLst xmlns:a="http://schemas.openxmlformats.org/drawingml/2006/main">
            <a:ext uri="{FF2B5EF4-FFF2-40B4-BE49-F238E27FC236}">
              <a16:creationId xmlns:a16="http://schemas.microsoft.com/office/drawing/2014/main" id="{8BD4015D-419C-BCA5-53F2-5E3A4689418C}"/>
            </a:ext>
          </a:extLst>
        </cdr:cNvPr>
        <cdr:cNvSpPr txBox="1"/>
      </cdr:nvSpPr>
      <cdr:spPr>
        <a:xfrm xmlns:a="http://schemas.openxmlformats.org/drawingml/2006/main">
          <a:off x="37854" y="3272402"/>
          <a:ext cx="5903793" cy="14024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GB" sz="1000"/>
            <a:t>Note: </a:t>
          </a:r>
          <a:r>
            <a:rPr lang="en-GB" sz="1000" b="1" i="0" u="none" strike="noStrike" kern="1200" baseline="0">
              <a:solidFill>
                <a:srgbClr val="44546A"/>
              </a:solidFill>
              <a:latin typeface="+mn-lt"/>
              <a:ea typeface="+mn-ea"/>
              <a:cs typeface="+mn-cs"/>
            </a:rPr>
            <a:t>Figures</a:t>
          </a:r>
          <a:r>
            <a:rPr lang="en-GB" sz="1000"/>
            <a:t> reflect each contractor's own data and are not mutually aligned.</a:t>
          </a: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32</xdr:row>
      <xdr:rowOff>0</xdr:rowOff>
    </xdr:from>
    <xdr:to>
      <xdr:col>0</xdr:col>
      <xdr:colOff>7920000</xdr:colOff>
      <xdr:row>58</xdr:row>
      <xdr:rowOff>1667</xdr:rowOff>
    </xdr:to>
    <xdr:graphicFrame macro="">
      <xdr:nvGraphicFramePr>
        <xdr:cNvPr id="3" name="Diagramm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61</xdr:row>
      <xdr:rowOff>6147</xdr:rowOff>
    </xdr:from>
    <xdr:to>
      <xdr:col>0</xdr:col>
      <xdr:colOff>7920000</xdr:colOff>
      <xdr:row>86</xdr:row>
      <xdr:rowOff>109414</xdr:rowOff>
    </xdr:to>
    <xdr:graphicFrame macro="">
      <xdr:nvGraphicFramePr>
        <xdr:cNvPr id="4" name="Diagramm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89</xdr:row>
      <xdr:rowOff>312421</xdr:rowOff>
    </xdr:from>
    <xdr:to>
      <xdr:col>0</xdr:col>
      <xdr:colOff>7920000</xdr:colOff>
      <xdr:row>115</xdr:row>
      <xdr:rowOff>119355</xdr:rowOff>
    </xdr:to>
    <xdr:graphicFrame macro="">
      <xdr:nvGraphicFramePr>
        <xdr:cNvPr id="5" name="Diagramm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119</xdr:row>
      <xdr:rowOff>8963</xdr:rowOff>
    </xdr:from>
    <xdr:to>
      <xdr:col>0</xdr:col>
      <xdr:colOff>7920000</xdr:colOff>
      <xdr:row>145</xdr:row>
      <xdr:rowOff>19096</xdr:rowOff>
    </xdr:to>
    <xdr:graphicFrame macro="">
      <xdr:nvGraphicFramePr>
        <xdr:cNvPr id="33" name="Diagramm 5">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16008</xdr:colOff>
      <xdr:row>148</xdr:row>
      <xdr:rowOff>26891</xdr:rowOff>
    </xdr:from>
    <xdr:to>
      <xdr:col>0</xdr:col>
      <xdr:colOff>7936008</xdr:colOff>
      <xdr:row>174</xdr:row>
      <xdr:rowOff>37024</xdr:rowOff>
    </xdr:to>
    <xdr:graphicFrame macro="">
      <xdr:nvGraphicFramePr>
        <xdr:cNvPr id="9" name="Diagramm 6">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177</xdr:row>
      <xdr:rowOff>22860</xdr:rowOff>
    </xdr:from>
    <xdr:to>
      <xdr:col>0</xdr:col>
      <xdr:colOff>7920000</xdr:colOff>
      <xdr:row>203</xdr:row>
      <xdr:rowOff>32994</xdr:rowOff>
    </xdr:to>
    <xdr:graphicFrame macro="">
      <xdr:nvGraphicFramePr>
        <xdr:cNvPr id="18" name="Diagramm 7">
          <a:extLst>
            <a:ext uri="{FF2B5EF4-FFF2-40B4-BE49-F238E27FC236}">
              <a16:creationId xmlns:a16="http://schemas.microsoft.com/office/drawing/2014/main" id="{00000000-0008-0000-05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206</xdr:row>
      <xdr:rowOff>8964</xdr:rowOff>
    </xdr:from>
    <xdr:to>
      <xdr:col>0</xdr:col>
      <xdr:colOff>7920000</xdr:colOff>
      <xdr:row>232</xdr:row>
      <xdr:rowOff>2164</xdr:rowOff>
    </xdr:to>
    <xdr:graphicFrame macro="">
      <xdr:nvGraphicFramePr>
        <xdr:cNvPr id="19" name="Diagramm 8">
          <a:extLst>
            <a:ext uri="{FF2B5EF4-FFF2-40B4-BE49-F238E27FC236}">
              <a16:creationId xmlns:a16="http://schemas.microsoft.com/office/drawing/2014/main" id="{00000000-0008-0000-05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35860</xdr:colOff>
      <xdr:row>235</xdr:row>
      <xdr:rowOff>8965</xdr:rowOff>
    </xdr:from>
    <xdr:to>
      <xdr:col>0</xdr:col>
      <xdr:colOff>7955860</xdr:colOff>
      <xdr:row>260</xdr:row>
      <xdr:rowOff>114301</xdr:rowOff>
    </xdr:to>
    <xdr:graphicFrame macro="">
      <xdr:nvGraphicFramePr>
        <xdr:cNvPr id="2" name="Diagramm 8">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35860</xdr:colOff>
      <xdr:row>264</xdr:row>
      <xdr:rowOff>8966</xdr:rowOff>
    </xdr:from>
    <xdr:to>
      <xdr:col>0</xdr:col>
      <xdr:colOff>7955860</xdr:colOff>
      <xdr:row>289</xdr:row>
      <xdr:rowOff>120699</xdr:rowOff>
    </xdr:to>
    <xdr:graphicFrame macro="">
      <xdr:nvGraphicFramePr>
        <xdr:cNvPr id="6" name="Diagramm 8">
          <a:extLst>
            <a:ext uri="{FF2B5EF4-FFF2-40B4-BE49-F238E27FC236}">
              <a16:creationId xmlns:a16="http://schemas.microsoft.com/office/drawing/2014/main" id="{11317D1F-4AA3-4FDA-8CF1-0BAF37456F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35860</xdr:colOff>
      <xdr:row>293</xdr:row>
      <xdr:rowOff>8965</xdr:rowOff>
    </xdr:from>
    <xdr:to>
      <xdr:col>0</xdr:col>
      <xdr:colOff>7955860</xdr:colOff>
      <xdr:row>318</xdr:row>
      <xdr:rowOff>120698</xdr:rowOff>
    </xdr:to>
    <xdr:graphicFrame macro="">
      <xdr:nvGraphicFramePr>
        <xdr:cNvPr id="7" name="Diagramm 8">
          <a:extLst>
            <a:ext uri="{FF2B5EF4-FFF2-40B4-BE49-F238E27FC236}">
              <a16:creationId xmlns:a16="http://schemas.microsoft.com/office/drawing/2014/main" id="{DFC3EED8-CBB7-46A4-9F79-06057C3911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133350</xdr:colOff>
      <xdr:row>170</xdr:row>
      <xdr:rowOff>22860</xdr:rowOff>
    </xdr:from>
    <xdr:to>
      <xdr:col>0</xdr:col>
      <xdr:colOff>6276975</xdr:colOff>
      <xdr:row>173</xdr:row>
      <xdr:rowOff>97972</xdr:rowOff>
    </xdr:to>
    <xdr:sp macro="" textlink="">
      <xdr:nvSpPr>
        <xdr:cNvPr id="58" name="Textfeld 7">
          <a:extLst>
            <a:ext uri="{FF2B5EF4-FFF2-40B4-BE49-F238E27FC236}">
              <a16:creationId xmlns:a16="http://schemas.microsoft.com/office/drawing/2014/main" id="{A0973CAC-0A5D-BA89-BDEF-A52658C6FE61}"/>
            </a:ext>
          </a:extLst>
        </xdr:cNvPr>
        <xdr:cNvSpPr txBox="1"/>
      </xdr:nvSpPr>
      <xdr:spPr>
        <a:xfrm>
          <a:off x="133350" y="26647140"/>
          <a:ext cx="6143625" cy="4637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t"/>
        <a:lstStyle/>
        <a:p>
          <a:pPr algn="ctr"/>
          <a:r>
            <a:rPr lang="en-GB" sz="1000"/>
            <a:t>* Temperature heat pump sink in minus temperature drop (delta T heat exchanger) between temperature heat pump sink in and return point DH network</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0.0255</cdr:x>
      <cdr:y>0.87817</cdr:y>
    </cdr:from>
    <cdr:to>
      <cdr:x>0.81973</cdr:x>
      <cdr:y>0.98627</cdr:y>
    </cdr:to>
    <cdr:sp macro="" textlink="">
      <cdr:nvSpPr>
        <cdr:cNvPr id="2" name="Textfeld 7">
          <a:extLst xmlns:a="http://schemas.openxmlformats.org/drawingml/2006/main">
            <a:ext uri="{FF2B5EF4-FFF2-40B4-BE49-F238E27FC236}">
              <a16:creationId xmlns:a16="http://schemas.microsoft.com/office/drawing/2014/main" id="{A0973CAC-0A5D-BA89-BDEF-A52658C6FE61}"/>
            </a:ext>
          </a:extLst>
        </cdr:cNvPr>
        <cdr:cNvSpPr txBox="1"/>
      </cdr:nvSpPr>
      <cdr:spPr>
        <a:xfrm xmlns:a="http://schemas.openxmlformats.org/drawingml/2006/main">
          <a:off x="201960" y="3197431"/>
          <a:ext cx="6290280" cy="39359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36000" rIns="36000"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lvl="0" algn="ctr"/>
          <a:r>
            <a:rPr lang="en-GB" sz="1000"/>
            <a:t>* </a:t>
          </a:r>
          <a:r>
            <a:rPr lang="en-GB" sz="1100">
              <a:solidFill>
                <a:schemeClr val="dk1"/>
              </a:solidFill>
              <a:effectLst/>
              <a:latin typeface="+mn-lt"/>
              <a:ea typeface="+mn-ea"/>
              <a:cs typeface="+mn-cs"/>
            </a:rPr>
            <a:t>Temperature heat pump sink out minus the temperature drop ( delta T heat exchanger) between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the heat pump sink out temperature and the feed-in point DH network </a:t>
          </a:r>
          <a:endParaRPr lang="en-GB" sz="1000"/>
        </a:p>
      </cdr:txBody>
    </cdr:sp>
  </cdr:relSizeAnchor>
</c:userShapes>
</file>

<file path=xl/drawings/drawing7.xml><?xml version="1.0" encoding="utf-8"?>
<xdr:wsDr xmlns:xdr="http://schemas.openxmlformats.org/drawingml/2006/spreadsheetDrawing" xmlns:a="http://schemas.openxmlformats.org/drawingml/2006/main">
  <xdr:twoCellAnchor>
    <xdr:from>
      <xdr:col>14</xdr:col>
      <xdr:colOff>2879</xdr:colOff>
      <xdr:row>84</xdr:row>
      <xdr:rowOff>70442</xdr:rowOff>
    </xdr:from>
    <xdr:to>
      <xdr:col>14</xdr:col>
      <xdr:colOff>2879</xdr:colOff>
      <xdr:row>85</xdr:row>
      <xdr:rowOff>0</xdr:rowOff>
    </xdr:to>
    <xdr:sp macro="" textlink="$S$22">
      <xdr:nvSpPr>
        <xdr:cNvPr id="73" name="TextBox 72">
          <a:extLst>
            <a:ext uri="{FF2B5EF4-FFF2-40B4-BE49-F238E27FC236}">
              <a16:creationId xmlns:a16="http://schemas.microsoft.com/office/drawing/2014/main" id="{00000000-0008-0000-0700-000049000000}"/>
            </a:ext>
          </a:extLst>
        </xdr:cNvPr>
        <xdr:cNvSpPr txBox="1"/>
      </xdr:nvSpPr>
      <xdr:spPr>
        <a:xfrm>
          <a:off x="20195879" y="18320342"/>
          <a:ext cx="0" cy="120058"/>
        </a:xfrm>
        <a:prstGeom prst="rect">
          <a:avLst/>
        </a:prstGeom>
        <a:solidFill>
          <a:srgbClr val="E0D68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indent="0" algn="ctr" defTabSz="914400" rtl="0" eaLnBrk="1" latinLnBrk="0" hangingPunct="1"/>
          <a:fld id="{0C43ABF8-0AD8-4100-B31E-7C2872CB4428}" type="TxLink">
            <a:rPr lang="en-US" sz="1000" b="0" i="0" u="none" strike="noStrike" kern="1200">
              <a:solidFill>
                <a:srgbClr val="12355B"/>
              </a:solidFill>
              <a:latin typeface="+mn-lt"/>
              <a:ea typeface="Calibri"/>
              <a:cs typeface="Calibri"/>
            </a:rPr>
            <a:pPr marL="0" indent="0" algn="ctr" defTabSz="914400" rtl="0" eaLnBrk="1" latinLnBrk="0" hangingPunct="1"/>
            <a:t> </a:t>
          </a:fld>
          <a:endParaRPr lang="en-US" sz="1000" b="0" i="0" u="none" strike="noStrike" kern="1200">
            <a:solidFill>
              <a:srgbClr val="12355B"/>
            </a:solidFill>
            <a:latin typeface="+mn-lt"/>
            <a:ea typeface="Calibri"/>
            <a:cs typeface="Calibri"/>
          </a:endParaRPr>
        </a:p>
      </xdr:txBody>
    </xdr:sp>
    <xdr:clientData/>
  </xdr:twoCellAnchor>
  <xdr:twoCellAnchor>
    <xdr:from>
      <xdr:col>43</xdr:col>
      <xdr:colOff>1370667</xdr:colOff>
      <xdr:row>226</xdr:row>
      <xdr:rowOff>181015</xdr:rowOff>
    </xdr:from>
    <xdr:to>
      <xdr:col>54</xdr:col>
      <xdr:colOff>1279794</xdr:colOff>
      <xdr:row>254</xdr:row>
      <xdr:rowOff>39305</xdr:rowOff>
    </xdr:to>
    <xdr:grpSp>
      <xdr:nvGrpSpPr>
        <xdr:cNvPr id="244" name="Gruppieren 243">
          <a:extLst>
            <a:ext uri="{FF2B5EF4-FFF2-40B4-BE49-F238E27FC236}">
              <a16:creationId xmlns:a16="http://schemas.microsoft.com/office/drawing/2014/main" id="{A688E5CA-ED98-E28B-9A57-D9241427A002}"/>
            </a:ext>
          </a:extLst>
        </xdr:cNvPr>
        <xdr:cNvGrpSpPr/>
      </xdr:nvGrpSpPr>
      <xdr:grpSpPr>
        <a:xfrm>
          <a:off x="58938302" y="45996265"/>
          <a:ext cx="14980607" cy="5192290"/>
          <a:chOff x="741670" y="6387851"/>
          <a:chExt cx="15622953" cy="4940137"/>
        </a:xfrm>
      </xdr:grpSpPr>
      <xdr:grpSp>
        <xdr:nvGrpSpPr>
          <xdr:cNvPr id="226" name="Group 225">
            <a:extLst>
              <a:ext uri="{FF2B5EF4-FFF2-40B4-BE49-F238E27FC236}">
                <a16:creationId xmlns:a16="http://schemas.microsoft.com/office/drawing/2014/main" id="{00000000-0008-0000-0700-0000E2000000}"/>
              </a:ext>
            </a:extLst>
          </xdr:cNvPr>
          <xdr:cNvGrpSpPr/>
        </xdr:nvGrpSpPr>
        <xdr:grpSpPr>
          <a:xfrm>
            <a:off x="12575666" y="6387851"/>
            <a:ext cx="3427719" cy="4864118"/>
            <a:chOff x="4659219" y="6863494"/>
            <a:chExt cx="2206410" cy="8598543"/>
          </a:xfrm>
        </xdr:grpSpPr>
        <xdr:cxnSp macro="">
          <xdr:nvCxnSpPr>
            <xdr:cNvPr id="224" name="Gerade Verbindung mit Pfeil 24">
              <a:extLst>
                <a:ext uri="{FF2B5EF4-FFF2-40B4-BE49-F238E27FC236}">
                  <a16:creationId xmlns:a16="http://schemas.microsoft.com/office/drawing/2014/main" id="{00000000-0008-0000-0700-0000E0000000}"/>
                </a:ext>
              </a:extLst>
            </xdr:cNvPr>
            <xdr:cNvCxnSpPr>
              <a:cxnSpLocks/>
              <a:stCxn id="225" idx="0"/>
            </xdr:cNvCxnSpPr>
          </xdr:nvCxnSpPr>
          <xdr:spPr>
            <a:xfrm flipH="1" flipV="1">
              <a:off x="5758182" y="6863494"/>
              <a:ext cx="4243" cy="7616844"/>
            </a:xfrm>
            <a:prstGeom prst="straightConnector1">
              <a:avLst/>
            </a:prstGeom>
            <a:ln>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sp macro="" textlink="$S$28">
          <xdr:nvSpPr>
            <xdr:cNvPr id="225" name="Rechteck 42">
              <a:extLst>
                <a:ext uri="{FF2B5EF4-FFF2-40B4-BE49-F238E27FC236}">
                  <a16:creationId xmlns:a16="http://schemas.microsoft.com/office/drawing/2014/main" id="{00000000-0008-0000-0700-0000E1000000}"/>
                </a:ext>
              </a:extLst>
            </xdr:cNvPr>
            <xdr:cNvSpPr/>
          </xdr:nvSpPr>
          <xdr:spPr>
            <a:xfrm>
              <a:off x="4659219" y="14480338"/>
              <a:ext cx="2206410" cy="981699"/>
            </a:xfrm>
            <a:prstGeom prst="rect">
              <a:avLst/>
            </a:prstGeom>
            <a:solidFill>
              <a:srgbClr val="3F816D"/>
            </a:solidFill>
            <a:ln w="9525" cmpd="sng">
              <a:solidFill>
                <a:srgbClr val="3F816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indent="0" algn="ctr"/>
              <a:fld id="{E7BAEEFC-9529-4D4D-BA4D-3B15157603CA}" type="TxLink">
                <a:rPr lang="en-US" sz="1000" b="0" i="0" u="none" strike="noStrike">
                  <a:solidFill>
                    <a:schemeClr val="bg1">
                      <a:lumMod val="95000"/>
                    </a:schemeClr>
                  </a:solidFill>
                  <a:latin typeface="+mn-lt"/>
                  <a:ea typeface="Calibri"/>
                  <a:cs typeface="Calibri"/>
                </a:rPr>
                <a:pPr marL="0" indent="0" algn="ctr"/>
                <a:t>Price based on the short-run marginal costs of alternative heat production: 
58.41 EUR/MWh_fed_into_DH_grid</a:t>
              </a:fld>
              <a:endParaRPr lang="en-US" sz="1100" b="0" i="0" u="none" strike="noStrike">
                <a:solidFill>
                  <a:schemeClr val="bg1">
                    <a:lumMod val="95000"/>
                  </a:schemeClr>
                </a:solidFill>
                <a:latin typeface="+mn-lt"/>
                <a:ea typeface="Calibri"/>
                <a:cs typeface="Calibri"/>
              </a:endParaRPr>
            </a:p>
          </xdr:txBody>
        </xdr:sp>
      </xdr:grpSp>
      <xdr:grpSp>
        <xdr:nvGrpSpPr>
          <xdr:cNvPr id="248" name="Group 247">
            <a:extLst>
              <a:ext uri="{FF2B5EF4-FFF2-40B4-BE49-F238E27FC236}">
                <a16:creationId xmlns:a16="http://schemas.microsoft.com/office/drawing/2014/main" id="{00000000-0008-0000-0700-0000F8000000}"/>
              </a:ext>
            </a:extLst>
          </xdr:cNvPr>
          <xdr:cNvGrpSpPr/>
        </xdr:nvGrpSpPr>
        <xdr:grpSpPr>
          <a:xfrm>
            <a:off x="6989209" y="10210989"/>
            <a:ext cx="2044558" cy="1041566"/>
            <a:chOff x="2666998" y="7336566"/>
            <a:chExt cx="1872000" cy="791251"/>
          </a:xfrm>
        </xdr:grpSpPr>
        <xdr:cxnSp macro="">
          <xdr:nvCxnSpPr>
            <xdr:cNvPr id="249" name="Gerade Verbindung mit Pfeil 24">
              <a:extLst>
                <a:ext uri="{FF2B5EF4-FFF2-40B4-BE49-F238E27FC236}">
                  <a16:creationId xmlns:a16="http://schemas.microsoft.com/office/drawing/2014/main" id="{00000000-0008-0000-0700-0000F9000000}"/>
                </a:ext>
              </a:extLst>
            </xdr:cNvPr>
            <xdr:cNvCxnSpPr>
              <a:cxnSpLocks/>
            </xdr:cNvCxnSpPr>
          </xdr:nvCxnSpPr>
          <xdr:spPr>
            <a:xfrm flipH="1" flipV="1">
              <a:off x="3591149" y="7336566"/>
              <a:ext cx="0" cy="360082"/>
            </a:xfrm>
            <a:prstGeom prst="straightConnector1">
              <a:avLst/>
            </a:prstGeom>
            <a:ln>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sp macro="" textlink="$S$29">
          <xdr:nvSpPr>
            <xdr:cNvPr id="250" name="Rechteck 42">
              <a:extLst>
                <a:ext uri="{FF2B5EF4-FFF2-40B4-BE49-F238E27FC236}">
                  <a16:creationId xmlns:a16="http://schemas.microsoft.com/office/drawing/2014/main" id="{00000000-0008-0000-0700-0000FA000000}"/>
                </a:ext>
              </a:extLst>
            </xdr:cNvPr>
            <xdr:cNvSpPr/>
          </xdr:nvSpPr>
          <xdr:spPr>
            <a:xfrm>
              <a:off x="2666998" y="7704467"/>
              <a:ext cx="1872000" cy="423350"/>
            </a:xfrm>
            <a:prstGeom prst="rect">
              <a:avLst/>
            </a:prstGeom>
            <a:solidFill>
              <a:srgbClr val="3F816D"/>
            </a:solidFill>
            <a:ln w="9525" cmpd="sng">
              <a:solidFill>
                <a:srgbClr val="3F816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indent="0" algn="ctr"/>
              <a:fld id="{3631FBA2-53A5-40D9-A6B1-ACE75E36E372}" type="TxLink">
                <a:rPr lang="en-US" sz="1000" b="0" i="0" u="none" strike="noStrike">
                  <a:solidFill>
                    <a:schemeClr val="bg1">
                      <a:lumMod val="95000"/>
                    </a:schemeClr>
                  </a:solidFill>
                  <a:latin typeface="+mn-lt"/>
                  <a:ea typeface="Calibri"/>
                  <a:cs typeface="Calibri"/>
                </a:rPr>
                <a:pPr marL="0" indent="0" algn="ctr"/>
                <a:t> </a:t>
              </a:fld>
              <a:endParaRPr lang="en-US" sz="1400" b="0" i="0" u="none" strike="noStrike">
                <a:solidFill>
                  <a:schemeClr val="bg1">
                    <a:lumMod val="95000"/>
                  </a:schemeClr>
                </a:solidFill>
                <a:latin typeface="+mn-lt"/>
                <a:ea typeface="Calibri"/>
                <a:cs typeface="Calibri"/>
              </a:endParaRPr>
            </a:p>
          </xdr:txBody>
        </xdr:sp>
      </xdr:grpSp>
      <xdr:grpSp>
        <xdr:nvGrpSpPr>
          <xdr:cNvPr id="251" name="Group 250">
            <a:extLst>
              <a:ext uri="{FF2B5EF4-FFF2-40B4-BE49-F238E27FC236}">
                <a16:creationId xmlns:a16="http://schemas.microsoft.com/office/drawing/2014/main" id="{00000000-0008-0000-0700-0000FB000000}"/>
              </a:ext>
            </a:extLst>
          </xdr:cNvPr>
          <xdr:cNvGrpSpPr/>
        </xdr:nvGrpSpPr>
        <xdr:grpSpPr>
          <a:xfrm>
            <a:off x="9087154" y="10298573"/>
            <a:ext cx="1873231" cy="945775"/>
            <a:chOff x="2666998" y="7303483"/>
            <a:chExt cx="1872000" cy="809818"/>
          </a:xfrm>
        </xdr:grpSpPr>
        <xdr:cxnSp macro="">
          <xdr:nvCxnSpPr>
            <xdr:cNvPr id="252" name="Gerade Verbindung mit Pfeil 24">
              <a:extLst>
                <a:ext uri="{FF2B5EF4-FFF2-40B4-BE49-F238E27FC236}">
                  <a16:creationId xmlns:a16="http://schemas.microsoft.com/office/drawing/2014/main" id="{00000000-0008-0000-0700-0000FC000000}"/>
                </a:ext>
              </a:extLst>
            </xdr:cNvPr>
            <xdr:cNvCxnSpPr>
              <a:cxnSpLocks/>
            </xdr:cNvCxnSpPr>
          </xdr:nvCxnSpPr>
          <xdr:spPr>
            <a:xfrm flipV="1">
              <a:off x="3592923" y="7303483"/>
              <a:ext cx="0" cy="393165"/>
            </a:xfrm>
            <a:prstGeom prst="straightConnector1">
              <a:avLst/>
            </a:prstGeom>
            <a:ln>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sp macro="" textlink="$S$30">
          <xdr:nvSpPr>
            <xdr:cNvPr id="253" name="Rechteck 42">
              <a:extLst>
                <a:ext uri="{FF2B5EF4-FFF2-40B4-BE49-F238E27FC236}">
                  <a16:creationId xmlns:a16="http://schemas.microsoft.com/office/drawing/2014/main" id="{00000000-0008-0000-0700-0000FD000000}"/>
                </a:ext>
              </a:extLst>
            </xdr:cNvPr>
            <xdr:cNvSpPr/>
          </xdr:nvSpPr>
          <xdr:spPr>
            <a:xfrm>
              <a:off x="2666998" y="7643881"/>
              <a:ext cx="1872000" cy="469420"/>
            </a:xfrm>
            <a:prstGeom prst="rect">
              <a:avLst/>
            </a:prstGeom>
            <a:solidFill>
              <a:srgbClr val="3F816D"/>
            </a:solidFill>
            <a:ln w="9525" cmpd="sng">
              <a:solidFill>
                <a:srgbClr val="3F816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indent="0" algn="ctr"/>
              <a:fld id="{511198E3-2C74-4ECF-9D8E-608B8B9FFF96}" type="TxLink">
                <a:rPr lang="en-US" sz="1000" b="0" i="0" u="none" strike="noStrike">
                  <a:solidFill>
                    <a:schemeClr val="bg1">
                      <a:lumMod val="95000"/>
                    </a:schemeClr>
                  </a:solidFill>
                  <a:latin typeface="+mn-lt"/>
                  <a:ea typeface="Calibri"/>
                  <a:cs typeface="Calibri"/>
                </a:rPr>
                <a:pPr marL="0" indent="0" algn="ctr"/>
                <a:t> </a:t>
              </a:fld>
              <a:endParaRPr lang="en-US" sz="1400" b="0" i="0" u="none" strike="noStrike">
                <a:solidFill>
                  <a:schemeClr val="bg1">
                    <a:lumMod val="95000"/>
                  </a:schemeClr>
                </a:solidFill>
                <a:latin typeface="+mn-lt"/>
                <a:ea typeface="Calibri"/>
                <a:cs typeface="Calibri"/>
              </a:endParaRPr>
            </a:p>
          </xdr:txBody>
        </xdr:sp>
      </xdr:grpSp>
      <xdr:grpSp>
        <xdr:nvGrpSpPr>
          <xdr:cNvPr id="255" name="Group 254">
            <a:extLst>
              <a:ext uri="{FF2B5EF4-FFF2-40B4-BE49-F238E27FC236}">
                <a16:creationId xmlns:a16="http://schemas.microsoft.com/office/drawing/2014/main" id="{00000000-0008-0000-0700-0000FF000000}"/>
              </a:ext>
            </a:extLst>
          </xdr:cNvPr>
          <xdr:cNvGrpSpPr/>
        </xdr:nvGrpSpPr>
        <xdr:grpSpPr>
          <a:xfrm>
            <a:off x="10980758" y="10493723"/>
            <a:ext cx="2165642" cy="756896"/>
            <a:chOff x="2329539" y="7373704"/>
            <a:chExt cx="2087583" cy="764623"/>
          </a:xfrm>
        </xdr:grpSpPr>
        <xdr:cxnSp macro="">
          <xdr:nvCxnSpPr>
            <xdr:cNvPr id="256" name="Gerade Verbindung mit Pfeil 24">
              <a:extLst>
                <a:ext uri="{FF2B5EF4-FFF2-40B4-BE49-F238E27FC236}">
                  <a16:creationId xmlns:a16="http://schemas.microsoft.com/office/drawing/2014/main" id="{00000000-0008-0000-0700-000000010000}"/>
                </a:ext>
              </a:extLst>
            </xdr:cNvPr>
            <xdr:cNvCxnSpPr>
              <a:cxnSpLocks/>
            </xdr:cNvCxnSpPr>
          </xdr:nvCxnSpPr>
          <xdr:spPr>
            <a:xfrm flipH="1" flipV="1">
              <a:off x="3367491" y="7373704"/>
              <a:ext cx="0" cy="322943"/>
            </a:xfrm>
            <a:prstGeom prst="straightConnector1">
              <a:avLst/>
            </a:prstGeom>
            <a:ln>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sp macro="" textlink="$S$31">
          <xdr:nvSpPr>
            <xdr:cNvPr id="257" name="Rechteck 42">
              <a:extLst>
                <a:ext uri="{FF2B5EF4-FFF2-40B4-BE49-F238E27FC236}">
                  <a16:creationId xmlns:a16="http://schemas.microsoft.com/office/drawing/2014/main" id="{00000000-0008-0000-0700-000001010000}"/>
                </a:ext>
              </a:extLst>
            </xdr:cNvPr>
            <xdr:cNvSpPr/>
          </xdr:nvSpPr>
          <xdr:spPr>
            <a:xfrm>
              <a:off x="2329539" y="7570669"/>
              <a:ext cx="2087583" cy="567658"/>
            </a:xfrm>
            <a:prstGeom prst="rect">
              <a:avLst/>
            </a:prstGeom>
            <a:solidFill>
              <a:srgbClr val="3F816D"/>
            </a:solidFill>
            <a:ln w="9525" cmpd="sng">
              <a:solidFill>
                <a:srgbClr val="3F816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indent="0" algn="ctr"/>
              <a:fld id="{7FC506E3-DC14-4E58-BB8C-AB2836FED9F5}" type="TxLink">
                <a:rPr lang="en-US" sz="1000" b="0" i="0" u="none" strike="noStrike">
                  <a:solidFill>
                    <a:schemeClr val="bg1">
                      <a:lumMod val="95000"/>
                    </a:schemeClr>
                  </a:solidFill>
                  <a:latin typeface="+mn-lt"/>
                  <a:ea typeface="Calibri"/>
                  <a:cs typeface="Calibri"/>
                </a:rPr>
                <a:pPr marL="0" indent="0" algn="ctr"/>
                <a:t> </a:t>
              </a:fld>
              <a:endParaRPr lang="en-US" sz="1400" b="0" i="0" u="none" strike="noStrike">
                <a:solidFill>
                  <a:schemeClr val="bg1">
                    <a:lumMod val="95000"/>
                  </a:schemeClr>
                </a:solidFill>
                <a:latin typeface="+mn-lt"/>
                <a:ea typeface="Calibri"/>
                <a:cs typeface="Calibri"/>
              </a:endParaRPr>
            </a:p>
          </xdr:txBody>
        </xdr:sp>
      </xdr:grpSp>
      <xdr:grpSp>
        <xdr:nvGrpSpPr>
          <xdr:cNvPr id="278" name="Group 277">
            <a:extLst>
              <a:ext uri="{FF2B5EF4-FFF2-40B4-BE49-F238E27FC236}">
                <a16:creationId xmlns:a16="http://schemas.microsoft.com/office/drawing/2014/main" id="{00000000-0008-0000-0700-000016010000}"/>
              </a:ext>
            </a:extLst>
          </xdr:cNvPr>
          <xdr:cNvGrpSpPr/>
        </xdr:nvGrpSpPr>
        <xdr:grpSpPr>
          <a:xfrm>
            <a:off x="741670" y="10463064"/>
            <a:ext cx="15622953" cy="864924"/>
            <a:chOff x="590900" y="7377247"/>
            <a:chExt cx="12819794" cy="882476"/>
          </a:xfrm>
        </xdr:grpSpPr>
        <xdr:sp macro="" textlink="">
          <xdr:nvSpPr>
            <xdr:cNvPr id="271" name="TextBox 270">
              <a:extLst>
                <a:ext uri="{FF2B5EF4-FFF2-40B4-BE49-F238E27FC236}">
                  <a16:creationId xmlns:a16="http://schemas.microsoft.com/office/drawing/2014/main" id="{00000000-0008-0000-0700-00000F010000}"/>
                </a:ext>
              </a:extLst>
            </xdr:cNvPr>
            <xdr:cNvSpPr txBox="1"/>
          </xdr:nvSpPr>
          <xdr:spPr>
            <a:xfrm>
              <a:off x="590900" y="7377723"/>
              <a:ext cx="162000" cy="882000"/>
            </a:xfrm>
            <a:prstGeom prst="rect">
              <a:avLst/>
            </a:prstGeom>
            <a:solidFill>
              <a:srgbClr val="3F816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 wrap="square" lIns="0" tIns="0" rIns="0" bIns="0" rtlCol="0" anchor="t">
              <a:noAutofit/>
            </a:bodyPr>
            <a:lstStyle/>
            <a:p>
              <a:pPr marL="0" indent="0" algn="ctr" defTabSz="914400" rtl="0" eaLnBrk="1" latinLnBrk="0" hangingPunct="1"/>
              <a:r>
                <a:rPr lang="en-US" sz="800" b="0" i="0" u="none" strike="noStrike" kern="1200">
                  <a:solidFill>
                    <a:schemeClr val="bg1">
                      <a:lumMod val="95000"/>
                    </a:schemeClr>
                  </a:solidFill>
                  <a:latin typeface="+mn-lt"/>
                  <a:ea typeface="Calibri"/>
                  <a:cs typeface="Calibri"/>
                </a:rPr>
                <a:t>PRICES0</a:t>
              </a:r>
            </a:p>
          </xdr:txBody>
        </xdr:sp>
        <xdr:sp macro="" textlink="">
          <xdr:nvSpPr>
            <xdr:cNvPr id="277" name="Rectangle 276">
              <a:extLst>
                <a:ext uri="{FF2B5EF4-FFF2-40B4-BE49-F238E27FC236}">
                  <a16:creationId xmlns:a16="http://schemas.microsoft.com/office/drawing/2014/main" id="{00000000-0008-0000-0700-000015010000}"/>
                </a:ext>
              </a:extLst>
            </xdr:cNvPr>
            <xdr:cNvSpPr/>
          </xdr:nvSpPr>
          <xdr:spPr>
            <a:xfrm>
              <a:off x="604320" y="7377247"/>
              <a:ext cx="12806374" cy="882000"/>
            </a:xfrm>
            <a:prstGeom prst="rect">
              <a:avLst/>
            </a:prstGeom>
            <a:noFill/>
            <a:ln w="12700">
              <a:solidFill>
                <a:srgbClr val="3F816D"/>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AT" sz="1100">
                <a:latin typeface="+mn-lt"/>
              </a:endParaRPr>
            </a:p>
          </xdr:txBody>
        </xdr:sp>
      </xdr:grpSp>
    </xdr:grpSp>
    <xdr:clientData/>
  </xdr:twoCellAnchor>
  <xdr:twoCellAnchor>
    <xdr:from>
      <xdr:col>0</xdr:col>
      <xdr:colOff>158395</xdr:colOff>
      <xdr:row>91</xdr:row>
      <xdr:rowOff>12696</xdr:rowOff>
    </xdr:from>
    <xdr:to>
      <xdr:col>1</xdr:col>
      <xdr:colOff>736600</xdr:colOff>
      <xdr:row>136</xdr:row>
      <xdr:rowOff>25397</xdr:rowOff>
    </xdr:to>
    <xdr:sp macro="" textlink="">
      <xdr:nvSpPr>
        <xdr:cNvPr id="55" name="Rectangle 131">
          <a:extLst>
            <a:ext uri="{FF2B5EF4-FFF2-40B4-BE49-F238E27FC236}">
              <a16:creationId xmlns:a16="http://schemas.microsoft.com/office/drawing/2014/main" id="{00000000-0008-0000-0700-000084000000}"/>
            </a:ext>
          </a:extLst>
        </xdr:cNvPr>
        <xdr:cNvSpPr/>
      </xdr:nvSpPr>
      <xdr:spPr>
        <a:xfrm rot="10800000">
          <a:off x="158395" y="18948396"/>
          <a:ext cx="1137005" cy="8013701"/>
        </a:xfrm>
        <a:prstGeom prst="rect">
          <a:avLst/>
        </a:prstGeom>
        <a:solidFill>
          <a:srgbClr val="247B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vert" wrap="square" rtlCol="0" anchor="t"/>
        <a:lstStyle>
          <a:defPPr>
            <a:defRPr lang="de-DE"/>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de-AT" sz="2000" b="1">
              <a:latin typeface="+mn-lt"/>
            </a:rPr>
            <a:t>OUTPUT CONTRACTOR</a:t>
          </a:r>
          <a:r>
            <a:rPr lang="de-AT" sz="2000" b="1" baseline="0">
              <a:latin typeface="+mn-lt"/>
            </a:rPr>
            <a:t> 2</a:t>
          </a:r>
          <a:endParaRPr lang="de-AT" sz="2000" b="1">
            <a:latin typeface="+mn-lt"/>
          </a:endParaRPr>
        </a:p>
      </xdr:txBody>
    </xdr:sp>
    <xdr:clientData/>
  </xdr:twoCellAnchor>
  <xdr:twoCellAnchor>
    <xdr:from>
      <xdr:col>1</xdr:col>
      <xdr:colOff>344585</xdr:colOff>
      <xdr:row>43</xdr:row>
      <xdr:rowOff>114300</xdr:rowOff>
    </xdr:from>
    <xdr:to>
      <xdr:col>13</xdr:col>
      <xdr:colOff>613885</xdr:colOff>
      <xdr:row>87</xdr:row>
      <xdr:rowOff>31100</xdr:rowOff>
    </xdr:to>
    <xdr:sp macro="" textlink="">
      <xdr:nvSpPr>
        <xdr:cNvPr id="77" name="Rechteck 2">
          <a:extLst>
            <a:ext uri="{FF2B5EF4-FFF2-40B4-BE49-F238E27FC236}">
              <a16:creationId xmlns:a16="http://schemas.microsoft.com/office/drawing/2014/main" id="{00000000-0008-0000-0700-00004D000000}"/>
            </a:ext>
          </a:extLst>
        </xdr:cNvPr>
        <xdr:cNvSpPr>
          <a:spLocks/>
        </xdr:cNvSpPr>
      </xdr:nvSpPr>
      <xdr:spPr>
        <a:xfrm>
          <a:off x="897035" y="11315700"/>
          <a:ext cx="14756825" cy="7879700"/>
        </a:xfrm>
        <a:prstGeom prst="rect">
          <a:avLst/>
        </a:prstGeom>
        <a:solidFill>
          <a:srgbClr val="F6EDF7"/>
        </a:solidFill>
        <a:ln w="6350">
          <a:solidFill>
            <a:srgbClr val="12355B"/>
          </a:solidFill>
        </a:ln>
      </xdr:spPr>
      <xdr:style>
        <a:lnRef idx="2">
          <a:schemeClr val="accent3">
            <a:shade val="50000"/>
          </a:schemeClr>
        </a:lnRef>
        <a:fillRef idx="1">
          <a:schemeClr val="accent3"/>
        </a:fillRef>
        <a:effectRef idx="0">
          <a:schemeClr val="accent3"/>
        </a:effectRef>
        <a:fontRef idx="minor">
          <a:schemeClr val="lt1"/>
        </a:fontRef>
      </xdr:style>
      <xdr:txBody>
        <a:bodyPr wrap="none" rtlCol="0" anchor="ctr"/>
        <a:lstStyle>
          <a:defPPr>
            <a:defRPr lang="de-DE"/>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endParaRPr lang="de-DE" sz="1100">
            <a:latin typeface="+mn-lt"/>
          </a:endParaRPr>
        </a:p>
      </xdr:txBody>
    </xdr:sp>
    <xdr:clientData/>
  </xdr:twoCellAnchor>
  <xdr:twoCellAnchor>
    <xdr:from>
      <xdr:col>3</xdr:col>
      <xdr:colOff>593732</xdr:colOff>
      <xdr:row>43</xdr:row>
      <xdr:rowOff>132622</xdr:rowOff>
    </xdr:from>
    <xdr:to>
      <xdr:col>3</xdr:col>
      <xdr:colOff>593732</xdr:colOff>
      <xdr:row>87</xdr:row>
      <xdr:rowOff>13422</xdr:rowOff>
    </xdr:to>
    <xdr:cxnSp macro="">
      <xdr:nvCxnSpPr>
        <xdr:cNvPr id="78" name="Gerader Verbinder 9">
          <a:extLst>
            <a:ext uri="{FF2B5EF4-FFF2-40B4-BE49-F238E27FC236}">
              <a16:creationId xmlns:a16="http://schemas.microsoft.com/office/drawing/2014/main" id="{00000000-0008-0000-0700-00004E000000}"/>
            </a:ext>
          </a:extLst>
        </xdr:cNvPr>
        <xdr:cNvCxnSpPr>
          <a:cxnSpLocks/>
        </xdr:cNvCxnSpPr>
      </xdr:nvCxnSpPr>
      <xdr:spPr>
        <a:xfrm>
          <a:off x="4162432" y="10533922"/>
          <a:ext cx="0" cy="7704000"/>
        </a:xfrm>
        <a:prstGeom prst="line">
          <a:avLst/>
        </a:prstGeom>
        <a:ln>
          <a:solidFill>
            <a:srgbClr val="12355B"/>
          </a:solidFill>
          <a:prstDash val="dash"/>
          <a:headEnd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3415</xdr:colOff>
      <xdr:row>46</xdr:row>
      <xdr:rowOff>132339</xdr:rowOff>
    </xdr:from>
    <xdr:to>
      <xdr:col>6</xdr:col>
      <xdr:colOff>854647</xdr:colOff>
      <xdr:row>46</xdr:row>
      <xdr:rowOff>134578</xdr:rowOff>
    </xdr:to>
    <xdr:cxnSp macro="">
      <xdr:nvCxnSpPr>
        <xdr:cNvPr id="79" name="Gerade Verbindung mit Pfeil 34">
          <a:extLst>
            <a:ext uri="{FF2B5EF4-FFF2-40B4-BE49-F238E27FC236}">
              <a16:creationId xmlns:a16="http://schemas.microsoft.com/office/drawing/2014/main" id="{00000000-0008-0000-0700-00004F000000}"/>
            </a:ext>
          </a:extLst>
        </xdr:cNvPr>
        <xdr:cNvCxnSpPr>
          <a:cxnSpLocks/>
        </xdr:cNvCxnSpPr>
      </xdr:nvCxnSpPr>
      <xdr:spPr>
        <a:xfrm flipV="1">
          <a:off x="4182692" y="3110001"/>
          <a:ext cx="2978970" cy="2239"/>
        </a:xfrm>
        <a:prstGeom prst="straightConnector1">
          <a:avLst/>
        </a:prstGeom>
        <a:ln>
          <a:solidFill>
            <a:srgbClr val="12355B"/>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844061</xdr:colOff>
      <xdr:row>46</xdr:row>
      <xdr:rowOff>135391</xdr:rowOff>
    </xdr:from>
    <xdr:to>
      <xdr:col>11</xdr:col>
      <xdr:colOff>1314728</xdr:colOff>
      <xdr:row>46</xdr:row>
      <xdr:rowOff>135391</xdr:rowOff>
    </xdr:to>
    <xdr:cxnSp macro="">
      <xdr:nvCxnSpPr>
        <xdr:cNvPr id="80" name="Gerade Verbindung mit Pfeil 35">
          <a:extLst>
            <a:ext uri="{FF2B5EF4-FFF2-40B4-BE49-F238E27FC236}">
              <a16:creationId xmlns:a16="http://schemas.microsoft.com/office/drawing/2014/main" id="{00000000-0008-0000-0700-000050000000}"/>
            </a:ext>
          </a:extLst>
        </xdr:cNvPr>
        <xdr:cNvCxnSpPr>
          <a:cxnSpLocks/>
        </xdr:cNvCxnSpPr>
      </xdr:nvCxnSpPr>
      <xdr:spPr>
        <a:xfrm>
          <a:off x="7151728" y="11015058"/>
          <a:ext cx="6228000" cy="0"/>
        </a:xfrm>
        <a:prstGeom prst="straightConnector1">
          <a:avLst/>
        </a:prstGeom>
        <a:ln>
          <a:solidFill>
            <a:srgbClr val="12355B"/>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1330293</xdr:colOff>
      <xdr:row>46</xdr:row>
      <xdr:rowOff>138634</xdr:rowOff>
    </xdr:from>
    <xdr:to>
      <xdr:col>13</xdr:col>
      <xdr:colOff>431212</xdr:colOff>
      <xdr:row>46</xdr:row>
      <xdr:rowOff>138634</xdr:rowOff>
    </xdr:to>
    <xdr:cxnSp macro="">
      <xdr:nvCxnSpPr>
        <xdr:cNvPr id="81" name="Gerade Verbindung mit Pfeil 36">
          <a:extLst>
            <a:ext uri="{FF2B5EF4-FFF2-40B4-BE49-F238E27FC236}">
              <a16:creationId xmlns:a16="http://schemas.microsoft.com/office/drawing/2014/main" id="{00000000-0008-0000-0700-000051000000}"/>
            </a:ext>
          </a:extLst>
        </xdr:cNvPr>
        <xdr:cNvCxnSpPr>
          <a:cxnSpLocks/>
        </xdr:cNvCxnSpPr>
      </xdr:nvCxnSpPr>
      <xdr:spPr>
        <a:xfrm>
          <a:off x="13395293" y="11018301"/>
          <a:ext cx="2047319" cy="0"/>
        </a:xfrm>
        <a:prstGeom prst="straightConnector1">
          <a:avLst/>
        </a:prstGeom>
        <a:ln>
          <a:solidFill>
            <a:srgbClr val="12355B"/>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696555</xdr:colOff>
      <xdr:row>46</xdr:row>
      <xdr:rowOff>132338</xdr:rowOff>
    </xdr:from>
    <xdr:to>
      <xdr:col>3</xdr:col>
      <xdr:colOff>601794</xdr:colOff>
      <xdr:row>46</xdr:row>
      <xdr:rowOff>140242</xdr:rowOff>
    </xdr:to>
    <xdr:cxnSp macro="">
      <xdr:nvCxnSpPr>
        <xdr:cNvPr id="82" name="Gerade Verbindung mit Pfeil 37">
          <a:extLst>
            <a:ext uri="{FF2B5EF4-FFF2-40B4-BE49-F238E27FC236}">
              <a16:creationId xmlns:a16="http://schemas.microsoft.com/office/drawing/2014/main" id="{00000000-0008-0000-0700-000052000000}"/>
            </a:ext>
          </a:extLst>
        </xdr:cNvPr>
        <xdr:cNvCxnSpPr>
          <a:cxnSpLocks/>
        </xdr:cNvCxnSpPr>
      </xdr:nvCxnSpPr>
      <xdr:spPr>
        <a:xfrm flipV="1">
          <a:off x="1253401" y="3110000"/>
          <a:ext cx="2918070" cy="7904"/>
        </a:xfrm>
        <a:prstGeom prst="straightConnector1">
          <a:avLst/>
        </a:prstGeom>
        <a:ln>
          <a:solidFill>
            <a:srgbClr val="12355B"/>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856808</xdr:colOff>
      <xdr:row>43</xdr:row>
      <xdr:rowOff>132692</xdr:rowOff>
    </xdr:from>
    <xdr:to>
      <xdr:col>6</xdr:col>
      <xdr:colOff>856808</xdr:colOff>
      <xdr:row>87</xdr:row>
      <xdr:rowOff>13492</xdr:rowOff>
    </xdr:to>
    <xdr:cxnSp macro="">
      <xdr:nvCxnSpPr>
        <xdr:cNvPr id="84" name="Gerader Verbinder 9">
          <a:extLst>
            <a:ext uri="{FF2B5EF4-FFF2-40B4-BE49-F238E27FC236}">
              <a16:creationId xmlns:a16="http://schemas.microsoft.com/office/drawing/2014/main" id="{00000000-0008-0000-0700-000054000000}"/>
            </a:ext>
          </a:extLst>
        </xdr:cNvPr>
        <xdr:cNvCxnSpPr>
          <a:cxnSpLocks/>
        </xdr:cNvCxnSpPr>
      </xdr:nvCxnSpPr>
      <xdr:spPr>
        <a:xfrm>
          <a:off x="7194108" y="10533992"/>
          <a:ext cx="0" cy="7704000"/>
        </a:xfrm>
        <a:prstGeom prst="line">
          <a:avLst/>
        </a:prstGeom>
        <a:ln>
          <a:solidFill>
            <a:srgbClr val="420039"/>
          </a:solidFill>
          <a:prstDash val="dash"/>
          <a:headEnd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1330982</xdr:colOff>
      <xdr:row>43</xdr:row>
      <xdr:rowOff>109122</xdr:rowOff>
    </xdr:from>
    <xdr:to>
      <xdr:col>11</xdr:col>
      <xdr:colOff>1330982</xdr:colOff>
      <xdr:row>87</xdr:row>
      <xdr:rowOff>30222</xdr:rowOff>
    </xdr:to>
    <xdr:cxnSp macro="">
      <xdr:nvCxnSpPr>
        <xdr:cNvPr id="86" name="Gerader Verbinder 9">
          <a:extLst>
            <a:ext uri="{FF2B5EF4-FFF2-40B4-BE49-F238E27FC236}">
              <a16:creationId xmlns:a16="http://schemas.microsoft.com/office/drawing/2014/main" id="{00000000-0008-0000-0700-000056000000}"/>
            </a:ext>
          </a:extLst>
        </xdr:cNvPr>
        <xdr:cNvCxnSpPr>
          <a:cxnSpLocks/>
        </xdr:cNvCxnSpPr>
      </xdr:nvCxnSpPr>
      <xdr:spPr>
        <a:xfrm>
          <a:off x="13427732" y="10519947"/>
          <a:ext cx="0" cy="7884000"/>
        </a:xfrm>
        <a:prstGeom prst="line">
          <a:avLst/>
        </a:prstGeom>
        <a:ln>
          <a:solidFill>
            <a:srgbClr val="12355B"/>
          </a:solidFill>
          <a:prstDash val="dash"/>
          <a:headEnd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1269376</xdr:colOff>
      <xdr:row>52</xdr:row>
      <xdr:rowOff>3583</xdr:rowOff>
    </xdr:from>
    <xdr:to>
      <xdr:col>7</xdr:col>
      <xdr:colOff>1401276</xdr:colOff>
      <xdr:row>58</xdr:row>
      <xdr:rowOff>161223</xdr:rowOff>
    </xdr:to>
    <xdr:sp macro="" textlink="">
      <xdr:nvSpPr>
        <xdr:cNvPr id="119" name="Rechteck 42">
          <a:extLst>
            <a:ext uri="{FF2B5EF4-FFF2-40B4-BE49-F238E27FC236}">
              <a16:creationId xmlns:a16="http://schemas.microsoft.com/office/drawing/2014/main" id="{00000000-0008-0000-0700-000077000000}"/>
            </a:ext>
          </a:extLst>
        </xdr:cNvPr>
        <xdr:cNvSpPr/>
      </xdr:nvSpPr>
      <xdr:spPr>
        <a:xfrm>
          <a:off x="7613026" y="12157483"/>
          <a:ext cx="1427300" cy="1300640"/>
        </a:xfrm>
        <a:prstGeom prst="rect">
          <a:avLst/>
        </a:prstGeom>
        <a:solidFill>
          <a:schemeClr val="bg1"/>
        </a:solidFill>
        <a:ln w="12700">
          <a:solidFill>
            <a:srgbClr val="12355B"/>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r>
            <a:rPr lang="de-DE" sz="1100" b="1">
              <a:solidFill>
                <a:srgbClr val="12355B"/>
              </a:solidFill>
              <a:latin typeface="+mn-lt"/>
              <a:ea typeface="Calibri" panose="020F0502020204030204" pitchFamily="34" charset="0"/>
              <a:cs typeface="Calibri" panose="020F0502020204030204" pitchFamily="34" charset="0"/>
            </a:rPr>
            <a:t>Heat pump</a:t>
          </a:r>
        </a:p>
      </xdr:txBody>
    </xdr:sp>
    <xdr:clientData/>
  </xdr:twoCellAnchor>
  <xdr:twoCellAnchor>
    <xdr:from>
      <xdr:col>8</xdr:col>
      <xdr:colOff>430109</xdr:colOff>
      <xdr:row>52</xdr:row>
      <xdr:rowOff>1828</xdr:rowOff>
    </xdr:from>
    <xdr:to>
      <xdr:col>11</xdr:col>
      <xdr:colOff>1189209</xdr:colOff>
      <xdr:row>58</xdr:row>
      <xdr:rowOff>164548</xdr:rowOff>
    </xdr:to>
    <xdr:sp macro="" textlink="">
      <xdr:nvSpPr>
        <xdr:cNvPr id="128" name="Rechteck 3">
          <a:extLst>
            <a:ext uri="{FF2B5EF4-FFF2-40B4-BE49-F238E27FC236}">
              <a16:creationId xmlns:a16="http://schemas.microsoft.com/office/drawing/2014/main" id="{00000000-0008-0000-0700-000080000000}"/>
            </a:ext>
          </a:extLst>
        </xdr:cNvPr>
        <xdr:cNvSpPr/>
      </xdr:nvSpPr>
      <xdr:spPr>
        <a:xfrm>
          <a:off x="10412309" y="12155728"/>
          <a:ext cx="2873650" cy="1305720"/>
        </a:xfrm>
        <a:prstGeom prst="rect">
          <a:avLst/>
        </a:prstGeom>
        <a:solidFill>
          <a:schemeClr val="bg1"/>
        </a:solidFill>
        <a:ln w="12700">
          <a:solidFill>
            <a:srgbClr val="12355B"/>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r>
            <a:rPr lang="en-US" sz="1100" b="1" kern="1200">
              <a:solidFill>
                <a:srgbClr val="12355B"/>
              </a:solidFill>
              <a:effectLst/>
              <a:latin typeface="+mn-lt"/>
              <a:ea typeface="+mn-ea"/>
              <a:cs typeface="+mn-cs"/>
            </a:rPr>
            <a:t>HEx</a:t>
          </a:r>
          <a:r>
            <a:rPr lang="en-US" sz="1100" b="1" i="0" kern="1200" baseline="0">
              <a:solidFill>
                <a:srgbClr val="12355B"/>
              </a:solidFill>
              <a:effectLst/>
              <a:latin typeface="+mn-lt"/>
              <a:ea typeface="+mn-ea"/>
              <a:cs typeface="+mn-cs"/>
            </a:rPr>
            <a:t> 2: Heat exchanger &amp; piping </a:t>
          </a:r>
          <a:endParaRPr lang="de-DE" sz="1100" b="1">
            <a:solidFill>
              <a:srgbClr val="12355B"/>
            </a:solidFill>
            <a:latin typeface="+mn-lt"/>
            <a:cs typeface="Segoe UI" panose="020B0502040204020203" pitchFamily="34" charset="0"/>
          </a:endParaRPr>
        </a:p>
      </xdr:txBody>
    </xdr:sp>
    <xdr:clientData/>
  </xdr:twoCellAnchor>
  <xdr:twoCellAnchor>
    <xdr:from>
      <xdr:col>10</xdr:col>
      <xdr:colOff>321141</xdr:colOff>
      <xdr:row>53</xdr:row>
      <xdr:rowOff>105418</xdr:rowOff>
    </xdr:from>
    <xdr:to>
      <xdr:col>10</xdr:col>
      <xdr:colOff>825147</xdr:colOff>
      <xdr:row>58</xdr:row>
      <xdr:rowOff>55018</xdr:rowOff>
    </xdr:to>
    <xdr:grpSp>
      <xdr:nvGrpSpPr>
        <xdr:cNvPr id="129" name="Gruppieren 10">
          <a:extLst>
            <a:ext uri="{FF2B5EF4-FFF2-40B4-BE49-F238E27FC236}">
              <a16:creationId xmlns:a16="http://schemas.microsoft.com/office/drawing/2014/main" id="{00000000-0008-0000-0700-000081000000}"/>
            </a:ext>
          </a:extLst>
        </xdr:cNvPr>
        <xdr:cNvGrpSpPr/>
      </xdr:nvGrpSpPr>
      <xdr:grpSpPr>
        <a:xfrm rot="16200000">
          <a:off x="11119806" y="13163215"/>
          <a:ext cx="902100" cy="504006"/>
          <a:chOff x="2590830" y="1960584"/>
          <a:chExt cx="359940" cy="543448"/>
        </a:xfrm>
      </xdr:grpSpPr>
      <xdr:sp macro="" textlink="">
        <xdr:nvSpPr>
          <xdr:cNvPr id="130" name="Rechteck 40">
            <a:extLst>
              <a:ext uri="{FF2B5EF4-FFF2-40B4-BE49-F238E27FC236}">
                <a16:creationId xmlns:a16="http://schemas.microsoft.com/office/drawing/2014/main" id="{00000000-0008-0000-0700-000082000000}"/>
              </a:ext>
            </a:extLst>
          </xdr:cNvPr>
          <xdr:cNvSpPr/>
        </xdr:nvSpPr>
        <xdr:spPr>
          <a:xfrm>
            <a:off x="2590830" y="1960584"/>
            <a:ext cx="359940" cy="543448"/>
          </a:xfrm>
          <a:prstGeom prst="rect">
            <a:avLst/>
          </a:prstGeom>
          <a:solidFill>
            <a:schemeClr val="bg1"/>
          </a:solidFill>
          <a:ln w="12700">
            <a:solidFill>
              <a:srgbClr val="12355B"/>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endParaRPr lang="de-DE" sz="1200">
              <a:solidFill>
                <a:schemeClr val="tx1">
                  <a:lumMod val="75000"/>
                  <a:lumOff val="25000"/>
                </a:schemeClr>
              </a:solidFill>
              <a:latin typeface="+mn-lt"/>
              <a:cs typeface="Segoe UI" panose="020B0502040204020203" pitchFamily="34" charset="0"/>
            </a:endParaRPr>
          </a:p>
        </xdr:txBody>
      </xdr:sp>
      <xdr:cxnSp macro="">
        <xdr:nvCxnSpPr>
          <xdr:cNvPr id="131" name="Gerader Verbinder 41">
            <a:extLst>
              <a:ext uri="{FF2B5EF4-FFF2-40B4-BE49-F238E27FC236}">
                <a16:creationId xmlns:a16="http://schemas.microsoft.com/office/drawing/2014/main" id="{00000000-0008-0000-0700-000083000000}"/>
              </a:ext>
            </a:extLst>
          </xdr:cNvPr>
          <xdr:cNvCxnSpPr/>
        </xdr:nvCxnSpPr>
        <xdr:spPr>
          <a:xfrm rot="5400000" flipH="1" flipV="1">
            <a:off x="2507965" y="2051180"/>
            <a:ext cx="525845" cy="358715"/>
          </a:xfrm>
          <a:prstGeom prst="line">
            <a:avLst/>
          </a:prstGeom>
          <a:ln w="12700">
            <a:solidFill>
              <a:srgbClr val="12355B"/>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1411336</xdr:colOff>
      <xdr:row>57</xdr:row>
      <xdr:rowOff>33321</xdr:rowOff>
    </xdr:from>
    <xdr:to>
      <xdr:col>10</xdr:col>
      <xdr:colOff>339336</xdr:colOff>
      <xdr:row>57</xdr:row>
      <xdr:rowOff>33321</xdr:rowOff>
    </xdr:to>
    <xdr:cxnSp macro="">
      <xdr:nvCxnSpPr>
        <xdr:cNvPr id="123" name="Gerade Verbindung mit Pfeil 23">
          <a:extLst>
            <a:ext uri="{FF2B5EF4-FFF2-40B4-BE49-F238E27FC236}">
              <a16:creationId xmlns:a16="http://schemas.microsoft.com/office/drawing/2014/main" id="{00000000-0008-0000-0700-00007B000000}"/>
            </a:ext>
          </a:extLst>
        </xdr:cNvPr>
        <xdr:cNvCxnSpPr>
          <a:cxnSpLocks/>
        </xdr:cNvCxnSpPr>
      </xdr:nvCxnSpPr>
      <xdr:spPr>
        <a:xfrm>
          <a:off x="9065972" y="13599230"/>
          <a:ext cx="2495546" cy="0"/>
        </a:xfrm>
        <a:prstGeom prst="straightConnector1">
          <a:avLst/>
        </a:prstGeom>
        <a:ln w="12700">
          <a:solidFill>
            <a:srgbClr val="C0000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1264230</xdr:colOff>
      <xdr:row>54</xdr:row>
      <xdr:rowOff>104913</xdr:rowOff>
    </xdr:from>
    <xdr:to>
      <xdr:col>10</xdr:col>
      <xdr:colOff>324684</xdr:colOff>
      <xdr:row>54</xdr:row>
      <xdr:rowOff>106680</xdr:rowOff>
    </xdr:to>
    <xdr:cxnSp macro="">
      <xdr:nvCxnSpPr>
        <xdr:cNvPr id="127" name="Gerade Verbindung mit Pfeil 24">
          <a:extLst>
            <a:ext uri="{FF2B5EF4-FFF2-40B4-BE49-F238E27FC236}">
              <a16:creationId xmlns:a16="http://schemas.microsoft.com/office/drawing/2014/main" id="{00000000-0008-0000-0700-00007F000000}"/>
            </a:ext>
          </a:extLst>
        </xdr:cNvPr>
        <xdr:cNvCxnSpPr>
          <a:cxnSpLocks/>
        </xdr:cNvCxnSpPr>
      </xdr:nvCxnSpPr>
      <xdr:spPr>
        <a:xfrm flipH="1">
          <a:off x="8918866" y="13116640"/>
          <a:ext cx="2628000" cy="1767"/>
        </a:xfrm>
        <a:prstGeom prst="straightConnector1">
          <a:avLst/>
        </a:prstGeom>
        <a:ln w="12700">
          <a:solidFill>
            <a:srgbClr val="247BA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1623060</xdr:colOff>
      <xdr:row>56</xdr:row>
      <xdr:rowOff>89622</xdr:rowOff>
    </xdr:from>
    <xdr:to>
      <xdr:col>8</xdr:col>
      <xdr:colOff>258260</xdr:colOff>
      <xdr:row>58</xdr:row>
      <xdr:rowOff>155862</xdr:rowOff>
    </xdr:to>
    <xdr:sp macro="" textlink="">
      <xdr:nvSpPr>
        <xdr:cNvPr id="125" name="Rechteck 28">
          <a:extLst>
            <a:ext uri="{FF2B5EF4-FFF2-40B4-BE49-F238E27FC236}">
              <a16:creationId xmlns:a16="http://schemas.microsoft.com/office/drawing/2014/main" id="{00000000-0008-0000-0700-00007D000000}"/>
            </a:ext>
          </a:extLst>
        </xdr:cNvPr>
        <xdr:cNvSpPr/>
      </xdr:nvSpPr>
      <xdr:spPr>
        <a:xfrm>
          <a:off x="9268460" y="12802322"/>
          <a:ext cx="972000" cy="421840"/>
        </a:xfrm>
        <a:prstGeom prst="rect">
          <a:avLst/>
        </a:prstGeom>
        <a:solidFill>
          <a:schemeClr val="bg1"/>
        </a:solidFill>
        <a:ln w="12700">
          <a:solidFill>
            <a:srgbClr val="12355B"/>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12355B"/>
              </a:solidFill>
              <a:latin typeface="+mn-lt"/>
              <a:ea typeface="Calibri"/>
              <a:cs typeface="Calibri"/>
            </a:rPr>
            <a:t>Booster</a:t>
          </a:r>
          <a:endParaRPr lang="de-DE" sz="1100" b="1">
            <a:solidFill>
              <a:srgbClr val="12355B"/>
            </a:solidFill>
            <a:latin typeface="+mn-lt"/>
            <a:cs typeface="Segoe UI" panose="020B0502040204020203" pitchFamily="34" charset="0"/>
          </a:endParaRPr>
        </a:p>
      </xdr:txBody>
    </xdr:sp>
    <xdr:clientData/>
  </xdr:twoCellAnchor>
  <xdr:twoCellAnchor>
    <xdr:from>
      <xdr:col>12</xdr:col>
      <xdr:colOff>92735</xdr:colOff>
      <xdr:row>51</xdr:row>
      <xdr:rowOff>179952</xdr:rowOff>
    </xdr:from>
    <xdr:to>
      <xdr:col>13</xdr:col>
      <xdr:colOff>362609</xdr:colOff>
      <xdr:row>58</xdr:row>
      <xdr:rowOff>159792</xdr:rowOff>
    </xdr:to>
    <xdr:grpSp>
      <xdr:nvGrpSpPr>
        <xdr:cNvPr id="90" name="Group 89">
          <a:extLst>
            <a:ext uri="{FF2B5EF4-FFF2-40B4-BE49-F238E27FC236}">
              <a16:creationId xmlns:a16="http://schemas.microsoft.com/office/drawing/2014/main" id="{00000000-0008-0000-0700-00005A000000}"/>
            </a:ext>
          </a:extLst>
        </xdr:cNvPr>
        <xdr:cNvGrpSpPr/>
      </xdr:nvGrpSpPr>
      <xdr:grpSpPr>
        <a:xfrm>
          <a:off x="13449716" y="12657702"/>
          <a:ext cx="1661989" cy="1313340"/>
          <a:chOff x="10144787" y="1677311"/>
          <a:chExt cx="1382367" cy="976891"/>
        </a:xfrm>
      </xdr:grpSpPr>
      <xdr:sp macro="" textlink="">
        <xdr:nvSpPr>
          <xdr:cNvPr id="116" name="Rechteck 71">
            <a:extLst>
              <a:ext uri="{FF2B5EF4-FFF2-40B4-BE49-F238E27FC236}">
                <a16:creationId xmlns:a16="http://schemas.microsoft.com/office/drawing/2014/main" id="{00000000-0008-0000-0700-000074000000}"/>
              </a:ext>
            </a:extLst>
          </xdr:cNvPr>
          <xdr:cNvSpPr/>
        </xdr:nvSpPr>
        <xdr:spPr>
          <a:xfrm>
            <a:off x="10144787" y="1677311"/>
            <a:ext cx="1382367" cy="976891"/>
          </a:xfrm>
          <a:prstGeom prst="rect">
            <a:avLst/>
          </a:prstGeom>
          <a:solidFill>
            <a:schemeClr val="bg1"/>
          </a:solidFill>
          <a:ln w="12700">
            <a:solidFill>
              <a:srgbClr val="12355B"/>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de-DE"/>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r"/>
            <a:r>
              <a:rPr lang="de-AT" b="1" baseline="0">
                <a:solidFill>
                  <a:srgbClr val="12355B"/>
                </a:solidFill>
                <a:latin typeface="+mn-lt"/>
                <a:ea typeface="+mn-ea"/>
                <a:cs typeface="+mn-cs"/>
              </a:rPr>
              <a:t>DH grid / heat sink</a:t>
            </a:r>
            <a:endParaRPr lang="de-AT" b="1">
              <a:solidFill>
                <a:srgbClr val="12355B"/>
              </a:solidFill>
              <a:latin typeface="+mn-lt"/>
              <a:ea typeface="+mn-ea"/>
              <a:cs typeface="+mn-cs"/>
            </a:endParaRPr>
          </a:p>
        </xdr:txBody>
      </xdr:sp>
      <xdr:cxnSp macro="">
        <xdr:nvCxnSpPr>
          <xdr:cNvPr id="117" name="Gerade Verbindung mit Pfeil 11">
            <a:extLst>
              <a:ext uri="{FF2B5EF4-FFF2-40B4-BE49-F238E27FC236}">
                <a16:creationId xmlns:a16="http://schemas.microsoft.com/office/drawing/2014/main" id="{00000000-0008-0000-0700-000075000000}"/>
              </a:ext>
            </a:extLst>
          </xdr:cNvPr>
          <xdr:cNvCxnSpPr>
            <a:cxnSpLocks/>
          </xdr:cNvCxnSpPr>
        </xdr:nvCxnSpPr>
        <xdr:spPr>
          <a:xfrm flipV="1">
            <a:off x="10292611" y="1863282"/>
            <a:ext cx="0" cy="669868"/>
          </a:xfrm>
          <a:prstGeom prst="straightConnector1">
            <a:avLst/>
          </a:prstGeom>
          <a:ln w="5715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8" name="Gerade Verbindung mit Pfeil 12">
            <a:extLst>
              <a:ext uri="{FF2B5EF4-FFF2-40B4-BE49-F238E27FC236}">
                <a16:creationId xmlns:a16="http://schemas.microsoft.com/office/drawing/2014/main" id="{00000000-0008-0000-0700-000076000000}"/>
              </a:ext>
            </a:extLst>
          </xdr:cNvPr>
          <xdr:cNvCxnSpPr>
            <a:cxnSpLocks/>
          </xdr:cNvCxnSpPr>
        </xdr:nvCxnSpPr>
        <xdr:spPr>
          <a:xfrm>
            <a:off x="10427505" y="1863282"/>
            <a:ext cx="0" cy="669868"/>
          </a:xfrm>
          <a:prstGeom prst="straightConnector1">
            <a:avLst/>
          </a:prstGeom>
          <a:ln w="57150">
            <a:solidFill>
              <a:srgbClr val="247BA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831353</xdr:colOff>
      <xdr:row>57</xdr:row>
      <xdr:rowOff>33321</xdr:rowOff>
    </xdr:from>
    <xdr:to>
      <xdr:col>12</xdr:col>
      <xdr:colOff>218353</xdr:colOff>
      <xdr:row>57</xdr:row>
      <xdr:rowOff>33321</xdr:rowOff>
    </xdr:to>
    <xdr:cxnSp macro="">
      <xdr:nvCxnSpPr>
        <xdr:cNvPr id="92" name="Gerade Verbindung mit Pfeil 23">
          <a:extLst>
            <a:ext uri="{FF2B5EF4-FFF2-40B4-BE49-F238E27FC236}">
              <a16:creationId xmlns:a16="http://schemas.microsoft.com/office/drawing/2014/main" id="{00000000-0008-0000-0700-00005C000000}"/>
            </a:ext>
          </a:extLst>
        </xdr:cNvPr>
        <xdr:cNvCxnSpPr>
          <a:cxnSpLocks/>
        </xdr:cNvCxnSpPr>
      </xdr:nvCxnSpPr>
      <xdr:spPr>
        <a:xfrm>
          <a:off x="12053535" y="13599230"/>
          <a:ext cx="1800000" cy="0"/>
        </a:xfrm>
        <a:prstGeom prst="straightConnector1">
          <a:avLst/>
        </a:prstGeom>
        <a:ln w="12700">
          <a:solidFill>
            <a:srgbClr val="C0000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829696</xdr:colOff>
      <xdr:row>54</xdr:row>
      <xdr:rowOff>97881</xdr:rowOff>
    </xdr:from>
    <xdr:to>
      <xdr:col>12</xdr:col>
      <xdr:colOff>432696</xdr:colOff>
      <xdr:row>54</xdr:row>
      <xdr:rowOff>97881</xdr:rowOff>
    </xdr:to>
    <xdr:cxnSp macro="">
      <xdr:nvCxnSpPr>
        <xdr:cNvPr id="93" name="Gerade Verbindung mit Pfeil 24">
          <a:extLst>
            <a:ext uri="{FF2B5EF4-FFF2-40B4-BE49-F238E27FC236}">
              <a16:creationId xmlns:a16="http://schemas.microsoft.com/office/drawing/2014/main" id="{00000000-0008-0000-0700-00005D000000}"/>
            </a:ext>
          </a:extLst>
        </xdr:cNvPr>
        <xdr:cNvCxnSpPr>
          <a:cxnSpLocks/>
        </xdr:cNvCxnSpPr>
      </xdr:nvCxnSpPr>
      <xdr:spPr>
        <a:xfrm flipH="1">
          <a:off x="12031096" y="12454981"/>
          <a:ext cx="2016000" cy="0"/>
        </a:xfrm>
        <a:prstGeom prst="straightConnector1">
          <a:avLst/>
        </a:prstGeom>
        <a:ln w="12700">
          <a:solidFill>
            <a:srgbClr val="247BA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69367</xdr:colOff>
      <xdr:row>52</xdr:row>
      <xdr:rowOff>4724</xdr:rowOff>
    </xdr:from>
    <xdr:to>
      <xdr:col>6</xdr:col>
      <xdr:colOff>781900</xdr:colOff>
      <xdr:row>58</xdr:row>
      <xdr:rowOff>161404</xdr:rowOff>
    </xdr:to>
    <xdr:grpSp>
      <xdr:nvGrpSpPr>
        <xdr:cNvPr id="106" name="Group 105">
          <a:extLst>
            <a:ext uri="{FF2B5EF4-FFF2-40B4-BE49-F238E27FC236}">
              <a16:creationId xmlns:a16="http://schemas.microsoft.com/office/drawing/2014/main" id="{00000000-0008-0000-0700-00006A000000}"/>
            </a:ext>
          </a:extLst>
        </xdr:cNvPr>
        <xdr:cNvGrpSpPr/>
      </xdr:nvGrpSpPr>
      <xdr:grpSpPr>
        <a:xfrm>
          <a:off x="4238386" y="12672974"/>
          <a:ext cx="2808033" cy="1299680"/>
          <a:chOff x="1966572" y="2536514"/>
          <a:chExt cx="2217878" cy="922817"/>
        </a:xfrm>
      </xdr:grpSpPr>
      <xdr:sp macro="" textlink="">
        <xdr:nvSpPr>
          <xdr:cNvPr id="109" name="Rechteck 3">
            <a:extLst>
              <a:ext uri="{FF2B5EF4-FFF2-40B4-BE49-F238E27FC236}">
                <a16:creationId xmlns:a16="http://schemas.microsoft.com/office/drawing/2014/main" id="{00000000-0008-0000-0700-00006D000000}"/>
              </a:ext>
            </a:extLst>
          </xdr:cNvPr>
          <xdr:cNvSpPr/>
        </xdr:nvSpPr>
        <xdr:spPr>
          <a:xfrm>
            <a:off x="1966572" y="2536514"/>
            <a:ext cx="2217878" cy="922817"/>
          </a:xfrm>
          <a:prstGeom prst="rect">
            <a:avLst/>
          </a:prstGeom>
          <a:solidFill>
            <a:schemeClr val="bg1"/>
          </a:solidFill>
          <a:ln w="12700">
            <a:solidFill>
              <a:srgbClr val="12355B"/>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r>
              <a:rPr lang="en-US" sz="1100" b="1" i="0" u="none" strike="noStrike">
                <a:solidFill>
                  <a:srgbClr val="12355B"/>
                </a:solidFill>
                <a:latin typeface="+mn-lt"/>
                <a:ea typeface="Calibri"/>
                <a:cs typeface="Calibri"/>
              </a:rPr>
              <a:t>HEx 1: Heat exchanger &amp; piping </a:t>
            </a:r>
            <a:endParaRPr lang="de-DE" sz="1100" b="1">
              <a:solidFill>
                <a:srgbClr val="12355B"/>
              </a:solidFill>
              <a:latin typeface="+mn-lt"/>
              <a:cs typeface="Segoe UI" panose="020B0502040204020203" pitchFamily="34" charset="0"/>
            </a:endParaRPr>
          </a:p>
        </xdr:txBody>
      </xdr:sp>
      <xdr:grpSp>
        <xdr:nvGrpSpPr>
          <xdr:cNvPr id="110" name="Gruppieren 10">
            <a:extLst>
              <a:ext uri="{FF2B5EF4-FFF2-40B4-BE49-F238E27FC236}">
                <a16:creationId xmlns:a16="http://schemas.microsoft.com/office/drawing/2014/main" id="{00000000-0008-0000-0700-00006E000000}"/>
              </a:ext>
            </a:extLst>
          </xdr:cNvPr>
          <xdr:cNvGrpSpPr/>
        </xdr:nvGrpSpPr>
        <xdr:grpSpPr>
          <a:xfrm rot="16200000">
            <a:off x="2696180" y="2846977"/>
            <a:ext cx="637989" cy="394791"/>
            <a:chOff x="2617842" y="759543"/>
            <a:chExt cx="357948" cy="527779"/>
          </a:xfrm>
        </xdr:grpSpPr>
        <xdr:sp macro="" textlink="">
          <xdr:nvSpPr>
            <xdr:cNvPr id="111" name="Rechteck 40">
              <a:extLst>
                <a:ext uri="{FF2B5EF4-FFF2-40B4-BE49-F238E27FC236}">
                  <a16:creationId xmlns:a16="http://schemas.microsoft.com/office/drawing/2014/main" id="{00000000-0008-0000-0700-00006F000000}"/>
                </a:ext>
              </a:extLst>
            </xdr:cNvPr>
            <xdr:cNvSpPr/>
          </xdr:nvSpPr>
          <xdr:spPr>
            <a:xfrm>
              <a:off x="2619121" y="759543"/>
              <a:ext cx="356669" cy="525327"/>
            </a:xfrm>
            <a:prstGeom prst="rect">
              <a:avLst/>
            </a:prstGeom>
            <a:solidFill>
              <a:schemeClr val="bg1"/>
            </a:solidFill>
            <a:ln w="12700">
              <a:solidFill>
                <a:srgbClr val="12355B"/>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endParaRPr lang="de-DE" sz="1200">
                <a:solidFill>
                  <a:schemeClr val="tx1">
                    <a:lumMod val="75000"/>
                    <a:lumOff val="25000"/>
                  </a:schemeClr>
                </a:solidFill>
                <a:latin typeface="+mn-lt"/>
                <a:cs typeface="Segoe UI" panose="020B0502040204020203" pitchFamily="34" charset="0"/>
              </a:endParaRPr>
            </a:p>
          </xdr:txBody>
        </xdr:sp>
        <xdr:cxnSp macro="">
          <xdr:nvCxnSpPr>
            <xdr:cNvPr id="112" name="Gerader Verbinder 41">
              <a:extLst>
                <a:ext uri="{FF2B5EF4-FFF2-40B4-BE49-F238E27FC236}">
                  <a16:creationId xmlns:a16="http://schemas.microsoft.com/office/drawing/2014/main" id="{00000000-0008-0000-0700-000070000000}"/>
                </a:ext>
              </a:extLst>
            </xdr:cNvPr>
            <xdr:cNvCxnSpPr/>
          </xdr:nvCxnSpPr>
          <xdr:spPr>
            <a:xfrm rot="5400000" flipH="1" flipV="1">
              <a:off x="2534337" y="850145"/>
              <a:ext cx="520682" cy="353672"/>
            </a:xfrm>
            <a:prstGeom prst="line">
              <a:avLst/>
            </a:prstGeom>
            <a:ln w="12700">
              <a:solidFill>
                <a:srgbClr val="12355B"/>
              </a:solidFill>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5</xdr:col>
      <xdr:colOff>878734</xdr:colOff>
      <xdr:row>53</xdr:row>
      <xdr:rowOff>87586</xdr:rowOff>
    </xdr:from>
    <xdr:to>
      <xdr:col>6</xdr:col>
      <xdr:colOff>908258</xdr:colOff>
      <xdr:row>54</xdr:row>
      <xdr:rowOff>171173</xdr:rowOff>
    </xdr:to>
    <xdr:sp macro="" textlink="$S$4">
      <xdr:nvSpPr>
        <xdr:cNvPr id="98" name="Rechteck 42">
          <a:extLst>
            <a:ext uri="{FF2B5EF4-FFF2-40B4-BE49-F238E27FC236}">
              <a16:creationId xmlns:a16="http://schemas.microsoft.com/office/drawing/2014/main" id="{00000000-0008-0000-0700-000062000000}"/>
            </a:ext>
          </a:extLst>
        </xdr:cNvPr>
        <xdr:cNvSpPr/>
      </xdr:nvSpPr>
      <xdr:spPr>
        <a:xfrm>
          <a:off x="5664094" y="12431986"/>
          <a:ext cx="1545904" cy="266467"/>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E521190E-7038-4118-8829-700F0FAF7267}"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source HP, out: 28 °C</a:t>
          </a:fld>
          <a:endParaRPr lang="de-DE" sz="900" b="0" i="0" u="none" strike="noStrike" kern="1200">
            <a:solidFill>
              <a:srgbClr val="000000"/>
            </a:solidFill>
            <a:effectLst/>
            <a:latin typeface="+mn-lt"/>
            <a:ea typeface="Calibri"/>
            <a:cs typeface="Calibri"/>
          </a:endParaRPr>
        </a:p>
      </xdr:txBody>
    </xdr:sp>
    <xdr:clientData/>
  </xdr:twoCellAnchor>
  <xdr:twoCellAnchor>
    <xdr:from>
      <xdr:col>8</xdr:col>
      <xdr:colOff>354862</xdr:colOff>
      <xdr:row>55</xdr:row>
      <xdr:rowOff>112763</xdr:rowOff>
    </xdr:from>
    <xdr:to>
      <xdr:col>10</xdr:col>
      <xdr:colOff>380999</xdr:colOff>
      <xdr:row>57</xdr:row>
      <xdr:rowOff>76315</xdr:rowOff>
    </xdr:to>
    <xdr:sp macro="" textlink="$S$8">
      <xdr:nvSpPr>
        <xdr:cNvPr id="99" name="Rechteck 42">
          <a:extLst>
            <a:ext uri="{FF2B5EF4-FFF2-40B4-BE49-F238E27FC236}">
              <a16:creationId xmlns:a16="http://schemas.microsoft.com/office/drawing/2014/main" id="{00000000-0008-0000-0700-000063000000}"/>
            </a:ext>
          </a:extLst>
        </xdr:cNvPr>
        <xdr:cNvSpPr/>
      </xdr:nvSpPr>
      <xdr:spPr>
        <a:xfrm>
          <a:off x="10353226" y="13309218"/>
          <a:ext cx="1249955" cy="333006"/>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538936D0-6BFF-41ED-85F6-BDF35F55933F}"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sink HP, out: 80.1 °C</a:t>
          </a:fld>
          <a:endParaRPr lang="de-DE" sz="900" b="0" i="0" u="none" strike="noStrike" kern="1200">
            <a:solidFill>
              <a:srgbClr val="000000"/>
            </a:solidFill>
            <a:effectLst/>
            <a:latin typeface="+mn-lt"/>
            <a:ea typeface="Calibri"/>
            <a:cs typeface="Calibri"/>
          </a:endParaRPr>
        </a:p>
      </xdr:txBody>
    </xdr:sp>
    <xdr:clientData/>
  </xdr:twoCellAnchor>
  <xdr:twoCellAnchor>
    <xdr:from>
      <xdr:col>8</xdr:col>
      <xdr:colOff>325105</xdr:colOff>
      <xdr:row>53</xdr:row>
      <xdr:rowOff>79805</xdr:rowOff>
    </xdr:from>
    <xdr:to>
      <xdr:col>10</xdr:col>
      <xdr:colOff>278431</xdr:colOff>
      <xdr:row>55</xdr:row>
      <xdr:rowOff>97142</xdr:rowOff>
    </xdr:to>
    <xdr:sp macro="" textlink="$S$7">
      <xdr:nvSpPr>
        <xdr:cNvPr id="100" name="Rechteck 42">
          <a:extLst>
            <a:ext uri="{FF2B5EF4-FFF2-40B4-BE49-F238E27FC236}">
              <a16:creationId xmlns:a16="http://schemas.microsoft.com/office/drawing/2014/main" id="{00000000-0008-0000-0700-000064000000}"/>
            </a:ext>
          </a:extLst>
        </xdr:cNvPr>
        <xdr:cNvSpPr/>
      </xdr:nvSpPr>
      <xdr:spPr>
        <a:xfrm>
          <a:off x="10307305" y="12259105"/>
          <a:ext cx="1172526" cy="372937"/>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AB535416-F62D-4B7F-9EA7-9DDCD038A244}"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sink HP, in: 48 °C</a:t>
          </a:fld>
          <a:endParaRPr lang="de-DE" sz="900" b="0" i="0" u="none" strike="noStrike" kern="1200">
            <a:solidFill>
              <a:srgbClr val="000000"/>
            </a:solidFill>
            <a:effectLst/>
            <a:latin typeface="+mn-lt"/>
            <a:ea typeface="Calibri"/>
            <a:cs typeface="Calibri"/>
          </a:endParaRPr>
        </a:p>
      </xdr:txBody>
    </xdr:sp>
    <xdr:clientData/>
  </xdr:twoCellAnchor>
  <xdr:twoCellAnchor>
    <xdr:from>
      <xdr:col>7</xdr:col>
      <xdr:colOff>45938</xdr:colOff>
      <xdr:row>55</xdr:row>
      <xdr:rowOff>66583</xdr:rowOff>
    </xdr:from>
    <xdr:to>
      <xdr:col>7</xdr:col>
      <xdr:colOff>1312330</xdr:colOff>
      <xdr:row>56</xdr:row>
      <xdr:rowOff>172194</xdr:rowOff>
    </xdr:to>
    <xdr:sp macro="" textlink="$S$25">
      <xdr:nvSpPr>
        <xdr:cNvPr id="101" name="Rechteck 42">
          <a:extLst>
            <a:ext uri="{FF2B5EF4-FFF2-40B4-BE49-F238E27FC236}">
              <a16:creationId xmlns:a16="http://schemas.microsoft.com/office/drawing/2014/main" id="{00000000-0008-0000-0700-000065000000}"/>
            </a:ext>
          </a:extLst>
        </xdr:cNvPr>
        <xdr:cNvSpPr/>
      </xdr:nvSpPr>
      <xdr:spPr>
        <a:xfrm>
          <a:off x="7700574" y="13263038"/>
          <a:ext cx="1266392" cy="290338"/>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8FCFAF67-D7EB-4831-B315-377C89A373DE}"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Annual SCOP heat pump: 3.44</a:t>
          </a:fld>
          <a:endParaRPr lang="de-DE" sz="900" b="0" kern="1200">
            <a:solidFill>
              <a:srgbClr val="3F816D"/>
            </a:solidFill>
            <a:effectLst/>
            <a:latin typeface="+mn-lt"/>
            <a:ea typeface="+mn-ea"/>
            <a:cs typeface="+mn-cs"/>
          </a:endParaRPr>
        </a:p>
      </xdr:txBody>
    </xdr:sp>
    <xdr:clientData/>
  </xdr:twoCellAnchor>
  <xdr:twoCellAnchor>
    <xdr:from>
      <xdr:col>3</xdr:col>
      <xdr:colOff>387933</xdr:colOff>
      <xdr:row>55</xdr:row>
      <xdr:rowOff>112763</xdr:rowOff>
    </xdr:from>
    <xdr:to>
      <xdr:col>5</xdr:col>
      <xdr:colOff>761647</xdr:colOff>
      <xdr:row>57</xdr:row>
      <xdr:rowOff>11546</xdr:rowOff>
    </xdr:to>
    <xdr:sp macro="" textlink="$S$5">
      <xdr:nvSpPr>
        <xdr:cNvPr id="22" name="Rechteck 42">
          <a:extLst>
            <a:ext uri="{FF2B5EF4-FFF2-40B4-BE49-F238E27FC236}">
              <a16:creationId xmlns:a16="http://schemas.microsoft.com/office/drawing/2014/main" id="{00000000-0008-0000-0700-000016000000}"/>
            </a:ext>
          </a:extLst>
        </xdr:cNvPr>
        <xdr:cNvSpPr/>
      </xdr:nvSpPr>
      <xdr:spPr>
        <a:xfrm>
          <a:off x="3955478" y="13309218"/>
          <a:ext cx="1597533" cy="268237"/>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FC42647E-3054-4352-8541-753FF7D7E3C8}"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source, in: 40 °C</a:t>
          </a:fld>
          <a:endParaRPr lang="de-DE" sz="900" b="0" i="0" u="none" strike="noStrike" kern="1200">
            <a:solidFill>
              <a:srgbClr val="000000"/>
            </a:solidFill>
            <a:effectLst/>
            <a:latin typeface="+mn-lt"/>
            <a:ea typeface="Calibri"/>
            <a:cs typeface="Calibri"/>
          </a:endParaRPr>
        </a:p>
      </xdr:txBody>
    </xdr:sp>
    <xdr:clientData/>
  </xdr:twoCellAnchor>
  <xdr:twoCellAnchor>
    <xdr:from>
      <xdr:col>7</xdr:col>
      <xdr:colOff>2105062</xdr:colOff>
      <xdr:row>54</xdr:row>
      <xdr:rowOff>102958</xdr:rowOff>
    </xdr:from>
    <xdr:to>
      <xdr:col>7</xdr:col>
      <xdr:colOff>2105841</xdr:colOff>
      <xdr:row>56</xdr:row>
      <xdr:rowOff>97198</xdr:rowOff>
    </xdr:to>
    <xdr:cxnSp macro="">
      <xdr:nvCxnSpPr>
        <xdr:cNvPr id="28" name="Gerade Verbindung mit Pfeil 24">
          <a:extLst>
            <a:ext uri="{FF2B5EF4-FFF2-40B4-BE49-F238E27FC236}">
              <a16:creationId xmlns:a16="http://schemas.microsoft.com/office/drawing/2014/main" id="{00000000-0008-0000-0700-00001C000000}"/>
            </a:ext>
          </a:extLst>
        </xdr:cNvPr>
        <xdr:cNvCxnSpPr>
          <a:cxnSpLocks/>
        </xdr:cNvCxnSpPr>
      </xdr:nvCxnSpPr>
      <xdr:spPr>
        <a:xfrm flipH="1">
          <a:off x="9744112" y="12637858"/>
          <a:ext cx="779" cy="375240"/>
        </a:xfrm>
        <a:prstGeom prst="straightConnector1">
          <a:avLst/>
        </a:prstGeom>
        <a:ln w="12700">
          <a:solidFill>
            <a:srgbClr val="247BA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423461</xdr:colOff>
      <xdr:row>47</xdr:row>
      <xdr:rowOff>67364</xdr:rowOff>
    </xdr:from>
    <xdr:to>
      <xdr:col>7</xdr:col>
      <xdr:colOff>30099</xdr:colOff>
      <xdr:row>58</xdr:row>
      <xdr:rowOff>159791</xdr:rowOff>
    </xdr:to>
    <xdr:grpSp>
      <xdr:nvGrpSpPr>
        <xdr:cNvPr id="64" name="Gruppieren 63">
          <a:extLst>
            <a:ext uri="{FF2B5EF4-FFF2-40B4-BE49-F238E27FC236}">
              <a16:creationId xmlns:a16="http://schemas.microsoft.com/office/drawing/2014/main" id="{7C01A68B-3A24-5FB8-B6BA-F71D1F704C05}"/>
            </a:ext>
          </a:extLst>
        </xdr:cNvPr>
        <xdr:cNvGrpSpPr/>
      </xdr:nvGrpSpPr>
      <xdr:grpSpPr>
        <a:xfrm>
          <a:off x="965653" y="11783114"/>
          <a:ext cx="6596523" cy="2187927"/>
          <a:chOff x="975911" y="11268764"/>
          <a:chExt cx="6692922" cy="2187927"/>
        </a:xfrm>
      </xdr:grpSpPr>
      <xdr:grpSp>
        <xdr:nvGrpSpPr>
          <xdr:cNvPr id="91" name="Group 90">
            <a:extLst>
              <a:ext uri="{FF2B5EF4-FFF2-40B4-BE49-F238E27FC236}">
                <a16:creationId xmlns:a16="http://schemas.microsoft.com/office/drawing/2014/main" id="{00000000-0008-0000-0700-00005B000000}"/>
              </a:ext>
            </a:extLst>
          </xdr:cNvPr>
          <xdr:cNvGrpSpPr/>
        </xdr:nvGrpSpPr>
        <xdr:grpSpPr>
          <a:xfrm>
            <a:off x="975911" y="12156052"/>
            <a:ext cx="2880000" cy="1300639"/>
            <a:chOff x="-151965" y="1747607"/>
            <a:chExt cx="2342104" cy="947799"/>
          </a:xfrm>
        </xdr:grpSpPr>
        <xdr:sp macro="" textlink="">
          <xdr:nvSpPr>
            <xdr:cNvPr id="113" name="Rechteck 6">
              <a:extLst>
                <a:ext uri="{FF2B5EF4-FFF2-40B4-BE49-F238E27FC236}">
                  <a16:creationId xmlns:a16="http://schemas.microsoft.com/office/drawing/2014/main" id="{00000000-0008-0000-0700-000071000000}"/>
                </a:ext>
              </a:extLst>
            </xdr:cNvPr>
            <xdr:cNvSpPr/>
          </xdr:nvSpPr>
          <xdr:spPr>
            <a:xfrm>
              <a:off x="-151965" y="1747607"/>
              <a:ext cx="2342104" cy="947799"/>
            </a:xfrm>
            <a:prstGeom prst="rect">
              <a:avLst/>
            </a:prstGeom>
            <a:solidFill>
              <a:schemeClr val="bg1"/>
            </a:solidFill>
            <a:ln w="12700">
              <a:solidFill>
                <a:srgbClr val="12355B"/>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r>
                <a:rPr lang="en-US" sz="1100" b="1" i="0" u="none" strike="noStrike">
                  <a:solidFill>
                    <a:srgbClr val="12355B"/>
                  </a:solidFill>
                  <a:latin typeface="+mn-lt"/>
                  <a:ea typeface="Calibri"/>
                  <a:cs typeface="Calibri"/>
                </a:rPr>
                <a:t>Data centre</a:t>
              </a:r>
              <a:r>
                <a:rPr lang="en-US" sz="1100" b="1" i="0" u="none" strike="noStrike" baseline="0">
                  <a:solidFill>
                    <a:srgbClr val="12355B"/>
                  </a:solidFill>
                  <a:latin typeface="+mn-lt"/>
                  <a:ea typeface="Calibri"/>
                  <a:cs typeface="Calibri"/>
                </a:rPr>
                <a:t> / waste heat source </a:t>
              </a:r>
              <a:endParaRPr lang="de-DE" sz="1200" b="1">
                <a:solidFill>
                  <a:srgbClr val="12355B"/>
                </a:solidFill>
                <a:latin typeface="+mn-lt"/>
                <a:cs typeface="Segoe UI" panose="020B0502040204020203" pitchFamily="34" charset="0"/>
              </a:endParaRPr>
            </a:p>
          </xdr:txBody>
        </xdr:sp>
        <xdr:cxnSp macro="">
          <xdr:nvCxnSpPr>
            <xdr:cNvPr id="114" name="Gerade Verbindung mit Pfeil 11">
              <a:extLst>
                <a:ext uri="{FF2B5EF4-FFF2-40B4-BE49-F238E27FC236}">
                  <a16:creationId xmlns:a16="http://schemas.microsoft.com/office/drawing/2014/main" id="{00000000-0008-0000-0700-000072000000}"/>
                </a:ext>
              </a:extLst>
            </xdr:cNvPr>
            <xdr:cNvCxnSpPr>
              <a:cxnSpLocks/>
            </xdr:cNvCxnSpPr>
          </xdr:nvCxnSpPr>
          <xdr:spPr>
            <a:xfrm flipV="1">
              <a:off x="1800864" y="1899687"/>
              <a:ext cx="0" cy="677000"/>
            </a:xfrm>
            <a:prstGeom prst="straightConnector1">
              <a:avLst/>
            </a:prstGeom>
            <a:ln w="5715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5" name="Gerade Verbindung mit Pfeil 12">
              <a:extLst>
                <a:ext uri="{FF2B5EF4-FFF2-40B4-BE49-F238E27FC236}">
                  <a16:creationId xmlns:a16="http://schemas.microsoft.com/office/drawing/2014/main" id="{00000000-0008-0000-0700-000073000000}"/>
                </a:ext>
              </a:extLst>
            </xdr:cNvPr>
            <xdr:cNvCxnSpPr>
              <a:cxnSpLocks/>
            </xdr:cNvCxnSpPr>
          </xdr:nvCxnSpPr>
          <xdr:spPr>
            <a:xfrm>
              <a:off x="1935745" y="1926409"/>
              <a:ext cx="0" cy="650425"/>
            </a:xfrm>
            <a:prstGeom prst="straightConnector1">
              <a:avLst/>
            </a:prstGeom>
            <a:ln w="57150">
              <a:solidFill>
                <a:srgbClr val="247BA0"/>
              </a:solidFill>
              <a:tailEnd type="triangle"/>
            </a:ln>
          </xdr:spPr>
          <xdr:style>
            <a:lnRef idx="1">
              <a:schemeClr val="accent1"/>
            </a:lnRef>
            <a:fillRef idx="0">
              <a:schemeClr val="accent1"/>
            </a:fillRef>
            <a:effectRef idx="0">
              <a:schemeClr val="accent1"/>
            </a:effectRef>
            <a:fontRef idx="minor">
              <a:schemeClr val="tx1"/>
            </a:fontRef>
          </xdr:style>
        </xdr:cxnSp>
      </xdr:grpSp>
      <xdr:grpSp>
        <xdr:nvGrpSpPr>
          <xdr:cNvPr id="11" name="Group 10">
            <a:extLst>
              <a:ext uri="{FF2B5EF4-FFF2-40B4-BE49-F238E27FC236}">
                <a16:creationId xmlns:a16="http://schemas.microsoft.com/office/drawing/2014/main" id="{857BE466-804D-AACF-EED2-609605F887CF}"/>
              </a:ext>
            </a:extLst>
          </xdr:cNvPr>
          <xdr:cNvGrpSpPr/>
        </xdr:nvGrpSpPr>
        <xdr:grpSpPr>
          <a:xfrm>
            <a:off x="975911" y="11268764"/>
            <a:ext cx="6692922" cy="807116"/>
            <a:chOff x="6676466" y="2245542"/>
            <a:chExt cx="3488225" cy="1136716"/>
          </a:xfrm>
        </xdr:grpSpPr>
        <xdr:sp macro="" textlink="$S$14">
          <xdr:nvSpPr>
            <xdr:cNvPr id="7" name="Rechteck 42">
              <a:extLst>
                <a:ext uri="{FF2B5EF4-FFF2-40B4-BE49-F238E27FC236}">
                  <a16:creationId xmlns:a16="http://schemas.microsoft.com/office/drawing/2014/main" id="{B7A902D3-38C7-4FAE-86F6-B127E9A5C09B}"/>
                </a:ext>
              </a:extLst>
            </xdr:cNvPr>
            <xdr:cNvSpPr/>
          </xdr:nvSpPr>
          <xdr:spPr>
            <a:xfrm>
              <a:off x="6676466" y="2841191"/>
              <a:ext cx="1501002" cy="541067"/>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39368264-BB6D-4122-8DCC-B5DA3331E9FC}" type="TxLink">
                <a:rPr lang="en-US" sz="800" b="1" i="0" u="none" strike="noStrike">
                  <a:solidFill>
                    <a:srgbClr val="12355B"/>
                  </a:solidFill>
                  <a:latin typeface="+mn-lt"/>
                  <a:ea typeface="Calibri"/>
                  <a:cs typeface="Calibri"/>
                </a:rPr>
                <a:pPr marL="0" indent="0" algn="ctr"/>
                <a:t>Negotiated price p_1: 2 [EUR/MWh_heat_provided_by_DC]</a:t>
              </a:fld>
              <a:endParaRPr lang="en-US" sz="800" b="1" i="0" u="none" strike="noStrike">
                <a:solidFill>
                  <a:srgbClr val="12355B"/>
                </a:solidFill>
                <a:latin typeface="+mn-lt"/>
                <a:ea typeface="Calibri"/>
                <a:cs typeface="Calibri"/>
              </a:endParaRPr>
            </a:p>
          </xdr:txBody>
        </xdr:sp>
        <xdr:cxnSp macro="">
          <xdr:nvCxnSpPr>
            <xdr:cNvPr id="8" name="Connector: Elbow 7">
              <a:extLst>
                <a:ext uri="{FF2B5EF4-FFF2-40B4-BE49-F238E27FC236}">
                  <a16:creationId xmlns:a16="http://schemas.microsoft.com/office/drawing/2014/main" id="{3C90551B-57AB-4C53-8DE5-2A72B49EC764}"/>
                </a:ext>
              </a:extLst>
            </xdr:cNvPr>
            <xdr:cNvCxnSpPr/>
          </xdr:nvCxnSpPr>
          <xdr:spPr>
            <a:xfrm flipV="1">
              <a:off x="8175873" y="2792432"/>
              <a:ext cx="1988818" cy="310549"/>
            </a:xfrm>
            <a:prstGeom prst="bentConnector3">
              <a:avLst>
                <a:gd name="adj1" fmla="val 100007"/>
              </a:avLst>
            </a:prstGeom>
            <a:ln w="12700">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sp macro="" textlink="$S$15">
          <xdr:nvSpPr>
            <xdr:cNvPr id="35" name="Rechteck 42">
              <a:extLst>
                <a:ext uri="{FF2B5EF4-FFF2-40B4-BE49-F238E27FC236}">
                  <a16:creationId xmlns:a16="http://schemas.microsoft.com/office/drawing/2014/main" id="{FD24E1EF-49A5-1B28-47D0-32EEF9316294}"/>
                </a:ext>
              </a:extLst>
            </xdr:cNvPr>
            <xdr:cNvSpPr/>
          </xdr:nvSpPr>
          <xdr:spPr>
            <a:xfrm>
              <a:off x="8406718" y="2245542"/>
              <a:ext cx="1472982" cy="52616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E6568C0A-040A-4BFE-B7BE-7CBB0F259324}" type="TxLink">
                <a:rPr lang="en-US" sz="1400" b="1" i="0" u="none" strike="noStrike">
                  <a:solidFill>
                    <a:srgbClr val="C00000"/>
                  </a:solidFill>
                  <a:latin typeface="+mn-lt"/>
                  <a:ea typeface="Calibri"/>
                  <a:cs typeface="Calibri"/>
                </a:rPr>
                <a:pPr marL="0" indent="0" algn="ctr"/>
                <a:t>Contract type: Take-or-pay</a:t>
              </a:fld>
              <a:endParaRPr lang="en-US" sz="1400" b="1" i="0" u="none" strike="noStrike">
                <a:solidFill>
                  <a:srgbClr val="C00000"/>
                </a:solidFill>
                <a:latin typeface="+mn-lt"/>
                <a:ea typeface="Calibri"/>
                <a:cs typeface="Calibri"/>
              </a:endParaRPr>
            </a:p>
          </xdr:txBody>
        </xdr:sp>
      </xdr:grpSp>
    </xdr:grpSp>
    <xdr:clientData/>
  </xdr:twoCellAnchor>
  <xdr:twoCellAnchor>
    <xdr:from>
      <xdr:col>5</xdr:col>
      <xdr:colOff>1063273</xdr:colOff>
      <xdr:row>54</xdr:row>
      <xdr:rowOff>120351</xdr:rowOff>
    </xdr:from>
    <xdr:to>
      <xdr:col>6</xdr:col>
      <xdr:colOff>1241873</xdr:colOff>
      <xdr:row>54</xdr:row>
      <xdr:rowOff>120351</xdr:rowOff>
    </xdr:to>
    <xdr:cxnSp macro="">
      <xdr:nvCxnSpPr>
        <xdr:cNvPr id="139" name="Gerade Verbindung mit Pfeil 24">
          <a:extLst>
            <a:ext uri="{FF2B5EF4-FFF2-40B4-BE49-F238E27FC236}">
              <a16:creationId xmlns:a16="http://schemas.microsoft.com/office/drawing/2014/main" id="{00000000-0008-0000-0700-00008B000000}"/>
            </a:ext>
          </a:extLst>
        </xdr:cNvPr>
        <xdr:cNvCxnSpPr>
          <a:cxnSpLocks/>
        </xdr:cNvCxnSpPr>
      </xdr:nvCxnSpPr>
      <xdr:spPr>
        <a:xfrm flipH="1">
          <a:off x="5851173" y="12477451"/>
          <a:ext cx="1728000" cy="0"/>
        </a:xfrm>
        <a:prstGeom prst="straightConnector1">
          <a:avLst/>
        </a:prstGeom>
        <a:ln w="12700">
          <a:solidFill>
            <a:srgbClr val="247BA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1067583</xdr:colOff>
      <xdr:row>57</xdr:row>
      <xdr:rowOff>33321</xdr:rowOff>
    </xdr:from>
    <xdr:to>
      <xdr:col>6</xdr:col>
      <xdr:colOff>1246183</xdr:colOff>
      <xdr:row>57</xdr:row>
      <xdr:rowOff>33942</xdr:rowOff>
    </xdr:to>
    <xdr:cxnSp macro="">
      <xdr:nvCxnSpPr>
        <xdr:cNvPr id="141" name="Gerade Verbindung mit Pfeil 23">
          <a:extLst>
            <a:ext uri="{FF2B5EF4-FFF2-40B4-BE49-F238E27FC236}">
              <a16:creationId xmlns:a16="http://schemas.microsoft.com/office/drawing/2014/main" id="{00000000-0008-0000-0700-00008D000000}"/>
            </a:ext>
          </a:extLst>
        </xdr:cNvPr>
        <xdr:cNvCxnSpPr>
          <a:cxnSpLocks/>
        </xdr:cNvCxnSpPr>
      </xdr:nvCxnSpPr>
      <xdr:spPr>
        <a:xfrm>
          <a:off x="5858947" y="13599230"/>
          <a:ext cx="1737236" cy="621"/>
        </a:xfrm>
        <a:prstGeom prst="straightConnector1">
          <a:avLst/>
        </a:prstGeom>
        <a:ln w="12700">
          <a:solidFill>
            <a:srgbClr val="C0000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423461</xdr:colOff>
      <xdr:row>47</xdr:row>
      <xdr:rowOff>29702</xdr:rowOff>
    </xdr:from>
    <xdr:to>
      <xdr:col>4</xdr:col>
      <xdr:colOff>78432</xdr:colOff>
      <xdr:row>49</xdr:row>
      <xdr:rowOff>34102</xdr:rowOff>
    </xdr:to>
    <xdr:grpSp>
      <xdr:nvGrpSpPr>
        <xdr:cNvPr id="16" name="Group 15">
          <a:extLst>
            <a:ext uri="{FF2B5EF4-FFF2-40B4-BE49-F238E27FC236}">
              <a16:creationId xmlns:a16="http://schemas.microsoft.com/office/drawing/2014/main" id="{F25FF90D-E2A7-B186-CFE1-294C1935A957}"/>
            </a:ext>
          </a:extLst>
        </xdr:cNvPr>
        <xdr:cNvGrpSpPr/>
      </xdr:nvGrpSpPr>
      <xdr:grpSpPr>
        <a:xfrm>
          <a:off x="965653" y="11745452"/>
          <a:ext cx="3281798" cy="385400"/>
          <a:chOff x="801050" y="3004472"/>
          <a:chExt cx="2470821" cy="452475"/>
        </a:xfrm>
      </xdr:grpSpPr>
      <xdr:sp macro="" textlink="$S$13">
        <xdr:nvSpPr>
          <xdr:cNvPr id="9" name="Rechteck 42">
            <a:extLst>
              <a:ext uri="{FF2B5EF4-FFF2-40B4-BE49-F238E27FC236}">
                <a16:creationId xmlns:a16="http://schemas.microsoft.com/office/drawing/2014/main" id="{BB99FDFC-1F82-435F-A641-FD7BF542DA15}"/>
              </a:ext>
            </a:extLst>
          </xdr:cNvPr>
          <xdr:cNvSpPr/>
        </xdr:nvSpPr>
        <xdr:spPr>
          <a:xfrm>
            <a:off x="801050" y="3004472"/>
            <a:ext cx="2133907" cy="452475"/>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C423003A-FE20-472B-9BD1-FDBD6B28BDD8}" type="TxLink">
              <a:rPr lang="en-US" sz="800" b="0" i="0" u="none" strike="noStrike">
                <a:solidFill>
                  <a:srgbClr val="12355B"/>
                </a:solidFill>
                <a:latin typeface="+mn-lt"/>
                <a:ea typeface="Calibri"/>
                <a:cs typeface="Calibri"/>
              </a:rPr>
              <a:pPr marL="0" indent="0" algn="ctr"/>
              <a:t>Price p_0 (paid to external entity): 0 [EUR/MWh_heat_provided_by_DC]</a:t>
            </a:fld>
            <a:endParaRPr lang="en-US" sz="800" b="0" i="0" u="none" strike="noStrike">
              <a:solidFill>
                <a:srgbClr val="12355B"/>
              </a:solidFill>
              <a:latin typeface="+mn-lt"/>
              <a:ea typeface="Calibri"/>
              <a:cs typeface="Calibri"/>
            </a:endParaRPr>
          </a:p>
        </xdr:txBody>
      </xdr:sp>
      <xdr:cxnSp macro="">
        <xdr:nvCxnSpPr>
          <xdr:cNvPr id="10" name="Connector: Elbow 9">
            <a:extLst>
              <a:ext uri="{FF2B5EF4-FFF2-40B4-BE49-F238E27FC236}">
                <a16:creationId xmlns:a16="http://schemas.microsoft.com/office/drawing/2014/main" id="{C19C9265-4634-44F1-8962-6DB2118CE654}"/>
              </a:ext>
            </a:extLst>
          </xdr:cNvPr>
          <xdr:cNvCxnSpPr/>
        </xdr:nvCxnSpPr>
        <xdr:spPr>
          <a:xfrm>
            <a:off x="2945896" y="3118576"/>
            <a:ext cx="325975" cy="221899"/>
          </a:xfrm>
          <a:prstGeom prst="bentConnector3">
            <a:avLst>
              <a:gd name="adj1" fmla="val 50000"/>
            </a:avLst>
          </a:prstGeom>
          <a:ln w="12700">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643135</xdr:colOff>
      <xdr:row>54</xdr:row>
      <xdr:rowOff>56777</xdr:rowOff>
    </xdr:from>
    <xdr:to>
      <xdr:col>2</xdr:col>
      <xdr:colOff>16773</xdr:colOff>
      <xdr:row>55</xdr:row>
      <xdr:rowOff>106851</xdr:rowOff>
    </xdr:to>
    <xdr:sp macro="" textlink="$S$2">
      <xdr:nvSpPr>
        <xdr:cNvPr id="69" name="TextBox 68">
          <a:extLst>
            <a:ext uri="{FF2B5EF4-FFF2-40B4-BE49-F238E27FC236}">
              <a16:creationId xmlns:a16="http://schemas.microsoft.com/office/drawing/2014/main" id="{00000000-0008-0000-0700-000045000000}"/>
            </a:ext>
          </a:extLst>
        </xdr:cNvPr>
        <xdr:cNvSpPr txBox="1"/>
      </xdr:nvSpPr>
      <xdr:spPr>
        <a:xfrm>
          <a:off x="1199726" y="4714916"/>
          <a:ext cx="1772282" cy="2356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4B7882EB-528E-4115-AACA-B48D03354A5B}" type="TxLink">
            <a:rPr lang="en-US" sz="1100" b="0" i="0" u="none" strike="noStrike">
              <a:solidFill>
                <a:srgbClr val="000000"/>
              </a:solidFill>
              <a:latin typeface="+mn-lt"/>
              <a:ea typeface="Calibri"/>
              <a:cs typeface="Calibri"/>
            </a:rPr>
            <a:pPr algn="ctr"/>
            <a:t> </a:t>
          </a:fld>
          <a:endParaRPr lang="en-US" sz="1000" b="0" i="0" u="none" strike="noStrike">
            <a:solidFill>
              <a:srgbClr val="12355B"/>
            </a:solidFill>
            <a:latin typeface="+mn-lt"/>
            <a:ea typeface="Calibri"/>
            <a:cs typeface="Calibri"/>
          </a:endParaRPr>
        </a:p>
      </xdr:txBody>
    </xdr:sp>
    <xdr:clientData/>
  </xdr:twoCellAnchor>
  <xdr:twoCellAnchor>
    <xdr:from>
      <xdr:col>1</xdr:col>
      <xdr:colOff>427892</xdr:colOff>
      <xdr:row>55</xdr:row>
      <xdr:rowOff>39675</xdr:rowOff>
    </xdr:from>
    <xdr:to>
      <xdr:col>2</xdr:col>
      <xdr:colOff>225669</xdr:colOff>
      <xdr:row>57</xdr:row>
      <xdr:rowOff>123092</xdr:rowOff>
    </xdr:to>
    <xdr:sp macro="" textlink="$S$3">
      <xdr:nvSpPr>
        <xdr:cNvPr id="72" name="TextBox 71">
          <a:extLst>
            <a:ext uri="{FF2B5EF4-FFF2-40B4-BE49-F238E27FC236}">
              <a16:creationId xmlns:a16="http://schemas.microsoft.com/office/drawing/2014/main" id="{00000000-0008-0000-0700-000048000000}"/>
            </a:ext>
          </a:extLst>
        </xdr:cNvPr>
        <xdr:cNvSpPr txBox="1"/>
      </xdr:nvSpPr>
      <xdr:spPr>
        <a:xfrm>
          <a:off x="984738" y="13181244"/>
          <a:ext cx="2318239" cy="446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67177424-8D64-459E-A698-5CB13BE6E4E8}" type="TxLink">
            <a:rPr lang="en-US" sz="1000" b="0" i="0" u="none" strike="noStrike">
              <a:solidFill>
                <a:srgbClr val="000000"/>
              </a:solidFill>
              <a:latin typeface="Calibri"/>
              <a:ea typeface="Calibri"/>
              <a:cs typeface="Calibri"/>
            </a:rPr>
            <a:pPr algn="ctr"/>
            <a:t>Max. waste heat load available: 2 MW</a:t>
          </a:fld>
          <a:endParaRPr lang="en-US" sz="900" b="0" i="0" u="none" strike="noStrike" baseline="-25000">
            <a:solidFill>
              <a:srgbClr val="12355B"/>
            </a:solidFill>
            <a:latin typeface="+mn-lt"/>
            <a:ea typeface="Calibri"/>
            <a:cs typeface="Calibri"/>
          </a:endParaRPr>
        </a:p>
      </xdr:txBody>
    </xdr:sp>
    <xdr:clientData/>
  </xdr:twoCellAnchor>
  <xdr:twoCellAnchor>
    <xdr:from>
      <xdr:col>1</xdr:col>
      <xdr:colOff>424798</xdr:colOff>
      <xdr:row>66</xdr:row>
      <xdr:rowOff>106645</xdr:rowOff>
    </xdr:from>
    <xdr:to>
      <xdr:col>3</xdr:col>
      <xdr:colOff>294898</xdr:colOff>
      <xdr:row>78</xdr:row>
      <xdr:rowOff>133045</xdr:rowOff>
    </xdr:to>
    <xdr:sp macro="" textlink="">
      <xdr:nvSpPr>
        <xdr:cNvPr id="32813" name="Rechteck 71">
          <a:extLst>
            <a:ext uri="{FF2B5EF4-FFF2-40B4-BE49-F238E27FC236}">
              <a16:creationId xmlns:a16="http://schemas.microsoft.com/office/drawing/2014/main" id="{C990BCB7-F559-4B51-861A-2F48B9D6A3B6}"/>
            </a:ext>
          </a:extLst>
        </xdr:cNvPr>
        <xdr:cNvSpPr/>
      </xdr:nvSpPr>
      <xdr:spPr>
        <a:xfrm>
          <a:off x="977248" y="14927545"/>
          <a:ext cx="2880000" cy="2312400"/>
        </a:xfrm>
        <a:prstGeom prst="rect">
          <a:avLst/>
        </a:prstGeom>
        <a:solidFill>
          <a:schemeClr val="bg1"/>
        </a:solidFill>
        <a:ln w="12700">
          <a:solidFill>
            <a:srgbClr val="12355B"/>
          </a:solidFill>
        </a:ln>
      </xdr:spPr>
      <xdr:style>
        <a:lnRef idx="2">
          <a:schemeClr val="accent1">
            <a:shade val="15000"/>
          </a:schemeClr>
        </a:lnRef>
        <a:fillRef idx="1">
          <a:schemeClr val="accent1"/>
        </a:fillRef>
        <a:effectRef idx="0">
          <a:schemeClr val="accent1"/>
        </a:effectRef>
        <a:fontRef idx="minor">
          <a:schemeClr val="lt1"/>
        </a:fontRef>
      </xdr:style>
      <xdr:txBody>
        <a:bodyPr wrap="square" lIns="36000" rIns="36000" rtlCol="0" anchor="t"/>
        <a:lstStyle>
          <a:defPPr>
            <a:defRPr lang="de-DE"/>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ctr"/>
          <a:r>
            <a:rPr lang="de-AT" b="1">
              <a:solidFill>
                <a:srgbClr val="12355B"/>
              </a:solidFill>
              <a:latin typeface="+mn-lt"/>
              <a:ea typeface="+mn-ea"/>
              <a:cs typeface="+mn-cs"/>
            </a:rPr>
            <a:t>Costs paid</a:t>
          </a:r>
          <a:r>
            <a:rPr lang="de-AT" b="1" baseline="0">
              <a:solidFill>
                <a:srgbClr val="12355B"/>
              </a:solidFill>
              <a:latin typeface="+mn-lt"/>
              <a:ea typeface="+mn-ea"/>
              <a:cs typeface="+mn-cs"/>
            </a:rPr>
            <a:t> by </a:t>
          </a:r>
          <a:r>
            <a:rPr lang="de-AT" b="1">
              <a:solidFill>
                <a:srgbClr val="12355B"/>
              </a:solidFill>
              <a:latin typeface="+mn-lt"/>
              <a:ea typeface="+mn-ea"/>
              <a:cs typeface="+mn-cs"/>
            </a:rPr>
            <a:t>Contractor 2 / DC operator</a:t>
          </a:r>
        </a:p>
      </xdr:txBody>
    </xdr:sp>
    <xdr:clientData/>
  </xdr:twoCellAnchor>
  <xdr:twoCellAnchor>
    <xdr:from>
      <xdr:col>6</xdr:col>
      <xdr:colOff>1284567</xdr:colOff>
      <xdr:row>66</xdr:row>
      <xdr:rowOff>93606</xdr:rowOff>
    </xdr:from>
    <xdr:to>
      <xdr:col>8</xdr:col>
      <xdr:colOff>519667</xdr:colOff>
      <xdr:row>76</xdr:row>
      <xdr:rowOff>38100</xdr:rowOff>
    </xdr:to>
    <xdr:sp macro="" textlink="">
      <xdr:nvSpPr>
        <xdr:cNvPr id="32815" name="Rechteck 71">
          <a:extLst>
            <a:ext uri="{FF2B5EF4-FFF2-40B4-BE49-F238E27FC236}">
              <a16:creationId xmlns:a16="http://schemas.microsoft.com/office/drawing/2014/main" id="{1CC21919-62C5-F68A-8471-5442001B0285}"/>
            </a:ext>
          </a:extLst>
        </xdr:cNvPr>
        <xdr:cNvSpPr/>
      </xdr:nvSpPr>
      <xdr:spPr>
        <a:xfrm>
          <a:off x="7618692" y="15457431"/>
          <a:ext cx="2883175" cy="1754244"/>
        </a:xfrm>
        <a:prstGeom prst="rect">
          <a:avLst/>
        </a:prstGeom>
        <a:solidFill>
          <a:schemeClr val="bg1"/>
        </a:solidFill>
        <a:ln w="12700">
          <a:solidFill>
            <a:srgbClr val="12355B"/>
          </a:solidFill>
        </a:ln>
      </xdr:spPr>
      <xdr:style>
        <a:lnRef idx="2">
          <a:schemeClr val="accent1">
            <a:shade val="15000"/>
          </a:schemeClr>
        </a:lnRef>
        <a:fillRef idx="1">
          <a:schemeClr val="accent1"/>
        </a:fillRef>
        <a:effectRef idx="0">
          <a:schemeClr val="accent1"/>
        </a:effectRef>
        <a:fontRef idx="minor">
          <a:schemeClr val="lt1"/>
        </a:fontRef>
      </xdr:style>
      <xdr:txBody>
        <a:bodyPr wrap="square" lIns="36000" rIns="36000" rtlCol="0" anchor="t"/>
        <a:lstStyle>
          <a:defPPr>
            <a:defRPr lang="de-DE"/>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ctr"/>
          <a:r>
            <a:rPr lang="de-AT" b="1">
              <a:solidFill>
                <a:srgbClr val="12355B"/>
              </a:solidFill>
              <a:latin typeface="+mn-lt"/>
              <a:ea typeface="+mn-ea"/>
              <a:cs typeface="+mn-cs"/>
            </a:rPr>
            <a:t>Costs paid</a:t>
          </a:r>
          <a:r>
            <a:rPr lang="de-AT" b="1" baseline="0">
              <a:solidFill>
                <a:srgbClr val="12355B"/>
              </a:solidFill>
              <a:latin typeface="+mn-lt"/>
              <a:ea typeface="+mn-ea"/>
              <a:cs typeface="+mn-cs"/>
            </a:rPr>
            <a:t> by </a:t>
          </a:r>
          <a:r>
            <a:rPr lang="de-AT" b="1">
              <a:solidFill>
                <a:srgbClr val="12355B"/>
              </a:solidFill>
              <a:latin typeface="+mn-lt"/>
              <a:ea typeface="+mn-ea"/>
              <a:cs typeface="+mn-cs"/>
            </a:rPr>
            <a:t>Contractor 1 / DH operator</a:t>
          </a:r>
        </a:p>
      </xdr:txBody>
    </xdr:sp>
    <xdr:clientData/>
  </xdr:twoCellAnchor>
  <xdr:twoCellAnchor>
    <xdr:from>
      <xdr:col>4</xdr:col>
      <xdr:colOff>261540</xdr:colOff>
      <xdr:row>68</xdr:row>
      <xdr:rowOff>3933</xdr:rowOff>
    </xdr:from>
    <xdr:to>
      <xdr:col>6</xdr:col>
      <xdr:colOff>622540</xdr:colOff>
      <xdr:row>70</xdr:row>
      <xdr:rowOff>44333</xdr:rowOff>
    </xdr:to>
    <xdr:sp macro="" textlink="$S$50">
      <xdr:nvSpPr>
        <xdr:cNvPr id="6" name="Rechteck 2">
          <a:extLst>
            <a:ext uri="{FF2B5EF4-FFF2-40B4-BE49-F238E27FC236}">
              <a16:creationId xmlns:a16="http://schemas.microsoft.com/office/drawing/2014/main" id="{AED06E95-A6DD-5DA6-D56F-E1978103C5EA}"/>
            </a:ext>
          </a:extLst>
        </xdr:cNvPr>
        <xdr:cNvSpPr/>
      </xdr:nvSpPr>
      <xdr:spPr>
        <a:xfrm>
          <a:off x="4433490" y="15205833"/>
          <a:ext cx="2532700" cy="42140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marL="0" indent="0" algn="ctr"/>
          <a:fld id="{7FDABDD6-9944-4651-9D3B-E242DCA24C7B}" type="TxLink">
            <a:rPr lang="en-US" sz="900" b="0" i="0" u="none" strike="noStrike">
              <a:solidFill>
                <a:srgbClr val="12355B"/>
              </a:solidFill>
              <a:latin typeface="+mn-lt"/>
              <a:ea typeface="Calibri"/>
              <a:cs typeface="Calibri"/>
            </a:rPr>
            <a:pPr marL="0" indent="0" algn="ctr"/>
            <a:t>Investments (considering subsidies): 676.1 kEUR (lump-sum)</a:t>
          </a:fld>
          <a:endParaRPr lang="de-DE" sz="900" b="0" i="0" u="none" strike="noStrike">
            <a:solidFill>
              <a:srgbClr val="12355B"/>
            </a:solidFill>
            <a:latin typeface="+mn-lt"/>
            <a:ea typeface="Calibri"/>
            <a:cs typeface="Calibri"/>
          </a:endParaRPr>
        </a:p>
      </xdr:txBody>
    </xdr:sp>
    <xdr:clientData/>
  </xdr:twoCellAnchor>
  <xdr:twoCellAnchor>
    <xdr:from>
      <xdr:col>4</xdr:col>
      <xdr:colOff>261541</xdr:colOff>
      <xdr:row>70</xdr:row>
      <xdr:rowOff>119889</xdr:rowOff>
    </xdr:from>
    <xdr:to>
      <xdr:col>6</xdr:col>
      <xdr:colOff>622541</xdr:colOff>
      <xdr:row>72</xdr:row>
      <xdr:rowOff>160289</xdr:rowOff>
    </xdr:to>
    <xdr:sp macro="" textlink="$S$51">
      <xdr:nvSpPr>
        <xdr:cNvPr id="71" name="Rechteck 2">
          <a:extLst>
            <a:ext uri="{FF2B5EF4-FFF2-40B4-BE49-F238E27FC236}">
              <a16:creationId xmlns:a16="http://schemas.microsoft.com/office/drawing/2014/main" id="{601C3874-D064-91E2-D6D8-558DC2B92CD5}"/>
            </a:ext>
          </a:extLst>
        </xdr:cNvPr>
        <xdr:cNvSpPr/>
      </xdr:nvSpPr>
      <xdr:spPr>
        <a:xfrm>
          <a:off x="4433491" y="15702789"/>
          <a:ext cx="2532700" cy="42140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marL="0" indent="0" algn="ctr"/>
          <a:fld id="{4E523FBC-1556-4258-B77E-5BEA6361593F}" type="TxLink">
            <a:rPr lang="en-US" sz="900" b="0" i="0" u="none" strike="noStrike">
              <a:solidFill>
                <a:srgbClr val="12355B"/>
              </a:solidFill>
              <a:latin typeface="+mn-lt"/>
              <a:ea typeface="Calibri"/>
              <a:cs typeface="Calibri"/>
            </a:rPr>
            <a:pPr marL="0" indent="0" algn="ctr"/>
            <a:t>Annual operation independent expenses: 50 kEUR/yr</a:t>
          </a:fld>
          <a:endParaRPr lang="de-DE" sz="900" b="0" i="0" u="none" strike="noStrike">
            <a:solidFill>
              <a:srgbClr val="12355B"/>
            </a:solidFill>
            <a:latin typeface="+mn-lt"/>
            <a:ea typeface="Calibri"/>
            <a:cs typeface="Calibri"/>
          </a:endParaRPr>
        </a:p>
      </xdr:txBody>
    </xdr:sp>
    <xdr:clientData/>
  </xdr:twoCellAnchor>
  <xdr:twoCellAnchor>
    <xdr:from>
      <xdr:col>4</xdr:col>
      <xdr:colOff>261540</xdr:colOff>
      <xdr:row>73</xdr:row>
      <xdr:rowOff>58045</xdr:rowOff>
    </xdr:from>
    <xdr:to>
      <xdr:col>6</xdr:col>
      <xdr:colOff>622540</xdr:colOff>
      <xdr:row>75</xdr:row>
      <xdr:rowOff>98445</xdr:rowOff>
    </xdr:to>
    <xdr:sp macro="" textlink="$S$52">
      <xdr:nvSpPr>
        <xdr:cNvPr id="74" name="Rechteck 2">
          <a:extLst>
            <a:ext uri="{FF2B5EF4-FFF2-40B4-BE49-F238E27FC236}">
              <a16:creationId xmlns:a16="http://schemas.microsoft.com/office/drawing/2014/main" id="{2F204096-F4F6-D9CD-E8CF-F675732EE0E3}"/>
            </a:ext>
          </a:extLst>
        </xdr:cNvPr>
        <xdr:cNvSpPr/>
      </xdr:nvSpPr>
      <xdr:spPr>
        <a:xfrm>
          <a:off x="4433490" y="16212445"/>
          <a:ext cx="2532700" cy="42140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marL="0" indent="0" algn="ctr"/>
          <a:fld id="{801AE54D-DCE7-4455-A269-D1B02498EDDE}" type="TxLink">
            <a:rPr lang="en-US" sz="900" b="0" i="0" u="none" strike="noStrike">
              <a:solidFill>
                <a:srgbClr val="12355B"/>
              </a:solidFill>
              <a:latin typeface="+mn-lt"/>
              <a:ea typeface="Calibri"/>
              <a:cs typeface="Calibri"/>
            </a:rPr>
            <a:pPr marL="0" indent="0" algn="ctr"/>
            <a:t>Annual variable costs: 32.8 kEUR/yr</a:t>
          </a:fld>
          <a:endParaRPr lang="de-DE" sz="900" b="0" i="0" u="none" strike="noStrike">
            <a:solidFill>
              <a:srgbClr val="12355B"/>
            </a:solidFill>
            <a:latin typeface="+mn-lt"/>
            <a:ea typeface="Calibri"/>
            <a:cs typeface="Calibri"/>
          </a:endParaRPr>
        </a:p>
      </xdr:txBody>
    </xdr:sp>
    <xdr:clientData/>
  </xdr:twoCellAnchor>
  <xdr:twoCellAnchor>
    <xdr:from>
      <xdr:col>1</xdr:col>
      <xdr:colOff>510540</xdr:colOff>
      <xdr:row>68</xdr:row>
      <xdr:rowOff>3933</xdr:rowOff>
    </xdr:from>
    <xdr:to>
      <xdr:col>3</xdr:col>
      <xdr:colOff>200640</xdr:colOff>
      <xdr:row>70</xdr:row>
      <xdr:rowOff>44333</xdr:rowOff>
    </xdr:to>
    <xdr:sp macro="" textlink="$S$58">
      <xdr:nvSpPr>
        <xdr:cNvPr id="102" name="Rechteck 2">
          <a:extLst>
            <a:ext uri="{FF2B5EF4-FFF2-40B4-BE49-F238E27FC236}">
              <a16:creationId xmlns:a16="http://schemas.microsoft.com/office/drawing/2014/main" id="{0F761009-BF54-4E56-95C3-E274DBCF2EF2}"/>
            </a:ext>
          </a:extLst>
        </xdr:cNvPr>
        <xdr:cNvSpPr/>
      </xdr:nvSpPr>
      <xdr:spPr>
        <a:xfrm>
          <a:off x="1062990" y="15205833"/>
          <a:ext cx="2700000" cy="421400"/>
        </a:xfrm>
        <a:prstGeom prst="rect">
          <a:avLst/>
        </a:prstGeom>
        <a:solidFill>
          <a:schemeClr val="bg1"/>
        </a:solidFill>
        <a:ln w="12700" cmpd="sng">
          <a:solidFill>
            <a:srgbClr val="247BA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tIns="18000" rIns="36000" bIns="18000" rtlCol="0" anchor="ctr">
          <a:noAutofit/>
        </a:bodyPr>
        <a:lstStyle/>
        <a:p>
          <a:pPr marL="0" indent="0" algn="ctr"/>
          <a:fld id="{30335C82-3AB8-47BB-980C-17D2966AA33A}" type="TxLink">
            <a:rPr lang="en-US" sz="900" b="0" i="0" u="none" strike="noStrike">
              <a:solidFill>
                <a:srgbClr val="12355B"/>
              </a:solidFill>
              <a:latin typeface="+mn-lt"/>
              <a:ea typeface="Calibri"/>
              <a:cs typeface="Calibri"/>
            </a:rPr>
            <a:pPr marL="0" indent="0" algn="ctr"/>
            <a:t>Investments (considering subsidies): 676.1 kEUR (lump-sum)</a:t>
          </a:fld>
          <a:endParaRPr lang="de-DE" sz="900" b="0" i="0" u="none" strike="noStrike">
            <a:solidFill>
              <a:srgbClr val="12355B"/>
            </a:solidFill>
            <a:latin typeface="+mn-lt"/>
            <a:ea typeface="Calibri"/>
            <a:cs typeface="Calibri"/>
          </a:endParaRPr>
        </a:p>
      </xdr:txBody>
    </xdr:sp>
    <xdr:clientData/>
  </xdr:twoCellAnchor>
  <xdr:twoCellAnchor>
    <xdr:from>
      <xdr:col>1</xdr:col>
      <xdr:colOff>510540</xdr:colOff>
      <xdr:row>70</xdr:row>
      <xdr:rowOff>119889</xdr:rowOff>
    </xdr:from>
    <xdr:to>
      <xdr:col>3</xdr:col>
      <xdr:colOff>200640</xdr:colOff>
      <xdr:row>72</xdr:row>
      <xdr:rowOff>160289</xdr:rowOff>
    </xdr:to>
    <xdr:sp macro="" textlink="$S$59">
      <xdr:nvSpPr>
        <xdr:cNvPr id="103" name="Rechteck 2">
          <a:extLst>
            <a:ext uri="{FF2B5EF4-FFF2-40B4-BE49-F238E27FC236}">
              <a16:creationId xmlns:a16="http://schemas.microsoft.com/office/drawing/2014/main" id="{DC4C6F72-A865-4BBF-9CCC-A9078DE20904}"/>
            </a:ext>
          </a:extLst>
        </xdr:cNvPr>
        <xdr:cNvSpPr/>
      </xdr:nvSpPr>
      <xdr:spPr>
        <a:xfrm>
          <a:off x="1062990" y="15702789"/>
          <a:ext cx="2700000" cy="421400"/>
        </a:xfrm>
        <a:prstGeom prst="rect">
          <a:avLst/>
        </a:prstGeom>
        <a:solidFill>
          <a:schemeClr val="bg1"/>
        </a:solidFill>
        <a:ln w="12700" cmpd="sng">
          <a:solidFill>
            <a:srgbClr val="247BA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marL="0" indent="0" algn="ctr"/>
          <a:fld id="{694509CC-1F43-446B-A4FE-940679D4CF6A}" type="TxLink">
            <a:rPr lang="en-US" sz="900" b="0" i="0" u="none" strike="noStrike">
              <a:solidFill>
                <a:srgbClr val="12355B"/>
              </a:solidFill>
              <a:latin typeface="+mn-lt"/>
              <a:ea typeface="Calibri"/>
              <a:cs typeface="Calibri"/>
            </a:rPr>
            <a:pPr marL="0" indent="0" algn="ctr"/>
            <a:t>Annual operation independent expenses: 50 kEUR/yr</a:t>
          </a:fld>
          <a:endParaRPr lang="de-DE" sz="900" b="0" i="0" u="none" strike="noStrike">
            <a:solidFill>
              <a:srgbClr val="12355B"/>
            </a:solidFill>
            <a:latin typeface="+mn-lt"/>
            <a:ea typeface="Calibri"/>
            <a:cs typeface="Calibri"/>
          </a:endParaRPr>
        </a:p>
      </xdr:txBody>
    </xdr:sp>
    <xdr:clientData/>
  </xdr:twoCellAnchor>
  <xdr:twoCellAnchor>
    <xdr:from>
      <xdr:col>1</xdr:col>
      <xdr:colOff>510540</xdr:colOff>
      <xdr:row>73</xdr:row>
      <xdr:rowOff>58045</xdr:rowOff>
    </xdr:from>
    <xdr:to>
      <xdr:col>3</xdr:col>
      <xdr:colOff>200640</xdr:colOff>
      <xdr:row>75</xdr:row>
      <xdr:rowOff>98445</xdr:rowOff>
    </xdr:to>
    <xdr:sp macro="" textlink="$S$60">
      <xdr:nvSpPr>
        <xdr:cNvPr id="104" name="Rechteck 2">
          <a:extLst>
            <a:ext uri="{FF2B5EF4-FFF2-40B4-BE49-F238E27FC236}">
              <a16:creationId xmlns:a16="http://schemas.microsoft.com/office/drawing/2014/main" id="{DFF341F4-82EE-45BD-9B74-A414B8A45E3F}"/>
            </a:ext>
          </a:extLst>
        </xdr:cNvPr>
        <xdr:cNvSpPr/>
      </xdr:nvSpPr>
      <xdr:spPr>
        <a:xfrm>
          <a:off x="1062990" y="16212445"/>
          <a:ext cx="2700000" cy="421400"/>
        </a:xfrm>
        <a:prstGeom prst="rect">
          <a:avLst/>
        </a:prstGeom>
        <a:solidFill>
          <a:schemeClr val="bg1"/>
        </a:solidFill>
        <a:ln w="12700" cmpd="sng">
          <a:solidFill>
            <a:srgbClr val="247BA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marL="0" indent="0" algn="ctr"/>
          <a:fld id="{13B24109-CF5C-4CA5-A391-B73A60922D36}" type="TxLink">
            <a:rPr lang="en-US" sz="900" b="0" i="0" u="none" strike="noStrike">
              <a:solidFill>
                <a:srgbClr val="12355B"/>
              </a:solidFill>
              <a:latin typeface="+mn-lt"/>
              <a:ea typeface="Calibri"/>
              <a:cs typeface="Calibri"/>
            </a:rPr>
            <a:pPr marL="0" indent="0" algn="ctr"/>
            <a:t>Annual variable costs: 32.8 kEUR/yr</a:t>
          </a:fld>
          <a:endParaRPr lang="de-DE" sz="900" b="0" i="0" u="none" strike="noStrike">
            <a:solidFill>
              <a:srgbClr val="12355B"/>
            </a:solidFill>
            <a:latin typeface="+mn-lt"/>
            <a:ea typeface="Calibri"/>
            <a:cs typeface="Calibri"/>
          </a:endParaRPr>
        </a:p>
      </xdr:txBody>
    </xdr:sp>
    <xdr:clientData/>
  </xdr:twoCellAnchor>
  <xdr:twoCellAnchor>
    <xdr:from>
      <xdr:col>3</xdr:col>
      <xdr:colOff>200640</xdr:colOff>
      <xdr:row>69</xdr:row>
      <xdr:rowOff>49533</xdr:rowOff>
    </xdr:from>
    <xdr:to>
      <xdr:col>4</xdr:col>
      <xdr:colOff>261540</xdr:colOff>
      <xdr:row>69</xdr:row>
      <xdr:rowOff>49533</xdr:rowOff>
    </xdr:to>
    <xdr:cxnSp macro="">
      <xdr:nvCxnSpPr>
        <xdr:cNvPr id="120" name="Gerade Verbindung mit Pfeil 119">
          <a:extLst>
            <a:ext uri="{FF2B5EF4-FFF2-40B4-BE49-F238E27FC236}">
              <a16:creationId xmlns:a16="http://schemas.microsoft.com/office/drawing/2014/main" id="{3EE71F0B-8BC4-9566-7CC0-E796CAA367E3}"/>
            </a:ext>
          </a:extLst>
        </xdr:cNvPr>
        <xdr:cNvCxnSpPr/>
      </xdr:nvCxnSpPr>
      <xdr:spPr>
        <a:xfrm flipH="1">
          <a:off x="3769340" y="15073633"/>
          <a:ext cx="670500" cy="0"/>
        </a:xfrm>
        <a:prstGeom prst="straightConnector1">
          <a:avLst/>
        </a:prstGeom>
        <a:ln>
          <a:solidFill>
            <a:srgbClr val="3F816D"/>
          </a:solidFill>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3</xdr:col>
      <xdr:colOff>200640</xdr:colOff>
      <xdr:row>71</xdr:row>
      <xdr:rowOff>140089</xdr:rowOff>
    </xdr:from>
    <xdr:to>
      <xdr:col>4</xdr:col>
      <xdr:colOff>261541</xdr:colOff>
      <xdr:row>71</xdr:row>
      <xdr:rowOff>140089</xdr:rowOff>
    </xdr:to>
    <xdr:cxnSp macro="">
      <xdr:nvCxnSpPr>
        <xdr:cNvPr id="121" name="Gerade Verbindung mit Pfeil 120">
          <a:extLst>
            <a:ext uri="{FF2B5EF4-FFF2-40B4-BE49-F238E27FC236}">
              <a16:creationId xmlns:a16="http://schemas.microsoft.com/office/drawing/2014/main" id="{95FCD58C-9672-115E-F2AC-3DCC200E1265}"/>
            </a:ext>
          </a:extLst>
        </xdr:cNvPr>
        <xdr:cNvCxnSpPr/>
      </xdr:nvCxnSpPr>
      <xdr:spPr>
        <a:xfrm flipH="1">
          <a:off x="3769340" y="15519789"/>
          <a:ext cx="670501" cy="0"/>
        </a:xfrm>
        <a:prstGeom prst="straightConnector1">
          <a:avLst/>
        </a:prstGeom>
        <a:ln>
          <a:solidFill>
            <a:srgbClr val="3F816D"/>
          </a:solidFill>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3</xdr:col>
      <xdr:colOff>200640</xdr:colOff>
      <xdr:row>74</xdr:row>
      <xdr:rowOff>78245</xdr:rowOff>
    </xdr:from>
    <xdr:to>
      <xdr:col>4</xdr:col>
      <xdr:colOff>261540</xdr:colOff>
      <xdr:row>74</xdr:row>
      <xdr:rowOff>78245</xdr:rowOff>
    </xdr:to>
    <xdr:cxnSp macro="">
      <xdr:nvCxnSpPr>
        <xdr:cNvPr id="124" name="Gerade Verbindung mit Pfeil 123">
          <a:extLst>
            <a:ext uri="{FF2B5EF4-FFF2-40B4-BE49-F238E27FC236}">
              <a16:creationId xmlns:a16="http://schemas.microsoft.com/office/drawing/2014/main" id="{F6ED92BB-BAB1-82B3-DD9F-E82F5C807EBF}"/>
            </a:ext>
          </a:extLst>
        </xdr:cNvPr>
        <xdr:cNvCxnSpPr>
          <a:stCxn id="74" idx="1"/>
          <a:endCxn id="104" idx="3"/>
        </xdr:cNvCxnSpPr>
      </xdr:nvCxnSpPr>
      <xdr:spPr>
        <a:xfrm flipH="1">
          <a:off x="3769340" y="15991345"/>
          <a:ext cx="670500" cy="0"/>
        </a:xfrm>
        <a:prstGeom prst="straightConnector1">
          <a:avLst/>
        </a:prstGeom>
        <a:ln>
          <a:solidFill>
            <a:srgbClr val="3F816D"/>
          </a:solidFill>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6</xdr:col>
      <xdr:colOff>632275</xdr:colOff>
      <xdr:row>69</xdr:row>
      <xdr:rowOff>49533</xdr:rowOff>
    </xdr:from>
    <xdr:to>
      <xdr:col>7</xdr:col>
      <xdr:colOff>80175</xdr:colOff>
      <xdr:row>69</xdr:row>
      <xdr:rowOff>49533</xdr:rowOff>
    </xdr:to>
    <xdr:cxnSp macro="">
      <xdr:nvCxnSpPr>
        <xdr:cNvPr id="126" name="Gerade Verbindung mit Pfeil 125">
          <a:extLst>
            <a:ext uri="{FF2B5EF4-FFF2-40B4-BE49-F238E27FC236}">
              <a16:creationId xmlns:a16="http://schemas.microsoft.com/office/drawing/2014/main" id="{DF5D970E-35AB-8B43-6453-B15142F133A2}"/>
            </a:ext>
          </a:extLst>
        </xdr:cNvPr>
        <xdr:cNvCxnSpPr>
          <a:cxnSpLocks/>
        </xdr:cNvCxnSpPr>
      </xdr:nvCxnSpPr>
      <xdr:spPr>
        <a:xfrm flipV="1">
          <a:off x="6969575" y="15073633"/>
          <a:ext cx="756000" cy="0"/>
        </a:xfrm>
        <a:prstGeom prst="straightConnector1">
          <a:avLst/>
        </a:prstGeom>
        <a:ln>
          <a:solidFill>
            <a:srgbClr val="3F816D"/>
          </a:solidFill>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6</xdr:col>
      <xdr:colOff>627476</xdr:colOff>
      <xdr:row>71</xdr:row>
      <xdr:rowOff>138778</xdr:rowOff>
    </xdr:from>
    <xdr:to>
      <xdr:col>7</xdr:col>
      <xdr:colOff>75376</xdr:colOff>
      <xdr:row>71</xdr:row>
      <xdr:rowOff>140089</xdr:rowOff>
    </xdr:to>
    <xdr:cxnSp macro="">
      <xdr:nvCxnSpPr>
        <xdr:cNvPr id="32768" name="Gerade Verbindung mit Pfeil 32767">
          <a:extLst>
            <a:ext uri="{FF2B5EF4-FFF2-40B4-BE49-F238E27FC236}">
              <a16:creationId xmlns:a16="http://schemas.microsoft.com/office/drawing/2014/main" id="{864A3795-B7FD-CB95-1829-341BCF7E3FF9}"/>
            </a:ext>
          </a:extLst>
        </xdr:cNvPr>
        <xdr:cNvCxnSpPr>
          <a:cxnSpLocks/>
        </xdr:cNvCxnSpPr>
      </xdr:nvCxnSpPr>
      <xdr:spPr>
        <a:xfrm>
          <a:off x="6964776" y="15518478"/>
          <a:ext cx="756000" cy="1311"/>
        </a:xfrm>
        <a:prstGeom prst="straightConnector1">
          <a:avLst/>
        </a:prstGeom>
        <a:ln>
          <a:solidFill>
            <a:srgbClr val="3F816D"/>
          </a:solidFill>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6</xdr:col>
      <xdr:colOff>622540</xdr:colOff>
      <xdr:row>74</xdr:row>
      <xdr:rowOff>78245</xdr:rowOff>
    </xdr:from>
    <xdr:to>
      <xdr:col>7</xdr:col>
      <xdr:colOff>71927</xdr:colOff>
      <xdr:row>74</xdr:row>
      <xdr:rowOff>78245</xdr:rowOff>
    </xdr:to>
    <xdr:cxnSp macro="">
      <xdr:nvCxnSpPr>
        <xdr:cNvPr id="32771" name="Gerade Verbindung mit Pfeil 32770">
          <a:extLst>
            <a:ext uri="{FF2B5EF4-FFF2-40B4-BE49-F238E27FC236}">
              <a16:creationId xmlns:a16="http://schemas.microsoft.com/office/drawing/2014/main" id="{A226E688-4A57-8823-2303-3779810B9346}"/>
            </a:ext>
          </a:extLst>
        </xdr:cNvPr>
        <xdr:cNvCxnSpPr>
          <a:cxnSpLocks/>
          <a:stCxn id="74" idx="3"/>
          <a:endCxn id="17" idx="1"/>
        </xdr:cNvCxnSpPr>
      </xdr:nvCxnSpPr>
      <xdr:spPr>
        <a:xfrm>
          <a:off x="6959840" y="15991345"/>
          <a:ext cx="757487" cy="0"/>
        </a:xfrm>
        <a:prstGeom prst="straightConnector1">
          <a:avLst/>
        </a:prstGeom>
        <a:ln>
          <a:solidFill>
            <a:srgbClr val="3F816D"/>
          </a:solidFill>
          <a:tailEnd type="triangle"/>
        </a:ln>
      </xdr:spPr>
      <xdr:style>
        <a:lnRef idx="1">
          <a:schemeClr val="accent6"/>
        </a:lnRef>
        <a:fillRef idx="0">
          <a:schemeClr val="accent6"/>
        </a:fillRef>
        <a:effectRef idx="0">
          <a:schemeClr val="accent6"/>
        </a:effectRef>
        <a:fontRef idx="minor">
          <a:schemeClr val="tx1"/>
        </a:fontRef>
      </xdr:style>
    </xdr:cxnSp>
    <xdr:clientData/>
  </xdr:twoCellAnchor>
  <xdr:twoCellAnchor>
    <xdr:from>
      <xdr:col>3</xdr:col>
      <xdr:colOff>356339</xdr:colOff>
      <xdr:row>67</xdr:row>
      <xdr:rowOff>147811</xdr:rowOff>
    </xdr:from>
    <xdr:to>
      <xdr:col>4</xdr:col>
      <xdr:colOff>180059</xdr:colOff>
      <xdr:row>68</xdr:row>
      <xdr:rowOff>147295</xdr:rowOff>
    </xdr:to>
    <xdr:sp macro="" textlink="$U$58">
      <xdr:nvSpPr>
        <xdr:cNvPr id="32807" name="Rechteck 2">
          <a:extLst>
            <a:ext uri="{FF2B5EF4-FFF2-40B4-BE49-F238E27FC236}">
              <a16:creationId xmlns:a16="http://schemas.microsoft.com/office/drawing/2014/main" id="{535EE48C-4838-48F6-8012-42E18378D495}"/>
            </a:ext>
          </a:extLst>
        </xdr:cNvPr>
        <xdr:cNvSpPr/>
      </xdr:nvSpPr>
      <xdr:spPr>
        <a:xfrm>
          <a:off x="3918689" y="15159211"/>
          <a:ext cx="433320" cy="189984"/>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a:fld id="{5464DBA9-862F-4BCD-98B4-8F3406619BA9}" type="TxLink">
            <a:rPr lang="en-US" sz="900" b="0" i="0" u="none" strike="noStrike">
              <a:solidFill>
                <a:srgbClr val="000000"/>
              </a:solidFill>
              <a:latin typeface="+mn-lt"/>
              <a:ea typeface="Calibri"/>
              <a:cs typeface="Calibri"/>
            </a:rPr>
            <a:pPr marL="0" indent="0" algn="ctr"/>
            <a:t>100 %</a:t>
          </a:fld>
          <a:endParaRPr lang="de-DE" sz="900" b="0" i="0" u="none" strike="noStrike">
            <a:solidFill>
              <a:srgbClr val="12355B"/>
            </a:solidFill>
            <a:latin typeface="+mn-lt"/>
            <a:ea typeface="Calibri"/>
            <a:cs typeface="Calibri"/>
          </a:endParaRPr>
        </a:p>
      </xdr:txBody>
    </xdr:sp>
    <xdr:clientData/>
  </xdr:twoCellAnchor>
  <xdr:twoCellAnchor>
    <xdr:from>
      <xdr:col>3</xdr:col>
      <xdr:colOff>363605</xdr:colOff>
      <xdr:row>70</xdr:row>
      <xdr:rowOff>6948</xdr:rowOff>
    </xdr:from>
    <xdr:to>
      <xdr:col>4</xdr:col>
      <xdr:colOff>187325</xdr:colOff>
      <xdr:row>71</xdr:row>
      <xdr:rowOff>13000</xdr:rowOff>
    </xdr:to>
    <xdr:sp macro="" textlink="$U$59">
      <xdr:nvSpPr>
        <xdr:cNvPr id="32808" name="Rechteck 2">
          <a:extLst>
            <a:ext uri="{FF2B5EF4-FFF2-40B4-BE49-F238E27FC236}">
              <a16:creationId xmlns:a16="http://schemas.microsoft.com/office/drawing/2014/main" id="{3A4EC9B3-6B6C-47E2-A82D-D49D84F94D27}"/>
            </a:ext>
          </a:extLst>
        </xdr:cNvPr>
        <xdr:cNvSpPr/>
      </xdr:nvSpPr>
      <xdr:spPr>
        <a:xfrm>
          <a:off x="3925955" y="15589848"/>
          <a:ext cx="433320" cy="196552"/>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a:fld id="{EC705747-B610-43F8-99BD-59EAF02CF6FE}" type="TxLink">
            <a:rPr lang="en-US" sz="900" b="0" i="0" u="none" strike="noStrike">
              <a:solidFill>
                <a:srgbClr val="000000"/>
              </a:solidFill>
              <a:latin typeface="+mn-lt"/>
              <a:ea typeface="Calibri"/>
              <a:cs typeface="Calibri"/>
            </a:rPr>
            <a:pPr marL="0" indent="0" algn="ctr"/>
            <a:t>100 %</a:t>
          </a:fld>
          <a:endParaRPr lang="de-DE" sz="900" b="0" i="0" u="none" strike="noStrike">
            <a:solidFill>
              <a:srgbClr val="000000"/>
            </a:solidFill>
            <a:latin typeface="+mn-lt"/>
            <a:ea typeface="Calibri"/>
            <a:cs typeface="Calibri"/>
          </a:endParaRPr>
        </a:p>
      </xdr:txBody>
    </xdr:sp>
    <xdr:clientData/>
  </xdr:twoCellAnchor>
  <xdr:twoCellAnchor>
    <xdr:from>
      <xdr:col>3</xdr:col>
      <xdr:colOff>362513</xdr:colOff>
      <xdr:row>72</xdr:row>
      <xdr:rowOff>116670</xdr:rowOff>
    </xdr:from>
    <xdr:to>
      <xdr:col>4</xdr:col>
      <xdr:colOff>186233</xdr:colOff>
      <xdr:row>73</xdr:row>
      <xdr:rowOff>130760</xdr:rowOff>
    </xdr:to>
    <xdr:sp macro="" textlink="$U$60">
      <xdr:nvSpPr>
        <xdr:cNvPr id="32809" name="Rechteck 2">
          <a:extLst>
            <a:ext uri="{FF2B5EF4-FFF2-40B4-BE49-F238E27FC236}">
              <a16:creationId xmlns:a16="http://schemas.microsoft.com/office/drawing/2014/main" id="{6B0E0207-1371-4E00-B671-2D5F40FE1B8F}"/>
            </a:ext>
          </a:extLst>
        </xdr:cNvPr>
        <xdr:cNvSpPr/>
      </xdr:nvSpPr>
      <xdr:spPr>
        <a:xfrm>
          <a:off x="3924863" y="16080570"/>
          <a:ext cx="433320" cy="20459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a:fld id="{9839807E-B51B-4C76-AF72-0963F0E1AF05}" type="TxLink">
            <a:rPr lang="en-US" sz="900" b="0" i="0" u="none" strike="noStrike">
              <a:solidFill>
                <a:srgbClr val="000000"/>
              </a:solidFill>
              <a:latin typeface="+mn-lt"/>
              <a:ea typeface="Calibri"/>
              <a:cs typeface="Calibri"/>
            </a:rPr>
            <a:pPr marL="0" indent="0" algn="ctr"/>
            <a:t>100 %</a:t>
          </a:fld>
          <a:endParaRPr lang="de-DE" sz="900" b="0" i="0" u="none" strike="noStrike">
            <a:solidFill>
              <a:srgbClr val="000000"/>
            </a:solidFill>
            <a:latin typeface="+mn-lt"/>
            <a:ea typeface="Calibri"/>
            <a:cs typeface="Calibri"/>
          </a:endParaRPr>
        </a:p>
      </xdr:txBody>
    </xdr:sp>
    <xdr:clientData/>
  </xdr:twoCellAnchor>
  <xdr:twoCellAnchor>
    <xdr:from>
      <xdr:col>6</xdr:col>
      <xdr:colOff>735005</xdr:colOff>
      <xdr:row>67</xdr:row>
      <xdr:rowOff>170105</xdr:rowOff>
    </xdr:from>
    <xdr:to>
      <xdr:col>6</xdr:col>
      <xdr:colOff>1168325</xdr:colOff>
      <xdr:row>68</xdr:row>
      <xdr:rowOff>169589</xdr:rowOff>
    </xdr:to>
    <xdr:sp macro="" textlink="$U$54">
      <xdr:nvSpPr>
        <xdr:cNvPr id="32810" name="Rechteck 2">
          <a:extLst>
            <a:ext uri="{FF2B5EF4-FFF2-40B4-BE49-F238E27FC236}">
              <a16:creationId xmlns:a16="http://schemas.microsoft.com/office/drawing/2014/main" id="{6CAA4BB0-0D18-5659-6766-304E3A101A4C}"/>
            </a:ext>
          </a:extLst>
        </xdr:cNvPr>
        <xdr:cNvSpPr/>
      </xdr:nvSpPr>
      <xdr:spPr>
        <a:xfrm>
          <a:off x="7078655" y="15181505"/>
          <a:ext cx="433320" cy="189984"/>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a:fld id="{19CDBF07-679F-4C4C-BC7F-19B1F0232F33}" type="TxLink">
            <a:rPr lang="en-US" sz="900" b="0" i="0" u="none" strike="noStrike">
              <a:solidFill>
                <a:srgbClr val="000000"/>
              </a:solidFill>
              <a:latin typeface="+mn-lt"/>
              <a:ea typeface="Calibri"/>
              <a:cs typeface="Calibri"/>
            </a:rPr>
            <a:pPr marL="0" indent="0" algn="ctr"/>
            <a:t>0 %</a:t>
          </a:fld>
          <a:endParaRPr lang="de-DE" sz="900" b="0" i="0" u="none" strike="noStrike">
            <a:solidFill>
              <a:srgbClr val="000000"/>
            </a:solidFill>
            <a:latin typeface="+mn-lt"/>
            <a:ea typeface="Calibri"/>
            <a:cs typeface="Calibri"/>
          </a:endParaRPr>
        </a:p>
      </xdr:txBody>
    </xdr:sp>
    <xdr:clientData/>
  </xdr:twoCellAnchor>
  <xdr:twoCellAnchor>
    <xdr:from>
      <xdr:col>6</xdr:col>
      <xdr:colOff>735005</xdr:colOff>
      <xdr:row>70</xdr:row>
      <xdr:rowOff>6948</xdr:rowOff>
    </xdr:from>
    <xdr:to>
      <xdr:col>6</xdr:col>
      <xdr:colOff>1168325</xdr:colOff>
      <xdr:row>71</xdr:row>
      <xdr:rowOff>13000</xdr:rowOff>
    </xdr:to>
    <xdr:sp macro="" textlink="$U$55">
      <xdr:nvSpPr>
        <xdr:cNvPr id="32811" name="Rechteck 2">
          <a:extLst>
            <a:ext uri="{FF2B5EF4-FFF2-40B4-BE49-F238E27FC236}">
              <a16:creationId xmlns:a16="http://schemas.microsoft.com/office/drawing/2014/main" id="{38FB0099-9AD9-9243-2790-30873B44ECE8}"/>
            </a:ext>
          </a:extLst>
        </xdr:cNvPr>
        <xdr:cNvSpPr/>
      </xdr:nvSpPr>
      <xdr:spPr>
        <a:xfrm>
          <a:off x="7078655" y="15589848"/>
          <a:ext cx="433320" cy="196552"/>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a:fld id="{8F0879DC-BF25-4C23-9B92-115D934161C4}" type="TxLink">
            <a:rPr lang="en-US" sz="900" b="0" i="0" u="none" strike="noStrike">
              <a:solidFill>
                <a:srgbClr val="000000"/>
              </a:solidFill>
              <a:latin typeface="+mn-lt"/>
              <a:ea typeface="Calibri"/>
              <a:cs typeface="Calibri"/>
            </a:rPr>
            <a:pPr marL="0" indent="0" algn="ctr"/>
            <a:t>0 %</a:t>
          </a:fld>
          <a:endParaRPr lang="de-DE" sz="900" b="0" i="0" u="none" strike="noStrike">
            <a:solidFill>
              <a:srgbClr val="000000"/>
            </a:solidFill>
            <a:latin typeface="+mn-lt"/>
            <a:ea typeface="Calibri"/>
            <a:cs typeface="Calibri"/>
          </a:endParaRPr>
        </a:p>
      </xdr:txBody>
    </xdr:sp>
    <xdr:clientData/>
  </xdr:twoCellAnchor>
  <xdr:twoCellAnchor>
    <xdr:from>
      <xdr:col>6</xdr:col>
      <xdr:colOff>735005</xdr:colOff>
      <xdr:row>72</xdr:row>
      <xdr:rowOff>82217</xdr:rowOff>
    </xdr:from>
    <xdr:to>
      <xdr:col>6</xdr:col>
      <xdr:colOff>1168325</xdr:colOff>
      <xdr:row>73</xdr:row>
      <xdr:rowOff>96307</xdr:rowOff>
    </xdr:to>
    <xdr:sp macro="" textlink="$U$56">
      <xdr:nvSpPr>
        <xdr:cNvPr id="32812" name="Rechteck 2">
          <a:extLst>
            <a:ext uri="{FF2B5EF4-FFF2-40B4-BE49-F238E27FC236}">
              <a16:creationId xmlns:a16="http://schemas.microsoft.com/office/drawing/2014/main" id="{E26A1AB7-0762-449B-2021-CE6D3C904E99}"/>
            </a:ext>
          </a:extLst>
        </xdr:cNvPr>
        <xdr:cNvSpPr/>
      </xdr:nvSpPr>
      <xdr:spPr>
        <a:xfrm>
          <a:off x="7078655" y="16046117"/>
          <a:ext cx="433320" cy="20459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a:fld id="{E0AD6E6A-F263-4566-AD01-2E231B79C2A3}" type="TxLink">
            <a:rPr lang="en-US" sz="900" b="0" i="0" u="none" strike="noStrike">
              <a:solidFill>
                <a:srgbClr val="000000"/>
              </a:solidFill>
              <a:latin typeface="+mn-lt"/>
              <a:ea typeface="Calibri"/>
              <a:cs typeface="Calibri"/>
            </a:rPr>
            <a:pPr marL="0" indent="0" algn="ctr"/>
            <a:t>0 %</a:t>
          </a:fld>
          <a:endParaRPr lang="de-DE" sz="900" b="0" i="0" u="none" strike="noStrike">
            <a:solidFill>
              <a:srgbClr val="000000"/>
            </a:solidFill>
            <a:latin typeface="+mn-lt"/>
            <a:ea typeface="Calibri"/>
            <a:cs typeface="Calibri"/>
          </a:endParaRPr>
        </a:p>
      </xdr:txBody>
    </xdr:sp>
    <xdr:clientData/>
  </xdr:twoCellAnchor>
  <xdr:twoCellAnchor>
    <xdr:from>
      <xdr:col>1</xdr:col>
      <xdr:colOff>424799</xdr:colOff>
      <xdr:row>79</xdr:row>
      <xdr:rowOff>68289</xdr:rowOff>
    </xdr:from>
    <xdr:to>
      <xdr:col>3</xdr:col>
      <xdr:colOff>282186</xdr:colOff>
      <xdr:row>86</xdr:row>
      <xdr:rowOff>83689</xdr:rowOff>
    </xdr:to>
    <xdr:sp macro="" textlink="">
      <xdr:nvSpPr>
        <xdr:cNvPr id="18" name="Rechteck 71">
          <a:extLst>
            <a:ext uri="{FF2B5EF4-FFF2-40B4-BE49-F238E27FC236}">
              <a16:creationId xmlns:a16="http://schemas.microsoft.com/office/drawing/2014/main" id="{1308325E-0F56-AEF7-A050-A28F7029A87F}"/>
            </a:ext>
          </a:extLst>
        </xdr:cNvPr>
        <xdr:cNvSpPr/>
      </xdr:nvSpPr>
      <xdr:spPr>
        <a:xfrm>
          <a:off x="977249" y="17365689"/>
          <a:ext cx="2867287" cy="1348900"/>
        </a:xfrm>
        <a:prstGeom prst="rect">
          <a:avLst/>
        </a:prstGeom>
        <a:solidFill>
          <a:schemeClr val="bg1"/>
        </a:solidFill>
        <a:ln w="12700">
          <a:solidFill>
            <a:srgbClr val="12355B"/>
          </a:solidFill>
        </a:ln>
      </xdr:spPr>
      <xdr:style>
        <a:lnRef idx="2">
          <a:schemeClr val="accent1">
            <a:shade val="15000"/>
          </a:schemeClr>
        </a:lnRef>
        <a:fillRef idx="1">
          <a:schemeClr val="accent1"/>
        </a:fillRef>
        <a:effectRef idx="0">
          <a:schemeClr val="accent1"/>
        </a:effectRef>
        <a:fontRef idx="minor">
          <a:schemeClr val="lt1"/>
        </a:fontRef>
      </xdr:style>
      <xdr:txBody>
        <a:bodyPr wrap="square" lIns="36000" rIns="36000" rtlCol="0" anchor="t"/>
        <a:lstStyle>
          <a:defPPr>
            <a:defRPr lang="de-DE"/>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ctr"/>
          <a:r>
            <a:rPr lang="de-AT" b="1">
              <a:solidFill>
                <a:srgbClr val="12355B"/>
              </a:solidFill>
              <a:latin typeface="+mn-lt"/>
              <a:ea typeface="+mn-ea"/>
              <a:cs typeface="+mn-cs"/>
            </a:rPr>
            <a:t>Electricity</a:t>
          </a:r>
          <a:r>
            <a:rPr lang="de-AT" b="1" baseline="0">
              <a:solidFill>
                <a:srgbClr val="12355B"/>
              </a:solidFill>
              <a:latin typeface="+mn-lt"/>
              <a:ea typeface="+mn-ea"/>
              <a:cs typeface="+mn-cs"/>
            </a:rPr>
            <a:t> costs for active cooling</a:t>
          </a:r>
          <a:endParaRPr lang="de-AT" b="1">
            <a:solidFill>
              <a:srgbClr val="12355B"/>
            </a:solidFill>
            <a:latin typeface="+mn-lt"/>
            <a:ea typeface="+mn-ea"/>
            <a:cs typeface="+mn-cs"/>
          </a:endParaRPr>
        </a:p>
      </xdr:txBody>
    </xdr:sp>
    <xdr:clientData/>
  </xdr:twoCellAnchor>
  <xdr:twoCellAnchor>
    <xdr:from>
      <xdr:col>7</xdr:col>
      <xdr:colOff>1574800</xdr:colOff>
      <xdr:row>57</xdr:row>
      <xdr:rowOff>88900</xdr:rowOff>
    </xdr:from>
    <xdr:to>
      <xdr:col>8</xdr:col>
      <xdr:colOff>327473</xdr:colOff>
      <xdr:row>59</xdr:row>
      <xdr:rowOff>24579</xdr:rowOff>
    </xdr:to>
    <xdr:sp macro="" textlink="$U$7">
      <xdr:nvSpPr>
        <xdr:cNvPr id="33" name="Rechteck 42">
          <a:extLst>
            <a:ext uri="{FF2B5EF4-FFF2-40B4-BE49-F238E27FC236}">
              <a16:creationId xmlns:a16="http://schemas.microsoft.com/office/drawing/2014/main" id="{00000000-0008-0000-0700-000021000000}"/>
            </a:ext>
          </a:extLst>
        </xdr:cNvPr>
        <xdr:cNvSpPr/>
      </xdr:nvSpPr>
      <xdr:spPr>
        <a:xfrm>
          <a:off x="9220200" y="12979400"/>
          <a:ext cx="1089473" cy="291279"/>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087FF0A1-5927-4557-9D91-0DF5EE18B7F2}"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P th: 0.5 MW_th</a:t>
          </a:fld>
          <a:endParaRPr lang="de-DE" sz="900" b="0" kern="1200" baseline="-25000">
            <a:solidFill>
              <a:srgbClr val="3F816D"/>
            </a:solidFill>
            <a:effectLst/>
            <a:latin typeface="+mn-lt"/>
            <a:ea typeface="+mn-ea"/>
            <a:cs typeface="+mn-cs"/>
          </a:endParaRPr>
        </a:p>
      </xdr:txBody>
    </xdr:sp>
    <xdr:clientData/>
  </xdr:twoCellAnchor>
  <xdr:twoCellAnchor>
    <xdr:from>
      <xdr:col>6</xdr:col>
      <xdr:colOff>1295400</xdr:colOff>
      <xdr:row>53</xdr:row>
      <xdr:rowOff>44436</xdr:rowOff>
    </xdr:from>
    <xdr:to>
      <xdr:col>7</xdr:col>
      <xdr:colOff>1371600</xdr:colOff>
      <xdr:row>55</xdr:row>
      <xdr:rowOff>140678</xdr:rowOff>
    </xdr:to>
    <xdr:sp macro="" textlink="$U$4">
      <xdr:nvSpPr>
        <xdr:cNvPr id="38" name="Rechteck 42">
          <a:extLst>
            <a:ext uri="{FF2B5EF4-FFF2-40B4-BE49-F238E27FC236}">
              <a16:creationId xmlns:a16="http://schemas.microsoft.com/office/drawing/2014/main" id="{00000000-0008-0000-0700-000026000000}"/>
            </a:ext>
          </a:extLst>
        </xdr:cNvPr>
        <xdr:cNvSpPr/>
      </xdr:nvSpPr>
      <xdr:spPr>
        <a:xfrm>
          <a:off x="7754815" y="12822590"/>
          <a:ext cx="1377462" cy="459657"/>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E31C43FA-D817-45A5-802E-233B781C52B0}" type="TxLink">
            <a:rPr lang="en-US" sz="900" b="0" i="0" u="none" strike="noStrike" kern="1200">
              <a:solidFill>
                <a:srgbClr val="000000"/>
              </a:solidFill>
              <a:effectLst/>
              <a:latin typeface="Calibri"/>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P th_nominal_out:    3MW_th</a:t>
          </a:fld>
          <a:endParaRPr lang="de-DE" sz="900" b="0" kern="1200" baseline="-25000">
            <a:solidFill>
              <a:srgbClr val="3F816D"/>
            </a:solidFill>
            <a:effectLst/>
            <a:latin typeface="+mn-lt"/>
            <a:ea typeface="+mn-ea"/>
            <a:cs typeface="+mn-cs"/>
          </a:endParaRPr>
        </a:p>
      </xdr:txBody>
    </xdr:sp>
    <xdr:clientData/>
  </xdr:twoCellAnchor>
  <xdr:twoCellAnchor>
    <xdr:from>
      <xdr:col>9</xdr:col>
      <xdr:colOff>358140</xdr:colOff>
      <xdr:row>50</xdr:row>
      <xdr:rowOff>99060</xdr:rowOff>
    </xdr:from>
    <xdr:to>
      <xdr:col>9</xdr:col>
      <xdr:colOff>358140</xdr:colOff>
      <xdr:row>51</xdr:row>
      <xdr:rowOff>168180</xdr:rowOff>
    </xdr:to>
    <xdr:cxnSp macro="">
      <xdr:nvCxnSpPr>
        <xdr:cNvPr id="40" name="Gerader Verbinder 9">
          <a:extLst>
            <a:ext uri="{FF2B5EF4-FFF2-40B4-BE49-F238E27FC236}">
              <a16:creationId xmlns:a16="http://schemas.microsoft.com/office/drawing/2014/main" id="{00000000-0008-0000-0700-000028000000}"/>
            </a:ext>
          </a:extLst>
        </xdr:cNvPr>
        <xdr:cNvCxnSpPr>
          <a:cxnSpLocks/>
        </xdr:cNvCxnSpPr>
      </xdr:nvCxnSpPr>
      <xdr:spPr>
        <a:xfrm flipV="1">
          <a:off x="10949940" y="11744960"/>
          <a:ext cx="0" cy="246920"/>
        </a:xfrm>
        <a:prstGeom prst="line">
          <a:avLst/>
        </a:prstGeom>
        <a:ln>
          <a:solidFill>
            <a:srgbClr val="00659D"/>
          </a:solidFill>
          <a:prstDash val="dash"/>
          <a:headEnd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523875</xdr:colOff>
      <xdr:row>63</xdr:row>
      <xdr:rowOff>33727</xdr:rowOff>
    </xdr:from>
    <xdr:to>
      <xdr:col>6</xdr:col>
      <xdr:colOff>341700</xdr:colOff>
      <xdr:row>66</xdr:row>
      <xdr:rowOff>4327</xdr:rowOff>
    </xdr:to>
    <xdr:sp macro="" textlink="$S$19">
      <xdr:nvSpPr>
        <xdr:cNvPr id="70" name="TextBox 69">
          <a:extLst>
            <a:ext uri="{FF2B5EF4-FFF2-40B4-BE49-F238E27FC236}">
              <a16:creationId xmlns:a16="http://schemas.microsoft.com/office/drawing/2014/main" id="{00000000-0008-0000-0700-000046000000}"/>
            </a:ext>
          </a:extLst>
        </xdr:cNvPr>
        <xdr:cNvSpPr txBox="1"/>
      </xdr:nvSpPr>
      <xdr:spPr>
        <a:xfrm>
          <a:off x="4695825" y="14854627"/>
          <a:ext cx="1980000" cy="513525"/>
        </a:xfrm>
        <a:prstGeom prst="rect">
          <a:avLst/>
        </a:prstGeom>
        <a:solidFill>
          <a:srgbClr val="D4E8E7"/>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defTabSz="914400" rtl="0" eaLnBrk="1" latinLnBrk="0" hangingPunct="1"/>
          <a:fld id="{6EB89032-8E5B-4814-B43D-B1403710EEE0}" type="TxLink">
            <a:rPr lang="en-US" sz="1000" b="0" i="0" u="none" strike="noStrike" kern="1200">
              <a:solidFill>
                <a:srgbClr val="12355B"/>
              </a:solidFill>
              <a:latin typeface="+mn-lt"/>
              <a:ea typeface="Calibri"/>
              <a:cs typeface="Calibri"/>
            </a:rPr>
            <a:pPr marL="0" indent="0" algn="ctr" defTabSz="914400" rtl="0" eaLnBrk="1" latinLnBrk="0" hangingPunct="1"/>
            <a:t>Waste heat supplied by the DC: 17.38 GWh/yr</a:t>
          </a:fld>
          <a:endParaRPr lang="en-US" sz="1100" b="0" i="0" u="none" strike="noStrike" kern="1200">
            <a:solidFill>
              <a:srgbClr val="12355B"/>
            </a:solidFill>
            <a:latin typeface="+mn-lt"/>
            <a:ea typeface="Calibri"/>
            <a:cs typeface="Calibri"/>
          </a:endParaRPr>
        </a:p>
      </xdr:txBody>
    </xdr:sp>
    <xdr:clientData/>
  </xdr:twoCellAnchor>
  <xdr:twoCellAnchor>
    <xdr:from>
      <xdr:col>7</xdr:col>
      <xdr:colOff>230504</xdr:colOff>
      <xdr:row>63</xdr:row>
      <xdr:rowOff>33727</xdr:rowOff>
    </xdr:from>
    <xdr:to>
      <xdr:col>7</xdr:col>
      <xdr:colOff>2030504</xdr:colOff>
      <xdr:row>66</xdr:row>
      <xdr:rowOff>4327</xdr:rowOff>
    </xdr:to>
    <xdr:sp macro="" textlink="$S$20">
      <xdr:nvSpPr>
        <xdr:cNvPr id="155" name="TextBox 154">
          <a:extLst>
            <a:ext uri="{FF2B5EF4-FFF2-40B4-BE49-F238E27FC236}">
              <a16:creationId xmlns:a16="http://schemas.microsoft.com/office/drawing/2014/main" id="{00000000-0008-0000-0700-00009B000000}"/>
            </a:ext>
          </a:extLst>
        </xdr:cNvPr>
        <xdr:cNvSpPr txBox="1"/>
      </xdr:nvSpPr>
      <xdr:spPr>
        <a:xfrm>
          <a:off x="7869554" y="14854627"/>
          <a:ext cx="1800000" cy="513525"/>
        </a:xfrm>
        <a:prstGeom prst="rect">
          <a:avLst/>
        </a:prstGeom>
        <a:solidFill>
          <a:srgbClr val="D4E8E7"/>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defTabSz="914400" rtl="0" eaLnBrk="1" latinLnBrk="0" hangingPunct="1"/>
          <a:fld id="{B409E3DC-6197-4A73-BE89-B001D93506EC}" type="TxLink">
            <a:rPr lang="en-US" sz="1000" b="0" i="0" u="none" strike="noStrike" kern="1200">
              <a:solidFill>
                <a:srgbClr val="12355B"/>
              </a:solidFill>
              <a:latin typeface="+mn-lt"/>
              <a:ea typeface="Calibri"/>
              <a:cs typeface="Calibri"/>
            </a:rPr>
            <a:pPr marL="0" indent="0" algn="ctr" defTabSz="914400" rtl="0" eaLnBrk="1" latinLnBrk="0" hangingPunct="1"/>
            <a:t>Waste heat utilised in the HP: 16.38 GWh/yr</a:t>
          </a:fld>
          <a:endParaRPr lang="en-US" sz="1100" b="0" i="0" u="none" strike="noStrike" kern="1200">
            <a:solidFill>
              <a:srgbClr val="12355B"/>
            </a:solidFill>
            <a:latin typeface="+mn-lt"/>
            <a:ea typeface="Calibri"/>
            <a:cs typeface="Calibri"/>
          </a:endParaRPr>
        </a:p>
      </xdr:txBody>
    </xdr:sp>
    <xdr:clientData/>
  </xdr:twoCellAnchor>
  <xdr:twoCellAnchor>
    <xdr:from>
      <xdr:col>7</xdr:col>
      <xdr:colOff>2244994</xdr:colOff>
      <xdr:row>59</xdr:row>
      <xdr:rowOff>99746</xdr:rowOff>
    </xdr:from>
    <xdr:to>
      <xdr:col>10</xdr:col>
      <xdr:colOff>488994</xdr:colOff>
      <xdr:row>62</xdr:row>
      <xdr:rowOff>70346</xdr:rowOff>
    </xdr:to>
    <xdr:sp macro="" textlink="$S$24">
      <xdr:nvSpPr>
        <xdr:cNvPr id="212" name="Rechteck 42">
          <a:extLst>
            <a:ext uri="{FF2B5EF4-FFF2-40B4-BE49-F238E27FC236}">
              <a16:creationId xmlns:a16="http://schemas.microsoft.com/office/drawing/2014/main" id="{00000000-0008-0000-0700-0000D4000000}"/>
            </a:ext>
          </a:extLst>
        </xdr:cNvPr>
        <xdr:cNvSpPr/>
      </xdr:nvSpPr>
      <xdr:spPr>
        <a:xfrm>
          <a:off x="9884044" y="14196746"/>
          <a:ext cx="1806350" cy="513525"/>
        </a:xfrm>
        <a:prstGeom prst="rect">
          <a:avLst/>
        </a:prstGeom>
        <a:solidFill>
          <a:srgbClr val="D4E8E7"/>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fld id="{12C2C39D-4942-4CC5-9815-8AE33E1ED65B}" type="TxLink">
            <a:rPr lang="en-US" sz="1000" b="0" i="0" u="none" strike="noStrike" kern="1200">
              <a:solidFill>
                <a:srgbClr val="12355B"/>
              </a:solidFill>
              <a:latin typeface="+mn-lt"/>
              <a:ea typeface="Calibri"/>
              <a:cs typeface="Calibri"/>
            </a:rPr>
            <a:pPr marL="0" indent="0" algn="ctr" defTabSz="914400" rtl="0" eaLnBrk="1" latinLnBrk="0" hangingPunct="1"/>
            <a:t>Electricity / fuel input booster: 0.05 GWh/yr</a:t>
          </a:fld>
          <a:endParaRPr lang="de-DE" sz="1100" b="0" i="0" u="none" strike="noStrike" kern="1200">
            <a:solidFill>
              <a:srgbClr val="12355B"/>
            </a:solidFill>
            <a:latin typeface="+mn-lt"/>
            <a:ea typeface="Calibri"/>
            <a:cs typeface="Calibri"/>
          </a:endParaRPr>
        </a:p>
      </xdr:txBody>
    </xdr:sp>
    <xdr:clientData/>
  </xdr:twoCellAnchor>
  <xdr:twoCellAnchor>
    <xdr:from>
      <xdr:col>10</xdr:col>
      <xdr:colOff>742950</xdr:colOff>
      <xdr:row>63</xdr:row>
      <xdr:rowOff>43252</xdr:rowOff>
    </xdr:from>
    <xdr:to>
      <xdr:col>12</xdr:col>
      <xdr:colOff>126775</xdr:colOff>
      <xdr:row>66</xdr:row>
      <xdr:rowOff>13852</xdr:rowOff>
    </xdr:to>
    <xdr:sp macro="" textlink="$S$21">
      <xdr:nvSpPr>
        <xdr:cNvPr id="241" name="TextBox 69">
          <a:extLst>
            <a:ext uri="{FF2B5EF4-FFF2-40B4-BE49-F238E27FC236}">
              <a16:creationId xmlns:a16="http://schemas.microsoft.com/office/drawing/2014/main" id="{82F04700-AEFE-2394-7B70-B8516048085D}"/>
            </a:ext>
          </a:extLst>
        </xdr:cNvPr>
        <xdr:cNvSpPr txBox="1"/>
      </xdr:nvSpPr>
      <xdr:spPr>
        <a:xfrm>
          <a:off x="11944350" y="14864152"/>
          <a:ext cx="1793650" cy="513525"/>
        </a:xfrm>
        <a:prstGeom prst="rect">
          <a:avLst/>
        </a:prstGeom>
        <a:solidFill>
          <a:srgbClr val="D4E8E7"/>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defTabSz="914400" rtl="0" eaLnBrk="1" latinLnBrk="0" hangingPunct="1"/>
          <a:fld id="{FA7E6623-6C3C-46A3-9953-221D2631F10E}" type="TxLink">
            <a:rPr lang="en-US" sz="1000" b="0" i="0" u="none" strike="noStrike" kern="1200">
              <a:solidFill>
                <a:srgbClr val="12355B"/>
              </a:solidFill>
              <a:latin typeface="+mn-lt"/>
              <a:ea typeface="Calibri"/>
              <a:cs typeface="Calibri"/>
            </a:rPr>
            <a:pPr marL="0" indent="0" algn="ctr" defTabSz="914400" rtl="0" eaLnBrk="1" latinLnBrk="0" hangingPunct="1"/>
            <a:t>Heat fed into grid: 22.9 GWh/yr</a:t>
          </a:fld>
          <a:endParaRPr lang="en-US" sz="1000" b="0" i="0" u="none" strike="noStrike" kern="1200">
            <a:solidFill>
              <a:srgbClr val="12355B"/>
            </a:solidFill>
            <a:latin typeface="+mn-lt"/>
            <a:ea typeface="Calibri"/>
            <a:cs typeface="Calibri"/>
          </a:endParaRPr>
        </a:p>
      </xdr:txBody>
    </xdr:sp>
    <xdr:clientData/>
  </xdr:twoCellAnchor>
  <xdr:twoCellAnchor>
    <xdr:from>
      <xdr:col>1</xdr:col>
      <xdr:colOff>317500</xdr:colOff>
      <xdr:row>91</xdr:row>
      <xdr:rowOff>12706</xdr:rowOff>
    </xdr:from>
    <xdr:to>
      <xdr:col>10</xdr:col>
      <xdr:colOff>449500</xdr:colOff>
      <xdr:row>99</xdr:row>
      <xdr:rowOff>102306</xdr:rowOff>
    </xdr:to>
    <xdr:grpSp>
      <xdr:nvGrpSpPr>
        <xdr:cNvPr id="12" name="Gruppieren 32787">
          <a:extLst>
            <a:ext uri="{FF2B5EF4-FFF2-40B4-BE49-F238E27FC236}">
              <a16:creationId xmlns:a16="http://schemas.microsoft.com/office/drawing/2014/main" id="{4EA7BC1B-06D0-E89D-8C4B-DCE5BA04C0A4}"/>
            </a:ext>
          </a:extLst>
        </xdr:cNvPr>
        <xdr:cNvGrpSpPr/>
      </xdr:nvGrpSpPr>
      <xdr:grpSpPr>
        <a:xfrm>
          <a:off x="859692" y="20110456"/>
          <a:ext cx="10587520" cy="1613600"/>
          <a:chOff x="877794" y="19006671"/>
          <a:chExt cx="10755177" cy="1524550"/>
        </a:xfrm>
      </xdr:grpSpPr>
      <xdr:sp macro="" textlink="">
        <xdr:nvSpPr>
          <xdr:cNvPr id="32" name="Textfeld 42">
            <a:extLst>
              <a:ext uri="{FF2B5EF4-FFF2-40B4-BE49-F238E27FC236}">
                <a16:creationId xmlns:a16="http://schemas.microsoft.com/office/drawing/2014/main" id="{9BA1FD43-883B-DD7F-B410-8CB9938E8337}"/>
              </a:ext>
            </a:extLst>
          </xdr:cNvPr>
          <xdr:cNvSpPr txBox="1"/>
        </xdr:nvSpPr>
        <xdr:spPr>
          <a:xfrm>
            <a:off x="877794" y="19006671"/>
            <a:ext cx="10755177" cy="1524550"/>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chemeClr val="accent2"/>
                </a:solidFill>
              </a:rPr>
              <a:t>INVESTMENT</a:t>
            </a:r>
          </a:p>
        </xdr:txBody>
      </xdr:sp>
      <xdr:sp macro="" textlink="$S$37">
        <xdr:nvSpPr>
          <xdr:cNvPr id="34" name="TextBox 23">
            <a:extLst>
              <a:ext uri="{FF2B5EF4-FFF2-40B4-BE49-F238E27FC236}">
                <a16:creationId xmlns:a16="http://schemas.microsoft.com/office/drawing/2014/main" id="{156DB37B-4CA8-489F-85AA-60DBAE982472}"/>
              </a:ext>
            </a:extLst>
          </xdr:cNvPr>
          <xdr:cNvSpPr txBox="1"/>
        </xdr:nvSpPr>
        <xdr:spPr>
          <a:xfrm>
            <a:off x="2178249" y="19125809"/>
            <a:ext cx="2148794" cy="1270459"/>
          </a:xfrm>
          <a:prstGeom prst="rect">
            <a:avLst/>
          </a:prstGeom>
          <a:solidFill>
            <a:schemeClr val="accent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62F9E7E8-EB58-4A6F-8E99-067A25AF989A}" type="TxLink">
              <a:rPr lang="en-US" sz="1200" b="0" i="0" u="none" strike="noStrike" kern="1200">
                <a:solidFill>
                  <a:schemeClr val="bg1"/>
                </a:solidFill>
                <a:latin typeface="+mn-lt"/>
                <a:ea typeface="Calibri"/>
                <a:cs typeface="Calibri"/>
              </a:rPr>
              <a:pPr marL="0" indent="0" algn="ctr" defTabSz="914400" rtl="0" eaLnBrk="1" latinLnBrk="0" hangingPunct="1"/>
              <a:t>Contractor 2's total investment needs (incl. subsidies, incl. cost share of heat recovery): 676.08 kEUR</a:t>
            </a:fld>
            <a:endParaRPr lang="en-US" sz="1200" b="0" i="0" u="none" strike="noStrike" kern="1200">
              <a:solidFill>
                <a:schemeClr val="bg1"/>
              </a:solidFill>
              <a:latin typeface="+mn-lt"/>
              <a:ea typeface="Calibri"/>
              <a:cs typeface="Calibri"/>
            </a:endParaRPr>
          </a:p>
        </xdr:txBody>
      </xdr:sp>
    </xdr:grpSp>
    <xdr:clientData/>
  </xdr:twoCellAnchor>
  <xdr:twoCellAnchor>
    <xdr:from>
      <xdr:col>1</xdr:col>
      <xdr:colOff>317500</xdr:colOff>
      <xdr:row>100</xdr:row>
      <xdr:rowOff>36798</xdr:rowOff>
    </xdr:from>
    <xdr:to>
      <xdr:col>10</xdr:col>
      <xdr:colOff>449500</xdr:colOff>
      <xdr:row>108</xdr:row>
      <xdr:rowOff>126398</xdr:rowOff>
    </xdr:to>
    <xdr:grpSp>
      <xdr:nvGrpSpPr>
        <xdr:cNvPr id="32787" name="Gruppieren 32786">
          <a:extLst>
            <a:ext uri="{FF2B5EF4-FFF2-40B4-BE49-F238E27FC236}">
              <a16:creationId xmlns:a16="http://schemas.microsoft.com/office/drawing/2014/main" id="{A08C40D0-F495-9B5E-2B20-0C052824C80B}"/>
            </a:ext>
          </a:extLst>
        </xdr:cNvPr>
        <xdr:cNvGrpSpPr/>
      </xdr:nvGrpSpPr>
      <xdr:grpSpPr>
        <a:xfrm>
          <a:off x="859692" y="21849048"/>
          <a:ext cx="10587520" cy="1613600"/>
          <a:chOff x="877794" y="20891687"/>
          <a:chExt cx="10755177" cy="1524550"/>
        </a:xfrm>
      </xdr:grpSpPr>
      <xdr:sp macro="" textlink="">
        <xdr:nvSpPr>
          <xdr:cNvPr id="44" name="Textfeld 43">
            <a:extLst>
              <a:ext uri="{FF2B5EF4-FFF2-40B4-BE49-F238E27FC236}">
                <a16:creationId xmlns:a16="http://schemas.microsoft.com/office/drawing/2014/main" id="{EF38E311-8CC0-452E-A0E7-6AB34AC52CD9}"/>
              </a:ext>
            </a:extLst>
          </xdr:cNvPr>
          <xdr:cNvSpPr txBox="1"/>
        </xdr:nvSpPr>
        <xdr:spPr>
          <a:xfrm>
            <a:off x="877794" y="20891687"/>
            <a:ext cx="10755177" cy="1524550"/>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C00000"/>
                </a:solidFill>
              </a:rPr>
              <a:t>COSTS</a:t>
            </a:r>
          </a:p>
        </xdr:txBody>
      </xdr:sp>
      <xdr:sp macro="" textlink="$S$38">
        <xdr:nvSpPr>
          <xdr:cNvPr id="32769" name="TextBox 238">
            <a:extLst>
              <a:ext uri="{FF2B5EF4-FFF2-40B4-BE49-F238E27FC236}">
                <a16:creationId xmlns:a16="http://schemas.microsoft.com/office/drawing/2014/main" id="{00000000-0008-0000-0700-0000EF000000}"/>
              </a:ext>
            </a:extLst>
          </xdr:cNvPr>
          <xdr:cNvSpPr txBox="1"/>
        </xdr:nvSpPr>
        <xdr:spPr>
          <a:xfrm>
            <a:off x="4513601" y="21024330"/>
            <a:ext cx="2163736" cy="1270459"/>
          </a:xfrm>
          <a:prstGeom prst="rect">
            <a:avLst/>
          </a:prstGeom>
          <a:solidFill>
            <a:srgbClr val="C0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55393D5E-2B99-4125-925D-E649FD6885F0}" type="TxLink">
              <a:rPr lang="en-US" sz="1200" b="0" i="0" u="none" strike="noStrike" kern="1200">
                <a:solidFill>
                  <a:schemeClr val="bg1"/>
                </a:solidFill>
                <a:latin typeface="+mn-lt"/>
                <a:ea typeface="Calibri"/>
                <a:cs typeface="Calibri"/>
              </a:rPr>
              <a:pPr marL="0" indent="0" algn="ctr" defTabSz="914400" rtl="0" eaLnBrk="1" latinLnBrk="0" hangingPunct="1"/>
              <a:t>Contractor 2's annual O&amp;M expenses: 82.8 kEUR (excl. annualised investment costs)</a:t>
            </a:fld>
            <a:endParaRPr lang="en-US" sz="1200" b="0" i="0" u="none" strike="noStrike" kern="1200">
              <a:solidFill>
                <a:schemeClr val="bg1"/>
              </a:solidFill>
              <a:latin typeface="+mn-lt"/>
              <a:ea typeface="Calibri"/>
              <a:cs typeface="Calibri"/>
            </a:endParaRPr>
          </a:p>
        </xdr:txBody>
      </xdr:sp>
      <xdr:sp macro="" textlink="$S$39">
        <xdr:nvSpPr>
          <xdr:cNvPr id="32772" name="TextBox 238">
            <a:extLst>
              <a:ext uri="{FF2B5EF4-FFF2-40B4-BE49-F238E27FC236}">
                <a16:creationId xmlns:a16="http://schemas.microsoft.com/office/drawing/2014/main" id="{7681DEB5-8A09-122D-2761-9D928D31F824}"/>
              </a:ext>
            </a:extLst>
          </xdr:cNvPr>
          <xdr:cNvSpPr txBox="1"/>
        </xdr:nvSpPr>
        <xdr:spPr>
          <a:xfrm>
            <a:off x="2165549" y="21024330"/>
            <a:ext cx="2148794" cy="1270459"/>
          </a:xfrm>
          <a:prstGeom prst="rect">
            <a:avLst/>
          </a:prstGeom>
          <a:solidFill>
            <a:srgbClr val="C0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FF0C8DA0-B8E2-4C35-A2AC-B1B120608A1A}" type="TxLink">
              <a:rPr lang="en-US" sz="1200" b="0" i="0" u="none" strike="noStrike" kern="1200">
                <a:solidFill>
                  <a:schemeClr val="bg1"/>
                </a:solidFill>
                <a:latin typeface="+mn-lt"/>
                <a:ea typeface="Calibri"/>
                <a:cs typeface="Calibri"/>
              </a:rPr>
              <a:pPr marL="0" indent="0" algn="ctr" defTabSz="914400" rtl="0" eaLnBrk="1" latinLnBrk="0" hangingPunct="1"/>
              <a:t>Contractor 2's total annual expenses: 147.9 kEUR (incl. annualised investment costs)</a:t>
            </a:fld>
            <a:endParaRPr lang="en-US" sz="1200" b="0" i="0" u="none" strike="noStrike" kern="1200">
              <a:solidFill>
                <a:schemeClr val="bg1"/>
              </a:solidFill>
              <a:latin typeface="+mn-lt"/>
              <a:ea typeface="Calibri"/>
              <a:cs typeface="Calibri"/>
            </a:endParaRPr>
          </a:p>
        </xdr:txBody>
      </xdr:sp>
    </xdr:grpSp>
    <xdr:clientData/>
  </xdr:twoCellAnchor>
  <xdr:twoCellAnchor>
    <xdr:from>
      <xdr:col>1</xdr:col>
      <xdr:colOff>317500</xdr:colOff>
      <xdr:row>118</xdr:row>
      <xdr:rowOff>86481</xdr:rowOff>
    </xdr:from>
    <xdr:to>
      <xdr:col>10</xdr:col>
      <xdr:colOff>449500</xdr:colOff>
      <xdr:row>126</xdr:row>
      <xdr:rowOff>176081</xdr:rowOff>
    </xdr:to>
    <xdr:grpSp>
      <xdr:nvGrpSpPr>
        <xdr:cNvPr id="32790" name="Gruppieren 32789">
          <a:extLst>
            <a:ext uri="{FF2B5EF4-FFF2-40B4-BE49-F238E27FC236}">
              <a16:creationId xmlns:a16="http://schemas.microsoft.com/office/drawing/2014/main" id="{86C7A9E3-90EA-3AC3-B1CE-86DEA3631BFC}"/>
            </a:ext>
          </a:extLst>
        </xdr:cNvPr>
        <xdr:cNvGrpSpPr/>
      </xdr:nvGrpSpPr>
      <xdr:grpSpPr>
        <a:xfrm>
          <a:off x="859692" y="25327731"/>
          <a:ext cx="10587520" cy="1613600"/>
          <a:chOff x="877794" y="24663213"/>
          <a:chExt cx="10755177" cy="1524550"/>
        </a:xfrm>
      </xdr:grpSpPr>
      <xdr:sp macro="" textlink="">
        <xdr:nvSpPr>
          <xdr:cNvPr id="46" name="Textfeld 45">
            <a:extLst>
              <a:ext uri="{FF2B5EF4-FFF2-40B4-BE49-F238E27FC236}">
                <a16:creationId xmlns:a16="http://schemas.microsoft.com/office/drawing/2014/main" id="{E2D65941-CFF4-4970-8DE2-B7090ADE39DA}"/>
              </a:ext>
            </a:extLst>
          </xdr:cNvPr>
          <xdr:cNvSpPr txBox="1"/>
        </xdr:nvSpPr>
        <xdr:spPr>
          <a:xfrm>
            <a:off x="877794" y="24663213"/>
            <a:ext cx="10755177" cy="1524550"/>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chemeClr val="bg1">
                    <a:lumMod val="50000"/>
                  </a:schemeClr>
                </a:solidFill>
              </a:rPr>
              <a:t>IRR</a:t>
            </a:r>
          </a:p>
        </xdr:txBody>
      </xdr:sp>
      <xdr:sp macro="" textlink="$S$65">
        <xdr:nvSpPr>
          <xdr:cNvPr id="233" name="TextBox 1">
            <a:extLst>
              <a:ext uri="{FF2B5EF4-FFF2-40B4-BE49-F238E27FC236}">
                <a16:creationId xmlns:a16="http://schemas.microsoft.com/office/drawing/2014/main" id="{53D8B4F5-3038-3565-5033-52AA8DC10E19}"/>
              </a:ext>
            </a:extLst>
          </xdr:cNvPr>
          <xdr:cNvSpPr txBox="1"/>
        </xdr:nvSpPr>
        <xdr:spPr>
          <a:xfrm>
            <a:off x="2139342" y="24788366"/>
            <a:ext cx="2148794" cy="1270459"/>
          </a:xfrm>
          <a:prstGeom prst="rect">
            <a:avLst/>
          </a:prstGeom>
          <a:solidFill>
            <a:schemeClr val="bg1">
              <a:lumMod val="5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defTabSz="914400" rtl="0" eaLnBrk="1" latinLnBrk="0" hangingPunct="1"/>
            <a:fld id="{E15CCD5F-16FE-4C0B-85FE-A4A8A83377E3}" type="TxLink">
              <a:rPr lang="en-US" sz="1200" b="0" i="0" u="none" strike="noStrike" kern="1200">
                <a:solidFill>
                  <a:schemeClr val="bg1"/>
                </a:solidFill>
                <a:latin typeface="+mn-lt"/>
                <a:ea typeface="Calibri"/>
                <a:cs typeface="Calibri"/>
              </a:rPr>
              <a:pPr marL="0" indent="0" algn="ctr" defTabSz="914400" rtl="0" eaLnBrk="1" latinLnBrk="0" hangingPunct="1"/>
              <a:t>Contractor 2's internal rate of return: 6.83 % per year (considering calculatory life time of 15 years)</a:t>
            </a:fld>
            <a:endParaRPr lang="en-US" sz="1200" b="0" i="0" u="none" strike="noStrike" kern="1200">
              <a:solidFill>
                <a:schemeClr val="bg1"/>
              </a:solidFill>
              <a:latin typeface="+mn-lt"/>
              <a:ea typeface="Calibri"/>
              <a:cs typeface="Calibri"/>
            </a:endParaRPr>
          </a:p>
        </xdr:txBody>
      </xdr:sp>
    </xdr:grpSp>
    <xdr:clientData/>
  </xdr:twoCellAnchor>
  <xdr:twoCellAnchor>
    <xdr:from>
      <xdr:col>1</xdr:col>
      <xdr:colOff>317500</xdr:colOff>
      <xdr:row>127</xdr:row>
      <xdr:rowOff>112065</xdr:rowOff>
    </xdr:from>
    <xdr:to>
      <xdr:col>10</xdr:col>
      <xdr:colOff>449500</xdr:colOff>
      <xdr:row>136</xdr:row>
      <xdr:rowOff>23865</xdr:rowOff>
    </xdr:to>
    <xdr:grpSp>
      <xdr:nvGrpSpPr>
        <xdr:cNvPr id="32791" name="Gruppieren 32790">
          <a:extLst>
            <a:ext uri="{FF2B5EF4-FFF2-40B4-BE49-F238E27FC236}">
              <a16:creationId xmlns:a16="http://schemas.microsoft.com/office/drawing/2014/main" id="{CF983650-0A83-45CE-3F2F-E80F36E9BCA9}"/>
            </a:ext>
          </a:extLst>
        </xdr:cNvPr>
        <xdr:cNvGrpSpPr/>
      </xdr:nvGrpSpPr>
      <xdr:grpSpPr>
        <a:xfrm>
          <a:off x="859692" y="27067815"/>
          <a:ext cx="10587520" cy="1626300"/>
          <a:chOff x="877794" y="26549724"/>
          <a:chExt cx="10755177" cy="1524550"/>
        </a:xfrm>
      </xdr:grpSpPr>
      <xdr:sp macro="" textlink="">
        <xdr:nvSpPr>
          <xdr:cNvPr id="47" name="Textfeld 46">
            <a:extLst>
              <a:ext uri="{FF2B5EF4-FFF2-40B4-BE49-F238E27FC236}">
                <a16:creationId xmlns:a16="http://schemas.microsoft.com/office/drawing/2014/main" id="{B8406892-510B-4DBD-BE28-D5B4E7695346}"/>
              </a:ext>
            </a:extLst>
          </xdr:cNvPr>
          <xdr:cNvSpPr txBox="1"/>
        </xdr:nvSpPr>
        <xdr:spPr>
          <a:xfrm>
            <a:off x="877794" y="26549724"/>
            <a:ext cx="10755177" cy="1524550"/>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chemeClr val="accent5"/>
                </a:solidFill>
              </a:rPr>
              <a:t>BREAK-EVEN</a:t>
            </a:r>
          </a:p>
        </xdr:txBody>
      </xdr:sp>
      <xdr:sp macro="" textlink="$S$32">
        <xdr:nvSpPr>
          <xdr:cNvPr id="289" name="TextBox 1">
            <a:extLst>
              <a:ext uri="{FF2B5EF4-FFF2-40B4-BE49-F238E27FC236}">
                <a16:creationId xmlns:a16="http://schemas.microsoft.com/office/drawing/2014/main" id="{BA137A54-8C8F-C9C3-A93F-DE5A9A1B1DFE}"/>
              </a:ext>
            </a:extLst>
          </xdr:cNvPr>
          <xdr:cNvSpPr txBox="1"/>
        </xdr:nvSpPr>
        <xdr:spPr>
          <a:xfrm>
            <a:off x="2139342" y="26678242"/>
            <a:ext cx="2148794" cy="1270458"/>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defTabSz="914400" rtl="0" eaLnBrk="1" latinLnBrk="0" hangingPunct="1"/>
            <a:fld id="{2A09ACAD-76C0-4E7C-BC12-D4E60ACFFA5F}" type="TxLink">
              <a:rPr lang="en-US" sz="1200" b="0" i="0" u="none" strike="noStrike" kern="1200">
                <a:solidFill>
                  <a:schemeClr val="bg1"/>
                </a:solidFill>
                <a:latin typeface="+mn-lt"/>
                <a:ea typeface="Calibri"/>
                <a:cs typeface="Calibri"/>
              </a:rPr>
              <a:pPr marL="0" indent="0" algn="ctr" defTabSz="914400" rtl="0" eaLnBrk="1" latinLnBrk="0" hangingPunct="1"/>
              <a:t>Break-even price for waste heat supplied by DC: 1.52 EUR/MWh_provided_by_DC</a:t>
            </a:fld>
            <a:endParaRPr lang="en-US" sz="1200" b="0" i="0" u="none" strike="noStrike" kern="1200">
              <a:solidFill>
                <a:schemeClr val="bg1"/>
              </a:solidFill>
              <a:latin typeface="+mn-lt"/>
              <a:ea typeface="Calibri"/>
              <a:cs typeface="Calibri"/>
            </a:endParaRPr>
          </a:p>
        </xdr:txBody>
      </xdr:sp>
      <xdr:sp macro="" textlink="$S$33">
        <xdr:nvSpPr>
          <xdr:cNvPr id="290" name="TextBox 1">
            <a:extLst>
              <a:ext uri="{FF2B5EF4-FFF2-40B4-BE49-F238E27FC236}">
                <a16:creationId xmlns:a16="http://schemas.microsoft.com/office/drawing/2014/main" id="{F0D588BE-8DFB-BC70-AE53-E7DBB08408BC}"/>
              </a:ext>
            </a:extLst>
          </xdr:cNvPr>
          <xdr:cNvSpPr txBox="1"/>
        </xdr:nvSpPr>
        <xdr:spPr>
          <a:xfrm>
            <a:off x="4513601" y="26678242"/>
            <a:ext cx="2163736" cy="1270458"/>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defTabSz="914400" rtl="0" eaLnBrk="1" latinLnBrk="0" hangingPunct="1"/>
            <a:fld id="{68A4837C-6153-44F2-81D9-B520670B5EC4}" type="TxLink">
              <a:rPr lang="en-US" sz="1200" b="0" i="0" u="none" strike="noStrike" kern="1200">
                <a:solidFill>
                  <a:schemeClr val="bg1"/>
                </a:solidFill>
                <a:latin typeface="+mn-lt"/>
                <a:ea typeface="Calibri"/>
                <a:cs typeface="Calibri"/>
              </a:rPr>
              <a:pPr marL="0" indent="0" algn="ctr" defTabSz="914400" rtl="0" eaLnBrk="1" latinLnBrk="0" hangingPunct="1"/>
              <a:t>Break-even price for waste heat utilised by HP: 1.61 EUR/MWh_utilized_by_HP</a:t>
            </a:fld>
            <a:endParaRPr lang="en-US" sz="1200" b="0" i="0" u="none" strike="noStrike" kern="1200">
              <a:solidFill>
                <a:schemeClr val="bg1"/>
              </a:solidFill>
              <a:latin typeface="+mn-lt"/>
              <a:ea typeface="Calibri"/>
              <a:cs typeface="Calibri"/>
            </a:endParaRPr>
          </a:p>
        </xdr:txBody>
      </xdr:sp>
    </xdr:grpSp>
    <xdr:clientData/>
  </xdr:twoCellAnchor>
  <xdr:twoCellAnchor>
    <xdr:from>
      <xdr:col>6</xdr:col>
      <xdr:colOff>333375</xdr:colOff>
      <xdr:row>58</xdr:row>
      <xdr:rowOff>179131</xdr:rowOff>
    </xdr:from>
    <xdr:to>
      <xdr:col>6</xdr:col>
      <xdr:colOff>513375</xdr:colOff>
      <xdr:row>65</xdr:row>
      <xdr:rowOff>28306</xdr:rowOff>
    </xdr:to>
    <xdr:sp macro="" textlink="">
      <xdr:nvSpPr>
        <xdr:cNvPr id="319" name="Pfeil: nach oben gebogen 318">
          <a:extLst>
            <a:ext uri="{FF2B5EF4-FFF2-40B4-BE49-F238E27FC236}">
              <a16:creationId xmlns:a16="http://schemas.microsoft.com/office/drawing/2014/main" id="{0980CE2A-9E6F-6A35-5E89-3117CBC0B189}"/>
            </a:ext>
          </a:extLst>
        </xdr:cNvPr>
        <xdr:cNvSpPr/>
      </xdr:nvSpPr>
      <xdr:spPr>
        <a:xfrm>
          <a:off x="6667500" y="14095156"/>
          <a:ext cx="180000" cy="1116000"/>
        </a:xfrm>
        <a:prstGeom prst="bentUpArrow">
          <a:avLst>
            <a:gd name="adj1" fmla="val 14550"/>
            <a:gd name="adj2" fmla="val 25000"/>
            <a:gd name="adj3" fmla="val 36757"/>
          </a:avLst>
        </a:prstGeom>
        <a:solidFill>
          <a:schemeClr val="accent1">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latin typeface="+mn-lt"/>
          </a:endParaRPr>
        </a:p>
      </xdr:txBody>
    </xdr:sp>
    <xdr:clientData/>
  </xdr:twoCellAnchor>
  <xdr:twoCellAnchor>
    <xdr:from>
      <xdr:col>7</xdr:col>
      <xdr:colOff>71927</xdr:colOff>
      <xdr:row>68</xdr:row>
      <xdr:rowOff>3933</xdr:rowOff>
    </xdr:from>
    <xdr:to>
      <xdr:col>8</xdr:col>
      <xdr:colOff>435127</xdr:colOff>
      <xdr:row>70</xdr:row>
      <xdr:rowOff>44333</xdr:rowOff>
    </xdr:to>
    <xdr:sp macro="" textlink="$S$66">
      <xdr:nvSpPr>
        <xdr:cNvPr id="14" name="Rechteck 2">
          <a:extLst>
            <a:ext uri="{FF2B5EF4-FFF2-40B4-BE49-F238E27FC236}">
              <a16:creationId xmlns:a16="http://schemas.microsoft.com/office/drawing/2014/main" id="{4D2723AF-7A12-4596-AC91-20FA484F616A}"/>
            </a:ext>
          </a:extLst>
        </xdr:cNvPr>
        <xdr:cNvSpPr/>
      </xdr:nvSpPr>
      <xdr:spPr>
        <a:xfrm>
          <a:off x="7710977" y="15205833"/>
          <a:ext cx="2706350" cy="42140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72000" rIns="72000" rtlCol="0" anchor="ctr">
          <a:noAutofit/>
        </a:bodyPr>
        <a:lstStyle/>
        <a:p>
          <a:pPr marL="0" indent="0" algn="ctr"/>
          <a:fld id="{E27B0E65-67BC-428C-93E9-908242C76392}" type="TxLink">
            <a:rPr lang="en-US" sz="900" b="0" i="0" u="none" strike="noStrike">
              <a:solidFill>
                <a:srgbClr val="12355B"/>
              </a:solidFill>
              <a:latin typeface="+mn-lt"/>
              <a:ea typeface="Calibri"/>
              <a:cs typeface="Calibri"/>
            </a:rPr>
            <a:pPr marL="0" indent="0" algn="ctr"/>
            <a:t>Investments (considering subsidies): 0 kEUR (lump-sum)</a:t>
          </a:fld>
          <a:endParaRPr lang="de-DE" sz="900" b="0" i="0" u="none" strike="noStrike">
            <a:solidFill>
              <a:srgbClr val="12355B"/>
            </a:solidFill>
            <a:latin typeface="+mn-lt"/>
            <a:ea typeface="Calibri"/>
            <a:cs typeface="Calibri"/>
          </a:endParaRPr>
        </a:p>
      </xdr:txBody>
    </xdr:sp>
    <xdr:clientData/>
  </xdr:twoCellAnchor>
  <xdr:twoCellAnchor>
    <xdr:from>
      <xdr:col>7</xdr:col>
      <xdr:colOff>71927</xdr:colOff>
      <xdr:row>70</xdr:row>
      <xdr:rowOff>119889</xdr:rowOff>
    </xdr:from>
    <xdr:to>
      <xdr:col>8</xdr:col>
      <xdr:colOff>435127</xdr:colOff>
      <xdr:row>72</xdr:row>
      <xdr:rowOff>160289</xdr:rowOff>
    </xdr:to>
    <xdr:sp macro="" textlink="$S$67">
      <xdr:nvSpPr>
        <xdr:cNvPr id="15" name="Rechteck 2">
          <a:extLst>
            <a:ext uri="{FF2B5EF4-FFF2-40B4-BE49-F238E27FC236}">
              <a16:creationId xmlns:a16="http://schemas.microsoft.com/office/drawing/2014/main" id="{B9B19B2F-062D-48CB-8ACF-80E5A65543FC}"/>
            </a:ext>
          </a:extLst>
        </xdr:cNvPr>
        <xdr:cNvSpPr/>
      </xdr:nvSpPr>
      <xdr:spPr>
        <a:xfrm>
          <a:off x="7710977" y="15702789"/>
          <a:ext cx="2706350" cy="42140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FD1C8411-8A91-4842-ACAD-5C0E69130060}" type="TxLink">
            <a:rPr lang="en-US" sz="900" b="0" i="0" u="none" strike="noStrike">
              <a:solidFill>
                <a:srgbClr val="12355B"/>
              </a:solidFill>
              <a:latin typeface="+mn-lt"/>
              <a:ea typeface="Calibri"/>
              <a:cs typeface="Calibri"/>
            </a:rPr>
            <a:pPr marL="0" indent="0" algn="ctr"/>
            <a:t>Annual operation independent expenses: 0 kEUR/yr</a:t>
          </a:fld>
          <a:endParaRPr lang="de-DE" sz="900" b="0" i="0" u="none" strike="noStrike">
            <a:solidFill>
              <a:srgbClr val="12355B"/>
            </a:solidFill>
            <a:latin typeface="+mn-lt"/>
            <a:ea typeface="Calibri"/>
            <a:cs typeface="Calibri"/>
          </a:endParaRPr>
        </a:p>
      </xdr:txBody>
    </xdr:sp>
    <xdr:clientData/>
  </xdr:twoCellAnchor>
  <xdr:twoCellAnchor>
    <xdr:from>
      <xdr:col>7</xdr:col>
      <xdr:colOff>71927</xdr:colOff>
      <xdr:row>73</xdr:row>
      <xdr:rowOff>58045</xdr:rowOff>
    </xdr:from>
    <xdr:to>
      <xdr:col>8</xdr:col>
      <xdr:colOff>435127</xdr:colOff>
      <xdr:row>75</xdr:row>
      <xdr:rowOff>98445</xdr:rowOff>
    </xdr:to>
    <xdr:sp macro="" textlink="$S$68">
      <xdr:nvSpPr>
        <xdr:cNvPr id="17" name="Rechteck 2">
          <a:extLst>
            <a:ext uri="{FF2B5EF4-FFF2-40B4-BE49-F238E27FC236}">
              <a16:creationId xmlns:a16="http://schemas.microsoft.com/office/drawing/2014/main" id="{CF14FDB9-F79D-46F5-8021-656BB67519FD}"/>
            </a:ext>
          </a:extLst>
        </xdr:cNvPr>
        <xdr:cNvSpPr/>
      </xdr:nvSpPr>
      <xdr:spPr>
        <a:xfrm>
          <a:off x="7710977" y="16212445"/>
          <a:ext cx="2706350" cy="42140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91F77943-B0EB-4F60-A449-F3C34FD3045F}" type="TxLink">
            <a:rPr lang="en-US" sz="900" b="0" i="0" u="none" strike="noStrike">
              <a:solidFill>
                <a:srgbClr val="12355B"/>
              </a:solidFill>
              <a:latin typeface="+mn-lt"/>
              <a:ea typeface="Calibri"/>
              <a:cs typeface="Calibri"/>
            </a:rPr>
            <a:pPr marL="0" indent="0" algn="ctr"/>
            <a:t>Annual variable costs: 0 kEUR/yr</a:t>
          </a:fld>
          <a:endParaRPr lang="de-DE" sz="900" b="0" i="0" u="none" strike="noStrike">
            <a:solidFill>
              <a:srgbClr val="12355B"/>
            </a:solidFill>
            <a:latin typeface="+mn-lt"/>
            <a:ea typeface="Calibri"/>
            <a:cs typeface="Calibri"/>
          </a:endParaRPr>
        </a:p>
      </xdr:txBody>
    </xdr:sp>
    <xdr:clientData/>
  </xdr:twoCellAnchor>
  <xdr:twoCellAnchor>
    <xdr:from>
      <xdr:col>1</xdr:col>
      <xdr:colOff>831537</xdr:colOff>
      <xdr:row>59</xdr:row>
      <xdr:rowOff>99746</xdr:rowOff>
    </xdr:from>
    <xdr:to>
      <xdr:col>2</xdr:col>
      <xdr:colOff>411237</xdr:colOff>
      <xdr:row>62</xdr:row>
      <xdr:rowOff>70346</xdr:rowOff>
    </xdr:to>
    <xdr:sp macro="" textlink="$S$77">
      <xdr:nvSpPr>
        <xdr:cNvPr id="5" name="TextBox 69">
          <a:extLst>
            <a:ext uri="{FF2B5EF4-FFF2-40B4-BE49-F238E27FC236}">
              <a16:creationId xmlns:a16="http://schemas.microsoft.com/office/drawing/2014/main" id="{EF526207-BBA2-4E72-AE1C-C40545CA1733}"/>
            </a:ext>
          </a:extLst>
        </xdr:cNvPr>
        <xdr:cNvSpPr txBox="1"/>
      </xdr:nvSpPr>
      <xdr:spPr>
        <a:xfrm>
          <a:off x="1383987" y="13587146"/>
          <a:ext cx="1980000" cy="542100"/>
        </a:xfrm>
        <a:prstGeom prst="rect">
          <a:avLst/>
        </a:prstGeom>
        <a:solidFill>
          <a:srgbClr val="D4E8E7"/>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defTabSz="914400" rtl="0" eaLnBrk="1" latinLnBrk="0" hangingPunct="1"/>
          <a:fld id="{DBC3946E-9951-4240-95C5-F1B31F066519}" type="TxLink">
            <a:rPr lang="en-US" sz="1000" b="0" i="0" u="none" strike="noStrike" kern="1200">
              <a:solidFill>
                <a:srgbClr val="12355B"/>
              </a:solidFill>
              <a:latin typeface="+mn-lt"/>
              <a:ea typeface="Calibri"/>
              <a:cs typeface="Calibri"/>
            </a:rPr>
            <a:pPr marL="0" indent="0" algn="ctr" defTabSz="914400" rtl="0" eaLnBrk="1" latinLnBrk="0" hangingPunct="1"/>
            <a:t>Remaining electricity demand for active cooling: 0.1 GWh/yr</a:t>
          </a:fld>
          <a:endParaRPr lang="en-US" sz="1000" b="0" i="0" u="none" strike="noStrike" kern="1200">
            <a:solidFill>
              <a:srgbClr val="12355B"/>
            </a:solidFill>
            <a:latin typeface="+mn-lt"/>
            <a:ea typeface="Calibri"/>
            <a:cs typeface="Calibri"/>
          </a:endParaRPr>
        </a:p>
      </xdr:txBody>
    </xdr:sp>
    <xdr:clientData/>
  </xdr:twoCellAnchor>
  <xdr:twoCellAnchor>
    <xdr:from>
      <xdr:col>1</xdr:col>
      <xdr:colOff>831536</xdr:colOff>
      <xdr:row>63</xdr:row>
      <xdr:rowOff>33727</xdr:rowOff>
    </xdr:from>
    <xdr:to>
      <xdr:col>2</xdr:col>
      <xdr:colOff>411236</xdr:colOff>
      <xdr:row>66</xdr:row>
      <xdr:rowOff>4327</xdr:rowOff>
    </xdr:to>
    <xdr:sp macro="" textlink="$S$76">
      <xdr:nvSpPr>
        <xdr:cNvPr id="13" name="TextBox 69">
          <a:extLst>
            <a:ext uri="{FF2B5EF4-FFF2-40B4-BE49-F238E27FC236}">
              <a16:creationId xmlns:a16="http://schemas.microsoft.com/office/drawing/2014/main" id="{5444F309-982D-4B52-7CC2-4D5559E4940F}"/>
            </a:ext>
          </a:extLst>
        </xdr:cNvPr>
        <xdr:cNvSpPr txBox="1"/>
      </xdr:nvSpPr>
      <xdr:spPr>
        <a:xfrm>
          <a:off x="1383986" y="14854627"/>
          <a:ext cx="1980000" cy="513525"/>
        </a:xfrm>
        <a:prstGeom prst="rect">
          <a:avLst/>
        </a:prstGeom>
        <a:solidFill>
          <a:srgbClr val="D4E8E7"/>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defTabSz="914400" rtl="0" eaLnBrk="1" latinLnBrk="0" hangingPunct="1"/>
          <a:fld id="{814E074D-7E82-418E-9D96-D652CC57888B}" type="TxLink">
            <a:rPr lang="en-US" sz="1000" b="0" i="0" u="none" strike="noStrike" kern="1200">
              <a:solidFill>
                <a:srgbClr val="12355B"/>
              </a:solidFill>
              <a:latin typeface="+mn-lt"/>
              <a:ea typeface="Calibri"/>
              <a:cs typeface="Calibri"/>
            </a:rPr>
            <a:pPr marL="0" indent="0" algn="ctr" defTabSz="914400" rtl="0" eaLnBrk="1" latinLnBrk="0" hangingPunct="1"/>
            <a:t>Avoided electricity demand for active cooling: 1.5 GWh/yr</a:t>
          </a:fld>
          <a:endParaRPr lang="en-US" sz="1000" b="0" i="0" u="none" strike="noStrike" kern="1200">
            <a:solidFill>
              <a:srgbClr val="12355B"/>
            </a:solidFill>
            <a:latin typeface="+mn-lt"/>
            <a:ea typeface="Calibri"/>
            <a:cs typeface="Calibri"/>
          </a:endParaRPr>
        </a:p>
      </xdr:txBody>
    </xdr:sp>
    <xdr:clientData/>
  </xdr:twoCellAnchor>
  <xdr:twoCellAnchor>
    <xdr:from>
      <xdr:col>1</xdr:col>
      <xdr:colOff>510540</xdr:colOff>
      <xdr:row>75</xdr:row>
      <xdr:rowOff>174002</xdr:rowOff>
    </xdr:from>
    <xdr:to>
      <xdr:col>3</xdr:col>
      <xdr:colOff>200640</xdr:colOff>
      <xdr:row>78</xdr:row>
      <xdr:rowOff>36602</xdr:rowOff>
    </xdr:to>
    <xdr:sp macro="" textlink="$S$61">
      <xdr:nvSpPr>
        <xdr:cNvPr id="152" name="Rechteck 2">
          <a:extLst>
            <a:ext uri="{FF2B5EF4-FFF2-40B4-BE49-F238E27FC236}">
              <a16:creationId xmlns:a16="http://schemas.microsoft.com/office/drawing/2014/main" id="{C8C472E5-910B-4D2E-9A8F-DD5C5F8357AE}"/>
            </a:ext>
          </a:extLst>
        </xdr:cNvPr>
        <xdr:cNvSpPr/>
      </xdr:nvSpPr>
      <xdr:spPr>
        <a:xfrm>
          <a:off x="1062990" y="16709402"/>
          <a:ext cx="2700000" cy="434100"/>
        </a:xfrm>
        <a:prstGeom prst="rect">
          <a:avLst/>
        </a:prstGeom>
        <a:solidFill>
          <a:schemeClr val="bg1"/>
        </a:solidFill>
        <a:ln w="12700" cmpd="sng">
          <a:solidFill>
            <a:srgbClr val="247BA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marL="0" indent="0" algn="ctr"/>
          <a:fld id="{2B321632-4ECF-4FD9-8434-798A3C3EC756}" type="TxLink">
            <a:rPr lang="en-US" sz="900" b="0" i="0" u="none" strike="noStrike">
              <a:solidFill>
                <a:srgbClr val="12355B"/>
              </a:solidFill>
              <a:latin typeface="+mn-lt"/>
              <a:ea typeface="Calibri"/>
              <a:cs typeface="Calibri"/>
            </a:rPr>
            <a:pPr marL="0" indent="0" algn="ctr"/>
            <a:t>Total annualised costs (considering demanded IRR and depreciation time of contractor 2): 147.9 kEUR/yr</a:t>
          </a:fld>
          <a:endParaRPr lang="de-DE" sz="900" b="0" i="0" u="none" strike="noStrike">
            <a:solidFill>
              <a:srgbClr val="12355B"/>
            </a:solidFill>
            <a:latin typeface="+mn-lt"/>
            <a:ea typeface="Calibri"/>
            <a:cs typeface="Calibri"/>
          </a:endParaRPr>
        </a:p>
      </xdr:txBody>
    </xdr:sp>
    <xdr:clientData/>
  </xdr:twoCellAnchor>
  <xdr:twoCellAnchor>
    <xdr:from>
      <xdr:col>1</xdr:col>
      <xdr:colOff>494156</xdr:colOff>
      <xdr:row>80</xdr:row>
      <xdr:rowOff>161570</xdr:rowOff>
    </xdr:from>
    <xdr:to>
      <xdr:col>3</xdr:col>
      <xdr:colOff>184256</xdr:colOff>
      <xdr:row>83</xdr:row>
      <xdr:rowOff>24170</xdr:rowOff>
    </xdr:to>
    <xdr:sp macro="" textlink="$S$78">
      <xdr:nvSpPr>
        <xdr:cNvPr id="21" name="Rechteck 2">
          <a:extLst>
            <a:ext uri="{FF2B5EF4-FFF2-40B4-BE49-F238E27FC236}">
              <a16:creationId xmlns:a16="http://schemas.microsoft.com/office/drawing/2014/main" id="{08EE654C-DC2F-4527-ADBD-8CB8E2B7CB6A}"/>
            </a:ext>
          </a:extLst>
        </xdr:cNvPr>
        <xdr:cNvSpPr/>
      </xdr:nvSpPr>
      <xdr:spPr>
        <a:xfrm>
          <a:off x="1046606" y="17649470"/>
          <a:ext cx="2700000" cy="434100"/>
        </a:xfrm>
        <a:prstGeom prst="rect">
          <a:avLst/>
        </a:prstGeom>
        <a:solidFill>
          <a:schemeClr val="accent4">
            <a:lumMod val="20000"/>
            <a:lumOff val="80000"/>
          </a:schemeClr>
        </a:solidFill>
        <a:ln w="12700" cmpd="sng">
          <a:solidFill>
            <a:srgbClr val="247BA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21BC90BB-FC8C-4CCC-9CAB-B3FCC4C3B2D4}" type="TxLink">
            <a:rPr lang="en-US" sz="900" b="1" i="0" u="none" strike="noStrike">
              <a:solidFill>
                <a:srgbClr val="12355B"/>
              </a:solidFill>
              <a:latin typeface="+mn-lt"/>
              <a:ea typeface="Calibri"/>
              <a:cs typeface="Calibri"/>
            </a:rPr>
            <a:pPr marL="0" indent="0" algn="ctr"/>
            <a:t>Avoided electricity costs for active cooling: 121.4 kEUR/yr</a:t>
          </a:fld>
          <a:endParaRPr lang="de-DE" sz="900" b="1" i="0" u="none" strike="noStrike">
            <a:solidFill>
              <a:srgbClr val="12355B"/>
            </a:solidFill>
            <a:latin typeface="+mn-lt"/>
            <a:ea typeface="Calibri"/>
            <a:cs typeface="Calibri"/>
          </a:endParaRPr>
        </a:p>
      </xdr:txBody>
    </xdr:sp>
    <xdr:clientData/>
  </xdr:twoCellAnchor>
  <xdr:twoCellAnchor>
    <xdr:from>
      <xdr:col>1</xdr:col>
      <xdr:colOff>494157</xdr:colOff>
      <xdr:row>83</xdr:row>
      <xdr:rowOff>111258</xdr:rowOff>
    </xdr:from>
    <xdr:to>
      <xdr:col>3</xdr:col>
      <xdr:colOff>184257</xdr:colOff>
      <xdr:row>85</xdr:row>
      <xdr:rowOff>151658</xdr:rowOff>
    </xdr:to>
    <xdr:sp macro="" textlink="$S$79">
      <xdr:nvSpPr>
        <xdr:cNvPr id="23" name="Rechteck 2">
          <a:extLst>
            <a:ext uri="{FF2B5EF4-FFF2-40B4-BE49-F238E27FC236}">
              <a16:creationId xmlns:a16="http://schemas.microsoft.com/office/drawing/2014/main" id="{0E244227-25C9-4794-297F-384FC66A9B92}"/>
            </a:ext>
          </a:extLst>
        </xdr:cNvPr>
        <xdr:cNvSpPr/>
      </xdr:nvSpPr>
      <xdr:spPr>
        <a:xfrm>
          <a:off x="1046607" y="18170658"/>
          <a:ext cx="2700000" cy="421400"/>
        </a:xfrm>
        <a:prstGeom prst="rect">
          <a:avLst/>
        </a:prstGeom>
        <a:solidFill>
          <a:schemeClr val="bg1"/>
        </a:solidFill>
        <a:ln w="12700" cmpd="sng">
          <a:solidFill>
            <a:srgbClr val="247BA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3886DDD3-9446-4D4E-9F3E-94A1198EFACC}" type="TxLink">
            <a:rPr lang="en-US" sz="900" b="0" i="0" u="none" strike="noStrike">
              <a:solidFill>
                <a:srgbClr val="12355B"/>
              </a:solidFill>
              <a:latin typeface="+mn-lt"/>
              <a:ea typeface="Calibri"/>
              <a:cs typeface="Calibri"/>
            </a:rPr>
            <a:pPr marL="0" indent="0" algn="ctr"/>
            <a:t>Remaining electricity costs for active cooling: 13 kEUR/yr</a:t>
          </a:fld>
          <a:endParaRPr lang="de-DE" sz="900" b="0" i="0" u="none" strike="noStrike">
            <a:solidFill>
              <a:srgbClr val="12355B"/>
            </a:solidFill>
            <a:latin typeface="+mn-lt"/>
            <a:ea typeface="Calibri"/>
            <a:cs typeface="Calibri"/>
          </a:endParaRPr>
        </a:p>
      </xdr:txBody>
    </xdr:sp>
    <xdr:clientData/>
  </xdr:twoCellAnchor>
  <xdr:twoCellAnchor>
    <xdr:from>
      <xdr:col>1</xdr:col>
      <xdr:colOff>317500</xdr:colOff>
      <xdr:row>109</xdr:row>
      <xdr:rowOff>62388</xdr:rowOff>
    </xdr:from>
    <xdr:to>
      <xdr:col>10</xdr:col>
      <xdr:colOff>449500</xdr:colOff>
      <xdr:row>117</xdr:row>
      <xdr:rowOff>151988</xdr:rowOff>
    </xdr:to>
    <xdr:grpSp>
      <xdr:nvGrpSpPr>
        <xdr:cNvPr id="32789" name="Gruppieren 32788">
          <a:extLst>
            <a:ext uri="{FF2B5EF4-FFF2-40B4-BE49-F238E27FC236}">
              <a16:creationId xmlns:a16="http://schemas.microsoft.com/office/drawing/2014/main" id="{E02C9059-9752-3F23-3EFF-1CF3077734D3}"/>
            </a:ext>
          </a:extLst>
        </xdr:cNvPr>
        <xdr:cNvGrpSpPr/>
      </xdr:nvGrpSpPr>
      <xdr:grpSpPr>
        <a:xfrm>
          <a:off x="859692" y="23589138"/>
          <a:ext cx="10587520" cy="1613600"/>
          <a:chOff x="900654" y="22778197"/>
          <a:chExt cx="10755177" cy="1524550"/>
        </a:xfrm>
      </xdr:grpSpPr>
      <xdr:sp macro="" textlink="">
        <xdr:nvSpPr>
          <xdr:cNvPr id="45" name="Textfeld 44">
            <a:extLst>
              <a:ext uri="{FF2B5EF4-FFF2-40B4-BE49-F238E27FC236}">
                <a16:creationId xmlns:a16="http://schemas.microsoft.com/office/drawing/2014/main" id="{52758875-1F24-4067-A1A7-F50F45BE27D0}"/>
              </a:ext>
            </a:extLst>
          </xdr:cNvPr>
          <xdr:cNvSpPr txBox="1"/>
        </xdr:nvSpPr>
        <xdr:spPr>
          <a:xfrm>
            <a:off x="900654" y="22778197"/>
            <a:ext cx="10755177" cy="1524550"/>
          </a:xfrm>
          <a:prstGeom prst="rect">
            <a:avLst/>
          </a:prstGeom>
          <a:solidFill>
            <a:schemeClr val="bg1"/>
          </a:solidFill>
          <a:ln w="63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51A58B"/>
                </a:solidFill>
              </a:rPr>
              <a:t>EARNINGS</a:t>
            </a:r>
          </a:p>
        </xdr:txBody>
      </xdr:sp>
      <xdr:sp macro="" textlink="$S$46">
        <xdr:nvSpPr>
          <xdr:cNvPr id="213" name="TextBox 1">
            <a:extLst>
              <a:ext uri="{FF2B5EF4-FFF2-40B4-BE49-F238E27FC236}">
                <a16:creationId xmlns:a16="http://schemas.microsoft.com/office/drawing/2014/main" id="{52C095D8-D6E3-4DFE-D580-320C5F910AA9}"/>
              </a:ext>
            </a:extLst>
          </xdr:cNvPr>
          <xdr:cNvSpPr txBox="1"/>
        </xdr:nvSpPr>
        <xdr:spPr>
          <a:xfrm>
            <a:off x="4513601" y="22908951"/>
            <a:ext cx="2163736" cy="1270459"/>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9D202C2A-3295-482F-96F9-419CF2EB2E08}" type="TxLink">
              <a:rPr lang="en-US" sz="1200" b="0" i="0" u="none" strike="noStrike" kern="1200">
                <a:solidFill>
                  <a:schemeClr val="bg1"/>
                </a:solidFill>
                <a:latin typeface="+mn-lt"/>
                <a:ea typeface="Calibri"/>
                <a:cs typeface="Calibri"/>
              </a:rPr>
              <a:pPr marL="0" indent="0" algn="ctr" defTabSz="914400" rtl="0" eaLnBrk="1" latinLnBrk="0" hangingPunct="1"/>
              <a:t>Contractor 2's net earnings due to heat sold to contractor 1 and reduced electricity costs for cooling: 8.3 kEUR/yr (considering annualised investment costs)</a:t>
            </a:fld>
            <a:endParaRPr lang="en-US" sz="1200" b="0" i="0" u="none" strike="noStrike" kern="1200">
              <a:solidFill>
                <a:schemeClr val="bg1"/>
              </a:solidFill>
              <a:latin typeface="+mn-lt"/>
              <a:ea typeface="Calibri"/>
              <a:cs typeface="Calibri"/>
            </a:endParaRPr>
          </a:p>
        </xdr:txBody>
      </xdr:sp>
      <xdr:sp macro="" textlink="$S$45">
        <xdr:nvSpPr>
          <xdr:cNvPr id="222" name="TextBox 1">
            <a:extLst>
              <a:ext uri="{FF2B5EF4-FFF2-40B4-BE49-F238E27FC236}">
                <a16:creationId xmlns:a16="http://schemas.microsoft.com/office/drawing/2014/main" id="{895306E5-3D68-E88C-EDD7-FD4E0317ABA6}"/>
              </a:ext>
            </a:extLst>
          </xdr:cNvPr>
          <xdr:cNvSpPr txBox="1"/>
        </xdr:nvSpPr>
        <xdr:spPr>
          <a:xfrm>
            <a:off x="6902802" y="22908951"/>
            <a:ext cx="2151782" cy="1270459"/>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AB256932-3495-4E01-A97A-4064197ABCA2}" type="TxLink">
              <a:rPr lang="en-US" sz="1200" b="0" i="0" u="none" strike="noStrike" kern="1200">
                <a:solidFill>
                  <a:schemeClr val="bg1"/>
                </a:solidFill>
                <a:latin typeface="+mn-lt"/>
                <a:ea typeface="Calibri"/>
                <a:cs typeface="Calibri"/>
              </a:rPr>
              <a:pPr marL="0" indent="0" algn="ctr" defTabSz="914400" rtl="0" eaLnBrk="1" latinLnBrk="0" hangingPunct="1"/>
              <a:t>Contractor 2's net earnings per MWh of heat supplied: 0.5 EUR/MWh_provided_by_DC</a:t>
            </a:fld>
            <a:endParaRPr lang="en-US" sz="1200" b="0" i="0" u="none" strike="noStrike" kern="1200">
              <a:solidFill>
                <a:schemeClr val="bg1"/>
              </a:solidFill>
              <a:latin typeface="+mn-lt"/>
              <a:ea typeface="Calibri"/>
              <a:cs typeface="Calibri"/>
            </a:endParaRPr>
          </a:p>
        </xdr:txBody>
      </xdr:sp>
      <xdr:sp macro="" textlink="$S$47">
        <xdr:nvSpPr>
          <xdr:cNvPr id="2" name="TextBox 1">
            <a:extLst>
              <a:ext uri="{FF2B5EF4-FFF2-40B4-BE49-F238E27FC236}">
                <a16:creationId xmlns:a16="http://schemas.microsoft.com/office/drawing/2014/main" id="{00000000-0008-0000-0700-000002000000}"/>
              </a:ext>
            </a:extLst>
          </xdr:cNvPr>
          <xdr:cNvSpPr txBox="1"/>
        </xdr:nvSpPr>
        <xdr:spPr>
          <a:xfrm>
            <a:off x="2152019" y="22908951"/>
            <a:ext cx="2148794" cy="1270459"/>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21B7FB0B-9873-4C28-95D2-8DF3BE15DE9C}" type="TxLink">
              <a:rPr lang="en-US" sz="1200" b="0" i="0" u="none" strike="noStrike" kern="1200">
                <a:solidFill>
                  <a:schemeClr val="bg1"/>
                </a:solidFill>
                <a:latin typeface="+mn-lt"/>
                <a:ea typeface="Calibri"/>
                <a:cs typeface="Calibri"/>
              </a:rPr>
              <a:pPr marL="0" indent="0" algn="ctr" defTabSz="914400" rtl="0" eaLnBrk="1" latinLnBrk="0" hangingPunct="1"/>
              <a:t>Contractor 2's gross earnings due to heat sold to contractor 1: 34.8 kEUR/yr</a:t>
            </a:fld>
            <a:endParaRPr lang="en-US" sz="1200" b="0" i="0" u="none" strike="noStrike" kern="1200">
              <a:solidFill>
                <a:schemeClr val="bg1"/>
              </a:solidFill>
              <a:latin typeface="+mn-lt"/>
              <a:ea typeface="Calibri"/>
              <a:cs typeface="Calibri"/>
            </a:endParaRPr>
          </a:p>
        </xdr:txBody>
      </xdr:sp>
      <xdr:sp macro="" textlink="$S$78">
        <xdr:nvSpPr>
          <xdr:cNvPr id="27" name="TextBox 1">
            <a:extLst>
              <a:ext uri="{FF2B5EF4-FFF2-40B4-BE49-F238E27FC236}">
                <a16:creationId xmlns:a16="http://schemas.microsoft.com/office/drawing/2014/main" id="{5F3D5E58-23B8-413F-8B22-AE550330B692}"/>
              </a:ext>
            </a:extLst>
          </xdr:cNvPr>
          <xdr:cNvSpPr txBox="1"/>
        </xdr:nvSpPr>
        <xdr:spPr>
          <a:xfrm>
            <a:off x="9280050" y="22908951"/>
            <a:ext cx="2156265" cy="1270459"/>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274F8370-A569-49DD-AEE6-DDCC85228397}" type="TxLink">
              <a:rPr lang="en-US" sz="1200" b="0" i="0" u="none" strike="noStrike" kern="1200">
                <a:solidFill>
                  <a:schemeClr val="bg1"/>
                </a:solidFill>
                <a:latin typeface="+mn-lt"/>
                <a:ea typeface="Calibri"/>
                <a:cs typeface="Calibri"/>
              </a:rPr>
              <a:pPr marL="0" indent="0" algn="ctr" defTabSz="914400" rtl="0" eaLnBrk="1" latinLnBrk="0" hangingPunct="1"/>
              <a:t>Avoided electricity costs for active cooling: 121.4 kEUR/yr</a:t>
            </a:fld>
            <a:endParaRPr lang="en-US" sz="1200" b="0" i="0" u="none" strike="noStrike" kern="1200">
              <a:solidFill>
                <a:schemeClr val="bg1"/>
              </a:solidFill>
              <a:latin typeface="+mn-lt"/>
              <a:ea typeface="Calibri"/>
              <a:cs typeface="Calibri"/>
            </a:endParaRPr>
          </a:p>
        </xdr:txBody>
      </xdr:sp>
    </xdr:grpSp>
    <xdr:clientData/>
  </xdr:twoCellAnchor>
  <xdr:twoCellAnchor>
    <xdr:from>
      <xdr:col>7</xdr:col>
      <xdr:colOff>1209921</xdr:colOff>
      <xdr:row>37</xdr:row>
      <xdr:rowOff>1692</xdr:rowOff>
    </xdr:from>
    <xdr:to>
      <xdr:col>9</xdr:col>
      <xdr:colOff>522284</xdr:colOff>
      <xdr:row>39</xdr:row>
      <xdr:rowOff>884783</xdr:rowOff>
    </xdr:to>
    <xdr:sp macro="" textlink="$S$48">
      <xdr:nvSpPr>
        <xdr:cNvPr id="32777" name="Rechteck 2">
          <a:extLst>
            <a:ext uri="{FF2B5EF4-FFF2-40B4-BE49-F238E27FC236}">
              <a16:creationId xmlns:a16="http://schemas.microsoft.com/office/drawing/2014/main" id="{26C65E17-69F6-42DB-8C7D-81BB54DC066F}"/>
            </a:ext>
          </a:extLst>
        </xdr:cNvPr>
        <xdr:cNvSpPr/>
      </xdr:nvSpPr>
      <xdr:spPr>
        <a:xfrm>
          <a:off x="8864557" y="9122601"/>
          <a:ext cx="2268000" cy="1368000"/>
        </a:xfrm>
        <a:prstGeom prst="rect">
          <a:avLst/>
        </a:prstGeom>
        <a:solidFill>
          <a:srgbClr val="247BA0"/>
        </a:solidFill>
        <a:ln w="12700" cmpd="sng">
          <a:solidFill>
            <a:schemeClr val="bg1">
              <a:lumMod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marL="0" indent="0" algn="ctr"/>
          <a:fld id="{C1208B9D-0A37-45B1-A32F-9D613A523EB5}" type="TxLink">
            <a:rPr lang="en-US" sz="1200" b="1" i="0" u="none" strike="noStrike">
              <a:solidFill>
                <a:schemeClr val="bg1"/>
              </a:solidFill>
              <a:latin typeface="+mn-lt"/>
              <a:ea typeface="Calibri"/>
              <a:cs typeface="Calibri"/>
            </a:rPr>
            <a:pPr marL="0" indent="0" algn="ctr"/>
            <a:t>Contractor 2's avoided electricity costs for active cooling due to heat sold to contractor 1: 121.4 kEUR/yr</a:t>
          </a:fld>
          <a:endParaRPr lang="de-DE" sz="1200" b="1" i="0" u="none" strike="noStrike">
            <a:solidFill>
              <a:schemeClr val="bg1"/>
            </a:solidFill>
            <a:latin typeface="+mn-lt"/>
            <a:ea typeface="Calibri"/>
            <a:cs typeface="Calibri"/>
          </a:endParaRPr>
        </a:p>
      </xdr:txBody>
    </xdr:sp>
    <xdr:clientData/>
  </xdr:twoCellAnchor>
  <xdr:twoCellAnchor>
    <xdr:from>
      <xdr:col>5</xdr:col>
      <xdr:colOff>898911</xdr:colOff>
      <xdr:row>55</xdr:row>
      <xdr:rowOff>112763</xdr:rowOff>
    </xdr:from>
    <xdr:to>
      <xdr:col>6</xdr:col>
      <xdr:colOff>931333</xdr:colOff>
      <xdr:row>57</xdr:row>
      <xdr:rowOff>41557</xdr:rowOff>
    </xdr:to>
    <xdr:sp macro="" textlink="$S$6">
      <xdr:nvSpPr>
        <xdr:cNvPr id="42" name="Rechteck 42">
          <a:extLst>
            <a:ext uri="{FF2B5EF4-FFF2-40B4-BE49-F238E27FC236}">
              <a16:creationId xmlns:a16="http://schemas.microsoft.com/office/drawing/2014/main" id="{375000C3-7520-A7C5-1CD3-6C3D276A114B}"/>
            </a:ext>
          </a:extLst>
        </xdr:cNvPr>
        <xdr:cNvSpPr/>
      </xdr:nvSpPr>
      <xdr:spPr>
        <a:xfrm>
          <a:off x="5690275" y="13309218"/>
          <a:ext cx="1591058" cy="298248"/>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7029E425-C505-4298-81FB-716A176A1BE6}"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source HP, in: 37 °C</a:t>
          </a:fld>
          <a:endParaRPr lang="de-DE" sz="900" b="0" i="0" u="none" strike="noStrike" kern="1200">
            <a:solidFill>
              <a:srgbClr val="000000"/>
            </a:solidFill>
            <a:effectLst/>
            <a:latin typeface="+mn-lt"/>
            <a:ea typeface="Calibri"/>
            <a:cs typeface="Calibri"/>
          </a:endParaRPr>
        </a:p>
      </xdr:txBody>
    </xdr:sp>
    <xdr:clientData/>
  </xdr:twoCellAnchor>
  <xdr:twoCellAnchor>
    <xdr:from>
      <xdr:col>5</xdr:col>
      <xdr:colOff>200884</xdr:colOff>
      <xdr:row>60</xdr:row>
      <xdr:rowOff>80696</xdr:rowOff>
    </xdr:from>
    <xdr:to>
      <xdr:col>5</xdr:col>
      <xdr:colOff>1532884</xdr:colOff>
      <xdr:row>62</xdr:row>
      <xdr:rowOff>2936</xdr:rowOff>
    </xdr:to>
    <xdr:sp macro="" textlink="$S$11">
      <xdr:nvSpPr>
        <xdr:cNvPr id="48" name="Rectangle 38">
          <a:extLst>
            <a:ext uri="{FF2B5EF4-FFF2-40B4-BE49-F238E27FC236}">
              <a16:creationId xmlns:a16="http://schemas.microsoft.com/office/drawing/2014/main" id="{E1A2A496-36C0-3571-C764-9D5F8AFDB087}"/>
            </a:ext>
          </a:extLst>
        </xdr:cNvPr>
        <xdr:cNvSpPr/>
      </xdr:nvSpPr>
      <xdr:spPr>
        <a:xfrm>
          <a:off x="4982434" y="14358671"/>
          <a:ext cx="1332000" cy="284190"/>
        </a:xfrm>
        <a:prstGeom prst="rect">
          <a:avLst/>
        </a:prstGeom>
        <a:solidFill>
          <a:schemeClr val="tx2">
            <a:lumMod val="20000"/>
            <a:lumOff val="80000"/>
          </a:schemeClr>
        </a:solidFill>
        <a:ln w="6350">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de-DE"/>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45735440-F7C1-4749-B37D-240264B550FE}"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HEx 1, Delta T: 3 K</a:t>
          </a:fld>
          <a:endParaRPr lang="de-AT" sz="900" b="0">
            <a:solidFill>
              <a:srgbClr val="12355B"/>
            </a:solidFill>
            <a:latin typeface="+mn-lt"/>
          </a:endParaRPr>
        </a:p>
      </xdr:txBody>
    </xdr:sp>
    <xdr:clientData/>
  </xdr:twoCellAnchor>
  <xdr:twoCellAnchor>
    <xdr:from>
      <xdr:col>5</xdr:col>
      <xdr:colOff>856609</xdr:colOff>
      <xdr:row>58</xdr:row>
      <xdr:rowOff>171450</xdr:rowOff>
    </xdr:from>
    <xdr:to>
      <xdr:col>5</xdr:col>
      <xdr:colOff>857250</xdr:colOff>
      <xdr:row>60</xdr:row>
      <xdr:rowOff>89441</xdr:rowOff>
    </xdr:to>
    <xdr:cxnSp macro="">
      <xdr:nvCxnSpPr>
        <xdr:cNvPr id="51" name="Gerader Verbinder 50">
          <a:extLst>
            <a:ext uri="{FF2B5EF4-FFF2-40B4-BE49-F238E27FC236}">
              <a16:creationId xmlns:a16="http://schemas.microsoft.com/office/drawing/2014/main" id="{CE3FF18B-545D-85AE-31E7-91AFE1A0EB1F}"/>
            </a:ext>
          </a:extLst>
        </xdr:cNvPr>
        <xdr:cNvCxnSpPr/>
      </xdr:nvCxnSpPr>
      <xdr:spPr>
        <a:xfrm flipV="1">
          <a:off x="5638159" y="14087475"/>
          <a:ext cx="641" cy="279941"/>
        </a:xfrm>
        <a:prstGeom prst="line">
          <a:avLst/>
        </a:prstGeom>
        <a:ln>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525780</xdr:colOff>
      <xdr:row>50</xdr:row>
      <xdr:rowOff>91440</xdr:rowOff>
    </xdr:from>
    <xdr:to>
      <xdr:col>11</xdr:col>
      <xdr:colOff>525780</xdr:colOff>
      <xdr:row>52</xdr:row>
      <xdr:rowOff>13680</xdr:rowOff>
    </xdr:to>
    <xdr:cxnSp macro="">
      <xdr:nvCxnSpPr>
        <xdr:cNvPr id="52" name="Gerader Verbinder 51">
          <a:extLst>
            <a:ext uri="{FF2B5EF4-FFF2-40B4-BE49-F238E27FC236}">
              <a16:creationId xmlns:a16="http://schemas.microsoft.com/office/drawing/2014/main" id="{73749B21-9510-D6F0-721C-ABEA1239B3D4}"/>
            </a:ext>
          </a:extLst>
        </xdr:cNvPr>
        <xdr:cNvCxnSpPr/>
      </xdr:nvCxnSpPr>
      <xdr:spPr>
        <a:xfrm flipV="1">
          <a:off x="12588240" y="11887200"/>
          <a:ext cx="0" cy="288000"/>
        </a:xfrm>
        <a:prstGeom prst="line">
          <a:avLst/>
        </a:prstGeom>
        <a:ln>
          <a:solidFill>
            <a:schemeClr val="bg1">
              <a:lumMod val="50000"/>
            </a:schemeClr>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734944</xdr:colOff>
      <xdr:row>53</xdr:row>
      <xdr:rowOff>63240</xdr:rowOff>
    </xdr:from>
    <xdr:to>
      <xdr:col>11</xdr:col>
      <xdr:colOff>1255098</xdr:colOff>
      <xdr:row>55</xdr:row>
      <xdr:rowOff>80577</xdr:rowOff>
    </xdr:to>
    <xdr:sp macro="" textlink="$S$10">
      <xdr:nvSpPr>
        <xdr:cNvPr id="61" name="Rechteck 42">
          <a:extLst>
            <a:ext uri="{FF2B5EF4-FFF2-40B4-BE49-F238E27FC236}">
              <a16:creationId xmlns:a16="http://schemas.microsoft.com/office/drawing/2014/main" id="{D49B8DD2-194C-BD4D-5552-19339854F689}"/>
            </a:ext>
          </a:extLst>
        </xdr:cNvPr>
        <xdr:cNvSpPr/>
      </xdr:nvSpPr>
      <xdr:spPr>
        <a:xfrm>
          <a:off x="11936344" y="12242540"/>
          <a:ext cx="1421854" cy="372937"/>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999B5DE0-D11D-438F-8731-591C384496B5}"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return line DH: 45 °C</a:t>
          </a:fld>
          <a:endParaRPr lang="de-DE" sz="900" b="0" i="0" u="none" strike="noStrike" kern="1200">
            <a:solidFill>
              <a:srgbClr val="000000"/>
            </a:solidFill>
            <a:effectLst/>
            <a:latin typeface="+mn-lt"/>
            <a:ea typeface="Calibri"/>
            <a:cs typeface="Calibri"/>
          </a:endParaRPr>
        </a:p>
      </xdr:txBody>
    </xdr:sp>
    <xdr:clientData/>
  </xdr:twoCellAnchor>
  <xdr:twoCellAnchor>
    <xdr:from>
      <xdr:col>10</xdr:col>
      <xdr:colOff>759976</xdr:colOff>
      <xdr:row>55</xdr:row>
      <xdr:rowOff>112763</xdr:rowOff>
    </xdr:from>
    <xdr:to>
      <xdr:col>11</xdr:col>
      <xdr:colOff>1329679</xdr:colOff>
      <xdr:row>57</xdr:row>
      <xdr:rowOff>111332</xdr:rowOff>
    </xdr:to>
    <xdr:sp macro="" textlink="$S$9">
      <xdr:nvSpPr>
        <xdr:cNvPr id="62" name="Rechteck 42">
          <a:extLst>
            <a:ext uri="{FF2B5EF4-FFF2-40B4-BE49-F238E27FC236}">
              <a16:creationId xmlns:a16="http://schemas.microsoft.com/office/drawing/2014/main" id="{5B937C15-1FF1-D4F4-E641-E72FD84FCB26}"/>
            </a:ext>
          </a:extLst>
        </xdr:cNvPr>
        <xdr:cNvSpPr/>
      </xdr:nvSpPr>
      <xdr:spPr>
        <a:xfrm>
          <a:off x="11982158" y="13309218"/>
          <a:ext cx="1470248" cy="368023"/>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485AFCD0-4D26-435E-A046-128823BC7BD2}"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supply line DH: 77.1 °C</a:t>
          </a:fld>
          <a:endParaRPr lang="de-DE" sz="900" b="0" i="0" u="none" strike="noStrike" kern="1200">
            <a:solidFill>
              <a:srgbClr val="000000"/>
            </a:solidFill>
            <a:effectLst/>
            <a:latin typeface="+mn-lt"/>
            <a:ea typeface="Calibri"/>
            <a:cs typeface="Calibri"/>
          </a:endParaRPr>
        </a:p>
      </xdr:txBody>
    </xdr:sp>
    <xdr:clientData/>
  </xdr:twoCellAnchor>
  <xdr:twoCellAnchor>
    <xdr:from>
      <xdr:col>0</xdr:col>
      <xdr:colOff>178360</xdr:colOff>
      <xdr:row>43</xdr:row>
      <xdr:rowOff>114298</xdr:rowOff>
    </xdr:from>
    <xdr:to>
      <xdr:col>13</xdr:col>
      <xdr:colOff>352096</xdr:colOff>
      <xdr:row>87</xdr:row>
      <xdr:rowOff>38099</xdr:rowOff>
    </xdr:to>
    <xdr:grpSp>
      <xdr:nvGrpSpPr>
        <xdr:cNvPr id="63" name="Gruppieren 62">
          <a:extLst>
            <a:ext uri="{FF2B5EF4-FFF2-40B4-BE49-F238E27FC236}">
              <a16:creationId xmlns:a16="http://schemas.microsoft.com/office/drawing/2014/main" id="{B68A2652-CE31-7009-9894-DFCB85387FCC}"/>
            </a:ext>
          </a:extLst>
        </xdr:cNvPr>
        <xdr:cNvGrpSpPr/>
      </xdr:nvGrpSpPr>
      <xdr:grpSpPr>
        <a:xfrm>
          <a:off x="178360" y="11068048"/>
          <a:ext cx="14922832" cy="8305801"/>
          <a:chOff x="178360" y="10553699"/>
          <a:chExt cx="15223236" cy="8304900"/>
        </a:xfrm>
      </xdr:grpSpPr>
      <xdr:sp macro="" textlink="">
        <xdr:nvSpPr>
          <xdr:cNvPr id="37" name="Rectangle 74">
            <a:extLst>
              <a:ext uri="{FF2B5EF4-FFF2-40B4-BE49-F238E27FC236}">
                <a16:creationId xmlns:a16="http://schemas.microsoft.com/office/drawing/2014/main" id="{00000000-0008-0000-0700-00004B000000}"/>
              </a:ext>
            </a:extLst>
          </xdr:cNvPr>
          <xdr:cNvSpPr/>
        </xdr:nvSpPr>
        <xdr:spPr>
          <a:xfrm>
            <a:off x="178360" y="10553699"/>
            <a:ext cx="720000" cy="8304900"/>
          </a:xfrm>
          <a:prstGeom prst="rect">
            <a:avLst/>
          </a:prstGeom>
          <a:solidFill>
            <a:srgbClr val="54688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vert270" wrap="square" rtlCol="0" anchor="ctr"/>
          <a:lstStyle>
            <a:defPPr>
              <a:defRPr lang="de-DE"/>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de-AT" sz="2000" b="1">
                <a:latin typeface="+mn-lt"/>
              </a:rPr>
              <a:t>INPUT</a:t>
            </a:r>
          </a:p>
        </xdr:txBody>
      </xdr:sp>
      <xdr:sp macro="" textlink="">
        <xdr:nvSpPr>
          <xdr:cNvPr id="83" name="Textfeld 45">
            <a:extLst>
              <a:ext uri="{FF2B5EF4-FFF2-40B4-BE49-F238E27FC236}">
                <a16:creationId xmlns:a16="http://schemas.microsoft.com/office/drawing/2014/main" id="{00000000-0008-0000-0700-000053000000}"/>
              </a:ext>
            </a:extLst>
          </xdr:cNvPr>
          <xdr:cNvSpPr txBox="1"/>
        </xdr:nvSpPr>
        <xdr:spPr>
          <a:xfrm>
            <a:off x="1234558" y="10585361"/>
            <a:ext cx="2514059" cy="320500"/>
          </a:xfrm>
          <a:prstGeom prst="rect">
            <a:avLst/>
          </a:prstGeom>
          <a:noFill/>
          <a:ln>
            <a:noFill/>
          </a:ln>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marL="0" indent="0" algn="ctr" defTabSz="914400" rtl="0" eaLnBrk="1" latinLnBrk="0" hangingPunct="1"/>
            <a:r>
              <a:rPr lang="en-US" sz="1100" b="1" i="0" u="none" strike="noStrike" kern="1200">
                <a:solidFill>
                  <a:srgbClr val="12355B"/>
                </a:solidFill>
                <a:latin typeface="+mn-lt"/>
                <a:ea typeface="Calibri"/>
                <a:cs typeface="Calibri"/>
              </a:rPr>
              <a:t>Contractor 2 / Data Centre Operator /</a:t>
            </a:r>
            <a:br>
              <a:rPr lang="en-US" sz="1100" b="1" i="0" u="none" strike="noStrike" kern="1200">
                <a:solidFill>
                  <a:srgbClr val="12355B"/>
                </a:solidFill>
                <a:latin typeface="+mn-lt"/>
                <a:ea typeface="Calibri"/>
                <a:cs typeface="Calibri"/>
              </a:rPr>
            </a:br>
            <a:r>
              <a:rPr lang="en-US" sz="1100" b="1" i="0" u="none" strike="noStrike" kern="1200">
                <a:solidFill>
                  <a:srgbClr val="12355B"/>
                </a:solidFill>
                <a:latin typeface="+mn-lt"/>
                <a:ea typeface="Calibri"/>
                <a:cs typeface="Calibri"/>
              </a:rPr>
              <a:t>Waste Heat Provider</a:t>
            </a:r>
            <a:endParaRPr lang="de-DE" sz="1100" b="1" i="0" u="none" strike="noStrike" kern="1200">
              <a:solidFill>
                <a:srgbClr val="12355B"/>
              </a:solidFill>
              <a:latin typeface="+mn-lt"/>
              <a:ea typeface="Calibri"/>
              <a:cs typeface="Calibri"/>
            </a:endParaRPr>
          </a:p>
        </xdr:txBody>
      </xdr:sp>
      <xdr:sp macro="" textlink="">
        <xdr:nvSpPr>
          <xdr:cNvPr id="85" name="Textfeld 45">
            <a:extLst>
              <a:ext uri="{FF2B5EF4-FFF2-40B4-BE49-F238E27FC236}">
                <a16:creationId xmlns:a16="http://schemas.microsoft.com/office/drawing/2014/main" id="{00000000-0008-0000-0700-000055000000}"/>
              </a:ext>
            </a:extLst>
          </xdr:cNvPr>
          <xdr:cNvSpPr txBox="1"/>
        </xdr:nvSpPr>
        <xdr:spPr>
          <a:xfrm>
            <a:off x="4158698" y="10585361"/>
            <a:ext cx="3006586" cy="502861"/>
          </a:xfrm>
          <a:prstGeom prst="rect">
            <a:avLst/>
          </a:prstGeom>
          <a:noFill/>
          <a:ln>
            <a:noFill/>
          </a:ln>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n-US" sz="1100" b="1" i="0" u="none" strike="noStrike">
                <a:solidFill>
                  <a:srgbClr val="12355B"/>
                </a:solidFill>
                <a:latin typeface="+mn-lt"/>
                <a:ea typeface="Calibri"/>
                <a:cs typeface="Calibri"/>
              </a:rPr>
              <a:t>Waste Heat Recovery System</a:t>
            </a:r>
            <a:br>
              <a:rPr lang="en-US" sz="1100" b="1" i="0" u="none" strike="noStrike">
                <a:solidFill>
                  <a:srgbClr val="12355B"/>
                </a:solidFill>
                <a:latin typeface="+mn-lt"/>
                <a:ea typeface="Calibri"/>
                <a:cs typeface="Calibri"/>
              </a:rPr>
            </a:br>
            <a:r>
              <a:rPr lang="en-US" sz="800" b="0" i="0" u="none" strike="noStrike">
                <a:solidFill>
                  <a:srgbClr val="12355B"/>
                </a:solidFill>
                <a:latin typeface="+mn-lt"/>
                <a:ea typeface="Calibri"/>
                <a:cs typeface="Calibri"/>
              </a:rPr>
              <a:t>Ownership / Responsibilities</a:t>
            </a:r>
            <a:r>
              <a:rPr lang="en-US" sz="800" b="0" i="0" u="none" strike="noStrike" baseline="0">
                <a:solidFill>
                  <a:srgbClr val="12355B"/>
                </a:solidFill>
                <a:latin typeface="+mn-lt"/>
                <a:ea typeface="Calibri"/>
                <a:cs typeface="Calibri"/>
              </a:rPr>
              <a:t> / Cost allocation between </a:t>
            </a:r>
            <a:br>
              <a:rPr lang="en-US" sz="800" b="0" i="0" u="none" strike="noStrike" baseline="0">
                <a:solidFill>
                  <a:srgbClr val="12355B"/>
                </a:solidFill>
                <a:latin typeface="+mn-lt"/>
                <a:ea typeface="Calibri"/>
                <a:cs typeface="Calibri"/>
              </a:rPr>
            </a:br>
            <a:r>
              <a:rPr lang="en-US" sz="800" b="0" i="0" u="none" strike="noStrike" baseline="0">
                <a:solidFill>
                  <a:srgbClr val="12355B"/>
                </a:solidFill>
                <a:latin typeface="+mn-lt"/>
                <a:ea typeface="Calibri"/>
                <a:cs typeface="Calibri"/>
              </a:rPr>
              <a:t>Contractor 1 and 2 to be dicscussed and defined.</a:t>
            </a:r>
            <a:endParaRPr lang="de-DE" sz="800" b="0">
              <a:solidFill>
                <a:srgbClr val="12355B"/>
              </a:solidFill>
              <a:latin typeface="+mn-lt"/>
              <a:cs typeface="Segoe UI" panose="020B0502040204020203" pitchFamily="34" charset="0"/>
            </a:endParaRPr>
          </a:p>
        </xdr:txBody>
      </xdr:sp>
      <xdr:sp macro="" textlink="">
        <xdr:nvSpPr>
          <xdr:cNvPr id="87" name="Textfeld 45">
            <a:extLst>
              <a:ext uri="{FF2B5EF4-FFF2-40B4-BE49-F238E27FC236}">
                <a16:creationId xmlns:a16="http://schemas.microsoft.com/office/drawing/2014/main" id="{00000000-0008-0000-0700-000057000000}"/>
              </a:ext>
            </a:extLst>
          </xdr:cNvPr>
          <xdr:cNvSpPr txBox="1"/>
        </xdr:nvSpPr>
        <xdr:spPr>
          <a:xfrm>
            <a:off x="7473810" y="10585361"/>
            <a:ext cx="5606265" cy="502861"/>
          </a:xfrm>
          <a:prstGeom prst="rect">
            <a:avLst/>
          </a:prstGeom>
          <a:noFill/>
          <a:ln>
            <a:noFill/>
          </a:ln>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n-US" sz="1100" b="1" i="0" u="none" strike="noStrike">
                <a:solidFill>
                  <a:srgbClr val="12355B"/>
                </a:solidFill>
                <a:latin typeface="+mn-lt"/>
                <a:ea typeface="Calibri"/>
                <a:cs typeface="Calibri"/>
              </a:rPr>
              <a:t>Contractor 1 / District Heating Operator: </a:t>
            </a:r>
          </a:p>
          <a:p>
            <a:pPr algn="ctr"/>
            <a:r>
              <a:rPr lang="en-US" sz="1100" b="1" i="0" u="none" strike="noStrike">
                <a:solidFill>
                  <a:srgbClr val="12355B"/>
                </a:solidFill>
                <a:latin typeface="+mn-lt"/>
                <a:ea typeface="Calibri"/>
                <a:cs typeface="Calibri"/>
              </a:rPr>
              <a:t>Heat</a:t>
            </a:r>
            <a:r>
              <a:rPr lang="en-US" sz="1100" b="1" i="0" u="none" strike="noStrike" baseline="0">
                <a:solidFill>
                  <a:srgbClr val="12355B"/>
                </a:solidFill>
                <a:latin typeface="+mn-lt"/>
                <a:ea typeface="Calibri"/>
                <a:cs typeface="Calibri"/>
              </a:rPr>
              <a:t> utilisation</a:t>
            </a:r>
            <a:endParaRPr lang="de-DE" sz="1050" b="1">
              <a:solidFill>
                <a:srgbClr val="12355B"/>
              </a:solidFill>
              <a:latin typeface="+mn-lt"/>
              <a:cs typeface="Segoe UI" panose="020B0502040204020203" pitchFamily="34" charset="0"/>
            </a:endParaRPr>
          </a:p>
        </xdr:txBody>
      </xdr:sp>
      <xdr:sp macro="" textlink="">
        <xdr:nvSpPr>
          <xdr:cNvPr id="88" name="Textfeld 45">
            <a:extLst>
              <a:ext uri="{FF2B5EF4-FFF2-40B4-BE49-F238E27FC236}">
                <a16:creationId xmlns:a16="http://schemas.microsoft.com/office/drawing/2014/main" id="{00000000-0008-0000-0700-000058000000}"/>
              </a:ext>
            </a:extLst>
          </xdr:cNvPr>
          <xdr:cNvSpPr txBox="1"/>
        </xdr:nvSpPr>
        <xdr:spPr>
          <a:xfrm>
            <a:off x="13721497" y="10585361"/>
            <a:ext cx="1680099" cy="502861"/>
          </a:xfrm>
          <a:prstGeom prst="rect">
            <a:avLst/>
          </a:prstGeom>
          <a:noFill/>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n-US" sz="1100" b="1" i="0" u="none" strike="noStrike">
                <a:solidFill>
                  <a:srgbClr val="12355B"/>
                </a:solidFill>
                <a:latin typeface="+mn-lt"/>
                <a:ea typeface="Calibri"/>
                <a:cs typeface="Calibri"/>
              </a:rPr>
              <a:t>Existing Heat</a:t>
            </a:r>
            <a:r>
              <a:rPr lang="en-US" sz="1100" b="1" i="0" u="none" strike="noStrike" baseline="0">
                <a:solidFill>
                  <a:srgbClr val="12355B"/>
                </a:solidFill>
                <a:latin typeface="+mn-lt"/>
                <a:ea typeface="Calibri"/>
                <a:cs typeface="Calibri"/>
              </a:rPr>
              <a:t> Network / </a:t>
            </a:r>
            <a:r>
              <a:rPr lang="en-US" sz="1100" b="1" i="0" u="none" strike="noStrike">
                <a:solidFill>
                  <a:srgbClr val="12355B"/>
                </a:solidFill>
                <a:latin typeface="+mn-lt"/>
                <a:ea typeface="Calibri"/>
                <a:cs typeface="Calibri"/>
              </a:rPr>
              <a:t>District Heating Operator</a:t>
            </a:r>
            <a:endParaRPr lang="de-DE" sz="1050" b="1">
              <a:solidFill>
                <a:srgbClr val="12355B"/>
              </a:solidFill>
              <a:latin typeface="+mn-lt"/>
              <a:cs typeface="Segoe UI" panose="020B0502040204020203" pitchFamily="34" charset="0"/>
            </a:endParaRPr>
          </a:p>
        </xdr:txBody>
      </xdr:sp>
      <xdr:sp macro="" textlink="">
        <xdr:nvSpPr>
          <xdr:cNvPr id="242" name="TextBox 273">
            <a:extLst>
              <a:ext uri="{FF2B5EF4-FFF2-40B4-BE49-F238E27FC236}">
                <a16:creationId xmlns:a16="http://schemas.microsoft.com/office/drawing/2014/main" id="{AB6B74A5-03B7-4F95-B1E8-CBC2E4A86CA9}"/>
              </a:ext>
            </a:extLst>
          </xdr:cNvPr>
          <xdr:cNvSpPr txBox="1"/>
        </xdr:nvSpPr>
        <xdr:spPr>
          <a:xfrm>
            <a:off x="983788" y="10669692"/>
            <a:ext cx="141281" cy="456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lIns="0" tIns="0" rIns="0" bIns="0" rtlCol="0" anchor="t">
            <a:noAutofit/>
          </a:bodyPr>
          <a:lstStyle/>
          <a:p>
            <a:pPr marL="0" indent="0" algn="ctr" defTabSz="914400" rtl="0" eaLnBrk="1" latinLnBrk="0" hangingPunct="1"/>
            <a:r>
              <a:rPr lang="en-US" sz="1000" b="0" i="0" u="none" strike="noStrike" kern="1200" baseline="0">
                <a:solidFill>
                  <a:srgbClr val="12355B"/>
                </a:solidFill>
                <a:latin typeface="+mn-lt"/>
                <a:ea typeface="Calibri"/>
                <a:cs typeface="Calibri"/>
              </a:rPr>
              <a:t>Actor</a:t>
            </a:r>
          </a:p>
        </xdr:txBody>
      </xdr:sp>
      <xdr:sp macro="" textlink="">
        <xdr:nvSpPr>
          <xdr:cNvPr id="19" name="Ellipse 18">
            <a:extLst>
              <a:ext uri="{FF2B5EF4-FFF2-40B4-BE49-F238E27FC236}">
                <a16:creationId xmlns:a16="http://schemas.microsoft.com/office/drawing/2014/main" id="{E6DE843B-D1EE-23E8-2726-1009E7223838}"/>
              </a:ext>
            </a:extLst>
          </xdr:cNvPr>
          <xdr:cNvSpPr/>
        </xdr:nvSpPr>
        <xdr:spPr>
          <a:xfrm>
            <a:off x="3855510" y="10676872"/>
            <a:ext cx="612000" cy="368466"/>
          </a:xfrm>
          <a:prstGeom prst="ellipse">
            <a:avLst/>
          </a:prstGeom>
          <a:solidFill>
            <a:srgbClr val="54688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B1</a:t>
            </a:r>
          </a:p>
        </xdr:txBody>
      </xdr:sp>
      <xdr:sp macro="" textlink="">
        <xdr:nvSpPr>
          <xdr:cNvPr id="20" name="Ellipse 19">
            <a:extLst>
              <a:ext uri="{FF2B5EF4-FFF2-40B4-BE49-F238E27FC236}">
                <a16:creationId xmlns:a16="http://schemas.microsoft.com/office/drawing/2014/main" id="{21A4BBAA-8596-4FD5-A6B8-AE76295522AA}"/>
              </a:ext>
            </a:extLst>
          </xdr:cNvPr>
          <xdr:cNvSpPr/>
        </xdr:nvSpPr>
        <xdr:spPr>
          <a:xfrm>
            <a:off x="6898224" y="10687495"/>
            <a:ext cx="612000" cy="368466"/>
          </a:xfrm>
          <a:prstGeom prst="ellipse">
            <a:avLst/>
          </a:prstGeom>
          <a:solidFill>
            <a:srgbClr val="54688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B2</a:t>
            </a:r>
          </a:p>
        </xdr:txBody>
      </xdr:sp>
      <xdr:sp macro="" textlink="">
        <xdr:nvSpPr>
          <xdr:cNvPr id="26" name="Ellipse 25">
            <a:extLst>
              <a:ext uri="{FF2B5EF4-FFF2-40B4-BE49-F238E27FC236}">
                <a16:creationId xmlns:a16="http://schemas.microsoft.com/office/drawing/2014/main" id="{61F981E9-FEB7-4D79-B8C6-B74EF142C77C}"/>
              </a:ext>
            </a:extLst>
          </xdr:cNvPr>
          <xdr:cNvSpPr/>
        </xdr:nvSpPr>
        <xdr:spPr>
          <a:xfrm>
            <a:off x="13114134" y="10701336"/>
            <a:ext cx="620467" cy="368466"/>
          </a:xfrm>
          <a:prstGeom prst="ellipse">
            <a:avLst/>
          </a:prstGeom>
          <a:solidFill>
            <a:srgbClr val="54688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B3</a:t>
            </a:r>
          </a:p>
        </xdr:txBody>
      </xdr:sp>
    </xdr:grpSp>
    <xdr:clientData/>
  </xdr:twoCellAnchor>
  <xdr:twoCellAnchor>
    <xdr:from>
      <xdr:col>6</xdr:col>
      <xdr:colOff>939801</xdr:colOff>
      <xdr:row>47</xdr:row>
      <xdr:rowOff>63369</xdr:rowOff>
    </xdr:from>
    <xdr:to>
      <xdr:col>7</xdr:col>
      <xdr:colOff>1760221</xdr:colOff>
      <xdr:row>49</xdr:row>
      <xdr:rowOff>54222</xdr:rowOff>
    </xdr:to>
    <xdr:sp macro="" textlink="$S$41">
      <xdr:nvSpPr>
        <xdr:cNvPr id="30" name="Rechteck 29">
          <a:extLst>
            <a:ext uri="{FF2B5EF4-FFF2-40B4-BE49-F238E27FC236}">
              <a16:creationId xmlns:a16="http://schemas.microsoft.com/office/drawing/2014/main" id="{3A381894-BF5B-100F-0F1D-B6A8E22C0CFA}"/>
            </a:ext>
          </a:extLst>
        </xdr:cNvPr>
        <xdr:cNvSpPr/>
      </xdr:nvSpPr>
      <xdr:spPr>
        <a:xfrm>
          <a:off x="7283451" y="11264769"/>
          <a:ext cx="2115820" cy="37185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fld id="{C9985D53-AA89-4279-8FDF-0757D83519DE}" type="TxLink">
            <a:rPr lang="en-US" sz="800" b="0" i="0" u="none" strike="noStrike">
              <a:solidFill>
                <a:srgbClr val="000000"/>
              </a:solidFill>
              <a:latin typeface="+mn-lt"/>
              <a:ea typeface="Calibri"/>
              <a:cs typeface="Calibri"/>
            </a:rPr>
            <a:pPr algn="ctr"/>
            <a:t>Annual operation hours: 8628 h/yr (359.5 days/yr), annual full load hours: 7695 h/yr</a:t>
          </a:fld>
          <a:endParaRPr lang="de-DE" sz="800">
            <a:latin typeface="+mn-lt"/>
          </a:endParaRPr>
        </a:p>
      </xdr:txBody>
    </xdr:sp>
    <xdr:clientData/>
  </xdr:twoCellAnchor>
  <xdr:twoCellAnchor>
    <xdr:from>
      <xdr:col>7</xdr:col>
      <xdr:colOff>650355</xdr:colOff>
      <xdr:row>49</xdr:row>
      <xdr:rowOff>82978</xdr:rowOff>
    </xdr:from>
    <xdr:to>
      <xdr:col>7</xdr:col>
      <xdr:colOff>822961</xdr:colOff>
      <xdr:row>51</xdr:row>
      <xdr:rowOff>178445</xdr:rowOff>
    </xdr:to>
    <xdr:cxnSp macro="">
      <xdr:nvCxnSpPr>
        <xdr:cNvPr id="31" name="Connector: Elbow 7">
          <a:extLst>
            <a:ext uri="{FF2B5EF4-FFF2-40B4-BE49-F238E27FC236}">
              <a16:creationId xmlns:a16="http://schemas.microsoft.com/office/drawing/2014/main" id="{E74AF8E4-EB5A-4B93-A5D7-ABAE2E6D329A}"/>
            </a:ext>
          </a:extLst>
        </xdr:cNvPr>
        <xdr:cNvCxnSpPr/>
      </xdr:nvCxnSpPr>
      <xdr:spPr>
        <a:xfrm rot="5400000" flipH="1" flipV="1">
          <a:off x="8137474" y="11817309"/>
          <a:ext cx="476467" cy="172606"/>
        </a:xfrm>
        <a:prstGeom prst="bentConnector3">
          <a:avLst>
            <a:gd name="adj1" fmla="val 50000"/>
          </a:avLst>
        </a:prstGeom>
        <a:ln w="12700">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168661</xdr:colOff>
      <xdr:row>139</xdr:row>
      <xdr:rowOff>127173</xdr:rowOff>
    </xdr:from>
    <xdr:to>
      <xdr:col>11</xdr:col>
      <xdr:colOff>1012861</xdr:colOff>
      <xdr:row>172</xdr:row>
      <xdr:rowOff>140288</xdr:rowOff>
    </xdr:to>
    <xdr:graphicFrame macro="">
      <xdr:nvGraphicFramePr>
        <xdr:cNvPr id="29" name="Diagramm 28">
          <a:extLst>
            <a:ext uri="{FF2B5EF4-FFF2-40B4-BE49-F238E27FC236}">
              <a16:creationId xmlns:a16="http://schemas.microsoft.com/office/drawing/2014/main" id="{10183239-2897-44A4-9B98-D2991DC6BF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2102813</xdr:colOff>
      <xdr:row>58</xdr:row>
      <xdr:rowOff>155946</xdr:rowOff>
    </xdr:from>
    <xdr:to>
      <xdr:col>7</xdr:col>
      <xdr:colOff>2246813</xdr:colOff>
      <xdr:row>60</xdr:row>
      <xdr:rowOff>153996</xdr:rowOff>
    </xdr:to>
    <xdr:sp macro="" textlink="">
      <xdr:nvSpPr>
        <xdr:cNvPr id="32776" name="Pfeil: nach oben gebogen 32775">
          <a:extLst>
            <a:ext uri="{FF2B5EF4-FFF2-40B4-BE49-F238E27FC236}">
              <a16:creationId xmlns:a16="http://schemas.microsoft.com/office/drawing/2014/main" id="{6801107C-668A-4562-9EA9-AA9900933C00}"/>
            </a:ext>
          </a:extLst>
        </xdr:cNvPr>
        <xdr:cNvSpPr/>
      </xdr:nvSpPr>
      <xdr:spPr>
        <a:xfrm flipH="1">
          <a:off x="9741863" y="14071971"/>
          <a:ext cx="144000" cy="360000"/>
        </a:xfrm>
        <a:prstGeom prst="bentUpArrow">
          <a:avLst>
            <a:gd name="adj1" fmla="val 17153"/>
            <a:gd name="adj2" fmla="val 31539"/>
            <a:gd name="adj3" fmla="val 50000"/>
          </a:avLst>
        </a:prstGeom>
        <a:solidFill>
          <a:schemeClr val="accent1">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latin typeface="+mn-lt"/>
          </a:endParaRPr>
        </a:p>
      </xdr:txBody>
    </xdr:sp>
    <xdr:clientData/>
  </xdr:twoCellAnchor>
  <xdr:twoCellAnchor>
    <xdr:from>
      <xdr:col>10</xdr:col>
      <xdr:colOff>34923</xdr:colOff>
      <xdr:row>37</xdr:row>
      <xdr:rowOff>1692</xdr:rowOff>
    </xdr:from>
    <xdr:to>
      <xdr:col>11</xdr:col>
      <xdr:colOff>1402378</xdr:colOff>
      <xdr:row>39</xdr:row>
      <xdr:rowOff>884783</xdr:rowOff>
    </xdr:to>
    <xdr:sp macro="" textlink="$S$65">
      <xdr:nvSpPr>
        <xdr:cNvPr id="32775" name="Rechteck 2">
          <a:extLst>
            <a:ext uri="{FF2B5EF4-FFF2-40B4-BE49-F238E27FC236}">
              <a16:creationId xmlns:a16="http://schemas.microsoft.com/office/drawing/2014/main" id="{40B0E350-5285-445D-A2F9-6ACC122528D2}"/>
            </a:ext>
          </a:extLst>
        </xdr:cNvPr>
        <xdr:cNvSpPr/>
      </xdr:nvSpPr>
      <xdr:spPr>
        <a:xfrm>
          <a:off x="11257105" y="9122601"/>
          <a:ext cx="2268000" cy="1368000"/>
        </a:xfrm>
        <a:prstGeom prst="rect">
          <a:avLst/>
        </a:prstGeom>
        <a:solidFill>
          <a:srgbClr val="247BA0"/>
        </a:solidFill>
        <a:ln w="12700" cmpd="sng">
          <a:solidFill>
            <a:schemeClr val="bg1">
              <a:lumMod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marL="0" indent="0" algn="ctr"/>
          <a:fld id="{D8C4580D-C0AD-492A-9285-C2ACE2C8501E}" type="TxLink">
            <a:rPr lang="en-US" sz="1200" b="1" i="0" u="none" strike="noStrike">
              <a:solidFill>
                <a:schemeClr val="bg1"/>
              </a:solidFill>
              <a:latin typeface="+mn-lt"/>
              <a:ea typeface="Calibri"/>
              <a:cs typeface="Calibri"/>
            </a:rPr>
            <a:pPr marL="0" indent="0" algn="ctr"/>
            <a:t>Contractor 2's internal rate of return: 6.83 % per year (considering calculatory life time of 15 years)</a:t>
          </a:fld>
          <a:endParaRPr lang="de-DE" sz="1200" b="1" i="0" u="none" strike="noStrike">
            <a:solidFill>
              <a:schemeClr val="bg1"/>
            </a:solidFill>
            <a:latin typeface="+mn-lt"/>
            <a:ea typeface="Calibri"/>
            <a:cs typeface="Calibri"/>
          </a:endParaRPr>
        </a:p>
      </xdr:txBody>
    </xdr:sp>
    <xdr:clientData/>
  </xdr:twoCellAnchor>
  <xdr:twoCellAnchor>
    <xdr:from>
      <xdr:col>6</xdr:col>
      <xdr:colOff>122008</xdr:colOff>
      <xdr:row>37</xdr:row>
      <xdr:rowOff>1692</xdr:rowOff>
    </xdr:from>
    <xdr:to>
      <xdr:col>7</xdr:col>
      <xdr:colOff>1085372</xdr:colOff>
      <xdr:row>39</xdr:row>
      <xdr:rowOff>884783</xdr:rowOff>
    </xdr:to>
    <xdr:sp macro="" textlink="$S$47">
      <xdr:nvSpPr>
        <xdr:cNvPr id="97" name="Rechteck 2">
          <a:extLst>
            <a:ext uri="{FF2B5EF4-FFF2-40B4-BE49-F238E27FC236}">
              <a16:creationId xmlns:a16="http://schemas.microsoft.com/office/drawing/2014/main" id="{311293FE-6AE6-43D5-85CF-66188A7B06BA}"/>
            </a:ext>
          </a:extLst>
        </xdr:cNvPr>
        <xdr:cNvSpPr/>
      </xdr:nvSpPr>
      <xdr:spPr>
        <a:xfrm>
          <a:off x="6472008" y="9122601"/>
          <a:ext cx="2268000" cy="1368000"/>
        </a:xfrm>
        <a:prstGeom prst="rect">
          <a:avLst/>
        </a:prstGeom>
        <a:solidFill>
          <a:srgbClr val="247BA0"/>
        </a:solidFill>
        <a:ln w="6350" cmpd="sng">
          <a:solidFill>
            <a:schemeClr val="bg1">
              <a:lumMod val="50000"/>
            </a:schemeClr>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180000" rIns="180000" rtlCol="0" anchor="ctr">
          <a:noAutofit/>
        </a:bodyPr>
        <a:lstStyle/>
        <a:p>
          <a:pPr marL="0" indent="0" algn="ctr"/>
          <a:fld id="{07F9B547-6A9D-4D04-BA06-19FB7B0599B7}" type="TxLink">
            <a:rPr lang="en-US" sz="1200" b="1" i="0" u="none" strike="noStrike">
              <a:solidFill>
                <a:schemeClr val="bg1"/>
              </a:solidFill>
              <a:latin typeface="+mn-lt"/>
              <a:ea typeface="Calibri"/>
              <a:cs typeface="Calibri"/>
            </a:rPr>
            <a:pPr marL="0" indent="0" algn="ctr"/>
            <a:t>Contractor 2's gross earnings due to heat sold to contractor 1: 34.8 kEUR/yr</a:t>
          </a:fld>
          <a:endParaRPr lang="de-DE" sz="1200" b="1" i="0" u="none" strike="noStrike">
            <a:solidFill>
              <a:schemeClr val="bg1"/>
            </a:solidFill>
            <a:latin typeface="+mn-lt"/>
            <a:ea typeface="Calibri"/>
            <a:cs typeface="Calibri"/>
          </a:endParaRPr>
        </a:p>
      </xdr:txBody>
    </xdr:sp>
    <xdr:clientData/>
  </xdr:twoCellAnchor>
  <xdr:twoCellAnchor>
    <xdr:from>
      <xdr:col>7</xdr:col>
      <xdr:colOff>30260</xdr:colOff>
      <xdr:row>58</xdr:row>
      <xdr:rowOff>171450</xdr:rowOff>
    </xdr:from>
    <xdr:to>
      <xdr:col>7</xdr:col>
      <xdr:colOff>210260</xdr:colOff>
      <xdr:row>65</xdr:row>
      <xdr:rowOff>20625</xdr:rowOff>
    </xdr:to>
    <xdr:sp macro="" textlink="">
      <xdr:nvSpPr>
        <xdr:cNvPr id="3" name="Pfeil: nach oben gebogen 2">
          <a:extLst>
            <a:ext uri="{FF2B5EF4-FFF2-40B4-BE49-F238E27FC236}">
              <a16:creationId xmlns:a16="http://schemas.microsoft.com/office/drawing/2014/main" id="{3E78BCD6-C17E-4183-AAC2-5FFB27133DE0}"/>
            </a:ext>
          </a:extLst>
        </xdr:cNvPr>
        <xdr:cNvSpPr/>
      </xdr:nvSpPr>
      <xdr:spPr>
        <a:xfrm flipH="1">
          <a:off x="7669310" y="14087475"/>
          <a:ext cx="180000" cy="1116000"/>
        </a:xfrm>
        <a:prstGeom prst="bentUpArrow">
          <a:avLst>
            <a:gd name="adj1" fmla="val 14550"/>
            <a:gd name="adj2" fmla="val 25000"/>
            <a:gd name="adj3" fmla="val 36757"/>
          </a:avLst>
        </a:prstGeom>
        <a:solidFill>
          <a:schemeClr val="accent1">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latin typeface="+mn-lt"/>
          </a:endParaRPr>
        </a:p>
      </xdr:txBody>
    </xdr:sp>
    <xdr:clientData/>
  </xdr:twoCellAnchor>
  <xdr:twoCellAnchor>
    <xdr:from>
      <xdr:col>7</xdr:col>
      <xdr:colOff>123825</xdr:colOff>
      <xdr:row>58</xdr:row>
      <xdr:rowOff>171450</xdr:rowOff>
    </xdr:from>
    <xdr:to>
      <xdr:col>7</xdr:col>
      <xdr:colOff>267825</xdr:colOff>
      <xdr:row>60</xdr:row>
      <xdr:rowOff>169500</xdr:rowOff>
    </xdr:to>
    <xdr:sp macro="" textlink="">
      <xdr:nvSpPr>
        <xdr:cNvPr id="4" name="Pfeil: nach oben gebogen 3">
          <a:extLst>
            <a:ext uri="{FF2B5EF4-FFF2-40B4-BE49-F238E27FC236}">
              <a16:creationId xmlns:a16="http://schemas.microsoft.com/office/drawing/2014/main" id="{D79873E9-B5CC-45CE-9426-271F6DFEA6DE}"/>
            </a:ext>
          </a:extLst>
        </xdr:cNvPr>
        <xdr:cNvSpPr/>
      </xdr:nvSpPr>
      <xdr:spPr>
        <a:xfrm flipH="1">
          <a:off x="7762875" y="14087475"/>
          <a:ext cx="144000" cy="360000"/>
        </a:xfrm>
        <a:prstGeom prst="bentUpArrow">
          <a:avLst>
            <a:gd name="adj1" fmla="val 17153"/>
            <a:gd name="adj2" fmla="val 31539"/>
            <a:gd name="adj3" fmla="val 50000"/>
          </a:avLst>
        </a:prstGeom>
        <a:solidFill>
          <a:schemeClr val="accent1">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latin typeface="+mn-lt"/>
          </a:endParaRPr>
        </a:p>
      </xdr:txBody>
    </xdr:sp>
    <xdr:clientData/>
  </xdr:twoCellAnchor>
  <xdr:twoCellAnchor>
    <xdr:from>
      <xdr:col>7</xdr:col>
      <xdr:colOff>227239</xdr:colOff>
      <xdr:row>59</xdr:row>
      <xdr:rowOff>99746</xdr:rowOff>
    </xdr:from>
    <xdr:to>
      <xdr:col>7</xdr:col>
      <xdr:colOff>2027239</xdr:colOff>
      <xdr:row>62</xdr:row>
      <xdr:rowOff>70346</xdr:rowOff>
    </xdr:to>
    <xdr:sp macro="" textlink="$S$23">
      <xdr:nvSpPr>
        <xdr:cNvPr id="210" name="Rechteck 42">
          <a:extLst>
            <a:ext uri="{FF2B5EF4-FFF2-40B4-BE49-F238E27FC236}">
              <a16:creationId xmlns:a16="http://schemas.microsoft.com/office/drawing/2014/main" id="{00000000-0008-0000-0700-0000D2000000}"/>
            </a:ext>
          </a:extLst>
        </xdr:cNvPr>
        <xdr:cNvSpPr/>
      </xdr:nvSpPr>
      <xdr:spPr>
        <a:xfrm>
          <a:off x="7866289" y="14196746"/>
          <a:ext cx="1800000" cy="513525"/>
        </a:xfrm>
        <a:prstGeom prst="rect">
          <a:avLst/>
        </a:prstGeom>
        <a:solidFill>
          <a:srgbClr val="D4E8E7"/>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fld id="{D4C76736-6D7F-4EC0-833D-A6243438DF18}" type="TxLink">
            <a:rPr lang="en-US" sz="1000" b="0" i="0" u="none" strike="noStrike" kern="1200">
              <a:solidFill>
                <a:srgbClr val="12355B"/>
              </a:solidFill>
              <a:latin typeface="+mn-lt"/>
              <a:ea typeface="Calibri"/>
              <a:cs typeface="Calibri"/>
            </a:rPr>
            <a:pPr marL="0" indent="0" algn="ctr" defTabSz="914400" rtl="0" eaLnBrk="1" latinLnBrk="0" hangingPunct="1"/>
            <a:t>Electricity input HP: 6.7 GWh/yr</a:t>
          </a:fld>
          <a:endParaRPr lang="de-DE" sz="1100" b="0" i="0" u="none" strike="noStrike" kern="1200">
            <a:solidFill>
              <a:srgbClr val="12355B"/>
            </a:solidFill>
            <a:latin typeface="+mn-lt"/>
            <a:ea typeface="Calibri"/>
            <a:cs typeface="Calibri"/>
          </a:endParaRPr>
        </a:p>
      </xdr:txBody>
    </xdr:sp>
    <xdr:clientData/>
  </xdr:twoCellAnchor>
  <xdr:twoCellAnchor>
    <xdr:from>
      <xdr:col>1</xdr:col>
      <xdr:colOff>695325</xdr:colOff>
      <xdr:row>58</xdr:row>
      <xdr:rowOff>171450</xdr:rowOff>
    </xdr:from>
    <xdr:to>
      <xdr:col>1</xdr:col>
      <xdr:colOff>839325</xdr:colOff>
      <xdr:row>60</xdr:row>
      <xdr:rowOff>169500</xdr:rowOff>
    </xdr:to>
    <xdr:sp macro="" textlink="">
      <xdr:nvSpPr>
        <xdr:cNvPr id="24" name="Pfeil: nach oben gebogen 23">
          <a:extLst>
            <a:ext uri="{FF2B5EF4-FFF2-40B4-BE49-F238E27FC236}">
              <a16:creationId xmlns:a16="http://schemas.microsoft.com/office/drawing/2014/main" id="{5727C789-E62F-4E7C-984D-DDDB0FFACEBE}"/>
            </a:ext>
          </a:extLst>
        </xdr:cNvPr>
        <xdr:cNvSpPr/>
      </xdr:nvSpPr>
      <xdr:spPr>
        <a:xfrm flipH="1">
          <a:off x="1247775" y="14087475"/>
          <a:ext cx="144000" cy="360000"/>
        </a:xfrm>
        <a:prstGeom prst="bentUpArrow">
          <a:avLst>
            <a:gd name="adj1" fmla="val 17153"/>
            <a:gd name="adj2" fmla="val 31539"/>
            <a:gd name="adj3" fmla="val 50000"/>
          </a:avLst>
        </a:prstGeom>
        <a:solidFill>
          <a:schemeClr val="accent1">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latin typeface="+mn-lt"/>
          </a:endParaRPr>
        </a:p>
      </xdr:txBody>
    </xdr:sp>
    <xdr:clientData/>
  </xdr:twoCellAnchor>
  <xdr:twoCellAnchor>
    <xdr:from>
      <xdr:col>12</xdr:col>
      <xdr:colOff>104775</xdr:colOff>
      <xdr:row>58</xdr:row>
      <xdr:rowOff>171449</xdr:rowOff>
    </xdr:from>
    <xdr:to>
      <xdr:col>12</xdr:col>
      <xdr:colOff>284775</xdr:colOff>
      <xdr:row>65</xdr:row>
      <xdr:rowOff>20624</xdr:rowOff>
    </xdr:to>
    <xdr:sp macro="" textlink="">
      <xdr:nvSpPr>
        <xdr:cNvPr id="25" name="Pfeil: nach oben gebogen 24">
          <a:extLst>
            <a:ext uri="{FF2B5EF4-FFF2-40B4-BE49-F238E27FC236}">
              <a16:creationId xmlns:a16="http://schemas.microsoft.com/office/drawing/2014/main" id="{370FBDD7-B339-400C-88FF-9CE7EA5A2F06}"/>
            </a:ext>
          </a:extLst>
        </xdr:cNvPr>
        <xdr:cNvSpPr/>
      </xdr:nvSpPr>
      <xdr:spPr>
        <a:xfrm>
          <a:off x="13716000" y="14087474"/>
          <a:ext cx="180000" cy="1116000"/>
        </a:xfrm>
        <a:prstGeom prst="bentUpArrow">
          <a:avLst>
            <a:gd name="adj1" fmla="val 14550"/>
            <a:gd name="adj2" fmla="val 25000"/>
            <a:gd name="adj3" fmla="val 36757"/>
          </a:avLst>
        </a:prstGeom>
        <a:solidFill>
          <a:schemeClr val="accent1">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latin typeface="+mn-lt"/>
          </a:endParaRPr>
        </a:p>
      </xdr:txBody>
    </xdr:sp>
    <xdr:clientData/>
  </xdr:twoCellAnchor>
  <xdr:twoCellAnchor>
    <xdr:from>
      <xdr:col>8</xdr:col>
      <xdr:colOff>66038</xdr:colOff>
      <xdr:row>49</xdr:row>
      <xdr:rowOff>8574</xdr:rowOff>
    </xdr:from>
    <xdr:to>
      <xdr:col>10</xdr:col>
      <xdr:colOff>646838</xdr:colOff>
      <xdr:row>50</xdr:row>
      <xdr:rowOff>154774</xdr:rowOff>
    </xdr:to>
    <xdr:sp macro="" textlink="'Project Setting'!F29">
      <xdr:nvSpPr>
        <xdr:cNvPr id="39" name="Rectangle 38">
          <a:extLst>
            <a:ext uri="{FF2B5EF4-FFF2-40B4-BE49-F238E27FC236}">
              <a16:creationId xmlns:a16="http://schemas.microsoft.com/office/drawing/2014/main" id="{00000000-0008-0000-0700-000027000000}"/>
            </a:ext>
          </a:extLst>
        </xdr:cNvPr>
        <xdr:cNvSpPr/>
      </xdr:nvSpPr>
      <xdr:spPr>
        <a:xfrm>
          <a:off x="10048238" y="11590974"/>
          <a:ext cx="1800000" cy="336700"/>
        </a:xfrm>
        <a:prstGeom prst="rect">
          <a:avLst/>
        </a:prstGeom>
        <a:solidFill>
          <a:schemeClr val="accent1">
            <a:lumMod val="40000"/>
            <a:lumOff val="60000"/>
          </a:schemeClr>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de-DE"/>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de-AT" sz="900" b="0" kern="1200">
              <a:solidFill>
                <a:srgbClr val="12355B"/>
              </a:solidFill>
              <a:effectLst/>
              <a:latin typeface="+mn-lt"/>
              <a:ea typeface="+mn-ea"/>
              <a:cs typeface="+mn-cs"/>
            </a:rPr>
            <a:t>Heat losses after heat</a:t>
          </a:r>
          <a:r>
            <a:rPr lang="de-AT" sz="900" b="0" kern="1200" baseline="0">
              <a:solidFill>
                <a:srgbClr val="12355B"/>
              </a:solidFill>
              <a:effectLst/>
              <a:latin typeface="+mn-lt"/>
              <a:ea typeface="+mn-ea"/>
              <a:cs typeface="+mn-cs"/>
            </a:rPr>
            <a:t> pump = </a:t>
          </a:r>
          <a:fld id="{99DF5997-78C6-4E27-89FC-299404E3C6B7}" type="TxLink">
            <a:rPr lang="en-US" sz="900" b="0" i="0" u="none" strike="noStrike">
              <a:solidFill>
                <a:srgbClr val="12355B"/>
              </a:solidFill>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 1 </a:t>
          </a:fld>
          <a:r>
            <a:rPr lang="en-US" sz="900" b="0" i="0" u="none" strike="noStrike">
              <a:solidFill>
                <a:srgbClr val="12355B"/>
              </a:solidFill>
              <a:latin typeface="+mn-lt"/>
              <a:ea typeface="Calibri"/>
              <a:cs typeface="Calibri"/>
            </a:rPr>
            <a:t>%</a:t>
          </a:r>
          <a:endParaRPr lang="de-AT" sz="900" b="0">
            <a:solidFill>
              <a:srgbClr val="12355B"/>
            </a:solidFill>
            <a:latin typeface="+mn-lt"/>
          </a:endParaRPr>
        </a:p>
      </xdr:txBody>
    </xdr:sp>
    <xdr:clientData/>
  </xdr:twoCellAnchor>
  <xdr:twoCellAnchor>
    <xdr:from>
      <xdr:col>10</xdr:col>
      <xdr:colOff>736450</xdr:colOff>
      <xdr:row>49</xdr:row>
      <xdr:rowOff>8574</xdr:rowOff>
    </xdr:from>
    <xdr:to>
      <xdr:col>11</xdr:col>
      <xdr:colOff>1202750</xdr:colOff>
      <xdr:row>50</xdr:row>
      <xdr:rowOff>154774</xdr:rowOff>
    </xdr:to>
    <xdr:sp macro="" textlink="$S$12">
      <xdr:nvSpPr>
        <xdr:cNvPr id="49" name="Rectangle 38">
          <a:extLst>
            <a:ext uri="{FF2B5EF4-FFF2-40B4-BE49-F238E27FC236}">
              <a16:creationId xmlns:a16="http://schemas.microsoft.com/office/drawing/2014/main" id="{23A954D4-ECDB-A3FC-658D-08E61D9843FC}"/>
            </a:ext>
          </a:extLst>
        </xdr:cNvPr>
        <xdr:cNvSpPr/>
      </xdr:nvSpPr>
      <xdr:spPr>
        <a:xfrm>
          <a:off x="11937850" y="11590974"/>
          <a:ext cx="1361650" cy="336700"/>
        </a:xfrm>
        <a:prstGeom prst="rect">
          <a:avLst/>
        </a:prstGeom>
        <a:solidFill>
          <a:schemeClr val="tx2">
            <a:lumMod val="20000"/>
            <a:lumOff val="80000"/>
          </a:schemeClr>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de-DE"/>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891067C9-45DB-4700-8377-E2E71F1B86A5}" type="TxLink">
            <a:rPr lang="en-US" sz="9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HEx 2, Delta T: 3 K</a:t>
          </a:fld>
          <a:endParaRPr lang="de-AT" sz="900" b="0" i="0" u="none" strike="noStrike" kern="1200">
            <a:solidFill>
              <a:srgbClr val="000000"/>
            </a:solidFill>
            <a:effectLst/>
            <a:latin typeface="+mn-lt"/>
            <a:ea typeface="Calibri"/>
            <a:cs typeface="Calibri"/>
          </a:endParaRPr>
        </a:p>
      </xdr:txBody>
    </xdr:sp>
    <xdr:clientData/>
  </xdr:twoCellAnchor>
  <xdr:twoCellAnchor>
    <xdr:from>
      <xdr:col>2</xdr:col>
      <xdr:colOff>374366</xdr:colOff>
      <xdr:row>57</xdr:row>
      <xdr:rowOff>33321</xdr:rowOff>
    </xdr:from>
    <xdr:to>
      <xdr:col>5</xdr:col>
      <xdr:colOff>597566</xdr:colOff>
      <xdr:row>57</xdr:row>
      <xdr:rowOff>33321</xdr:rowOff>
    </xdr:to>
    <xdr:cxnSp macro="">
      <xdr:nvCxnSpPr>
        <xdr:cNvPr id="107" name="Gerade Verbindung mit Pfeil 23">
          <a:extLst>
            <a:ext uri="{FF2B5EF4-FFF2-40B4-BE49-F238E27FC236}">
              <a16:creationId xmlns:a16="http://schemas.microsoft.com/office/drawing/2014/main" id="{00000000-0008-0000-0700-00006B000000}"/>
            </a:ext>
          </a:extLst>
        </xdr:cNvPr>
        <xdr:cNvCxnSpPr>
          <a:cxnSpLocks/>
        </xdr:cNvCxnSpPr>
      </xdr:nvCxnSpPr>
      <xdr:spPr>
        <a:xfrm>
          <a:off x="3456233" y="13622321"/>
          <a:ext cx="2052000" cy="0"/>
        </a:xfrm>
        <a:prstGeom prst="straightConnector1">
          <a:avLst/>
        </a:prstGeom>
        <a:ln w="12700">
          <a:solidFill>
            <a:srgbClr val="C0000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556391</xdr:colOff>
      <xdr:row>54</xdr:row>
      <xdr:rowOff>141187</xdr:rowOff>
    </xdr:from>
    <xdr:to>
      <xdr:col>5</xdr:col>
      <xdr:colOff>563591</xdr:colOff>
      <xdr:row>54</xdr:row>
      <xdr:rowOff>141187</xdr:rowOff>
    </xdr:to>
    <xdr:cxnSp macro="">
      <xdr:nvCxnSpPr>
        <xdr:cNvPr id="108" name="Gerade Verbindung mit Pfeil 24">
          <a:extLst>
            <a:ext uri="{FF2B5EF4-FFF2-40B4-BE49-F238E27FC236}">
              <a16:creationId xmlns:a16="http://schemas.microsoft.com/office/drawing/2014/main" id="{00000000-0008-0000-0700-00006C000000}"/>
            </a:ext>
          </a:extLst>
        </xdr:cNvPr>
        <xdr:cNvCxnSpPr>
          <a:cxnSpLocks/>
        </xdr:cNvCxnSpPr>
      </xdr:nvCxnSpPr>
      <xdr:spPr>
        <a:xfrm flipH="1">
          <a:off x="3638258" y="13171387"/>
          <a:ext cx="1836000" cy="0"/>
        </a:xfrm>
        <a:prstGeom prst="straightConnector1">
          <a:avLst/>
        </a:prstGeom>
        <a:ln w="12700">
          <a:solidFill>
            <a:srgbClr val="247BA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43</xdr:col>
      <xdr:colOff>1370667</xdr:colOff>
      <xdr:row>197</xdr:row>
      <xdr:rowOff>181015</xdr:rowOff>
    </xdr:from>
    <xdr:to>
      <xdr:col>54</xdr:col>
      <xdr:colOff>1279794</xdr:colOff>
      <xdr:row>225</xdr:row>
      <xdr:rowOff>39305</xdr:rowOff>
    </xdr:to>
    <xdr:grpSp>
      <xdr:nvGrpSpPr>
        <xdr:cNvPr id="2" name="Gruppieren 1">
          <a:extLst>
            <a:ext uri="{FF2B5EF4-FFF2-40B4-BE49-F238E27FC236}">
              <a16:creationId xmlns:a16="http://schemas.microsoft.com/office/drawing/2014/main" id="{21D8B630-8286-49B6-BEC6-2303FDA61129}"/>
            </a:ext>
          </a:extLst>
        </xdr:cNvPr>
        <xdr:cNvGrpSpPr/>
      </xdr:nvGrpSpPr>
      <xdr:grpSpPr>
        <a:xfrm>
          <a:off x="52847080" y="42579689"/>
          <a:ext cx="15033171" cy="5192290"/>
          <a:chOff x="741670" y="6387851"/>
          <a:chExt cx="15622953" cy="4940137"/>
        </a:xfrm>
      </xdr:grpSpPr>
      <xdr:grpSp>
        <xdr:nvGrpSpPr>
          <xdr:cNvPr id="3" name="Group 225">
            <a:extLst>
              <a:ext uri="{FF2B5EF4-FFF2-40B4-BE49-F238E27FC236}">
                <a16:creationId xmlns:a16="http://schemas.microsoft.com/office/drawing/2014/main" id="{FF2E7C18-DFE6-74EE-C928-28DF22F57B37}"/>
              </a:ext>
            </a:extLst>
          </xdr:cNvPr>
          <xdr:cNvGrpSpPr/>
        </xdr:nvGrpSpPr>
        <xdr:grpSpPr>
          <a:xfrm>
            <a:off x="12575666" y="6387851"/>
            <a:ext cx="3427719" cy="4864118"/>
            <a:chOff x="4659219" y="6863494"/>
            <a:chExt cx="2206410" cy="8598543"/>
          </a:xfrm>
        </xdr:grpSpPr>
        <xdr:cxnSp macro="">
          <xdr:nvCxnSpPr>
            <xdr:cNvPr id="16" name="Gerade Verbindung mit Pfeil 24">
              <a:extLst>
                <a:ext uri="{FF2B5EF4-FFF2-40B4-BE49-F238E27FC236}">
                  <a16:creationId xmlns:a16="http://schemas.microsoft.com/office/drawing/2014/main" id="{246949E5-E2C6-45F9-9E69-D194145850F1}"/>
                </a:ext>
              </a:extLst>
            </xdr:cNvPr>
            <xdr:cNvCxnSpPr>
              <a:cxnSpLocks/>
              <a:stCxn id="17" idx="0"/>
            </xdr:cNvCxnSpPr>
          </xdr:nvCxnSpPr>
          <xdr:spPr>
            <a:xfrm flipH="1" flipV="1">
              <a:off x="5758182" y="6863494"/>
              <a:ext cx="4243" cy="7616844"/>
            </a:xfrm>
            <a:prstGeom prst="straightConnector1">
              <a:avLst/>
            </a:prstGeom>
            <a:ln>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sp macro="" textlink="$S$57">
          <xdr:nvSpPr>
            <xdr:cNvPr id="17" name="Rechteck 42">
              <a:extLst>
                <a:ext uri="{FF2B5EF4-FFF2-40B4-BE49-F238E27FC236}">
                  <a16:creationId xmlns:a16="http://schemas.microsoft.com/office/drawing/2014/main" id="{9909347D-C9AA-BBFF-FF59-C51BF0C6B752}"/>
                </a:ext>
              </a:extLst>
            </xdr:cNvPr>
            <xdr:cNvSpPr/>
          </xdr:nvSpPr>
          <xdr:spPr>
            <a:xfrm>
              <a:off x="4659219" y="14480338"/>
              <a:ext cx="2206410" cy="981699"/>
            </a:xfrm>
            <a:prstGeom prst="rect">
              <a:avLst/>
            </a:prstGeom>
            <a:solidFill>
              <a:srgbClr val="3F816D"/>
            </a:solidFill>
            <a:ln w="9525" cmpd="sng">
              <a:solidFill>
                <a:srgbClr val="3F816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indent="0" algn="ctr"/>
              <a:fld id="{E7BAEEFC-9529-4D4D-BA4D-3B15157603CA}" type="TxLink">
                <a:rPr lang="en-US" sz="1000" b="0" i="0" u="none" strike="noStrike">
                  <a:solidFill>
                    <a:schemeClr val="bg1">
                      <a:lumMod val="95000"/>
                    </a:schemeClr>
                  </a:solidFill>
                  <a:latin typeface="+mn-lt"/>
                  <a:ea typeface="Calibri"/>
                  <a:cs typeface="Calibri"/>
                </a:rPr>
                <a:pPr marL="0" indent="0" algn="ctr"/>
                <a:t>Price based on the short-run marginal costs of alternative heat production: 
58.41 EUR/MWh_fed_into_DH_grid</a:t>
              </a:fld>
              <a:endParaRPr lang="en-US" sz="1100" b="0" i="0" u="none" strike="noStrike">
                <a:solidFill>
                  <a:schemeClr val="bg1">
                    <a:lumMod val="95000"/>
                  </a:schemeClr>
                </a:solidFill>
                <a:latin typeface="+mn-lt"/>
                <a:ea typeface="Calibri"/>
                <a:cs typeface="Calibri"/>
              </a:endParaRPr>
            </a:p>
          </xdr:txBody>
        </xdr:sp>
      </xdr:grpSp>
      <xdr:grpSp>
        <xdr:nvGrpSpPr>
          <xdr:cNvPr id="4" name="Group 247">
            <a:extLst>
              <a:ext uri="{FF2B5EF4-FFF2-40B4-BE49-F238E27FC236}">
                <a16:creationId xmlns:a16="http://schemas.microsoft.com/office/drawing/2014/main" id="{7A29F2A5-B2FA-DDB4-95A6-7E77A8B0DF2C}"/>
              </a:ext>
            </a:extLst>
          </xdr:cNvPr>
          <xdr:cNvGrpSpPr/>
        </xdr:nvGrpSpPr>
        <xdr:grpSpPr>
          <a:xfrm>
            <a:off x="6989209" y="10210989"/>
            <a:ext cx="2044558" cy="1041566"/>
            <a:chOff x="2666998" y="7336566"/>
            <a:chExt cx="1872000" cy="791251"/>
          </a:xfrm>
        </xdr:grpSpPr>
        <xdr:cxnSp macro="">
          <xdr:nvCxnSpPr>
            <xdr:cNvPr id="14" name="Gerade Verbindung mit Pfeil 24">
              <a:extLst>
                <a:ext uri="{FF2B5EF4-FFF2-40B4-BE49-F238E27FC236}">
                  <a16:creationId xmlns:a16="http://schemas.microsoft.com/office/drawing/2014/main" id="{0BF38467-2FC4-394C-52B1-29164B51E002}"/>
                </a:ext>
              </a:extLst>
            </xdr:cNvPr>
            <xdr:cNvCxnSpPr>
              <a:cxnSpLocks/>
            </xdr:cNvCxnSpPr>
          </xdr:nvCxnSpPr>
          <xdr:spPr>
            <a:xfrm flipH="1" flipV="1">
              <a:off x="3591149" y="7336566"/>
              <a:ext cx="0" cy="360082"/>
            </a:xfrm>
            <a:prstGeom prst="straightConnector1">
              <a:avLst/>
            </a:prstGeom>
            <a:ln>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sp macro="" textlink="$S$58">
          <xdr:nvSpPr>
            <xdr:cNvPr id="15" name="Rechteck 42">
              <a:extLst>
                <a:ext uri="{FF2B5EF4-FFF2-40B4-BE49-F238E27FC236}">
                  <a16:creationId xmlns:a16="http://schemas.microsoft.com/office/drawing/2014/main" id="{01734AD8-79C9-C8DB-2909-F58EEE40C1D0}"/>
                </a:ext>
              </a:extLst>
            </xdr:cNvPr>
            <xdr:cNvSpPr/>
          </xdr:nvSpPr>
          <xdr:spPr>
            <a:xfrm>
              <a:off x="2666998" y="7704467"/>
              <a:ext cx="1872000" cy="423350"/>
            </a:xfrm>
            <a:prstGeom prst="rect">
              <a:avLst/>
            </a:prstGeom>
            <a:solidFill>
              <a:srgbClr val="3F816D"/>
            </a:solidFill>
            <a:ln w="9525" cmpd="sng">
              <a:solidFill>
                <a:srgbClr val="3F816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indent="0" algn="ctr"/>
              <a:fld id="{3631FBA2-53A5-40D9-A6B1-ACE75E36E372}" type="TxLink">
                <a:rPr lang="en-US" sz="1000" b="0" i="0" u="none" strike="noStrike">
                  <a:solidFill>
                    <a:schemeClr val="bg1">
                      <a:lumMod val="95000"/>
                    </a:schemeClr>
                  </a:solidFill>
                  <a:latin typeface="+mn-lt"/>
                  <a:ea typeface="Calibri"/>
                  <a:cs typeface="Calibri"/>
                </a:rPr>
                <a:pPr marL="0" indent="0" algn="ctr"/>
                <a:t>Break-even price for waste heat supplied by DC: -3.17 EUR/MWh_provided_by_DH</a:t>
              </a:fld>
              <a:endParaRPr lang="en-US" sz="1400" b="0" i="0" u="none" strike="noStrike">
                <a:solidFill>
                  <a:schemeClr val="bg1">
                    <a:lumMod val="95000"/>
                  </a:schemeClr>
                </a:solidFill>
                <a:latin typeface="+mn-lt"/>
                <a:ea typeface="Calibri"/>
                <a:cs typeface="Calibri"/>
              </a:endParaRPr>
            </a:p>
          </xdr:txBody>
        </xdr:sp>
      </xdr:grpSp>
      <xdr:grpSp>
        <xdr:nvGrpSpPr>
          <xdr:cNvPr id="5" name="Group 250">
            <a:extLst>
              <a:ext uri="{FF2B5EF4-FFF2-40B4-BE49-F238E27FC236}">
                <a16:creationId xmlns:a16="http://schemas.microsoft.com/office/drawing/2014/main" id="{F9EC8713-4964-FE9C-1D3C-0DE000FE109F}"/>
              </a:ext>
            </a:extLst>
          </xdr:cNvPr>
          <xdr:cNvGrpSpPr/>
        </xdr:nvGrpSpPr>
        <xdr:grpSpPr>
          <a:xfrm>
            <a:off x="9087154" y="10298573"/>
            <a:ext cx="1873231" cy="945775"/>
            <a:chOff x="2666998" y="7303483"/>
            <a:chExt cx="1872000" cy="809818"/>
          </a:xfrm>
        </xdr:grpSpPr>
        <xdr:cxnSp macro="">
          <xdr:nvCxnSpPr>
            <xdr:cNvPr id="12" name="Gerade Verbindung mit Pfeil 24">
              <a:extLst>
                <a:ext uri="{FF2B5EF4-FFF2-40B4-BE49-F238E27FC236}">
                  <a16:creationId xmlns:a16="http://schemas.microsoft.com/office/drawing/2014/main" id="{FE9B54FA-10CD-1A45-A2D8-2C67A44E3D82}"/>
                </a:ext>
              </a:extLst>
            </xdr:cNvPr>
            <xdr:cNvCxnSpPr>
              <a:cxnSpLocks/>
            </xdr:cNvCxnSpPr>
          </xdr:nvCxnSpPr>
          <xdr:spPr>
            <a:xfrm flipV="1">
              <a:off x="3592923" y="7303483"/>
              <a:ext cx="0" cy="393165"/>
            </a:xfrm>
            <a:prstGeom prst="straightConnector1">
              <a:avLst/>
            </a:prstGeom>
            <a:ln>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sp macro="" textlink="$S$59">
          <xdr:nvSpPr>
            <xdr:cNvPr id="13" name="Rechteck 42">
              <a:extLst>
                <a:ext uri="{FF2B5EF4-FFF2-40B4-BE49-F238E27FC236}">
                  <a16:creationId xmlns:a16="http://schemas.microsoft.com/office/drawing/2014/main" id="{0B74E534-7308-4371-62D2-78E17DFB8873}"/>
                </a:ext>
              </a:extLst>
            </xdr:cNvPr>
            <xdr:cNvSpPr/>
          </xdr:nvSpPr>
          <xdr:spPr>
            <a:xfrm>
              <a:off x="2666998" y="7643881"/>
              <a:ext cx="1872000" cy="469420"/>
            </a:xfrm>
            <a:prstGeom prst="rect">
              <a:avLst/>
            </a:prstGeom>
            <a:solidFill>
              <a:srgbClr val="3F816D"/>
            </a:solidFill>
            <a:ln w="9525" cmpd="sng">
              <a:solidFill>
                <a:srgbClr val="3F816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indent="0" algn="ctr"/>
              <a:fld id="{511198E3-2C74-4ECF-9D8E-608B8B9FFF96}" type="TxLink">
                <a:rPr lang="en-US" sz="1000" b="0" i="0" u="none" strike="noStrike">
                  <a:solidFill>
                    <a:schemeClr val="bg1">
                      <a:lumMod val="95000"/>
                    </a:schemeClr>
                  </a:solidFill>
                  <a:latin typeface="+mn-lt"/>
                  <a:ea typeface="Calibri"/>
                  <a:cs typeface="Calibri"/>
                </a:rPr>
                <a:pPr marL="0" indent="0" algn="ctr"/>
                <a:t>Break-even price for waste heat utilised by HP: -3.36 EUR/MWh_utilised_by_HP</a:t>
              </a:fld>
              <a:endParaRPr lang="en-US" sz="1400" b="0" i="0" u="none" strike="noStrike">
                <a:solidFill>
                  <a:schemeClr val="bg1">
                    <a:lumMod val="95000"/>
                  </a:schemeClr>
                </a:solidFill>
                <a:latin typeface="+mn-lt"/>
                <a:ea typeface="Calibri"/>
                <a:cs typeface="Calibri"/>
              </a:endParaRPr>
            </a:p>
          </xdr:txBody>
        </xdr:sp>
      </xdr:grpSp>
      <xdr:grpSp>
        <xdr:nvGrpSpPr>
          <xdr:cNvPr id="6" name="Group 254">
            <a:extLst>
              <a:ext uri="{FF2B5EF4-FFF2-40B4-BE49-F238E27FC236}">
                <a16:creationId xmlns:a16="http://schemas.microsoft.com/office/drawing/2014/main" id="{F49C63CB-15A2-4122-071B-20340B75101D}"/>
              </a:ext>
            </a:extLst>
          </xdr:cNvPr>
          <xdr:cNvGrpSpPr/>
        </xdr:nvGrpSpPr>
        <xdr:grpSpPr>
          <a:xfrm>
            <a:off x="10980758" y="10493723"/>
            <a:ext cx="2165642" cy="756896"/>
            <a:chOff x="2329539" y="7373704"/>
            <a:chExt cx="2087583" cy="764623"/>
          </a:xfrm>
        </xdr:grpSpPr>
        <xdr:cxnSp macro="">
          <xdr:nvCxnSpPr>
            <xdr:cNvPr id="10" name="Gerade Verbindung mit Pfeil 24">
              <a:extLst>
                <a:ext uri="{FF2B5EF4-FFF2-40B4-BE49-F238E27FC236}">
                  <a16:creationId xmlns:a16="http://schemas.microsoft.com/office/drawing/2014/main" id="{1157FC3C-CD5D-D3C2-51B0-CF8B5F2BC71E}"/>
                </a:ext>
              </a:extLst>
            </xdr:cNvPr>
            <xdr:cNvCxnSpPr>
              <a:cxnSpLocks/>
            </xdr:cNvCxnSpPr>
          </xdr:nvCxnSpPr>
          <xdr:spPr>
            <a:xfrm flipH="1" flipV="1">
              <a:off x="3367491" y="7373704"/>
              <a:ext cx="0" cy="322943"/>
            </a:xfrm>
            <a:prstGeom prst="straightConnector1">
              <a:avLst/>
            </a:prstGeom>
            <a:ln>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sp macro="" textlink="$S$60">
          <xdr:nvSpPr>
            <xdr:cNvPr id="11" name="Rechteck 42">
              <a:extLst>
                <a:ext uri="{FF2B5EF4-FFF2-40B4-BE49-F238E27FC236}">
                  <a16:creationId xmlns:a16="http://schemas.microsoft.com/office/drawing/2014/main" id="{5395FF93-4F5A-7111-82CE-2768DE253F4F}"/>
                </a:ext>
              </a:extLst>
            </xdr:cNvPr>
            <xdr:cNvSpPr/>
          </xdr:nvSpPr>
          <xdr:spPr>
            <a:xfrm>
              <a:off x="2329539" y="7570669"/>
              <a:ext cx="2087583" cy="567658"/>
            </a:xfrm>
            <a:prstGeom prst="rect">
              <a:avLst/>
            </a:prstGeom>
            <a:solidFill>
              <a:srgbClr val="3F816D"/>
            </a:solidFill>
            <a:ln w="9525" cmpd="sng">
              <a:solidFill>
                <a:srgbClr val="3F816D"/>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marL="0" indent="0" algn="ctr"/>
              <a:fld id="{7FC506E3-DC14-4E58-BB8C-AB2836FED9F5}" type="TxLink">
                <a:rPr lang="en-US" sz="1000" b="0" i="0" u="none" strike="noStrike">
                  <a:solidFill>
                    <a:schemeClr val="bg1">
                      <a:lumMod val="95000"/>
                    </a:schemeClr>
                  </a:solidFill>
                  <a:latin typeface="+mn-lt"/>
                  <a:ea typeface="Calibri"/>
                  <a:cs typeface="Calibri"/>
                </a:rPr>
                <a:pPr marL="0" indent="0" algn="ctr"/>
                <a:t>Break-even price for waste heat fed into DH grid: -2.4 EUR/MWh_fed_into_grid</a:t>
              </a:fld>
              <a:endParaRPr lang="en-US" sz="1400" b="0" i="0" u="none" strike="noStrike">
                <a:solidFill>
                  <a:schemeClr val="bg1">
                    <a:lumMod val="95000"/>
                  </a:schemeClr>
                </a:solidFill>
                <a:latin typeface="+mn-lt"/>
                <a:ea typeface="Calibri"/>
                <a:cs typeface="Calibri"/>
              </a:endParaRPr>
            </a:p>
          </xdr:txBody>
        </xdr:sp>
      </xdr:grpSp>
      <xdr:grpSp>
        <xdr:nvGrpSpPr>
          <xdr:cNvPr id="7" name="Group 277">
            <a:extLst>
              <a:ext uri="{FF2B5EF4-FFF2-40B4-BE49-F238E27FC236}">
                <a16:creationId xmlns:a16="http://schemas.microsoft.com/office/drawing/2014/main" id="{2FE11C32-C682-963D-9475-4D01B55697E1}"/>
              </a:ext>
            </a:extLst>
          </xdr:cNvPr>
          <xdr:cNvGrpSpPr/>
        </xdr:nvGrpSpPr>
        <xdr:grpSpPr>
          <a:xfrm>
            <a:off x="741670" y="10463064"/>
            <a:ext cx="15622953" cy="864924"/>
            <a:chOff x="590900" y="7377247"/>
            <a:chExt cx="12819794" cy="882476"/>
          </a:xfrm>
        </xdr:grpSpPr>
        <xdr:sp macro="" textlink="">
          <xdr:nvSpPr>
            <xdr:cNvPr id="8" name="TextBox 270">
              <a:extLst>
                <a:ext uri="{FF2B5EF4-FFF2-40B4-BE49-F238E27FC236}">
                  <a16:creationId xmlns:a16="http://schemas.microsoft.com/office/drawing/2014/main" id="{758D0DC9-363D-5CB4-8518-E7EF7004817D}"/>
                </a:ext>
              </a:extLst>
            </xdr:cNvPr>
            <xdr:cNvSpPr txBox="1"/>
          </xdr:nvSpPr>
          <xdr:spPr>
            <a:xfrm>
              <a:off x="590900" y="7377723"/>
              <a:ext cx="162000" cy="882000"/>
            </a:xfrm>
            <a:prstGeom prst="rect">
              <a:avLst/>
            </a:prstGeom>
            <a:solidFill>
              <a:srgbClr val="3F816D"/>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 wrap="square" lIns="0" tIns="0" rIns="0" bIns="0" rtlCol="0" anchor="t">
              <a:noAutofit/>
            </a:bodyPr>
            <a:lstStyle/>
            <a:p>
              <a:pPr marL="0" indent="0" algn="ctr" defTabSz="914400" rtl="0" eaLnBrk="1" latinLnBrk="0" hangingPunct="1"/>
              <a:r>
                <a:rPr lang="en-US" sz="800" b="0" i="0" u="none" strike="noStrike" kern="1200">
                  <a:solidFill>
                    <a:schemeClr val="bg1">
                      <a:lumMod val="95000"/>
                    </a:schemeClr>
                  </a:solidFill>
                  <a:latin typeface="+mn-lt"/>
                  <a:ea typeface="Calibri"/>
                  <a:cs typeface="Calibri"/>
                </a:rPr>
                <a:t>PRICES0</a:t>
              </a:r>
            </a:p>
          </xdr:txBody>
        </xdr:sp>
        <xdr:sp macro="" textlink="">
          <xdr:nvSpPr>
            <xdr:cNvPr id="9" name="Rectangle 276">
              <a:extLst>
                <a:ext uri="{FF2B5EF4-FFF2-40B4-BE49-F238E27FC236}">
                  <a16:creationId xmlns:a16="http://schemas.microsoft.com/office/drawing/2014/main" id="{06941F31-9297-503C-CDF8-6EB0517226AC}"/>
                </a:ext>
              </a:extLst>
            </xdr:cNvPr>
            <xdr:cNvSpPr/>
          </xdr:nvSpPr>
          <xdr:spPr>
            <a:xfrm>
              <a:off x="604320" y="7377247"/>
              <a:ext cx="12806374" cy="882000"/>
            </a:xfrm>
            <a:prstGeom prst="rect">
              <a:avLst/>
            </a:prstGeom>
            <a:noFill/>
            <a:ln w="12700">
              <a:solidFill>
                <a:srgbClr val="3F816D"/>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AT" sz="1100">
                <a:latin typeface="+mn-lt"/>
              </a:endParaRPr>
            </a:p>
          </xdr:txBody>
        </xdr:sp>
      </xdr:grpSp>
    </xdr:grpSp>
    <xdr:clientData/>
  </xdr:twoCellAnchor>
  <xdr:twoCellAnchor>
    <xdr:from>
      <xdr:col>1</xdr:col>
      <xdr:colOff>436999</xdr:colOff>
      <xdr:row>81</xdr:row>
      <xdr:rowOff>13321</xdr:rowOff>
    </xdr:from>
    <xdr:to>
      <xdr:col>3</xdr:col>
      <xdr:colOff>385790</xdr:colOff>
      <xdr:row>83</xdr:row>
      <xdr:rowOff>123926</xdr:rowOff>
    </xdr:to>
    <xdr:sp macro="" textlink="$S$117">
      <xdr:nvSpPr>
        <xdr:cNvPr id="18" name="Rechteck 2">
          <a:extLst>
            <a:ext uri="{FF2B5EF4-FFF2-40B4-BE49-F238E27FC236}">
              <a16:creationId xmlns:a16="http://schemas.microsoft.com/office/drawing/2014/main" id="{8D48FC85-C6E9-41E1-97AC-CAB34951B078}"/>
            </a:ext>
          </a:extLst>
        </xdr:cNvPr>
        <xdr:cNvSpPr/>
      </xdr:nvSpPr>
      <xdr:spPr>
        <a:xfrm>
          <a:off x="1846699" y="8242921"/>
          <a:ext cx="2768191" cy="476365"/>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4474C73E-2358-409C-AC9D-A18E1FD78813}" type="TxLink">
            <a:rPr lang="en-US" sz="1000" b="1" i="0" u="none" strike="noStrike">
              <a:solidFill>
                <a:srgbClr val="12355B"/>
              </a:solidFill>
              <a:latin typeface="+mn-lt"/>
              <a:ea typeface="Calibri"/>
              <a:cs typeface="Calibri"/>
            </a:rPr>
            <a:pPr marL="0" indent="0" algn="ctr"/>
            <a:t>Avoided electricity costs for active cooling: 121.4 kEUR/yr</a:t>
          </a:fld>
          <a:endParaRPr lang="de-DE" sz="1000" b="1" i="0" u="none" strike="noStrike">
            <a:solidFill>
              <a:srgbClr val="12355B"/>
            </a:solidFill>
            <a:latin typeface="+mn-lt"/>
            <a:ea typeface="Calibri"/>
            <a:cs typeface="Calibri"/>
          </a:endParaRPr>
        </a:p>
      </xdr:txBody>
    </xdr:sp>
    <xdr:clientData/>
  </xdr:twoCellAnchor>
  <xdr:twoCellAnchor>
    <xdr:from>
      <xdr:col>3</xdr:col>
      <xdr:colOff>426720</xdr:colOff>
      <xdr:row>50</xdr:row>
      <xdr:rowOff>38100</xdr:rowOff>
    </xdr:from>
    <xdr:to>
      <xdr:col>4</xdr:col>
      <xdr:colOff>174928</xdr:colOff>
      <xdr:row>51</xdr:row>
      <xdr:rowOff>165628</xdr:rowOff>
    </xdr:to>
    <xdr:sp macro="" textlink="">
      <xdr:nvSpPr>
        <xdr:cNvPr id="19" name="Ellipse 18">
          <a:extLst>
            <a:ext uri="{FF2B5EF4-FFF2-40B4-BE49-F238E27FC236}">
              <a16:creationId xmlns:a16="http://schemas.microsoft.com/office/drawing/2014/main" id="{1D1030C9-3B6B-4C5C-B1A8-35216A78786D}"/>
            </a:ext>
          </a:extLst>
        </xdr:cNvPr>
        <xdr:cNvSpPr/>
      </xdr:nvSpPr>
      <xdr:spPr>
        <a:xfrm>
          <a:off x="4655820" y="2598420"/>
          <a:ext cx="1157908" cy="310408"/>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1</a:t>
          </a:r>
        </a:p>
      </xdr:txBody>
    </xdr:sp>
    <xdr:clientData/>
  </xdr:twoCellAnchor>
  <xdr:twoCellAnchor>
    <xdr:from>
      <xdr:col>6</xdr:col>
      <xdr:colOff>721556</xdr:colOff>
      <xdr:row>50</xdr:row>
      <xdr:rowOff>43962</xdr:rowOff>
    </xdr:from>
    <xdr:to>
      <xdr:col>6</xdr:col>
      <xdr:colOff>1079364</xdr:colOff>
      <xdr:row>51</xdr:row>
      <xdr:rowOff>171490</xdr:rowOff>
    </xdr:to>
    <xdr:sp macro="" textlink="">
      <xdr:nvSpPr>
        <xdr:cNvPr id="20" name="Ellipse 19">
          <a:extLst>
            <a:ext uri="{FF2B5EF4-FFF2-40B4-BE49-F238E27FC236}">
              <a16:creationId xmlns:a16="http://schemas.microsoft.com/office/drawing/2014/main" id="{9AC57F8D-6CF9-42A3-92EE-FC2D1A55308D}"/>
            </a:ext>
          </a:extLst>
        </xdr:cNvPr>
        <xdr:cNvSpPr/>
      </xdr:nvSpPr>
      <xdr:spPr>
        <a:xfrm>
          <a:off x="9179756" y="2604282"/>
          <a:ext cx="357808" cy="310408"/>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2</a:t>
          </a:r>
        </a:p>
      </xdr:txBody>
    </xdr:sp>
    <xdr:clientData/>
  </xdr:twoCellAnchor>
  <xdr:twoCellAnchor>
    <xdr:from>
      <xdr:col>11</xdr:col>
      <xdr:colOff>1159143</xdr:colOff>
      <xdr:row>50</xdr:row>
      <xdr:rowOff>44982</xdr:rowOff>
    </xdr:from>
    <xdr:to>
      <xdr:col>12</xdr:col>
      <xdr:colOff>571</xdr:colOff>
      <xdr:row>51</xdr:row>
      <xdr:rowOff>172510</xdr:rowOff>
    </xdr:to>
    <xdr:sp macro="" textlink="">
      <xdr:nvSpPr>
        <xdr:cNvPr id="21" name="Ellipse 20">
          <a:extLst>
            <a:ext uri="{FF2B5EF4-FFF2-40B4-BE49-F238E27FC236}">
              <a16:creationId xmlns:a16="http://schemas.microsoft.com/office/drawing/2014/main" id="{8A245A38-3223-4A03-984D-778D12E89E3F}"/>
            </a:ext>
          </a:extLst>
        </xdr:cNvPr>
        <xdr:cNvSpPr/>
      </xdr:nvSpPr>
      <xdr:spPr>
        <a:xfrm>
          <a:off x="16665843" y="2605302"/>
          <a:ext cx="251128" cy="310408"/>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3</a:t>
          </a:r>
        </a:p>
      </xdr:txBody>
    </xdr:sp>
    <xdr:clientData/>
  </xdr:twoCellAnchor>
  <xdr:twoCellAnchor>
    <xdr:from>
      <xdr:col>0</xdr:col>
      <xdr:colOff>183002</xdr:colOff>
      <xdr:row>49</xdr:row>
      <xdr:rowOff>95869</xdr:rowOff>
    </xdr:from>
    <xdr:to>
      <xdr:col>13</xdr:col>
      <xdr:colOff>1535267</xdr:colOff>
      <xdr:row>136</xdr:row>
      <xdr:rowOff>98777</xdr:rowOff>
    </xdr:to>
    <xdr:grpSp>
      <xdr:nvGrpSpPr>
        <xdr:cNvPr id="22" name="Gruppieren 21">
          <a:extLst>
            <a:ext uri="{FF2B5EF4-FFF2-40B4-BE49-F238E27FC236}">
              <a16:creationId xmlns:a16="http://schemas.microsoft.com/office/drawing/2014/main" id="{F944A1D1-D4E1-4C98-A993-40B91EF95C3C}"/>
            </a:ext>
          </a:extLst>
        </xdr:cNvPr>
        <xdr:cNvGrpSpPr/>
      </xdr:nvGrpSpPr>
      <xdr:grpSpPr>
        <a:xfrm>
          <a:off x="183002" y="12875934"/>
          <a:ext cx="15937939" cy="18001017"/>
          <a:chOff x="26562475" y="15298865"/>
          <a:chExt cx="16353471" cy="16907892"/>
        </a:xfrm>
      </xdr:grpSpPr>
      <xdr:grpSp>
        <xdr:nvGrpSpPr>
          <xdr:cNvPr id="23" name="Gruppieren 22">
            <a:extLst>
              <a:ext uri="{FF2B5EF4-FFF2-40B4-BE49-F238E27FC236}">
                <a16:creationId xmlns:a16="http://schemas.microsoft.com/office/drawing/2014/main" id="{22AE9A27-0CE9-7EA3-E424-7FE446E37A52}"/>
              </a:ext>
            </a:extLst>
          </xdr:cNvPr>
          <xdr:cNvGrpSpPr/>
        </xdr:nvGrpSpPr>
        <xdr:grpSpPr>
          <a:xfrm>
            <a:off x="26562475" y="15298865"/>
            <a:ext cx="16353471" cy="16907892"/>
            <a:chOff x="26566827" y="10740824"/>
            <a:chExt cx="16341056" cy="17352694"/>
          </a:xfrm>
        </xdr:grpSpPr>
        <xdr:grpSp>
          <xdr:nvGrpSpPr>
            <xdr:cNvPr id="25" name="Gruppieren 24">
              <a:extLst>
                <a:ext uri="{FF2B5EF4-FFF2-40B4-BE49-F238E27FC236}">
                  <a16:creationId xmlns:a16="http://schemas.microsoft.com/office/drawing/2014/main" id="{6F0DCC76-1463-1F12-448E-43FF0492976E}"/>
                </a:ext>
              </a:extLst>
            </xdr:cNvPr>
            <xdr:cNvGrpSpPr/>
          </xdr:nvGrpSpPr>
          <xdr:grpSpPr>
            <a:xfrm>
              <a:off x="27107658" y="22825548"/>
              <a:ext cx="15800167" cy="979037"/>
              <a:chOff x="27145516" y="21044348"/>
              <a:chExt cx="15794992" cy="953127"/>
            </a:xfrm>
          </xdr:grpSpPr>
          <xdr:sp macro="" textlink="">
            <xdr:nvSpPr>
              <xdr:cNvPr id="176" name="Rectangle 281">
                <a:extLst>
                  <a:ext uri="{FF2B5EF4-FFF2-40B4-BE49-F238E27FC236}">
                    <a16:creationId xmlns:a16="http://schemas.microsoft.com/office/drawing/2014/main" id="{71B2D936-E48B-D019-B985-F67D38701CDF}"/>
                  </a:ext>
                </a:extLst>
              </xdr:cNvPr>
              <xdr:cNvSpPr/>
            </xdr:nvSpPr>
            <xdr:spPr>
              <a:xfrm>
                <a:off x="27145516" y="21044348"/>
                <a:ext cx="15794992" cy="953127"/>
              </a:xfrm>
              <a:prstGeom prst="rect">
                <a:avLst/>
              </a:prstGeom>
              <a:noFill/>
              <a:ln w="12700">
                <a:solidFill>
                  <a:srgbClr val="00B05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AT" sz="1100" b="1">
                    <a:solidFill>
                      <a:srgbClr val="51A58B"/>
                    </a:solidFill>
                    <a:latin typeface="+mn-lt"/>
                  </a:rPr>
                  <a:t>EARNINGS</a:t>
                </a:r>
              </a:p>
            </xdr:txBody>
          </xdr:sp>
          <xdr:sp macro="" textlink="$S$83">
            <xdr:nvSpPr>
              <xdr:cNvPr id="177" name="TextBox 284">
                <a:extLst>
                  <a:ext uri="{FF2B5EF4-FFF2-40B4-BE49-F238E27FC236}">
                    <a16:creationId xmlns:a16="http://schemas.microsoft.com/office/drawing/2014/main" id="{1302BD93-0AB9-77BD-3C39-D1BED4B64800}"/>
                  </a:ext>
                </a:extLst>
              </xdr:cNvPr>
              <xdr:cNvSpPr txBox="1"/>
            </xdr:nvSpPr>
            <xdr:spPr>
              <a:xfrm>
                <a:off x="35786706" y="21134536"/>
                <a:ext cx="3059520" cy="777333"/>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99FAB45D-D687-4753-839B-16E2C277257D}" type="TxLink">
                  <a:rPr lang="en-US" sz="1100" b="0" i="0" u="none" strike="noStrike" kern="1200">
                    <a:solidFill>
                      <a:schemeClr val="bg1"/>
                    </a:solidFill>
                    <a:latin typeface="+mn-lt"/>
                    <a:ea typeface="Calibri"/>
                    <a:cs typeface="Calibri"/>
                  </a:rPr>
                  <a:pPr marL="0" indent="0" algn="ctr" defTabSz="914400" rtl="0" eaLnBrk="1" latinLnBrk="0" hangingPunct="1"/>
                  <a:t>Contractor 1's gross earnings based on avoided alternative heat production costs: 1337.6 kEUR/yr</a:t>
                </a:fld>
                <a:endParaRPr lang="en-US" sz="1100" b="0" i="0" u="none" strike="noStrike" kern="1200">
                  <a:solidFill>
                    <a:schemeClr val="bg1"/>
                  </a:solidFill>
                  <a:latin typeface="+mn-lt"/>
                  <a:ea typeface="Calibri"/>
                  <a:cs typeface="Calibri"/>
                </a:endParaRPr>
              </a:p>
            </xdr:txBody>
          </xdr:sp>
          <xdr:sp macro="" textlink="$S$90">
            <xdr:nvSpPr>
              <xdr:cNvPr id="178" name="TextBox 1">
                <a:extLst>
                  <a:ext uri="{FF2B5EF4-FFF2-40B4-BE49-F238E27FC236}">
                    <a16:creationId xmlns:a16="http://schemas.microsoft.com/office/drawing/2014/main" id="{A4B04CE6-CDA7-37AB-BFE9-E426821C11A2}"/>
                  </a:ext>
                </a:extLst>
              </xdr:cNvPr>
              <xdr:cNvSpPr txBox="1"/>
            </xdr:nvSpPr>
            <xdr:spPr>
              <a:xfrm>
                <a:off x="27906563" y="21129997"/>
                <a:ext cx="2627588" cy="777333"/>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21B7FB0B-9873-4C28-95D2-8DF3BE15DE9C}" type="TxLink">
                  <a:rPr lang="en-US" sz="1100" b="0" i="0" u="none" strike="noStrike" kern="1200">
                    <a:solidFill>
                      <a:schemeClr val="bg1"/>
                    </a:solidFill>
                    <a:latin typeface="+mn-lt"/>
                    <a:ea typeface="Calibri"/>
                    <a:cs typeface="Calibri"/>
                  </a:rPr>
                  <a:pPr marL="0" indent="0" algn="ctr" defTabSz="914400" rtl="0" eaLnBrk="1" latinLnBrk="0" hangingPunct="1"/>
                  <a:t>Contractor 2's gross earnings per year due to heat sold to contractor 1: 34.8 kEUR/yr</a:t>
                </a:fld>
                <a:endParaRPr lang="en-US" sz="1100" b="0" i="0" u="none" strike="noStrike" kern="1200">
                  <a:solidFill>
                    <a:schemeClr val="bg1"/>
                  </a:solidFill>
                  <a:latin typeface="+mn-lt"/>
                  <a:ea typeface="Calibri"/>
                  <a:cs typeface="Calibri"/>
                </a:endParaRPr>
              </a:p>
            </xdr:txBody>
          </xdr:sp>
        </xdr:grpSp>
        <xdr:grpSp>
          <xdr:nvGrpSpPr>
            <xdr:cNvPr id="26" name="Gruppieren 25">
              <a:extLst>
                <a:ext uri="{FF2B5EF4-FFF2-40B4-BE49-F238E27FC236}">
                  <a16:creationId xmlns:a16="http://schemas.microsoft.com/office/drawing/2014/main" id="{07E18871-0725-D465-C753-D3C872B57F71}"/>
                </a:ext>
              </a:extLst>
            </xdr:cNvPr>
            <xdr:cNvGrpSpPr/>
          </xdr:nvGrpSpPr>
          <xdr:grpSpPr>
            <a:xfrm>
              <a:off x="26566827" y="10740824"/>
              <a:ext cx="16341056" cy="17158733"/>
              <a:chOff x="26566827" y="10740824"/>
              <a:chExt cx="16341056" cy="16659143"/>
            </a:xfrm>
          </xdr:grpSpPr>
          <xdr:sp macro="" textlink="">
            <xdr:nvSpPr>
              <xdr:cNvPr id="58" name="Rectangle 74">
                <a:extLst>
                  <a:ext uri="{FF2B5EF4-FFF2-40B4-BE49-F238E27FC236}">
                    <a16:creationId xmlns:a16="http://schemas.microsoft.com/office/drawing/2014/main" id="{7094BB74-06BE-6DD8-0CCA-CE7AAD7125E8}"/>
                  </a:ext>
                </a:extLst>
              </xdr:cNvPr>
              <xdr:cNvSpPr/>
            </xdr:nvSpPr>
            <xdr:spPr>
              <a:xfrm>
                <a:off x="26566827" y="10747047"/>
                <a:ext cx="548800" cy="7170065"/>
              </a:xfrm>
              <a:prstGeom prst="rect">
                <a:avLst/>
              </a:prstGeom>
              <a:solidFill>
                <a:srgbClr val="54688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vert270" wrap="square" rtlCol="0" anchor="ctr"/>
              <a:lstStyle>
                <a:defPPr>
                  <a:defRPr lang="de-DE"/>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de-AT" sz="2000" b="1">
                    <a:latin typeface="+mn-lt"/>
                  </a:rPr>
                  <a:t>INPUT</a:t>
                </a:r>
              </a:p>
            </xdr:txBody>
          </xdr:sp>
          <xdr:grpSp>
            <xdr:nvGrpSpPr>
              <xdr:cNvPr id="59" name="Gruppieren 58">
                <a:extLst>
                  <a:ext uri="{FF2B5EF4-FFF2-40B4-BE49-F238E27FC236}">
                    <a16:creationId xmlns:a16="http://schemas.microsoft.com/office/drawing/2014/main" id="{980DB7C7-95B4-DBE8-793E-6AD26B424594}"/>
                  </a:ext>
                </a:extLst>
              </xdr:cNvPr>
              <xdr:cNvGrpSpPr/>
            </xdr:nvGrpSpPr>
            <xdr:grpSpPr>
              <a:xfrm>
                <a:off x="27107657" y="10740824"/>
                <a:ext cx="15800226" cy="16659143"/>
                <a:chOff x="18801857" y="1226710"/>
                <a:chExt cx="15800226" cy="16659143"/>
              </a:xfrm>
            </xdr:grpSpPr>
            <xdr:grpSp>
              <xdr:nvGrpSpPr>
                <xdr:cNvPr id="60" name="Gruppieren 59">
                  <a:extLst>
                    <a:ext uri="{FF2B5EF4-FFF2-40B4-BE49-F238E27FC236}">
                      <a16:creationId xmlns:a16="http://schemas.microsoft.com/office/drawing/2014/main" id="{06EF992C-D2BA-EF15-4FF9-000D18355DA7}"/>
                    </a:ext>
                  </a:extLst>
                </xdr:cNvPr>
                <xdr:cNvGrpSpPr/>
              </xdr:nvGrpSpPr>
              <xdr:grpSpPr>
                <a:xfrm>
                  <a:off x="18801857" y="1226710"/>
                  <a:ext cx="15800226" cy="16659143"/>
                  <a:chOff x="17306069" y="1576974"/>
                  <a:chExt cx="15797639" cy="16151019"/>
                </a:xfrm>
              </xdr:grpSpPr>
              <xdr:grpSp>
                <xdr:nvGrpSpPr>
                  <xdr:cNvPr id="65" name="Gruppieren 64">
                    <a:extLst>
                      <a:ext uri="{FF2B5EF4-FFF2-40B4-BE49-F238E27FC236}">
                        <a16:creationId xmlns:a16="http://schemas.microsoft.com/office/drawing/2014/main" id="{C1367045-B994-F474-C15B-108D9DB0575C}"/>
                      </a:ext>
                    </a:extLst>
                  </xdr:cNvPr>
                  <xdr:cNvGrpSpPr/>
                </xdr:nvGrpSpPr>
                <xdr:grpSpPr>
                  <a:xfrm>
                    <a:off x="17311847" y="1576974"/>
                    <a:ext cx="15791861" cy="16151019"/>
                    <a:chOff x="450016" y="2291706"/>
                    <a:chExt cx="15794335" cy="16227026"/>
                  </a:xfrm>
                </xdr:grpSpPr>
                <xdr:grpSp>
                  <xdr:nvGrpSpPr>
                    <xdr:cNvPr id="77" name="Gruppieren 76">
                      <a:extLst>
                        <a:ext uri="{FF2B5EF4-FFF2-40B4-BE49-F238E27FC236}">
                          <a16:creationId xmlns:a16="http://schemas.microsoft.com/office/drawing/2014/main" id="{EF1FE421-5E73-632C-24B3-D3045277F4FF}"/>
                        </a:ext>
                      </a:extLst>
                    </xdr:cNvPr>
                    <xdr:cNvGrpSpPr/>
                  </xdr:nvGrpSpPr>
                  <xdr:grpSpPr>
                    <a:xfrm>
                      <a:off x="450016" y="2291706"/>
                      <a:ext cx="15794335" cy="16227026"/>
                      <a:chOff x="450744" y="2333270"/>
                      <a:chExt cx="15813357" cy="16656292"/>
                    </a:xfrm>
                  </xdr:grpSpPr>
                  <xdr:grpSp>
                    <xdr:nvGrpSpPr>
                      <xdr:cNvPr id="79" name="Gruppieren 78">
                        <a:extLst>
                          <a:ext uri="{FF2B5EF4-FFF2-40B4-BE49-F238E27FC236}">
                            <a16:creationId xmlns:a16="http://schemas.microsoft.com/office/drawing/2014/main" id="{B5DAD2F6-C720-75C2-9860-4F8CD21EBB8D}"/>
                          </a:ext>
                        </a:extLst>
                      </xdr:cNvPr>
                      <xdr:cNvGrpSpPr/>
                    </xdr:nvGrpSpPr>
                    <xdr:grpSpPr>
                      <a:xfrm>
                        <a:off x="450744" y="2333270"/>
                        <a:ext cx="15813357" cy="16656292"/>
                        <a:chOff x="452710" y="2270208"/>
                        <a:chExt cx="15806900" cy="16552371"/>
                      </a:xfrm>
                    </xdr:grpSpPr>
                    <xdr:grpSp>
                      <xdr:nvGrpSpPr>
                        <xdr:cNvPr id="81" name="Gruppieren 80">
                          <a:extLst>
                            <a:ext uri="{FF2B5EF4-FFF2-40B4-BE49-F238E27FC236}">
                              <a16:creationId xmlns:a16="http://schemas.microsoft.com/office/drawing/2014/main" id="{6F38B0E8-EB0A-68B7-D18E-581A5A715610}"/>
                            </a:ext>
                          </a:extLst>
                        </xdr:cNvPr>
                        <xdr:cNvGrpSpPr/>
                      </xdr:nvGrpSpPr>
                      <xdr:grpSpPr>
                        <a:xfrm>
                          <a:off x="452710" y="2270208"/>
                          <a:ext cx="15806900" cy="16552371"/>
                          <a:chOff x="452342" y="2281861"/>
                          <a:chExt cx="15800428" cy="16693421"/>
                        </a:xfrm>
                      </xdr:grpSpPr>
                      <xdr:grpSp>
                        <xdr:nvGrpSpPr>
                          <xdr:cNvPr id="85" name="Gruppieren 84">
                            <a:extLst>
                              <a:ext uri="{FF2B5EF4-FFF2-40B4-BE49-F238E27FC236}">
                                <a16:creationId xmlns:a16="http://schemas.microsoft.com/office/drawing/2014/main" id="{435A3331-E718-5DEA-534A-04A97872A73F}"/>
                              </a:ext>
                            </a:extLst>
                          </xdr:cNvPr>
                          <xdr:cNvGrpSpPr/>
                        </xdr:nvGrpSpPr>
                        <xdr:grpSpPr>
                          <a:xfrm>
                            <a:off x="452342" y="2281861"/>
                            <a:ext cx="15800428" cy="16693421"/>
                            <a:chOff x="452343" y="2281861"/>
                            <a:chExt cx="15800428" cy="16693421"/>
                          </a:xfrm>
                        </xdr:grpSpPr>
                        <xdr:grpSp>
                          <xdr:nvGrpSpPr>
                            <xdr:cNvPr id="118" name="Gruppieren 117">
                              <a:extLst>
                                <a:ext uri="{FF2B5EF4-FFF2-40B4-BE49-F238E27FC236}">
                                  <a16:creationId xmlns:a16="http://schemas.microsoft.com/office/drawing/2014/main" id="{7C5595A2-5D1C-ECB1-7D4C-0EA7A006F1F3}"/>
                                </a:ext>
                              </a:extLst>
                            </xdr:cNvPr>
                            <xdr:cNvGrpSpPr/>
                          </xdr:nvGrpSpPr>
                          <xdr:grpSpPr>
                            <a:xfrm>
                              <a:off x="452343" y="2281861"/>
                              <a:ext cx="15800428" cy="16693421"/>
                              <a:chOff x="452343" y="2281861"/>
                              <a:chExt cx="15800428" cy="16693421"/>
                            </a:xfrm>
                          </xdr:grpSpPr>
                          <xdr:grpSp>
                            <xdr:nvGrpSpPr>
                              <xdr:cNvPr id="125" name="Group 29">
                                <a:extLst>
                                  <a:ext uri="{FF2B5EF4-FFF2-40B4-BE49-F238E27FC236}">
                                    <a16:creationId xmlns:a16="http://schemas.microsoft.com/office/drawing/2014/main" id="{51DE5096-B342-90CA-48FA-D2DB5F74AE87}"/>
                                  </a:ext>
                                </a:extLst>
                              </xdr:cNvPr>
                              <xdr:cNvGrpSpPr/>
                            </xdr:nvGrpSpPr>
                            <xdr:grpSpPr>
                              <a:xfrm>
                                <a:off x="452343" y="2281861"/>
                                <a:ext cx="15800428" cy="16693421"/>
                                <a:chOff x="419413" y="2233060"/>
                                <a:chExt cx="12836178" cy="11565950"/>
                              </a:xfrm>
                            </xdr:grpSpPr>
                            <xdr:grpSp>
                              <xdr:nvGrpSpPr>
                                <xdr:cNvPr id="129" name="Group 75">
                                  <a:extLst>
                                    <a:ext uri="{FF2B5EF4-FFF2-40B4-BE49-F238E27FC236}">
                                      <a16:creationId xmlns:a16="http://schemas.microsoft.com/office/drawing/2014/main" id="{329434FE-9337-C102-03CC-14AF5BEBC0EA}"/>
                                    </a:ext>
                                  </a:extLst>
                                </xdr:cNvPr>
                                <xdr:cNvGrpSpPr/>
                              </xdr:nvGrpSpPr>
                              <xdr:grpSpPr>
                                <a:xfrm>
                                  <a:off x="419413" y="2233060"/>
                                  <a:ext cx="12836178" cy="11565950"/>
                                  <a:chOff x="-402163" y="524070"/>
                                  <a:chExt cx="12839343" cy="11444053"/>
                                </a:xfrm>
                              </xdr:grpSpPr>
                              <xdr:sp macro="" textlink="">
                                <xdr:nvSpPr>
                                  <xdr:cNvPr id="132" name="Rechteck 2">
                                    <a:extLst>
                                      <a:ext uri="{FF2B5EF4-FFF2-40B4-BE49-F238E27FC236}">
                                        <a16:creationId xmlns:a16="http://schemas.microsoft.com/office/drawing/2014/main" id="{46200E18-3350-422B-B7FF-DA34160B43D0}"/>
                                      </a:ext>
                                    </a:extLst>
                                  </xdr:cNvPr>
                                  <xdr:cNvSpPr>
                                    <a:spLocks/>
                                  </xdr:cNvSpPr>
                                </xdr:nvSpPr>
                                <xdr:spPr>
                                  <a:xfrm>
                                    <a:off x="-402163" y="529458"/>
                                    <a:ext cx="12839343" cy="4914581"/>
                                  </a:xfrm>
                                  <a:prstGeom prst="rect">
                                    <a:avLst/>
                                  </a:prstGeom>
                                  <a:solidFill>
                                    <a:srgbClr val="F6EDF7"/>
                                  </a:solidFill>
                                  <a:ln w="6350">
                                    <a:solidFill>
                                      <a:srgbClr val="12355B"/>
                                    </a:solidFill>
                                  </a:ln>
                                </xdr:spPr>
                                <xdr:style>
                                  <a:lnRef idx="2">
                                    <a:schemeClr val="accent3">
                                      <a:shade val="50000"/>
                                    </a:schemeClr>
                                  </a:lnRef>
                                  <a:fillRef idx="1">
                                    <a:schemeClr val="accent3"/>
                                  </a:fillRef>
                                  <a:effectRef idx="0">
                                    <a:schemeClr val="accent3"/>
                                  </a:effectRef>
                                  <a:fontRef idx="minor">
                                    <a:schemeClr val="lt1"/>
                                  </a:fontRef>
                                </xdr:style>
                                <xdr:txBody>
                                  <a:bodyPr wrap="none" rtlCol="0" anchor="ctr"/>
                                  <a:lstStyle>
                                    <a:defPPr>
                                      <a:defRPr lang="de-DE"/>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endParaRPr lang="de-DE" sz="1100">
                                      <a:latin typeface="+mn-lt"/>
                                    </a:endParaRPr>
                                  </a:p>
                                </xdr:txBody>
                              </xdr:sp>
                              <xdr:cxnSp macro="">
                                <xdr:nvCxnSpPr>
                                  <xdr:cNvPr id="133" name="Gerader Verbinder 9">
                                    <a:extLst>
                                      <a:ext uri="{FF2B5EF4-FFF2-40B4-BE49-F238E27FC236}">
                                        <a16:creationId xmlns:a16="http://schemas.microsoft.com/office/drawing/2014/main" id="{E7877271-553B-D803-E57B-9ADB0E4698DB}"/>
                                      </a:ext>
                                    </a:extLst>
                                  </xdr:cNvPr>
                                  <xdr:cNvCxnSpPr>
                                    <a:cxnSpLocks/>
                                  </xdr:cNvCxnSpPr>
                                </xdr:nvCxnSpPr>
                                <xdr:spPr>
                                  <a:xfrm>
                                    <a:off x="2418928" y="541081"/>
                                    <a:ext cx="0" cy="11426993"/>
                                  </a:xfrm>
                                  <a:prstGeom prst="line">
                                    <a:avLst/>
                                  </a:prstGeom>
                                  <a:ln>
                                    <a:solidFill>
                                      <a:srgbClr val="12355B"/>
                                    </a:solidFill>
                                    <a:prstDash val="dash"/>
                                    <a:headEnd w="lg" len="lg"/>
                                  </a:ln>
                                </xdr:spPr>
                                <xdr:style>
                                  <a:lnRef idx="1">
                                    <a:schemeClr val="accent1"/>
                                  </a:lnRef>
                                  <a:fillRef idx="0">
                                    <a:schemeClr val="accent1"/>
                                  </a:fillRef>
                                  <a:effectRef idx="0">
                                    <a:schemeClr val="accent1"/>
                                  </a:effectRef>
                                  <a:fontRef idx="minor">
                                    <a:schemeClr val="tx1"/>
                                  </a:fontRef>
                                </xdr:style>
                              </xdr:cxnSp>
                              <xdr:cxnSp macro="">
                                <xdr:nvCxnSpPr>
                                  <xdr:cNvPr id="134" name="Gerade Verbindung mit Pfeil 34">
                                    <a:extLst>
                                      <a:ext uri="{FF2B5EF4-FFF2-40B4-BE49-F238E27FC236}">
                                        <a16:creationId xmlns:a16="http://schemas.microsoft.com/office/drawing/2014/main" id="{FEB3E5AE-EE12-EB74-C720-DE811BE41C20}"/>
                                      </a:ext>
                                    </a:extLst>
                                  </xdr:cNvPr>
                                  <xdr:cNvCxnSpPr>
                                    <a:cxnSpLocks/>
                                  </xdr:cNvCxnSpPr>
                                </xdr:nvCxnSpPr>
                                <xdr:spPr>
                                  <a:xfrm flipV="1">
                                    <a:off x="2457538" y="935497"/>
                                    <a:ext cx="2370828" cy="0"/>
                                  </a:xfrm>
                                  <a:prstGeom prst="straightConnector1">
                                    <a:avLst/>
                                  </a:prstGeom>
                                  <a:ln>
                                    <a:solidFill>
                                      <a:srgbClr val="12355B"/>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135" name="Gerade Verbindung mit Pfeil 35">
                                    <a:extLst>
                                      <a:ext uri="{FF2B5EF4-FFF2-40B4-BE49-F238E27FC236}">
                                        <a16:creationId xmlns:a16="http://schemas.microsoft.com/office/drawing/2014/main" id="{9867CBB0-6A1A-3961-A0B5-6BFF0ACD1468}"/>
                                      </a:ext>
                                    </a:extLst>
                                  </xdr:cNvPr>
                                  <xdr:cNvCxnSpPr>
                                    <a:cxnSpLocks/>
                                  </xdr:cNvCxnSpPr>
                                </xdr:nvCxnSpPr>
                                <xdr:spPr>
                                  <a:xfrm>
                                    <a:off x="4902190" y="935497"/>
                                    <a:ext cx="4946543" cy="0"/>
                                  </a:xfrm>
                                  <a:prstGeom prst="straightConnector1">
                                    <a:avLst/>
                                  </a:prstGeom>
                                  <a:ln>
                                    <a:solidFill>
                                      <a:srgbClr val="12355B"/>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136" name="Gerade Verbindung mit Pfeil 36">
                                    <a:extLst>
                                      <a:ext uri="{FF2B5EF4-FFF2-40B4-BE49-F238E27FC236}">
                                        <a16:creationId xmlns:a16="http://schemas.microsoft.com/office/drawing/2014/main" id="{1D539253-2CF5-3134-727D-C118105EEFE6}"/>
                                      </a:ext>
                                    </a:extLst>
                                  </xdr:cNvPr>
                                  <xdr:cNvCxnSpPr>
                                    <a:cxnSpLocks/>
                                  </xdr:cNvCxnSpPr>
                                </xdr:nvCxnSpPr>
                                <xdr:spPr>
                                  <a:xfrm>
                                    <a:off x="9882472" y="935497"/>
                                    <a:ext cx="2520622" cy="0"/>
                                  </a:xfrm>
                                  <a:prstGeom prst="straightConnector1">
                                    <a:avLst/>
                                  </a:prstGeom>
                                  <a:ln>
                                    <a:solidFill>
                                      <a:srgbClr val="12355B"/>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cxnSp macro="">
                                <xdr:nvCxnSpPr>
                                  <xdr:cNvPr id="137" name="Gerade Verbindung mit Pfeil 37">
                                    <a:extLst>
                                      <a:ext uri="{FF2B5EF4-FFF2-40B4-BE49-F238E27FC236}">
                                        <a16:creationId xmlns:a16="http://schemas.microsoft.com/office/drawing/2014/main" id="{03279B37-3F29-3978-21CB-AEA32231DD17}"/>
                                      </a:ext>
                                    </a:extLst>
                                  </xdr:cNvPr>
                                  <xdr:cNvCxnSpPr>
                                    <a:cxnSpLocks/>
                                  </xdr:cNvCxnSpPr>
                                </xdr:nvCxnSpPr>
                                <xdr:spPr>
                                  <a:xfrm flipV="1">
                                    <a:off x="-140054" y="935497"/>
                                    <a:ext cx="2487906" cy="0"/>
                                  </a:xfrm>
                                  <a:prstGeom prst="straightConnector1">
                                    <a:avLst/>
                                  </a:prstGeom>
                                  <a:ln>
                                    <a:solidFill>
                                      <a:srgbClr val="12355B"/>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sp macro="" textlink="">
                                <xdr:nvSpPr>
                                  <xdr:cNvPr id="138" name="Textfeld 45">
                                    <a:extLst>
                                      <a:ext uri="{FF2B5EF4-FFF2-40B4-BE49-F238E27FC236}">
                                        <a16:creationId xmlns:a16="http://schemas.microsoft.com/office/drawing/2014/main" id="{5EC2377E-A14B-A3E8-6696-AF1DAE0C2098}"/>
                                      </a:ext>
                                    </a:extLst>
                                  </xdr:cNvPr>
                                  <xdr:cNvSpPr txBox="1"/>
                                </xdr:nvSpPr>
                                <xdr:spPr>
                                  <a:xfrm>
                                    <a:off x="43248" y="557957"/>
                                    <a:ext cx="1955536" cy="216455"/>
                                  </a:xfrm>
                                  <a:prstGeom prst="rect">
                                    <a:avLst/>
                                  </a:prstGeom>
                                  <a:noFill/>
                                  <a:ln>
                                    <a:noFill/>
                                  </a:ln>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marL="0" indent="0" algn="ctr" defTabSz="914400" rtl="0" eaLnBrk="1" latinLnBrk="0" hangingPunct="1"/>
                                    <a:r>
                                      <a:rPr lang="en-US" sz="1400" b="1" i="0" u="none" strike="noStrike" kern="1200">
                                        <a:solidFill>
                                          <a:srgbClr val="12355B"/>
                                        </a:solidFill>
                                        <a:latin typeface="+mn-lt"/>
                                        <a:ea typeface="Calibri"/>
                                        <a:cs typeface="Calibri"/>
                                      </a:rPr>
                                      <a:t>Contractor 2 / Data centre operator</a:t>
                                    </a:r>
                                    <a:endParaRPr lang="de-DE" sz="1400" b="1" i="0" u="none" strike="noStrike" kern="1200">
                                      <a:solidFill>
                                        <a:srgbClr val="12355B"/>
                                      </a:solidFill>
                                      <a:latin typeface="+mn-lt"/>
                                      <a:ea typeface="Calibri"/>
                                      <a:cs typeface="Calibri"/>
                                    </a:endParaRPr>
                                  </a:p>
                                </xdr:txBody>
                              </xdr:sp>
                              <xdr:cxnSp macro="">
                                <xdr:nvCxnSpPr>
                                  <xdr:cNvPr id="139" name="Gerader Verbinder 9">
                                    <a:extLst>
                                      <a:ext uri="{FF2B5EF4-FFF2-40B4-BE49-F238E27FC236}">
                                        <a16:creationId xmlns:a16="http://schemas.microsoft.com/office/drawing/2014/main" id="{E6D00872-6F24-31E5-5FC8-7C5A22FB3D35}"/>
                                      </a:ext>
                                    </a:extLst>
                                  </xdr:cNvPr>
                                  <xdr:cNvCxnSpPr>
                                    <a:cxnSpLocks/>
                                  </xdr:cNvCxnSpPr>
                                </xdr:nvCxnSpPr>
                                <xdr:spPr>
                                  <a:xfrm>
                                    <a:off x="4856313" y="541132"/>
                                    <a:ext cx="0" cy="11426991"/>
                                  </a:xfrm>
                                  <a:prstGeom prst="line">
                                    <a:avLst/>
                                  </a:prstGeom>
                                  <a:ln>
                                    <a:solidFill>
                                      <a:srgbClr val="420039"/>
                                    </a:solidFill>
                                    <a:prstDash val="dash"/>
                                    <a:headEnd w="lg" len="lg"/>
                                  </a:ln>
                                </xdr:spPr>
                                <xdr:style>
                                  <a:lnRef idx="1">
                                    <a:schemeClr val="accent1"/>
                                  </a:lnRef>
                                  <a:fillRef idx="0">
                                    <a:schemeClr val="accent1"/>
                                  </a:fillRef>
                                  <a:effectRef idx="0">
                                    <a:schemeClr val="accent1"/>
                                  </a:effectRef>
                                  <a:fontRef idx="minor">
                                    <a:schemeClr val="tx1"/>
                                  </a:fontRef>
                                </xdr:style>
                              </xdr:cxnSp>
                              <xdr:sp macro="" textlink="">
                                <xdr:nvSpPr>
                                  <xdr:cNvPr id="140" name="Textfeld 45">
                                    <a:extLst>
                                      <a:ext uri="{FF2B5EF4-FFF2-40B4-BE49-F238E27FC236}">
                                        <a16:creationId xmlns:a16="http://schemas.microsoft.com/office/drawing/2014/main" id="{5163A5C0-F032-7285-C3F9-6ABAA2131221}"/>
                                      </a:ext>
                                    </a:extLst>
                                  </xdr:cNvPr>
                                  <xdr:cNvSpPr txBox="1"/>
                                </xdr:nvSpPr>
                                <xdr:spPr>
                                  <a:xfrm>
                                    <a:off x="2435110" y="557957"/>
                                    <a:ext cx="2397838" cy="342103"/>
                                  </a:xfrm>
                                  <a:prstGeom prst="rect">
                                    <a:avLst/>
                                  </a:prstGeom>
                                  <a:noFill/>
                                  <a:ln>
                                    <a:noFill/>
                                  </a:ln>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n-US" sz="1400" b="1" i="0" kern="1200">
                                        <a:solidFill>
                                          <a:schemeClr val="tx2"/>
                                        </a:solidFill>
                                        <a:effectLst/>
                                        <a:latin typeface="+mn-lt"/>
                                        <a:ea typeface="+mn-ea"/>
                                        <a:cs typeface="+mn-cs"/>
                                      </a:rPr>
                                      <a:t>Waste heat recovery system</a:t>
                                    </a:r>
                                    <a:br>
                                      <a:rPr lang="en-US" sz="1400" b="1" i="0" kern="1200">
                                        <a:solidFill>
                                          <a:schemeClr val="tx2"/>
                                        </a:solidFill>
                                        <a:effectLst/>
                                        <a:latin typeface="+mn-lt"/>
                                        <a:ea typeface="+mn-ea"/>
                                        <a:cs typeface="+mn-cs"/>
                                      </a:rPr>
                                    </a:br>
                                    <a:r>
                                      <a:rPr lang="en-US" sz="900" b="0" i="0" kern="1200">
                                        <a:solidFill>
                                          <a:schemeClr val="tx2"/>
                                        </a:solidFill>
                                        <a:effectLst/>
                                        <a:latin typeface="+mn-lt"/>
                                        <a:ea typeface="+mn-ea"/>
                                        <a:cs typeface="+mn-cs"/>
                                      </a:rPr>
                                      <a:t>Ownership / responsibilities</a:t>
                                    </a:r>
                                    <a:r>
                                      <a:rPr lang="en-US" sz="900" b="0" i="0" kern="1200" baseline="0">
                                        <a:solidFill>
                                          <a:schemeClr val="tx2"/>
                                        </a:solidFill>
                                        <a:effectLst/>
                                        <a:latin typeface="+mn-lt"/>
                                        <a:ea typeface="+mn-ea"/>
                                        <a:cs typeface="+mn-cs"/>
                                      </a:rPr>
                                      <a:t> / cost allocation between contractor 1 and 2 to be dicscussed and defined.</a:t>
                                    </a:r>
                                    <a:endParaRPr lang="de-DE" sz="900">
                                      <a:solidFill>
                                        <a:schemeClr val="tx2"/>
                                      </a:solidFill>
                                      <a:effectLst/>
                                      <a:latin typeface="+mn-lt"/>
                                    </a:endParaRPr>
                                  </a:p>
                                </xdr:txBody>
                              </xdr:sp>
                              <xdr:cxnSp macro="">
                                <xdr:nvCxnSpPr>
                                  <xdr:cNvPr id="141" name="Gerader Verbinder 9">
                                    <a:extLst>
                                      <a:ext uri="{FF2B5EF4-FFF2-40B4-BE49-F238E27FC236}">
                                        <a16:creationId xmlns:a16="http://schemas.microsoft.com/office/drawing/2014/main" id="{D72B16BF-5EAA-5BA9-7472-CC03446994DD}"/>
                                      </a:ext>
                                    </a:extLst>
                                  </xdr:cNvPr>
                                  <xdr:cNvCxnSpPr>
                                    <a:cxnSpLocks/>
                                  </xdr:cNvCxnSpPr>
                                </xdr:nvCxnSpPr>
                                <xdr:spPr>
                                  <a:xfrm>
                                    <a:off x="9876150" y="524070"/>
                                    <a:ext cx="0" cy="11426992"/>
                                  </a:xfrm>
                                  <a:prstGeom prst="line">
                                    <a:avLst/>
                                  </a:prstGeom>
                                  <a:ln>
                                    <a:solidFill>
                                      <a:srgbClr val="12355B"/>
                                    </a:solidFill>
                                    <a:prstDash val="dash"/>
                                    <a:headEnd w="lg" len="lg"/>
                                  </a:ln>
                                </xdr:spPr>
                                <xdr:style>
                                  <a:lnRef idx="1">
                                    <a:schemeClr val="accent1"/>
                                  </a:lnRef>
                                  <a:fillRef idx="0">
                                    <a:schemeClr val="accent1"/>
                                  </a:fillRef>
                                  <a:effectRef idx="0">
                                    <a:schemeClr val="accent1"/>
                                  </a:effectRef>
                                  <a:fontRef idx="minor">
                                    <a:schemeClr val="tx1"/>
                                  </a:fontRef>
                                </xdr:style>
                              </xdr:cxnSp>
                              <xdr:sp macro="" textlink="">
                                <xdr:nvSpPr>
                                  <xdr:cNvPr id="142" name="Textfeld 45">
                                    <a:extLst>
                                      <a:ext uri="{FF2B5EF4-FFF2-40B4-BE49-F238E27FC236}">
                                        <a16:creationId xmlns:a16="http://schemas.microsoft.com/office/drawing/2014/main" id="{1CEA63C2-2BED-0EA0-C986-9E382E57403F}"/>
                                      </a:ext>
                                    </a:extLst>
                                  </xdr:cNvPr>
                                  <xdr:cNvSpPr txBox="1"/>
                                </xdr:nvSpPr>
                                <xdr:spPr>
                                  <a:xfrm>
                                    <a:off x="5078370" y="557957"/>
                                    <a:ext cx="4556628" cy="342103"/>
                                  </a:xfrm>
                                  <a:prstGeom prst="rect">
                                    <a:avLst/>
                                  </a:prstGeom>
                                  <a:noFill/>
                                  <a:ln>
                                    <a:noFill/>
                                  </a:ln>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n-US" sz="1400" b="1" i="0" u="none" strike="noStrike">
                                        <a:solidFill>
                                          <a:srgbClr val="12355B"/>
                                        </a:solidFill>
                                        <a:latin typeface="+mn-lt"/>
                                        <a:ea typeface="Calibri"/>
                                        <a:cs typeface="Calibri"/>
                                      </a:rPr>
                                      <a:t>Contractor 1 / District heating operator: heat</a:t>
                                    </a:r>
                                    <a:r>
                                      <a:rPr lang="en-US" sz="1400" b="1" i="0" u="none" strike="noStrike" baseline="0">
                                        <a:solidFill>
                                          <a:srgbClr val="12355B"/>
                                        </a:solidFill>
                                        <a:latin typeface="+mn-lt"/>
                                        <a:ea typeface="Calibri"/>
                                        <a:cs typeface="Calibri"/>
                                      </a:rPr>
                                      <a:t> utilisation</a:t>
                                    </a:r>
                                    <a:endParaRPr lang="de-DE" sz="1400" b="1">
                                      <a:solidFill>
                                        <a:srgbClr val="12355B"/>
                                      </a:solidFill>
                                      <a:latin typeface="+mn-lt"/>
                                      <a:cs typeface="Segoe UI" panose="020B0502040204020203" pitchFamily="34" charset="0"/>
                                    </a:endParaRPr>
                                  </a:p>
                                </xdr:txBody>
                              </xdr:sp>
                              <xdr:sp macro="" textlink="">
                                <xdr:nvSpPr>
                                  <xdr:cNvPr id="143" name="Textfeld 45">
                                    <a:extLst>
                                      <a:ext uri="{FF2B5EF4-FFF2-40B4-BE49-F238E27FC236}">
                                        <a16:creationId xmlns:a16="http://schemas.microsoft.com/office/drawing/2014/main" id="{E0E3A866-44A9-5482-B0A0-C64F39C9E48E}"/>
                                      </a:ext>
                                    </a:extLst>
                                  </xdr:cNvPr>
                                  <xdr:cNvSpPr txBox="1"/>
                                </xdr:nvSpPr>
                                <xdr:spPr>
                                  <a:xfrm>
                                    <a:off x="10151296" y="557957"/>
                                    <a:ext cx="1836162" cy="342103"/>
                                  </a:xfrm>
                                  <a:prstGeom prst="rect">
                                    <a:avLst/>
                                  </a:prstGeom>
                                  <a:noFill/>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n-US" sz="1400" b="1" i="0" u="none" strike="noStrike">
                                        <a:solidFill>
                                          <a:srgbClr val="12355B"/>
                                        </a:solidFill>
                                        <a:latin typeface="+mn-lt"/>
                                        <a:ea typeface="Calibri"/>
                                        <a:cs typeface="Calibri"/>
                                      </a:rPr>
                                      <a:t>District heating operator</a:t>
                                    </a:r>
                                    <a:endParaRPr lang="de-DE" sz="1400" b="1">
                                      <a:solidFill>
                                        <a:srgbClr val="12355B"/>
                                      </a:solidFill>
                                      <a:latin typeface="+mn-lt"/>
                                      <a:cs typeface="Segoe UI" panose="020B0502040204020203" pitchFamily="34" charset="0"/>
                                    </a:endParaRPr>
                                  </a:p>
                                </xdr:txBody>
                              </xdr:sp>
                              <xdr:grpSp>
                                <xdr:nvGrpSpPr>
                                  <xdr:cNvPr id="144" name="Group 88">
                                    <a:extLst>
                                      <a:ext uri="{FF2B5EF4-FFF2-40B4-BE49-F238E27FC236}">
                                        <a16:creationId xmlns:a16="http://schemas.microsoft.com/office/drawing/2014/main" id="{3BB0B90E-B45C-5F8F-5A98-A033501C325D}"/>
                                      </a:ext>
                                    </a:extLst>
                                  </xdr:cNvPr>
                                  <xdr:cNvGrpSpPr/>
                                </xdr:nvGrpSpPr>
                                <xdr:grpSpPr>
                                  <a:xfrm>
                                    <a:off x="5191463" y="1677312"/>
                                    <a:ext cx="4477419" cy="926153"/>
                                    <a:chOff x="4785953" y="2483965"/>
                                    <a:chExt cx="4477419" cy="926153"/>
                                  </a:xfrm>
                                </xdr:grpSpPr>
                                <xdr:sp macro="" textlink="">
                                  <xdr:nvSpPr>
                                    <xdr:cNvPr id="167" name="Rechteck 42">
                                      <a:extLst>
                                        <a:ext uri="{FF2B5EF4-FFF2-40B4-BE49-F238E27FC236}">
                                          <a16:creationId xmlns:a16="http://schemas.microsoft.com/office/drawing/2014/main" id="{B7E585CC-806E-9DDA-8519-32460A1373EE}"/>
                                        </a:ext>
                                      </a:extLst>
                                    </xdr:cNvPr>
                                    <xdr:cNvSpPr/>
                                  </xdr:nvSpPr>
                                  <xdr:spPr>
                                    <a:xfrm>
                                      <a:off x="4785953" y="2483965"/>
                                      <a:ext cx="1080000" cy="926153"/>
                                    </a:xfrm>
                                    <a:prstGeom prst="rect">
                                      <a:avLst/>
                                    </a:prstGeom>
                                    <a:solidFill>
                                      <a:schemeClr val="bg1"/>
                                    </a:solidFill>
                                    <a:ln w="12700">
                                      <a:solidFill>
                                        <a:srgbClr val="12355B"/>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r>
                                        <a:rPr lang="de-DE" sz="1200" b="1">
                                          <a:solidFill>
                                            <a:srgbClr val="12355B"/>
                                          </a:solidFill>
                                          <a:latin typeface="+mn-lt"/>
                                          <a:ea typeface="Calibri" panose="020F0502020204030204" pitchFamily="34" charset="0"/>
                                          <a:cs typeface="Calibri" panose="020F0502020204030204" pitchFamily="34" charset="0"/>
                                        </a:rPr>
                                        <a:t>Heat pump</a:t>
                                      </a:r>
                                    </a:p>
                                  </xdr:txBody>
                                </xdr:sp>
                                <xdr:grpSp>
                                  <xdr:nvGrpSpPr>
                                    <xdr:cNvPr id="168" name="Group 121">
                                      <a:extLst>
                                        <a:ext uri="{FF2B5EF4-FFF2-40B4-BE49-F238E27FC236}">
                                          <a16:creationId xmlns:a16="http://schemas.microsoft.com/office/drawing/2014/main" id="{655FC327-7C37-EF8F-A54F-3BDDB01CB886}"/>
                                        </a:ext>
                                      </a:extLst>
                                    </xdr:cNvPr>
                                    <xdr:cNvGrpSpPr/>
                                  </xdr:nvGrpSpPr>
                                  <xdr:grpSpPr>
                                    <a:xfrm>
                                      <a:off x="7215358" y="2483965"/>
                                      <a:ext cx="2048014" cy="926153"/>
                                      <a:chOff x="2192657" y="2478572"/>
                                      <a:chExt cx="2048014" cy="926153"/>
                                    </a:xfrm>
                                  </xdr:grpSpPr>
                                  <xdr:sp macro="" textlink="">
                                    <xdr:nvSpPr>
                                      <xdr:cNvPr id="172" name="Rechteck 3">
                                        <a:extLst>
                                          <a:ext uri="{FF2B5EF4-FFF2-40B4-BE49-F238E27FC236}">
                                            <a16:creationId xmlns:a16="http://schemas.microsoft.com/office/drawing/2014/main" id="{428A55DE-B194-A483-1EDC-F6F01494D63B}"/>
                                          </a:ext>
                                        </a:extLst>
                                      </xdr:cNvPr>
                                      <xdr:cNvSpPr/>
                                    </xdr:nvSpPr>
                                    <xdr:spPr>
                                      <a:xfrm>
                                        <a:off x="2192657" y="2478572"/>
                                        <a:ext cx="2048014" cy="926153"/>
                                      </a:xfrm>
                                      <a:prstGeom prst="rect">
                                        <a:avLst/>
                                      </a:prstGeom>
                                      <a:solidFill>
                                        <a:schemeClr val="bg1"/>
                                      </a:solidFill>
                                      <a:ln w="12700">
                                        <a:solidFill>
                                          <a:srgbClr val="12355B"/>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r>
                                          <a:rPr lang="en-US" sz="1200" b="1" i="0" u="none" strike="noStrike">
                                            <a:solidFill>
                                              <a:srgbClr val="12355B"/>
                                            </a:solidFill>
                                            <a:latin typeface="+mn-lt"/>
                                            <a:ea typeface="Calibri"/>
                                            <a:cs typeface="Calibri"/>
                                          </a:rPr>
                                          <a:t>Heat exchanger &amp; piping</a:t>
                                        </a:r>
                                        <a:endParaRPr lang="de-DE" sz="1050" b="1">
                                          <a:solidFill>
                                            <a:srgbClr val="12355B"/>
                                          </a:solidFill>
                                          <a:latin typeface="+mn-lt"/>
                                          <a:cs typeface="Segoe UI" panose="020B0502040204020203" pitchFamily="34" charset="0"/>
                                        </a:endParaRPr>
                                      </a:p>
                                    </xdr:txBody>
                                  </xdr:sp>
                                  <xdr:grpSp>
                                    <xdr:nvGrpSpPr>
                                      <xdr:cNvPr id="173" name="Gruppieren 10">
                                        <a:extLst>
                                          <a:ext uri="{FF2B5EF4-FFF2-40B4-BE49-F238E27FC236}">
                                            <a16:creationId xmlns:a16="http://schemas.microsoft.com/office/drawing/2014/main" id="{80994741-F872-6AF5-9C7E-D08B64466075}"/>
                                          </a:ext>
                                        </a:extLst>
                                      </xdr:cNvPr>
                                      <xdr:cNvGrpSpPr/>
                                    </xdr:nvGrpSpPr>
                                    <xdr:grpSpPr>
                                      <a:xfrm rot="16200000">
                                        <a:off x="3546481" y="2797098"/>
                                        <a:ext cx="639520" cy="359988"/>
                                        <a:chOff x="2655176" y="1920587"/>
                                        <a:chExt cx="358808" cy="481259"/>
                                      </a:xfrm>
                                    </xdr:grpSpPr>
                                    <xdr:sp macro="" textlink="">
                                      <xdr:nvSpPr>
                                        <xdr:cNvPr id="174" name="Rechteck 40">
                                          <a:extLst>
                                            <a:ext uri="{FF2B5EF4-FFF2-40B4-BE49-F238E27FC236}">
                                              <a16:creationId xmlns:a16="http://schemas.microsoft.com/office/drawing/2014/main" id="{EE6E7A6C-3141-73DB-4091-1FE4F028FA1F}"/>
                                            </a:ext>
                                          </a:extLst>
                                        </xdr:cNvPr>
                                        <xdr:cNvSpPr/>
                                      </xdr:nvSpPr>
                                      <xdr:spPr>
                                        <a:xfrm>
                                          <a:off x="2655176" y="1920596"/>
                                          <a:ext cx="357242" cy="481250"/>
                                        </a:xfrm>
                                        <a:prstGeom prst="rect">
                                          <a:avLst/>
                                        </a:prstGeom>
                                        <a:solidFill>
                                          <a:schemeClr val="bg1"/>
                                        </a:solidFill>
                                        <a:ln w="12700">
                                          <a:solidFill>
                                            <a:srgbClr val="12355B"/>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endParaRPr lang="de-DE" sz="1200">
                                            <a:solidFill>
                                              <a:schemeClr val="tx1">
                                                <a:lumMod val="75000"/>
                                                <a:lumOff val="25000"/>
                                              </a:schemeClr>
                                            </a:solidFill>
                                            <a:latin typeface="+mn-lt"/>
                                            <a:cs typeface="Segoe UI" panose="020B0502040204020203" pitchFamily="34" charset="0"/>
                                          </a:endParaRPr>
                                        </a:p>
                                      </xdr:txBody>
                                    </xdr:sp>
                                    <xdr:cxnSp macro="">
                                      <xdr:nvCxnSpPr>
                                        <xdr:cNvPr id="175" name="Gerader Verbinder 41">
                                          <a:extLst>
                                            <a:ext uri="{FF2B5EF4-FFF2-40B4-BE49-F238E27FC236}">
                                              <a16:creationId xmlns:a16="http://schemas.microsoft.com/office/drawing/2014/main" id="{3DA8B568-E5F8-B498-0DAA-70C678A444B9}"/>
                                            </a:ext>
                                          </a:extLst>
                                        </xdr:cNvPr>
                                        <xdr:cNvCxnSpPr/>
                                      </xdr:nvCxnSpPr>
                                      <xdr:spPr>
                                        <a:xfrm rot="5400000" flipH="1" flipV="1">
                                          <a:off x="2597368" y="1979961"/>
                                          <a:ext cx="475990" cy="357242"/>
                                        </a:xfrm>
                                        <a:prstGeom prst="line">
                                          <a:avLst/>
                                        </a:prstGeom>
                                        <a:ln w="12700">
                                          <a:solidFill>
                                            <a:srgbClr val="12355B"/>
                                          </a:solidFill>
                                        </a:ln>
                                      </xdr:spPr>
                                      <xdr:style>
                                        <a:lnRef idx="1">
                                          <a:schemeClr val="accent1"/>
                                        </a:lnRef>
                                        <a:fillRef idx="0">
                                          <a:schemeClr val="accent1"/>
                                        </a:fillRef>
                                        <a:effectRef idx="0">
                                          <a:schemeClr val="accent1"/>
                                        </a:effectRef>
                                        <a:fontRef idx="minor">
                                          <a:schemeClr val="tx1"/>
                                        </a:fontRef>
                                      </xdr:style>
                                    </xdr:cxnSp>
                                  </xdr:grpSp>
                                </xdr:grpSp>
                                <xdr:cxnSp macro="">
                                  <xdr:nvCxnSpPr>
                                    <xdr:cNvPr id="169" name="Gerade Verbindung mit Pfeil 23">
                                      <a:extLst>
                                        <a:ext uri="{FF2B5EF4-FFF2-40B4-BE49-F238E27FC236}">
                                          <a16:creationId xmlns:a16="http://schemas.microsoft.com/office/drawing/2014/main" id="{ECCD9503-DD83-C3A1-FE22-E166A602CD9C}"/>
                                        </a:ext>
                                      </a:extLst>
                                    </xdr:cNvPr>
                                    <xdr:cNvCxnSpPr>
                                      <a:cxnSpLocks/>
                                    </xdr:cNvCxnSpPr>
                                  </xdr:nvCxnSpPr>
                                  <xdr:spPr>
                                    <a:xfrm flipV="1">
                                      <a:off x="5880853" y="3186485"/>
                                      <a:ext cx="2822894" cy="0"/>
                                    </a:xfrm>
                                    <a:prstGeom prst="straightConnector1">
                                      <a:avLst/>
                                    </a:prstGeom>
                                    <a:ln w="12700">
                                      <a:solidFill>
                                        <a:srgbClr val="C0000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170" name="Gerade Verbindung mit Pfeil 24">
                                      <a:extLst>
                                        <a:ext uri="{FF2B5EF4-FFF2-40B4-BE49-F238E27FC236}">
                                          <a16:creationId xmlns:a16="http://schemas.microsoft.com/office/drawing/2014/main" id="{19A75A20-75C0-6244-AE1A-34C622724822}"/>
                                        </a:ext>
                                      </a:extLst>
                                    </xdr:cNvPr>
                                    <xdr:cNvCxnSpPr>
                                      <a:cxnSpLocks/>
                                    </xdr:cNvCxnSpPr>
                                  </xdr:nvCxnSpPr>
                                  <xdr:spPr>
                                    <a:xfrm flipH="1">
                                      <a:off x="5882401" y="2877474"/>
                                      <a:ext cx="2795817" cy="0"/>
                                    </a:xfrm>
                                    <a:prstGeom prst="straightConnector1">
                                      <a:avLst/>
                                    </a:prstGeom>
                                    <a:ln w="12700">
                                      <a:solidFill>
                                        <a:srgbClr val="247BA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sp macro="" textlink="">
                                  <xdr:nvSpPr>
                                    <xdr:cNvPr id="171" name="Rechteck 28">
                                      <a:extLst>
                                        <a:ext uri="{FF2B5EF4-FFF2-40B4-BE49-F238E27FC236}">
                                          <a16:creationId xmlns:a16="http://schemas.microsoft.com/office/drawing/2014/main" id="{81B12943-7819-5B2D-62AD-D2EF2F17C17B}"/>
                                        </a:ext>
                                      </a:extLst>
                                    </xdr:cNvPr>
                                    <xdr:cNvSpPr/>
                                  </xdr:nvSpPr>
                                  <xdr:spPr>
                                    <a:xfrm>
                                      <a:off x="6172677" y="3030625"/>
                                      <a:ext cx="800318" cy="370417"/>
                                    </a:xfrm>
                                    <a:prstGeom prst="rect">
                                      <a:avLst/>
                                    </a:prstGeom>
                                    <a:solidFill>
                                      <a:schemeClr val="bg1"/>
                                    </a:solidFill>
                                    <a:ln w="12700">
                                      <a:solidFill>
                                        <a:srgbClr val="12355B"/>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7200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r>
                                        <a:rPr lang="en-US" sz="1200" b="1" i="0" u="none" strike="noStrike">
                                          <a:solidFill>
                                            <a:srgbClr val="12355B"/>
                                          </a:solidFill>
                                          <a:latin typeface="+mn-lt"/>
                                          <a:ea typeface="Calibri"/>
                                          <a:cs typeface="Calibri"/>
                                        </a:rPr>
                                        <a:t>Booster</a:t>
                                      </a:r>
                                      <a:endParaRPr lang="de-DE" sz="1200" b="1">
                                        <a:solidFill>
                                          <a:srgbClr val="12355B"/>
                                        </a:solidFill>
                                        <a:latin typeface="+mn-lt"/>
                                        <a:cs typeface="Segoe UI" panose="020B0502040204020203" pitchFamily="34" charset="0"/>
                                      </a:endParaRPr>
                                    </a:p>
                                  </xdr:txBody>
                                </xdr:sp>
                              </xdr:grpSp>
                              <xdr:grpSp>
                                <xdr:nvGrpSpPr>
                                  <xdr:cNvPr id="145" name="Group 89">
                                    <a:extLst>
                                      <a:ext uri="{FF2B5EF4-FFF2-40B4-BE49-F238E27FC236}">
                                        <a16:creationId xmlns:a16="http://schemas.microsoft.com/office/drawing/2014/main" id="{75789BD6-77C9-EC5C-5BBC-2F35C7944E6C}"/>
                                      </a:ext>
                                    </a:extLst>
                                  </xdr:cNvPr>
                                  <xdr:cNvGrpSpPr/>
                                </xdr:nvGrpSpPr>
                                <xdr:grpSpPr>
                                  <a:xfrm>
                                    <a:off x="10144786" y="1677312"/>
                                    <a:ext cx="2160000" cy="926152"/>
                                    <a:chOff x="10144786" y="1677312"/>
                                    <a:chExt cx="2160000" cy="926152"/>
                                  </a:xfrm>
                                </xdr:grpSpPr>
                                <xdr:sp macro="" textlink="">
                                  <xdr:nvSpPr>
                                    <xdr:cNvPr id="164" name="Rechteck 71">
                                      <a:extLst>
                                        <a:ext uri="{FF2B5EF4-FFF2-40B4-BE49-F238E27FC236}">
                                          <a16:creationId xmlns:a16="http://schemas.microsoft.com/office/drawing/2014/main" id="{C62DD1E8-907D-D6A4-EF1D-4ED4CBD33521}"/>
                                        </a:ext>
                                      </a:extLst>
                                    </xdr:cNvPr>
                                    <xdr:cNvSpPr/>
                                  </xdr:nvSpPr>
                                  <xdr:spPr>
                                    <a:xfrm>
                                      <a:off x="10144786" y="1677312"/>
                                      <a:ext cx="2160000" cy="926152"/>
                                    </a:xfrm>
                                    <a:prstGeom prst="rect">
                                      <a:avLst/>
                                    </a:prstGeom>
                                    <a:solidFill>
                                      <a:schemeClr val="bg1"/>
                                    </a:solidFill>
                                    <a:ln w="12700">
                                      <a:solidFill>
                                        <a:srgbClr val="12355B"/>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de-DE"/>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ctr"/>
                                      <a:r>
                                        <a:rPr lang="de-AT" sz="1200" b="1" baseline="0">
                                          <a:solidFill>
                                            <a:srgbClr val="12355B"/>
                                          </a:solidFill>
                                          <a:latin typeface="+mn-lt"/>
                                          <a:ea typeface="+mn-ea"/>
                                          <a:cs typeface="+mn-cs"/>
                                        </a:rPr>
                                        <a:t>DH grid / heat sink</a:t>
                                      </a:r>
                                      <a:endParaRPr lang="de-AT" sz="1200" b="1">
                                        <a:solidFill>
                                          <a:srgbClr val="12355B"/>
                                        </a:solidFill>
                                        <a:latin typeface="+mn-lt"/>
                                        <a:ea typeface="+mn-ea"/>
                                        <a:cs typeface="+mn-cs"/>
                                      </a:endParaRPr>
                                    </a:p>
                                  </xdr:txBody>
                                </xdr:sp>
                                <xdr:cxnSp macro="">
                                  <xdr:nvCxnSpPr>
                                    <xdr:cNvPr id="165" name="Gerade Verbindung mit Pfeil 11">
                                      <a:extLst>
                                        <a:ext uri="{FF2B5EF4-FFF2-40B4-BE49-F238E27FC236}">
                                          <a16:creationId xmlns:a16="http://schemas.microsoft.com/office/drawing/2014/main" id="{4096DD79-353A-90C2-CED0-2B9B0E7C2C05}"/>
                                        </a:ext>
                                      </a:extLst>
                                    </xdr:cNvPr>
                                    <xdr:cNvCxnSpPr>
                                      <a:cxnSpLocks/>
                                    </xdr:cNvCxnSpPr>
                                  </xdr:nvCxnSpPr>
                                  <xdr:spPr>
                                    <a:xfrm flipV="1">
                                      <a:off x="10379887" y="1892821"/>
                                      <a:ext cx="0" cy="648307"/>
                                    </a:xfrm>
                                    <a:prstGeom prst="straightConnector1">
                                      <a:avLst/>
                                    </a:prstGeom>
                                    <a:ln w="5715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66" name="Gerade Verbindung mit Pfeil 12">
                                      <a:extLst>
                                        <a:ext uri="{FF2B5EF4-FFF2-40B4-BE49-F238E27FC236}">
                                          <a16:creationId xmlns:a16="http://schemas.microsoft.com/office/drawing/2014/main" id="{955457CB-4D95-6E98-BF6B-150A7FA14D1B}"/>
                                        </a:ext>
                                      </a:extLst>
                                    </xdr:cNvPr>
                                    <xdr:cNvCxnSpPr>
                                      <a:cxnSpLocks/>
                                    </xdr:cNvCxnSpPr>
                                  </xdr:nvCxnSpPr>
                                  <xdr:spPr>
                                    <a:xfrm>
                                      <a:off x="10514776" y="1902346"/>
                                      <a:ext cx="0" cy="648307"/>
                                    </a:xfrm>
                                    <a:prstGeom prst="straightConnector1">
                                      <a:avLst/>
                                    </a:prstGeom>
                                    <a:ln w="57150">
                                      <a:solidFill>
                                        <a:srgbClr val="247BA0"/>
                                      </a:solidFill>
                                      <a:tailEnd type="triangle"/>
                                    </a:ln>
                                  </xdr:spPr>
                                  <xdr:style>
                                    <a:lnRef idx="1">
                                      <a:schemeClr val="accent1"/>
                                    </a:lnRef>
                                    <a:fillRef idx="0">
                                      <a:schemeClr val="accent1"/>
                                    </a:fillRef>
                                    <a:effectRef idx="0">
                                      <a:schemeClr val="accent1"/>
                                    </a:effectRef>
                                    <a:fontRef idx="minor">
                                      <a:schemeClr val="tx1"/>
                                    </a:fontRef>
                                  </xdr:style>
                                </xdr:cxnSp>
                              </xdr:grpSp>
                              <xdr:grpSp>
                                <xdr:nvGrpSpPr>
                                  <xdr:cNvPr id="146" name="Group 90">
                                    <a:extLst>
                                      <a:ext uri="{FF2B5EF4-FFF2-40B4-BE49-F238E27FC236}">
                                        <a16:creationId xmlns:a16="http://schemas.microsoft.com/office/drawing/2014/main" id="{64079414-8683-6919-85B3-E87FAD0462D0}"/>
                                      </a:ext>
                                    </a:extLst>
                                  </xdr:cNvPr>
                                  <xdr:cNvGrpSpPr/>
                                </xdr:nvGrpSpPr>
                                <xdr:grpSpPr>
                                  <a:xfrm>
                                    <a:off x="-180714" y="1677312"/>
                                    <a:ext cx="2341558" cy="926152"/>
                                    <a:chOff x="-180714" y="1677312"/>
                                    <a:chExt cx="2341558" cy="926152"/>
                                  </a:xfrm>
                                </xdr:grpSpPr>
                                <xdr:sp macro="" textlink="">
                                  <xdr:nvSpPr>
                                    <xdr:cNvPr id="161" name="Rechteck 6">
                                      <a:extLst>
                                        <a:ext uri="{FF2B5EF4-FFF2-40B4-BE49-F238E27FC236}">
                                          <a16:creationId xmlns:a16="http://schemas.microsoft.com/office/drawing/2014/main" id="{5189FBB9-2979-7E22-5210-A712C9B3A8C4}"/>
                                        </a:ext>
                                      </a:extLst>
                                    </xdr:cNvPr>
                                    <xdr:cNvSpPr/>
                                  </xdr:nvSpPr>
                                  <xdr:spPr>
                                    <a:xfrm>
                                      <a:off x="-180714" y="1677312"/>
                                      <a:ext cx="2341558" cy="926152"/>
                                    </a:xfrm>
                                    <a:prstGeom prst="rect">
                                      <a:avLst/>
                                    </a:prstGeom>
                                    <a:solidFill>
                                      <a:schemeClr val="bg1"/>
                                    </a:solidFill>
                                    <a:ln w="12700">
                                      <a:solidFill>
                                        <a:srgbClr val="12355B"/>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r>
                                        <a:rPr lang="en-US" sz="1200" b="1" i="0" u="none" strike="noStrike">
                                          <a:solidFill>
                                            <a:srgbClr val="12355B"/>
                                          </a:solidFill>
                                          <a:latin typeface="+mn-lt"/>
                                          <a:ea typeface="Calibri"/>
                                          <a:cs typeface="Calibri"/>
                                        </a:rPr>
                                        <a:t>Data centre </a:t>
                                      </a:r>
                                      <a:r>
                                        <a:rPr lang="en-US" sz="1200" b="1" i="0" u="none" strike="noStrike" baseline="0">
                                          <a:solidFill>
                                            <a:srgbClr val="12355B"/>
                                          </a:solidFill>
                                          <a:latin typeface="+mn-lt"/>
                                          <a:ea typeface="Calibri"/>
                                          <a:cs typeface="Calibri"/>
                                        </a:rPr>
                                        <a:t>/ heat source </a:t>
                                      </a:r>
                                      <a:endParaRPr lang="de-DE" sz="1200" b="1">
                                        <a:solidFill>
                                          <a:srgbClr val="12355B"/>
                                        </a:solidFill>
                                        <a:latin typeface="+mn-lt"/>
                                        <a:cs typeface="Segoe UI" panose="020B0502040204020203" pitchFamily="34" charset="0"/>
                                      </a:endParaRPr>
                                    </a:p>
                                  </xdr:txBody>
                                </xdr:sp>
                                <xdr:cxnSp macro="">
                                  <xdr:nvCxnSpPr>
                                    <xdr:cNvPr id="162" name="Gerade Verbindung mit Pfeil 11">
                                      <a:extLst>
                                        <a:ext uri="{FF2B5EF4-FFF2-40B4-BE49-F238E27FC236}">
                                          <a16:creationId xmlns:a16="http://schemas.microsoft.com/office/drawing/2014/main" id="{EB5759F7-6DCC-4E55-D06F-6F85616F7D1C}"/>
                                        </a:ext>
                                      </a:extLst>
                                    </xdr:cNvPr>
                                    <xdr:cNvCxnSpPr>
                                      <a:cxnSpLocks/>
                                    </xdr:cNvCxnSpPr>
                                  </xdr:nvCxnSpPr>
                                  <xdr:spPr>
                                    <a:xfrm flipV="1">
                                      <a:off x="1800864" y="1899688"/>
                                      <a:ext cx="0" cy="647646"/>
                                    </a:xfrm>
                                    <a:prstGeom prst="straightConnector1">
                                      <a:avLst/>
                                    </a:prstGeom>
                                    <a:ln w="5715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63" name="Gerade Verbindung mit Pfeil 12">
                                      <a:extLst>
                                        <a:ext uri="{FF2B5EF4-FFF2-40B4-BE49-F238E27FC236}">
                                          <a16:creationId xmlns:a16="http://schemas.microsoft.com/office/drawing/2014/main" id="{3ED44F0D-9028-4A44-DBFC-B01606F27568}"/>
                                        </a:ext>
                                      </a:extLst>
                                    </xdr:cNvPr>
                                    <xdr:cNvCxnSpPr>
                                      <a:cxnSpLocks/>
                                    </xdr:cNvCxnSpPr>
                                  </xdr:nvCxnSpPr>
                                  <xdr:spPr>
                                    <a:xfrm>
                                      <a:off x="1935745" y="1909213"/>
                                      <a:ext cx="0" cy="650425"/>
                                    </a:xfrm>
                                    <a:prstGeom prst="straightConnector1">
                                      <a:avLst/>
                                    </a:prstGeom>
                                    <a:ln w="57150">
                                      <a:solidFill>
                                        <a:srgbClr val="247BA0"/>
                                      </a:solidFill>
                                      <a:tailEnd type="triangle"/>
                                    </a:ln>
                                  </xdr:spPr>
                                  <xdr:style>
                                    <a:lnRef idx="1">
                                      <a:schemeClr val="accent1"/>
                                    </a:lnRef>
                                    <a:fillRef idx="0">
                                      <a:schemeClr val="accent1"/>
                                    </a:fillRef>
                                    <a:effectRef idx="0">
                                      <a:schemeClr val="accent1"/>
                                    </a:effectRef>
                                    <a:fontRef idx="minor">
                                      <a:schemeClr val="tx1"/>
                                    </a:fontRef>
                                  </xdr:style>
                                </xdr:cxnSp>
                              </xdr:grpSp>
                              <xdr:cxnSp macro="">
                                <xdr:nvCxnSpPr>
                                  <xdr:cNvPr id="147" name="Gerade Verbindung mit Pfeil 23">
                                    <a:extLst>
                                      <a:ext uri="{FF2B5EF4-FFF2-40B4-BE49-F238E27FC236}">
                                        <a16:creationId xmlns:a16="http://schemas.microsoft.com/office/drawing/2014/main" id="{8B739A0A-37D0-0B1C-32DC-EFD59643337C}"/>
                                      </a:ext>
                                    </a:extLst>
                                  </xdr:cNvPr>
                                  <xdr:cNvCxnSpPr>
                                    <a:cxnSpLocks/>
                                  </xdr:cNvCxnSpPr>
                                </xdr:nvCxnSpPr>
                                <xdr:spPr>
                                  <a:xfrm flipV="1">
                                    <a:off x="9486814" y="2379832"/>
                                    <a:ext cx="878085" cy="68"/>
                                  </a:xfrm>
                                  <a:prstGeom prst="straightConnector1">
                                    <a:avLst/>
                                  </a:prstGeom>
                                  <a:ln w="12700">
                                    <a:solidFill>
                                      <a:srgbClr val="C0000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148" name="Gerade Verbindung mit Pfeil 24">
                                    <a:extLst>
                                      <a:ext uri="{FF2B5EF4-FFF2-40B4-BE49-F238E27FC236}">
                                        <a16:creationId xmlns:a16="http://schemas.microsoft.com/office/drawing/2014/main" id="{5B55FD75-C6B2-905A-4F32-0AB4A00B5C8E}"/>
                                      </a:ext>
                                    </a:extLst>
                                  </xdr:cNvPr>
                                  <xdr:cNvCxnSpPr>
                                    <a:cxnSpLocks/>
                                  </xdr:cNvCxnSpPr>
                                </xdr:nvCxnSpPr>
                                <xdr:spPr>
                                  <a:xfrm flipH="1">
                                    <a:off x="9493594" y="2070821"/>
                                    <a:ext cx="872033" cy="0"/>
                                  </a:xfrm>
                                  <a:prstGeom prst="straightConnector1">
                                    <a:avLst/>
                                  </a:prstGeom>
                                  <a:ln w="12700">
                                    <a:solidFill>
                                      <a:srgbClr val="247BA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grpSp>
                                <xdr:nvGrpSpPr>
                                  <xdr:cNvPr id="149" name="Group 93">
                                    <a:extLst>
                                      <a:ext uri="{FF2B5EF4-FFF2-40B4-BE49-F238E27FC236}">
                                        <a16:creationId xmlns:a16="http://schemas.microsoft.com/office/drawing/2014/main" id="{50DFD8FC-0DCF-BE11-9A1B-741381BA28D3}"/>
                                      </a:ext>
                                    </a:extLst>
                                  </xdr:cNvPr>
                                  <xdr:cNvGrpSpPr/>
                                </xdr:nvGrpSpPr>
                                <xdr:grpSpPr>
                                  <a:xfrm>
                                    <a:off x="1828054" y="1677312"/>
                                    <a:ext cx="2940535" cy="926152"/>
                                    <a:chOff x="1271247" y="2478572"/>
                                    <a:chExt cx="2940535" cy="926152"/>
                                  </a:xfrm>
                                </xdr:grpSpPr>
                                <xdr:grpSp>
                                  <xdr:nvGrpSpPr>
                                    <xdr:cNvPr id="154" name="Group 105">
                                      <a:extLst>
                                        <a:ext uri="{FF2B5EF4-FFF2-40B4-BE49-F238E27FC236}">
                                          <a16:creationId xmlns:a16="http://schemas.microsoft.com/office/drawing/2014/main" id="{D5FB7B72-2A9C-B2E8-8E9C-D724BC2178F7}"/>
                                        </a:ext>
                                      </a:extLst>
                                    </xdr:cNvPr>
                                    <xdr:cNvGrpSpPr/>
                                  </xdr:nvGrpSpPr>
                                  <xdr:grpSpPr>
                                    <a:xfrm>
                                      <a:off x="1958032" y="2478572"/>
                                      <a:ext cx="2253750" cy="926152"/>
                                      <a:chOff x="2024707" y="2478572"/>
                                      <a:chExt cx="2253750" cy="926152"/>
                                    </a:xfrm>
                                  </xdr:grpSpPr>
                                  <xdr:sp macro="" textlink="">
                                    <xdr:nvSpPr>
                                      <xdr:cNvPr id="157" name="Rechteck 3">
                                        <a:extLst>
                                          <a:ext uri="{FF2B5EF4-FFF2-40B4-BE49-F238E27FC236}">
                                            <a16:creationId xmlns:a16="http://schemas.microsoft.com/office/drawing/2014/main" id="{BAC26F3A-B00E-7BC9-E4A9-DA984092E61F}"/>
                                          </a:ext>
                                        </a:extLst>
                                      </xdr:cNvPr>
                                      <xdr:cNvSpPr/>
                                    </xdr:nvSpPr>
                                    <xdr:spPr>
                                      <a:xfrm>
                                        <a:off x="2024707" y="2478572"/>
                                        <a:ext cx="2253750" cy="926152"/>
                                      </a:xfrm>
                                      <a:prstGeom prst="rect">
                                        <a:avLst/>
                                      </a:prstGeom>
                                      <a:solidFill>
                                        <a:schemeClr val="bg1"/>
                                      </a:solidFill>
                                      <a:ln w="12700">
                                        <a:solidFill>
                                          <a:srgbClr val="12355B"/>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r>
                                          <a:rPr lang="en-US" sz="1200" b="1" i="0" u="none" strike="noStrike">
                                            <a:solidFill>
                                              <a:srgbClr val="12355B"/>
                                            </a:solidFill>
                                            <a:latin typeface="+mn-lt"/>
                                            <a:ea typeface="Calibri"/>
                                            <a:cs typeface="Calibri"/>
                                          </a:rPr>
                                          <a:t>Heat exchanger &amp; piping </a:t>
                                        </a:r>
                                        <a:endParaRPr lang="de-DE" sz="1200" b="1">
                                          <a:solidFill>
                                            <a:srgbClr val="12355B"/>
                                          </a:solidFill>
                                          <a:latin typeface="+mn-lt"/>
                                          <a:cs typeface="Segoe UI" panose="020B0502040204020203" pitchFamily="34" charset="0"/>
                                        </a:endParaRPr>
                                      </a:p>
                                    </xdr:txBody>
                                  </xdr:sp>
                                  <xdr:grpSp>
                                    <xdr:nvGrpSpPr>
                                      <xdr:cNvPr id="158" name="Gruppieren 10">
                                        <a:extLst>
                                          <a:ext uri="{FF2B5EF4-FFF2-40B4-BE49-F238E27FC236}">
                                            <a16:creationId xmlns:a16="http://schemas.microsoft.com/office/drawing/2014/main" id="{1350845B-E25D-C345-342E-3CAD33753909}"/>
                                          </a:ext>
                                        </a:extLst>
                                      </xdr:cNvPr>
                                      <xdr:cNvGrpSpPr/>
                                    </xdr:nvGrpSpPr>
                                    <xdr:grpSpPr>
                                      <a:xfrm rot="16200000">
                                        <a:off x="3396370" y="2805873"/>
                                        <a:ext cx="640830" cy="380503"/>
                                        <a:chOff x="2644116" y="1707046"/>
                                        <a:chExt cx="359542" cy="508678"/>
                                      </a:xfrm>
                                    </xdr:grpSpPr>
                                    <xdr:sp macro="" textlink="">
                                      <xdr:nvSpPr>
                                        <xdr:cNvPr id="159" name="Rechteck 40">
                                          <a:extLst>
                                            <a:ext uri="{FF2B5EF4-FFF2-40B4-BE49-F238E27FC236}">
                                              <a16:creationId xmlns:a16="http://schemas.microsoft.com/office/drawing/2014/main" id="{F2E789E5-47A8-12B4-6B09-B352997E5FA9}"/>
                                            </a:ext>
                                          </a:extLst>
                                        </xdr:cNvPr>
                                        <xdr:cNvSpPr/>
                                      </xdr:nvSpPr>
                                      <xdr:spPr>
                                        <a:xfrm>
                                          <a:off x="2646989" y="1707046"/>
                                          <a:ext cx="356669" cy="508678"/>
                                        </a:xfrm>
                                        <a:prstGeom prst="rect">
                                          <a:avLst/>
                                        </a:prstGeom>
                                        <a:solidFill>
                                          <a:schemeClr val="bg1"/>
                                        </a:solidFill>
                                        <a:ln w="12700">
                                          <a:solidFill>
                                            <a:srgbClr val="12355B"/>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algn="ctr"/>
                                          <a:endParaRPr lang="de-DE" sz="1200">
                                            <a:solidFill>
                                              <a:schemeClr val="tx1">
                                                <a:lumMod val="75000"/>
                                                <a:lumOff val="25000"/>
                                              </a:schemeClr>
                                            </a:solidFill>
                                            <a:latin typeface="+mn-lt"/>
                                            <a:cs typeface="Segoe UI" panose="020B0502040204020203" pitchFamily="34" charset="0"/>
                                          </a:endParaRPr>
                                        </a:p>
                                      </xdr:txBody>
                                    </xdr:sp>
                                    <xdr:cxnSp macro="">
                                      <xdr:nvCxnSpPr>
                                        <xdr:cNvPr id="160" name="Gerader Verbinder 41">
                                          <a:extLst>
                                            <a:ext uri="{FF2B5EF4-FFF2-40B4-BE49-F238E27FC236}">
                                              <a16:creationId xmlns:a16="http://schemas.microsoft.com/office/drawing/2014/main" id="{53DA981B-AFE7-02AF-23BA-9E943375174B}"/>
                                            </a:ext>
                                          </a:extLst>
                                        </xdr:cNvPr>
                                        <xdr:cNvCxnSpPr/>
                                      </xdr:nvCxnSpPr>
                                      <xdr:spPr>
                                        <a:xfrm rot="5400000" flipH="1" flipV="1">
                                          <a:off x="2577391" y="1780459"/>
                                          <a:ext cx="490692" cy="357242"/>
                                        </a:xfrm>
                                        <a:prstGeom prst="line">
                                          <a:avLst/>
                                        </a:prstGeom>
                                        <a:ln w="12700">
                                          <a:solidFill>
                                            <a:srgbClr val="12355B"/>
                                          </a:solidFill>
                                        </a:ln>
                                      </xdr:spPr>
                                      <xdr:style>
                                        <a:lnRef idx="1">
                                          <a:schemeClr val="accent1"/>
                                        </a:lnRef>
                                        <a:fillRef idx="0">
                                          <a:schemeClr val="accent1"/>
                                        </a:fillRef>
                                        <a:effectRef idx="0">
                                          <a:schemeClr val="accent1"/>
                                        </a:effectRef>
                                        <a:fontRef idx="minor">
                                          <a:schemeClr val="tx1"/>
                                        </a:fontRef>
                                      </xdr:style>
                                    </xdr:cxnSp>
                                  </xdr:grpSp>
                                </xdr:grpSp>
                                <xdr:cxnSp macro="">
                                  <xdr:nvCxnSpPr>
                                    <xdr:cNvPr id="155" name="Gerade Verbindung mit Pfeil 23">
                                      <a:extLst>
                                        <a:ext uri="{FF2B5EF4-FFF2-40B4-BE49-F238E27FC236}">
                                          <a16:creationId xmlns:a16="http://schemas.microsoft.com/office/drawing/2014/main" id="{D6D30AD9-764C-1F13-A9EC-E95EE1D59A7D}"/>
                                        </a:ext>
                                      </a:extLst>
                                    </xdr:cNvPr>
                                    <xdr:cNvCxnSpPr>
                                      <a:cxnSpLocks/>
                                    </xdr:cNvCxnSpPr>
                                  </xdr:nvCxnSpPr>
                                  <xdr:spPr>
                                    <a:xfrm flipV="1">
                                      <a:off x="1271247" y="3181094"/>
                                      <a:ext cx="2195211" cy="0"/>
                                    </a:xfrm>
                                    <a:prstGeom prst="straightConnector1">
                                      <a:avLst/>
                                    </a:prstGeom>
                                    <a:ln w="12700">
                                      <a:solidFill>
                                        <a:srgbClr val="C0000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156" name="Gerade Verbindung mit Pfeil 24">
                                      <a:extLst>
                                        <a:ext uri="{FF2B5EF4-FFF2-40B4-BE49-F238E27FC236}">
                                          <a16:creationId xmlns:a16="http://schemas.microsoft.com/office/drawing/2014/main" id="{567BAC27-8F2B-C720-C00D-BE0CF10FBD29}"/>
                                        </a:ext>
                                      </a:extLst>
                                    </xdr:cNvPr>
                                    <xdr:cNvCxnSpPr>
                                      <a:cxnSpLocks/>
                                    </xdr:cNvCxnSpPr>
                                  </xdr:nvCxnSpPr>
                                  <xdr:spPr>
                                    <a:xfrm flipH="1" flipV="1">
                                      <a:off x="1393508" y="2872081"/>
                                      <a:ext cx="2048864" cy="0"/>
                                    </a:xfrm>
                                    <a:prstGeom prst="straightConnector1">
                                      <a:avLst/>
                                    </a:prstGeom>
                                    <a:ln w="12700">
                                      <a:solidFill>
                                        <a:srgbClr val="247BA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grpSp>
                              <xdr:sp macro="" textlink="$S$4">
                                <xdr:nvSpPr>
                                  <xdr:cNvPr id="150" name="Rechteck 42">
                                    <a:extLst>
                                      <a:ext uri="{FF2B5EF4-FFF2-40B4-BE49-F238E27FC236}">
                                        <a16:creationId xmlns:a16="http://schemas.microsoft.com/office/drawing/2014/main" id="{923530BD-83AE-89D1-D5F1-481D0EE763B6}"/>
                                      </a:ext>
                                    </a:extLst>
                                  </xdr:cNvPr>
                                  <xdr:cNvSpPr/>
                                </xdr:nvSpPr>
                                <xdr:spPr>
                                  <a:xfrm>
                                    <a:off x="2717562" y="1932181"/>
                                    <a:ext cx="1256354" cy="356668"/>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E521190E-7038-4118-8829-700F0FAF7267}" type="TxLink">
                                      <a:rPr lang="en-US" sz="10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source, out: 28 °C</a:t>
                                    </a:fld>
                                    <a:endParaRPr lang="de-DE" sz="1000" b="0">
                                      <a:solidFill>
                                        <a:srgbClr val="247BA0"/>
                                      </a:solidFill>
                                      <a:latin typeface="+mn-lt"/>
                                      <a:ea typeface="Calibri" panose="020F0502020204030204" pitchFamily="34" charset="0"/>
                                      <a:cs typeface="Calibri" panose="020F0502020204030204" pitchFamily="34" charset="0"/>
                                    </a:endParaRPr>
                                  </a:p>
                                </xdr:txBody>
                              </xdr:sp>
                              <xdr:sp macro="" textlink="$S$7">
                                <xdr:nvSpPr>
                                  <xdr:cNvPr id="151" name="Rechteck 42">
                                    <a:extLst>
                                      <a:ext uri="{FF2B5EF4-FFF2-40B4-BE49-F238E27FC236}">
                                        <a16:creationId xmlns:a16="http://schemas.microsoft.com/office/drawing/2014/main" id="{228572CC-9127-BB9D-04A1-FF457B6D0417}"/>
                                      </a:ext>
                                    </a:extLst>
                                  </xdr:cNvPr>
                                  <xdr:cNvSpPr/>
                                </xdr:nvSpPr>
                                <xdr:spPr>
                                  <a:xfrm>
                                    <a:off x="7775780" y="2237410"/>
                                    <a:ext cx="964163" cy="262044"/>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538936D0-6BFF-41ED-85F6-BDF35F55933F}" type="TxLink">
                                      <a:rPr lang="en-US" sz="10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sink, out: 90 °C</a:t>
                                    </a:fld>
                                    <a:endParaRPr lang="de-DE" sz="1000" b="0">
                                      <a:solidFill>
                                        <a:srgbClr val="F97068"/>
                                      </a:solidFill>
                                      <a:latin typeface="+mn-lt"/>
                                      <a:ea typeface="Calibri" panose="020F0502020204030204" pitchFamily="34" charset="0"/>
                                      <a:cs typeface="Calibri" panose="020F0502020204030204" pitchFamily="34" charset="0"/>
                                    </a:endParaRPr>
                                  </a:p>
                                </xdr:txBody>
                              </xdr:sp>
                              <xdr:sp macro="" textlink="$S$6">
                                <xdr:nvSpPr>
                                  <xdr:cNvPr id="152" name="Rechteck 42">
                                    <a:extLst>
                                      <a:ext uri="{FF2B5EF4-FFF2-40B4-BE49-F238E27FC236}">
                                        <a16:creationId xmlns:a16="http://schemas.microsoft.com/office/drawing/2014/main" id="{B62133FB-7260-6C2D-0AEF-8C3E1E7B4276}"/>
                                      </a:ext>
                                    </a:extLst>
                                  </xdr:cNvPr>
                                  <xdr:cNvSpPr/>
                                </xdr:nvSpPr>
                                <xdr:spPr>
                                  <a:xfrm>
                                    <a:off x="7744947" y="1929310"/>
                                    <a:ext cx="964163" cy="27563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AB535416-F62D-4B7F-9EA7-9DDCD038A244}" type="TxLink">
                                      <a:rPr lang="en-US" sz="10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sink, in: 60 °C</a:t>
                                    </a:fld>
                                    <a:endParaRPr lang="de-DE" sz="1000" b="0">
                                      <a:solidFill>
                                        <a:srgbClr val="247BA0"/>
                                      </a:solidFill>
                                      <a:latin typeface="+mn-lt"/>
                                      <a:ea typeface="Calibri" panose="020F0502020204030204" pitchFamily="34" charset="0"/>
                                      <a:cs typeface="Calibri" panose="020F0502020204030204" pitchFamily="34" charset="0"/>
                                    </a:endParaRPr>
                                  </a:p>
                                </xdr:txBody>
                              </xdr:sp>
                              <xdr:sp macro="" textlink="$T$5">
                                <xdr:nvSpPr>
                                  <xdr:cNvPr id="153" name="Rechteck 42">
                                    <a:extLst>
                                      <a:ext uri="{FF2B5EF4-FFF2-40B4-BE49-F238E27FC236}">
                                        <a16:creationId xmlns:a16="http://schemas.microsoft.com/office/drawing/2014/main" id="{DBC1DBA0-2C4F-5654-62AD-6C4CB20EE1AE}"/>
                                      </a:ext>
                                    </a:extLst>
                                  </xdr:cNvPr>
                                  <xdr:cNvSpPr/>
                                </xdr:nvSpPr>
                                <xdr:spPr>
                                  <a:xfrm>
                                    <a:off x="5201152" y="2141959"/>
                                    <a:ext cx="1026012" cy="207993"/>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3C189820-BEE6-45A0-A65C-45BCAA6FB577}" type="TxLink">
                                      <a:rPr lang="en-US" sz="10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COP nom.: 3 at</a:t>
                                    </a:fld>
                                    <a:endParaRPr lang="de-DE" sz="900" b="0" kern="1200">
                                      <a:solidFill>
                                        <a:srgbClr val="3F816D"/>
                                      </a:solidFill>
                                      <a:effectLst/>
                                      <a:latin typeface="+mn-lt"/>
                                      <a:ea typeface="+mn-ea"/>
                                      <a:cs typeface="+mn-cs"/>
                                    </a:endParaRPr>
                                  </a:p>
                                </xdr:txBody>
                              </xdr:sp>
                            </xdr:grpSp>
                            <xdr:sp macro="" textlink="$S$5">
                              <xdr:nvSpPr>
                                <xdr:cNvPr id="130" name="Rechteck 42">
                                  <a:extLst>
                                    <a:ext uri="{FF2B5EF4-FFF2-40B4-BE49-F238E27FC236}">
                                      <a16:creationId xmlns:a16="http://schemas.microsoft.com/office/drawing/2014/main" id="{574118FF-9286-D58C-F34C-2DD44FBAFB41}"/>
                                    </a:ext>
                                  </a:extLst>
                                </xdr:cNvPr>
                                <xdr:cNvSpPr/>
                              </xdr:nvSpPr>
                              <xdr:spPr>
                                <a:xfrm>
                                  <a:off x="3487293" y="3958083"/>
                                  <a:ext cx="1293725" cy="360467"/>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fld id="{FC42647E-3054-4352-8541-753FF7D7E3C8}" type="TxLink">
                                    <a:rPr lang="en-US" sz="1000" b="0" i="0" u="none" strike="noStrike" kern="1200">
                                      <a:solidFill>
                                        <a:srgbClr val="000000"/>
                                      </a:solidFill>
                                      <a:latin typeface="+mn-lt"/>
                                      <a:ea typeface="Calibri"/>
                                      <a:cs typeface="Calibri"/>
                                    </a:rPr>
                                    <a:pPr marL="0" indent="0" algn="ctr" defTabSz="914400" rtl="0" eaLnBrk="1" latinLnBrk="0" hangingPunct="1"/>
                                    <a:t>T source, in: 25 °C</a:t>
                                  </a:fld>
                                  <a:endParaRPr lang="de-DE" sz="1000" b="0" kern="1200">
                                    <a:solidFill>
                                      <a:srgbClr val="F97068"/>
                                    </a:solidFill>
                                    <a:latin typeface="+mn-lt"/>
                                    <a:ea typeface="Calibri" panose="020F0502020204030204" pitchFamily="34" charset="0"/>
                                    <a:cs typeface="Calibri" panose="020F0502020204030204" pitchFamily="34" charset="0"/>
                                  </a:endParaRPr>
                                </a:p>
                              </xdr:txBody>
                            </xdr:sp>
                            <xdr:cxnSp macro="">
                              <xdr:nvCxnSpPr>
                                <xdr:cNvPr id="131" name="Gerade Verbindung mit Pfeil 24">
                                  <a:extLst>
                                    <a:ext uri="{FF2B5EF4-FFF2-40B4-BE49-F238E27FC236}">
                                      <a16:creationId xmlns:a16="http://schemas.microsoft.com/office/drawing/2014/main" id="{076DEE56-7C73-BCF0-E4EC-BBA757C8F0C4}"/>
                                    </a:ext>
                                  </a:extLst>
                                </xdr:cNvPr>
                                <xdr:cNvCxnSpPr>
                                  <a:cxnSpLocks/>
                                </xdr:cNvCxnSpPr>
                              </xdr:nvCxnSpPr>
                              <xdr:spPr>
                                <a:xfrm flipH="1">
                                  <a:off x="7802878" y="3789726"/>
                                  <a:ext cx="633" cy="234004"/>
                                </a:xfrm>
                                <a:prstGeom prst="straightConnector1">
                                  <a:avLst/>
                                </a:prstGeom>
                                <a:ln w="12700">
                                  <a:solidFill>
                                    <a:srgbClr val="247BA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grpSp>
                          <xdr:grpSp>
                            <xdr:nvGrpSpPr>
                              <xdr:cNvPr id="126" name="Group 10">
                                <a:extLst>
                                  <a:ext uri="{FF2B5EF4-FFF2-40B4-BE49-F238E27FC236}">
                                    <a16:creationId xmlns:a16="http://schemas.microsoft.com/office/drawing/2014/main" id="{98DA8EDC-4713-4403-805A-08147C849F05}"/>
                                  </a:ext>
                                </a:extLst>
                              </xdr:cNvPr>
                              <xdr:cNvGrpSpPr/>
                            </xdr:nvGrpSpPr>
                            <xdr:grpSpPr>
                              <a:xfrm>
                                <a:off x="724863" y="2998763"/>
                                <a:ext cx="6074286" cy="882616"/>
                                <a:chOff x="6660908" y="2239596"/>
                                <a:chExt cx="3182525" cy="1118263"/>
                              </a:xfrm>
                            </xdr:grpSpPr>
                            <xdr:sp macro="" textlink="$S$10">
                              <xdr:nvSpPr>
                                <xdr:cNvPr id="127" name="Rechteck 42">
                                  <a:extLst>
                                    <a:ext uri="{FF2B5EF4-FFF2-40B4-BE49-F238E27FC236}">
                                      <a16:creationId xmlns:a16="http://schemas.microsoft.com/office/drawing/2014/main" id="{925CE18A-B708-CCEE-7BC2-322844906A46}"/>
                                    </a:ext>
                                  </a:extLst>
                                </xdr:cNvPr>
                                <xdr:cNvSpPr/>
                              </xdr:nvSpPr>
                              <xdr:spPr>
                                <a:xfrm>
                                  <a:off x="6660908" y="2844360"/>
                                  <a:ext cx="1509759" cy="513499"/>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39368264-BB6D-4122-8DCC-B5DA3331E9FC}" type="TxLink">
                                    <a:rPr lang="en-US" sz="1000" b="1" i="0" u="none" strike="noStrike">
                                      <a:solidFill>
                                        <a:srgbClr val="12355B"/>
                                      </a:solidFill>
                                      <a:latin typeface="+mn-lt"/>
                                      <a:ea typeface="Calibri"/>
                                      <a:cs typeface="Calibri"/>
                                    </a:rPr>
                                    <a:pPr marL="0" indent="0" algn="ctr"/>
                                    <a:t>Negotiated price p_1: 2 [EUR/MWh_heat_provided_by_DC]</a:t>
                                  </a:fld>
                                  <a:endParaRPr lang="en-US" sz="1000" b="1" i="0" u="none" strike="noStrike">
                                    <a:solidFill>
                                      <a:srgbClr val="12355B"/>
                                    </a:solidFill>
                                    <a:latin typeface="+mn-lt"/>
                                    <a:ea typeface="Calibri"/>
                                    <a:cs typeface="Calibri"/>
                                  </a:endParaRPr>
                                </a:p>
                              </xdr:txBody>
                            </xdr:sp>
                            <xdr:sp macro="" textlink="$S$11">
                              <xdr:nvSpPr>
                                <xdr:cNvPr id="128" name="Rechteck 42">
                                  <a:extLst>
                                    <a:ext uri="{FF2B5EF4-FFF2-40B4-BE49-F238E27FC236}">
                                      <a16:creationId xmlns:a16="http://schemas.microsoft.com/office/drawing/2014/main" id="{788DC0FC-9FD5-5CF7-B10F-8B4F93C55B8A}"/>
                                    </a:ext>
                                  </a:extLst>
                                </xdr:cNvPr>
                                <xdr:cNvSpPr/>
                              </xdr:nvSpPr>
                              <xdr:spPr>
                                <a:xfrm>
                                  <a:off x="8390290" y="2239596"/>
                                  <a:ext cx="1453143" cy="513502"/>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E6568C0A-040A-4BFE-B7BE-7CBB0F259324}" type="TxLink">
                                    <a:rPr lang="en-US" sz="1400" b="1" i="0" u="none" strike="noStrike">
                                      <a:solidFill>
                                        <a:srgbClr val="C00000"/>
                                      </a:solidFill>
                                      <a:latin typeface="+mn-lt"/>
                                      <a:ea typeface="Calibri"/>
                                      <a:cs typeface="Calibri"/>
                                    </a:rPr>
                                    <a:pPr marL="0" indent="0" algn="ctr"/>
                                    <a:t>Contract Type: Take-or-pay</a:t>
                                  </a:fld>
                                  <a:endParaRPr lang="en-US" sz="1400" b="1" i="0" u="none" strike="noStrike">
                                    <a:solidFill>
                                      <a:srgbClr val="C00000"/>
                                    </a:solidFill>
                                    <a:latin typeface="+mn-lt"/>
                                    <a:ea typeface="Calibri"/>
                                    <a:cs typeface="Calibri"/>
                                  </a:endParaRPr>
                                </a:p>
                              </xdr:txBody>
                            </xdr:sp>
                          </xdr:grpSp>
                        </xdr:grpSp>
                        <xdr:grpSp>
                          <xdr:nvGrpSpPr>
                            <xdr:cNvPr id="119" name="Gruppieren 118">
                              <a:extLst>
                                <a:ext uri="{FF2B5EF4-FFF2-40B4-BE49-F238E27FC236}">
                                  <a16:creationId xmlns:a16="http://schemas.microsoft.com/office/drawing/2014/main" id="{C97931E6-768B-5751-8233-C6E4FE4D8240}"/>
                                </a:ext>
                              </a:extLst>
                            </xdr:cNvPr>
                            <xdr:cNvGrpSpPr/>
                          </xdr:nvGrpSpPr>
                          <xdr:grpSpPr>
                            <a:xfrm>
                              <a:off x="724863" y="2999474"/>
                              <a:ext cx="6751257" cy="1989386"/>
                              <a:chOff x="724863" y="2999474"/>
                              <a:chExt cx="6751257" cy="1989386"/>
                            </a:xfrm>
                          </xdr:grpSpPr>
                          <xdr:cxnSp macro="">
                            <xdr:nvCxnSpPr>
                              <xdr:cNvPr id="120" name="Gerade Verbindung mit Pfeil 24">
                                <a:extLst>
                                  <a:ext uri="{FF2B5EF4-FFF2-40B4-BE49-F238E27FC236}">
                                    <a16:creationId xmlns:a16="http://schemas.microsoft.com/office/drawing/2014/main" id="{33021ACD-AC3C-3456-623D-E7983F20BD91}"/>
                                  </a:ext>
                                </a:extLst>
                              </xdr:cNvPr>
                              <xdr:cNvCxnSpPr>
                                <a:cxnSpLocks/>
                              </xdr:cNvCxnSpPr>
                            </xdr:nvCxnSpPr>
                            <xdr:spPr>
                              <a:xfrm flipH="1" flipV="1">
                                <a:off x="6339529" y="4538105"/>
                                <a:ext cx="1116613" cy="0"/>
                              </a:xfrm>
                              <a:prstGeom prst="straightConnector1">
                                <a:avLst/>
                              </a:prstGeom>
                              <a:ln w="12700">
                                <a:solidFill>
                                  <a:srgbClr val="247BA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cxnSp macro="">
                            <xdr:nvCxnSpPr>
                              <xdr:cNvPr id="121" name="Gerade Verbindung mit Pfeil 23">
                                <a:extLst>
                                  <a:ext uri="{FF2B5EF4-FFF2-40B4-BE49-F238E27FC236}">
                                    <a16:creationId xmlns:a16="http://schemas.microsoft.com/office/drawing/2014/main" id="{74AC87E4-14AD-8329-5B92-50F4A3EC9C6F}"/>
                                  </a:ext>
                                </a:extLst>
                              </xdr:cNvPr>
                              <xdr:cNvCxnSpPr>
                                <a:cxnSpLocks/>
                              </xdr:cNvCxnSpPr>
                            </xdr:nvCxnSpPr>
                            <xdr:spPr>
                              <a:xfrm flipV="1">
                                <a:off x="6359507" y="4988860"/>
                                <a:ext cx="1116613" cy="0"/>
                              </a:xfrm>
                              <a:prstGeom prst="straightConnector1">
                                <a:avLst/>
                              </a:prstGeom>
                              <a:ln w="12700">
                                <a:solidFill>
                                  <a:srgbClr val="C00000"/>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grpSp>
                            <xdr:nvGrpSpPr>
                              <xdr:cNvPr id="122" name="Group 15">
                                <a:extLst>
                                  <a:ext uri="{FF2B5EF4-FFF2-40B4-BE49-F238E27FC236}">
                                    <a16:creationId xmlns:a16="http://schemas.microsoft.com/office/drawing/2014/main" id="{829EAB44-BE4E-3224-91CD-8E4D3AE92398}"/>
                                  </a:ext>
                                </a:extLst>
                              </xdr:cNvPr>
                              <xdr:cNvGrpSpPr/>
                            </xdr:nvGrpSpPr>
                            <xdr:grpSpPr>
                              <a:xfrm>
                                <a:off x="724863" y="2999474"/>
                                <a:ext cx="3366948" cy="405293"/>
                                <a:chOff x="788190" y="3046064"/>
                                <a:chExt cx="2539567" cy="427119"/>
                              </a:xfrm>
                            </xdr:grpSpPr>
                            <xdr:sp macro="" textlink="$S$9">
                              <xdr:nvSpPr>
                                <xdr:cNvPr id="123" name="Rechteck 42">
                                  <a:extLst>
                                    <a:ext uri="{FF2B5EF4-FFF2-40B4-BE49-F238E27FC236}">
                                      <a16:creationId xmlns:a16="http://schemas.microsoft.com/office/drawing/2014/main" id="{D1FB9765-F4AC-EFC4-A40D-9EADB87B868B}"/>
                                    </a:ext>
                                  </a:extLst>
                                </xdr:cNvPr>
                                <xdr:cNvSpPr/>
                              </xdr:nvSpPr>
                              <xdr:spPr>
                                <a:xfrm>
                                  <a:off x="788190" y="3046064"/>
                                  <a:ext cx="2173474" cy="427119"/>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C423003A-FE20-472B-9BD1-FDBD6B28BDD8}" type="TxLink">
                                    <a:rPr lang="en-US" sz="1000" b="0" i="0" u="none" strike="noStrike">
                                      <a:solidFill>
                                        <a:srgbClr val="12355B"/>
                                      </a:solidFill>
                                      <a:latin typeface="+mn-lt"/>
                                      <a:ea typeface="Calibri"/>
                                      <a:cs typeface="Calibri"/>
                                    </a:rPr>
                                    <a:pPr marL="0" indent="0" algn="ctr"/>
                                    <a:t>Price p_0 (paid to external entity): 0 [EUR/MWh_heat_provided_by_DC]</a:t>
                                  </a:fld>
                                  <a:endParaRPr lang="en-US" sz="1000" b="0" i="0" u="none" strike="noStrike">
                                    <a:solidFill>
                                      <a:srgbClr val="12355B"/>
                                    </a:solidFill>
                                    <a:latin typeface="+mn-lt"/>
                                    <a:ea typeface="Calibri"/>
                                    <a:cs typeface="Calibri"/>
                                  </a:endParaRPr>
                                </a:p>
                              </xdr:txBody>
                            </xdr:sp>
                            <xdr:cxnSp macro="">
                              <xdr:nvCxnSpPr>
                                <xdr:cNvPr id="124" name="Connector: Elbow 9">
                                  <a:extLst>
                                    <a:ext uri="{FF2B5EF4-FFF2-40B4-BE49-F238E27FC236}">
                                      <a16:creationId xmlns:a16="http://schemas.microsoft.com/office/drawing/2014/main" id="{7B74CDF5-1C24-21B3-8FCB-5BA8DDB23444}"/>
                                    </a:ext>
                                  </a:extLst>
                                </xdr:cNvPr>
                                <xdr:cNvCxnSpPr/>
                              </xdr:nvCxnSpPr>
                              <xdr:spPr>
                                <a:xfrm>
                                  <a:off x="2982963" y="3210776"/>
                                  <a:ext cx="344794" cy="202875"/>
                                </a:xfrm>
                                <a:prstGeom prst="bentConnector3">
                                  <a:avLst>
                                    <a:gd name="adj1" fmla="val 50000"/>
                                  </a:avLst>
                                </a:prstGeom>
                                <a:ln w="12700">
                                  <a:solidFill>
                                    <a:srgbClr val="3F816D"/>
                                  </a:solidFill>
                                  <a:prstDash val="sysDash"/>
                                  <a:headEnd type="diamond" w="med" len="med"/>
                                  <a:tailEnd type="diamond" w="med" len="med"/>
                                </a:ln>
                              </xdr:spPr>
                              <xdr:style>
                                <a:lnRef idx="1">
                                  <a:schemeClr val="accent1"/>
                                </a:lnRef>
                                <a:fillRef idx="0">
                                  <a:schemeClr val="accent1"/>
                                </a:fillRef>
                                <a:effectRef idx="0">
                                  <a:schemeClr val="accent1"/>
                                </a:effectRef>
                                <a:fontRef idx="minor">
                                  <a:schemeClr val="tx1"/>
                                </a:fontRef>
                              </xdr:style>
                            </xdr:cxnSp>
                          </xdr:grpSp>
                        </xdr:grpSp>
                      </xdr:grpSp>
                      <xdr:sp macro="" textlink="'Project Setting'!F29">
                        <xdr:nvSpPr>
                          <xdr:cNvPr id="86" name="Rectangle 38">
                            <a:extLst>
                              <a:ext uri="{FF2B5EF4-FFF2-40B4-BE49-F238E27FC236}">
                                <a16:creationId xmlns:a16="http://schemas.microsoft.com/office/drawing/2014/main" id="{AAA7A583-4081-87E0-0D32-1F93E486AD73}"/>
                              </a:ext>
                            </a:extLst>
                          </xdr:cNvPr>
                          <xdr:cNvSpPr/>
                        </xdr:nvSpPr>
                        <xdr:spPr>
                          <a:xfrm>
                            <a:off x="10509236" y="3310797"/>
                            <a:ext cx="2138759" cy="405293"/>
                          </a:xfrm>
                          <a:prstGeom prst="rect">
                            <a:avLst/>
                          </a:prstGeom>
                          <a:solidFill>
                            <a:schemeClr val="accent5">
                              <a:lumMod val="40000"/>
                              <a:lumOff val="60000"/>
                            </a:schemeClr>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de-DE"/>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de-AT" sz="1000" b="0" kern="1200">
                                <a:solidFill>
                                  <a:srgbClr val="12355B"/>
                                </a:solidFill>
                                <a:effectLst/>
                                <a:latin typeface="+mn-lt"/>
                                <a:ea typeface="+mn-ea"/>
                                <a:cs typeface="+mn-cs"/>
                              </a:rPr>
                              <a:t>Heat losses after heat</a:t>
                            </a:r>
                            <a:r>
                              <a:rPr lang="de-AT" sz="1000" b="0" kern="1200" baseline="0">
                                <a:solidFill>
                                  <a:srgbClr val="12355B"/>
                                </a:solidFill>
                                <a:effectLst/>
                                <a:latin typeface="+mn-lt"/>
                                <a:ea typeface="+mn-ea"/>
                                <a:cs typeface="+mn-cs"/>
                              </a:rPr>
                              <a:t> pump = </a:t>
                            </a:r>
                            <a:fld id="{99DF5997-78C6-4E27-89FC-299404E3C6B7}" type="TxLink">
                              <a:rPr lang="en-US" sz="1000" b="0" i="0" u="none" strike="noStrike">
                                <a:solidFill>
                                  <a:srgbClr val="12355B"/>
                                </a:solidFill>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 1 </a:t>
                            </a:fld>
                            <a:r>
                              <a:rPr lang="en-US" sz="1000" b="0" i="0" u="none" strike="noStrike">
                                <a:solidFill>
                                  <a:srgbClr val="12355B"/>
                                </a:solidFill>
                                <a:latin typeface="+mn-lt"/>
                                <a:ea typeface="Calibri"/>
                                <a:cs typeface="Calibri"/>
                              </a:rPr>
                              <a:t>%</a:t>
                            </a:r>
                            <a:endParaRPr lang="de-AT" sz="1000" b="0">
                              <a:solidFill>
                                <a:srgbClr val="12355B"/>
                              </a:solidFill>
                              <a:latin typeface="+mn-lt"/>
                            </a:endParaRPr>
                          </a:p>
                        </xdr:txBody>
                      </xdr:sp>
                      <xdr:sp macro="" textlink="$S$2">
                        <xdr:nvSpPr>
                          <xdr:cNvPr id="87" name="TextBox 68">
                            <a:extLst>
                              <a:ext uri="{FF2B5EF4-FFF2-40B4-BE49-F238E27FC236}">
                                <a16:creationId xmlns:a16="http://schemas.microsoft.com/office/drawing/2014/main" id="{5E4C4590-EB99-5E8E-7434-0EC577C7DB91}"/>
                              </a:ext>
                            </a:extLst>
                          </xdr:cNvPr>
                          <xdr:cNvSpPr txBox="1"/>
                        </xdr:nvSpPr>
                        <xdr:spPr>
                          <a:xfrm>
                            <a:off x="961449" y="4510639"/>
                            <a:ext cx="1771343" cy="243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4B7882EB-528E-4115-AACA-B48D03354A5B}" type="TxLink">
                              <a:rPr lang="en-US" sz="1100" b="0" i="0" u="none" strike="noStrike">
                                <a:solidFill>
                                  <a:srgbClr val="000000"/>
                                </a:solidFill>
                                <a:latin typeface="+mn-lt"/>
                                <a:ea typeface="Calibri"/>
                                <a:cs typeface="Calibri"/>
                              </a:rPr>
                              <a:pPr algn="ctr"/>
                              <a:t> </a:t>
                            </a:fld>
                            <a:endParaRPr lang="en-US" sz="1000" b="0" i="0" u="none" strike="noStrike">
                              <a:solidFill>
                                <a:srgbClr val="12355B"/>
                              </a:solidFill>
                              <a:latin typeface="+mn-lt"/>
                              <a:ea typeface="Calibri"/>
                              <a:cs typeface="Calibri"/>
                            </a:endParaRPr>
                          </a:p>
                        </xdr:txBody>
                      </xdr:sp>
                      <xdr:sp macro="" textlink="$S$3">
                        <xdr:nvSpPr>
                          <xdr:cNvPr id="88" name="TextBox 71">
                            <a:extLst>
                              <a:ext uri="{FF2B5EF4-FFF2-40B4-BE49-F238E27FC236}">
                                <a16:creationId xmlns:a16="http://schemas.microsoft.com/office/drawing/2014/main" id="{75455FA0-5E6D-E2FB-D7C5-40A9AFF217B2}"/>
                              </a:ext>
                            </a:extLst>
                          </xdr:cNvPr>
                          <xdr:cNvSpPr txBox="1"/>
                        </xdr:nvSpPr>
                        <xdr:spPr>
                          <a:xfrm>
                            <a:off x="796050" y="4559284"/>
                            <a:ext cx="2375054" cy="507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40FF1852-FAB3-415F-9C85-F7DBF99D9F7D}" type="TxLink">
                              <a:rPr lang="en-US" sz="1000" b="0" i="0" u="none" strike="noStrike">
                                <a:solidFill>
                                  <a:srgbClr val="000000"/>
                                </a:solidFill>
                                <a:latin typeface="+mn-lt"/>
                                <a:ea typeface="Calibri"/>
                                <a:cs typeface="Calibri"/>
                              </a:rPr>
                              <a:pPr algn="ctr"/>
                              <a:t>Max. waste heat load available: 2 MW</a:t>
                            </a:fld>
                            <a:endParaRPr lang="en-US" sz="1000" b="0" i="0" u="none" strike="noStrike" baseline="-25000">
                              <a:solidFill>
                                <a:srgbClr val="12355B"/>
                              </a:solidFill>
                              <a:latin typeface="+mn-lt"/>
                              <a:ea typeface="Calibri"/>
                              <a:cs typeface="Calibri"/>
                            </a:endParaRPr>
                          </a:p>
                        </xdr:txBody>
                      </xdr:sp>
                      <xdr:grpSp>
                        <xdr:nvGrpSpPr>
                          <xdr:cNvPr id="89" name="Gruppieren 88">
                            <a:extLst>
                              <a:ext uri="{FF2B5EF4-FFF2-40B4-BE49-F238E27FC236}">
                                <a16:creationId xmlns:a16="http://schemas.microsoft.com/office/drawing/2014/main" id="{9932D3F7-4E4A-3C13-AA1B-C1C77A069DD0}"/>
                              </a:ext>
                            </a:extLst>
                          </xdr:cNvPr>
                          <xdr:cNvGrpSpPr/>
                        </xdr:nvGrpSpPr>
                        <xdr:grpSpPr>
                          <a:xfrm>
                            <a:off x="765756" y="5686940"/>
                            <a:ext cx="12204285" cy="3578019"/>
                            <a:chOff x="764392" y="5701726"/>
                            <a:chExt cx="12216642" cy="3568855"/>
                          </a:xfrm>
                        </xdr:grpSpPr>
                        <xdr:grpSp>
                          <xdr:nvGrpSpPr>
                            <xdr:cNvPr id="90" name="Gruppieren 89">
                              <a:extLst>
                                <a:ext uri="{FF2B5EF4-FFF2-40B4-BE49-F238E27FC236}">
                                  <a16:creationId xmlns:a16="http://schemas.microsoft.com/office/drawing/2014/main" id="{A7DD3284-4D8C-50AD-0243-2E0877022196}"/>
                                </a:ext>
                              </a:extLst>
                            </xdr:cNvPr>
                            <xdr:cNvGrpSpPr/>
                          </xdr:nvGrpSpPr>
                          <xdr:grpSpPr>
                            <a:xfrm>
                              <a:off x="778235" y="5701726"/>
                              <a:ext cx="12202799" cy="3406853"/>
                              <a:chOff x="778809" y="5523043"/>
                              <a:chExt cx="12191239" cy="3301576"/>
                            </a:xfrm>
                          </xdr:grpSpPr>
                          <xdr:sp macro="" textlink="">
                            <xdr:nvSpPr>
                              <xdr:cNvPr id="93" name="Rechteck 71">
                                <a:extLst>
                                  <a:ext uri="{FF2B5EF4-FFF2-40B4-BE49-F238E27FC236}">
                                    <a16:creationId xmlns:a16="http://schemas.microsoft.com/office/drawing/2014/main" id="{54048A8A-74AD-FCCA-B7CC-EBD79F7FAA0B}"/>
                                  </a:ext>
                                </a:extLst>
                              </xdr:cNvPr>
                              <xdr:cNvSpPr/>
                            </xdr:nvSpPr>
                            <xdr:spPr>
                              <a:xfrm>
                                <a:off x="778809" y="5528329"/>
                                <a:ext cx="2881768" cy="2272548"/>
                              </a:xfrm>
                              <a:prstGeom prst="rect">
                                <a:avLst/>
                              </a:prstGeom>
                              <a:solidFill>
                                <a:schemeClr val="bg1"/>
                              </a:solidFill>
                              <a:ln w="12700">
                                <a:solidFill>
                                  <a:srgbClr val="12355B"/>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de-DE"/>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r"/>
                                <a:r>
                                  <a:rPr lang="de-AT" b="1">
                                    <a:solidFill>
                                      <a:srgbClr val="12355B"/>
                                    </a:solidFill>
                                    <a:latin typeface="+mn-lt"/>
                                    <a:ea typeface="+mn-ea"/>
                                    <a:cs typeface="+mn-cs"/>
                                  </a:rPr>
                                  <a:t>Costs paid</a:t>
                                </a:r>
                                <a:r>
                                  <a:rPr lang="de-AT" b="1" baseline="0">
                                    <a:solidFill>
                                      <a:srgbClr val="12355B"/>
                                    </a:solidFill>
                                    <a:latin typeface="+mn-lt"/>
                                    <a:ea typeface="+mn-ea"/>
                                    <a:cs typeface="+mn-cs"/>
                                  </a:rPr>
                                  <a:t> by </a:t>
                                </a:r>
                                <a:r>
                                  <a:rPr lang="de-AT" b="1">
                                    <a:solidFill>
                                      <a:srgbClr val="12355B"/>
                                    </a:solidFill>
                                    <a:latin typeface="+mn-lt"/>
                                    <a:ea typeface="+mn-ea"/>
                                    <a:cs typeface="+mn-cs"/>
                                  </a:rPr>
                                  <a:t>Contractor 2 / DC operator</a:t>
                                </a:r>
                              </a:p>
                            </xdr:txBody>
                          </xdr:sp>
                          <xdr:sp macro="" textlink="">
                            <xdr:nvSpPr>
                              <xdr:cNvPr id="94" name="Rechteck 71">
                                <a:extLst>
                                  <a:ext uri="{FF2B5EF4-FFF2-40B4-BE49-F238E27FC236}">
                                    <a16:creationId xmlns:a16="http://schemas.microsoft.com/office/drawing/2014/main" id="{87287407-BFC0-224E-9690-F25475ED3956}"/>
                                  </a:ext>
                                </a:extLst>
                              </xdr:cNvPr>
                              <xdr:cNvSpPr/>
                            </xdr:nvSpPr>
                            <xdr:spPr>
                              <a:xfrm>
                                <a:off x="7301753" y="5523043"/>
                                <a:ext cx="5668295" cy="3301576"/>
                              </a:xfrm>
                              <a:prstGeom prst="rect">
                                <a:avLst/>
                              </a:prstGeom>
                              <a:solidFill>
                                <a:schemeClr val="bg1"/>
                              </a:solidFill>
                              <a:ln w="12700">
                                <a:solidFill>
                                  <a:srgbClr val="12355B"/>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de-DE"/>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marL="0" indent="0" algn="l"/>
                                <a:r>
                                  <a:rPr lang="de-AT" b="1">
                                    <a:solidFill>
                                      <a:srgbClr val="12355B"/>
                                    </a:solidFill>
                                    <a:latin typeface="+mn-lt"/>
                                    <a:ea typeface="+mn-ea"/>
                                    <a:cs typeface="+mn-cs"/>
                                  </a:rPr>
                                  <a:t>Costs paid</a:t>
                                </a:r>
                                <a:r>
                                  <a:rPr lang="de-AT" b="1" baseline="0">
                                    <a:solidFill>
                                      <a:srgbClr val="12355B"/>
                                    </a:solidFill>
                                    <a:latin typeface="+mn-lt"/>
                                    <a:ea typeface="+mn-ea"/>
                                    <a:cs typeface="+mn-cs"/>
                                  </a:rPr>
                                  <a:t> by </a:t>
                                </a:r>
                                <a:r>
                                  <a:rPr lang="de-AT" b="1">
                                    <a:solidFill>
                                      <a:srgbClr val="12355B"/>
                                    </a:solidFill>
                                    <a:latin typeface="+mn-lt"/>
                                    <a:ea typeface="+mn-ea"/>
                                    <a:cs typeface="+mn-cs"/>
                                  </a:rPr>
                                  <a:t>Contractor 1 / DH operator</a:t>
                                </a:r>
                              </a:p>
                            </xdr:txBody>
                          </xdr:sp>
                          <xdr:grpSp>
                            <xdr:nvGrpSpPr>
                              <xdr:cNvPr id="95" name="Gruppieren 94">
                                <a:extLst>
                                  <a:ext uri="{FF2B5EF4-FFF2-40B4-BE49-F238E27FC236}">
                                    <a16:creationId xmlns:a16="http://schemas.microsoft.com/office/drawing/2014/main" id="{BBEE01E6-752D-0C6D-9BBE-EF4AE035502D}"/>
                                  </a:ext>
                                </a:extLst>
                              </xdr:cNvPr>
                              <xdr:cNvGrpSpPr/>
                            </xdr:nvGrpSpPr>
                            <xdr:grpSpPr>
                              <a:xfrm>
                                <a:off x="898158" y="5853311"/>
                                <a:ext cx="9146350" cy="1406945"/>
                                <a:chOff x="898943" y="6023739"/>
                                <a:chExt cx="9148699" cy="1460923"/>
                              </a:xfrm>
                            </xdr:grpSpPr>
                            <xdr:grpSp>
                              <xdr:nvGrpSpPr>
                                <xdr:cNvPr id="96" name="Gruppieren 95">
                                  <a:extLst>
                                    <a:ext uri="{FF2B5EF4-FFF2-40B4-BE49-F238E27FC236}">
                                      <a16:creationId xmlns:a16="http://schemas.microsoft.com/office/drawing/2014/main" id="{E9C35907-1D64-B73B-089C-9F1B61103E9A}"/>
                                    </a:ext>
                                  </a:extLst>
                                </xdr:cNvPr>
                                <xdr:cNvGrpSpPr/>
                              </xdr:nvGrpSpPr>
                              <xdr:grpSpPr>
                                <a:xfrm>
                                  <a:off x="898943" y="6023739"/>
                                  <a:ext cx="9148699" cy="1397134"/>
                                  <a:chOff x="898158" y="5847599"/>
                                  <a:chExt cx="9146349" cy="1350665"/>
                                </a:xfrm>
                              </xdr:grpSpPr>
                              <xdr:sp macro="" textlink="$S$95">
                                <xdr:nvSpPr>
                                  <xdr:cNvPr id="103" name="Rechteck 2">
                                    <a:extLst>
                                      <a:ext uri="{FF2B5EF4-FFF2-40B4-BE49-F238E27FC236}">
                                        <a16:creationId xmlns:a16="http://schemas.microsoft.com/office/drawing/2014/main" id="{A421ADC9-E0F3-3B5A-09BA-EAD72BA14EFC}"/>
                                      </a:ext>
                                    </a:extLst>
                                  </xdr:cNvPr>
                                  <xdr:cNvSpPr/>
                                </xdr:nvSpPr>
                                <xdr:spPr>
                                  <a:xfrm>
                                    <a:off x="4161981" y="5847599"/>
                                    <a:ext cx="2632875" cy="393263"/>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7FDABDD6-9944-4651-9D3B-E242DCA24C7B}" type="TxLink">
                                      <a:rPr lang="en-US" sz="1000" b="0" i="0" u="none" strike="noStrike">
                                        <a:solidFill>
                                          <a:srgbClr val="12355B"/>
                                        </a:solidFill>
                                        <a:latin typeface="+mn-lt"/>
                                        <a:ea typeface="Calibri"/>
                                        <a:cs typeface="Calibri"/>
                                      </a:rPr>
                                      <a:pPr marL="0" indent="0" algn="ctr"/>
                                      <a:t>Investments (considering subsidies): 676.1 kEUR (lumpsum)</a:t>
                                    </a:fld>
                                    <a:endParaRPr lang="de-DE" sz="1000" b="0" i="0" u="none" strike="noStrike">
                                      <a:solidFill>
                                        <a:srgbClr val="12355B"/>
                                      </a:solidFill>
                                      <a:latin typeface="+mn-lt"/>
                                      <a:ea typeface="Calibri"/>
                                      <a:cs typeface="Calibri"/>
                                    </a:endParaRPr>
                                  </a:p>
                                </xdr:txBody>
                              </xdr:sp>
                              <xdr:sp macro="" textlink="$S$96">
                                <xdr:nvSpPr>
                                  <xdr:cNvPr id="104" name="Rechteck 2">
                                    <a:extLst>
                                      <a:ext uri="{FF2B5EF4-FFF2-40B4-BE49-F238E27FC236}">
                                        <a16:creationId xmlns:a16="http://schemas.microsoft.com/office/drawing/2014/main" id="{EBBC6454-6F0D-298E-2E4C-7E2109FC8192}"/>
                                      </a:ext>
                                    </a:extLst>
                                  </xdr:cNvPr>
                                  <xdr:cNvSpPr/>
                                </xdr:nvSpPr>
                                <xdr:spPr>
                                  <a:xfrm>
                                    <a:off x="4161981" y="6315847"/>
                                    <a:ext cx="2619623" cy="393263"/>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4E523FBC-1556-4258-B77E-5BEA6361593F}" type="TxLink">
                                      <a:rPr lang="en-US" sz="1000" b="0" i="0" u="none" strike="noStrike">
                                        <a:solidFill>
                                          <a:srgbClr val="12355B"/>
                                        </a:solidFill>
                                        <a:latin typeface="+mn-lt"/>
                                        <a:ea typeface="Calibri"/>
                                        <a:cs typeface="Calibri"/>
                                      </a:rPr>
                                      <a:pPr marL="0" indent="0" algn="ctr"/>
                                      <a:t>Annual operation independent expenses: 50 kEUR/yr</a:t>
                                    </a:fld>
                                    <a:endParaRPr lang="de-DE" sz="1000" b="0" i="0" u="none" strike="noStrike">
                                      <a:solidFill>
                                        <a:srgbClr val="12355B"/>
                                      </a:solidFill>
                                      <a:latin typeface="+mn-lt"/>
                                      <a:ea typeface="Calibri"/>
                                      <a:cs typeface="Calibri"/>
                                    </a:endParaRPr>
                                  </a:p>
                                </xdr:txBody>
                              </xdr:sp>
                              <xdr:sp macro="" textlink="$S$97">
                                <xdr:nvSpPr>
                                  <xdr:cNvPr id="105" name="Rechteck 2">
                                    <a:extLst>
                                      <a:ext uri="{FF2B5EF4-FFF2-40B4-BE49-F238E27FC236}">
                                        <a16:creationId xmlns:a16="http://schemas.microsoft.com/office/drawing/2014/main" id="{7EFB573A-CDCE-A1B3-0A44-6C438CBA8797}"/>
                                      </a:ext>
                                    </a:extLst>
                                  </xdr:cNvPr>
                                  <xdr:cNvSpPr/>
                                </xdr:nvSpPr>
                                <xdr:spPr>
                                  <a:xfrm>
                                    <a:off x="4161981" y="6790515"/>
                                    <a:ext cx="2626249" cy="393263"/>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801AE54D-DCE7-4455-A269-D1B02498EDDE}" type="TxLink">
                                      <a:rPr lang="en-US" sz="1000" b="0" i="0" u="none" strike="noStrike">
                                        <a:solidFill>
                                          <a:srgbClr val="12355B"/>
                                        </a:solidFill>
                                        <a:latin typeface="+mn-lt"/>
                                        <a:ea typeface="Calibri"/>
                                        <a:cs typeface="Calibri"/>
                                      </a:rPr>
                                      <a:pPr marL="0" indent="0" algn="ctr"/>
                                      <a:t>Annual variable costs: 32.8 kEUR/yr</a:t>
                                    </a:fld>
                                    <a:endParaRPr lang="de-DE" sz="1000" b="0" i="0" u="none" strike="noStrike">
                                      <a:solidFill>
                                        <a:srgbClr val="12355B"/>
                                      </a:solidFill>
                                      <a:latin typeface="+mn-lt"/>
                                      <a:ea typeface="Calibri"/>
                                      <a:cs typeface="Calibri"/>
                                    </a:endParaRPr>
                                  </a:p>
                                </xdr:txBody>
                              </xdr:sp>
                              <xdr:sp macro="" textlink="$S$99">
                                <xdr:nvSpPr>
                                  <xdr:cNvPr id="106" name="Rechteck 2">
                                    <a:extLst>
                                      <a:ext uri="{FF2B5EF4-FFF2-40B4-BE49-F238E27FC236}">
                                        <a16:creationId xmlns:a16="http://schemas.microsoft.com/office/drawing/2014/main" id="{109368D1-2731-2814-54AC-164D5CC00EDB}"/>
                                      </a:ext>
                                    </a:extLst>
                                  </xdr:cNvPr>
                                  <xdr:cNvSpPr/>
                                </xdr:nvSpPr>
                                <xdr:spPr>
                                  <a:xfrm>
                                    <a:off x="7400978" y="5847599"/>
                                    <a:ext cx="2641013" cy="393263"/>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BD274FAB-11A8-43E5-974E-5E9514668421}" type="TxLink">
                                      <a:rPr lang="en-US" sz="1000" b="0" i="0" u="none" strike="noStrike">
                                        <a:solidFill>
                                          <a:srgbClr val="12355B"/>
                                        </a:solidFill>
                                        <a:latin typeface="+mn-lt"/>
                                        <a:ea typeface="Calibri"/>
                                        <a:cs typeface="Calibri"/>
                                      </a:rPr>
                                      <a:pPr marL="0" indent="0" algn="ctr"/>
                                      <a:t>Investments (considering subsidies): 0 kEUR (lumpsum)</a:t>
                                    </a:fld>
                                    <a:endParaRPr lang="de-DE" sz="1000" b="0" i="0" u="none" strike="noStrike">
                                      <a:solidFill>
                                        <a:srgbClr val="12355B"/>
                                      </a:solidFill>
                                      <a:latin typeface="+mn-lt"/>
                                      <a:ea typeface="Calibri"/>
                                      <a:cs typeface="Calibri"/>
                                    </a:endParaRPr>
                                  </a:p>
                                </xdr:txBody>
                              </xdr:sp>
                              <xdr:sp macro="" textlink="$S$100">
                                <xdr:nvSpPr>
                                  <xdr:cNvPr id="107" name="Rechteck 2">
                                    <a:extLst>
                                      <a:ext uri="{FF2B5EF4-FFF2-40B4-BE49-F238E27FC236}">
                                        <a16:creationId xmlns:a16="http://schemas.microsoft.com/office/drawing/2014/main" id="{EB497E95-CC23-4DF5-FED9-D0D65F1323F1}"/>
                                      </a:ext>
                                    </a:extLst>
                                  </xdr:cNvPr>
                                  <xdr:cNvSpPr/>
                                </xdr:nvSpPr>
                                <xdr:spPr>
                                  <a:xfrm>
                                    <a:off x="7401552" y="6315855"/>
                                    <a:ext cx="2642955" cy="393263"/>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FD1C8411-8A91-4842-ACAD-5C0E69130060}" type="TxLink">
                                      <a:rPr lang="en-US" sz="1000" b="0" i="0" u="none" strike="noStrike">
                                        <a:solidFill>
                                          <a:srgbClr val="12355B"/>
                                        </a:solidFill>
                                        <a:latin typeface="+mn-lt"/>
                                        <a:ea typeface="Calibri"/>
                                        <a:cs typeface="Calibri"/>
                                      </a:rPr>
                                      <a:pPr marL="0" indent="0" algn="ctr"/>
                                      <a:t>Annual operation independent expenses: 0 kEUR/yr</a:t>
                                    </a:fld>
                                    <a:endParaRPr lang="de-DE" sz="1000" b="0" i="0" u="none" strike="noStrike">
                                      <a:solidFill>
                                        <a:srgbClr val="12355B"/>
                                      </a:solidFill>
                                      <a:latin typeface="+mn-lt"/>
                                      <a:ea typeface="Calibri"/>
                                      <a:cs typeface="Calibri"/>
                                    </a:endParaRPr>
                                  </a:p>
                                </xdr:txBody>
                              </xdr:sp>
                              <xdr:sp macro="" textlink="$S$101">
                                <xdr:nvSpPr>
                                  <xdr:cNvPr id="108" name="Rechteck 2">
                                    <a:extLst>
                                      <a:ext uri="{FF2B5EF4-FFF2-40B4-BE49-F238E27FC236}">
                                        <a16:creationId xmlns:a16="http://schemas.microsoft.com/office/drawing/2014/main" id="{BA380D5E-23FB-A9C6-387E-7AA4B8604713}"/>
                                      </a:ext>
                                    </a:extLst>
                                  </xdr:cNvPr>
                                  <xdr:cNvSpPr/>
                                </xdr:nvSpPr>
                                <xdr:spPr>
                                  <a:xfrm>
                                    <a:off x="7405268" y="6792538"/>
                                    <a:ext cx="2623999" cy="393263"/>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91F77943-B0EB-4F60-A449-F3C34FD3045F}" type="TxLink">
                                      <a:rPr lang="en-US" sz="1000" b="0" i="0" u="none" strike="noStrike">
                                        <a:solidFill>
                                          <a:srgbClr val="12355B"/>
                                        </a:solidFill>
                                        <a:latin typeface="+mn-lt"/>
                                        <a:ea typeface="Calibri"/>
                                        <a:cs typeface="Calibri"/>
                                      </a:rPr>
                                      <a:pPr marL="0" indent="0" algn="ctr"/>
                                      <a:t>Annual variable costs: 0 kEUR/yr</a:t>
                                    </a:fld>
                                    <a:endParaRPr lang="de-DE" sz="1000" b="0" i="0" u="none" strike="noStrike">
                                      <a:solidFill>
                                        <a:srgbClr val="12355B"/>
                                      </a:solidFill>
                                      <a:latin typeface="+mn-lt"/>
                                      <a:ea typeface="Calibri"/>
                                      <a:cs typeface="Calibri"/>
                                    </a:endParaRPr>
                                  </a:p>
                                </xdr:txBody>
                              </xdr:sp>
                              <xdr:sp macro="" textlink="$S$103">
                                <xdr:nvSpPr>
                                  <xdr:cNvPr id="109" name="Rechteck 2">
                                    <a:extLst>
                                      <a:ext uri="{FF2B5EF4-FFF2-40B4-BE49-F238E27FC236}">
                                        <a16:creationId xmlns:a16="http://schemas.microsoft.com/office/drawing/2014/main" id="{A58051E8-F5CB-2C75-703C-F36E4DE7EE5A}"/>
                                      </a:ext>
                                    </a:extLst>
                                  </xdr:cNvPr>
                                  <xdr:cNvSpPr/>
                                </xdr:nvSpPr>
                                <xdr:spPr>
                                  <a:xfrm>
                                    <a:off x="898158" y="5847599"/>
                                    <a:ext cx="2665635" cy="393262"/>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30335C82-3AB8-47BB-980C-17D2966AA33A}" type="TxLink">
                                      <a:rPr lang="en-US" sz="1000" b="0" i="0" u="none" strike="noStrike">
                                        <a:solidFill>
                                          <a:srgbClr val="12355B"/>
                                        </a:solidFill>
                                        <a:latin typeface="+mn-lt"/>
                                        <a:ea typeface="Calibri"/>
                                        <a:cs typeface="Calibri"/>
                                      </a:rPr>
                                      <a:pPr marL="0" indent="0" algn="ctr"/>
                                      <a:t>Investments (considering subsidies): 676.1 kEUR (lumpsum)</a:t>
                                    </a:fld>
                                    <a:endParaRPr lang="de-DE" sz="1000" b="0" i="0" u="none" strike="noStrike">
                                      <a:solidFill>
                                        <a:srgbClr val="12355B"/>
                                      </a:solidFill>
                                      <a:latin typeface="+mn-lt"/>
                                      <a:ea typeface="Calibri"/>
                                      <a:cs typeface="Calibri"/>
                                    </a:endParaRPr>
                                  </a:p>
                                </xdr:txBody>
                              </xdr:sp>
                              <xdr:sp macro="" textlink="$S$104">
                                <xdr:nvSpPr>
                                  <xdr:cNvPr id="110" name="Rechteck 2">
                                    <a:extLst>
                                      <a:ext uri="{FF2B5EF4-FFF2-40B4-BE49-F238E27FC236}">
                                        <a16:creationId xmlns:a16="http://schemas.microsoft.com/office/drawing/2014/main" id="{E3FB7D6C-12E7-8206-E196-77AA9038618F}"/>
                                      </a:ext>
                                    </a:extLst>
                                  </xdr:cNvPr>
                                  <xdr:cNvSpPr/>
                                </xdr:nvSpPr>
                                <xdr:spPr>
                                  <a:xfrm>
                                    <a:off x="898158" y="6315850"/>
                                    <a:ext cx="2665635" cy="393262"/>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694509CC-1F43-446B-A4FE-940679D4CF6A}" type="TxLink">
                                      <a:rPr lang="en-US" sz="1000" b="0" i="0" u="none" strike="noStrike">
                                        <a:solidFill>
                                          <a:srgbClr val="12355B"/>
                                        </a:solidFill>
                                        <a:latin typeface="+mn-lt"/>
                                        <a:ea typeface="Calibri"/>
                                        <a:cs typeface="Calibri"/>
                                      </a:rPr>
                                      <a:pPr marL="0" indent="0" algn="ctr"/>
                                      <a:t>Annual operation independent expenses: 50 kEUR/yr</a:t>
                                    </a:fld>
                                    <a:endParaRPr lang="de-DE" sz="1000" b="0" i="0" u="none" strike="noStrike">
                                      <a:solidFill>
                                        <a:srgbClr val="12355B"/>
                                      </a:solidFill>
                                      <a:latin typeface="+mn-lt"/>
                                      <a:ea typeface="Calibri"/>
                                      <a:cs typeface="Calibri"/>
                                    </a:endParaRPr>
                                  </a:p>
                                </xdr:txBody>
                              </xdr:sp>
                              <xdr:sp macro="" textlink="$S$105">
                                <xdr:nvSpPr>
                                  <xdr:cNvPr id="111" name="Rechteck 2">
                                    <a:extLst>
                                      <a:ext uri="{FF2B5EF4-FFF2-40B4-BE49-F238E27FC236}">
                                        <a16:creationId xmlns:a16="http://schemas.microsoft.com/office/drawing/2014/main" id="{97A015B5-5EC4-235C-7F9F-D9CFE4F29426}"/>
                                      </a:ext>
                                    </a:extLst>
                                  </xdr:cNvPr>
                                  <xdr:cNvSpPr/>
                                </xdr:nvSpPr>
                                <xdr:spPr>
                                  <a:xfrm>
                                    <a:off x="898158" y="6805002"/>
                                    <a:ext cx="2665635" cy="393262"/>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13B24109-CF5C-4CA5-A391-B73A60922D36}" type="TxLink">
                                      <a:rPr lang="en-US" sz="1000" b="0" i="0" u="none" strike="noStrike">
                                        <a:solidFill>
                                          <a:srgbClr val="12355B"/>
                                        </a:solidFill>
                                        <a:latin typeface="+mn-lt"/>
                                        <a:ea typeface="Calibri"/>
                                        <a:cs typeface="Calibri"/>
                                      </a:rPr>
                                      <a:pPr marL="0" indent="0" algn="ctr"/>
                                      <a:t>Annual variable costs: 32.8 kEUR/yr</a:t>
                                    </a:fld>
                                    <a:endParaRPr lang="de-DE" sz="1000" b="0" i="0" u="none" strike="noStrike">
                                      <a:solidFill>
                                        <a:srgbClr val="12355B"/>
                                      </a:solidFill>
                                      <a:latin typeface="+mn-lt"/>
                                      <a:ea typeface="Calibri"/>
                                      <a:cs typeface="Calibri"/>
                                    </a:endParaRPr>
                                  </a:p>
                                </xdr:txBody>
                              </xdr:sp>
                              <xdr:cxnSp macro="">
                                <xdr:nvCxnSpPr>
                                  <xdr:cNvPr id="112" name="Gerade Verbindung mit Pfeil 111">
                                    <a:extLst>
                                      <a:ext uri="{FF2B5EF4-FFF2-40B4-BE49-F238E27FC236}">
                                        <a16:creationId xmlns:a16="http://schemas.microsoft.com/office/drawing/2014/main" id="{6D9AB3BB-C51E-26DD-3348-4BC452AD7159}"/>
                                      </a:ext>
                                    </a:extLst>
                                  </xdr:cNvPr>
                                  <xdr:cNvCxnSpPr>
                                    <a:stCxn id="103" idx="1"/>
                                    <a:endCxn id="109" idx="3"/>
                                  </xdr:cNvCxnSpPr>
                                </xdr:nvCxnSpPr>
                                <xdr:spPr>
                                  <a:xfrm flipH="1">
                                    <a:off x="3563793" y="6044231"/>
                                    <a:ext cx="598188" cy="0"/>
                                  </a:xfrm>
                                  <a:prstGeom prst="straightConnector1">
                                    <a:avLst/>
                                  </a:prstGeom>
                                  <a:ln>
                                    <a:tailEnd type="triangle"/>
                                  </a:ln>
                                </xdr:spPr>
                                <xdr:style>
                                  <a:lnRef idx="1">
                                    <a:schemeClr val="accent6"/>
                                  </a:lnRef>
                                  <a:fillRef idx="0">
                                    <a:schemeClr val="accent6"/>
                                  </a:fillRef>
                                  <a:effectRef idx="0">
                                    <a:schemeClr val="accent6"/>
                                  </a:effectRef>
                                  <a:fontRef idx="minor">
                                    <a:schemeClr val="tx1"/>
                                  </a:fontRef>
                                </xdr:style>
                              </xdr:cxnSp>
                              <xdr:cxnSp macro="">
                                <xdr:nvCxnSpPr>
                                  <xdr:cNvPr id="113" name="Gerade Verbindung mit Pfeil 112">
                                    <a:extLst>
                                      <a:ext uri="{FF2B5EF4-FFF2-40B4-BE49-F238E27FC236}">
                                        <a16:creationId xmlns:a16="http://schemas.microsoft.com/office/drawing/2014/main" id="{26EA54CC-1CC4-92BB-3C1E-315C1FA62CB0}"/>
                                      </a:ext>
                                    </a:extLst>
                                  </xdr:cNvPr>
                                  <xdr:cNvCxnSpPr/>
                                </xdr:nvCxnSpPr>
                                <xdr:spPr>
                                  <a:xfrm flipH="1">
                                    <a:off x="3576501" y="6512478"/>
                                    <a:ext cx="576354" cy="3"/>
                                  </a:xfrm>
                                  <a:prstGeom prst="straightConnector1">
                                    <a:avLst/>
                                  </a:prstGeom>
                                  <a:ln>
                                    <a:tailEnd type="triangle"/>
                                  </a:ln>
                                </xdr:spPr>
                                <xdr:style>
                                  <a:lnRef idx="1">
                                    <a:schemeClr val="accent6"/>
                                  </a:lnRef>
                                  <a:fillRef idx="0">
                                    <a:schemeClr val="accent6"/>
                                  </a:fillRef>
                                  <a:effectRef idx="0">
                                    <a:schemeClr val="accent6"/>
                                  </a:effectRef>
                                  <a:fontRef idx="minor">
                                    <a:schemeClr val="tx1"/>
                                  </a:fontRef>
                                </xdr:style>
                              </xdr:cxnSp>
                              <xdr:cxnSp macro="">
                                <xdr:nvCxnSpPr>
                                  <xdr:cNvPr id="114" name="Gerade Verbindung mit Pfeil 113">
                                    <a:extLst>
                                      <a:ext uri="{FF2B5EF4-FFF2-40B4-BE49-F238E27FC236}">
                                        <a16:creationId xmlns:a16="http://schemas.microsoft.com/office/drawing/2014/main" id="{2E16B5F3-5EF9-81FF-14EC-B095123AC78B}"/>
                                      </a:ext>
                                    </a:extLst>
                                  </xdr:cNvPr>
                                  <xdr:cNvCxnSpPr/>
                                </xdr:nvCxnSpPr>
                                <xdr:spPr>
                                  <a:xfrm flipH="1">
                                    <a:off x="3583127" y="6974301"/>
                                    <a:ext cx="576354" cy="0"/>
                                  </a:xfrm>
                                  <a:prstGeom prst="straightConnector1">
                                    <a:avLst/>
                                  </a:prstGeom>
                                  <a:ln>
                                    <a:tailEnd type="triangle"/>
                                  </a:ln>
                                </xdr:spPr>
                                <xdr:style>
                                  <a:lnRef idx="1">
                                    <a:schemeClr val="accent6"/>
                                  </a:lnRef>
                                  <a:fillRef idx="0">
                                    <a:schemeClr val="accent6"/>
                                  </a:fillRef>
                                  <a:effectRef idx="0">
                                    <a:schemeClr val="accent6"/>
                                  </a:effectRef>
                                  <a:fontRef idx="minor">
                                    <a:schemeClr val="tx1"/>
                                  </a:fontRef>
                                </xdr:style>
                              </xdr:cxnSp>
                              <xdr:cxnSp macro="">
                                <xdr:nvCxnSpPr>
                                  <xdr:cNvPr id="115" name="Gerade Verbindung mit Pfeil 114">
                                    <a:extLst>
                                      <a:ext uri="{FF2B5EF4-FFF2-40B4-BE49-F238E27FC236}">
                                        <a16:creationId xmlns:a16="http://schemas.microsoft.com/office/drawing/2014/main" id="{F10BE96C-9D8D-A385-D2EB-F5735D67723D}"/>
                                      </a:ext>
                                    </a:extLst>
                                  </xdr:cNvPr>
                                  <xdr:cNvCxnSpPr>
                                    <a:stCxn id="103" idx="3"/>
                                    <a:endCxn id="106" idx="1"/>
                                  </xdr:cNvCxnSpPr>
                                </xdr:nvCxnSpPr>
                                <xdr:spPr>
                                  <a:xfrm>
                                    <a:off x="6794855" y="6044231"/>
                                    <a:ext cx="606123" cy="0"/>
                                  </a:xfrm>
                                  <a:prstGeom prst="straightConnector1">
                                    <a:avLst/>
                                  </a:prstGeom>
                                  <a:ln>
                                    <a:tailEnd type="triangle"/>
                                  </a:ln>
                                </xdr:spPr>
                                <xdr:style>
                                  <a:lnRef idx="1">
                                    <a:schemeClr val="accent6"/>
                                  </a:lnRef>
                                  <a:fillRef idx="0">
                                    <a:schemeClr val="accent6"/>
                                  </a:fillRef>
                                  <a:effectRef idx="0">
                                    <a:schemeClr val="accent6"/>
                                  </a:effectRef>
                                  <a:fontRef idx="minor">
                                    <a:schemeClr val="tx1"/>
                                  </a:fontRef>
                                </xdr:style>
                              </xdr:cxnSp>
                              <xdr:cxnSp macro="">
                                <xdr:nvCxnSpPr>
                                  <xdr:cNvPr id="116" name="Gerade Verbindung mit Pfeil 115">
                                    <a:extLst>
                                      <a:ext uri="{FF2B5EF4-FFF2-40B4-BE49-F238E27FC236}">
                                        <a16:creationId xmlns:a16="http://schemas.microsoft.com/office/drawing/2014/main" id="{FD2EF86E-86A0-B831-E59F-F06985866E5F}"/>
                                      </a:ext>
                                    </a:extLst>
                                  </xdr:cNvPr>
                                  <xdr:cNvCxnSpPr>
                                    <a:stCxn id="104" idx="3"/>
                                    <a:endCxn id="107" idx="1"/>
                                  </xdr:cNvCxnSpPr>
                                </xdr:nvCxnSpPr>
                                <xdr:spPr>
                                  <a:xfrm>
                                    <a:off x="6781604" y="6512478"/>
                                    <a:ext cx="619948" cy="8"/>
                                  </a:xfrm>
                                  <a:prstGeom prst="straightConnector1">
                                    <a:avLst/>
                                  </a:prstGeom>
                                  <a:ln>
                                    <a:tailEnd type="triangle"/>
                                  </a:ln>
                                </xdr:spPr>
                                <xdr:style>
                                  <a:lnRef idx="1">
                                    <a:schemeClr val="accent6"/>
                                  </a:lnRef>
                                  <a:fillRef idx="0">
                                    <a:schemeClr val="accent6"/>
                                  </a:fillRef>
                                  <a:effectRef idx="0">
                                    <a:schemeClr val="accent6"/>
                                  </a:effectRef>
                                  <a:fontRef idx="minor">
                                    <a:schemeClr val="tx1"/>
                                  </a:fontRef>
                                </xdr:style>
                              </xdr:cxnSp>
                              <xdr:cxnSp macro="">
                                <xdr:nvCxnSpPr>
                                  <xdr:cNvPr id="117" name="Gerade Verbindung mit Pfeil 116">
                                    <a:extLst>
                                      <a:ext uri="{FF2B5EF4-FFF2-40B4-BE49-F238E27FC236}">
                                        <a16:creationId xmlns:a16="http://schemas.microsoft.com/office/drawing/2014/main" id="{DEE46E6C-17F9-7DA1-AA2B-2E5820702151}"/>
                                      </a:ext>
                                    </a:extLst>
                                  </xdr:cNvPr>
                                  <xdr:cNvCxnSpPr/>
                                </xdr:nvCxnSpPr>
                                <xdr:spPr>
                                  <a:xfrm>
                                    <a:off x="6788229" y="6961455"/>
                                    <a:ext cx="617039" cy="0"/>
                                  </a:xfrm>
                                  <a:prstGeom prst="straightConnector1">
                                    <a:avLst/>
                                  </a:prstGeom>
                                  <a:ln>
                                    <a:tailEnd type="triangle"/>
                                  </a:ln>
                                </xdr:spPr>
                                <xdr:style>
                                  <a:lnRef idx="1">
                                    <a:schemeClr val="accent6"/>
                                  </a:lnRef>
                                  <a:fillRef idx="0">
                                    <a:schemeClr val="accent6"/>
                                  </a:fillRef>
                                  <a:effectRef idx="0">
                                    <a:schemeClr val="accent6"/>
                                  </a:effectRef>
                                  <a:fontRef idx="minor">
                                    <a:schemeClr val="tx1"/>
                                  </a:fontRef>
                                </xdr:style>
                              </xdr:cxnSp>
                            </xdr:grpSp>
                            <xdr:sp macro="" textlink="$U$103">
                              <xdr:nvSpPr>
                                <xdr:cNvPr id="97" name="Rechteck 2">
                                  <a:extLst>
                                    <a:ext uri="{FF2B5EF4-FFF2-40B4-BE49-F238E27FC236}">
                                      <a16:creationId xmlns:a16="http://schemas.microsoft.com/office/drawing/2014/main" id="{3ED8CB26-D7CD-F70E-D5CD-7384CE314CF3}"/>
                                    </a:ext>
                                  </a:extLst>
                                </xdr:cNvPr>
                                <xdr:cNvSpPr/>
                              </xdr:nvSpPr>
                              <xdr:spPr>
                                <a:xfrm>
                                  <a:off x="3701580" y="6320502"/>
                                  <a:ext cx="392245" cy="192065"/>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a:fld id="{5464DBA9-862F-4BCD-98B4-8F3406619BA9}" type="TxLink">
                                    <a:rPr lang="en-US" sz="900" b="0" i="0" u="none" strike="noStrike">
                                      <a:solidFill>
                                        <a:srgbClr val="000000"/>
                                      </a:solidFill>
                                      <a:latin typeface="+mn-lt"/>
                                      <a:ea typeface="Calibri"/>
                                      <a:cs typeface="Calibri"/>
                                    </a:rPr>
                                    <a:pPr marL="0" indent="0" algn="ctr"/>
                                    <a:t>100 %</a:t>
                                  </a:fld>
                                  <a:endParaRPr lang="de-DE" sz="900" b="0" i="0" u="none" strike="noStrike">
                                    <a:solidFill>
                                      <a:srgbClr val="12355B"/>
                                    </a:solidFill>
                                    <a:latin typeface="+mn-lt"/>
                                    <a:ea typeface="Calibri"/>
                                    <a:cs typeface="Calibri"/>
                                  </a:endParaRPr>
                                </a:p>
                              </xdr:txBody>
                            </xdr:sp>
                            <xdr:sp macro="" textlink="$U$104">
                              <xdr:nvSpPr>
                                <xdr:cNvPr id="98" name="Rechteck 2">
                                  <a:extLst>
                                    <a:ext uri="{FF2B5EF4-FFF2-40B4-BE49-F238E27FC236}">
                                      <a16:creationId xmlns:a16="http://schemas.microsoft.com/office/drawing/2014/main" id="{D2C4CBE5-3CDF-07AB-6F3A-08170856CBB5}"/>
                                    </a:ext>
                                  </a:extLst>
                                </xdr:cNvPr>
                                <xdr:cNvSpPr/>
                              </xdr:nvSpPr>
                              <xdr:spPr>
                                <a:xfrm>
                                  <a:off x="3681402" y="6795079"/>
                                  <a:ext cx="412424" cy="199181"/>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a:fld id="{EC705747-B610-43F8-99BD-59EAF02CF6FE}" type="TxLink">
                                    <a:rPr lang="en-US" sz="900" b="0" i="0" u="none" strike="noStrike">
                                      <a:solidFill>
                                        <a:srgbClr val="000000"/>
                                      </a:solidFill>
                                      <a:latin typeface="+mn-lt"/>
                                      <a:ea typeface="Calibri"/>
                                      <a:cs typeface="Calibri"/>
                                    </a:rPr>
                                    <a:pPr marL="0" indent="0" algn="ctr"/>
                                    <a:t>100 %</a:t>
                                  </a:fld>
                                  <a:endParaRPr lang="de-DE" sz="900" b="0" i="0" u="none" strike="noStrike">
                                    <a:solidFill>
                                      <a:srgbClr val="000000"/>
                                    </a:solidFill>
                                    <a:latin typeface="+mn-lt"/>
                                    <a:ea typeface="Calibri"/>
                                    <a:cs typeface="Calibri"/>
                                  </a:endParaRPr>
                                </a:p>
                              </xdr:txBody>
                            </xdr:sp>
                            <xdr:sp macro="" textlink="$U$105">
                              <xdr:nvSpPr>
                                <xdr:cNvPr id="99" name="Rechteck 2">
                                  <a:extLst>
                                    <a:ext uri="{FF2B5EF4-FFF2-40B4-BE49-F238E27FC236}">
                                      <a16:creationId xmlns:a16="http://schemas.microsoft.com/office/drawing/2014/main" id="{6E237A71-7F80-4FA9-961F-D8013237CECA}"/>
                                    </a:ext>
                                  </a:extLst>
                                </xdr:cNvPr>
                                <xdr:cNvSpPr/>
                              </xdr:nvSpPr>
                              <xdr:spPr>
                                <a:xfrm>
                                  <a:off x="3675958" y="7276772"/>
                                  <a:ext cx="417868" cy="207889"/>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a:fld id="{9839807E-B51B-4C76-AF72-0963F0E1AF05}" type="TxLink">
                                    <a:rPr lang="en-US" sz="900" b="0" i="0" u="none" strike="noStrike">
                                      <a:solidFill>
                                        <a:srgbClr val="000000"/>
                                      </a:solidFill>
                                      <a:latin typeface="+mn-lt"/>
                                      <a:ea typeface="Calibri"/>
                                      <a:cs typeface="Calibri"/>
                                    </a:rPr>
                                    <a:pPr marL="0" indent="0" algn="ctr"/>
                                    <a:t>100 %</a:t>
                                  </a:fld>
                                  <a:endParaRPr lang="de-DE" sz="900" b="0" i="0" u="none" strike="noStrike">
                                    <a:solidFill>
                                      <a:srgbClr val="000000"/>
                                    </a:solidFill>
                                    <a:latin typeface="+mn-lt"/>
                                    <a:ea typeface="Calibri"/>
                                    <a:cs typeface="Calibri"/>
                                  </a:endParaRPr>
                                </a:p>
                              </xdr:txBody>
                            </xdr:sp>
                            <xdr:sp macro="" textlink="$U$99">
                              <xdr:nvSpPr>
                                <xdr:cNvPr id="100" name="Rechteck 2">
                                  <a:extLst>
                                    <a:ext uri="{FF2B5EF4-FFF2-40B4-BE49-F238E27FC236}">
                                      <a16:creationId xmlns:a16="http://schemas.microsoft.com/office/drawing/2014/main" id="{A49E8517-A108-9E32-1140-3713F7002502}"/>
                                    </a:ext>
                                  </a:extLst>
                                </xdr:cNvPr>
                                <xdr:cNvSpPr/>
                              </xdr:nvSpPr>
                              <xdr:spPr>
                                <a:xfrm>
                                  <a:off x="6859749" y="6320502"/>
                                  <a:ext cx="392245" cy="192065"/>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a:fld id="{19CDBF07-679F-4C4C-BC7F-19B1F0232F33}" type="TxLink">
                                    <a:rPr lang="en-US" sz="900" b="0" i="0" u="none" strike="noStrike">
                                      <a:solidFill>
                                        <a:srgbClr val="000000"/>
                                      </a:solidFill>
                                      <a:latin typeface="+mn-lt"/>
                                      <a:ea typeface="Calibri"/>
                                      <a:cs typeface="Calibri"/>
                                    </a:rPr>
                                    <a:pPr marL="0" indent="0" algn="ctr"/>
                                    <a:t>0 %</a:t>
                                  </a:fld>
                                  <a:endParaRPr lang="de-DE" sz="900" b="0" i="0" u="none" strike="noStrike">
                                    <a:solidFill>
                                      <a:srgbClr val="000000"/>
                                    </a:solidFill>
                                    <a:latin typeface="+mn-lt"/>
                                    <a:ea typeface="Calibri"/>
                                    <a:cs typeface="Calibri"/>
                                  </a:endParaRPr>
                                </a:p>
                              </xdr:txBody>
                            </xdr:sp>
                            <xdr:sp macro="" textlink="$U$100">
                              <xdr:nvSpPr>
                                <xdr:cNvPr id="101" name="Rechteck 2">
                                  <a:extLst>
                                    <a:ext uri="{FF2B5EF4-FFF2-40B4-BE49-F238E27FC236}">
                                      <a16:creationId xmlns:a16="http://schemas.microsoft.com/office/drawing/2014/main" id="{C2A2D1E6-DF12-61D1-17DC-4D52279DE71E}"/>
                                    </a:ext>
                                  </a:extLst>
                                </xdr:cNvPr>
                                <xdr:cNvSpPr/>
                              </xdr:nvSpPr>
                              <xdr:spPr>
                                <a:xfrm>
                                  <a:off x="6841580" y="6798511"/>
                                  <a:ext cx="412424" cy="199181"/>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a:fld id="{8F0879DC-BF25-4C23-9B92-115D934161C4}" type="TxLink">
                                    <a:rPr lang="en-US" sz="900" b="0" i="0" u="none" strike="noStrike">
                                      <a:solidFill>
                                        <a:srgbClr val="000000"/>
                                      </a:solidFill>
                                      <a:latin typeface="+mn-lt"/>
                                      <a:ea typeface="Calibri"/>
                                      <a:cs typeface="Calibri"/>
                                    </a:rPr>
                                    <a:pPr marL="0" indent="0" algn="ctr"/>
                                    <a:t>0 %</a:t>
                                  </a:fld>
                                  <a:endParaRPr lang="de-DE" sz="900" b="0" i="0" u="none" strike="noStrike">
                                    <a:solidFill>
                                      <a:srgbClr val="000000"/>
                                    </a:solidFill>
                                    <a:latin typeface="+mn-lt"/>
                                    <a:ea typeface="Calibri"/>
                                    <a:cs typeface="Calibri"/>
                                  </a:endParaRPr>
                                </a:p>
                              </xdr:txBody>
                            </xdr:sp>
                            <xdr:sp macro="" textlink="$U$101">
                              <xdr:nvSpPr>
                                <xdr:cNvPr id="102" name="Rechteck 2">
                                  <a:extLst>
                                    <a:ext uri="{FF2B5EF4-FFF2-40B4-BE49-F238E27FC236}">
                                      <a16:creationId xmlns:a16="http://schemas.microsoft.com/office/drawing/2014/main" id="{C841CF53-5447-8E2D-7E44-7C098EF9C737}"/>
                                    </a:ext>
                                  </a:extLst>
                                </xdr:cNvPr>
                                <xdr:cNvSpPr/>
                              </xdr:nvSpPr>
                              <xdr:spPr>
                                <a:xfrm>
                                  <a:off x="6840491" y="7276773"/>
                                  <a:ext cx="417868" cy="207889"/>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a:fld id="{E0AD6E6A-F263-4566-AD01-2E231B79C2A3}" type="TxLink">
                                    <a:rPr lang="en-US" sz="900" b="0" i="0" u="none" strike="noStrike">
                                      <a:solidFill>
                                        <a:srgbClr val="000000"/>
                                      </a:solidFill>
                                      <a:latin typeface="+mn-lt"/>
                                      <a:ea typeface="Calibri"/>
                                      <a:cs typeface="Calibri"/>
                                    </a:rPr>
                                    <a:pPr marL="0" indent="0" algn="ctr"/>
                                    <a:t>0 %</a:t>
                                  </a:fld>
                                  <a:endParaRPr lang="de-DE" sz="900" b="0" i="0" u="none" strike="noStrike">
                                    <a:solidFill>
                                      <a:srgbClr val="000000"/>
                                    </a:solidFill>
                                    <a:latin typeface="+mn-lt"/>
                                    <a:ea typeface="Calibri"/>
                                    <a:cs typeface="Calibri"/>
                                  </a:endParaRPr>
                                </a:p>
                              </xdr:txBody>
                            </xdr:sp>
                          </xdr:grpSp>
                        </xdr:grpSp>
                        <xdr:sp macro="" textlink="$S$90">
                          <xdr:nvSpPr>
                            <xdr:cNvPr id="91" name="Rechteck 2">
                              <a:extLst>
                                <a:ext uri="{FF2B5EF4-FFF2-40B4-BE49-F238E27FC236}">
                                  <a16:creationId xmlns:a16="http://schemas.microsoft.com/office/drawing/2014/main" id="{FBA8CA35-5895-AEBA-D6A6-13F01F652C4F}"/>
                                </a:ext>
                              </a:extLst>
                            </xdr:cNvPr>
                            <xdr:cNvSpPr/>
                          </xdr:nvSpPr>
                          <xdr:spPr>
                            <a:xfrm>
                              <a:off x="764392" y="8134843"/>
                              <a:ext cx="2884500" cy="505319"/>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noAutofit/>
                            </a:bodyPr>
                            <a:lstStyle/>
                            <a:p>
                              <a:pPr marL="0" indent="0" algn="ctr"/>
                              <a:fld id="{07F9B547-6A9D-4D04-BA06-19FB7B0599B7}" type="TxLink">
                                <a:rPr lang="en-US" sz="1000" b="1" i="0" u="none" strike="noStrike">
                                  <a:solidFill>
                                    <a:srgbClr val="12355B"/>
                                  </a:solidFill>
                                  <a:latin typeface="+mn-lt"/>
                                  <a:ea typeface="Calibri"/>
                                  <a:cs typeface="Calibri"/>
                                </a:rPr>
                                <a:pPr marL="0" indent="0" algn="ctr"/>
                                <a:t>Contractor 2's gross earnings per year due to heat sold to contractor 1: 34.8 kEUR/yr</a:t>
                              </a:fld>
                              <a:endParaRPr lang="de-DE" sz="1000" b="1" i="0" u="none" strike="noStrike">
                                <a:solidFill>
                                  <a:srgbClr val="12355B"/>
                                </a:solidFill>
                                <a:latin typeface="+mn-lt"/>
                                <a:ea typeface="Calibri"/>
                                <a:cs typeface="Calibri"/>
                              </a:endParaRPr>
                            </a:p>
                          </xdr:txBody>
                        </xdr:sp>
                        <xdr:sp macro="" textlink="$S$112">
                          <xdr:nvSpPr>
                            <xdr:cNvPr id="92" name="Rechteck 2">
                              <a:extLst>
                                <a:ext uri="{FF2B5EF4-FFF2-40B4-BE49-F238E27FC236}">
                                  <a16:creationId xmlns:a16="http://schemas.microsoft.com/office/drawing/2014/main" id="{11214BA7-34FE-1CAA-CE69-82A74FC619B5}"/>
                                </a:ext>
                              </a:extLst>
                            </xdr:cNvPr>
                            <xdr:cNvSpPr/>
                          </xdr:nvSpPr>
                          <xdr:spPr>
                            <a:xfrm>
                              <a:off x="769212" y="8765262"/>
                              <a:ext cx="2884500" cy="505319"/>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6A5DA15A-A0E1-4BD9-832D-9F122A3DBAF7}" type="TxLink">
                                <a:rPr lang="en-US" sz="1000" b="1" i="0" u="none" strike="noStrike">
                                  <a:solidFill>
                                    <a:srgbClr val="12355B"/>
                                  </a:solidFill>
                                  <a:latin typeface="+mn-lt"/>
                                  <a:ea typeface="Calibri"/>
                                  <a:cs typeface="Calibri"/>
                                </a:rPr>
                                <a:pPr marL="0" indent="0" algn="ctr"/>
                                <a:t>Contractor 2 / DC operator: Internal rate of return: 6.83 % (considering calculatory life time of 15 years)</a:t>
                              </a:fld>
                              <a:endParaRPr lang="de-DE" sz="1000" b="1" i="0" u="none" strike="noStrike">
                                <a:solidFill>
                                  <a:srgbClr val="12355B"/>
                                </a:solidFill>
                                <a:latin typeface="+mn-lt"/>
                                <a:ea typeface="Calibri"/>
                                <a:cs typeface="Calibri"/>
                              </a:endParaRPr>
                            </a:p>
                          </xdr:txBody>
                        </xdr:sp>
                      </xdr:grpSp>
                    </xdr:grpSp>
                    <xdr:sp macro="" textlink="$S$7">
                      <xdr:nvSpPr>
                        <xdr:cNvPr id="82" name="Rechteck 42">
                          <a:extLst>
                            <a:ext uri="{FF2B5EF4-FFF2-40B4-BE49-F238E27FC236}">
                              <a16:creationId xmlns:a16="http://schemas.microsoft.com/office/drawing/2014/main" id="{1BE92DF7-986F-E433-EC0C-BE47ED01D272}"/>
                            </a:ext>
                          </a:extLst>
                        </xdr:cNvPr>
                        <xdr:cNvSpPr/>
                      </xdr:nvSpPr>
                      <xdr:spPr>
                        <a:xfrm>
                          <a:off x="7344846" y="4866729"/>
                          <a:ext cx="1262924" cy="299480"/>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C80E0ECC-BC27-413C-8955-6F64DBAAB948}" type="TxLink">
                            <a:rPr lang="en-US" sz="10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T sink, out: 90 °C</a:t>
                          </a:fld>
                          <a:endParaRPr lang="de-DE" sz="700" b="0" kern="1200" baseline="-25000">
                            <a:solidFill>
                              <a:srgbClr val="3F816D"/>
                            </a:solidFill>
                            <a:effectLst/>
                            <a:latin typeface="+mn-lt"/>
                            <a:ea typeface="+mn-ea"/>
                            <a:cs typeface="+mn-cs"/>
                          </a:endParaRPr>
                        </a:p>
                      </xdr:txBody>
                    </xdr:sp>
                    <xdr:sp macro="" textlink="$T$6">
                      <xdr:nvSpPr>
                        <xdr:cNvPr id="83" name="Rechteck 42">
                          <a:extLst>
                            <a:ext uri="{FF2B5EF4-FFF2-40B4-BE49-F238E27FC236}">
                              <a16:creationId xmlns:a16="http://schemas.microsoft.com/office/drawing/2014/main" id="{D7F3D4DC-B0C0-2F1B-9525-76A901168EF4}"/>
                            </a:ext>
                          </a:extLst>
                        </xdr:cNvPr>
                        <xdr:cNvSpPr/>
                      </xdr:nvSpPr>
                      <xdr:spPr>
                        <a:xfrm>
                          <a:off x="8988262" y="5003305"/>
                          <a:ext cx="1113945" cy="277063"/>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087FF0A1-5927-4557-9D91-0DF5EE18B7F2}" type="TxLink">
                            <a:rPr lang="en-US" sz="10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P th: 0.5 MW_th</a:t>
                          </a:fld>
                          <a:endParaRPr lang="de-DE" sz="1000" b="0" kern="1200" baseline="-25000">
                            <a:solidFill>
                              <a:srgbClr val="3F816D"/>
                            </a:solidFill>
                            <a:effectLst/>
                            <a:latin typeface="+mn-lt"/>
                            <a:ea typeface="+mn-ea"/>
                            <a:cs typeface="+mn-cs"/>
                          </a:endParaRPr>
                        </a:p>
                      </xdr:txBody>
                    </xdr:sp>
                    <xdr:sp macro="" textlink="$T$4">
                      <xdr:nvSpPr>
                        <xdr:cNvPr id="84" name="Rechteck 42">
                          <a:extLst>
                            <a:ext uri="{FF2B5EF4-FFF2-40B4-BE49-F238E27FC236}">
                              <a16:creationId xmlns:a16="http://schemas.microsoft.com/office/drawing/2014/main" id="{6DD3C75A-EE6C-79B2-B60F-A21DC932A027}"/>
                            </a:ext>
                          </a:extLst>
                        </xdr:cNvPr>
                        <xdr:cNvSpPr/>
                      </xdr:nvSpPr>
                      <xdr:spPr>
                        <a:xfrm>
                          <a:off x="7321117" y="4146550"/>
                          <a:ext cx="1349839" cy="377471"/>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fld id="{25E5FDBE-DC68-4775-AADA-3C72F4390BD5}" type="TxLink">
                            <a:rPr lang="en-US" sz="1000" b="0" i="0" u="none" strike="noStrike" kern="1200">
                              <a:solidFill>
                                <a:srgbClr val="000000"/>
                              </a:solidFill>
                              <a:effectLst/>
                              <a:latin typeface="+mn-lt"/>
                              <a:ea typeface="Calibri"/>
                              <a:cs typeface="Calibri"/>
                            </a:rPr>
                            <a:pPr marL="0" marR="0" lvl="0" indent="0" algn="ctr" defTabSz="914400" rtl="0" eaLnBrk="1" fontAlgn="auto" latinLnBrk="0" hangingPunct="1">
                              <a:lnSpc>
                                <a:spcPct val="100000"/>
                              </a:lnSpc>
                              <a:spcBef>
                                <a:spcPts val="0"/>
                              </a:spcBef>
                              <a:spcAft>
                                <a:spcPts val="0"/>
                              </a:spcAft>
                              <a:buClrTx/>
                              <a:buSzTx/>
                              <a:buFontTx/>
                              <a:buNone/>
                              <a:tabLst/>
                              <a:defRPr/>
                            </a:pPr>
                            <a:t>P th_nominal_out: 3MW_th</a:t>
                          </a:fld>
                          <a:endParaRPr lang="de-DE" sz="800" b="0" kern="1200" baseline="-25000">
                            <a:solidFill>
                              <a:srgbClr val="3F816D"/>
                            </a:solidFill>
                            <a:effectLst/>
                            <a:latin typeface="+mn-lt"/>
                            <a:ea typeface="+mn-ea"/>
                            <a:cs typeface="+mn-cs"/>
                          </a:endParaRPr>
                        </a:p>
                      </xdr:txBody>
                    </xdr:sp>
                  </xdr:grpSp>
                  <xdr:cxnSp macro="">
                    <xdr:nvCxnSpPr>
                      <xdr:cNvPr id="80" name="Gerader Verbinder 9">
                        <a:extLst>
                          <a:ext uri="{FF2B5EF4-FFF2-40B4-BE49-F238E27FC236}">
                            <a16:creationId xmlns:a16="http://schemas.microsoft.com/office/drawing/2014/main" id="{CCE16F1F-89F2-1925-6F50-FD06755EDECB}"/>
                          </a:ext>
                        </a:extLst>
                      </xdr:cNvPr>
                      <xdr:cNvCxnSpPr>
                        <a:cxnSpLocks/>
                        <a:stCxn id="172" idx="0"/>
                      </xdr:cNvCxnSpPr>
                    </xdr:nvCxnSpPr>
                    <xdr:spPr>
                      <a:xfrm flipH="1" flipV="1">
                        <a:off x="11194128" y="3722969"/>
                        <a:ext cx="399246" cy="288791"/>
                      </a:xfrm>
                      <a:prstGeom prst="line">
                        <a:avLst/>
                      </a:prstGeom>
                      <a:ln>
                        <a:solidFill>
                          <a:schemeClr val="accent5">
                            <a:lumMod val="40000"/>
                            <a:lumOff val="60000"/>
                          </a:schemeClr>
                        </a:solidFill>
                        <a:prstDash val="dash"/>
                        <a:headEnd w="lg" len="lg"/>
                      </a:ln>
                    </xdr:spPr>
                    <xdr:style>
                      <a:lnRef idx="1">
                        <a:schemeClr val="accent1"/>
                      </a:lnRef>
                      <a:fillRef idx="0">
                        <a:schemeClr val="accent1"/>
                      </a:fillRef>
                      <a:effectRef idx="0">
                        <a:schemeClr val="accent1"/>
                      </a:effectRef>
                      <a:fontRef idx="minor">
                        <a:schemeClr val="tx1"/>
                      </a:fontRef>
                    </xdr:style>
                  </xdr:cxnSp>
                </xdr:grpSp>
                <xdr:sp macro="" textlink="$S$106">
                  <xdr:nvSpPr>
                    <xdr:cNvPr id="78" name="Rechteck 2">
                      <a:extLst>
                        <a:ext uri="{FF2B5EF4-FFF2-40B4-BE49-F238E27FC236}">
                          <a16:creationId xmlns:a16="http://schemas.microsoft.com/office/drawing/2014/main" id="{5C8AA809-92BE-4ADB-2411-8DCF123EE719}"/>
                        </a:ext>
                      </a:extLst>
                    </xdr:cNvPr>
                    <xdr:cNvSpPr/>
                  </xdr:nvSpPr>
                  <xdr:spPr>
                    <a:xfrm>
                      <a:off x="893360" y="7388989"/>
                      <a:ext cx="2664436" cy="39397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oAutofit/>
                    </a:bodyPr>
                    <a:lstStyle/>
                    <a:p>
                      <a:pPr marL="0" indent="0" algn="ctr"/>
                      <a:fld id="{2B321632-4ECF-4FD9-8434-798A3C3EC756}" type="TxLink">
                        <a:rPr lang="en-US" sz="1000" b="0" i="0" u="none" strike="noStrike">
                          <a:solidFill>
                            <a:schemeClr val="bg2">
                              <a:lumMod val="50000"/>
                            </a:schemeClr>
                          </a:solidFill>
                          <a:latin typeface="+mn-lt"/>
                          <a:ea typeface="Calibri"/>
                          <a:cs typeface="Calibri"/>
                        </a:rPr>
                        <a:pPr marL="0" indent="0" algn="ctr"/>
                        <a:t>Total annualised costs (considering demanded IRR and depreciation time of contractor 2 / DC operator): 147.9 kEUR/yr</a:t>
                      </a:fld>
                      <a:endParaRPr lang="de-DE" sz="1000" b="0" i="0" u="none" strike="noStrike">
                        <a:solidFill>
                          <a:schemeClr val="bg2">
                            <a:lumMod val="50000"/>
                          </a:schemeClr>
                        </a:solidFill>
                        <a:latin typeface="+mn-lt"/>
                        <a:ea typeface="Calibri"/>
                        <a:cs typeface="Calibri"/>
                      </a:endParaRPr>
                    </a:p>
                  </xdr:txBody>
                </xdr:sp>
              </xdr:grpSp>
              <xdr:grpSp>
                <xdr:nvGrpSpPr>
                  <xdr:cNvPr id="66" name="Gruppieren 65">
                    <a:extLst>
                      <a:ext uri="{FF2B5EF4-FFF2-40B4-BE49-F238E27FC236}">
                        <a16:creationId xmlns:a16="http://schemas.microsoft.com/office/drawing/2014/main" id="{5BCC9B30-C063-42B2-FD6E-10B89983C623}"/>
                      </a:ext>
                    </a:extLst>
                  </xdr:cNvPr>
                  <xdr:cNvGrpSpPr/>
                </xdr:nvGrpSpPr>
                <xdr:grpSpPr>
                  <a:xfrm>
                    <a:off x="17306069" y="8055779"/>
                    <a:ext cx="15797580" cy="1836974"/>
                    <a:chOff x="488301" y="8495146"/>
                    <a:chExt cx="15809765" cy="1862053"/>
                  </a:xfrm>
                </xdr:grpSpPr>
                <xdr:sp macro="" textlink="$S$12">
                  <xdr:nvSpPr>
                    <xdr:cNvPr id="67" name="TextBox 69">
                      <a:extLst>
                        <a:ext uri="{FF2B5EF4-FFF2-40B4-BE49-F238E27FC236}">
                          <a16:creationId xmlns:a16="http://schemas.microsoft.com/office/drawing/2014/main" id="{EEE44792-D1B0-276B-E468-8BDD3431B913}"/>
                        </a:ext>
                      </a:extLst>
                    </xdr:cNvPr>
                    <xdr:cNvSpPr txBox="1"/>
                  </xdr:nvSpPr>
                  <xdr:spPr>
                    <a:xfrm>
                      <a:off x="1250060" y="9514661"/>
                      <a:ext cx="2630046" cy="76183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marL="0" indent="0" algn="ctr" defTabSz="914400" rtl="0" eaLnBrk="1" latinLnBrk="0" hangingPunct="1"/>
                      <a:fld id="{6EB89032-8E5B-4814-B43D-B1403710EEE0}" type="TxLink">
                        <a:rPr lang="en-US" sz="1200" b="0" i="0" u="none" strike="noStrike" kern="1200">
                          <a:solidFill>
                            <a:srgbClr val="12355B"/>
                          </a:solidFill>
                          <a:latin typeface="+mn-lt"/>
                          <a:ea typeface="Calibri"/>
                          <a:cs typeface="Calibri"/>
                        </a:rPr>
                        <a:pPr marL="0" indent="0" algn="ctr" defTabSz="914400" rtl="0" eaLnBrk="1" latinLnBrk="0" hangingPunct="1"/>
                        <a:t>Waste heat supplied by the DC: 17.38 GWh/yr</a:t>
                      </a:fld>
                      <a:endParaRPr lang="en-US" sz="1200" b="0" i="0" u="none" strike="noStrike" kern="1200">
                        <a:solidFill>
                          <a:srgbClr val="12355B"/>
                        </a:solidFill>
                        <a:latin typeface="+mn-lt"/>
                        <a:ea typeface="Calibri"/>
                        <a:cs typeface="Calibri"/>
                      </a:endParaRPr>
                    </a:p>
                  </xdr:txBody>
                </xdr:sp>
                <xdr:sp macro="" textlink="$S$49">
                  <xdr:nvSpPr>
                    <xdr:cNvPr id="68" name="TextBox 154">
                      <a:extLst>
                        <a:ext uri="{FF2B5EF4-FFF2-40B4-BE49-F238E27FC236}">
                          <a16:creationId xmlns:a16="http://schemas.microsoft.com/office/drawing/2014/main" id="{B84DC348-3AFD-2205-5273-747C93B62C39}"/>
                        </a:ext>
                      </a:extLst>
                    </xdr:cNvPr>
                    <xdr:cNvSpPr txBox="1"/>
                  </xdr:nvSpPr>
                  <xdr:spPr>
                    <a:xfrm>
                      <a:off x="5805472" y="9514661"/>
                      <a:ext cx="2341121" cy="76183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marL="0" indent="0" algn="ctr" defTabSz="914400" rtl="0" eaLnBrk="1" latinLnBrk="0" hangingPunct="1"/>
                      <a:fld id="{B409E3DC-6197-4A73-BE89-B001D93506EC}" type="TxLink">
                        <a:rPr lang="en-US" sz="1200" b="0" i="0" u="none" strike="noStrike" kern="1200">
                          <a:solidFill>
                            <a:srgbClr val="12355B"/>
                          </a:solidFill>
                          <a:latin typeface="+mn-lt"/>
                          <a:ea typeface="Calibri"/>
                          <a:cs typeface="Calibri"/>
                        </a:rPr>
                        <a:pPr marL="0" indent="0" algn="ctr" defTabSz="914400" rtl="0" eaLnBrk="1" latinLnBrk="0" hangingPunct="1"/>
                        <a:t>Waste heat utilized in the HP: 16.38 GWh/yr</a:t>
                      </a:fld>
                      <a:endParaRPr lang="en-US" sz="1200" b="0" i="0" u="none" strike="noStrike" kern="1200">
                        <a:solidFill>
                          <a:srgbClr val="12355B"/>
                        </a:solidFill>
                        <a:latin typeface="+mn-lt"/>
                        <a:ea typeface="Calibri"/>
                        <a:cs typeface="Calibri"/>
                      </a:endParaRPr>
                    </a:p>
                  </xdr:txBody>
                </xdr:sp>
                <xdr:grpSp>
                  <xdr:nvGrpSpPr>
                    <xdr:cNvPr id="69" name="Group 262">
                      <a:extLst>
                        <a:ext uri="{FF2B5EF4-FFF2-40B4-BE49-F238E27FC236}">
                          <a16:creationId xmlns:a16="http://schemas.microsoft.com/office/drawing/2014/main" id="{660C6B5F-6957-3C43-0DC0-07265B149563}"/>
                        </a:ext>
                      </a:extLst>
                    </xdr:cNvPr>
                    <xdr:cNvGrpSpPr/>
                  </xdr:nvGrpSpPr>
                  <xdr:grpSpPr>
                    <a:xfrm>
                      <a:off x="8260770" y="8495146"/>
                      <a:ext cx="2341121" cy="1781321"/>
                      <a:chOff x="6249809" y="6049459"/>
                      <a:chExt cx="2340488" cy="696866"/>
                    </a:xfrm>
                  </xdr:grpSpPr>
                  <xdr:cxnSp macro="">
                    <xdr:nvCxnSpPr>
                      <xdr:cNvPr id="75" name="Gerade Verbindung mit Pfeil 24">
                        <a:extLst>
                          <a:ext uri="{FF2B5EF4-FFF2-40B4-BE49-F238E27FC236}">
                            <a16:creationId xmlns:a16="http://schemas.microsoft.com/office/drawing/2014/main" id="{584D37F6-56E7-BA44-9FB7-B1540927A688}"/>
                          </a:ext>
                        </a:extLst>
                      </xdr:cNvPr>
                      <xdr:cNvCxnSpPr>
                        <a:cxnSpLocks/>
                      </xdr:cNvCxnSpPr>
                    </xdr:nvCxnSpPr>
                    <xdr:spPr>
                      <a:xfrm flipH="1" flipV="1">
                        <a:off x="7207735" y="6049459"/>
                        <a:ext cx="0" cy="414657"/>
                      </a:xfrm>
                      <a:prstGeom prst="straightConnector1">
                        <a:avLst/>
                      </a:prstGeom>
                      <a:ln>
                        <a:solidFill>
                          <a:srgbClr val="3F816D"/>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sp macro="" textlink="$S$52">
                    <xdr:nvSpPr>
                      <xdr:cNvPr id="76" name="Rechteck 42">
                        <a:extLst>
                          <a:ext uri="{FF2B5EF4-FFF2-40B4-BE49-F238E27FC236}">
                            <a16:creationId xmlns:a16="http://schemas.microsoft.com/office/drawing/2014/main" id="{91FA8861-5FB2-BC42-A27E-3E57365EDA5B}"/>
                          </a:ext>
                        </a:extLst>
                      </xdr:cNvPr>
                      <xdr:cNvSpPr/>
                    </xdr:nvSpPr>
                    <xdr:spPr>
                      <a:xfrm>
                        <a:off x="6249809" y="6448291"/>
                        <a:ext cx="2340488" cy="298034"/>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fld id="{D4C76736-6D7F-4EC0-833D-A6243438DF18}" type="TxLink">
                          <a:rPr lang="en-US" sz="1200" b="0" i="0" u="none" strike="noStrike" kern="1200">
                            <a:solidFill>
                              <a:srgbClr val="12355B"/>
                            </a:solidFill>
                            <a:latin typeface="+mn-lt"/>
                            <a:ea typeface="Calibri"/>
                            <a:cs typeface="Calibri"/>
                          </a:rPr>
                          <a:pPr marL="0" indent="0" algn="ctr" defTabSz="914400" rtl="0" eaLnBrk="1" latinLnBrk="0" hangingPunct="1"/>
                          <a:t>Electricity input HP: 6.7 GWh/yr</a:t>
                        </a:fld>
                        <a:endParaRPr lang="de-DE" sz="1200" b="0" i="0" u="none" strike="noStrike" kern="1200">
                          <a:solidFill>
                            <a:srgbClr val="12355B"/>
                          </a:solidFill>
                          <a:latin typeface="+mn-lt"/>
                          <a:ea typeface="Calibri"/>
                          <a:cs typeface="Calibri"/>
                        </a:endParaRPr>
                      </a:p>
                    </xdr:txBody>
                  </xdr:sp>
                </xdr:grpSp>
                <xdr:grpSp>
                  <xdr:nvGrpSpPr>
                    <xdr:cNvPr id="70" name="Group 261">
                      <a:extLst>
                        <a:ext uri="{FF2B5EF4-FFF2-40B4-BE49-F238E27FC236}">
                          <a16:creationId xmlns:a16="http://schemas.microsoft.com/office/drawing/2014/main" id="{4C8530CC-1E7A-3A27-9276-B5D458DC1860}"/>
                        </a:ext>
                      </a:extLst>
                    </xdr:cNvPr>
                    <xdr:cNvGrpSpPr/>
                  </xdr:nvGrpSpPr>
                  <xdr:grpSpPr>
                    <a:xfrm>
                      <a:off x="10702556" y="8497990"/>
                      <a:ext cx="2341121" cy="1778436"/>
                      <a:chOff x="8830789" y="6097883"/>
                      <a:chExt cx="2335324" cy="623403"/>
                    </a:xfrm>
                  </xdr:grpSpPr>
                  <xdr:cxnSp macro="">
                    <xdr:nvCxnSpPr>
                      <xdr:cNvPr id="73" name="Gerade Verbindung mit Pfeil 24">
                        <a:extLst>
                          <a:ext uri="{FF2B5EF4-FFF2-40B4-BE49-F238E27FC236}">
                            <a16:creationId xmlns:a16="http://schemas.microsoft.com/office/drawing/2014/main" id="{AA9376F6-CADE-5997-A50E-44A8BA4A4F6F}"/>
                          </a:ext>
                        </a:extLst>
                      </xdr:cNvPr>
                      <xdr:cNvCxnSpPr>
                        <a:cxnSpLocks/>
                      </xdr:cNvCxnSpPr>
                    </xdr:nvCxnSpPr>
                    <xdr:spPr>
                      <a:xfrm flipV="1">
                        <a:off x="9776254" y="6097883"/>
                        <a:ext cx="0" cy="371545"/>
                      </a:xfrm>
                      <a:prstGeom prst="straightConnector1">
                        <a:avLst/>
                      </a:prstGeom>
                      <a:ln>
                        <a:solidFill>
                          <a:srgbClr val="3F816D"/>
                        </a:solidFill>
                        <a:headEnd w="lg" len="lg"/>
                        <a:tailEnd type="triangle" w="lg" len="lg"/>
                      </a:ln>
                    </xdr:spPr>
                    <xdr:style>
                      <a:lnRef idx="1">
                        <a:schemeClr val="accent1"/>
                      </a:lnRef>
                      <a:fillRef idx="0">
                        <a:schemeClr val="accent1"/>
                      </a:fillRef>
                      <a:effectRef idx="0">
                        <a:schemeClr val="accent1"/>
                      </a:effectRef>
                      <a:fontRef idx="minor">
                        <a:schemeClr val="tx1"/>
                      </a:fontRef>
                    </xdr:style>
                  </xdr:cxnSp>
                  <xdr:sp macro="" textlink="$S$53">
                    <xdr:nvSpPr>
                      <xdr:cNvPr id="74" name="Rechteck 42">
                        <a:extLst>
                          <a:ext uri="{FF2B5EF4-FFF2-40B4-BE49-F238E27FC236}">
                            <a16:creationId xmlns:a16="http://schemas.microsoft.com/office/drawing/2014/main" id="{A2C56311-7B69-71E9-8ED3-492E17A29578}"/>
                          </a:ext>
                        </a:extLst>
                      </xdr:cNvPr>
                      <xdr:cNvSpPr/>
                    </xdr:nvSpPr>
                    <xdr:spPr>
                      <a:xfrm>
                        <a:off x="8830789" y="6454238"/>
                        <a:ext cx="2335324" cy="267048"/>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defPPr>
                          <a:defRPr lang="de-DE"/>
                        </a:defPPr>
                        <a:lvl1pPr marL="0" indent="0" algn="l" defTabSz="914400" rtl="0" eaLnBrk="1" latinLnBrk="0" hangingPunct="1">
                          <a:defRPr sz="1800" kern="1200">
                            <a:solidFill>
                              <a:schemeClr val="lt1"/>
                            </a:solidFill>
                            <a:latin typeface="+mn-lt"/>
                            <a:ea typeface="+mn-ea"/>
                            <a:cs typeface="+mn-cs"/>
                          </a:defRPr>
                        </a:lvl1pPr>
                        <a:lvl2pPr marL="457200" indent="0" algn="l" defTabSz="914400" rtl="0" eaLnBrk="1" latinLnBrk="0" hangingPunct="1">
                          <a:defRPr sz="1800" kern="1200">
                            <a:solidFill>
                              <a:schemeClr val="lt1"/>
                            </a:solidFill>
                            <a:latin typeface="+mn-lt"/>
                            <a:ea typeface="+mn-ea"/>
                            <a:cs typeface="+mn-cs"/>
                          </a:defRPr>
                        </a:lvl2pPr>
                        <a:lvl3pPr marL="914400" indent="0" algn="l" defTabSz="914400" rtl="0" eaLnBrk="1" latinLnBrk="0" hangingPunct="1">
                          <a:defRPr sz="1800" kern="1200">
                            <a:solidFill>
                              <a:schemeClr val="lt1"/>
                            </a:solidFill>
                            <a:latin typeface="+mn-lt"/>
                            <a:ea typeface="+mn-ea"/>
                            <a:cs typeface="+mn-cs"/>
                          </a:defRPr>
                        </a:lvl3pPr>
                        <a:lvl4pPr marL="1371600" indent="0" algn="l" defTabSz="914400" rtl="0" eaLnBrk="1" latinLnBrk="0" hangingPunct="1">
                          <a:defRPr sz="1800" kern="1200">
                            <a:solidFill>
                              <a:schemeClr val="lt1"/>
                            </a:solidFill>
                            <a:latin typeface="+mn-lt"/>
                            <a:ea typeface="+mn-ea"/>
                            <a:cs typeface="+mn-cs"/>
                          </a:defRPr>
                        </a:lvl4pPr>
                        <a:lvl5pPr marL="1828800" indent="0" algn="l" defTabSz="914400" rtl="0" eaLnBrk="1" latinLnBrk="0" hangingPunct="1">
                          <a:defRPr sz="1800" kern="1200">
                            <a:solidFill>
                              <a:schemeClr val="lt1"/>
                            </a:solidFill>
                            <a:latin typeface="+mn-lt"/>
                            <a:ea typeface="+mn-ea"/>
                            <a:cs typeface="+mn-cs"/>
                          </a:defRPr>
                        </a:lvl5pPr>
                        <a:lvl6pPr marL="2286000" indent="0" algn="l" defTabSz="914400" rtl="0" eaLnBrk="1" latinLnBrk="0" hangingPunct="1">
                          <a:defRPr sz="1800" kern="1200">
                            <a:solidFill>
                              <a:schemeClr val="lt1"/>
                            </a:solidFill>
                            <a:latin typeface="+mn-lt"/>
                            <a:ea typeface="+mn-ea"/>
                            <a:cs typeface="+mn-cs"/>
                          </a:defRPr>
                        </a:lvl6pPr>
                        <a:lvl7pPr marL="2743200" indent="0" algn="l" defTabSz="914400" rtl="0" eaLnBrk="1" latinLnBrk="0" hangingPunct="1">
                          <a:defRPr sz="1800" kern="1200">
                            <a:solidFill>
                              <a:schemeClr val="lt1"/>
                            </a:solidFill>
                            <a:latin typeface="+mn-lt"/>
                            <a:ea typeface="+mn-ea"/>
                            <a:cs typeface="+mn-cs"/>
                          </a:defRPr>
                        </a:lvl7pPr>
                        <a:lvl8pPr marL="3200400" indent="0" algn="l" defTabSz="914400" rtl="0" eaLnBrk="1" latinLnBrk="0" hangingPunct="1">
                          <a:defRPr sz="1800" kern="1200">
                            <a:solidFill>
                              <a:schemeClr val="lt1"/>
                            </a:solidFill>
                            <a:latin typeface="+mn-lt"/>
                            <a:ea typeface="+mn-ea"/>
                            <a:cs typeface="+mn-cs"/>
                          </a:defRPr>
                        </a:lvl8pPr>
                        <a:lvl9pPr marL="3657600" indent="0" algn="l" defTabSz="914400" rtl="0" eaLnBrk="1" latinLnBrk="0" hangingPunct="1">
                          <a:defRPr sz="1800" kern="1200">
                            <a:solidFill>
                              <a:schemeClr val="lt1"/>
                            </a:solidFill>
                            <a:latin typeface="+mn-lt"/>
                            <a:ea typeface="+mn-ea"/>
                            <a:cs typeface="+mn-cs"/>
                          </a:defRPr>
                        </a:lvl9pPr>
                      </a:lstStyle>
                      <a:p>
                        <a:pPr marL="0" indent="0" algn="ctr" defTabSz="914400" rtl="0" eaLnBrk="1" latinLnBrk="0" hangingPunct="1"/>
                        <a:fld id="{12C2C39D-4942-4CC5-9815-8AE33E1ED65B}" type="TxLink">
                          <a:rPr lang="en-US" sz="1200" b="0" i="0" u="none" strike="noStrike" kern="1200">
                            <a:solidFill>
                              <a:srgbClr val="12355B"/>
                            </a:solidFill>
                            <a:latin typeface="+mn-lt"/>
                            <a:ea typeface="Calibri"/>
                            <a:cs typeface="Calibri"/>
                          </a:rPr>
                          <a:pPr marL="0" indent="0" algn="ctr" defTabSz="914400" rtl="0" eaLnBrk="1" latinLnBrk="0" hangingPunct="1"/>
                          <a:t>Electricity / fuel input booster: 0.05 GWh/yr</a:t>
                        </a:fld>
                        <a:endParaRPr lang="de-DE" sz="1200" b="0" i="0" u="none" strike="noStrike" kern="1200">
                          <a:solidFill>
                            <a:srgbClr val="12355B"/>
                          </a:solidFill>
                          <a:latin typeface="+mn-lt"/>
                          <a:ea typeface="Calibri"/>
                          <a:cs typeface="Calibri"/>
                        </a:endParaRPr>
                      </a:p>
                    </xdr:txBody>
                  </xdr:sp>
                </xdr:grpSp>
                <xdr:sp macro="" textlink="">
                  <xdr:nvSpPr>
                    <xdr:cNvPr id="71" name="Rectangle 274">
                      <a:extLst>
                        <a:ext uri="{FF2B5EF4-FFF2-40B4-BE49-F238E27FC236}">
                          <a16:creationId xmlns:a16="http://schemas.microsoft.com/office/drawing/2014/main" id="{A638728B-942A-1532-ACBD-084A479BB136}"/>
                        </a:ext>
                      </a:extLst>
                    </xdr:cNvPr>
                    <xdr:cNvSpPr/>
                  </xdr:nvSpPr>
                  <xdr:spPr>
                    <a:xfrm>
                      <a:off x="488301" y="9423079"/>
                      <a:ext cx="15809765" cy="934120"/>
                    </a:xfrm>
                    <a:prstGeom prst="rect">
                      <a:avLst/>
                    </a:prstGeom>
                    <a:noFill/>
                    <a:ln w="12700">
                      <a:solidFill>
                        <a:schemeClr val="accent4"/>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AT" sz="1100" b="1">
                          <a:solidFill>
                            <a:schemeClr val="accent4"/>
                          </a:solidFill>
                          <a:latin typeface="+mn-lt"/>
                        </a:rPr>
                        <a:t>ENERGY</a:t>
                      </a:r>
                    </a:p>
                  </xdr:txBody>
                </xdr:sp>
                <xdr:sp macro="" textlink="$S$50">
                  <xdr:nvSpPr>
                    <xdr:cNvPr id="72" name="TextBox 69">
                      <a:extLst>
                        <a:ext uri="{FF2B5EF4-FFF2-40B4-BE49-F238E27FC236}">
                          <a16:creationId xmlns:a16="http://schemas.microsoft.com/office/drawing/2014/main" id="{B682501E-14B7-9555-B8F1-00D4D41982EF}"/>
                        </a:ext>
                      </a:extLst>
                    </xdr:cNvPr>
                    <xdr:cNvSpPr txBox="1"/>
                  </xdr:nvSpPr>
                  <xdr:spPr>
                    <a:xfrm>
                      <a:off x="13405940" y="9514659"/>
                      <a:ext cx="2626273" cy="761832"/>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marL="0" indent="0" algn="ctr" defTabSz="914400" rtl="0" eaLnBrk="1" latinLnBrk="0" hangingPunct="1"/>
                      <a:fld id="{FA7E6623-6C3C-46A3-9953-221D2631F10E}" type="TxLink">
                        <a:rPr lang="en-US" sz="1200" b="0" i="0" u="none" strike="noStrike" kern="1200">
                          <a:solidFill>
                            <a:srgbClr val="12355B"/>
                          </a:solidFill>
                          <a:latin typeface="+mn-lt"/>
                          <a:ea typeface="Calibri"/>
                          <a:cs typeface="Calibri"/>
                        </a:rPr>
                        <a:pPr marL="0" indent="0" algn="ctr" defTabSz="914400" rtl="0" eaLnBrk="1" latinLnBrk="0" hangingPunct="1"/>
                        <a:t>Heat fed into grid: 22.9 GWh/yr</a:t>
                      </a:fld>
                      <a:endParaRPr lang="en-US" sz="1200" b="0" i="0" u="none" strike="noStrike" kern="1200">
                        <a:solidFill>
                          <a:srgbClr val="12355B"/>
                        </a:solidFill>
                        <a:latin typeface="+mn-lt"/>
                        <a:ea typeface="Calibri"/>
                        <a:cs typeface="Calibri"/>
                      </a:endParaRPr>
                    </a:p>
                  </xdr:txBody>
                </xdr:sp>
              </xdr:grpSp>
            </xdr:grpSp>
            <xdr:grpSp>
              <xdr:nvGrpSpPr>
                <xdr:cNvPr id="61" name="Gruppieren 60">
                  <a:extLst>
                    <a:ext uri="{FF2B5EF4-FFF2-40B4-BE49-F238E27FC236}">
                      <a16:creationId xmlns:a16="http://schemas.microsoft.com/office/drawing/2014/main" id="{4E497736-9E79-A6CC-C737-9659A116221F}"/>
                    </a:ext>
                  </a:extLst>
                </xdr:cNvPr>
                <xdr:cNvGrpSpPr/>
              </xdr:nvGrpSpPr>
              <xdr:grpSpPr>
                <a:xfrm>
                  <a:off x="18801858" y="9887287"/>
                  <a:ext cx="15800167" cy="950531"/>
                  <a:chOff x="481201" y="8493915"/>
                  <a:chExt cx="15800167" cy="950531"/>
                </a:xfrm>
              </xdr:grpSpPr>
              <xdr:sp macro="" textlink="$S$67">
                <xdr:nvSpPr>
                  <xdr:cNvPr id="62" name="TextBox 267">
                    <a:extLst>
                      <a:ext uri="{FF2B5EF4-FFF2-40B4-BE49-F238E27FC236}">
                        <a16:creationId xmlns:a16="http://schemas.microsoft.com/office/drawing/2014/main" id="{2D8C43D9-8037-0126-AF3A-F1095E7CDCEE}"/>
                      </a:ext>
                    </a:extLst>
                  </xdr:cNvPr>
                  <xdr:cNvSpPr txBox="1"/>
                </xdr:nvSpPr>
                <xdr:spPr>
                  <a:xfrm>
                    <a:off x="7463320" y="8584151"/>
                    <a:ext cx="3132535" cy="775217"/>
                  </a:xfrm>
                  <a:prstGeom prst="rect">
                    <a:avLst/>
                  </a:prstGeom>
                  <a:solidFill>
                    <a:schemeClr val="accent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27B47CF0-5479-4397-A7D5-BDD46D434576}" type="TxLink">
                      <a:rPr lang="en-US" sz="1200" b="0" i="0" u="none" strike="noStrike" kern="1200">
                        <a:solidFill>
                          <a:schemeClr val="bg1"/>
                        </a:solidFill>
                        <a:latin typeface="+mn-lt"/>
                        <a:ea typeface="Calibri"/>
                        <a:cs typeface="Calibri"/>
                      </a:rPr>
                      <a:pPr marL="0" indent="0" algn="ctr" defTabSz="914400" rtl="0" eaLnBrk="1" latinLnBrk="0" hangingPunct="1"/>
                      <a:t>Contractor 1's total Investment needs (incl. subsidies, incl. cost share of heat recovery): 4815 kEUR</a:t>
                    </a:fld>
                    <a:endParaRPr lang="en-US" sz="1200" b="0" i="0" u="none" strike="noStrike" kern="1200">
                      <a:solidFill>
                        <a:schemeClr val="bg1"/>
                      </a:solidFill>
                      <a:latin typeface="+mn-lt"/>
                      <a:ea typeface="Calibri"/>
                      <a:cs typeface="Calibri"/>
                    </a:endParaRPr>
                  </a:p>
                </xdr:txBody>
              </xdr:sp>
              <xdr:sp macro="" textlink="$S$66">
                <xdr:nvSpPr>
                  <xdr:cNvPr id="63" name="TextBox 23">
                    <a:extLst>
                      <a:ext uri="{FF2B5EF4-FFF2-40B4-BE49-F238E27FC236}">
                        <a16:creationId xmlns:a16="http://schemas.microsoft.com/office/drawing/2014/main" id="{3203B6FE-53E2-3BF8-0463-1E4F0EE0C59C}"/>
                      </a:ext>
                    </a:extLst>
                  </xdr:cNvPr>
                  <xdr:cNvSpPr txBox="1"/>
                </xdr:nvSpPr>
                <xdr:spPr>
                  <a:xfrm>
                    <a:off x="1242497" y="8590541"/>
                    <a:ext cx="2628449" cy="775217"/>
                  </a:xfrm>
                  <a:prstGeom prst="rect">
                    <a:avLst/>
                  </a:prstGeom>
                  <a:solidFill>
                    <a:schemeClr val="accent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62F9E7E8-EB58-4A6F-8E99-067A25AF989A}" type="TxLink">
                      <a:rPr lang="en-US" sz="1200" b="0" i="0" u="none" strike="noStrike" kern="1200">
                        <a:solidFill>
                          <a:schemeClr val="bg1"/>
                        </a:solidFill>
                        <a:latin typeface="+mn-lt"/>
                        <a:ea typeface="Calibri"/>
                        <a:cs typeface="Calibri"/>
                      </a:rPr>
                      <a:pPr marL="0" indent="0" algn="ctr" defTabSz="914400" rtl="0" eaLnBrk="1" latinLnBrk="0" hangingPunct="1"/>
                      <a:t>Contractor 2's total investment needs (incl. subsidies, incl. cost share of heat recovery): 676.08 kEUR</a:t>
                    </a:fld>
                    <a:endParaRPr lang="en-US" sz="1200" b="0" i="0" u="none" strike="noStrike" kern="1200">
                      <a:solidFill>
                        <a:schemeClr val="bg1"/>
                      </a:solidFill>
                      <a:latin typeface="+mn-lt"/>
                      <a:ea typeface="Calibri"/>
                      <a:cs typeface="Calibri"/>
                    </a:endParaRPr>
                  </a:p>
                </xdr:txBody>
              </xdr:sp>
              <xdr:sp macro="" textlink="">
                <xdr:nvSpPr>
                  <xdr:cNvPr id="64" name="Rectangle 279">
                    <a:extLst>
                      <a:ext uri="{FF2B5EF4-FFF2-40B4-BE49-F238E27FC236}">
                        <a16:creationId xmlns:a16="http://schemas.microsoft.com/office/drawing/2014/main" id="{315AB9B5-1761-22F4-E58A-DB6F8DDC466C}"/>
                      </a:ext>
                    </a:extLst>
                  </xdr:cNvPr>
                  <xdr:cNvSpPr/>
                </xdr:nvSpPr>
                <xdr:spPr>
                  <a:xfrm>
                    <a:off x="481201" y="8493915"/>
                    <a:ext cx="15800167" cy="950531"/>
                  </a:xfrm>
                  <a:prstGeom prst="rect">
                    <a:avLst/>
                  </a:prstGeom>
                  <a:noFill/>
                  <a:ln w="6350">
                    <a:solidFill>
                      <a:schemeClr val="accent2"/>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AT" sz="1100" b="1">
                        <a:solidFill>
                          <a:schemeClr val="accent2"/>
                        </a:solidFill>
                        <a:latin typeface="+mn-lt"/>
                      </a:rPr>
                      <a:t>INVEST-</a:t>
                    </a:r>
                  </a:p>
                  <a:p>
                    <a:pPr algn="l"/>
                    <a:r>
                      <a:rPr lang="de-AT" sz="1100" b="1">
                        <a:solidFill>
                          <a:schemeClr val="accent2"/>
                        </a:solidFill>
                        <a:latin typeface="+mn-lt"/>
                      </a:rPr>
                      <a:t>MENT</a:t>
                    </a:r>
                  </a:p>
                </xdr:txBody>
              </xdr:sp>
            </xdr:grpSp>
          </xdr:grpSp>
        </xdr:grpSp>
        <xdr:grpSp>
          <xdr:nvGrpSpPr>
            <xdr:cNvPr id="27" name="Gruppieren 26">
              <a:extLst>
                <a:ext uri="{FF2B5EF4-FFF2-40B4-BE49-F238E27FC236}">
                  <a16:creationId xmlns:a16="http://schemas.microsoft.com/office/drawing/2014/main" id="{F6FA7E43-5044-4405-9004-3E087401C7F3}"/>
                </a:ext>
              </a:extLst>
            </xdr:cNvPr>
            <xdr:cNvGrpSpPr/>
          </xdr:nvGrpSpPr>
          <xdr:grpSpPr>
            <a:xfrm>
              <a:off x="27107658" y="20724590"/>
              <a:ext cx="15800167" cy="979036"/>
              <a:chOff x="497928" y="11630666"/>
              <a:chExt cx="15799021" cy="992029"/>
            </a:xfrm>
          </xdr:grpSpPr>
          <xdr:sp macro="" textlink="$S$68">
            <xdr:nvSpPr>
              <xdr:cNvPr id="53" name="TextBox 238">
                <a:extLst>
                  <a:ext uri="{FF2B5EF4-FFF2-40B4-BE49-F238E27FC236}">
                    <a16:creationId xmlns:a16="http://schemas.microsoft.com/office/drawing/2014/main" id="{2B018124-60AA-DD84-22C4-ED6225B1C188}"/>
                  </a:ext>
                </a:extLst>
              </xdr:cNvPr>
              <xdr:cNvSpPr txBox="1"/>
            </xdr:nvSpPr>
            <xdr:spPr>
              <a:xfrm>
                <a:off x="1259169" y="11702408"/>
                <a:ext cx="2628258" cy="809061"/>
              </a:xfrm>
              <a:prstGeom prst="rect">
                <a:avLst/>
              </a:prstGeom>
              <a:solidFill>
                <a:srgbClr val="C0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55393D5E-2B99-4125-925D-E649FD6885F0}" type="TxLink">
                  <a:rPr lang="en-US" sz="1200" b="0" i="0" u="none" strike="noStrike" kern="1200">
                    <a:solidFill>
                      <a:schemeClr val="bg1"/>
                    </a:solidFill>
                    <a:latin typeface="+mn-lt"/>
                    <a:ea typeface="Calibri"/>
                    <a:cs typeface="Calibri"/>
                  </a:rPr>
                  <a:pPr marL="0" indent="0" algn="ctr" defTabSz="914400" rtl="0" eaLnBrk="1" latinLnBrk="0" hangingPunct="1"/>
                  <a:t>Contractor 2's annual expenses: 82.8 kEUR (excl. annualised investment costs)</a:t>
                </a:fld>
                <a:endParaRPr lang="en-US" sz="1200" b="0" i="0" u="none" strike="noStrike" kern="1200">
                  <a:solidFill>
                    <a:schemeClr val="bg1"/>
                  </a:solidFill>
                  <a:latin typeface="+mn-lt"/>
                  <a:ea typeface="Calibri"/>
                  <a:cs typeface="Calibri"/>
                </a:endParaRPr>
              </a:p>
            </xdr:txBody>
          </xdr:sp>
          <xdr:sp macro="" textlink="$S$71">
            <xdr:nvSpPr>
              <xdr:cNvPr id="54" name="TextBox 268">
                <a:extLst>
                  <a:ext uri="{FF2B5EF4-FFF2-40B4-BE49-F238E27FC236}">
                    <a16:creationId xmlns:a16="http://schemas.microsoft.com/office/drawing/2014/main" id="{DF479C89-0A64-1DE1-145A-3779A8ABA5E0}"/>
                  </a:ext>
                </a:extLst>
              </xdr:cNvPr>
              <xdr:cNvSpPr txBox="1"/>
            </xdr:nvSpPr>
            <xdr:spPr>
              <a:xfrm>
                <a:off x="7479541" y="11688620"/>
                <a:ext cx="3132308" cy="844237"/>
              </a:xfrm>
              <a:prstGeom prst="rect">
                <a:avLst/>
              </a:prstGeom>
              <a:solidFill>
                <a:srgbClr val="C0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noAutofit/>
              </a:bodyPr>
              <a:lstStyle/>
              <a:p>
                <a:pPr marL="0" indent="0" algn="ctr" defTabSz="914400" rtl="0" eaLnBrk="1" latinLnBrk="0" hangingPunct="1"/>
                <a:fld id="{F60072BC-4898-4F06-BC25-CBEB9481CF9F}" type="TxLink">
                  <a:rPr lang="en-US" sz="1200" b="0" i="0" u="none" strike="noStrike" kern="1200">
                    <a:solidFill>
                      <a:schemeClr val="bg1"/>
                    </a:solidFill>
                    <a:latin typeface="+mn-lt"/>
                    <a:ea typeface="Calibri"/>
                    <a:cs typeface="Calibri"/>
                  </a:rPr>
                  <a:pPr marL="0" indent="0" algn="ctr" defTabSz="914400" rtl="0" eaLnBrk="1" latinLnBrk="0" hangingPunct="1"/>
                  <a:t>Contractor 1's total annual operation costs (incl. payments for heat to Contractor 2): 963.6 kEUR (incl. annual subsidies, excl. annualised investment costs)</a:t>
                </a:fld>
                <a:endParaRPr lang="en-US" sz="1200" b="0" i="0" u="none" strike="noStrike" kern="1200">
                  <a:solidFill>
                    <a:schemeClr val="bg1"/>
                  </a:solidFill>
                  <a:latin typeface="+mn-lt"/>
                  <a:ea typeface="Calibri"/>
                  <a:cs typeface="Calibri"/>
                </a:endParaRPr>
              </a:p>
            </xdr:txBody>
          </xdr:sp>
          <xdr:sp macro="" textlink="">
            <xdr:nvSpPr>
              <xdr:cNvPr id="55" name="Rectangle 279">
                <a:extLst>
                  <a:ext uri="{FF2B5EF4-FFF2-40B4-BE49-F238E27FC236}">
                    <a16:creationId xmlns:a16="http://schemas.microsoft.com/office/drawing/2014/main" id="{AAB9933B-876D-A23E-2303-07AF99655504}"/>
                  </a:ext>
                </a:extLst>
              </xdr:cNvPr>
              <xdr:cNvSpPr/>
            </xdr:nvSpPr>
            <xdr:spPr>
              <a:xfrm>
                <a:off x="497928" y="11630666"/>
                <a:ext cx="15799021" cy="992029"/>
              </a:xfrm>
              <a:prstGeom prst="rect">
                <a:avLst/>
              </a:prstGeom>
              <a:noFill/>
              <a:ln w="12700">
                <a:solidFill>
                  <a:srgbClr val="C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AT" sz="1100" b="1">
                    <a:solidFill>
                      <a:srgbClr val="C00000"/>
                    </a:solidFill>
                    <a:latin typeface="+mn-lt"/>
                  </a:rPr>
                  <a:t>ANNUAL</a:t>
                </a:r>
              </a:p>
              <a:p>
                <a:pPr algn="l"/>
                <a:r>
                  <a:rPr lang="de-AT" sz="1100" b="1">
                    <a:solidFill>
                      <a:srgbClr val="C00000"/>
                    </a:solidFill>
                    <a:latin typeface="+mn-lt"/>
                  </a:rPr>
                  <a:t>COSTS</a:t>
                </a:r>
              </a:p>
            </xdr:txBody>
          </xdr:sp>
          <xdr:sp macro="" textlink="$S$72">
            <xdr:nvSpPr>
              <xdr:cNvPr id="56" name="TextBox 24">
                <a:extLst>
                  <a:ext uri="{FF2B5EF4-FFF2-40B4-BE49-F238E27FC236}">
                    <a16:creationId xmlns:a16="http://schemas.microsoft.com/office/drawing/2014/main" id="{6B791D13-C646-80F0-E34D-C81A7189594E}"/>
                  </a:ext>
                </a:extLst>
              </xdr:cNvPr>
              <xdr:cNvSpPr txBox="1"/>
            </xdr:nvSpPr>
            <xdr:spPr>
              <a:xfrm>
                <a:off x="10690673" y="11688620"/>
                <a:ext cx="4968488" cy="422119"/>
              </a:xfrm>
              <a:prstGeom prst="rect">
                <a:avLst/>
              </a:prstGeom>
              <a:solidFill>
                <a:srgbClr val="C0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defTabSz="914400" rtl="0" eaLnBrk="1" latinLnBrk="0" hangingPunct="1"/>
                <a:fld id="{D9D0BC0F-4E55-49CB-80C9-9F3D17C1D68B}" type="TxLink">
                  <a:rPr lang="en-US" sz="1200" b="0" i="0" u="none" strike="noStrike" kern="1200">
                    <a:solidFill>
                      <a:schemeClr val="bg1"/>
                    </a:solidFill>
                    <a:latin typeface="+mn-lt"/>
                    <a:ea typeface="Calibri"/>
                    <a:cs typeface="Calibri"/>
                  </a:rPr>
                  <a:pPr marL="0" indent="0" algn="ctr" defTabSz="914400" rtl="0" eaLnBrk="1" latinLnBrk="0" hangingPunct="1"/>
                  <a:t>Contractor 1's annual operation costs (excl. payments for heat to Contractor 2): 928.8 kEUR (incl. annual subsidies, excl. annualised investment costs)</a:t>
                </a:fld>
                <a:endParaRPr lang="en-US" sz="1200" b="0" i="0" u="none" strike="noStrike" kern="1200">
                  <a:solidFill>
                    <a:schemeClr val="bg1"/>
                  </a:solidFill>
                  <a:latin typeface="+mn-lt"/>
                  <a:ea typeface="Calibri"/>
                  <a:cs typeface="Calibri"/>
                </a:endParaRPr>
              </a:p>
            </xdr:txBody>
          </xdr:sp>
          <xdr:sp macro="" textlink="$S$73">
            <xdr:nvSpPr>
              <xdr:cNvPr id="57" name="TextBox 24">
                <a:extLst>
                  <a:ext uri="{FF2B5EF4-FFF2-40B4-BE49-F238E27FC236}">
                    <a16:creationId xmlns:a16="http://schemas.microsoft.com/office/drawing/2014/main" id="{D2820B00-33A9-F62C-8755-46D5EE610575}"/>
                  </a:ext>
                </a:extLst>
              </xdr:cNvPr>
              <xdr:cNvSpPr txBox="1"/>
            </xdr:nvSpPr>
            <xdr:spPr>
              <a:xfrm>
                <a:off x="10690673" y="12166463"/>
                <a:ext cx="4968488" cy="386942"/>
              </a:xfrm>
              <a:prstGeom prst="rect">
                <a:avLst/>
              </a:prstGeom>
              <a:solidFill>
                <a:srgbClr val="C0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19C7ED27-D5FD-45A8-A90C-4E0FAAA5B7F7}" type="TxLink">
                  <a:rPr lang="en-US" sz="1200" b="0" i="0" u="none" strike="noStrike" kern="1200">
                    <a:solidFill>
                      <a:schemeClr val="bg1"/>
                    </a:solidFill>
                    <a:latin typeface="+mn-lt"/>
                    <a:ea typeface="Calibri"/>
                    <a:cs typeface="Calibri"/>
                  </a:rPr>
                  <a:pPr marL="0" indent="0" algn="ctr" defTabSz="914400" rtl="0" eaLnBrk="1" latinLnBrk="0" hangingPunct="1"/>
                  <a:t>Contractor 1's annual payments for heat to Contractor 2: 34.8 kEUR</a:t>
                </a:fld>
                <a:endParaRPr lang="en-US" sz="1200" b="0" i="0" u="none" strike="noStrike" kern="1200">
                  <a:solidFill>
                    <a:schemeClr val="bg1"/>
                  </a:solidFill>
                  <a:latin typeface="+mn-lt"/>
                  <a:ea typeface="Calibri"/>
                  <a:cs typeface="Calibri"/>
                </a:endParaRPr>
              </a:p>
            </xdr:txBody>
          </xdr:sp>
        </xdr:grpSp>
        <xdr:grpSp>
          <xdr:nvGrpSpPr>
            <xdr:cNvPr id="28" name="Gruppieren 27">
              <a:extLst>
                <a:ext uri="{FF2B5EF4-FFF2-40B4-BE49-F238E27FC236}">
                  <a16:creationId xmlns:a16="http://schemas.microsoft.com/office/drawing/2014/main" id="{778BEE60-31B2-7814-53AC-E9966BD85201}"/>
                </a:ext>
              </a:extLst>
            </xdr:cNvPr>
            <xdr:cNvGrpSpPr/>
          </xdr:nvGrpSpPr>
          <xdr:grpSpPr>
            <a:xfrm>
              <a:off x="27107658" y="21772808"/>
              <a:ext cx="15800167" cy="979037"/>
              <a:chOff x="506894" y="11625442"/>
              <a:chExt cx="15799022" cy="982745"/>
            </a:xfrm>
          </xdr:grpSpPr>
          <xdr:sp macro="" textlink="$S$69">
            <xdr:nvSpPr>
              <xdr:cNvPr id="50" name="TextBox 238">
                <a:extLst>
                  <a:ext uri="{FF2B5EF4-FFF2-40B4-BE49-F238E27FC236}">
                    <a16:creationId xmlns:a16="http://schemas.microsoft.com/office/drawing/2014/main" id="{4827AF73-5D59-AFDC-DAC8-BE91CFBC8523}"/>
                  </a:ext>
                </a:extLst>
              </xdr:cNvPr>
              <xdr:cNvSpPr txBox="1"/>
            </xdr:nvSpPr>
            <xdr:spPr>
              <a:xfrm>
                <a:off x="1268134" y="11717570"/>
                <a:ext cx="2628258" cy="801489"/>
              </a:xfrm>
              <a:prstGeom prst="rect">
                <a:avLst/>
              </a:prstGeom>
              <a:solidFill>
                <a:srgbClr val="C0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FF0C8DA0-B8E2-4C35-A2AC-B1B120608A1A}" type="TxLink">
                  <a:rPr lang="en-US" sz="1200" b="0" i="0" u="none" strike="noStrike" kern="1200">
                    <a:solidFill>
                      <a:schemeClr val="bg1"/>
                    </a:solidFill>
                    <a:latin typeface="+mn-lt"/>
                    <a:ea typeface="Calibri"/>
                    <a:cs typeface="Calibri"/>
                  </a:rPr>
                  <a:pPr marL="0" indent="0" algn="ctr" defTabSz="914400" rtl="0" eaLnBrk="1" latinLnBrk="0" hangingPunct="1"/>
                  <a:t>Contractor 2's total annual expenses: 147.9 kEUR (incl. annualised investment costs)</a:t>
                </a:fld>
                <a:endParaRPr lang="en-US" sz="1200" b="0" i="0" u="none" strike="noStrike" kern="1200">
                  <a:solidFill>
                    <a:schemeClr val="bg1"/>
                  </a:solidFill>
                  <a:latin typeface="+mn-lt"/>
                  <a:ea typeface="Calibri"/>
                  <a:cs typeface="Calibri"/>
                </a:endParaRPr>
              </a:p>
            </xdr:txBody>
          </xdr:sp>
          <xdr:sp macro="" textlink="$S$74">
            <xdr:nvSpPr>
              <xdr:cNvPr id="51" name="TextBox 268">
                <a:extLst>
                  <a:ext uri="{FF2B5EF4-FFF2-40B4-BE49-F238E27FC236}">
                    <a16:creationId xmlns:a16="http://schemas.microsoft.com/office/drawing/2014/main" id="{9BAD42FA-5EE0-C77B-7FBC-71857AB3551A}"/>
                  </a:ext>
                </a:extLst>
              </xdr:cNvPr>
              <xdr:cNvSpPr txBox="1"/>
            </xdr:nvSpPr>
            <xdr:spPr>
              <a:xfrm>
                <a:off x="9138897" y="11709280"/>
                <a:ext cx="3060301" cy="801489"/>
              </a:xfrm>
              <a:prstGeom prst="rect">
                <a:avLst/>
              </a:prstGeom>
              <a:solidFill>
                <a:srgbClr val="C0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CEB510B3-D94C-44BD-9615-66BBEADF4E7A}" type="TxLink">
                  <a:rPr lang="en-US" sz="1200" b="0" i="0" u="none" strike="noStrike" kern="1200">
                    <a:solidFill>
                      <a:schemeClr val="bg1"/>
                    </a:solidFill>
                    <a:latin typeface="+mn-lt"/>
                    <a:ea typeface="Calibri"/>
                    <a:cs typeface="Calibri"/>
                  </a:rPr>
                  <a:pPr marL="0" indent="0" algn="ctr" defTabSz="914400" rtl="0" eaLnBrk="1" latinLnBrk="0" hangingPunct="1"/>
                  <a:t>Contractor 1's total annual expenses: 1427.5 kEUR (incl. annual subsidies, incl. annualised investment costs)</a:t>
                </a:fld>
                <a:endParaRPr lang="en-US" sz="1200" b="0" i="0" u="none" strike="noStrike" kern="1200">
                  <a:solidFill>
                    <a:schemeClr val="bg1"/>
                  </a:solidFill>
                  <a:latin typeface="+mn-lt"/>
                  <a:ea typeface="Calibri"/>
                  <a:cs typeface="Calibri"/>
                </a:endParaRPr>
              </a:p>
            </xdr:txBody>
          </xdr:sp>
          <xdr:sp macro="" textlink="">
            <xdr:nvSpPr>
              <xdr:cNvPr id="52" name="Rectangle 279">
                <a:extLst>
                  <a:ext uri="{FF2B5EF4-FFF2-40B4-BE49-F238E27FC236}">
                    <a16:creationId xmlns:a16="http://schemas.microsoft.com/office/drawing/2014/main" id="{04B2E3D2-8202-EC35-82BB-1C0CE85244C7}"/>
                  </a:ext>
                </a:extLst>
              </xdr:cNvPr>
              <xdr:cNvSpPr/>
            </xdr:nvSpPr>
            <xdr:spPr>
              <a:xfrm>
                <a:off x="506894" y="11625442"/>
                <a:ext cx="15799022" cy="982745"/>
              </a:xfrm>
              <a:prstGeom prst="rect">
                <a:avLst/>
              </a:prstGeom>
              <a:noFill/>
              <a:ln w="12700">
                <a:solidFill>
                  <a:srgbClr val="C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AT" sz="1100" b="1">
                    <a:solidFill>
                      <a:srgbClr val="C00000"/>
                    </a:solidFill>
                    <a:latin typeface="+mn-lt"/>
                  </a:rPr>
                  <a:t>COSTS</a:t>
                </a:r>
              </a:p>
            </xdr:txBody>
          </xdr:sp>
        </xdr:grpSp>
        <xdr:grpSp>
          <xdr:nvGrpSpPr>
            <xdr:cNvPr id="29" name="Gruppieren 28">
              <a:extLst>
                <a:ext uri="{FF2B5EF4-FFF2-40B4-BE49-F238E27FC236}">
                  <a16:creationId xmlns:a16="http://schemas.microsoft.com/office/drawing/2014/main" id="{403541F7-C6E2-564A-848E-94DF21B434BB}"/>
                </a:ext>
              </a:extLst>
            </xdr:cNvPr>
            <xdr:cNvGrpSpPr/>
          </xdr:nvGrpSpPr>
          <xdr:grpSpPr>
            <a:xfrm>
              <a:off x="27107656" y="23872632"/>
              <a:ext cx="15800167" cy="979037"/>
              <a:chOff x="27144427" y="21157671"/>
              <a:chExt cx="15794941" cy="950749"/>
            </a:xfrm>
          </xdr:grpSpPr>
          <xdr:sp macro="" textlink="">
            <xdr:nvSpPr>
              <xdr:cNvPr id="47" name="Rectangle 281">
                <a:extLst>
                  <a:ext uri="{FF2B5EF4-FFF2-40B4-BE49-F238E27FC236}">
                    <a16:creationId xmlns:a16="http://schemas.microsoft.com/office/drawing/2014/main" id="{FCE1BFD8-8832-7A6F-A6DF-0DCB6FCD22CB}"/>
                  </a:ext>
                </a:extLst>
              </xdr:cNvPr>
              <xdr:cNvSpPr/>
            </xdr:nvSpPr>
            <xdr:spPr>
              <a:xfrm>
                <a:off x="27144427" y="21157671"/>
                <a:ext cx="15794941" cy="950749"/>
              </a:xfrm>
              <a:prstGeom prst="rect">
                <a:avLst/>
              </a:prstGeom>
              <a:noFill/>
              <a:ln w="12700">
                <a:solidFill>
                  <a:srgbClr val="00B05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AT" sz="1100" b="1">
                    <a:solidFill>
                      <a:srgbClr val="51A58B"/>
                    </a:solidFill>
                    <a:latin typeface="+mn-lt"/>
                  </a:rPr>
                  <a:t>EARNINGS</a:t>
                </a:r>
              </a:p>
            </xdr:txBody>
          </xdr:sp>
          <xdr:sp macro="" textlink="$S$86">
            <xdr:nvSpPr>
              <xdr:cNvPr id="48" name="TextBox 284">
                <a:extLst>
                  <a:ext uri="{FF2B5EF4-FFF2-40B4-BE49-F238E27FC236}">
                    <a16:creationId xmlns:a16="http://schemas.microsoft.com/office/drawing/2014/main" id="{4EF46628-00FF-8C33-9BAB-0187C0BFF0A9}"/>
                  </a:ext>
                </a:extLst>
              </xdr:cNvPr>
              <xdr:cNvSpPr txBox="1"/>
            </xdr:nvSpPr>
            <xdr:spPr>
              <a:xfrm>
                <a:off x="35783380" y="21242405"/>
                <a:ext cx="3059510" cy="775394"/>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EC19E9EE-F2AE-4959-AFBE-4074E13B3269}" type="TxLink">
                  <a:rPr lang="en-US" sz="1100" b="0" i="0" u="none" strike="noStrike" kern="1200">
                    <a:solidFill>
                      <a:schemeClr val="bg1"/>
                    </a:solidFill>
                    <a:latin typeface="+mn-lt"/>
                    <a:ea typeface="Calibri"/>
                    <a:cs typeface="Calibri"/>
                  </a:rPr>
                  <a:pPr marL="0" indent="0" algn="ctr" defTabSz="914400" rtl="0" eaLnBrk="1" latinLnBrk="0" hangingPunct="1"/>
                  <a:t>Contractor 1's net earnings per year (considering annual Inv. and O&amp;M cost): -89.8 kEUR/yr</a:t>
                </a:fld>
                <a:endParaRPr lang="en-US" sz="1100" b="0" i="0" u="none" strike="noStrike" kern="1200">
                  <a:solidFill>
                    <a:schemeClr val="bg1"/>
                  </a:solidFill>
                  <a:latin typeface="+mn-lt"/>
                  <a:ea typeface="Calibri"/>
                  <a:cs typeface="Calibri"/>
                </a:endParaRPr>
              </a:p>
            </xdr:txBody>
          </xdr:sp>
          <xdr:sp macro="" textlink="$S$89">
            <xdr:nvSpPr>
              <xdr:cNvPr id="49" name="TextBox 1">
                <a:extLst>
                  <a:ext uri="{FF2B5EF4-FFF2-40B4-BE49-F238E27FC236}">
                    <a16:creationId xmlns:a16="http://schemas.microsoft.com/office/drawing/2014/main" id="{A62FC623-A5C5-A683-EA54-25E682079C4B}"/>
                  </a:ext>
                </a:extLst>
              </xdr:cNvPr>
              <xdr:cNvSpPr txBox="1"/>
            </xdr:nvSpPr>
            <xdr:spPr>
              <a:xfrm>
                <a:off x="27905473" y="21257525"/>
                <a:ext cx="2627579" cy="775394"/>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9D202C2A-3295-482F-96F9-419CF2EB2E08}" type="TxLink">
                  <a:rPr lang="en-US" sz="1100" b="0" i="0" u="none" strike="noStrike" kern="1200">
                    <a:solidFill>
                      <a:schemeClr val="bg1"/>
                    </a:solidFill>
                    <a:latin typeface="+mn-lt"/>
                    <a:ea typeface="Calibri"/>
                    <a:cs typeface="Calibri"/>
                  </a:rPr>
                  <a:pPr marL="0" indent="0" algn="ctr" defTabSz="914400" rtl="0" eaLnBrk="1" latinLnBrk="0" hangingPunct="1"/>
                  <a:t>Contractor 2's net earnings per year due to heat sold to contractor 1: 8.3 kEUR/yr (considering annualized investment costs)</a:t>
                </a:fld>
                <a:endParaRPr lang="en-US" sz="1100" b="0" i="0" u="none" strike="noStrike" kern="1200">
                  <a:solidFill>
                    <a:schemeClr val="bg1"/>
                  </a:solidFill>
                  <a:latin typeface="+mn-lt"/>
                  <a:ea typeface="Calibri"/>
                  <a:cs typeface="Calibri"/>
                </a:endParaRPr>
              </a:p>
            </xdr:txBody>
          </xdr:sp>
        </xdr:grpSp>
        <xdr:grpSp>
          <xdr:nvGrpSpPr>
            <xdr:cNvPr id="30" name="Gruppieren 29">
              <a:extLst>
                <a:ext uri="{FF2B5EF4-FFF2-40B4-BE49-F238E27FC236}">
                  <a16:creationId xmlns:a16="http://schemas.microsoft.com/office/drawing/2014/main" id="{9C15B686-DF5C-8E84-4914-DF9DFBA55768}"/>
                </a:ext>
              </a:extLst>
            </xdr:cNvPr>
            <xdr:cNvGrpSpPr/>
          </xdr:nvGrpSpPr>
          <xdr:grpSpPr>
            <a:xfrm>
              <a:off x="27107656" y="24926516"/>
              <a:ext cx="15800167" cy="979038"/>
              <a:chOff x="27144428" y="21260352"/>
              <a:chExt cx="15794942" cy="950751"/>
            </a:xfrm>
          </xdr:grpSpPr>
          <xdr:sp macro="" textlink="">
            <xdr:nvSpPr>
              <xdr:cNvPr id="43" name="Rectangle 281">
                <a:extLst>
                  <a:ext uri="{FF2B5EF4-FFF2-40B4-BE49-F238E27FC236}">
                    <a16:creationId xmlns:a16="http://schemas.microsoft.com/office/drawing/2014/main" id="{8BE86D78-98CC-9616-BB72-46C049FD70B8}"/>
                  </a:ext>
                </a:extLst>
              </xdr:cNvPr>
              <xdr:cNvSpPr/>
            </xdr:nvSpPr>
            <xdr:spPr>
              <a:xfrm>
                <a:off x="27144428" y="21260352"/>
                <a:ext cx="15794942" cy="950751"/>
              </a:xfrm>
              <a:prstGeom prst="rect">
                <a:avLst/>
              </a:prstGeom>
              <a:noFill/>
              <a:ln w="12700">
                <a:solidFill>
                  <a:srgbClr val="00B05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AT" sz="1100" b="1">
                    <a:solidFill>
                      <a:srgbClr val="51A58B"/>
                    </a:solidFill>
                    <a:latin typeface="+mn-lt"/>
                  </a:rPr>
                  <a:t>EARNINGS</a:t>
                </a:r>
              </a:p>
            </xdr:txBody>
          </xdr:sp>
          <xdr:sp macro="" textlink="$S$85">
            <xdr:nvSpPr>
              <xdr:cNvPr id="44" name="TextBox 283">
                <a:extLst>
                  <a:ext uri="{FF2B5EF4-FFF2-40B4-BE49-F238E27FC236}">
                    <a16:creationId xmlns:a16="http://schemas.microsoft.com/office/drawing/2014/main" id="{2A5CD552-45A2-E1BD-0202-945D2F6300C2}"/>
                  </a:ext>
                </a:extLst>
              </xdr:cNvPr>
              <xdr:cNvSpPr txBox="1"/>
            </xdr:nvSpPr>
            <xdr:spPr>
              <a:xfrm>
                <a:off x="34223002" y="21351333"/>
                <a:ext cx="3131499" cy="775395"/>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9B48C3ED-39FF-4CFF-817E-AC79C10F03AB}" type="TxLink">
                  <a:rPr lang="en-US" sz="1100" b="0" i="0" u="none" strike="noStrike" kern="1200">
                    <a:solidFill>
                      <a:schemeClr val="bg1"/>
                    </a:solidFill>
                    <a:latin typeface="+mn-lt"/>
                    <a:ea typeface="Calibri"/>
                    <a:cs typeface="Calibri"/>
                  </a:rPr>
                  <a:pPr marL="0" indent="0" algn="ctr" defTabSz="914400" rtl="0" eaLnBrk="1" latinLnBrk="0" hangingPunct="1"/>
                  <a:t>Contractor 1's net earnings per MWh waste heat provided by DC (considering annual Inv. and O&amp;M cost): -5.2 EUR/MWh_provided_by_DC</a:t>
                </a:fld>
                <a:endParaRPr lang="en-US" sz="1100" b="0" i="0" u="none" strike="noStrike" kern="1200">
                  <a:solidFill>
                    <a:schemeClr val="bg1"/>
                  </a:solidFill>
                  <a:latin typeface="+mn-lt"/>
                  <a:ea typeface="Calibri"/>
                  <a:cs typeface="Calibri"/>
                </a:endParaRPr>
              </a:p>
            </xdr:txBody>
          </xdr:sp>
          <xdr:sp macro="" textlink="$S$84">
            <xdr:nvSpPr>
              <xdr:cNvPr id="45" name="TextBox 285">
                <a:extLst>
                  <a:ext uri="{FF2B5EF4-FFF2-40B4-BE49-F238E27FC236}">
                    <a16:creationId xmlns:a16="http://schemas.microsoft.com/office/drawing/2014/main" id="{42344C39-92F3-8C2D-6168-2B8662E1DD71}"/>
                  </a:ext>
                </a:extLst>
              </xdr:cNvPr>
              <xdr:cNvSpPr txBox="1"/>
            </xdr:nvSpPr>
            <xdr:spPr>
              <a:xfrm>
                <a:off x="37453927" y="21351333"/>
                <a:ext cx="3131499" cy="775395"/>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136A720E-2DB2-4758-885E-15431F5076DC}" type="TxLink">
                  <a:rPr lang="en-US" sz="1100" b="0" i="0" u="none" strike="noStrike" kern="1200">
                    <a:solidFill>
                      <a:schemeClr val="bg1"/>
                    </a:solidFill>
                    <a:latin typeface="+mn-lt"/>
                    <a:ea typeface="Calibri"/>
                    <a:cs typeface="Calibri"/>
                  </a:rPr>
                  <a:pPr marL="0" indent="0" algn="ctr" defTabSz="914400" rtl="0" eaLnBrk="1" latinLnBrk="0" hangingPunct="1"/>
                  <a:t>Contractor 1's net earnings per MWh supplied to grid (considering annual Inv. and O&amp;M cost): -3.9 EUR/MWh_supplied_to_grid</a:t>
                </a:fld>
                <a:endParaRPr lang="en-US" sz="1100" b="0" i="0" u="none" strike="noStrike" kern="1200">
                  <a:solidFill>
                    <a:schemeClr val="bg1"/>
                  </a:solidFill>
                  <a:latin typeface="+mn-lt"/>
                  <a:ea typeface="Calibri"/>
                  <a:cs typeface="Calibri"/>
                </a:endParaRPr>
              </a:p>
            </xdr:txBody>
          </xdr:sp>
          <xdr:sp macro="" textlink="$S$88">
            <xdr:nvSpPr>
              <xdr:cNvPr id="46" name="TextBox 1">
                <a:extLst>
                  <a:ext uri="{FF2B5EF4-FFF2-40B4-BE49-F238E27FC236}">
                    <a16:creationId xmlns:a16="http://schemas.microsoft.com/office/drawing/2014/main" id="{2DEC911D-5ADD-C376-80E5-86F5B5FA4E92}"/>
                  </a:ext>
                </a:extLst>
              </xdr:cNvPr>
              <xdr:cNvSpPr txBox="1"/>
            </xdr:nvSpPr>
            <xdr:spPr>
              <a:xfrm>
                <a:off x="27905473" y="21351333"/>
                <a:ext cx="2627580" cy="775395"/>
              </a:xfrm>
              <a:prstGeom prst="rect">
                <a:avLst/>
              </a:prstGeom>
              <a:solidFill>
                <a:srgbClr val="51A58B"/>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marL="0" indent="0" algn="ctr" defTabSz="914400" rtl="0" eaLnBrk="1" latinLnBrk="0" hangingPunct="1"/>
                <a:fld id="{AB256932-3495-4E01-A97A-4064197ABCA2}" type="TxLink">
                  <a:rPr lang="en-US" sz="1100" b="0" i="0" u="none" strike="noStrike" kern="1200">
                    <a:solidFill>
                      <a:schemeClr val="bg1"/>
                    </a:solidFill>
                    <a:latin typeface="+mn-lt"/>
                    <a:ea typeface="Calibri"/>
                    <a:cs typeface="Calibri"/>
                  </a:rPr>
                  <a:pPr marL="0" indent="0" algn="ctr" defTabSz="914400" rtl="0" eaLnBrk="1" latinLnBrk="0" hangingPunct="1"/>
                  <a:t>Contractor 2's net earnings per MWh of heat supplied: 0.5 EUR/MWh_provided_by_DC</a:t>
                </a:fld>
                <a:endParaRPr lang="en-US" sz="1100" b="0" i="0" u="none" strike="noStrike" kern="1200">
                  <a:solidFill>
                    <a:schemeClr val="bg1"/>
                  </a:solidFill>
                  <a:latin typeface="+mn-lt"/>
                  <a:ea typeface="Calibri"/>
                  <a:cs typeface="Calibri"/>
                </a:endParaRPr>
              </a:p>
            </xdr:txBody>
          </xdr:sp>
        </xdr:grpSp>
        <xdr:grpSp>
          <xdr:nvGrpSpPr>
            <xdr:cNvPr id="31" name="Gruppieren 30">
              <a:extLst>
                <a:ext uri="{FF2B5EF4-FFF2-40B4-BE49-F238E27FC236}">
                  <a16:creationId xmlns:a16="http://schemas.microsoft.com/office/drawing/2014/main" id="{37D0904D-99DB-641C-5053-235EE6318957}"/>
                </a:ext>
              </a:extLst>
            </xdr:cNvPr>
            <xdr:cNvGrpSpPr/>
          </xdr:nvGrpSpPr>
          <xdr:grpSpPr>
            <a:xfrm>
              <a:off x="27107654" y="25987592"/>
              <a:ext cx="15800169" cy="2093128"/>
              <a:chOff x="27144424" y="21383550"/>
              <a:chExt cx="15794943" cy="2032651"/>
            </a:xfrm>
          </xdr:grpSpPr>
          <xdr:grpSp>
            <xdr:nvGrpSpPr>
              <xdr:cNvPr id="33" name="Group 282">
                <a:extLst>
                  <a:ext uri="{FF2B5EF4-FFF2-40B4-BE49-F238E27FC236}">
                    <a16:creationId xmlns:a16="http://schemas.microsoft.com/office/drawing/2014/main" id="{2D0011DA-F7DB-FC2C-5AF9-51E738F92C2E}"/>
                  </a:ext>
                </a:extLst>
              </xdr:cNvPr>
              <xdr:cNvGrpSpPr/>
            </xdr:nvGrpSpPr>
            <xdr:grpSpPr>
              <a:xfrm>
                <a:off x="27144424" y="21383550"/>
                <a:ext cx="15794943" cy="2032651"/>
                <a:chOff x="371952" y="9408249"/>
                <a:chExt cx="12969637" cy="2131575"/>
              </a:xfrm>
            </xdr:grpSpPr>
            <xdr:sp macro="" textlink="">
              <xdr:nvSpPr>
                <xdr:cNvPr id="41" name="Rectangle 281">
                  <a:extLst>
                    <a:ext uri="{FF2B5EF4-FFF2-40B4-BE49-F238E27FC236}">
                      <a16:creationId xmlns:a16="http://schemas.microsoft.com/office/drawing/2014/main" id="{B7190E52-A22E-00E1-8021-417E76BBD3FD}"/>
                    </a:ext>
                  </a:extLst>
                </xdr:cNvPr>
                <xdr:cNvSpPr/>
              </xdr:nvSpPr>
              <xdr:spPr>
                <a:xfrm>
                  <a:off x="371952" y="9408249"/>
                  <a:ext cx="12969636" cy="997017"/>
                </a:xfrm>
                <a:prstGeom prst="rect">
                  <a:avLst/>
                </a:prstGeom>
                <a:noFill/>
                <a:ln w="12700">
                  <a:solidFill>
                    <a:schemeClr val="bg1">
                      <a:lumMod val="50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AT" sz="1100" b="1">
                      <a:solidFill>
                        <a:schemeClr val="bg1">
                          <a:lumMod val="50000"/>
                        </a:schemeClr>
                      </a:solidFill>
                      <a:latin typeface="+mn-lt"/>
                    </a:rPr>
                    <a:t>IRR</a:t>
                  </a:r>
                </a:p>
              </xdr:txBody>
            </xdr:sp>
            <xdr:sp macro="" textlink="">
              <xdr:nvSpPr>
                <xdr:cNvPr id="42" name="Rectangle 281">
                  <a:extLst>
                    <a:ext uri="{FF2B5EF4-FFF2-40B4-BE49-F238E27FC236}">
                      <a16:creationId xmlns:a16="http://schemas.microsoft.com/office/drawing/2014/main" id="{93FA1C36-3008-B92C-C0CE-7226C9CC80E4}"/>
                    </a:ext>
                  </a:extLst>
                </xdr:cNvPr>
                <xdr:cNvSpPr/>
              </xdr:nvSpPr>
              <xdr:spPr>
                <a:xfrm>
                  <a:off x="371953" y="10479218"/>
                  <a:ext cx="12969636" cy="1060606"/>
                </a:xfrm>
                <a:prstGeom prst="rect">
                  <a:avLst/>
                </a:prstGeom>
                <a:noFill/>
                <a:ln w="12700">
                  <a:solidFill>
                    <a:schemeClr val="accent5"/>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AT" sz="1100" b="1">
                      <a:solidFill>
                        <a:schemeClr val="accent5"/>
                      </a:solidFill>
                      <a:latin typeface="+mn-lt"/>
                    </a:rPr>
                    <a:t>BREAK-</a:t>
                  </a:r>
                </a:p>
                <a:p>
                  <a:pPr algn="l"/>
                  <a:r>
                    <a:rPr lang="de-AT" sz="1100" b="1">
                      <a:solidFill>
                        <a:schemeClr val="accent5"/>
                      </a:solidFill>
                      <a:latin typeface="+mn-lt"/>
                    </a:rPr>
                    <a:t>EVEN</a:t>
                  </a:r>
                </a:p>
              </xdr:txBody>
            </xdr:sp>
          </xdr:grpSp>
          <xdr:sp macro="" textlink="$S$111">
            <xdr:nvSpPr>
              <xdr:cNvPr id="34" name="TextBox 283">
                <a:extLst>
                  <a:ext uri="{FF2B5EF4-FFF2-40B4-BE49-F238E27FC236}">
                    <a16:creationId xmlns:a16="http://schemas.microsoft.com/office/drawing/2014/main" id="{2F2B69E9-30E4-462D-166E-15C6B31DA2EB}"/>
                  </a:ext>
                </a:extLst>
              </xdr:cNvPr>
              <xdr:cNvSpPr txBox="1"/>
            </xdr:nvSpPr>
            <xdr:spPr>
              <a:xfrm>
                <a:off x="38835759" y="21518786"/>
                <a:ext cx="3059510" cy="741682"/>
              </a:xfrm>
              <a:prstGeom prst="rect">
                <a:avLst/>
              </a:prstGeom>
              <a:solidFill>
                <a:schemeClr val="bg1">
                  <a:lumMod val="5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marL="0" indent="0" algn="ctr" defTabSz="914400" rtl="0" eaLnBrk="1" latinLnBrk="0" hangingPunct="1"/>
                <a:fld id="{ADAA1655-4C93-4D16-BEF2-5A754245C73A}" type="TxLink">
                  <a:rPr lang="en-US" sz="1100" b="0" i="0" u="none" strike="noStrike" kern="1200">
                    <a:solidFill>
                      <a:schemeClr val="bg1"/>
                    </a:solidFill>
                    <a:latin typeface="+mn-lt"/>
                    <a:ea typeface="Calibri"/>
                    <a:cs typeface="Calibri"/>
                  </a:rPr>
                  <a:pPr marL="0" indent="0" algn="ctr" defTabSz="914400" rtl="0" eaLnBrk="1" latinLnBrk="0" hangingPunct="1"/>
                  <a:t>Contractor 1 / DH operator: Internal rate of return: 1.98 % (considering calculatory life time of 15 years)</a:t>
                </a:fld>
                <a:endParaRPr lang="en-US" sz="1100" b="0" i="0" u="none" strike="noStrike" kern="1200">
                  <a:solidFill>
                    <a:schemeClr val="bg1"/>
                  </a:solidFill>
                  <a:latin typeface="+mn-lt"/>
                  <a:ea typeface="Calibri"/>
                  <a:cs typeface="Calibri"/>
                </a:endParaRPr>
              </a:p>
            </xdr:txBody>
          </xdr:sp>
          <xdr:sp macro="" textlink="$S$112">
            <xdr:nvSpPr>
              <xdr:cNvPr id="35" name="TextBox 1">
                <a:extLst>
                  <a:ext uri="{FF2B5EF4-FFF2-40B4-BE49-F238E27FC236}">
                    <a16:creationId xmlns:a16="http://schemas.microsoft.com/office/drawing/2014/main" id="{40940821-B0BE-E18F-719C-A5E2B7C27F4E}"/>
                  </a:ext>
                </a:extLst>
              </xdr:cNvPr>
              <xdr:cNvSpPr txBox="1"/>
            </xdr:nvSpPr>
            <xdr:spPr>
              <a:xfrm>
                <a:off x="27905472" y="21518786"/>
                <a:ext cx="2627579" cy="741682"/>
              </a:xfrm>
              <a:prstGeom prst="rect">
                <a:avLst/>
              </a:prstGeom>
              <a:solidFill>
                <a:schemeClr val="bg1">
                  <a:lumMod val="5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marL="0" indent="0" algn="ctr" defTabSz="914400" rtl="0" eaLnBrk="1" latinLnBrk="0" hangingPunct="1"/>
                <a:fld id="{D409B9A9-D3FD-4B1B-B250-C059B62595F9}" type="TxLink">
                  <a:rPr lang="en-US" sz="1100" b="0" i="0" u="none" strike="noStrike" kern="1200">
                    <a:solidFill>
                      <a:schemeClr val="bg1"/>
                    </a:solidFill>
                    <a:latin typeface="+mn-lt"/>
                    <a:ea typeface="Calibri"/>
                    <a:cs typeface="Calibri"/>
                  </a:rPr>
                  <a:pPr marL="0" indent="0" algn="ctr" defTabSz="914400" rtl="0" eaLnBrk="1" latinLnBrk="0" hangingPunct="1"/>
                  <a:t>Contractor 2 / DC operator: Internal rate of return: 6.83 % (considering calculatory life time of 15 years)</a:t>
                </a:fld>
                <a:endParaRPr lang="en-US" sz="1100" b="0" i="0" u="none" strike="noStrike" kern="1200">
                  <a:solidFill>
                    <a:schemeClr val="bg1"/>
                  </a:solidFill>
                  <a:latin typeface="+mn-lt"/>
                  <a:ea typeface="Calibri"/>
                  <a:cs typeface="Calibri"/>
                </a:endParaRPr>
              </a:p>
            </xdr:txBody>
          </xdr:sp>
          <xdr:sp macro="" textlink="$S$58">
            <xdr:nvSpPr>
              <xdr:cNvPr id="36" name="TextBox 283">
                <a:extLst>
                  <a:ext uri="{FF2B5EF4-FFF2-40B4-BE49-F238E27FC236}">
                    <a16:creationId xmlns:a16="http://schemas.microsoft.com/office/drawing/2014/main" id="{3A356903-C5F9-53A8-9F7E-5A810453E369}"/>
                  </a:ext>
                </a:extLst>
              </xdr:cNvPr>
              <xdr:cNvSpPr txBox="1"/>
            </xdr:nvSpPr>
            <xdr:spPr>
              <a:xfrm>
                <a:off x="33741856" y="22506708"/>
                <a:ext cx="4967205" cy="404554"/>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defTabSz="914400" rtl="0" eaLnBrk="1" latinLnBrk="0" hangingPunct="1"/>
                <a:fld id="{A1CF2CED-9C10-4D7C-ADBF-CA6410162D54}" type="TxLink">
                  <a:rPr lang="en-US" sz="1100" b="0" i="0" u="none" strike="noStrike" kern="1200">
                    <a:solidFill>
                      <a:schemeClr val="bg1"/>
                    </a:solidFill>
                    <a:latin typeface="+mn-lt"/>
                    <a:ea typeface="Calibri"/>
                    <a:cs typeface="Calibri"/>
                  </a:rPr>
                  <a:pPr marL="0" indent="0" algn="ctr" defTabSz="914400" rtl="0" eaLnBrk="1" latinLnBrk="0" hangingPunct="1"/>
                  <a:t>Break-even price for waste heat supplied by DC: -3.17 EUR/MWh_provided_by_DH</a:t>
                </a:fld>
                <a:endParaRPr lang="en-US" sz="1100" b="0" i="0" u="none" strike="noStrike" kern="1200">
                  <a:solidFill>
                    <a:schemeClr val="bg1"/>
                  </a:solidFill>
                  <a:latin typeface="+mn-lt"/>
                  <a:ea typeface="Calibri"/>
                  <a:cs typeface="Calibri"/>
                </a:endParaRPr>
              </a:p>
            </xdr:txBody>
          </xdr:sp>
          <xdr:sp macro="" textlink="$S$61">
            <xdr:nvSpPr>
              <xdr:cNvPr id="37" name="TextBox 1">
                <a:extLst>
                  <a:ext uri="{FF2B5EF4-FFF2-40B4-BE49-F238E27FC236}">
                    <a16:creationId xmlns:a16="http://schemas.microsoft.com/office/drawing/2014/main" id="{1A1C1585-C762-9A4C-2F04-30937588359D}"/>
                  </a:ext>
                </a:extLst>
              </xdr:cNvPr>
              <xdr:cNvSpPr txBox="1"/>
            </xdr:nvSpPr>
            <xdr:spPr>
              <a:xfrm>
                <a:off x="27905472" y="22470451"/>
                <a:ext cx="2627579" cy="404554"/>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defTabSz="914400" rtl="0" eaLnBrk="1" latinLnBrk="0" hangingPunct="1"/>
                <a:fld id="{2A09ACAD-76C0-4E7C-BC12-D4E60ACFFA5F}" type="TxLink">
                  <a:rPr lang="en-US" sz="1100" b="0" i="0" u="none" strike="noStrike" kern="1200">
                    <a:solidFill>
                      <a:schemeClr val="bg1"/>
                    </a:solidFill>
                    <a:latin typeface="+mn-lt"/>
                    <a:ea typeface="Calibri"/>
                    <a:cs typeface="Calibri"/>
                  </a:rPr>
                  <a:pPr marL="0" indent="0" algn="ctr" defTabSz="914400" rtl="0" eaLnBrk="1" latinLnBrk="0" hangingPunct="1"/>
                  <a:t>Break-even price for waste heat supplied by DC: 1.52 EUR/MWh_provided_by_DC</a:t>
                </a:fld>
                <a:endParaRPr lang="en-US" sz="1100" b="0" i="0" u="none" strike="noStrike" kern="1200">
                  <a:solidFill>
                    <a:schemeClr val="bg1"/>
                  </a:solidFill>
                  <a:latin typeface="+mn-lt"/>
                  <a:ea typeface="Calibri"/>
                  <a:cs typeface="Calibri"/>
                </a:endParaRPr>
              </a:p>
            </xdr:txBody>
          </xdr:sp>
          <xdr:sp macro="" textlink="$S$62">
            <xdr:nvSpPr>
              <xdr:cNvPr id="38" name="TextBox 1">
                <a:extLst>
                  <a:ext uri="{FF2B5EF4-FFF2-40B4-BE49-F238E27FC236}">
                    <a16:creationId xmlns:a16="http://schemas.microsoft.com/office/drawing/2014/main" id="{71ACD630-664C-FB5D-E451-B1E25705394D}"/>
                  </a:ext>
                </a:extLst>
              </xdr:cNvPr>
              <xdr:cNvSpPr txBox="1"/>
            </xdr:nvSpPr>
            <xdr:spPr>
              <a:xfrm>
                <a:off x="27905472" y="22931818"/>
                <a:ext cx="2627579" cy="404554"/>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defTabSz="914400" rtl="0" eaLnBrk="1" latinLnBrk="0" hangingPunct="1"/>
                <a:fld id="{68A4837C-6153-44F2-81D9-B520670B5EC4}" type="TxLink">
                  <a:rPr lang="en-US" sz="1100" b="0" i="0" u="none" strike="noStrike" kern="1200">
                    <a:solidFill>
                      <a:schemeClr val="bg1"/>
                    </a:solidFill>
                    <a:latin typeface="+mn-lt"/>
                    <a:ea typeface="Calibri"/>
                    <a:cs typeface="Calibri"/>
                  </a:rPr>
                  <a:pPr marL="0" indent="0" algn="ctr" defTabSz="914400" rtl="0" eaLnBrk="1" latinLnBrk="0" hangingPunct="1"/>
                  <a:t>Break-even price for waste heat utilised by HP: 1.61 EUR/MWh_utilized_by_HP</a:t>
                </a:fld>
                <a:endParaRPr lang="en-US" sz="1100" b="0" i="0" u="none" strike="noStrike" kern="1200">
                  <a:solidFill>
                    <a:schemeClr val="bg1"/>
                  </a:solidFill>
                  <a:latin typeface="+mn-lt"/>
                  <a:ea typeface="Calibri"/>
                  <a:cs typeface="Calibri"/>
                </a:endParaRPr>
              </a:p>
            </xdr:txBody>
          </xdr:sp>
          <xdr:sp macro="" textlink="$S$59">
            <xdr:nvSpPr>
              <xdr:cNvPr id="39" name="TextBox 283">
                <a:extLst>
                  <a:ext uri="{FF2B5EF4-FFF2-40B4-BE49-F238E27FC236}">
                    <a16:creationId xmlns:a16="http://schemas.microsoft.com/office/drawing/2014/main" id="{3E5943F0-8B10-F333-CC36-A42D0CCF1010}"/>
                  </a:ext>
                </a:extLst>
              </xdr:cNvPr>
              <xdr:cNvSpPr txBox="1"/>
            </xdr:nvSpPr>
            <xdr:spPr>
              <a:xfrm>
                <a:off x="33741856" y="22970947"/>
                <a:ext cx="4967205" cy="370841"/>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oAutofit/>
              </a:bodyPr>
              <a:lstStyle/>
              <a:p>
                <a:pPr marL="0" indent="0" algn="ctr" defTabSz="914400" rtl="0" eaLnBrk="1" latinLnBrk="0" hangingPunct="1"/>
                <a:fld id="{FBD8919C-3DA0-4206-B6D2-3CB1F07CB03D}" type="TxLink">
                  <a:rPr lang="en-US" sz="1100" b="0" i="0" u="none" strike="noStrike" kern="1200">
                    <a:solidFill>
                      <a:schemeClr val="bg1"/>
                    </a:solidFill>
                    <a:latin typeface="+mn-lt"/>
                    <a:ea typeface="Calibri"/>
                    <a:cs typeface="Calibri"/>
                  </a:rPr>
                  <a:pPr marL="0" indent="0" algn="ctr" defTabSz="914400" rtl="0" eaLnBrk="1" latinLnBrk="0" hangingPunct="1"/>
                  <a:t>Break-even price for waste heat utilised by HP: -3.36 EUR/MWh_utilised_by_HP</a:t>
                </a:fld>
                <a:endParaRPr lang="en-US" sz="1100" b="0" i="0" u="none" strike="noStrike" kern="1200">
                  <a:solidFill>
                    <a:schemeClr val="bg1"/>
                  </a:solidFill>
                  <a:latin typeface="+mn-lt"/>
                  <a:ea typeface="Calibri"/>
                  <a:cs typeface="Calibri"/>
                </a:endParaRPr>
              </a:p>
            </xdr:txBody>
          </xdr:sp>
          <xdr:sp macro="" textlink="$S$60">
            <xdr:nvSpPr>
              <xdr:cNvPr id="40" name="TextBox 283">
                <a:extLst>
                  <a:ext uri="{FF2B5EF4-FFF2-40B4-BE49-F238E27FC236}">
                    <a16:creationId xmlns:a16="http://schemas.microsoft.com/office/drawing/2014/main" id="{D231B34D-1EC5-D024-AE24-491E08F8E037}"/>
                  </a:ext>
                </a:extLst>
              </xdr:cNvPr>
              <xdr:cNvSpPr txBox="1"/>
            </xdr:nvSpPr>
            <xdr:spPr>
              <a:xfrm>
                <a:off x="38866862" y="22508429"/>
                <a:ext cx="3059510" cy="8091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marL="0" indent="0" algn="ctr" defTabSz="914400" rtl="0" eaLnBrk="1" latinLnBrk="0" hangingPunct="1"/>
                <a:fld id="{0DA96964-74AE-4A31-9D4C-62C953E08A03}" type="TxLink">
                  <a:rPr lang="en-US" sz="1100" b="0" i="0" u="none" strike="noStrike" kern="1200">
                    <a:solidFill>
                      <a:schemeClr val="bg1"/>
                    </a:solidFill>
                    <a:latin typeface="+mn-lt"/>
                    <a:ea typeface="Calibri"/>
                    <a:cs typeface="Calibri"/>
                  </a:rPr>
                  <a:pPr marL="0" indent="0" algn="ctr" defTabSz="914400" rtl="0" eaLnBrk="1" latinLnBrk="0" hangingPunct="1"/>
                  <a:t>Break-even price for waste heat fed into DH grid: -2.4 EUR/MWh_fed_into_grid</a:t>
                </a:fld>
                <a:endParaRPr lang="en-US" sz="1100" b="0" i="0" u="none" strike="noStrike" kern="1200">
                  <a:solidFill>
                    <a:schemeClr val="bg1"/>
                  </a:solidFill>
                  <a:latin typeface="+mn-lt"/>
                  <a:ea typeface="Calibri"/>
                  <a:cs typeface="Calibri"/>
                </a:endParaRPr>
              </a:p>
            </xdr:txBody>
          </xdr:sp>
        </xdr:grpSp>
        <xdr:sp macro="" textlink="">
          <xdr:nvSpPr>
            <xdr:cNvPr id="32" name="Rectangle 131">
              <a:extLst>
                <a:ext uri="{FF2B5EF4-FFF2-40B4-BE49-F238E27FC236}">
                  <a16:creationId xmlns:a16="http://schemas.microsoft.com/office/drawing/2014/main" id="{AA562CBE-C1FB-CC9E-931D-50C145A46F83}"/>
                </a:ext>
              </a:extLst>
            </xdr:cNvPr>
            <xdr:cNvSpPr/>
          </xdr:nvSpPr>
          <xdr:spPr>
            <a:xfrm>
              <a:off x="26574326" y="18591986"/>
              <a:ext cx="548800" cy="9501532"/>
            </a:xfrm>
            <a:prstGeom prst="rect">
              <a:avLst/>
            </a:prstGeom>
            <a:solidFill>
              <a:srgbClr val="00659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vert270" wrap="square" rtlCol="0" anchor="ctr"/>
            <a:lstStyle>
              <a:defPPr>
                <a:defRPr lang="de-DE"/>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de-AT" sz="2000" b="1">
                  <a:latin typeface="+mn-lt"/>
                </a:rPr>
                <a:t>OUTPUT</a:t>
              </a:r>
            </a:p>
          </xdr:txBody>
        </xdr:sp>
      </xdr:grpSp>
      <xdr:sp macro="" textlink="">
        <xdr:nvSpPr>
          <xdr:cNvPr id="24" name="TextBox 273">
            <a:extLst>
              <a:ext uri="{FF2B5EF4-FFF2-40B4-BE49-F238E27FC236}">
                <a16:creationId xmlns:a16="http://schemas.microsoft.com/office/drawing/2014/main" id="{6980BAAE-53FC-D2F3-0137-23EE30CBEFC1}"/>
              </a:ext>
            </a:extLst>
          </xdr:cNvPr>
          <xdr:cNvSpPr txBox="1"/>
        </xdr:nvSpPr>
        <xdr:spPr>
          <a:xfrm>
            <a:off x="27245934" y="15379516"/>
            <a:ext cx="156617" cy="462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lIns="0" tIns="0" rIns="0" bIns="0" rtlCol="0" anchor="t">
            <a:spAutoFit/>
          </a:bodyPr>
          <a:lstStyle/>
          <a:p>
            <a:pPr marL="0" indent="0" algn="ctr" defTabSz="914400" rtl="0" eaLnBrk="1" latinLnBrk="0" hangingPunct="1"/>
            <a:r>
              <a:rPr lang="en-US" sz="1000" b="0" i="0" u="none" strike="noStrike" kern="1200" baseline="0">
                <a:solidFill>
                  <a:srgbClr val="12355B"/>
                </a:solidFill>
                <a:latin typeface="+mn-lt"/>
                <a:ea typeface="Calibri"/>
                <a:cs typeface="Calibri"/>
              </a:rPr>
              <a:t>Actor</a:t>
            </a:r>
          </a:p>
        </xdr:txBody>
      </xdr:sp>
    </xdr:grpSp>
    <xdr:clientData/>
  </xdr:twoCellAnchor>
  <xdr:twoCellAnchor>
    <xdr:from>
      <xdr:col>7</xdr:col>
      <xdr:colOff>1257387</xdr:colOff>
      <xdr:row>78</xdr:row>
      <xdr:rowOff>169997</xdr:rowOff>
    </xdr:from>
    <xdr:to>
      <xdr:col>11</xdr:col>
      <xdr:colOff>1118276</xdr:colOff>
      <xdr:row>81</xdr:row>
      <xdr:rowOff>51664</xdr:rowOff>
    </xdr:to>
    <xdr:sp macro="" textlink="$S$77">
      <xdr:nvSpPr>
        <xdr:cNvPr id="179" name="Rechteck 2">
          <a:extLst>
            <a:ext uri="{FF2B5EF4-FFF2-40B4-BE49-F238E27FC236}">
              <a16:creationId xmlns:a16="http://schemas.microsoft.com/office/drawing/2014/main" id="{C9306FE4-E0DA-4CDC-BE95-2EDE9D9145D8}"/>
            </a:ext>
          </a:extLst>
        </xdr:cNvPr>
        <xdr:cNvSpPr/>
      </xdr:nvSpPr>
      <xdr:spPr>
        <a:xfrm>
          <a:off x="11125287" y="7850957"/>
          <a:ext cx="5499689" cy="430307"/>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3D3C8F14-9AAF-4A16-803E-0A9399B03FCF}" type="TxLink">
            <a:rPr lang="en-US" sz="1000" b="0" i="0" u="none" strike="noStrike">
              <a:solidFill>
                <a:srgbClr val="12355B"/>
              </a:solidFill>
              <a:latin typeface="+mn-lt"/>
              <a:ea typeface="Calibri"/>
              <a:cs typeface="Calibri"/>
            </a:rPr>
            <a:pPr marL="0" indent="0" algn="ctr"/>
            <a:t>Contractor 1's investments (incl. subsidies, excl. cost share of heat recovery): 4815 kEUR (lump-sum)</a:t>
          </a:fld>
          <a:endParaRPr lang="de-DE" sz="1000" b="0" i="0" u="none" strike="noStrike">
            <a:solidFill>
              <a:srgbClr val="12355B"/>
            </a:solidFill>
            <a:latin typeface="+mn-lt"/>
            <a:ea typeface="Calibri"/>
            <a:cs typeface="Calibri"/>
          </a:endParaRPr>
        </a:p>
      </xdr:txBody>
    </xdr:sp>
    <xdr:clientData/>
  </xdr:twoCellAnchor>
  <xdr:twoCellAnchor>
    <xdr:from>
      <xdr:col>7</xdr:col>
      <xdr:colOff>1249788</xdr:colOff>
      <xdr:row>81</xdr:row>
      <xdr:rowOff>141867</xdr:rowOff>
    </xdr:from>
    <xdr:to>
      <xdr:col>11</xdr:col>
      <xdr:colOff>1110677</xdr:colOff>
      <xdr:row>84</xdr:row>
      <xdr:rowOff>23534</xdr:rowOff>
    </xdr:to>
    <xdr:sp macro="" textlink="$S$78">
      <xdr:nvSpPr>
        <xdr:cNvPr id="180" name="Rechteck 2">
          <a:extLst>
            <a:ext uri="{FF2B5EF4-FFF2-40B4-BE49-F238E27FC236}">
              <a16:creationId xmlns:a16="http://schemas.microsoft.com/office/drawing/2014/main" id="{54214D33-6AC9-4209-A1C4-B82BDC3A030A}"/>
            </a:ext>
          </a:extLst>
        </xdr:cNvPr>
        <xdr:cNvSpPr/>
      </xdr:nvSpPr>
      <xdr:spPr>
        <a:xfrm>
          <a:off x="11117688" y="8371467"/>
          <a:ext cx="5499689" cy="430307"/>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C79102FA-8732-4ECB-A4E3-27C522A19A19}" type="TxLink">
            <a:rPr lang="en-US" sz="1000" b="0" i="0" u="none" strike="noStrike">
              <a:solidFill>
                <a:srgbClr val="12355B"/>
              </a:solidFill>
              <a:latin typeface="+mn-lt"/>
              <a:ea typeface="Calibri"/>
              <a:cs typeface="Calibri"/>
            </a:rPr>
            <a:pPr marL="0" indent="0" algn="ctr"/>
            <a:t>Contractor 1's annual operation independent expenses (excl. cost share of heat recovery): 348.5 kEUR/yr</a:t>
          </a:fld>
          <a:endParaRPr lang="de-DE" sz="1000" b="0" i="0" u="none" strike="noStrike">
            <a:solidFill>
              <a:srgbClr val="12355B"/>
            </a:solidFill>
            <a:latin typeface="+mn-lt"/>
            <a:ea typeface="Calibri"/>
            <a:cs typeface="Calibri"/>
          </a:endParaRPr>
        </a:p>
      </xdr:txBody>
    </xdr:sp>
    <xdr:clientData/>
  </xdr:twoCellAnchor>
  <xdr:twoCellAnchor>
    <xdr:from>
      <xdr:col>7</xdr:col>
      <xdr:colOff>1257387</xdr:colOff>
      <xdr:row>84</xdr:row>
      <xdr:rowOff>128894</xdr:rowOff>
    </xdr:from>
    <xdr:to>
      <xdr:col>11</xdr:col>
      <xdr:colOff>1118276</xdr:colOff>
      <xdr:row>86</xdr:row>
      <xdr:rowOff>52894</xdr:rowOff>
    </xdr:to>
    <xdr:sp macro="" textlink="$S$79">
      <xdr:nvSpPr>
        <xdr:cNvPr id="181" name="Rechteck 2">
          <a:extLst>
            <a:ext uri="{FF2B5EF4-FFF2-40B4-BE49-F238E27FC236}">
              <a16:creationId xmlns:a16="http://schemas.microsoft.com/office/drawing/2014/main" id="{8729ED26-95C7-4730-92A3-36DEAAD62AB9}"/>
            </a:ext>
          </a:extLst>
        </xdr:cNvPr>
        <xdr:cNvSpPr/>
      </xdr:nvSpPr>
      <xdr:spPr>
        <a:xfrm>
          <a:off x="11125287" y="8907134"/>
          <a:ext cx="5499689" cy="289760"/>
        </a:xfrm>
        <a:prstGeom prst="rect">
          <a:avLst/>
        </a:prstGeom>
        <a:solidFill>
          <a:schemeClr val="bg1"/>
        </a:solidFill>
        <a:ln w="12700" cmpd="sng">
          <a:solidFill>
            <a:srgbClr val="3F816D"/>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ctr">
          <a:noAutofit/>
        </a:bodyPr>
        <a:lstStyle/>
        <a:p>
          <a:pPr marL="0" indent="0" algn="ctr"/>
          <a:fld id="{8A4B53C6-034E-4BED-92CC-824AFB91E434}" type="TxLink">
            <a:rPr lang="en-US" sz="1000" b="0" i="0" u="none" strike="noStrike">
              <a:solidFill>
                <a:srgbClr val="12355B"/>
              </a:solidFill>
              <a:latin typeface="+mn-lt"/>
              <a:ea typeface="Calibri"/>
              <a:cs typeface="Calibri"/>
            </a:rPr>
            <a:pPr marL="0" indent="0" algn="ctr"/>
            <a:t>Contractor 1's annual variable costs (excl. cost share of heat recovery): 615 kEUR/yr</a:t>
          </a:fld>
          <a:endParaRPr lang="de-DE" sz="1000" b="0" i="0" u="none" strike="noStrike">
            <a:solidFill>
              <a:srgbClr val="12355B"/>
            </a:solidFill>
            <a:latin typeface="+mn-lt"/>
            <a:ea typeface="Calibri"/>
            <a:cs typeface="Calibri"/>
          </a:endParaRPr>
        </a:p>
      </xdr:txBody>
    </xdr:sp>
    <xdr:clientData/>
  </xdr:twoCellAnchor>
  <xdr:twoCellAnchor>
    <xdr:from>
      <xdr:col>4</xdr:col>
      <xdr:colOff>317175</xdr:colOff>
      <xdr:row>81</xdr:row>
      <xdr:rowOff>13355</xdr:rowOff>
    </xdr:from>
    <xdr:to>
      <xdr:col>6</xdr:col>
      <xdr:colOff>689186</xdr:colOff>
      <xdr:row>84</xdr:row>
      <xdr:rowOff>3022</xdr:rowOff>
    </xdr:to>
    <xdr:sp macro="" textlink="">
      <xdr:nvSpPr>
        <xdr:cNvPr id="182" name="Rechteck 181">
          <a:extLst>
            <a:ext uri="{FF2B5EF4-FFF2-40B4-BE49-F238E27FC236}">
              <a16:creationId xmlns:a16="http://schemas.microsoft.com/office/drawing/2014/main" id="{F53C283C-F09B-4999-9FF1-D262986F11A2}"/>
            </a:ext>
          </a:extLst>
        </xdr:cNvPr>
        <xdr:cNvSpPr/>
      </xdr:nvSpPr>
      <xdr:spPr>
        <a:xfrm>
          <a:off x="5955975" y="8242955"/>
          <a:ext cx="3191411" cy="538307"/>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a:solidFill>
                <a:schemeClr val="tx2"/>
              </a:solidFill>
              <a:latin typeface="+mn-lt"/>
            </a:rPr>
            <a:t>Shares are to be defined in sheet </a:t>
          </a:r>
          <a:br>
            <a:rPr lang="de-DE" sz="1100">
              <a:solidFill>
                <a:schemeClr val="tx2"/>
              </a:solidFill>
              <a:latin typeface="+mn-lt"/>
            </a:rPr>
          </a:br>
          <a:r>
            <a:rPr lang="de-DE" sz="1100">
              <a:solidFill>
                <a:schemeClr val="tx2"/>
              </a:solidFill>
              <a:latin typeface="+mn-lt"/>
            </a:rPr>
            <a:t>&gt;</a:t>
          </a:r>
          <a:r>
            <a:rPr lang="de-DE" sz="1100" i="1" u="sng">
              <a:solidFill>
                <a:schemeClr val="tx2"/>
              </a:solidFill>
              <a:latin typeface="+mn-lt"/>
            </a:rPr>
            <a:t>Main Results - IRR DC Operator</a:t>
          </a:r>
          <a:r>
            <a:rPr lang="de-DE" sz="1100">
              <a:solidFill>
                <a:schemeClr val="tx2"/>
              </a:solidFill>
              <a:latin typeface="+mn-lt"/>
            </a:rPr>
            <a:t>&lt;</a:t>
          </a:r>
        </a:p>
      </xdr:txBody>
    </xdr:sp>
    <xdr:clientData/>
  </xdr:twoCellAnchor>
  <xdr:twoCellAnchor>
    <xdr:from>
      <xdr:col>3</xdr:col>
      <xdr:colOff>576471</xdr:colOff>
      <xdr:row>78</xdr:row>
      <xdr:rowOff>164794</xdr:rowOff>
    </xdr:from>
    <xdr:to>
      <xdr:col>4</xdr:col>
      <xdr:colOff>317175</xdr:colOff>
      <xdr:row>82</xdr:row>
      <xdr:rowOff>99912</xdr:rowOff>
    </xdr:to>
    <xdr:cxnSp macro="">
      <xdr:nvCxnSpPr>
        <xdr:cNvPr id="183" name="Verbinder: gewinkelt 182">
          <a:extLst>
            <a:ext uri="{FF2B5EF4-FFF2-40B4-BE49-F238E27FC236}">
              <a16:creationId xmlns:a16="http://schemas.microsoft.com/office/drawing/2014/main" id="{A34240A9-BCDA-48E7-BCFA-9AAC66053625}"/>
            </a:ext>
          </a:extLst>
        </xdr:cNvPr>
        <xdr:cNvCxnSpPr>
          <a:stCxn id="182" idx="1"/>
        </xdr:cNvCxnSpPr>
      </xdr:nvCxnSpPr>
      <xdr:spPr>
        <a:xfrm rot="10800000">
          <a:off x="4805571" y="7845754"/>
          <a:ext cx="1150404" cy="666638"/>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689186</xdr:colOff>
      <xdr:row>78</xdr:row>
      <xdr:rowOff>164789</xdr:rowOff>
    </xdr:from>
    <xdr:to>
      <xdr:col>6</xdr:col>
      <xdr:colOff>1023160</xdr:colOff>
      <xdr:row>82</xdr:row>
      <xdr:rowOff>99911</xdr:rowOff>
    </xdr:to>
    <xdr:cxnSp macro="">
      <xdr:nvCxnSpPr>
        <xdr:cNvPr id="184" name="Verbinder: gewinkelt 183">
          <a:extLst>
            <a:ext uri="{FF2B5EF4-FFF2-40B4-BE49-F238E27FC236}">
              <a16:creationId xmlns:a16="http://schemas.microsoft.com/office/drawing/2014/main" id="{E02C0E21-3A52-40AF-8150-8F72E5723721}"/>
            </a:ext>
          </a:extLst>
        </xdr:cNvPr>
        <xdr:cNvCxnSpPr>
          <a:stCxn id="182" idx="3"/>
        </xdr:cNvCxnSpPr>
      </xdr:nvCxnSpPr>
      <xdr:spPr>
        <a:xfrm flipV="1">
          <a:off x="9147386" y="7845749"/>
          <a:ext cx="333974" cy="666642"/>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337970</xdr:colOff>
      <xdr:row>48</xdr:row>
      <xdr:rowOff>147480</xdr:rowOff>
    </xdr:from>
    <xdr:to>
      <xdr:col>4</xdr:col>
      <xdr:colOff>340370</xdr:colOff>
      <xdr:row>51</xdr:row>
      <xdr:rowOff>30841</xdr:rowOff>
    </xdr:to>
    <xdr:sp macro="" textlink="">
      <xdr:nvSpPr>
        <xdr:cNvPr id="185" name="Ellipse 184">
          <a:extLst>
            <a:ext uri="{FF2B5EF4-FFF2-40B4-BE49-F238E27FC236}">
              <a16:creationId xmlns:a16="http://schemas.microsoft.com/office/drawing/2014/main" id="{026507BA-2DF5-4F29-9A22-A88F60E5BB28}"/>
            </a:ext>
          </a:extLst>
        </xdr:cNvPr>
        <xdr:cNvSpPr/>
      </xdr:nvSpPr>
      <xdr:spPr>
        <a:xfrm>
          <a:off x="4567070" y="2342040"/>
          <a:ext cx="1412100" cy="432001"/>
        </a:xfrm>
        <a:prstGeom prst="ellipse">
          <a:avLst/>
        </a:prstGeom>
        <a:solidFill>
          <a:srgbClr val="54688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B1</a:t>
          </a:r>
        </a:p>
      </xdr:txBody>
    </xdr:sp>
    <xdr:clientData/>
  </xdr:twoCellAnchor>
  <xdr:twoCellAnchor>
    <xdr:from>
      <xdr:col>6</xdr:col>
      <xdr:colOff>612260</xdr:colOff>
      <xdr:row>48</xdr:row>
      <xdr:rowOff>147480</xdr:rowOff>
    </xdr:from>
    <xdr:to>
      <xdr:col>6</xdr:col>
      <xdr:colOff>1224260</xdr:colOff>
      <xdr:row>51</xdr:row>
      <xdr:rowOff>30276</xdr:rowOff>
    </xdr:to>
    <xdr:sp macro="" textlink="">
      <xdr:nvSpPr>
        <xdr:cNvPr id="186" name="Ellipse 185">
          <a:extLst>
            <a:ext uri="{FF2B5EF4-FFF2-40B4-BE49-F238E27FC236}">
              <a16:creationId xmlns:a16="http://schemas.microsoft.com/office/drawing/2014/main" id="{0C4D63C6-86D9-4716-8266-A419024B5F6A}"/>
            </a:ext>
          </a:extLst>
        </xdr:cNvPr>
        <xdr:cNvSpPr/>
      </xdr:nvSpPr>
      <xdr:spPr>
        <a:xfrm>
          <a:off x="9070460" y="2342040"/>
          <a:ext cx="612000" cy="431436"/>
        </a:xfrm>
        <a:prstGeom prst="ellipse">
          <a:avLst/>
        </a:prstGeom>
        <a:solidFill>
          <a:srgbClr val="54688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B2</a:t>
          </a:r>
        </a:p>
      </xdr:txBody>
    </xdr:sp>
    <xdr:clientData/>
  </xdr:twoCellAnchor>
  <xdr:twoCellAnchor>
    <xdr:from>
      <xdr:col>11</xdr:col>
      <xdr:colOff>1018634</xdr:colOff>
      <xdr:row>48</xdr:row>
      <xdr:rowOff>147480</xdr:rowOff>
    </xdr:from>
    <xdr:to>
      <xdr:col>12</xdr:col>
      <xdr:colOff>106634</xdr:colOff>
      <xdr:row>51</xdr:row>
      <xdr:rowOff>30276</xdr:rowOff>
    </xdr:to>
    <xdr:sp macro="" textlink="">
      <xdr:nvSpPr>
        <xdr:cNvPr id="187" name="Ellipse 186">
          <a:extLst>
            <a:ext uri="{FF2B5EF4-FFF2-40B4-BE49-F238E27FC236}">
              <a16:creationId xmlns:a16="http://schemas.microsoft.com/office/drawing/2014/main" id="{861A8695-F0C1-4188-9359-DE1F0C3BE924}"/>
            </a:ext>
          </a:extLst>
        </xdr:cNvPr>
        <xdr:cNvSpPr/>
      </xdr:nvSpPr>
      <xdr:spPr>
        <a:xfrm>
          <a:off x="16525334" y="2342040"/>
          <a:ext cx="497700" cy="431436"/>
        </a:xfrm>
        <a:prstGeom prst="ellipse">
          <a:avLst/>
        </a:prstGeom>
        <a:solidFill>
          <a:srgbClr val="54688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B3</a:t>
          </a:r>
        </a:p>
      </xdr:txBody>
    </xdr:sp>
    <xdr:clientData/>
  </xdr:twoCellAnchor>
  <xdr:twoCellAnchor>
    <xdr:from>
      <xdr:col>0</xdr:col>
      <xdr:colOff>533401</xdr:colOff>
      <xdr:row>140</xdr:row>
      <xdr:rowOff>67730</xdr:rowOff>
    </xdr:from>
    <xdr:to>
      <xdr:col>11</xdr:col>
      <xdr:colOff>1456623</xdr:colOff>
      <xdr:row>173</xdr:row>
      <xdr:rowOff>134063</xdr:rowOff>
    </xdr:to>
    <xdr:graphicFrame macro="">
      <xdr:nvGraphicFramePr>
        <xdr:cNvPr id="188" name="Diagramm 187">
          <a:extLst>
            <a:ext uri="{FF2B5EF4-FFF2-40B4-BE49-F238E27FC236}">
              <a16:creationId xmlns:a16="http://schemas.microsoft.com/office/drawing/2014/main" id="{191D739B-6DD7-468A-A14A-5E154C6A86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335280</xdr:colOff>
      <xdr:row>88</xdr:row>
      <xdr:rowOff>248157</xdr:rowOff>
    </xdr:from>
    <xdr:to>
      <xdr:col>4</xdr:col>
      <xdr:colOff>337680</xdr:colOff>
      <xdr:row>90</xdr:row>
      <xdr:rowOff>167077</xdr:rowOff>
    </xdr:to>
    <xdr:sp macro="" textlink="">
      <xdr:nvSpPr>
        <xdr:cNvPr id="189" name="Ellipse 188">
          <a:extLst>
            <a:ext uri="{FF2B5EF4-FFF2-40B4-BE49-F238E27FC236}">
              <a16:creationId xmlns:a16="http://schemas.microsoft.com/office/drawing/2014/main" id="{E8E39450-3B59-4261-95BE-F6477222F121}"/>
            </a:ext>
          </a:extLst>
        </xdr:cNvPr>
        <xdr:cNvSpPr/>
      </xdr:nvSpPr>
      <xdr:spPr>
        <a:xfrm>
          <a:off x="3905794" y="10404528"/>
          <a:ext cx="612000" cy="441435"/>
        </a:xfrm>
        <a:prstGeom prst="ellipse">
          <a:avLst/>
        </a:prstGeom>
        <a:solidFill>
          <a:srgbClr val="54688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B1</a:t>
          </a:r>
        </a:p>
      </xdr:txBody>
    </xdr:sp>
    <xdr:clientData/>
  </xdr:twoCellAnchor>
  <xdr:twoCellAnchor>
    <xdr:from>
      <xdr:col>6</xdr:col>
      <xdr:colOff>609570</xdr:colOff>
      <xdr:row>88</xdr:row>
      <xdr:rowOff>250697</xdr:rowOff>
    </xdr:from>
    <xdr:to>
      <xdr:col>6</xdr:col>
      <xdr:colOff>1221570</xdr:colOff>
      <xdr:row>90</xdr:row>
      <xdr:rowOff>164537</xdr:rowOff>
    </xdr:to>
    <xdr:sp macro="" textlink="">
      <xdr:nvSpPr>
        <xdr:cNvPr id="190" name="Ellipse 189">
          <a:extLst>
            <a:ext uri="{FF2B5EF4-FFF2-40B4-BE49-F238E27FC236}">
              <a16:creationId xmlns:a16="http://schemas.microsoft.com/office/drawing/2014/main" id="{7D7D2E94-3875-420F-B0DF-7023EF51706F}"/>
            </a:ext>
          </a:extLst>
        </xdr:cNvPr>
        <xdr:cNvSpPr/>
      </xdr:nvSpPr>
      <xdr:spPr>
        <a:xfrm>
          <a:off x="6912399" y="10407068"/>
          <a:ext cx="612000" cy="436355"/>
        </a:xfrm>
        <a:prstGeom prst="ellipse">
          <a:avLst/>
        </a:prstGeom>
        <a:solidFill>
          <a:srgbClr val="54688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B2</a:t>
          </a:r>
        </a:p>
      </xdr:txBody>
    </xdr:sp>
    <xdr:clientData/>
  </xdr:twoCellAnchor>
  <xdr:twoCellAnchor>
    <xdr:from>
      <xdr:col>11</xdr:col>
      <xdr:colOff>1044166</xdr:colOff>
      <xdr:row>88</xdr:row>
      <xdr:rowOff>252108</xdr:rowOff>
    </xdr:from>
    <xdr:to>
      <xdr:col>12</xdr:col>
      <xdr:colOff>132166</xdr:colOff>
      <xdr:row>90</xdr:row>
      <xdr:rowOff>165948</xdr:rowOff>
    </xdr:to>
    <xdr:sp macro="" textlink="">
      <xdr:nvSpPr>
        <xdr:cNvPr id="191" name="Ellipse 190">
          <a:extLst>
            <a:ext uri="{FF2B5EF4-FFF2-40B4-BE49-F238E27FC236}">
              <a16:creationId xmlns:a16="http://schemas.microsoft.com/office/drawing/2014/main" id="{DAA19D22-14FC-49B3-BA4C-012EDFD3EB0B}"/>
            </a:ext>
          </a:extLst>
        </xdr:cNvPr>
        <xdr:cNvSpPr/>
      </xdr:nvSpPr>
      <xdr:spPr>
        <a:xfrm>
          <a:off x="13116423" y="10408479"/>
          <a:ext cx="601114" cy="436355"/>
        </a:xfrm>
        <a:prstGeom prst="ellipse">
          <a:avLst/>
        </a:prstGeom>
        <a:solidFill>
          <a:srgbClr val="54688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latin typeface="+mn-lt"/>
            </a:rPr>
            <a:t>B3</a:t>
          </a:r>
        </a:p>
      </xdr:txBody>
    </xdr:sp>
    <xdr:clientData/>
  </xdr:twoCellAnchor>
  <xdr:twoCellAnchor>
    <xdr:from>
      <xdr:col>1</xdr:col>
      <xdr:colOff>259080</xdr:colOff>
      <xdr:row>89</xdr:row>
      <xdr:rowOff>38666</xdr:rowOff>
    </xdr:from>
    <xdr:to>
      <xdr:col>3</xdr:col>
      <xdr:colOff>82303</xdr:colOff>
      <xdr:row>90</xdr:row>
      <xdr:rowOff>132932</xdr:rowOff>
    </xdr:to>
    <xdr:sp macro="" textlink="">
      <xdr:nvSpPr>
        <xdr:cNvPr id="192" name="Textfeld 45">
          <a:extLst>
            <a:ext uri="{FF2B5EF4-FFF2-40B4-BE49-F238E27FC236}">
              <a16:creationId xmlns:a16="http://schemas.microsoft.com/office/drawing/2014/main" id="{5358F869-EE76-4636-A54B-68DAE5FBB388}"/>
            </a:ext>
          </a:extLst>
        </xdr:cNvPr>
        <xdr:cNvSpPr txBox="1"/>
      </xdr:nvSpPr>
      <xdr:spPr>
        <a:xfrm>
          <a:off x="1668780" y="9731306"/>
          <a:ext cx="2642623" cy="277146"/>
        </a:xfrm>
        <a:prstGeom prst="rect">
          <a:avLst/>
        </a:prstGeom>
        <a:noFill/>
        <a:ln>
          <a:noFill/>
        </a:ln>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marL="0" indent="0" algn="ctr" defTabSz="914400" rtl="0" eaLnBrk="1" latinLnBrk="0" hangingPunct="1"/>
          <a:r>
            <a:rPr lang="en-US" sz="1400" b="1" i="0" u="none" strike="noStrike" kern="1200">
              <a:solidFill>
                <a:srgbClr val="12355B"/>
              </a:solidFill>
              <a:latin typeface="+mn-lt"/>
              <a:ea typeface="Calibri"/>
              <a:cs typeface="Calibri"/>
            </a:rPr>
            <a:t>Contractor 2 / Data centre operator</a:t>
          </a:r>
          <a:endParaRPr lang="de-DE" sz="1400" b="1" i="0" u="none" strike="noStrike" kern="1200">
            <a:solidFill>
              <a:srgbClr val="12355B"/>
            </a:solidFill>
            <a:latin typeface="+mn-lt"/>
            <a:ea typeface="Calibri"/>
            <a:cs typeface="Calibri"/>
          </a:endParaRPr>
        </a:p>
      </xdr:txBody>
    </xdr:sp>
    <xdr:clientData/>
  </xdr:twoCellAnchor>
  <xdr:twoCellAnchor>
    <xdr:from>
      <xdr:col>4</xdr:col>
      <xdr:colOff>90240</xdr:colOff>
      <xdr:row>89</xdr:row>
      <xdr:rowOff>53906</xdr:rowOff>
    </xdr:from>
    <xdr:to>
      <xdr:col>6</xdr:col>
      <xdr:colOff>853440</xdr:colOff>
      <xdr:row>90</xdr:row>
      <xdr:rowOff>326374</xdr:rowOff>
    </xdr:to>
    <xdr:sp macro="" textlink="">
      <xdr:nvSpPr>
        <xdr:cNvPr id="193" name="Textfeld 45">
          <a:extLst>
            <a:ext uri="{FF2B5EF4-FFF2-40B4-BE49-F238E27FC236}">
              <a16:creationId xmlns:a16="http://schemas.microsoft.com/office/drawing/2014/main" id="{44B762A5-3BC3-4AF3-91C2-775360FC02BE}"/>
            </a:ext>
          </a:extLst>
        </xdr:cNvPr>
        <xdr:cNvSpPr txBox="1"/>
      </xdr:nvSpPr>
      <xdr:spPr>
        <a:xfrm>
          <a:off x="5729040" y="9746546"/>
          <a:ext cx="3582600" cy="310568"/>
        </a:xfrm>
        <a:prstGeom prst="rect">
          <a:avLst/>
        </a:prstGeom>
        <a:noFill/>
        <a:ln>
          <a:noFill/>
        </a:ln>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n-US" sz="1400" b="1" i="0" kern="1200">
              <a:solidFill>
                <a:schemeClr val="tx2"/>
              </a:solidFill>
              <a:effectLst/>
              <a:latin typeface="+mn-lt"/>
              <a:ea typeface="+mn-ea"/>
              <a:cs typeface="+mn-cs"/>
            </a:rPr>
            <a:t>Waste heat recovery system</a:t>
          </a:r>
          <a:endParaRPr lang="de-DE" sz="1400">
            <a:solidFill>
              <a:schemeClr val="tx2"/>
            </a:solidFill>
            <a:effectLst/>
            <a:latin typeface="+mn-lt"/>
          </a:endParaRPr>
        </a:p>
      </xdr:txBody>
    </xdr:sp>
    <xdr:clientData/>
  </xdr:twoCellAnchor>
  <xdr:twoCellAnchor>
    <xdr:from>
      <xdr:col>6</xdr:col>
      <xdr:colOff>1049276</xdr:colOff>
      <xdr:row>89</xdr:row>
      <xdr:rowOff>53906</xdr:rowOff>
    </xdr:from>
    <xdr:to>
      <xdr:col>11</xdr:col>
      <xdr:colOff>1203960</xdr:colOff>
      <xdr:row>90</xdr:row>
      <xdr:rowOff>326374</xdr:rowOff>
    </xdr:to>
    <xdr:sp macro="" textlink="">
      <xdr:nvSpPr>
        <xdr:cNvPr id="194" name="Textfeld 45">
          <a:extLst>
            <a:ext uri="{FF2B5EF4-FFF2-40B4-BE49-F238E27FC236}">
              <a16:creationId xmlns:a16="http://schemas.microsoft.com/office/drawing/2014/main" id="{2737882B-C64F-4ECC-A10A-C507E092371C}"/>
            </a:ext>
          </a:extLst>
        </xdr:cNvPr>
        <xdr:cNvSpPr txBox="1"/>
      </xdr:nvSpPr>
      <xdr:spPr>
        <a:xfrm>
          <a:off x="9507476" y="9746546"/>
          <a:ext cx="7203184" cy="310568"/>
        </a:xfrm>
        <a:prstGeom prst="rect">
          <a:avLst/>
        </a:prstGeom>
        <a:noFill/>
        <a:ln>
          <a:noFill/>
        </a:ln>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n-US" sz="1400" b="1" i="0" u="none" strike="noStrike">
              <a:solidFill>
                <a:srgbClr val="12355B"/>
              </a:solidFill>
              <a:latin typeface="+mn-lt"/>
              <a:ea typeface="Calibri"/>
              <a:cs typeface="Calibri"/>
            </a:rPr>
            <a:t>Contractor 1 / District heating operator: heat</a:t>
          </a:r>
          <a:r>
            <a:rPr lang="en-US" sz="1400" b="1" i="0" u="none" strike="noStrike" baseline="0">
              <a:solidFill>
                <a:srgbClr val="12355B"/>
              </a:solidFill>
              <a:latin typeface="+mn-lt"/>
              <a:ea typeface="Calibri"/>
              <a:cs typeface="Calibri"/>
            </a:rPr>
            <a:t> utilisation</a:t>
          </a:r>
          <a:endParaRPr lang="de-DE" sz="1400" b="1">
            <a:solidFill>
              <a:srgbClr val="12355B"/>
            </a:solidFill>
            <a:latin typeface="+mn-lt"/>
            <a:cs typeface="Segoe UI" panose="020B0502040204020203" pitchFamily="34" charset="0"/>
          </a:endParaRPr>
        </a:p>
      </xdr:txBody>
    </xdr:sp>
    <xdr:clientData/>
  </xdr:twoCellAnchor>
  <xdr:twoCellAnchor>
    <xdr:from>
      <xdr:col>12</xdr:col>
      <xdr:colOff>11620</xdr:colOff>
      <xdr:row>89</xdr:row>
      <xdr:rowOff>53906</xdr:rowOff>
    </xdr:from>
    <xdr:to>
      <xdr:col>13</xdr:col>
      <xdr:colOff>1508760</xdr:colOff>
      <xdr:row>90</xdr:row>
      <xdr:rowOff>326374</xdr:rowOff>
    </xdr:to>
    <xdr:sp macro="" textlink="">
      <xdr:nvSpPr>
        <xdr:cNvPr id="195" name="Textfeld 45">
          <a:extLst>
            <a:ext uri="{FF2B5EF4-FFF2-40B4-BE49-F238E27FC236}">
              <a16:creationId xmlns:a16="http://schemas.microsoft.com/office/drawing/2014/main" id="{AD430116-22FD-4C82-8710-A5B6880F7F0A}"/>
            </a:ext>
          </a:extLst>
        </xdr:cNvPr>
        <xdr:cNvSpPr txBox="1"/>
      </xdr:nvSpPr>
      <xdr:spPr>
        <a:xfrm>
          <a:off x="16928020" y="9746546"/>
          <a:ext cx="2807780" cy="310568"/>
        </a:xfrm>
        <a:prstGeom prst="rect">
          <a:avLst/>
        </a:prstGeom>
        <a:noFill/>
      </xdr:spPr>
      <xdr:txBody>
        <a:bodyPr wrap="square" rtlCol="0" anchor="t">
          <a:noAutofit/>
        </a:bodyPr>
        <a:lstStyle>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a:pPr algn="ctr"/>
          <a:r>
            <a:rPr lang="en-US" sz="1400" b="1" i="0" u="none" strike="noStrike">
              <a:solidFill>
                <a:srgbClr val="12355B"/>
              </a:solidFill>
              <a:latin typeface="+mn-lt"/>
              <a:ea typeface="Calibri"/>
              <a:cs typeface="Calibri"/>
            </a:rPr>
            <a:t>District heating operator</a:t>
          </a:r>
          <a:endParaRPr lang="de-DE" sz="1400" b="1">
            <a:solidFill>
              <a:srgbClr val="12355B"/>
            </a:solidFill>
            <a:latin typeface="+mn-lt"/>
            <a:cs typeface="Segoe UI" panose="020B0502040204020203" pitchFamily="34" charset="0"/>
          </a:endParaRPr>
        </a:p>
      </xdr:txBody>
    </xdr:sp>
    <xdr:clientData/>
  </xdr:twoCellAnchor>
  <xdr:twoCellAnchor>
    <xdr:from>
      <xdr:col>10</xdr:col>
      <xdr:colOff>705557</xdr:colOff>
      <xdr:row>57</xdr:row>
      <xdr:rowOff>141109</xdr:rowOff>
    </xdr:from>
    <xdr:to>
      <xdr:col>10</xdr:col>
      <xdr:colOff>705557</xdr:colOff>
      <xdr:row>58</xdr:row>
      <xdr:rowOff>42178</xdr:rowOff>
    </xdr:to>
    <xdr:cxnSp macro="">
      <xdr:nvCxnSpPr>
        <xdr:cNvPr id="197" name="Gerader Verbinder 9">
          <a:extLst>
            <a:ext uri="{FF2B5EF4-FFF2-40B4-BE49-F238E27FC236}">
              <a16:creationId xmlns:a16="http://schemas.microsoft.com/office/drawing/2014/main" id="{63C449CD-0471-480D-80A6-F404B37243A1}"/>
            </a:ext>
          </a:extLst>
        </xdr:cNvPr>
        <xdr:cNvCxnSpPr>
          <a:cxnSpLocks/>
        </xdr:cNvCxnSpPr>
      </xdr:nvCxnSpPr>
      <xdr:spPr>
        <a:xfrm flipV="1">
          <a:off x="11839224" y="4078109"/>
          <a:ext cx="0" cy="253847"/>
        </a:xfrm>
        <a:prstGeom prst="line">
          <a:avLst/>
        </a:prstGeom>
        <a:ln>
          <a:solidFill>
            <a:srgbClr val="00659D"/>
          </a:solidFill>
          <a:prstDash val="dash"/>
          <a:headEnd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143435</xdr:colOff>
      <xdr:row>22</xdr:row>
      <xdr:rowOff>125504</xdr:rowOff>
    </xdr:from>
    <xdr:to>
      <xdr:col>14</xdr:col>
      <xdr:colOff>1488464</xdr:colOff>
      <xdr:row>50</xdr:row>
      <xdr:rowOff>101332</xdr:rowOff>
    </xdr:to>
    <xdr:graphicFrame macro="">
      <xdr:nvGraphicFramePr>
        <xdr:cNvPr id="4" name="Diagramm 9">
          <a:extLst>
            <a:ext uri="{FF2B5EF4-FFF2-40B4-BE49-F238E27FC236}">
              <a16:creationId xmlns:a16="http://schemas.microsoft.com/office/drawing/2014/main" id="{00000000-0008-0000-0A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147917</xdr:colOff>
      <xdr:row>53</xdr:row>
      <xdr:rowOff>116966</xdr:rowOff>
    </xdr:from>
    <xdr:to>
      <xdr:col>14</xdr:col>
      <xdr:colOff>1492946</xdr:colOff>
      <xdr:row>82</xdr:row>
      <xdr:rowOff>38366</xdr:rowOff>
    </xdr:to>
    <xdr:graphicFrame macro="">
      <xdr:nvGraphicFramePr>
        <xdr:cNvPr id="11" name="Diagramm 10">
          <a:extLst>
            <a:ext uri="{FF2B5EF4-FFF2-40B4-BE49-F238E27FC236}">
              <a16:creationId xmlns:a16="http://schemas.microsoft.com/office/drawing/2014/main" id="{00000000-0008-0000-0A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152606</xdr:colOff>
      <xdr:row>84</xdr:row>
      <xdr:rowOff>120241</xdr:rowOff>
    </xdr:from>
    <xdr:to>
      <xdr:col>14</xdr:col>
      <xdr:colOff>1497635</xdr:colOff>
      <xdr:row>113</xdr:row>
      <xdr:rowOff>30756</xdr:rowOff>
    </xdr:to>
    <xdr:graphicFrame macro="">
      <xdr:nvGraphicFramePr>
        <xdr:cNvPr id="2" name="Diagramm 1">
          <a:extLst>
            <a:ext uri="{FF2B5EF4-FFF2-40B4-BE49-F238E27FC236}">
              <a16:creationId xmlns:a16="http://schemas.microsoft.com/office/drawing/2014/main" id="{5F264D36-F9FD-4B61-8C23-AF5C90FD1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70854</xdr:colOff>
      <xdr:row>34</xdr:row>
      <xdr:rowOff>49274</xdr:rowOff>
    </xdr:from>
    <xdr:to>
      <xdr:col>20</xdr:col>
      <xdr:colOff>365760</xdr:colOff>
      <xdr:row>52</xdr:row>
      <xdr:rowOff>114300</xdr:rowOff>
    </xdr:to>
    <xdr:graphicFrame macro="">
      <xdr:nvGraphicFramePr>
        <xdr:cNvPr id="21" name="Diagramm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137160</xdr:colOff>
      <xdr:row>63</xdr:row>
      <xdr:rowOff>76200</xdr:rowOff>
    </xdr:from>
    <xdr:to>
      <xdr:col>21</xdr:col>
      <xdr:colOff>531126</xdr:colOff>
      <xdr:row>77</xdr:row>
      <xdr:rowOff>156466</xdr:rowOff>
    </xdr:to>
    <xdr:graphicFrame macro="">
      <xdr:nvGraphicFramePr>
        <xdr:cNvPr id="31" name="Diagramm 2">
          <a:extLst>
            <a:ext uri="{FF2B5EF4-FFF2-40B4-BE49-F238E27FC236}">
              <a16:creationId xmlns:a16="http://schemas.microsoft.com/office/drawing/2014/main" id="{69FF9D08-3FA2-4A90-97C9-53CC46627F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pdx.org/licenses/CC-BY-4.0.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bafa.de/SharedDocs/Downloads/DE/Energie/bew_merkblatt_20251216.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4.bin"/><Relationship Id="rId1" Type="http://schemas.openxmlformats.org/officeDocument/2006/relationships/hyperlink" Target="https://www.kww-halle.de/service/infothek/detail/kww-technikkatalog-waermeplanung-begleitdok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092AE-97D0-4865-A1F2-193FC1242B56}">
  <sheetPr codeName="Tabelle1">
    <tabColor rgb="FFFF0000"/>
  </sheetPr>
  <dimension ref="A1:D25"/>
  <sheetViews>
    <sheetView zoomScaleNormal="100" zoomScaleSheetLayoutView="160" zoomScalePageLayoutView="70" workbookViewId="0">
      <selection activeCell="A37" sqref="A37:A44"/>
    </sheetView>
  </sheetViews>
  <sheetFormatPr baseColWidth="10" defaultColWidth="10.5703125" defaultRowHeight="15"/>
  <cols>
    <col min="1" max="1" width="20.140625" style="6" customWidth="1"/>
    <col min="2" max="2" width="70.42578125" style="6" customWidth="1"/>
    <col min="3" max="3" width="14.5703125" style="6" customWidth="1"/>
    <col min="4" max="4" width="14.42578125" style="6" customWidth="1"/>
    <col min="5" max="16384" width="10.5703125" style="6"/>
  </cols>
  <sheetData>
    <row r="1" spans="1:4" ht="31.5">
      <c r="A1" s="198"/>
      <c r="B1" s="1044" t="s">
        <v>0</v>
      </c>
      <c r="C1" s="1044"/>
      <c r="D1" s="198"/>
    </row>
    <row r="2" spans="1:4" ht="26.25">
      <c r="A2" s="643"/>
      <c r="B2" s="1044" t="s">
        <v>1</v>
      </c>
      <c r="C2" s="1044"/>
      <c r="D2" s="643"/>
    </row>
    <row r="4" spans="1:4">
      <c r="A4" s="63" t="s">
        <v>2</v>
      </c>
    </row>
    <row r="5" spans="1:4">
      <c r="A5" s="6" t="s">
        <v>3</v>
      </c>
    </row>
    <row r="6" spans="1:4">
      <c r="A6" s="6" t="s">
        <v>4</v>
      </c>
    </row>
    <row r="7" spans="1:4" ht="10.35" customHeight="1"/>
    <row r="8" spans="1:4" ht="14.45" customHeight="1">
      <c r="A8" s="62" t="s">
        <v>5</v>
      </c>
      <c r="B8" s="199"/>
      <c r="C8" s="199"/>
      <c r="D8" s="199"/>
    </row>
    <row r="9" spans="1:4">
      <c r="A9" s="62" t="s">
        <v>6</v>
      </c>
      <c r="B9" s="199"/>
      <c r="C9" s="199"/>
      <c r="D9" s="199"/>
    </row>
    <row r="10" spans="1:4" ht="54.6" customHeight="1">
      <c r="A10" s="1043" t="s">
        <v>7</v>
      </c>
      <c r="B10" s="1043"/>
      <c r="C10" s="1043"/>
      <c r="D10" s="1043"/>
    </row>
    <row r="11" spans="1:4" ht="38.1" customHeight="1">
      <c r="A11" s="1043" t="s">
        <v>8</v>
      </c>
      <c r="B11" s="1043"/>
      <c r="C11" s="1043"/>
      <c r="D11" s="1043"/>
    </row>
    <row r="12" spans="1:4" ht="12" customHeight="1">
      <c r="A12" s="644"/>
      <c r="B12" s="644"/>
      <c r="C12" s="644"/>
      <c r="D12" s="644"/>
    </row>
    <row r="13" spans="1:4">
      <c r="A13" s="1045" t="s">
        <v>9</v>
      </c>
      <c r="B13" s="1045"/>
      <c r="C13" s="1045"/>
      <c r="D13" s="1045"/>
    </row>
    <row r="14" spans="1:4">
      <c r="A14" s="1042" t="s">
        <v>10</v>
      </c>
      <c r="B14" s="1042"/>
      <c r="C14" s="1042"/>
      <c r="D14" s="1042"/>
    </row>
    <row r="15" spans="1:4" ht="11.1" customHeight="1">
      <c r="A15" s="643"/>
      <c r="B15" s="643"/>
      <c r="C15" s="643"/>
      <c r="D15" s="643"/>
    </row>
    <row r="16" spans="1:4">
      <c r="A16" s="6" t="s">
        <v>11</v>
      </c>
      <c r="B16" s="643"/>
      <c r="C16" s="643"/>
      <c r="D16" s="643"/>
    </row>
    <row r="17" spans="1:4" ht="8.1" customHeight="1">
      <c r="B17" s="643"/>
      <c r="C17" s="643"/>
      <c r="D17" s="643"/>
    </row>
    <row r="18" spans="1:4" ht="42" customHeight="1">
      <c r="A18" s="1043" t="s">
        <v>12</v>
      </c>
      <c r="B18" s="1043"/>
      <c r="C18" s="1043"/>
      <c r="D18" s="1043"/>
    </row>
    <row r="19" spans="1:4" ht="8.4499999999999993" customHeight="1">
      <c r="A19" s="68"/>
      <c r="B19" s="644"/>
      <c r="C19" s="644"/>
      <c r="D19" s="644"/>
    </row>
    <row r="20" spans="1:4">
      <c r="A20" s="68" t="s">
        <v>13</v>
      </c>
      <c r="B20" s="644"/>
      <c r="C20" s="644"/>
      <c r="D20" s="644"/>
    </row>
    <row r="21" spans="1:4" ht="15.6" customHeight="1">
      <c r="A21" s="6" t="s">
        <v>14</v>
      </c>
      <c r="B21" s="644"/>
      <c r="C21" s="644"/>
      <c r="D21" s="644"/>
    </row>
    <row r="22" spans="1:4" ht="15.6" customHeight="1">
      <c r="B22" s="644"/>
      <c r="C22" s="644"/>
      <c r="D22" s="644"/>
    </row>
    <row r="23" spans="1:4">
      <c r="A23" s="63" t="s">
        <v>15</v>
      </c>
      <c r="B23" s="644"/>
      <c r="C23" s="644"/>
      <c r="D23" s="644"/>
    </row>
    <row r="24" spans="1:4">
      <c r="A24" s="6" t="s">
        <v>16</v>
      </c>
      <c r="B24" s="644"/>
      <c r="C24" s="644"/>
      <c r="D24" s="644"/>
    </row>
    <row r="25" spans="1:4" ht="10.35" customHeight="1"/>
  </sheetData>
  <mergeCells count="7">
    <mergeCell ref="A14:D14"/>
    <mergeCell ref="A18:D18"/>
    <mergeCell ref="B1:C1"/>
    <mergeCell ref="B2:C2"/>
    <mergeCell ref="A11:D11"/>
    <mergeCell ref="A10:D10"/>
    <mergeCell ref="A13:D13"/>
  </mergeCells>
  <hyperlinks>
    <hyperlink ref="A21" r:id="rId1" display="https://spdx.org/licenses/CC-BY-4.0.html" xr:uid="{86891A22-039E-4B62-BC23-06A022BD2DD8}"/>
  </hyperlinks>
  <pageMargins left="0.78740157480314965" right="0.70866141732283472" top="0.78740157480314965" bottom="0.78740157480314965" header="0.31496062992125984" footer="0.31496062992125984"/>
  <pageSetup paperSize="9" orientation="landscape" horizontalDpi="360" verticalDpi="36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6E44F-1F99-4D31-9222-DF9A5FA72975}">
  <sheetPr codeName="Tabelle2">
    <tabColor rgb="FFFF0000"/>
  </sheetPr>
  <dimension ref="A1:CQ34"/>
  <sheetViews>
    <sheetView topLeftCell="A11" zoomScale="110" zoomScaleNormal="110" zoomScalePageLayoutView="145" workbookViewId="0">
      <selection activeCell="A4" sqref="A4"/>
    </sheetView>
  </sheetViews>
  <sheetFormatPr baseColWidth="10" defaultColWidth="11.140625" defaultRowHeight="15"/>
  <cols>
    <col min="1" max="1" width="23.5703125" style="70" customWidth="1"/>
    <col min="2" max="2" width="106" customWidth="1"/>
    <col min="3" max="95" width="10.5703125" style="6"/>
  </cols>
  <sheetData>
    <row r="1" spans="1:2">
      <c r="A1" s="1047" t="s">
        <v>18</v>
      </c>
      <c r="B1" s="1047"/>
    </row>
    <row r="2" spans="1:2" ht="11.1" customHeight="1">
      <c r="A2" s="64"/>
      <c r="B2" s="65"/>
    </row>
    <row r="3" spans="1:2">
      <c r="A3" s="66" t="s">
        <v>19</v>
      </c>
      <c r="B3" s="67" t="s">
        <v>20</v>
      </c>
    </row>
    <row r="4" spans="1:2">
      <c r="A4" s="66" t="s">
        <v>21</v>
      </c>
      <c r="B4" s="67" t="s">
        <v>22</v>
      </c>
    </row>
    <row r="5" spans="1:2" ht="29.1" customHeight="1">
      <c r="A5" s="66" t="s">
        <v>23</v>
      </c>
      <c r="B5" s="67" t="s">
        <v>24</v>
      </c>
    </row>
    <row r="6" spans="1:2">
      <c r="A6" s="66" t="s">
        <v>25</v>
      </c>
      <c r="B6" s="67" t="s">
        <v>26</v>
      </c>
    </row>
    <row r="7" spans="1:2" ht="17.100000000000001" customHeight="1">
      <c r="A7" s="66" t="s">
        <v>27</v>
      </c>
      <c r="B7" s="67" t="s">
        <v>28</v>
      </c>
    </row>
    <row r="8" spans="1:2">
      <c r="A8" s="66" t="s">
        <v>29</v>
      </c>
      <c r="B8" s="67" t="s">
        <v>30</v>
      </c>
    </row>
    <row r="9" spans="1:2">
      <c r="A9" s="66" t="s">
        <v>31</v>
      </c>
      <c r="B9" s="67" t="s">
        <v>32</v>
      </c>
    </row>
    <row r="10" spans="1:2">
      <c r="A10" s="66" t="s">
        <v>33</v>
      </c>
      <c r="B10" s="67" t="s">
        <v>34</v>
      </c>
    </row>
    <row r="11" spans="1:2" ht="14.45" customHeight="1">
      <c r="A11" s="66" t="s">
        <v>35</v>
      </c>
      <c r="B11" s="67" t="s">
        <v>36</v>
      </c>
    </row>
    <row r="12" spans="1:2">
      <c r="A12" s="66" t="s">
        <v>37</v>
      </c>
      <c r="B12" s="67" t="s">
        <v>38</v>
      </c>
    </row>
    <row r="13" spans="1:2">
      <c r="A13" s="66" t="s">
        <v>39</v>
      </c>
      <c r="B13" s="67" t="s">
        <v>40</v>
      </c>
    </row>
    <row r="14" spans="1:2">
      <c r="A14" s="1015" t="s">
        <v>41</v>
      </c>
      <c r="B14" s="67" t="s">
        <v>42</v>
      </c>
    </row>
    <row r="15" spans="1:2" ht="15.6" customHeight="1">
      <c r="A15" s="66" t="s">
        <v>43</v>
      </c>
      <c r="B15" s="67" t="s">
        <v>44</v>
      </c>
    </row>
    <row r="16" spans="1:2">
      <c r="A16" s="66" t="s">
        <v>17</v>
      </c>
      <c r="B16" s="67" t="s">
        <v>1186</v>
      </c>
    </row>
    <row r="17" spans="1:95">
      <c r="A17" s="69" t="s">
        <v>45</v>
      </c>
      <c r="B17" s="6"/>
    </row>
    <row r="18" spans="1:95" ht="5.0999999999999996" customHeight="1">
      <c r="A18" s="68"/>
      <c r="B18" s="6"/>
    </row>
    <row r="19" spans="1:95" ht="15" customHeight="1" thickBot="1">
      <c r="A19" s="1053" t="s">
        <v>46</v>
      </c>
      <c r="B19" s="1053"/>
    </row>
    <row r="20" spans="1:95" ht="15.75" thickTop="1">
      <c r="A20" s="1054" t="s">
        <v>47</v>
      </c>
      <c r="B20" s="1054"/>
    </row>
    <row r="21" spans="1:95">
      <c r="A21" s="1055" t="s">
        <v>48</v>
      </c>
      <c r="B21" s="1055"/>
    </row>
    <row r="22" spans="1:95">
      <c r="A22" s="1056" t="s">
        <v>49</v>
      </c>
      <c r="B22" s="1056"/>
    </row>
    <row r="23" spans="1:95">
      <c r="A23" s="1048" t="s">
        <v>50</v>
      </c>
      <c r="B23" s="1048"/>
    </row>
    <row r="24" spans="1:95" ht="15.75" customHeight="1">
      <c r="A24" s="1051" t="s">
        <v>51</v>
      </c>
      <c r="B24" s="1051"/>
    </row>
    <row r="25" spans="1:95" ht="15.75" customHeight="1">
      <c r="A25" s="1052" t="s">
        <v>52</v>
      </c>
      <c r="B25" s="1052"/>
    </row>
    <row r="26" spans="1:95">
      <c r="A26" s="1049" t="s">
        <v>53</v>
      </c>
      <c r="B26" s="1049"/>
    </row>
    <row r="27" spans="1:95">
      <c r="A27" s="1050" t="s">
        <v>54</v>
      </c>
      <c r="B27" s="1050"/>
    </row>
    <row r="28" spans="1:95" s="6" customFormat="1">
      <c r="A28" s="68"/>
    </row>
    <row r="29" spans="1:95">
      <c r="A29" s="1048" t="s">
        <v>50</v>
      </c>
      <c r="B29" s="1048"/>
    </row>
    <row r="30" spans="1:95" ht="9" customHeight="1">
      <c r="A30" s="914"/>
      <c r="B30" s="914"/>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row>
    <row r="31" spans="1:95">
      <c r="A31" s="1046" t="s">
        <v>55</v>
      </c>
      <c r="B31" s="1046"/>
    </row>
    <row r="32" spans="1:95">
      <c r="A32" s="68" t="s">
        <v>56</v>
      </c>
      <c r="B32" s="6"/>
    </row>
    <row r="33" spans="1:2">
      <c r="A33" s="68"/>
      <c r="B33" s="6"/>
    </row>
    <row r="34" spans="1:2">
      <c r="A34" s="68"/>
      <c r="B34" s="6"/>
    </row>
  </sheetData>
  <sheetProtection sheet="1"/>
  <mergeCells count="12">
    <mergeCell ref="A31:B31"/>
    <mergeCell ref="A1:B1"/>
    <mergeCell ref="A29:B29"/>
    <mergeCell ref="A26:B26"/>
    <mergeCell ref="A27:B27"/>
    <mergeCell ref="A24:B24"/>
    <mergeCell ref="A25:B25"/>
    <mergeCell ref="A19:B19"/>
    <mergeCell ref="A20:B20"/>
    <mergeCell ref="A21:B21"/>
    <mergeCell ref="A22:B22"/>
    <mergeCell ref="A23:B23"/>
  </mergeCells>
  <conditionalFormatting sqref="A27">
    <cfRule type="expression" dxfId="70" priority="1">
      <formula>A$36=FALSE</formula>
    </cfRule>
  </conditionalFormatting>
  <hyperlinks>
    <hyperlink ref="A16" location="'Change Log'!A1" display="Change Log" xr:uid="{00000000-0004-0000-0100-000000000000}"/>
    <hyperlink ref="A4" location="'Grid Costs'!A1" display="Grid Costs" xr:uid="{3FB61756-0B17-438B-95BC-86B89899BE3D}"/>
    <hyperlink ref="A3" location="'Project Setting'!A1" display="Project Settings" xr:uid="{36D18209-4550-46D2-BD4A-346D37805140}"/>
    <hyperlink ref="A13" location="'Calculation of Typical Year'!A1" display="Calculation typical Year" xr:uid="{54514EF8-E9F5-4126-9E52-2D90BC4C5AC7}"/>
    <hyperlink ref="A12" location="'Calculation of Typical Day'!A1" display="Calculation Typical Day" xr:uid="{87C62FC6-15BE-4CBD-A322-CA8335E0A879}"/>
    <hyperlink ref="A15" location="TechKatalogGWPA!A1" display="TechKatalogGWPA" xr:uid="{EEDD7FF9-DD5E-44DE-9830-8B9CAA22A3EF}"/>
    <hyperlink ref="A5" location="'Definition of Typical Day'!A1" display="Definition of Typical Day" xr:uid="{5C5AE1A3-32A6-4FEC-92D8-BDAE685E6A0E}"/>
    <hyperlink ref="A6" location="'Definition of Typical Year'!A1" display="Definition of Typical Year" xr:uid="{482A4F7A-F2E0-430E-B6BC-7BC355E73B5A}"/>
    <hyperlink ref="A29" location="Content!A1" display="Go to Content" xr:uid="{D7A8D8CF-3240-4062-B402-445E6F3A3BDD}"/>
    <hyperlink ref="A29:B29" location="Content!A1" display="Go to Content" xr:uid="{86A87575-D69F-4F11-8BEA-8C5E572D752F}"/>
    <hyperlink ref="A23" location="Content!A1" display="Go to Content" xr:uid="{9C8F22CD-141B-4670-BD7C-C10B2AF4B10D}"/>
    <hyperlink ref="A23:B23" location="Content!A1" display="Go to Content" xr:uid="{64AAEB18-CB53-4B25-A629-CE861D1D9966}"/>
    <hyperlink ref="A9" location="'Calculation IRR'!A1" display="Calculation IRR" xr:uid="{C1513278-D6F1-4E41-A27C-BC16E428150C}"/>
    <hyperlink ref="A8" location="'Operation at Typical Day'!A1" display="Operation at Typical Day" xr:uid="{5F081A3E-D660-4C65-A0CD-0E5E11AC0595}"/>
    <hyperlink ref="A11" location="'Main Results Extended'!A1" display="Main Results Extended" xr:uid="{A8C3AC63-DDC5-4472-9C30-F2A5D233FA04}"/>
    <hyperlink ref="A10" location="'Calculation Break-Even'!A1" display="Calculation Break-Even" xr:uid="{81360F76-82EB-473D-811A-226CBD0E27ED}"/>
    <hyperlink ref="A7" location="'Main Results - IRR DC Operator'!A1" display="Main Results - IRR DC Operator" xr:uid="{418D8173-04F5-4309-8D89-2655EE797980}"/>
    <hyperlink ref="A14" location="'Additional Information'!A1" display="Additional Information" xr:uid="{D426863E-ABA3-43B4-A3CB-49B6DC7D2358}"/>
  </hyperlinks>
  <pageMargins left="0.70866141732283472" right="0.70866141732283472" top="0.78740157480314965" bottom="0.59055118110236227" header="0.31496062992125984" footer="0.31496062992125984"/>
  <pageSetup paperSize="9"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F4BC-BF07-4D8E-A812-8CFD2B746F91}">
  <sheetPr codeName="Tabelle4">
    <tabColor theme="9" tint="0.79998168889431442"/>
    <outlinePr summaryBelow="0" summaryRight="0"/>
  </sheetPr>
  <dimension ref="A1:N166"/>
  <sheetViews>
    <sheetView topLeftCell="A25" zoomScale="130" zoomScaleNormal="130" workbookViewId="0">
      <selection activeCell="F43" sqref="F43"/>
    </sheetView>
  </sheetViews>
  <sheetFormatPr baseColWidth="10" defaultColWidth="8.5703125" defaultRowHeight="15" outlineLevelRow="1"/>
  <cols>
    <col min="1" max="1" width="5.5703125" style="2" customWidth="1"/>
    <col min="2" max="2" width="7.5703125" style="3" customWidth="1"/>
    <col min="3" max="3" width="13" style="2" customWidth="1"/>
    <col min="4" max="4" width="59.140625" style="2" customWidth="1"/>
    <col min="5" max="5" width="18.5703125" style="369" customWidth="1"/>
    <col min="6" max="6" width="19" style="2" customWidth="1"/>
    <col min="7" max="7" width="19.5703125" style="2" customWidth="1"/>
    <col min="8" max="8" width="140.42578125" style="4" customWidth="1"/>
    <col min="9" max="9" width="24.5703125" style="10" customWidth="1"/>
    <col min="10" max="10" width="6.85546875" style="2" customWidth="1"/>
    <col min="11" max="11" width="8.5703125" style="2"/>
    <col min="12" max="12" width="9.5703125" style="2" customWidth="1"/>
    <col min="13" max="13" width="59.140625" style="2" customWidth="1"/>
    <col min="14" max="14" width="1.5703125" style="2" customWidth="1"/>
    <col min="15" max="16384" width="8.5703125" style="2"/>
  </cols>
  <sheetData>
    <row r="1" spans="1:14" s="5" customFormat="1">
      <c r="B1" s="1048" t="s">
        <v>57</v>
      </c>
      <c r="C1" s="1048"/>
      <c r="D1" s="1048"/>
      <c r="E1" s="1048"/>
      <c r="F1" s="71"/>
      <c r="I1" s="10"/>
    </row>
    <row r="2" spans="1:14" s="5" customFormat="1">
      <c r="E2" s="369"/>
      <c r="I2" s="10"/>
      <c r="K2" s="2"/>
    </row>
    <row r="3" spans="1:14" s="5" customFormat="1" ht="15.75" thickBot="1">
      <c r="B3" s="1058" t="s">
        <v>58</v>
      </c>
      <c r="C3" s="1089" t="s">
        <v>46</v>
      </c>
      <c r="D3" s="1089"/>
      <c r="E3" s="1089"/>
      <c r="F3" s="1089"/>
      <c r="I3" s="10"/>
      <c r="K3" s="2"/>
    </row>
    <row r="4" spans="1:14" s="5" customFormat="1" ht="15.75" thickTop="1">
      <c r="B4" s="1058"/>
      <c r="C4" s="1090" t="s">
        <v>47</v>
      </c>
      <c r="D4" s="1090"/>
      <c r="E4" s="1090"/>
      <c r="F4" s="1090"/>
      <c r="I4" s="10"/>
      <c r="K4" s="2"/>
    </row>
    <row r="5" spans="1:14" s="5" customFormat="1">
      <c r="B5" s="1058"/>
      <c r="C5" s="1091" t="s">
        <v>48</v>
      </c>
      <c r="D5" s="1091"/>
      <c r="E5" s="1091"/>
      <c r="F5" s="1091"/>
      <c r="I5" s="10"/>
      <c r="K5" s="4"/>
    </row>
    <row r="6" spans="1:14" s="5" customFormat="1">
      <c r="B6" s="1058"/>
      <c r="C6" s="1092" t="s">
        <v>49</v>
      </c>
      <c r="D6" s="1092"/>
      <c r="E6" s="1092"/>
      <c r="F6" s="1092"/>
      <c r="H6" s="370"/>
      <c r="I6" s="10"/>
      <c r="K6" s="2"/>
    </row>
    <row r="7" spans="1:14" s="5" customFormat="1">
      <c r="B7" s="1058"/>
      <c r="C7" s="1048" t="s">
        <v>57</v>
      </c>
      <c r="D7" s="1048"/>
      <c r="E7" s="1048"/>
      <c r="F7" s="1048"/>
      <c r="I7" s="10"/>
      <c r="K7" s="2"/>
    </row>
    <row r="8" spans="1:14" s="5" customFormat="1">
      <c r="B8" s="1058"/>
      <c r="C8" s="1093" t="s">
        <v>51</v>
      </c>
      <c r="D8" s="1093"/>
      <c r="E8" s="1093"/>
      <c r="F8" s="1093"/>
      <c r="I8" s="10"/>
      <c r="K8" s="2"/>
    </row>
    <row r="9" spans="1:14" s="5" customFormat="1" ht="14.85" customHeight="1">
      <c r="B9" s="72"/>
      <c r="C9" s="1057" t="s">
        <v>53</v>
      </c>
      <c r="D9" s="1057"/>
      <c r="E9" s="1057"/>
      <c r="F9" s="1057"/>
      <c r="I9" s="10"/>
      <c r="K9" s="2"/>
    </row>
    <row r="10" spans="1:14">
      <c r="C10" s="3"/>
      <c r="D10" s="3"/>
      <c r="E10" s="3"/>
      <c r="F10" s="3"/>
      <c r="G10" s="5"/>
      <c r="K10" s="2" t="s">
        <v>59</v>
      </c>
    </row>
    <row r="11" spans="1:14" s="11" customFormat="1" ht="26.25" thickBot="1">
      <c r="A11" s="12"/>
      <c r="B11" s="73" t="s">
        <v>60</v>
      </c>
      <c r="C11" s="73" t="s">
        <v>61</v>
      </c>
      <c r="D11" s="73" t="s">
        <v>62</v>
      </c>
      <c r="E11" s="45" t="s">
        <v>63</v>
      </c>
      <c r="F11" s="73"/>
      <c r="G11" s="74"/>
      <c r="H11" s="73" t="s">
        <v>64</v>
      </c>
      <c r="I11" s="73"/>
      <c r="J11" s="126"/>
      <c r="K11" s="2"/>
    </row>
    <row r="12" spans="1:14" ht="24" customHeight="1" thickTop="1">
      <c r="A12" s="1062" t="s">
        <v>65</v>
      </c>
      <c r="B12" s="399" t="s">
        <v>66</v>
      </c>
      <c r="C12" s="124"/>
      <c r="D12" s="1087" t="s">
        <v>67</v>
      </c>
      <c r="E12" s="1087"/>
      <c r="F12" s="1087"/>
      <c r="G12" s="125"/>
      <c r="H12" s="124"/>
      <c r="I12" s="124"/>
      <c r="J12" s="1097" t="s">
        <v>68</v>
      </c>
    </row>
    <row r="13" spans="1:14" outlineLevel="1">
      <c r="A13" s="1063"/>
      <c r="B13" s="400"/>
      <c r="C13" s="1072" t="s">
        <v>69</v>
      </c>
      <c r="D13" s="1072"/>
      <c r="E13" s="401"/>
      <c r="F13" s="402"/>
      <c r="G13" s="403"/>
      <c r="H13" s="403"/>
      <c r="I13" s="77"/>
      <c r="J13" s="1097"/>
    </row>
    <row r="14" spans="1:14" ht="23.45" customHeight="1" outlineLevel="1">
      <c r="A14" s="1063"/>
      <c r="B14" s="404"/>
      <c r="C14" s="377"/>
      <c r="D14" s="383" t="s">
        <v>70</v>
      </c>
      <c r="E14" s="405" t="s">
        <v>71</v>
      </c>
      <c r="F14" s="1024">
        <v>3</v>
      </c>
      <c r="G14" s="406"/>
      <c r="H14" s="383" t="s">
        <v>72</v>
      </c>
      <c r="I14" s="35" t="s">
        <v>73</v>
      </c>
      <c r="J14" s="1097"/>
      <c r="M14" s="371" t="str">
        <f t="shared" ref="M14:M29" si="0">N14</f>
        <v/>
      </c>
      <c r="N14" s="160" t="str">
        <f t="shared" ref="N14:N29" si="1">IF(IFERROR((1+F14)*1, "!!!!")="!!!!","Inputs contain non-numerical data. Please check your input data!","")</f>
        <v/>
      </c>
    </row>
    <row r="15" spans="1:14" ht="18" outlineLevel="1">
      <c r="A15" s="1063"/>
      <c r="B15" s="404"/>
      <c r="C15" s="377"/>
      <c r="D15" s="375" t="s">
        <v>74</v>
      </c>
      <c r="E15" s="407" t="s">
        <v>75</v>
      </c>
      <c r="F15" s="408">
        <v>20</v>
      </c>
      <c r="G15" s="409"/>
      <c r="H15" s="385" t="s">
        <v>76</v>
      </c>
      <c r="I15" s="36" t="s">
        <v>73</v>
      </c>
      <c r="J15" s="1097"/>
      <c r="M15" s="371" t="str">
        <f t="shared" si="0"/>
        <v/>
      </c>
      <c r="N15" s="160" t="str">
        <f t="shared" si="1"/>
        <v/>
      </c>
    </row>
    <row r="16" spans="1:14" ht="18" outlineLevel="1">
      <c r="A16" s="1063"/>
      <c r="B16" s="404"/>
      <c r="C16" s="377"/>
      <c r="D16" s="375" t="s">
        <v>77</v>
      </c>
      <c r="E16" s="410" t="s">
        <v>78</v>
      </c>
      <c r="F16" s="1025">
        <v>3</v>
      </c>
      <c r="G16" s="409"/>
      <c r="H16" s="385" t="str">
        <f>"COP at "&amp;F20&amp;"°C supply temperature under nominal temperature levels as defined below"</f>
        <v>COP at 90°C supply temperature under nominal temperature levels as defined below</v>
      </c>
      <c r="I16" s="36" t="s">
        <v>73</v>
      </c>
      <c r="J16" s="1097"/>
      <c r="K16" s="5"/>
      <c r="M16" s="371" t="str">
        <f t="shared" si="0"/>
        <v/>
      </c>
      <c r="N16" s="160" t="str">
        <f t="shared" si="1"/>
        <v/>
      </c>
    </row>
    <row r="17" spans="1:14" ht="25.35" customHeight="1" outlineLevel="1">
      <c r="A17" s="1063"/>
      <c r="B17" s="404"/>
      <c r="C17" s="377"/>
      <c r="D17" s="411" t="s">
        <v>79</v>
      </c>
      <c r="E17" s="410" t="s">
        <v>80</v>
      </c>
      <c r="F17" s="1026">
        <f>F14/F16*(F16-1)</f>
        <v>2</v>
      </c>
      <c r="G17" s="409"/>
      <c r="H17" s="385" t="s">
        <v>81</v>
      </c>
      <c r="I17" s="36" t="s">
        <v>73</v>
      </c>
      <c r="J17" s="1097"/>
      <c r="K17" s="5"/>
      <c r="M17" s="371" t="str">
        <f t="shared" si="0"/>
        <v/>
      </c>
      <c r="N17" s="160" t="str">
        <f t="shared" si="1"/>
        <v/>
      </c>
    </row>
    <row r="18" spans="1:14" ht="24" outlineLevel="1">
      <c r="A18" s="1063"/>
      <c r="B18" s="404"/>
      <c r="C18" s="377"/>
      <c r="D18" s="375" t="s">
        <v>82</v>
      </c>
      <c r="E18" s="407" t="s">
        <v>83</v>
      </c>
      <c r="F18" s="408">
        <v>25</v>
      </c>
      <c r="G18" s="409"/>
      <c r="H18" s="385" t="s">
        <v>84</v>
      </c>
      <c r="I18" s="36" t="s">
        <v>73</v>
      </c>
      <c r="J18" s="1097"/>
      <c r="M18" s="371" t="str">
        <f t="shared" si="0"/>
        <v/>
      </c>
      <c r="N18" s="160" t="str">
        <f t="shared" si="1"/>
        <v/>
      </c>
    </row>
    <row r="19" spans="1:14" ht="24" outlineLevel="1">
      <c r="A19" s="1063"/>
      <c r="B19" s="404"/>
      <c r="C19" s="377"/>
      <c r="D19" s="412" t="s">
        <v>85</v>
      </c>
      <c r="E19" s="413" t="s">
        <v>83</v>
      </c>
      <c r="F19" s="414">
        <v>28</v>
      </c>
      <c r="G19" s="415"/>
      <c r="H19" s="416" t="s">
        <v>86</v>
      </c>
      <c r="I19" s="37" t="s">
        <v>73</v>
      </c>
      <c r="J19" s="1097"/>
      <c r="M19" s="371" t="str">
        <f t="shared" si="0"/>
        <v/>
      </c>
      <c r="N19" s="160" t="str">
        <f t="shared" si="1"/>
        <v/>
      </c>
    </row>
    <row r="20" spans="1:14" ht="36" outlineLevel="1">
      <c r="A20" s="1063"/>
      <c r="B20" s="404"/>
      <c r="C20" s="377"/>
      <c r="D20" s="412" t="s">
        <v>87</v>
      </c>
      <c r="E20" s="413" t="s">
        <v>83</v>
      </c>
      <c r="F20" s="417">
        <v>90</v>
      </c>
      <c r="G20" s="415"/>
      <c r="H20" s="418" t="s">
        <v>88</v>
      </c>
      <c r="I20" s="37" t="s">
        <v>73</v>
      </c>
      <c r="J20" s="1097"/>
      <c r="M20" s="371" t="str">
        <f t="shared" si="0"/>
        <v/>
      </c>
      <c r="N20" s="160" t="str">
        <f t="shared" si="1"/>
        <v/>
      </c>
    </row>
    <row r="21" spans="1:14" ht="18" outlineLevel="1">
      <c r="A21" s="1063"/>
      <c r="B21" s="404"/>
      <c r="C21" s="377"/>
      <c r="D21" s="375" t="s">
        <v>89</v>
      </c>
      <c r="E21" s="407" t="s">
        <v>90</v>
      </c>
      <c r="F21" s="419">
        <v>3</v>
      </c>
      <c r="G21" s="409"/>
      <c r="H21" s="374" t="s">
        <v>91</v>
      </c>
      <c r="I21" s="36" t="s">
        <v>73</v>
      </c>
      <c r="J21" s="1097"/>
      <c r="M21" s="371" t="str">
        <f t="shared" si="0"/>
        <v/>
      </c>
      <c r="N21" s="160" t="str">
        <f t="shared" si="1"/>
        <v/>
      </c>
    </row>
    <row r="22" spans="1:14" ht="18" outlineLevel="1">
      <c r="A22" s="1063"/>
      <c r="B22" s="404"/>
      <c r="C22" s="377"/>
      <c r="D22" s="375" t="s">
        <v>92</v>
      </c>
      <c r="E22" s="407" t="s">
        <v>90</v>
      </c>
      <c r="F22" s="419">
        <v>3</v>
      </c>
      <c r="G22" s="409"/>
      <c r="H22" s="374" t="s">
        <v>93</v>
      </c>
      <c r="I22" s="36" t="s">
        <v>73</v>
      </c>
      <c r="J22" s="1097"/>
      <c r="M22" s="371" t="str">
        <f t="shared" si="0"/>
        <v/>
      </c>
      <c r="N22" s="160" t="str">
        <f t="shared" si="1"/>
        <v/>
      </c>
    </row>
    <row r="23" spans="1:14" ht="24" outlineLevel="1">
      <c r="A23" s="1063"/>
      <c r="B23" s="404"/>
      <c r="C23" s="377"/>
      <c r="D23" s="375" t="s">
        <v>94</v>
      </c>
      <c r="E23" s="407" t="s">
        <v>83</v>
      </c>
      <c r="F23" s="419">
        <v>60</v>
      </c>
      <c r="G23" s="409"/>
      <c r="H23" s="374" t="s">
        <v>95</v>
      </c>
      <c r="I23" s="36" t="s">
        <v>73</v>
      </c>
      <c r="J23" s="1097"/>
      <c r="M23" s="371" t="str">
        <f t="shared" si="0"/>
        <v/>
      </c>
      <c r="N23" s="160" t="str">
        <f t="shared" si="1"/>
        <v/>
      </c>
    </row>
    <row r="24" spans="1:14" ht="24" customHeight="1" outlineLevel="1">
      <c r="A24" s="1063"/>
      <c r="B24" s="404"/>
      <c r="C24" s="377"/>
      <c r="D24" s="375" t="s">
        <v>96</v>
      </c>
      <c r="E24" s="407" t="s">
        <v>83</v>
      </c>
      <c r="F24" s="419">
        <v>95</v>
      </c>
      <c r="G24" s="409"/>
      <c r="H24" s="385" t="s">
        <v>97</v>
      </c>
      <c r="I24" s="36" t="s">
        <v>73</v>
      </c>
      <c r="J24" s="1097"/>
      <c r="M24" s="371" t="str">
        <f t="shared" si="0"/>
        <v/>
      </c>
      <c r="N24" s="160" t="str">
        <f t="shared" si="1"/>
        <v/>
      </c>
    </row>
    <row r="25" spans="1:14" ht="32.450000000000003" customHeight="1" outlineLevel="1">
      <c r="A25" s="1063"/>
      <c r="B25" s="404"/>
      <c r="C25" s="377"/>
      <c r="D25" s="420" t="s">
        <v>98</v>
      </c>
      <c r="E25" s="421"/>
      <c r="F25" s="422">
        <v>0.5</v>
      </c>
      <c r="G25" s="423"/>
      <c r="H25" s="424" t="s">
        <v>99</v>
      </c>
      <c r="I25" s="28" t="s">
        <v>73</v>
      </c>
      <c r="J25" s="1097"/>
      <c r="M25" s="371" t="str">
        <f t="shared" si="0"/>
        <v/>
      </c>
      <c r="N25" s="160" t="str">
        <f t="shared" si="1"/>
        <v/>
      </c>
    </row>
    <row r="26" spans="1:14" ht="24" outlineLevel="1">
      <c r="A26" s="1063"/>
      <c r="B26" s="404"/>
      <c r="C26" s="377"/>
      <c r="D26" s="425" t="s">
        <v>100</v>
      </c>
      <c r="E26" s="426" t="s">
        <v>101</v>
      </c>
      <c r="F26" s="427">
        <v>0.02</v>
      </c>
      <c r="G26" s="428" t="s">
        <v>102</v>
      </c>
      <c r="H26" s="380" t="str">
        <f>"Increase of COP per increasing degree of Heat Source In temperature as compared to "&amp;F18&amp;"°C. The impact of the settings on COP can be check at the bottom of this sheet."</f>
        <v>Increase of COP per increasing degree of Heat Source In temperature as compared to 25°C. The impact of the settings on COP can be check at the bottom of this sheet.</v>
      </c>
      <c r="I26" s="30" t="s">
        <v>73</v>
      </c>
      <c r="J26" s="1097"/>
      <c r="M26" s="371" t="str">
        <f t="shared" si="0"/>
        <v/>
      </c>
      <c r="N26" s="160" t="str">
        <f t="shared" si="1"/>
        <v/>
      </c>
    </row>
    <row r="27" spans="1:14" ht="24" outlineLevel="1">
      <c r="A27" s="1063"/>
      <c r="B27" s="404"/>
      <c r="C27" s="377"/>
      <c r="D27" s="425" t="s">
        <v>103</v>
      </c>
      <c r="E27" s="426" t="s">
        <v>101</v>
      </c>
      <c r="F27" s="427">
        <v>2.5999999999999999E-2</v>
      </c>
      <c r="G27" s="428" t="s">
        <v>102</v>
      </c>
      <c r="H27" s="380" t="str">
        <f>"Decrease of COP per increasing degree of Heat Sink Out temperature (e.g. grid supply line) as compared to "&amp;F20&amp;"°C. The impact of the settings on COP can be check at the bottom of this sheet."</f>
        <v>Decrease of COP per increasing degree of Heat Sink Out temperature (e.g. grid supply line) as compared to 90°C. The impact of the settings on COP can be check at the bottom of this sheet.</v>
      </c>
      <c r="I27" s="30" t="s">
        <v>73</v>
      </c>
      <c r="J27" s="1097"/>
      <c r="M27" s="371" t="str">
        <f t="shared" si="0"/>
        <v/>
      </c>
      <c r="N27" s="160" t="str">
        <f t="shared" si="1"/>
        <v/>
      </c>
    </row>
    <row r="28" spans="1:14" ht="24" outlineLevel="1">
      <c r="A28" s="1063"/>
      <c r="B28" s="404"/>
      <c r="C28" s="377"/>
      <c r="D28" s="425" t="s">
        <v>104</v>
      </c>
      <c r="E28" s="426" t="s">
        <v>101</v>
      </c>
      <c r="F28" s="429">
        <v>0</v>
      </c>
      <c r="G28" s="428" t="s">
        <v>102</v>
      </c>
      <c r="H28" s="380" t="str">
        <f>"Increase of COP per increasing degree of Heat Sink In temperature (e.g. grid return line) as compared to "&amp;F23&amp;"°C. PLEASE READ ADDITIONAL NOTES"</f>
        <v>Increase of COP per increasing degree of Heat Sink In temperature (e.g. grid return line) as compared to 60°C. PLEASE READ ADDITIONAL NOTES</v>
      </c>
      <c r="I28" s="30" t="s">
        <v>73</v>
      </c>
      <c r="J28" s="1097"/>
      <c r="M28" s="371" t="str">
        <f t="shared" si="0"/>
        <v/>
      </c>
      <c r="N28" s="160" t="str">
        <f t="shared" si="1"/>
        <v/>
      </c>
    </row>
    <row r="29" spans="1:14" s="5" customFormat="1" ht="24" outlineLevel="1">
      <c r="A29" s="1063"/>
      <c r="B29" s="430"/>
      <c r="C29" s="430"/>
      <c r="D29" s="431" t="s">
        <v>105</v>
      </c>
      <c r="E29" s="432" t="s">
        <v>106</v>
      </c>
      <c r="F29" s="419">
        <v>1</v>
      </c>
      <c r="G29" s="433"/>
      <c r="H29" s="434" t="s">
        <v>107</v>
      </c>
      <c r="I29" s="31" t="s">
        <v>73</v>
      </c>
      <c r="J29" s="1097"/>
      <c r="M29" s="371" t="str">
        <f t="shared" si="0"/>
        <v/>
      </c>
      <c r="N29" s="160" t="str">
        <f t="shared" si="1"/>
        <v/>
      </c>
    </row>
    <row r="30" spans="1:14" outlineLevel="1">
      <c r="A30" s="1063"/>
      <c r="B30" s="404"/>
      <c r="C30" s="1069" t="s">
        <v>108</v>
      </c>
      <c r="D30" s="1069"/>
      <c r="E30" s="436"/>
      <c r="F30" s="437"/>
      <c r="G30" s="438"/>
      <c r="H30" s="438"/>
      <c r="I30" s="81"/>
      <c r="J30" s="1097"/>
    </row>
    <row r="31" spans="1:14" ht="18" outlineLevel="1">
      <c r="A31" s="1063"/>
      <c r="B31" s="404"/>
      <c r="C31" s="377"/>
      <c r="D31" s="420" t="s">
        <v>109</v>
      </c>
      <c r="E31" s="439" t="s">
        <v>110</v>
      </c>
      <c r="F31" s="440">
        <v>1500</v>
      </c>
      <c r="G31" s="423"/>
      <c r="H31" s="441" t="s">
        <v>111</v>
      </c>
      <c r="I31" s="28" t="s">
        <v>73</v>
      </c>
      <c r="J31" s="1097"/>
      <c r="M31" s="371" t="str">
        <f t="shared" ref="M31:M41" si="2">N31</f>
        <v/>
      </c>
      <c r="N31" s="160" t="str">
        <f t="shared" ref="N31:N41" si="3">IF(IFERROR((1+F31)*1, "!!!!")="!!!!","Inputs contain non-numerical data. Please check your input data!","")</f>
        <v/>
      </c>
    </row>
    <row r="32" spans="1:14" ht="18" outlineLevel="1">
      <c r="A32" s="1063"/>
      <c r="B32" s="404"/>
      <c r="C32" s="377"/>
      <c r="D32" s="442" t="s">
        <v>112</v>
      </c>
      <c r="E32" s="426" t="s">
        <v>113</v>
      </c>
      <c r="F32" s="443">
        <f>F31*F14*1000</f>
        <v>4500000</v>
      </c>
      <c r="G32" s="444"/>
      <c r="H32" s="444" t="s">
        <v>114</v>
      </c>
      <c r="I32" s="30" t="s">
        <v>73</v>
      </c>
      <c r="J32" s="1097"/>
      <c r="M32" s="371" t="str">
        <f t="shared" si="2"/>
        <v/>
      </c>
      <c r="N32" s="160" t="str">
        <f t="shared" si="3"/>
        <v/>
      </c>
    </row>
    <row r="33" spans="1:14" ht="24" outlineLevel="1">
      <c r="A33" s="1063"/>
      <c r="B33" s="404"/>
      <c r="C33" s="377"/>
      <c r="D33" s="425" t="s">
        <v>115</v>
      </c>
      <c r="E33" s="426" t="s">
        <v>113</v>
      </c>
      <c r="F33" s="445">
        <v>0</v>
      </c>
      <c r="G33" s="444"/>
      <c r="H33" s="380" t="s">
        <v>116</v>
      </c>
      <c r="I33" s="30" t="s">
        <v>73</v>
      </c>
      <c r="J33" s="1097"/>
      <c r="M33" s="371" t="str">
        <f t="shared" si="2"/>
        <v/>
      </c>
      <c r="N33" s="160" t="str">
        <f t="shared" si="3"/>
        <v/>
      </c>
    </row>
    <row r="34" spans="1:14" ht="18" outlineLevel="1">
      <c r="A34" s="1063"/>
      <c r="B34" s="404"/>
      <c r="C34" s="377"/>
      <c r="D34" s="442" t="s">
        <v>117</v>
      </c>
      <c r="E34" s="426" t="s">
        <v>113</v>
      </c>
      <c r="F34" s="443">
        <f>F33+F32</f>
        <v>4500000</v>
      </c>
      <c r="G34" s="444"/>
      <c r="H34" s="446" t="s">
        <v>118</v>
      </c>
      <c r="I34" s="30" t="s">
        <v>73</v>
      </c>
      <c r="J34" s="1097"/>
      <c r="M34" s="371" t="str">
        <f t="shared" si="2"/>
        <v/>
      </c>
      <c r="N34" s="160" t="str">
        <f t="shared" si="3"/>
        <v/>
      </c>
    </row>
    <row r="35" spans="1:14" ht="24" outlineLevel="1">
      <c r="A35" s="1063"/>
      <c r="B35" s="404"/>
      <c r="C35" s="377"/>
      <c r="D35" s="447" t="s">
        <v>119</v>
      </c>
      <c r="E35" s="426" t="s">
        <v>120</v>
      </c>
      <c r="F35" s="445">
        <v>0</v>
      </c>
      <c r="G35" s="444"/>
      <c r="H35" s="380" t="str">
        <f>"This parameter includes fixed annual expenses related to the operation of the heat pump system, such as personnel, rent, or service contracts—if applicable. It is considered equivalent to the corresponding value for the heat pump (as referenced in cell &gt;"&amp;D38&amp;"&lt;), normalized to the pump's installed capacity ("&amp;F14&amp;" MW)."</f>
        <v>This parameter includes fixed annual expenses related to the operation of the heat pump system, such as personnel, rent, or service contracts—if applicable. It is considered equivalent to the corresponding value for the heat pump (as referenced in cell &gt;O&amp;M Costs - variable (excl. electricity)&lt;), normalized to the pump's installed capacity (3 MW).</v>
      </c>
      <c r="I35" s="30" t="s">
        <v>73</v>
      </c>
      <c r="J35" s="1097"/>
      <c r="M35" s="371" t="str">
        <f t="shared" si="2"/>
        <v/>
      </c>
      <c r="N35" s="160" t="str">
        <f t="shared" si="3"/>
        <v/>
      </c>
    </row>
    <row r="36" spans="1:14" ht="24" outlineLevel="1">
      <c r="A36" s="1063"/>
      <c r="B36" s="404"/>
      <c r="C36" s="377"/>
      <c r="D36" s="447" t="s">
        <v>121</v>
      </c>
      <c r="E36" s="426" t="s">
        <v>122</v>
      </c>
      <c r="F36" s="445">
        <v>22000</v>
      </c>
      <c r="G36" s="444"/>
      <c r="H36" s="380" t="s">
        <v>123</v>
      </c>
      <c r="I36" s="30" t="s">
        <v>73</v>
      </c>
      <c r="J36" s="1097"/>
      <c r="M36" s="371" t="str">
        <f t="shared" si="2"/>
        <v/>
      </c>
      <c r="N36" s="160" t="str">
        <f t="shared" si="3"/>
        <v/>
      </c>
    </row>
    <row r="37" spans="1:14" ht="36" outlineLevel="1">
      <c r="A37" s="1063"/>
      <c r="B37" s="404"/>
      <c r="C37" s="377"/>
      <c r="D37" s="448" t="s">
        <v>124</v>
      </c>
      <c r="E37" s="426" t="s">
        <v>120</v>
      </c>
      <c r="F37" s="443">
        <f>F35+F36*F14</f>
        <v>66000</v>
      </c>
      <c r="G37" s="444"/>
      <c r="H37" s="380" t="s">
        <v>125</v>
      </c>
      <c r="I37" s="30" t="s">
        <v>73</v>
      </c>
      <c r="J37" s="1097"/>
      <c r="M37" s="371" t="str">
        <f t="shared" si="2"/>
        <v/>
      </c>
      <c r="N37" s="160" t="str">
        <f t="shared" si="3"/>
        <v/>
      </c>
    </row>
    <row r="38" spans="1:14" ht="24" outlineLevel="1">
      <c r="A38" s="1063"/>
      <c r="B38" s="404"/>
      <c r="C38" s="377"/>
      <c r="D38" s="447" t="s">
        <v>126</v>
      </c>
      <c r="E38" s="426" t="s">
        <v>127</v>
      </c>
      <c r="F38" s="445">
        <v>0</v>
      </c>
      <c r="G38" s="444"/>
      <c r="H38" s="380" t="s">
        <v>128</v>
      </c>
      <c r="I38" s="30" t="s">
        <v>73</v>
      </c>
      <c r="J38" s="1097"/>
      <c r="M38" s="371" t="str">
        <f t="shared" si="2"/>
        <v/>
      </c>
      <c r="N38" s="160" t="str">
        <f t="shared" si="3"/>
        <v/>
      </c>
    </row>
    <row r="39" spans="1:14" ht="26.1" customHeight="1" outlineLevel="1">
      <c r="A39" s="1063"/>
      <c r="B39" s="404"/>
      <c r="C39" s="377"/>
      <c r="D39" s="447" t="s">
        <v>129</v>
      </c>
      <c r="E39" s="449" t="s">
        <v>130</v>
      </c>
      <c r="F39" s="445">
        <v>150</v>
      </c>
      <c r="G39" s="444"/>
      <c r="H39" s="385" t="s">
        <v>131</v>
      </c>
      <c r="I39" s="30" t="s">
        <v>73</v>
      </c>
      <c r="J39" s="1097"/>
      <c r="K39" s="4"/>
      <c r="M39" s="371" t="str">
        <f t="shared" si="2"/>
        <v/>
      </c>
      <c r="N39" s="160" t="str">
        <f t="shared" si="3"/>
        <v/>
      </c>
    </row>
    <row r="40" spans="1:14" ht="38.1" customHeight="1" outlineLevel="1">
      <c r="A40" s="1063"/>
      <c r="B40" s="404"/>
      <c r="C40" s="377"/>
      <c r="D40" s="448" t="s">
        <v>129</v>
      </c>
      <c r="E40" s="426" t="s">
        <v>120</v>
      </c>
      <c r="F40" s="443">
        <f>F39*F14/F16*1000</f>
        <v>150000</v>
      </c>
      <c r="G40" s="444"/>
      <c r="H40" s="380" t="s">
        <v>1184</v>
      </c>
      <c r="I40" s="30"/>
      <c r="J40" s="1097"/>
      <c r="M40" s="371" t="str">
        <f t="shared" si="2"/>
        <v/>
      </c>
      <c r="N40" s="160" t="str">
        <f t="shared" si="3"/>
        <v/>
      </c>
    </row>
    <row r="41" spans="1:14" ht="29.45" customHeight="1" outlineLevel="1">
      <c r="A41" s="1063"/>
      <c r="B41" s="404"/>
      <c r="C41" s="377"/>
      <c r="D41" s="431" t="s">
        <v>132</v>
      </c>
      <c r="E41" s="450" t="s">
        <v>133</v>
      </c>
      <c r="F41" s="451">
        <v>11</v>
      </c>
      <c r="G41" s="452"/>
      <c r="H41" s="453" t="s">
        <v>134</v>
      </c>
      <c r="I41" s="31" t="s">
        <v>73</v>
      </c>
      <c r="J41" s="1097"/>
      <c r="M41" s="371" t="str">
        <f t="shared" si="2"/>
        <v/>
      </c>
      <c r="N41" s="160" t="str">
        <f t="shared" si="3"/>
        <v/>
      </c>
    </row>
    <row r="42" spans="1:14" outlineLevel="1">
      <c r="A42" s="1063"/>
      <c r="B42" s="404"/>
      <c r="C42" s="1069" t="s">
        <v>135</v>
      </c>
      <c r="D42" s="1072"/>
      <c r="E42" s="454"/>
      <c r="F42" s="455"/>
      <c r="G42" s="403"/>
      <c r="H42" s="403"/>
      <c r="I42" s="77"/>
      <c r="J42" s="1097"/>
    </row>
    <row r="43" spans="1:14" ht="24" outlineLevel="1">
      <c r="A43" s="1063"/>
      <c r="B43" s="404"/>
      <c r="C43" s="377"/>
      <c r="D43" s="420" t="s">
        <v>136</v>
      </c>
      <c r="E43" s="439" t="s">
        <v>110</v>
      </c>
      <c r="F43" s="445">
        <f>F31*0.4</f>
        <v>600</v>
      </c>
      <c r="G43" s="423"/>
      <c r="H43" s="441" t="s">
        <v>137</v>
      </c>
      <c r="I43" s="28" t="s">
        <v>73</v>
      </c>
      <c r="J43" s="1097"/>
      <c r="M43" s="371" t="str">
        <f t="shared" ref="M43:M50" si="4">N43</f>
        <v/>
      </c>
      <c r="N43" s="160" t="str">
        <f t="shared" ref="N43:N50" si="5">IF(IFERROR((1+F43)*1, "!!!!")="!!!!","Inputs contain non-numerical data. Please check your input data!","")</f>
        <v/>
      </c>
    </row>
    <row r="44" spans="1:14" ht="18" outlineLevel="1">
      <c r="A44" s="1063"/>
      <c r="B44" s="404"/>
      <c r="C44" s="377"/>
      <c r="D44" s="442" t="s">
        <v>138</v>
      </c>
      <c r="E44" s="426" t="s">
        <v>113</v>
      </c>
      <c r="F44" s="443">
        <f>F43*F14*1000</f>
        <v>1800000</v>
      </c>
      <c r="G44" s="444"/>
      <c r="H44" s="380" t="s">
        <v>139</v>
      </c>
      <c r="I44" s="30" t="s">
        <v>73</v>
      </c>
      <c r="J44" s="1097"/>
      <c r="M44" s="371" t="str">
        <f t="shared" si="4"/>
        <v/>
      </c>
      <c r="N44" s="160" t="str">
        <f t="shared" si="5"/>
        <v/>
      </c>
    </row>
    <row r="45" spans="1:14" ht="24" customHeight="1" outlineLevel="1">
      <c r="A45" s="1063"/>
      <c r="B45" s="404"/>
      <c r="C45" s="377"/>
      <c r="D45" s="425" t="s">
        <v>140</v>
      </c>
      <c r="E45" s="426" t="s">
        <v>122</v>
      </c>
      <c r="F45" s="445">
        <v>0</v>
      </c>
      <c r="G45" s="444"/>
      <c r="H45" s="380" t="str">
        <f>"This considers annual (operation-independent) subsidies for a defined number of year ("&amp;F46&amp;" years, as defined in the section: (&gt;"&amp;D46&amp;"&lt;), for which the subsidies are given. If subsidies are given under a Take-or-Pay premise, then use this variable to specifiy the subsidies instead of S3 below."</f>
        <v>This considers annual (operation-independent) subsidies for a defined number of year (10 years, as defined in the section: (&gt;S2 given for number of years&lt;), for which the subsidies are given. If subsidies are given under a Take-or-Pay premise, then use this variable to specifiy the subsidies instead of S3 below.</v>
      </c>
      <c r="I45" s="30" t="s">
        <v>73</v>
      </c>
      <c r="J45" s="1097"/>
      <c r="M45" s="371" t="str">
        <f t="shared" si="4"/>
        <v/>
      </c>
      <c r="N45" s="160" t="str">
        <f t="shared" si="5"/>
        <v/>
      </c>
    </row>
    <row r="46" spans="1:14" ht="23.45" customHeight="1" outlineLevel="1">
      <c r="A46" s="1063"/>
      <c r="B46" s="404"/>
      <c r="C46" s="377"/>
      <c r="D46" s="425" t="s">
        <v>141</v>
      </c>
      <c r="E46" s="426" t="s">
        <v>75</v>
      </c>
      <c r="F46" s="445">
        <v>10</v>
      </c>
      <c r="G46" s="444"/>
      <c r="H46" s="380" t="s">
        <v>142</v>
      </c>
      <c r="I46" s="30" t="s">
        <v>73</v>
      </c>
      <c r="J46" s="1097"/>
      <c r="M46" s="371" t="str">
        <f t="shared" si="4"/>
        <v/>
      </c>
      <c r="N46" s="160" t="str">
        <f t="shared" si="5"/>
        <v/>
      </c>
    </row>
    <row r="47" spans="1:14" ht="18" outlineLevel="1">
      <c r="A47" s="1063"/>
      <c r="B47" s="404"/>
      <c r="C47" s="377"/>
      <c r="D47" s="442" t="s">
        <v>143</v>
      </c>
      <c r="E47" s="426" t="s">
        <v>122</v>
      </c>
      <c r="F47" s="443">
        <f>F45*F46/F88</f>
        <v>0</v>
      </c>
      <c r="G47" s="444"/>
      <c r="H47" s="380" t="str">
        <f>"This considers annual (operation-independent) subsidies for the entire lifetime of project ("&amp;F88&amp;" years, as defined in the section "&amp;B86&amp;" below)."</f>
        <v>This considers annual (operation-independent) subsidies for the entire lifetime of project (15 years, as defined in the section Economic settings below).</v>
      </c>
      <c r="I47" s="30" t="s">
        <v>73</v>
      </c>
      <c r="J47" s="1097"/>
      <c r="M47" s="371" t="str">
        <f t="shared" si="4"/>
        <v/>
      </c>
      <c r="N47" s="160" t="str">
        <f t="shared" si="5"/>
        <v/>
      </c>
    </row>
    <row r="48" spans="1:14" ht="45" customHeight="1" outlineLevel="1">
      <c r="A48" s="1063"/>
      <c r="B48" s="404"/>
      <c r="C48" s="377"/>
      <c r="D48" s="456" t="s">
        <v>144</v>
      </c>
      <c r="E48" s="449" t="s">
        <v>145</v>
      </c>
      <c r="F48" s="457">
        <v>0</v>
      </c>
      <c r="G48" s="428" t="s">
        <v>146</v>
      </c>
      <c r="H48" s="380" t="str">
        <f>"This subsidy applies to projects utilizing waste heat, often in combination with heat pumps. " &amp; "It is a subsidy per utilized MWh of Waste heat (provided by DC under Pay-as-you-go contract, NOT the MWh provided to the district heating network or the heat provided by the Heat pump) for a defined lifetime of project ("&amp;F49&amp;" years, as defined in the section &gt;"&amp;D49&amp;"&lt;)."</f>
        <v>This subsidy applies to projects utilizing waste heat, often in combination with heat pumps. It is a subsidy per utilized MWh of Waste heat (provided by DC under Pay-as-you-go contract, NOT the MWh provided to the district heating network or the heat provided by the Heat pump) for a defined lifetime of project (10 years, as defined in the section &gt;S3 given for number of years&lt;).</v>
      </c>
      <c r="I48" s="30" t="s">
        <v>73</v>
      </c>
      <c r="J48" s="1097"/>
      <c r="M48" s="371" t="str">
        <f t="shared" si="4"/>
        <v/>
      </c>
      <c r="N48" s="160" t="str">
        <f t="shared" si="5"/>
        <v/>
      </c>
    </row>
    <row r="49" spans="1:14" ht="20.100000000000001" customHeight="1" outlineLevel="1">
      <c r="A49" s="1063"/>
      <c r="B49" s="404"/>
      <c r="C49" s="377"/>
      <c r="D49" s="425" t="s">
        <v>147</v>
      </c>
      <c r="E49" s="426" t="s">
        <v>75</v>
      </c>
      <c r="F49" s="445">
        <v>10</v>
      </c>
      <c r="G49" s="444"/>
      <c r="H49" s="380" t="s">
        <v>148</v>
      </c>
      <c r="I49" s="30" t="s">
        <v>73</v>
      </c>
      <c r="J49" s="1097"/>
      <c r="M49" s="371" t="str">
        <f t="shared" si="4"/>
        <v/>
      </c>
      <c r="N49" s="160" t="str">
        <f t="shared" si="5"/>
        <v/>
      </c>
    </row>
    <row r="50" spans="1:14" ht="47.45" customHeight="1" outlineLevel="1">
      <c r="A50" s="1063"/>
      <c r="B50" s="404"/>
      <c r="C50" s="377"/>
      <c r="D50" s="442" t="s">
        <v>149</v>
      </c>
      <c r="E50" s="449" t="s">
        <v>145</v>
      </c>
      <c r="F50" s="443">
        <f>F48*F49/F88</f>
        <v>0</v>
      </c>
      <c r="G50" s="444"/>
      <c r="H50" s="380" t="s">
        <v>150</v>
      </c>
      <c r="I50" s="30" t="s">
        <v>73</v>
      </c>
      <c r="J50" s="1097"/>
      <c r="M50" s="371" t="str">
        <f t="shared" si="4"/>
        <v/>
      </c>
      <c r="N50" s="160" t="str">
        <f t="shared" si="5"/>
        <v/>
      </c>
    </row>
    <row r="51" spans="1:14" ht="47.45" customHeight="1" outlineLevel="1">
      <c r="A51" s="1063"/>
      <c r="B51" s="404"/>
      <c r="C51" s="377"/>
      <c r="D51" s="442" t="s">
        <v>151</v>
      </c>
      <c r="E51" s="1020" t="s">
        <v>152</v>
      </c>
      <c r="F51" s="445">
        <v>0</v>
      </c>
      <c r="G51" s="444"/>
      <c r="H51" s="380" t="str">
        <f>"If 1 is defined, then the average subsidies S3, currently set to "&amp;ROUND(F50,1)&amp;" EUR/MWh_th are considered in the dispatch. If any other value is provided, then the subsidies are considered in the project evaluation, but not for the dispatch ('EINSATZPLANUNG' of the heat pump). 
Current Setting: " &amp; IF(F51=1, "Considered in dispatch", "NOT CONSIDERED IN DISPATCH")</f>
        <v>If 1 is defined, then the average subsidies S3, currently set to 0 EUR/MWh_th are considered in the dispatch. If any other value is provided, then the subsidies are considered in the project evaluation, but not for the dispatch ('EINSATZPLANUNG' of the heat pump). 
Current Setting: NOT CONSIDERED IN DISPATCH</v>
      </c>
      <c r="I51" s="30" t="s">
        <v>73</v>
      </c>
      <c r="J51" s="1097"/>
      <c r="M51" s="371"/>
      <c r="N51" s="248"/>
    </row>
    <row r="52" spans="1:14" ht="32.1" customHeight="1" outlineLevel="1" thickBot="1">
      <c r="A52" s="1064"/>
      <c r="B52" s="458"/>
      <c r="C52" s="459"/>
      <c r="D52" s="1073" t="str">
        <f>"The following heat pump-related subsidies are currently considered: Lump-sum-subsidies: "&amp; F44&amp;" EUR (one-time, lump sum) + capacity related subsidies: " &amp;F47 &amp;" "&amp;E47 &amp; " + operation-related subsidies: "&amp;F50&amp;" "&amp;E50</f>
        <v>The following heat pump-related subsidies are currently considered: Lump-sum-subsidies: 1800000 EUR (one-time, lump sum) + capacity related subsidies: 0 EUR/MW_th/yr + operation-related subsidies: 0 EUR/MWh_th (utilised waste heat, not HP output or electricity input)</v>
      </c>
      <c r="E52" s="1073"/>
      <c r="F52" s="1073"/>
      <c r="G52" s="1073"/>
      <c r="H52" s="1073"/>
      <c r="I52" s="40"/>
      <c r="J52" s="1097"/>
    </row>
    <row r="53" spans="1:14" ht="20.45" customHeight="1" thickTop="1" thickBot="1">
      <c r="A53" s="1065" t="s">
        <v>65</v>
      </c>
      <c r="B53" s="518" t="s">
        <v>153</v>
      </c>
      <c r="C53" s="460"/>
      <c r="D53" s="1088"/>
      <c r="E53" s="1088"/>
      <c r="F53" s="1088"/>
      <c r="G53" s="461"/>
      <c r="H53" s="460"/>
      <c r="I53" s="75"/>
      <c r="J53" s="1097"/>
    </row>
    <row r="54" spans="1:14" outlineLevel="1">
      <c r="A54" s="1063"/>
      <c r="B54" s="404"/>
      <c r="C54" s="1069" t="s">
        <v>69</v>
      </c>
      <c r="D54" s="1069"/>
      <c r="E54" s="401"/>
      <c r="F54" s="402"/>
      <c r="G54" s="403"/>
      <c r="H54" s="403"/>
      <c r="I54" s="77"/>
      <c r="J54" s="1097"/>
    </row>
    <row r="55" spans="1:14" ht="47.1" customHeight="1" outlineLevel="1">
      <c r="A55" s="1066"/>
      <c r="B55" s="404"/>
      <c r="C55" s="462"/>
      <c r="D55" s="420" t="s">
        <v>70</v>
      </c>
      <c r="E55" s="421" t="s">
        <v>71</v>
      </c>
      <c r="F55" s="457">
        <v>0.5</v>
      </c>
      <c r="G55" s="463" t="str">
        <f ca="1">"Under current settings, a booster capacity of up to " &amp; ROUND('Calculation of Typical Day'!AC19,2)  &amp; " MW is needed to fully utilise the heat."</f>
        <v>Under current settings, a booster capacity of up to 0.19 MW is needed to fully utilise the heat.</v>
      </c>
      <c r="H55" s="463" t="str">
        <f>"Thermal output that defines the maximum amount of heat the booster can deliver. In this tool, the booster is used to raise the temperature of the heat pump’s sink outlet flow" &amp; " when the required temperature level exceeds what the heat pump alone can provide. "</f>
        <v xml:space="preserve">Thermal output that defines the maximum amount of heat the booster can deliver. In this tool, the booster is used to raise the temperature of the heat pump’s sink outlet flow when the required temperature level exceeds what the heat pump alone can provide. </v>
      </c>
      <c r="I55" s="28" t="s">
        <v>73</v>
      </c>
      <c r="J55" s="1097"/>
      <c r="M55" s="371" t="str">
        <f>N55</f>
        <v/>
      </c>
      <c r="N55" s="160" t="str">
        <f>IF(IFERROR((1+F55)*1, "!!!!")="!!!!","Inputs contain non-numerical data. Please check your input data!","")</f>
        <v/>
      </c>
    </row>
    <row r="56" spans="1:14" ht="28.35" customHeight="1" outlineLevel="1">
      <c r="A56" s="1066"/>
      <c r="B56" s="404"/>
      <c r="C56" s="377"/>
      <c r="D56" s="464" t="s">
        <v>154</v>
      </c>
      <c r="E56" s="432" t="s">
        <v>106</v>
      </c>
      <c r="F56" s="445">
        <v>99</v>
      </c>
      <c r="G56" s="452"/>
      <c r="H56" s="453" t="str">
        <f>"The conversion efficiency of the booster technology that indicates how effectively it converts input energy (e.g., electricity or fuel) into usable heat." &amp; " An additional " &amp;F29&amp;"% loss is assumed downstream of the booster, similar to the loss factor applied to the heat pump output."</f>
        <v>The conversion efficiency of the booster technology that indicates how effectively it converts input energy (e.g., electricity or fuel) into usable heat. An additional 1% loss is assumed downstream of the booster, similar to the loss factor applied to the heat pump output.</v>
      </c>
      <c r="I56" s="31" t="s">
        <v>73</v>
      </c>
      <c r="J56" s="1097"/>
      <c r="M56" s="371" t="str">
        <f>N56</f>
        <v/>
      </c>
      <c r="N56" s="160" t="str">
        <f>IF(IFERROR((1+F56)*1, "!!!!")="!!!!","Inputs contain non-numerical data. Please check your input data!","")</f>
        <v/>
      </c>
    </row>
    <row r="57" spans="1:14" outlineLevel="1">
      <c r="A57" s="1063"/>
      <c r="B57" s="404"/>
      <c r="C57" s="1069" t="s">
        <v>108</v>
      </c>
      <c r="D57" s="1069"/>
      <c r="E57" s="465"/>
      <c r="F57" s="466"/>
      <c r="G57" s="466"/>
      <c r="H57" s="466"/>
      <c r="I57" s="83"/>
      <c r="J57" s="1097"/>
    </row>
    <row r="58" spans="1:14" ht="18" outlineLevel="1">
      <c r="A58" s="1066"/>
      <c r="B58" s="404"/>
      <c r="C58" s="377"/>
      <c r="D58" s="420" t="s">
        <v>155</v>
      </c>
      <c r="E58" s="439" t="s">
        <v>110</v>
      </c>
      <c r="F58" s="467">
        <v>150</v>
      </c>
      <c r="G58" s="423"/>
      <c r="H58" s="441" t="s">
        <v>156</v>
      </c>
      <c r="I58" s="28" t="s">
        <v>73</v>
      </c>
      <c r="J58" s="1097"/>
      <c r="M58" s="371" t="str">
        <f t="shared" ref="M58:M68" si="6">N58</f>
        <v/>
      </c>
      <c r="N58" s="160" t="str">
        <f t="shared" ref="N58:N68" si="7">IF(IFERROR((1+F58)*1, "!!!!")="!!!!","Inputs contain non-numerical data. Please check your input data!","")</f>
        <v/>
      </c>
    </row>
    <row r="59" spans="1:14" ht="18" outlineLevel="1">
      <c r="A59" s="1066"/>
      <c r="B59" s="404"/>
      <c r="C59" s="377"/>
      <c r="D59" s="442" t="s">
        <v>112</v>
      </c>
      <c r="E59" s="426" t="s">
        <v>113</v>
      </c>
      <c r="F59" s="443">
        <f>F58*F55*1000</f>
        <v>75000</v>
      </c>
      <c r="G59" s="444"/>
      <c r="H59" s="446" t="s">
        <v>157</v>
      </c>
      <c r="I59" s="30" t="s">
        <v>73</v>
      </c>
      <c r="J59" s="1097"/>
      <c r="M59" s="371" t="str">
        <f t="shared" si="6"/>
        <v/>
      </c>
      <c r="N59" s="160" t="str">
        <f t="shared" si="7"/>
        <v/>
      </c>
    </row>
    <row r="60" spans="1:14" ht="23.45" customHeight="1" outlineLevel="1">
      <c r="A60" s="1066"/>
      <c r="B60" s="404"/>
      <c r="C60" s="377"/>
      <c r="D60" s="425" t="s">
        <v>115</v>
      </c>
      <c r="E60" s="426" t="s">
        <v>113</v>
      </c>
      <c r="F60" s="468">
        <v>0</v>
      </c>
      <c r="G60" s="444"/>
      <c r="H60" s="446" t="s">
        <v>158</v>
      </c>
      <c r="I60" s="30" t="s">
        <v>73</v>
      </c>
      <c r="J60" s="1097"/>
      <c r="M60" s="371" t="str">
        <f t="shared" si="6"/>
        <v/>
      </c>
      <c r="N60" s="160" t="str">
        <f t="shared" si="7"/>
        <v/>
      </c>
    </row>
    <row r="61" spans="1:14" ht="18" outlineLevel="1">
      <c r="A61" s="1066"/>
      <c r="B61" s="404"/>
      <c r="C61" s="377"/>
      <c r="D61" s="442" t="s">
        <v>159</v>
      </c>
      <c r="E61" s="426" t="s">
        <v>113</v>
      </c>
      <c r="F61" s="443">
        <f>SUM(F59:F60)</f>
        <v>75000</v>
      </c>
      <c r="G61" s="444"/>
      <c r="H61" s="446" t="s">
        <v>160</v>
      </c>
      <c r="I61" s="30" t="s">
        <v>73</v>
      </c>
      <c r="J61" s="1097"/>
      <c r="M61" s="371" t="str">
        <f t="shared" si="6"/>
        <v/>
      </c>
      <c r="N61" s="160" t="str">
        <f t="shared" si="7"/>
        <v/>
      </c>
    </row>
    <row r="62" spans="1:14" ht="18" outlineLevel="1">
      <c r="A62" s="1066"/>
      <c r="B62" s="404"/>
      <c r="C62" s="377"/>
      <c r="D62" s="425" t="s">
        <v>161</v>
      </c>
      <c r="E62" s="426" t="s">
        <v>120</v>
      </c>
      <c r="F62" s="469">
        <f>IF($F$55&gt;0,2000,0)</f>
        <v>2000</v>
      </c>
      <c r="G62" s="444"/>
      <c r="H62" s="446" t="s">
        <v>162</v>
      </c>
      <c r="I62" s="30" t="s">
        <v>73</v>
      </c>
      <c r="J62" s="1097"/>
      <c r="M62" s="371" t="str">
        <f t="shared" si="6"/>
        <v/>
      </c>
      <c r="N62" s="160" t="str">
        <f t="shared" si="7"/>
        <v/>
      </c>
    </row>
    <row r="63" spans="1:14" ht="27" customHeight="1" outlineLevel="1">
      <c r="A63" s="1066"/>
      <c r="B63" s="404"/>
      <c r="C63" s="377"/>
      <c r="D63" s="425" t="s">
        <v>121</v>
      </c>
      <c r="E63" s="426" t="s">
        <v>122</v>
      </c>
      <c r="F63" s="468">
        <v>0</v>
      </c>
      <c r="G63" s="444"/>
      <c r="H63" s="446" t="s">
        <v>163</v>
      </c>
      <c r="I63" s="30" t="s">
        <v>73</v>
      </c>
      <c r="J63" s="1097"/>
      <c r="M63" s="371" t="str">
        <f t="shared" si="6"/>
        <v/>
      </c>
      <c r="N63" s="160" t="str">
        <f t="shared" si="7"/>
        <v/>
      </c>
    </row>
    <row r="64" spans="1:14" ht="18" outlineLevel="1">
      <c r="A64" s="1066"/>
      <c r="B64" s="404"/>
      <c r="C64" s="377"/>
      <c r="D64" s="470" t="s">
        <v>164</v>
      </c>
      <c r="E64" s="407" t="s">
        <v>120</v>
      </c>
      <c r="F64" s="471">
        <f>F62+F63*F35</f>
        <v>2000</v>
      </c>
      <c r="G64" s="409"/>
      <c r="H64" s="472" t="s">
        <v>165</v>
      </c>
      <c r="I64" s="36" t="s">
        <v>73</v>
      </c>
      <c r="J64" s="1097"/>
      <c r="M64" s="371" t="str">
        <f t="shared" si="6"/>
        <v/>
      </c>
      <c r="N64" s="160" t="str">
        <f t="shared" si="7"/>
        <v/>
      </c>
    </row>
    <row r="65" spans="1:14" ht="18" outlineLevel="1">
      <c r="A65" s="1066"/>
      <c r="B65" s="404"/>
      <c r="C65" s="377"/>
      <c r="D65" s="420" t="s">
        <v>166</v>
      </c>
      <c r="E65" s="421" t="s">
        <v>127</v>
      </c>
      <c r="F65" s="467">
        <v>0</v>
      </c>
      <c r="G65" s="409"/>
      <c r="H65" s="472" t="s">
        <v>167</v>
      </c>
      <c r="I65" s="36" t="s">
        <v>73</v>
      </c>
      <c r="J65" s="1097"/>
      <c r="M65" s="371" t="str">
        <f t="shared" si="6"/>
        <v/>
      </c>
      <c r="N65" s="160" t="str">
        <f t="shared" si="7"/>
        <v/>
      </c>
    </row>
    <row r="66" spans="1:14" ht="26.45" customHeight="1" outlineLevel="1">
      <c r="A66" s="1066"/>
      <c r="B66" s="404"/>
      <c r="C66" s="377"/>
      <c r="D66" s="447" t="s">
        <v>168</v>
      </c>
      <c r="E66" s="449" t="s">
        <v>130</v>
      </c>
      <c r="F66" s="445">
        <v>150</v>
      </c>
      <c r="G66" s="409"/>
      <c r="H66" s="385" t="s">
        <v>169</v>
      </c>
      <c r="I66" s="36" t="s">
        <v>73</v>
      </c>
      <c r="J66" s="1097"/>
      <c r="M66" s="371" t="str">
        <f t="shared" si="6"/>
        <v/>
      </c>
      <c r="N66" s="160" t="str">
        <f t="shared" si="7"/>
        <v/>
      </c>
    </row>
    <row r="67" spans="1:14" ht="38.1" customHeight="1" outlineLevel="1">
      <c r="A67" s="1063"/>
      <c r="B67" s="404"/>
      <c r="C67" s="377"/>
      <c r="D67" s="448" t="s">
        <v>129</v>
      </c>
      <c r="E67" s="426" t="s">
        <v>120</v>
      </c>
      <c r="F67" s="443">
        <f>F66*F55/(F56/100)*1000</f>
        <v>75757.57575757576</v>
      </c>
      <c r="G67" s="409"/>
      <c r="H67" s="385" t="s">
        <v>170</v>
      </c>
      <c r="I67" s="36"/>
      <c r="J67" s="1097"/>
      <c r="M67" s="371" t="str">
        <f t="shared" si="6"/>
        <v/>
      </c>
      <c r="N67" s="160" t="str">
        <f t="shared" si="7"/>
        <v/>
      </c>
    </row>
    <row r="68" spans="1:14" ht="25.35" customHeight="1" outlineLevel="1">
      <c r="A68" s="1066"/>
      <c r="B68" s="404"/>
      <c r="C68" s="377"/>
      <c r="D68" s="431" t="s">
        <v>171</v>
      </c>
      <c r="E68" s="450" t="s">
        <v>133</v>
      </c>
      <c r="F68" s="451">
        <v>11</v>
      </c>
      <c r="G68" s="452"/>
      <c r="H68" s="453" t="s">
        <v>172</v>
      </c>
      <c r="I68" s="36" t="s">
        <v>73</v>
      </c>
      <c r="J68" s="1097"/>
      <c r="M68" s="371" t="str">
        <f t="shared" si="6"/>
        <v/>
      </c>
      <c r="N68" s="160" t="str">
        <f t="shared" si="7"/>
        <v/>
      </c>
    </row>
    <row r="69" spans="1:14" outlineLevel="1">
      <c r="A69" s="1063"/>
      <c r="B69" s="404"/>
      <c r="C69" s="1069" t="s">
        <v>173</v>
      </c>
      <c r="D69" s="1072"/>
      <c r="E69" s="401"/>
      <c r="F69" s="402"/>
      <c r="G69" s="403"/>
      <c r="H69" s="403"/>
      <c r="I69" s="81"/>
      <c r="J69" s="1097"/>
    </row>
    <row r="70" spans="1:14" ht="18.75" outlineLevel="1" thickBot="1">
      <c r="A70" s="1066"/>
      <c r="B70" s="458"/>
      <c r="C70" s="473"/>
      <c r="D70" s="474" t="s">
        <v>136</v>
      </c>
      <c r="E70" s="475" t="s">
        <v>174</v>
      </c>
      <c r="F70" s="476">
        <v>0</v>
      </c>
      <c r="G70" s="473"/>
      <c r="H70" s="477" t="s">
        <v>175</v>
      </c>
      <c r="I70" s="39" t="s">
        <v>73</v>
      </c>
      <c r="J70" s="1097"/>
      <c r="M70" s="371" t="str">
        <f>N70</f>
        <v/>
      </c>
      <c r="N70" s="160" t="str">
        <f>IF(IFERROR((1+F70)*1, "!!!!")="!!!!","Inputs contain non-numerical data. Please check your input data!","")</f>
        <v/>
      </c>
    </row>
    <row r="71" spans="1:14" ht="21.6" customHeight="1" outlineLevel="1" thickTop="1" thickBot="1">
      <c r="A71" s="1063"/>
      <c r="B71" s="1070" t="s">
        <v>176</v>
      </c>
      <c r="C71" s="1070"/>
      <c r="D71" s="1070"/>
      <c r="E71" s="1070"/>
      <c r="F71" s="1070"/>
      <c r="G71" s="461"/>
      <c r="H71" s="460"/>
      <c r="I71" s="75"/>
      <c r="J71" s="1097"/>
    </row>
    <row r="72" spans="1:14" ht="28.35" customHeight="1" outlineLevel="1">
      <c r="A72" s="1066"/>
      <c r="B72" s="404"/>
      <c r="C72" s="377"/>
      <c r="D72" s="420" t="s">
        <v>177</v>
      </c>
      <c r="E72" s="421" t="s">
        <v>113</v>
      </c>
      <c r="F72" s="467">
        <v>500000</v>
      </c>
      <c r="G72" s="423"/>
      <c r="H72" s="463" t="s">
        <v>178</v>
      </c>
      <c r="I72" s="28" t="s">
        <v>73</v>
      </c>
      <c r="J72" s="1097"/>
      <c r="M72" s="371" t="str">
        <f>N72</f>
        <v/>
      </c>
      <c r="N72" s="160" t="str">
        <f>IF(IFERROR((1+F72)*1, "!!!!")="!!!!","Inputs contain non-numerical data. Please check your input data!","")</f>
        <v/>
      </c>
    </row>
    <row r="73" spans="1:14" ht="30.6" customHeight="1" outlineLevel="1" thickBot="1">
      <c r="A73" s="1066"/>
      <c r="B73" s="458"/>
      <c r="C73" s="473"/>
      <c r="D73" s="478" t="s">
        <v>179</v>
      </c>
      <c r="E73" s="479" t="s">
        <v>113</v>
      </c>
      <c r="F73" s="480">
        <f>'Grid Costs'!AE19</f>
        <v>1050000</v>
      </c>
      <c r="G73" s="481"/>
      <c r="H73" s="477" t="s">
        <v>180</v>
      </c>
      <c r="I73" s="38" t="s">
        <v>73</v>
      </c>
      <c r="J73" s="1097"/>
      <c r="M73" s="371" t="str">
        <f>N73</f>
        <v/>
      </c>
      <c r="N73" s="160" t="str">
        <f>IF(IFERROR((1+F73)*1, "!!!!")="!!!!","Inputs contain non-numerical data. Please check your input data!","")</f>
        <v/>
      </c>
    </row>
    <row r="74" spans="1:14" ht="16.5" outlineLevel="1" thickTop="1" thickBot="1">
      <c r="A74" s="1063"/>
      <c r="B74" s="1070" t="s">
        <v>181</v>
      </c>
      <c r="C74" s="1070"/>
      <c r="D74" s="1070"/>
      <c r="E74" s="1070"/>
      <c r="F74" s="1070"/>
      <c r="G74" s="460"/>
      <c r="H74" s="460"/>
      <c r="I74" s="75"/>
      <c r="J74" s="1097"/>
    </row>
    <row r="75" spans="1:14" ht="26.1" customHeight="1" outlineLevel="1">
      <c r="A75" s="1066"/>
      <c r="B75" s="404"/>
      <c r="C75" s="377"/>
      <c r="D75" s="424" t="s">
        <v>182</v>
      </c>
      <c r="E75" s="421" t="s">
        <v>106</v>
      </c>
      <c r="F75" s="482">
        <v>8</v>
      </c>
      <c r="G75" s="423"/>
      <c r="H75" s="463" t="s">
        <v>183</v>
      </c>
      <c r="I75" s="28" t="s">
        <v>73</v>
      </c>
      <c r="J75" s="1097"/>
      <c r="M75" s="371" t="str">
        <f>N75</f>
        <v/>
      </c>
      <c r="N75" s="160" t="str">
        <f>IF(IFERROR((1+F75)*1, "!!!!")="!!!!","Inputs contain non-numerical data. Please check your input data!","")</f>
        <v/>
      </c>
    </row>
    <row r="76" spans="1:14" ht="30.6" customHeight="1" outlineLevel="1">
      <c r="A76" s="1066"/>
      <c r="B76" s="404"/>
      <c r="C76" s="377"/>
      <c r="D76" s="448" t="s">
        <v>184</v>
      </c>
      <c r="E76" s="426" t="s">
        <v>113</v>
      </c>
      <c r="F76" s="443">
        <f>F73+F61+F34+F72</f>
        <v>6125000</v>
      </c>
      <c r="G76" s="444"/>
      <c r="H76" s="380" t="s">
        <v>185</v>
      </c>
      <c r="I76" s="30" t="s">
        <v>73</v>
      </c>
      <c r="J76" s="1097"/>
      <c r="M76" s="371" t="str">
        <f>N76</f>
        <v/>
      </c>
      <c r="N76" s="160" t="str">
        <f>IF(IFERROR((1+F76)*1, "!!!!")="!!!!","Inputs contain non-numerical data. Please check your input data!","")</f>
        <v/>
      </c>
    </row>
    <row r="77" spans="1:14" ht="18.75" thickBot="1">
      <c r="A77" s="1066"/>
      <c r="B77" s="458"/>
      <c r="C77" s="473"/>
      <c r="D77" s="478" t="s">
        <v>186</v>
      </c>
      <c r="E77" s="479" t="s">
        <v>113</v>
      </c>
      <c r="F77" s="480">
        <f>F76*F75/100</f>
        <v>490000</v>
      </c>
      <c r="G77" s="481"/>
      <c r="H77" s="483" t="s">
        <v>187</v>
      </c>
      <c r="I77" s="38" t="s">
        <v>73</v>
      </c>
      <c r="J77" s="1097"/>
      <c r="M77" s="371" t="str">
        <f>N77</f>
        <v/>
      </c>
      <c r="N77" s="160" t="str">
        <f>IF(IFERROR((1+F77)*1, "!!!!")="!!!!","Inputs contain non-numerical data. Please check your input data!","")</f>
        <v/>
      </c>
    </row>
    <row r="78" spans="1:14" ht="16.5" thickTop="1" thickBot="1">
      <c r="A78" s="1063"/>
      <c r="B78" s="1070" t="s">
        <v>188</v>
      </c>
      <c r="C78" s="1070"/>
      <c r="D78" s="1070"/>
      <c r="E78" s="1070"/>
      <c r="F78" s="1070"/>
      <c r="G78" s="460"/>
      <c r="H78" s="460"/>
      <c r="I78" s="75"/>
      <c r="J78" s="1097"/>
    </row>
    <row r="79" spans="1:14" ht="15" customHeight="1" outlineLevel="1">
      <c r="A79" s="1066"/>
      <c r="B79" s="404"/>
      <c r="C79" s="377"/>
      <c r="D79" s="420" t="s">
        <v>189</v>
      </c>
      <c r="E79" s="421" t="s">
        <v>106</v>
      </c>
      <c r="F79" s="482">
        <v>2</v>
      </c>
      <c r="G79" s="423"/>
      <c r="H79" s="463" t="s">
        <v>190</v>
      </c>
      <c r="I79" s="28" t="s">
        <v>73</v>
      </c>
      <c r="J79" s="1097"/>
      <c r="M79" s="371" t="str">
        <f>N79</f>
        <v/>
      </c>
      <c r="N79" s="160" t="str">
        <f>IF(IFERROR((1+F79)*1, "!!!!")="!!!!","Inputs contain non-numerical data. Please check your input data!","")</f>
        <v/>
      </c>
    </row>
    <row r="80" spans="1:14" ht="18" outlineLevel="1">
      <c r="A80" s="1066"/>
      <c r="B80" s="404"/>
      <c r="C80" s="377"/>
      <c r="D80" s="425" t="s">
        <v>191</v>
      </c>
      <c r="E80" s="426" t="s">
        <v>120</v>
      </c>
      <c r="F80" s="468">
        <v>20000</v>
      </c>
      <c r="G80" s="444"/>
      <c r="H80" s="380" t="s">
        <v>192</v>
      </c>
      <c r="I80" s="30" t="s">
        <v>73</v>
      </c>
      <c r="J80" s="1097"/>
      <c r="M80" s="371" t="str">
        <f>N80</f>
        <v/>
      </c>
      <c r="N80" s="160" t="str">
        <f>IF(IFERROR((1+F80)*1, "!!!!")="!!!!","Inputs contain non-numerical data. Please check your input data!","")</f>
        <v/>
      </c>
    </row>
    <row r="81" spans="1:14" ht="18.75" outlineLevel="1" thickBot="1">
      <c r="A81" s="1066"/>
      <c r="B81" s="459"/>
      <c r="C81" s="459"/>
      <c r="D81" s="478" t="s">
        <v>193</v>
      </c>
      <c r="E81" s="479" t="s">
        <v>120</v>
      </c>
      <c r="F81" s="484">
        <v>0</v>
      </c>
      <c r="G81" s="481"/>
      <c r="H81" s="477" t="s">
        <v>194</v>
      </c>
      <c r="I81" s="38" t="s">
        <v>73</v>
      </c>
      <c r="J81" s="1097"/>
      <c r="M81" s="371" t="str">
        <f>N81</f>
        <v/>
      </c>
      <c r="N81" s="160" t="str">
        <f>IF(IFERROR((1+F81)*1, "!!!!")="!!!!","Inputs contain non-numerical data. Please check your input data!","")</f>
        <v/>
      </c>
    </row>
    <row r="82" spans="1:14" ht="16.5" thickTop="1" thickBot="1">
      <c r="A82" s="1063"/>
      <c r="B82" s="1070" t="s">
        <v>195</v>
      </c>
      <c r="C82" s="1070"/>
      <c r="D82" s="1070"/>
      <c r="E82" s="1070"/>
      <c r="F82" s="1070"/>
      <c r="G82" s="460"/>
      <c r="H82" s="460"/>
      <c r="I82" s="75"/>
      <c r="J82" s="1097"/>
    </row>
    <row r="83" spans="1:14" ht="22.35" customHeight="1" outlineLevel="1">
      <c r="A83" s="1066"/>
      <c r="B83" s="404"/>
      <c r="C83" s="377"/>
      <c r="D83" s="420" t="s">
        <v>196</v>
      </c>
      <c r="E83" s="421" t="s">
        <v>113</v>
      </c>
      <c r="F83" s="485">
        <v>0</v>
      </c>
      <c r="G83" s="423"/>
      <c r="H83" s="463" t="str">
        <f>"Specify the decommission costs, that occur at the end of the project lifetime ("&amp;F87&amp;" years, as specified in &gt;"&amp;D87&amp;"&lt;). Leave empty, if these costs shall not be considered."</f>
        <v>Specify the decommission costs, that occur at the end of the project lifetime (20 years, as specified in &gt;Decommissioning after how many years&lt;). Leave empty, if these costs shall not be considered.</v>
      </c>
      <c r="I83" s="28" t="s">
        <v>73</v>
      </c>
      <c r="J83" s="1097"/>
      <c r="M83" s="371" t="str">
        <f>N83</f>
        <v/>
      </c>
      <c r="N83" s="160" t="str">
        <f>IF(IFERROR((1+F83)*1, "!!!!")="!!!!","Inputs contain non-numerical data. Please check your input data!","")</f>
        <v/>
      </c>
    </row>
    <row r="84" spans="1:14" ht="27.6" customHeight="1" outlineLevel="1" thickBot="1">
      <c r="A84" s="1067"/>
      <c r="B84" s="459"/>
      <c r="C84" s="459"/>
      <c r="D84" s="478" t="s">
        <v>197</v>
      </c>
      <c r="E84" s="479" t="s">
        <v>113</v>
      </c>
      <c r="F84" s="486">
        <v>0</v>
      </c>
      <c r="G84" s="481"/>
      <c r="H84" s="477" t="str">
        <f>"Specify the expected remaining value of the investment at the end of the project lifetime ("&amp;F87&amp;" years, as specified in &gt;"&amp;D87&amp;"&lt;), e.g., resale value or salvaged equipment, if it is to be considered.."</f>
        <v>Specify the expected remaining value of the investment at the end of the project lifetime (20 years, as specified in &gt;Decommissioning after how many years&lt;), e.g., resale value or salvaged equipment, if it is to be considered..</v>
      </c>
      <c r="I84" s="38" t="s">
        <v>73</v>
      </c>
      <c r="J84" s="1097"/>
      <c r="M84" s="371" t="str">
        <f>N84</f>
        <v/>
      </c>
      <c r="N84" s="160" t="str">
        <f>IF(IFERROR((1+F84)*1, "!!!!")="!!!!","Inputs contain non-numerical data. Please check your input data!","")</f>
        <v/>
      </c>
    </row>
    <row r="85" spans="1:14" ht="15.75" thickTop="1">
      <c r="B85" s="404"/>
      <c r="C85" s="377"/>
      <c r="D85" s="377"/>
      <c r="E85" s="487"/>
      <c r="F85" s="377"/>
      <c r="G85" s="377"/>
      <c r="H85" s="488"/>
      <c r="J85" s="1097"/>
      <c r="M85" s="371" t="str">
        <f>N85</f>
        <v/>
      </c>
      <c r="N85" s="160" t="str">
        <f>IF(IFERROR((1+F85)*1, "!!!!")="!!!!","Inputs contain non-numerical data. Please check your input data!","")</f>
        <v/>
      </c>
    </row>
    <row r="86" spans="1:14">
      <c r="A86" s="1078" t="s">
        <v>198</v>
      </c>
      <c r="B86" s="1071" t="s">
        <v>199</v>
      </c>
      <c r="C86" s="1071"/>
      <c r="D86" s="1071"/>
      <c r="E86" s="436"/>
      <c r="F86" s="438"/>
      <c r="G86" s="438"/>
      <c r="H86" s="438"/>
      <c r="I86" s="76"/>
      <c r="J86" s="1097"/>
    </row>
    <row r="87" spans="1:14" ht="18" outlineLevel="1">
      <c r="A87" s="1079"/>
      <c r="B87" s="404"/>
      <c r="C87" s="377"/>
      <c r="D87" s="396" t="s">
        <v>200</v>
      </c>
      <c r="E87" s="489" t="s">
        <v>75</v>
      </c>
      <c r="F87" s="490">
        <v>20</v>
      </c>
      <c r="G87" s="406"/>
      <c r="H87" s="491" t="str">
        <f>"Defines the expected technical or economic end-of-life for the infrastructure (default: 20 years). " &amp; IF(F87&lt;F15, "Decommission time is less than lifetime of HP", "")</f>
        <v xml:space="preserve">Defines the expected technical or economic end-of-life for the infrastructure (default: 20 years). </v>
      </c>
      <c r="I87" s="35" t="s">
        <v>73</v>
      </c>
      <c r="J87" s="1097"/>
      <c r="M87" s="371" t="str">
        <f>N87</f>
        <v/>
      </c>
      <c r="N87" s="160" t="str">
        <f>IF(IFERROR((1+F87)*1, "!!!!")="!!!!","Inputs contain non-numerical data. Please check your input data!","")</f>
        <v/>
      </c>
    </row>
    <row r="88" spans="1:14" ht="15" customHeight="1" outlineLevel="1">
      <c r="A88" s="1079"/>
      <c r="B88" s="404"/>
      <c r="C88" s="377"/>
      <c r="D88" s="375" t="s">
        <v>201</v>
      </c>
      <c r="E88" s="407" t="s">
        <v>75</v>
      </c>
      <c r="F88" s="445">
        <v>15</v>
      </c>
      <c r="G88" s="409"/>
      <c r="H88" s="472" t="str">
        <f>"Number of years over which the investment is financially depreciated in calculations (default: 15 years). " &amp; IF(OR(F88&gt;F87,F88&gt;F15), "Depreciation time is greater than lifetime of HP or decommission period", "")</f>
        <v xml:space="preserve">Number of years over which the investment is financially depreciated in calculations (default: 15 years). </v>
      </c>
      <c r="I88" s="36" t="s">
        <v>73</v>
      </c>
      <c r="J88" s="1097"/>
      <c r="M88" s="371" t="str">
        <f>N88</f>
        <v/>
      </c>
      <c r="N88" s="160" t="str">
        <f>IF(IFERROR((1+F88)*1, "!!!!")="!!!!","Inputs contain non-numerical data. Please check your input data!","")</f>
        <v/>
      </c>
    </row>
    <row r="89" spans="1:14" ht="18" outlineLevel="1">
      <c r="A89" s="1079"/>
      <c r="B89" s="404"/>
      <c r="C89" s="377"/>
      <c r="D89" s="492" t="s">
        <v>202</v>
      </c>
      <c r="E89" s="493" t="s">
        <v>106</v>
      </c>
      <c r="F89" s="492">
        <v>0</v>
      </c>
      <c r="G89" s="423"/>
      <c r="H89" s="441" t="s">
        <v>203</v>
      </c>
      <c r="I89" s="28" t="s">
        <v>73</v>
      </c>
      <c r="J89" s="1097"/>
      <c r="M89" s="371" t="str">
        <f>N89</f>
        <v/>
      </c>
      <c r="N89" s="160" t="str">
        <f>IF(IFERROR((1+F89)*1, "!!!!")="!!!!","Inputs contain non-numerical data. Please check your input data!","")</f>
        <v/>
      </c>
    </row>
    <row r="90" spans="1:14" outlineLevel="1">
      <c r="A90" s="1080"/>
      <c r="B90" s="404"/>
      <c r="C90" s="1069" t="s">
        <v>204</v>
      </c>
      <c r="D90" s="1069"/>
      <c r="E90" s="1095"/>
      <c r="F90" s="1095"/>
      <c r="G90" s="1095"/>
      <c r="H90" s="1095"/>
      <c r="I90" s="76"/>
      <c r="J90" s="1097"/>
    </row>
    <row r="91" spans="1:14" outlineLevel="1">
      <c r="A91" s="1080"/>
      <c r="B91" s="404"/>
      <c r="C91" s="1069" t="s">
        <v>205</v>
      </c>
      <c r="D91" s="1069"/>
      <c r="E91" s="436"/>
      <c r="F91" s="437"/>
      <c r="G91" s="438"/>
      <c r="H91" s="438" t="s">
        <v>206</v>
      </c>
      <c r="I91" s="81"/>
      <c r="J91" s="1097"/>
    </row>
    <row r="92" spans="1:14" ht="38.450000000000003" customHeight="1" outlineLevel="1">
      <c r="A92" s="1079"/>
      <c r="B92" s="404"/>
      <c r="C92" s="377"/>
      <c r="D92" s="396" t="s">
        <v>207</v>
      </c>
      <c r="E92" s="489" t="s">
        <v>106</v>
      </c>
      <c r="F92" s="494">
        <v>2.5</v>
      </c>
      <c r="G92" s="406"/>
      <c r="H92" s="383" t="s">
        <v>208</v>
      </c>
      <c r="I92" s="28" t="s">
        <v>73</v>
      </c>
      <c r="J92" s="1097"/>
      <c r="M92" s="371" t="str">
        <f>N92</f>
        <v/>
      </c>
      <c r="N92" s="160" t="str">
        <f>IF(IFERROR((1+F92)*1, "!!!!")="!!!!","Inputs contain non-numerical data. Please check your input data!","")</f>
        <v/>
      </c>
    </row>
    <row r="93" spans="1:14" ht="15" customHeight="1" outlineLevel="1">
      <c r="A93" s="1079"/>
      <c r="B93" s="404"/>
      <c r="C93" s="377"/>
      <c r="D93" s="375" t="s">
        <v>209</v>
      </c>
      <c r="E93" s="407" t="s">
        <v>106</v>
      </c>
      <c r="F93" s="457">
        <v>7</v>
      </c>
      <c r="G93" s="409"/>
      <c r="H93" s="385" t="s">
        <v>210</v>
      </c>
      <c r="I93" s="36" t="s">
        <v>73</v>
      </c>
      <c r="J93" s="1097"/>
      <c r="M93" s="371" t="str">
        <f>N93</f>
        <v/>
      </c>
      <c r="N93" s="160" t="str">
        <f>IF(IFERROR((1+F93)*1, "!!!!")="!!!!","Inputs contain non-numerical data. Please check your input data!","")</f>
        <v/>
      </c>
    </row>
    <row r="94" spans="1:14" ht="18" outlineLevel="1">
      <c r="A94" s="1079"/>
      <c r="B94" s="404"/>
      <c r="C94" s="377"/>
      <c r="D94" s="375" t="s">
        <v>211</v>
      </c>
      <c r="E94" s="407" t="s">
        <v>106</v>
      </c>
      <c r="F94" s="457">
        <v>20</v>
      </c>
      <c r="G94" s="409"/>
      <c r="H94" s="385" t="s">
        <v>212</v>
      </c>
      <c r="I94" s="28" t="s">
        <v>73</v>
      </c>
      <c r="J94" s="1097"/>
      <c r="M94" s="371" t="str">
        <f>N94</f>
        <v/>
      </c>
      <c r="N94" s="160" t="str">
        <f>IF(IFERROR((1+F94)*1, "!!!!")="!!!!","Inputs contain non-numerical data. Please check your input data!","")</f>
        <v/>
      </c>
    </row>
    <row r="95" spans="1:14" ht="18" outlineLevel="1">
      <c r="A95" s="1079"/>
      <c r="B95" s="404"/>
      <c r="C95" s="377"/>
      <c r="D95" s="412" t="s">
        <v>213</v>
      </c>
      <c r="E95" s="413" t="s">
        <v>106</v>
      </c>
      <c r="F95" s="495">
        <v>20</v>
      </c>
      <c r="G95" s="415"/>
      <c r="H95" s="385" t="s">
        <v>214</v>
      </c>
      <c r="I95" s="36" t="s">
        <v>73</v>
      </c>
      <c r="J95" s="1097"/>
      <c r="M95" s="371" t="str">
        <f>N95</f>
        <v/>
      </c>
      <c r="N95" s="160" t="str">
        <f>IF(IFERROR((1+F95)*1, "!!!!")="!!!!","Inputs contain non-numerical data. Please check your input data!","")</f>
        <v/>
      </c>
    </row>
    <row r="96" spans="1:14" ht="18" outlineLevel="1">
      <c r="A96" s="1079"/>
      <c r="B96" s="404"/>
      <c r="C96" s="377"/>
      <c r="D96" s="420" t="s">
        <v>215</v>
      </c>
      <c r="E96" s="421" t="s">
        <v>106</v>
      </c>
      <c r="F96" s="496">
        <f>(F94/100*F93+(1-F94/100)*F92*(1-F95/100))</f>
        <v>3</v>
      </c>
      <c r="G96" s="423"/>
      <c r="H96" s="463" t="s">
        <v>216</v>
      </c>
      <c r="I96" s="28" t="s">
        <v>73</v>
      </c>
      <c r="J96" s="1097"/>
      <c r="M96" s="371" t="str">
        <f>N96</f>
        <v/>
      </c>
      <c r="N96" s="160" t="str">
        <f>IF(IFERROR((1+F96)*1, "!!!!")="!!!!","Inputs contain non-numerical data. Please check your input data!","")</f>
        <v/>
      </c>
    </row>
    <row r="97" spans="1:14" outlineLevel="1">
      <c r="A97" s="1080"/>
      <c r="B97" s="404"/>
      <c r="C97" s="1069" t="s">
        <v>217</v>
      </c>
      <c r="D97" s="1069"/>
      <c r="E97" s="436"/>
      <c r="F97" s="437"/>
      <c r="G97" s="438"/>
      <c r="H97" s="438" t="s">
        <v>218</v>
      </c>
      <c r="I97" s="81"/>
      <c r="J97" s="1097"/>
    </row>
    <row r="98" spans="1:14" ht="18" outlineLevel="1">
      <c r="A98" s="1079"/>
      <c r="B98" s="404"/>
      <c r="C98" s="377"/>
      <c r="D98" s="396" t="s">
        <v>219</v>
      </c>
      <c r="E98" s="489" t="s">
        <v>106</v>
      </c>
      <c r="F98" s="494">
        <v>5</v>
      </c>
      <c r="G98" s="406"/>
      <c r="H98" s="383" t="s">
        <v>220</v>
      </c>
      <c r="I98" s="28" t="s">
        <v>73</v>
      </c>
      <c r="J98" s="1097"/>
      <c r="M98" s="371" t="str">
        <f>N98</f>
        <v/>
      </c>
      <c r="N98" s="160" t="str">
        <f>IF(IFERROR((1+F98)*1, "!!!!")="!!!!","Inputs contain non-numerical data. Please check your input data!","")</f>
        <v/>
      </c>
    </row>
    <row r="99" spans="1:14">
      <c r="A99" s="1081"/>
      <c r="B99" s="404"/>
      <c r="C99" s="1069" t="s">
        <v>221</v>
      </c>
      <c r="D99" s="1069"/>
      <c r="E99" s="436"/>
      <c r="F99" s="437"/>
      <c r="G99" s="438"/>
      <c r="H99" s="438"/>
      <c r="I99" s="81"/>
      <c r="J99" s="1097"/>
    </row>
    <row r="100" spans="1:14" ht="18" outlineLevel="1">
      <c r="A100" s="1079"/>
      <c r="B100" s="404"/>
      <c r="C100" s="377"/>
      <c r="D100" s="375" t="s">
        <v>221</v>
      </c>
      <c r="E100" s="407" t="s">
        <v>106</v>
      </c>
      <c r="F100" s="497">
        <f>IF(F98&lt;&gt;"",F98,F96)</f>
        <v>5</v>
      </c>
      <c r="G100" s="409"/>
      <c r="H100" s="385" t="s">
        <v>222</v>
      </c>
      <c r="I100" s="36" t="s">
        <v>73</v>
      </c>
      <c r="J100" s="1097"/>
      <c r="M100" s="371" t="str">
        <f>N100</f>
        <v/>
      </c>
      <c r="N100" s="160" t="str">
        <f>IF(IFERROR((1+F100)*1, "!!!!")="!!!!","Inputs contain non-numerical data. Please check your input data!","")</f>
        <v/>
      </c>
    </row>
    <row r="101" spans="1:14" ht="18.75" outlineLevel="1" thickBot="1">
      <c r="A101" s="1082"/>
      <c r="B101" s="459"/>
      <c r="C101" s="459"/>
      <c r="D101" s="474" t="s">
        <v>223</v>
      </c>
      <c r="E101" s="475" t="s">
        <v>224</v>
      </c>
      <c r="F101" s="498">
        <f>(1+F100/100)^F88*F100/100/((1+F100/100)^F88-1)</f>
        <v>9.6342287609244334E-2</v>
      </c>
      <c r="G101" s="499"/>
      <c r="H101" s="500" t="s">
        <v>225</v>
      </c>
      <c r="I101" s="39" t="s">
        <v>73</v>
      </c>
      <c r="J101" s="1098"/>
      <c r="M101" s="371" t="str">
        <f>N101</f>
        <v/>
      </c>
      <c r="N101" s="160" t="str">
        <f>IF(IFERROR((1+F101)*1, "!!!!")="!!!!","Inputs contain non-numerical data. Please check your input data!","")</f>
        <v/>
      </c>
    </row>
    <row r="102" spans="1:14" ht="15.75" thickTop="1">
      <c r="B102" s="404"/>
      <c r="C102" s="377"/>
      <c r="D102" s="377"/>
      <c r="E102" s="487"/>
      <c r="F102" s="377"/>
      <c r="G102" s="377"/>
      <c r="H102" s="488"/>
    </row>
    <row r="103" spans="1:14" ht="14.45" customHeight="1">
      <c r="A103" s="1083" t="s">
        <v>226</v>
      </c>
      <c r="B103" s="517" t="s">
        <v>227</v>
      </c>
      <c r="C103" s="501"/>
      <c r="D103" s="437"/>
      <c r="E103" s="436"/>
      <c r="F103" s="438"/>
      <c r="G103" s="438"/>
      <c r="H103" s="438"/>
      <c r="I103" s="81"/>
      <c r="J103" s="1099" t="s">
        <v>228</v>
      </c>
    </row>
    <row r="104" spans="1:14">
      <c r="A104" s="1084"/>
      <c r="B104" s="404"/>
      <c r="C104" s="1069" t="s">
        <v>229</v>
      </c>
      <c r="D104" s="1069"/>
      <c r="E104" s="437"/>
      <c r="F104" s="437"/>
      <c r="G104" s="502" t="s">
        <v>230</v>
      </c>
      <c r="H104" s="437"/>
      <c r="I104" s="80"/>
      <c r="J104" s="1099"/>
    </row>
    <row r="105" spans="1:14" ht="20.100000000000001" customHeight="1">
      <c r="A105" s="1085"/>
      <c r="B105" s="404"/>
      <c r="C105" s="377"/>
      <c r="D105" s="503" t="s">
        <v>231</v>
      </c>
      <c r="E105" s="489" t="s">
        <v>113</v>
      </c>
      <c r="F105" s="490">
        <v>500000</v>
      </c>
      <c r="G105" s="504">
        <f>'Main Results - IRR DC Operator'!F20</f>
        <v>0</v>
      </c>
      <c r="H105" s="383" t="s">
        <v>178</v>
      </c>
      <c r="I105" s="35" t="s">
        <v>73</v>
      </c>
      <c r="J105" s="1099"/>
      <c r="M105" s="371" t="str">
        <f t="shared" ref="M105:M112" si="8">N105</f>
        <v/>
      </c>
      <c r="N105" s="160" t="str">
        <f t="shared" ref="N105:N112" si="9">IF(IFERROR((1+F105)*1, "!!!!")="!!!!","Inputs contain non-numerical data. Please check your input data!","")</f>
        <v/>
      </c>
    </row>
    <row r="106" spans="1:14" ht="18">
      <c r="A106" s="1085"/>
      <c r="B106" s="404"/>
      <c r="C106" s="377"/>
      <c r="D106" s="505" t="s">
        <v>232</v>
      </c>
      <c r="E106" s="407" t="s">
        <v>113</v>
      </c>
      <c r="F106" s="471">
        <f>'Grid Costs'!AE25</f>
        <v>126000</v>
      </c>
      <c r="G106" s="506">
        <f>'Main Results - IRR DC Operator'!F21</f>
        <v>0</v>
      </c>
      <c r="H106" s="385" t="s">
        <v>233</v>
      </c>
      <c r="I106" s="36" t="s">
        <v>73</v>
      </c>
      <c r="J106" s="1099"/>
      <c r="K106" s="82"/>
      <c r="M106" s="371" t="str">
        <f t="shared" si="8"/>
        <v/>
      </c>
      <c r="N106" s="160" t="str">
        <f t="shared" si="9"/>
        <v/>
      </c>
    </row>
    <row r="107" spans="1:14" ht="21" customHeight="1">
      <c r="A107" s="1085"/>
      <c r="B107" s="404"/>
      <c r="C107" s="377"/>
      <c r="D107" s="470" t="s">
        <v>234</v>
      </c>
      <c r="E107" s="407" t="s">
        <v>113</v>
      </c>
      <c r="F107" s="471">
        <f>SUM(F105:F106)</f>
        <v>626000</v>
      </c>
      <c r="G107" s="507"/>
      <c r="H107" s="463" t="s">
        <v>235</v>
      </c>
      <c r="I107" s="28" t="s">
        <v>73</v>
      </c>
      <c r="J107" s="1099"/>
      <c r="M107" s="371" t="str">
        <f t="shared" si="8"/>
        <v/>
      </c>
      <c r="N107" s="160" t="str">
        <f t="shared" si="9"/>
        <v/>
      </c>
    </row>
    <row r="108" spans="1:14" ht="18" customHeight="1">
      <c r="A108" s="1085"/>
      <c r="B108" s="404"/>
      <c r="C108" s="377"/>
      <c r="D108" s="375" t="s">
        <v>236</v>
      </c>
      <c r="E108" s="407" t="s">
        <v>106</v>
      </c>
      <c r="F108" s="457">
        <v>8</v>
      </c>
      <c r="G108" s="507"/>
      <c r="H108" s="385" t="str">
        <f>"Share of &gt;"&amp;D107&amp;"&lt;"</f>
        <v>Share of &gt;Total one-time expenses and costs excl. Planning costs&lt;</v>
      </c>
      <c r="I108" s="36" t="s">
        <v>73</v>
      </c>
      <c r="J108" s="1099"/>
      <c r="M108" s="371" t="str">
        <f t="shared" si="8"/>
        <v/>
      </c>
      <c r="N108" s="160" t="str">
        <f t="shared" si="9"/>
        <v/>
      </c>
    </row>
    <row r="109" spans="1:14" ht="19.5" customHeight="1">
      <c r="A109" s="1085"/>
      <c r="B109" s="404"/>
      <c r="C109" s="377"/>
      <c r="D109" s="470" t="s">
        <v>186</v>
      </c>
      <c r="E109" s="407" t="s">
        <v>113</v>
      </c>
      <c r="F109" s="471">
        <f>F108*F107/100</f>
        <v>50080</v>
      </c>
      <c r="G109" s="506">
        <f>'Main Results - IRR DC Operator'!F22</f>
        <v>0</v>
      </c>
      <c r="H109" s="385" t="s">
        <v>187</v>
      </c>
      <c r="I109" s="28" t="s">
        <v>73</v>
      </c>
      <c r="J109" s="1099"/>
      <c r="M109" s="371" t="str">
        <f t="shared" si="8"/>
        <v/>
      </c>
      <c r="N109" s="160" t="str">
        <f t="shared" si="9"/>
        <v/>
      </c>
    </row>
    <row r="110" spans="1:14" ht="22.35" customHeight="1">
      <c r="A110" s="1085"/>
      <c r="B110" s="404"/>
      <c r="C110" s="377"/>
      <c r="D110" s="375" t="s">
        <v>237</v>
      </c>
      <c r="E110" s="407" t="s">
        <v>120</v>
      </c>
      <c r="F110" s="445">
        <v>50000</v>
      </c>
      <c r="G110" s="506">
        <f>'Main Results - IRR DC Operator'!L20</f>
        <v>0</v>
      </c>
      <c r="H110" s="385" t="s">
        <v>238</v>
      </c>
      <c r="I110" s="36" t="s">
        <v>73</v>
      </c>
      <c r="J110" s="1099"/>
      <c r="M110" s="371" t="str">
        <f t="shared" si="8"/>
        <v/>
      </c>
      <c r="N110" s="160" t="str">
        <f t="shared" si="9"/>
        <v/>
      </c>
    </row>
    <row r="111" spans="1:14" ht="18.600000000000001" customHeight="1">
      <c r="A111" s="1085"/>
      <c r="B111" s="404"/>
      <c r="C111" s="377"/>
      <c r="D111" s="375" t="s">
        <v>239</v>
      </c>
      <c r="E111" s="407" t="s">
        <v>127</v>
      </c>
      <c r="F111" s="457">
        <v>2</v>
      </c>
      <c r="G111" s="506">
        <f>'Main Results - IRR DC Operator'!L26</f>
        <v>0</v>
      </c>
      <c r="H111" s="508" t="s">
        <v>240</v>
      </c>
      <c r="I111" s="28" t="s">
        <v>73</v>
      </c>
      <c r="J111" s="1099"/>
      <c r="M111" s="371" t="str">
        <f t="shared" si="8"/>
        <v/>
      </c>
      <c r="N111" s="160" t="str">
        <f t="shared" si="9"/>
        <v/>
      </c>
    </row>
    <row r="112" spans="1:14" ht="36" customHeight="1">
      <c r="A112" s="1085"/>
      <c r="B112" s="404"/>
      <c r="C112" s="377"/>
      <c r="D112" s="420" t="s">
        <v>241</v>
      </c>
      <c r="E112" s="421" t="s">
        <v>127</v>
      </c>
      <c r="F112" s="509">
        <f>'Main Results - IRR DC Operator'!F17</f>
        <v>0</v>
      </c>
      <c r="G112" s="510">
        <f>'Main Results - IRR DC Operator'!L21</f>
        <v>0</v>
      </c>
      <c r="H112" s="385" t="s">
        <v>242</v>
      </c>
      <c r="I112" s="36" t="s">
        <v>73</v>
      </c>
      <c r="J112" s="1099"/>
      <c r="M112" s="371" t="str">
        <f t="shared" si="8"/>
        <v/>
      </c>
      <c r="N112" s="160" t="str">
        <f t="shared" si="9"/>
        <v/>
      </c>
    </row>
    <row r="113" spans="1:14" ht="15" customHeight="1">
      <c r="A113" s="1084"/>
      <c r="B113" s="404"/>
      <c r="C113" s="1069" t="s">
        <v>135</v>
      </c>
      <c r="D113" s="1069"/>
      <c r="E113" s="437"/>
      <c r="F113" s="1061" t="s">
        <v>243</v>
      </c>
      <c r="G113" s="1061"/>
      <c r="H113" s="501"/>
      <c r="I113" s="81"/>
      <c r="J113" s="1099"/>
    </row>
    <row r="114" spans="1:14" ht="18.75" thickBot="1">
      <c r="A114" s="1086"/>
      <c r="B114" s="500"/>
      <c r="C114" s="477"/>
      <c r="D114" s="477" t="s">
        <v>244</v>
      </c>
      <c r="E114" s="511" t="s">
        <v>113</v>
      </c>
      <c r="F114" s="512">
        <v>0</v>
      </c>
      <c r="G114" s="722">
        <f>'Main Results - IRR DC Operator'!F26</f>
        <v>0</v>
      </c>
      <c r="H114" s="477" t="s">
        <v>245</v>
      </c>
      <c r="I114" s="38" t="s">
        <v>73</v>
      </c>
      <c r="J114" s="1099"/>
      <c r="M114" s="371" t="str">
        <f>N114</f>
        <v/>
      </c>
      <c r="N114" s="160" t="str">
        <f>IF(IFERROR((1+F114)*1, "!!!!")="!!!!","Inputs contain non-numerical data. Please check your input data!","")</f>
        <v/>
      </c>
    </row>
    <row r="115" spans="1:14" ht="15.75" thickTop="1">
      <c r="B115" s="404"/>
      <c r="C115" s="377"/>
      <c r="D115" s="377"/>
      <c r="E115" s="487"/>
      <c r="F115" s="377"/>
      <c r="G115" s="377"/>
      <c r="H115" s="488"/>
      <c r="J115" s="1099"/>
      <c r="M115" s="371" t="str">
        <f>N115</f>
        <v/>
      </c>
      <c r="N115" s="160" t="str">
        <f>IF(IFERROR((1+F115)*1, "!!!!")="!!!!","Inputs contain non-numerical data. Please check your input data!","")</f>
        <v/>
      </c>
    </row>
    <row r="116" spans="1:14" ht="14.45" customHeight="1">
      <c r="A116" s="1074" t="s">
        <v>246</v>
      </c>
      <c r="B116" s="1102" t="s">
        <v>247</v>
      </c>
      <c r="C116" s="1102"/>
      <c r="D116" s="437"/>
      <c r="E116" s="436"/>
      <c r="F116" s="437"/>
      <c r="G116" s="437"/>
      <c r="H116" s="435"/>
      <c r="I116" s="81"/>
      <c r="J116" s="1099"/>
    </row>
    <row r="117" spans="1:14" ht="18" outlineLevel="1">
      <c r="A117" s="1075"/>
      <c r="B117" s="404"/>
      <c r="C117" s="404"/>
      <c r="D117" s="420" t="s">
        <v>248</v>
      </c>
      <c r="E117" s="421" t="s">
        <v>75</v>
      </c>
      <c r="F117" s="490">
        <v>15</v>
      </c>
      <c r="G117" s="423"/>
      <c r="H117" s="441"/>
      <c r="I117" s="28" t="s">
        <v>73</v>
      </c>
      <c r="J117" s="1099"/>
      <c r="M117" s="371" t="str">
        <f>N117</f>
        <v/>
      </c>
      <c r="N117" s="160" t="str">
        <f>IF(IFERROR((1+F117)*1, "!!!!")="!!!!","Inputs contain non-numerical data. Please check your input data!","")</f>
        <v/>
      </c>
    </row>
    <row r="118" spans="1:14" outlineLevel="1">
      <c r="A118" s="1076"/>
      <c r="B118" s="404"/>
      <c r="C118" s="1069" t="s">
        <v>204</v>
      </c>
      <c r="D118" s="1069"/>
      <c r="E118" s="1095"/>
      <c r="F118" s="1095"/>
      <c r="G118" s="1095"/>
      <c r="H118" s="1095"/>
      <c r="I118" s="81"/>
      <c r="J118" s="1099"/>
    </row>
    <row r="119" spans="1:14" outlineLevel="1">
      <c r="A119" s="1076"/>
      <c r="B119" s="404"/>
      <c r="C119" s="1069" t="s">
        <v>205</v>
      </c>
      <c r="D119" s="1069"/>
      <c r="E119" s="436"/>
      <c r="F119" s="437"/>
      <c r="G119" s="438"/>
      <c r="H119" s="438" t="s">
        <v>206</v>
      </c>
      <c r="I119" s="81"/>
      <c r="J119" s="1099"/>
    </row>
    <row r="120" spans="1:14" ht="36.6" customHeight="1" outlineLevel="1">
      <c r="A120" s="1075"/>
      <c r="B120" s="404"/>
      <c r="C120" s="377"/>
      <c r="D120" s="396" t="s">
        <v>207</v>
      </c>
      <c r="E120" s="489" t="s">
        <v>106</v>
      </c>
      <c r="F120" s="494">
        <v>2.5</v>
      </c>
      <c r="G120" s="406"/>
      <c r="H120" s="383" t="s">
        <v>208</v>
      </c>
      <c r="I120" s="35" t="s">
        <v>73</v>
      </c>
      <c r="J120" s="1099"/>
      <c r="M120" s="371" t="str">
        <f>N120</f>
        <v/>
      </c>
      <c r="N120" s="160" t="str">
        <f>IF(IFERROR((1+F120)*1, "!!!!")="!!!!","Inputs contain non-numerical data. Please check your input data!","")</f>
        <v/>
      </c>
    </row>
    <row r="121" spans="1:14" ht="17.100000000000001" customHeight="1" outlineLevel="1">
      <c r="A121" s="1075"/>
      <c r="B121" s="404"/>
      <c r="C121" s="377"/>
      <c r="D121" s="375" t="s">
        <v>209</v>
      </c>
      <c r="E121" s="407" t="s">
        <v>106</v>
      </c>
      <c r="F121" s="457">
        <v>7</v>
      </c>
      <c r="G121" s="409"/>
      <c r="H121" s="385" t="s">
        <v>210</v>
      </c>
      <c r="I121" s="28" t="s">
        <v>73</v>
      </c>
      <c r="J121" s="1099"/>
      <c r="M121" s="371" t="str">
        <f>N121</f>
        <v/>
      </c>
      <c r="N121" s="160" t="str">
        <f>IF(IFERROR((1+F121)*1, "!!!!")="!!!!","Inputs contain non-numerical data. Please check your input data!","")</f>
        <v/>
      </c>
    </row>
    <row r="122" spans="1:14" ht="18" outlineLevel="1">
      <c r="A122" s="1075"/>
      <c r="B122" s="404"/>
      <c r="C122" s="377"/>
      <c r="D122" s="375" t="s">
        <v>211</v>
      </c>
      <c r="E122" s="407" t="s">
        <v>106</v>
      </c>
      <c r="F122" s="457">
        <v>20</v>
      </c>
      <c r="G122" s="409"/>
      <c r="H122" s="385" t="s">
        <v>212</v>
      </c>
      <c r="I122" s="36" t="s">
        <v>73</v>
      </c>
      <c r="J122" s="1099"/>
      <c r="M122" s="371" t="str">
        <f>N122</f>
        <v/>
      </c>
      <c r="N122" s="160" t="str">
        <f>IF(IFERROR((1+F122)*1, "!!!!")="!!!!","Inputs contain non-numerical data. Please check your input data!","")</f>
        <v/>
      </c>
    </row>
    <row r="123" spans="1:14" ht="18" outlineLevel="1">
      <c r="A123" s="1075"/>
      <c r="B123" s="404"/>
      <c r="C123" s="377"/>
      <c r="D123" s="375" t="s">
        <v>213</v>
      </c>
      <c r="E123" s="407" t="s">
        <v>106</v>
      </c>
      <c r="F123" s="457">
        <v>20</v>
      </c>
      <c r="G123" s="409"/>
      <c r="H123" s="385" t="s">
        <v>214</v>
      </c>
      <c r="I123" s="36" t="s">
        <v>73</v>
      </c>
      <c r="J123" s="1099"/>
      <c r="M123" s="371" t="str">
        <f>N123</f>
        <v/>
      </c>
      <c r="N123" s="160" t="str">
        <f>IF(IFERROR((1+F123)*1, "!!!!")="!!!!","Inputs contain non-numerical data. Please check your input data!","")</f>
        <v/>
      </c>
    </row>
    <row r="124" spans="1:14" ht="18" outlineLevel="1">
      <c r="A124" s="1075"/>
      <c r="B124" s="404"/>
      <c r="C124" s="377"/>
      <c r="D124" s="420" t="s">
        <v>215</v>
      </c>
      <c r="E124" s="421" t="s">
        <v>106</v>
      </c>
      <c r="F124" s="496">
        <f>(F122/100*F121+(1-F122/100)*F120*(1-F123/100))</f>
        <v>3</v>
      </c>
      <c r="G124" s="423"/>
      <c r="H124" s="463" t="s">
        <v>216</v>
      </c>
      <c r="I124" s="28" t="s">
        <v>73</v>
      </c>
      <c r="J124" s="1099"/>
      <c r="M124" s="371" t="str">
        <f>N124</f>
        <v/>
      </c>
      <c r="N124" s="160" t="str">
        <f>IF(IFERROR((1+F124)*1, "!!!!")="!!!!","Inputs contain non-numerical data. Please check your input data!","")</f>
        <v/>
      </c>
    </row>
    <row r="125" spans="1:14" outlineLevel="1">
      <c r="A125" s="1076"/>
      <c r="B125" s="404"/>
      <c r="C125" s="1069" t="s">
        <v>217</v>
      </c>
      <c r="D125" s="1069"/>
      <c r="E125" s="436"/>
      <c r="F125" s="437"/>
      <c r="G125" s="438"/>
      <c r="H125" s="438" t="s">
        <v>218</v>
      </c>
      <c r="I125" s="81"/>
      <c r="J125" s="1099"/>
    </row>
    <row r="126" spans="1:14" ht="26.1" customHeight="1">
      <c r="A126" s="1075"/>
      <c r="B126" s="404"/>
      <c r="C126" s="377"/>
      <c r="D126" s="396" t="s">
        <v>219</v>
      </c>
      <c r="E126" s="489" t="s">
        <v>106</v>
      </c>
      <c r="F126" s="494">
        <v>5</v>
      </c>
      <c r="G126" s="406"/>
      <c r="H126" s="383" t="s">
        <v>249</v>
      </c>
      <c r="I126" s="28" t="s">
        <v>73</v>
      </c>
      <c r="J126" s="1099"/>
      <c r="M126" s="371" t="str">
        <f>N126</f>
        <v/>
      </c>
      <c r="N126" s="160" t="str">
        <f>IF(IFERROR((1+F126)*1, "!!!!")="!!!!","Inputs contain non-numerical data. Please check your input data!","")</f>
        <v/>
      </c>
    </row>
    <row r="127" spans="1:14">
      <c r="A127" s="1076"/>
      <c r="B127" s="404"/>
      <c r="C127" s="1069" t="s">
        <v>221</v>
      </c>
      <c r="D127" s="1069"/>
      <c r="E127" s="436"/>
      <c r="F127" s="437"/>
      <c r="G127" s="438"/>
      <c r="H127" s="438"/>
      <c r="I127" s="81"/>
      <c r="J127" s="1099"/>
    </row>
    <row r="128" spans="1:14" ht="18">
      <c r="A128" s="1075"/>
      <c r="B128" s="404"/>
      <c r="C128" s="377"/>
      <c r="D128" s="375" t="s">
        <v>221</v>
      </c>
      <c r="E128" s="407" t="s">
        <v>106</v>
      </c>
      <c r="F128" s="497">
        <f>IF(F126&lt;&gt;"",F126,F124)</f>
        <v>5</v>
      </c>
      <c r="G128" s="409"/>
      <c r="H128" s="385" t="s">
        <v>250</v>
      </c>
      <c r="I128" s="36" t="s">
        <v>73</v>
      </c>
      <c r="J128" s="1099"/>
      <c r="M128" s="371" t="str">
        <f>N128</f>
        <v/>
      </c>
      <c r="N128" s="160" t="str">
        <f>IF(IFERROR((1+F128)*1, "!!!!")="!!!!","Inputs contain non-numerical data. Please check your input data!","")</f>
        <v/>
      </c>
    </row>
    <row r="129" spans="1:14" ht="18.75" thickBot="1">
      <c r="A129" s="1075"/>
      <c r="B129" s="459"/>
      <c r="C129" s="459"/>
      <c r="D129" s="474" t="s">
        <v>223</v>
      </c>
      <c r="E129" s="475" t="s">
        <v>224</v>
      </c>
      <c r="F129" s="498">
        <f>(1+F128/100)^F117*F128/100/((1+F128/100)^F117-1)</f>
        <v>9.6342287609244334E-2</v>
      </c>
      <c r="G129" s="499"/>
      <c r="H129" s="500" t="s">
        <v>225</v>
      </c>
      <c r="I129" s="39" t="s">
        <v>73</v>
      </c>
      <c r="J129" s="1099"/>
      <c r="M129" s="371" t="str">
        <f>N129</f>
        <v/>
      </c>
      <c r="N129" s="160" t="str">
        <f>IF(IFERROR((1+F129)*1, "!!!!")="!!!!","Inputs contain non-numerical data. Please check your input data!","")</f>
        <v/>
      </c>
    </row>
    <row r="130" spans="1:14" ht="15.75" thickTop="1">
      <c r="A130" s="1076"/>
      <c r="B130" s="515" t="s">
        <v>251</v>
      </c>
      <c r="C130" s="398"/>
      <c r="D130" s="398"/>
      <c r="E130" s="513"/>
      <c r="F130" s="437"/>
      <c r="G130" s="437"/>
      <c r="H130" s="435"/>
      <c r="I130" s="81"/>
      <c r="J130" s="1099"/>
    </row>
    <row r="131" spans="1:14" s="78" customFormat="1" ht="37.35" customHeight="1">
      <c r="A131" s="1076"/>
      <c r="B131" s="423"/>
      <c r="C131" s="423"/>
      <c r="D131" s="396" t="s">
        <v>252</v>
      </c>
      <c r="E131" s="489"/>
      <c r="F131" s="494">
        <v>7.5</v>
      </c>
      <c r="G131" s="396"/>
      <c r="H131" s="383" t="s">
        <v>253</v>
      </c>
      <c r="I131" s="35"/>
      <c r="J131" s="1099"/>
      <c r="M131" s="371" t="str">
        <f>N131</f>
        <v/>
      </c>
      <c r="N131" s="160" t="str">
        <f>IF(IFERROR((1+F131)*1, "!!!!")="!!!!","Inputs contain non-numerical data. Please check your input data!","")</f>
        <v/>
      </c>
    </row>
    <row r="132" spans="1:14" ht="31.35" customHeight="1" thickBot="1">
      <c r="A132" s="1077"/>
      <c r="B132" s="459"/>
      <c r="C132" s="459"/>
      <c r="D132" s="397" t="s">
        <v>254</v>
      </c>
      <c r="E132" s="479" t="s">
        <v>255</v>
      </c>
      <c r="F132" s="514">
        <v>11</v>
      </c>
      <c r="G132" s="478"/>
      <c r="H132" s="382" t="s">
        <v>256</v>
      </c>
      <c r="I132" s="38" t="s">
        <v>73</v>
      </c>
      <c r="J132" s="1100"/>
      <c r="M132" s="371" t="str">
        <f>N132</f>
        <v/>
      </c>
      <c r="N132" s="160" t="str">
        <f>IF(IFERROR((1+F132)*1, "!!!!")="!!!!","Inputs contain non-numerical data. Please check your input data!","")</f>
        <v/>
      </c>
    </row>
    <row r="133" spans="1:14" ht="15.75" thickTop="1"/>
    <row r="136" spans="1:14" ht="17.100000000000001" customHeight="1">
      <c r="D136" s="1068" t="s">
        <v>257</v>
      </c>
      <c r="E136" s="1068"/>
      <c r="F136" s="1068"/>
      <c r="G136" s="1068"/>
    </row>
    <row r="137" spans="1:14" ht="40.35" customHeight="1">
      <c r="D137" s="416" t="s">
        <v>258</v>
      </c>
      <c r="E137" s="711">
        <v>30</v>
      </c>
      <c r="F137" s="416" t="str">
        <f>"Alternative temperature COP ("&amp;E137&amp;"°C instead of "&amp;F18&amp;"°C)"</f>
        <v>Alternative temperature COP (30°C instead of 25°C)</v>
      </c>
      <c r="G137" s="702">
        <f>F$16+ABS(F26)*(E137-F18)</f>
        <v>3.1</v>
      </c>
      <c r="M137" s="371" t="str">
        <f>N137</f>
        <v/>
      </c>
      <c r="N137" s="160" t="str">
        <f>IF(IFERROR((1+E137)*1, "!!!!")="!!!!","Inputs contain non-numerical data. Please check your input data!","")</f>
        <v/>
      </c>
    </row>
    <row r="138" spans="1:14" ht="40.35" customHeight="1">
      <c r="D138" s="380" t="s">
        <v>259</v>
      </c>
      <c r="E138" s="701">
        <v>80</v>
      </c>
      <c r="F138" s="380" t="str">
        <f>"Alternative temperature COP ("&amp;E138&amp;"°C instead of "&amp;F20&amp;"°C)"</f>
        <v>Alternative temperature COP (80°C instead of 90°C)</v>
      </c>
      <c r="G138" s="381">
        <f>F16-ABS(F27)*(E138-F20)</f>
        <v>3.26</v>
      </c>
      <c r="M138" s="371" t="str">
        <f>N138</f>
        <v/>
      </c>
      <c r="N138" s="160" t="str">
        <f>IF(IFERROR((1+E138)*1, "!!!!")="!!!!","Inputs contain non-numerical data. Please check your input data!","")</f>
        <v/>
      </c>
    </row>
    <row r="139" spans="1:14" ht="40.35" customHeight="1">
      <c r="D139" s="380" t="s">
        <v>260</v>
      </c>
      <c r="E139" s="701">
        <v>45</v>
      </c>
      <c r="F139" s="380" t="str">
        <f>"Alternative temperature COP ("&amp;E139&amp;"°C instead of "&amp;F23&amp;"°C)"</f>
        <v>Alternative temperature COP (45°C instead of 60°C)</v>
      </c>
      <c r="G139" s="381">
        <f>F16+F28*(E139-F23)</f>
        <v>3</v>
      </c>
      <c r="M139" s="371" t="str">
        <f>N139</f>
        <v/>
      </c>
      <c r="N139" s="160" t="str">
        <f>IF(IFERROR((1+E139)*1, "!!!!")="!!!!","Inputs contain non-numerical data. Please check your input data!","")</f>
        <v/>
      </c>
    </row>
    <row r="140" spans="1:14" ht="27.6" customHeight="1" thickBot="1">
      <c r="D140" s="1096" t="str">
        <f>"Combined effect: Alternative temperature COP ("&amp;E137&amp;"°C instead of "&amp;F18&amp;"°C), ("&amp;E138&amp;"°C instead of "&amp;F20&amp;"°C), ("&amp;E139&amp;"°C instead of "&amp;F23&amp;"°C)"</f>
        <v>Combined effect: Alternative temperature COP (30°C instead of 25°C), (80°C instead of 90°C), (45°C instead of 60°C)</v>
      </c>
      <c r="E140" s="1096"/>
      <c r="F140" s="1096"/>
      <c r="G140" s="706">
        <f>G137+G138+G139-2*F16</f>
        <v>3.3599999999999994</v>
      </c>
      <c r="H140" s="2"/>
    </row>
    <row r="141" spans="1:14" ht="15.75" thickTop="1"/>
    <row r="142" spans="1:14">
      <c r="D142" s="1068" t="s">
        <v>261</v>
      </c>
      <c r="E142" s="1068"/>
      <c r="F142" s="1068"/>
      <c r="G142" s="1068"/>
    </row>
    <row r="143" spans="1:14">
      <c r="D143" s="412" t="s">
        <v>100</v>
      </c>
      <c r="E143" s="703">
        <f>F26</f>
        <v>0.02</v>
      </c>
      <c r="F143" s="704"/>
      <c r="G143" s="705" t="s">
        <v>262</v>
      </c>
      <c r="H143" s="2"/>
    </row>
    <row r="144" spans="1:14">
      <c r="D144" s="375" t="s">
        <v>103</v>
      </c>
      <c r="E144" s="376">
        <f>F27</f>
        <v>2.5999999999999999E-2</v>
      </c>
      <c r="F144" s="377"/>
      <c r="G144" s="378" t="s">
        <v>262</v>
      </c>
      <c r="H144" s="2"/>
    </row>
    <row r="145" spans="3:14" ht="15.75" thickBot="1">
      <c r="D145" s="707" t="s">
        <v>104</v>
      </c>
      <c r="E145" s="708">
        <f>F28</f>
        <v>0</v>
      </c>
      <c r="F145" s="709"/>
      <c r="G145" s="710" t="s">
        <v>262</v>
      </c>
      <c r="H145" s="2"/>
    </row>
    <row r="146" spans="3:14" ht="15.75" thickTop="1">
      <c r="G146" s="10"/>
    </row>
    <row r="147" spans="3:14">
      <c r="G147" s="10"/>
    </row>
    <row r="149" spans="3:14" ht="41.1" customHeight="1" thickBot="1">
      <c r="D149" s="1101" t="s">
        <v>263</v>
      </c>
      <c r="E149" s="1101"/>
      <c r="F149" s="1101"/>
      <c r="G149" s="1101"/>
    </row>
    <row r="150" spans="3:14">
      <c r="D150" s="1060" t="s">
        <v>264</v>
      </c>
      <c r="E150" s="1060"/>
      <c r="F150" s="1060"/>
      <c r="G150" s="1060"/>
      <c r="I150" s="372" t="s">
        <v>265</v>
      </c>
    </row>
    <row r="152" spans="3:14" ht="24">
      <c r="D152" s="374" t="s">
        <v>266</v>
      </c>
      <c r="E152" s="127" t="s">
        <v>101</v>
      </c>
      <c r="F152" s="123">
        <f ca="1">'Main Results - IRR DC Operator'!T25</f>
        <v>3.44375141172821</v>
      </c>
      <c r="G152" s="127"/>
    </row>
    <row r="153" spans="3:14">
      <c r="F153" s="373"/>
    </row>
    <row r="154" spans="3:14" ht="40.35" customHeight="1">
      <c r="D154" s="391" t="s">
        <v>267</v>
      </c>
      <c r="E154" s="392" t="s">
        <v>101</v>
      </c>
      <c r="F154" s="393">
        <v>3.47</v>
      </c>
      <c r="G154" s="386" t="s">
        <v>268</v>
      </c>
      <c r="H154" s="385" t="s">
        <v>269</v>
      </c>
      <c r="M154" s="371" t="str">
        <f>N154</f>
        <v/>
      </c>
      <c r="N154" s="160" t="str">
        <f>IF(IFERROR((1+F154)*1, "!!!!")="!!!!","Inputs contain non-numerical data. Please check your input data!","")</f>
        <v/>
      </c>
    </row>
    <row r="155" spans="3:14" ht="15.75" thickBot="1">
      <c r="D155" s="1059" t="s">
        <v>270</v>
      </c>
      <c r="E155" s="1059"/>
      <c r="F155" s="1059"/>
      <c r="G155" s="1059"/>
    </row>
    <row r="156" spans="3:14" ht="30.6" customHeight="1">
      <c r="C156" s="1094"/>
      <c r="D156" s="374" t="s">
        <v>271</v>
      </c>
      <c r="E156" s="384" t="s">
        <v>272</v>
      </c>
      <c r="F156" s="381">
        <f>IF(F154&lt;2.5,0,MIN(9.2,(5.5-(6.8-17/F154)*0.75)*(F154/(F154-1))))</f>
        <v>5.7238866396761141</v>
      </c>
      <c r="G156" s="384"/>
      <c r="H156" s="385" t="s">
        <v>273</v>
      </c>
    </row>
    <row r="157" spans="3:14" ht="30.6" customHeight="1">
      <c r="C157" s="1094"/>
      <c r="D157" s="374" t="s">
        <v>274</v>
      </c>
      <c r="E157" s="384" t="s">
        <v>275</v>
      </c>
      <c r="F157" s="381">
        <f>(F154-1)*F156</f>
        <v>14.138000000000003</v>
      </c>
      <c r="G157" s="384"/>
      <c r="H157" s="385" t="s">
        <v>273</v>
      </c>
    </row>
    <row r="158" spans="3:14" ht="30.6" customHeight="1">
      <c r="C158" s="1094"/>
      <c r="D158" s="374" t="s">
        <v>276</v>
      </c>
      <c r="E158" s="384" t="s">
        <v>277</v>
      </c>
      <c r="F158" s="381">
        <f>F157/(F154-1)</f>
        <v>5.7238866396761141</v>
      </c>
      <c r="G158" s="384"/>
      <c r="H158" s="385"/>
    </row>
    <row r="159" spans="3:14" ht="72" customHeight="1" thickBot="1">
      <c r="C159" s="1094"/>
      <c r="D159" s="387" t="s">
        <v>278</v>
      </c>
      <c r="E159" s="388" t="s">
        <v>279</v>
      </c>
      <c r="F159" s="389">
        <f>F158*10</f>
        <v>57.238866396761139</v>
      </c>
      <c r="G159" s="390" t="s">
        <v>280</v>
      </c>
      <c r="H159" s="379" t="s">
        <v>262</v>
      </c>
    </row>
    <row r="160" spans="3:14" ht="15.75" thickTop="1"/>
    <row r="161" spans="3:8" ht="15.75" thickBot="1">
      <c r="D161" s="1059" t="s">
        <v>281</v>
      </c>
      <c r="E161" s="1059"/>
      <c r="F161" s="1059"/>
      <c r="G161" s="1059"/>
    </row>
    <row r="162" spans="3:8" ht="38.1" customHeight="1">
      <c r="C162" s="1094"/>
      <c r="D162" s="374" t="s">
        <v>271</v>
      </c>
      <c r="E162" s="384" t="s">
        <v>272</v>
      </c>
      <c r="F162" s="381">
        <f>IF(F154&lt;2.5,0,MIN(3,(3-(8/2.5-8/F154)*0.75)))</f>
        <v>2.3291066282420747</v>
      </c>
      <c r="G162" s="384"/>
      <c r="H162" s="385" t="s">
        <v>273</v>
      </c>
    </row>
    <row r="163" spans="3:8" ht="38.1" customHeight="1">
      <c r="C163" s="1094"/>
      <c r="D163" s="374" t="s">
        <v>274</v>
      </c>
      <c r="E163" s="384" t="s">
        <v>275</v>
      </c>
      <c r="F163" s="381">
        <f>1*F154*F162</f>
        <v>8.081999999999999</v>
      </c>
      <c r="G163" s="384"/>
      <c r="H163" s="385" t="s">
        <v>273</v>
      </c>
    </row>
    <row r="164" spans="3:8" ht="38.1" customHeight="1">
      <c r="C164" s="1094"/>
      <c r="D164" s="374" t="s">
        <v>276</v>
      </c>
      <c r="E164" s="384" t="s">
        <v>277</v>
      </c>
      <c r="F164" s="381">
        <f>F163/(F154-1)</f>
        <v>3.2720647773279343</v>
      </c>
      <c r="G164" s="384"/>
      <c r="H164" s="385"/>
    </row>
    <row r="165" spans="3:8" ht="72" customHeight="1" thickBot="1">
      <c r="C165" s="1094"/>
      <c r="D165" s="387" t="s">
        <v>278</v>
      </c>
      <c r="E165" s="388" t="s">
        <v>279</v>
      </c>
      <c r="F165" s="389">
        <f>F164*10</f>
        <v>32.720647773279346</v>
      </c>
      <c r="G165" s="390" t="s">
        <v>280</v>
      </c>
      <c r="H165" s="379" t="s">
        <v>262</v>
      </c>
    </row>
    <row r="166" spans="3:8" ht="15.75" thickTop="1"/>
  </sheetData>
  <mergeCells count="55">
    <mergeCell ref="J12:J101"/>
    <mergeCell ref="J103:J132"/>
    <mergeCell ref="D149:G149"/>
    <mergeCell ref="C156:C159"/>
    <mergeCell ref="B74:F74"/>
    <mergeCell ref="E90:F90"/>
    <mergeCell ref="C113:D113"/>
    <mergeCell ref="B78:F78"/>
    <mergeCell ref="C99:D99"/>
    <mergeCell ref="B116:C116"/>
    <mergeCell ref="C162:C165"/>
    <mergeCell ref="G90:H90"/>
    <mergeCell ref="C104:D104"/>
    <mergeCell ref="C119:D119"/>
    <mergeCell ref="C118:D118"/>
    <mergeCell ref="E118:F118"/>
    <mergeCell ref="G118:H118"/>
    <mergeCell ref="C127:D127"/>
    <mergeCell ref="D140:F140"/>
    <mergeCell ref="D136:G136"/>
    <mergeCell ref="C91:D91"/>
    <mergeCell ref="C97:D97"/>
    <mergeCell ref="C90:D90"/>
    <mergeCell ref="B1:E1"/>
    <mergeCell ref="A116:A132"/>
    <mergeCell ref="A86:A101"/>
    <mergeCell ref="A103:A114"/>
    <mergeCell ref="C69:D69"/>
    <mergeCell ref="D12:F12"/>
    <mergeCell ref="D53:F53"/>
    <mergeCell ref="C3:F3"/>
    <mergeCell ref="C4:F4"/>
    <mergeCell ref="C5:F5"/>
    <mergeCell ref="C6:F6"/>
    <mergeCell ref="C7:F7"/>
    <mergeCell ref="C8:F8"/>
    <mergeCell ref="C125:D125"/>
    <mergeCell ref="C42:D42"/>
    <mergeCell ref="B71:F71"/>
    <mergeCell ref="A12:A52"/>
    <mergeCell ref="A53:A84"/>
    <mergeCell ref="D142:G142"/>
    <mergeCell ref="C57:D57"/>
    <mergeCell ref="B82:F82"/>
    <mergeCell ref="B86:D86"/>
    <mergeCell ref="C54:D54"/>
    <mergeCell ref="C30:D30"/>
    <mergeCell ref="C13:D13"/>
    <mergeCell ref="D52:H52"/>
    <mergeCell ref="C9:F9"/>
    <mergeCell ref="B3:B8"/>
    <mergeCell ref="D155:G155"/>
    <mergeCell ref="D161:G161"/>
    <mergeCell ref="D150:G150"/>
    <mergeCell ref="F113:G113"/>
  </mergeCells>
  <phoneticPr fontId="10" type="noConversion"/>
  <conditionalFormatting sqref="F26:F28">
    <cfRule type="expression" dxfId="69" priority="27">
      <formula>F26&lt;=0</formula>
    </cfRule>
  </conditionalFormatting>
  <conditionalFormatting sqref="M14:M29">
    <cfRule type="expression" dxfId="68" priority="24">
      <formula>N14&lt;&gt;""</formula>
    </cfRule>
  </conditionalFormatting>
  <conditionalFormatting sqref="M31:M41">
    <cfRule type="expression" dxfId="67" priority="23">
      <formula>N31&lt;&gt;""</formula>
    </cfRule>
  </conditionalFormatting>
  <conditionalFormatting sqref="M43:M51">
    <cfRule type="expression" dxfId="66" priority="22">
      <formula>N43&lt;&gt;""</formula>
    </cfRule>
  </conditionalFormatting>
  <conditionalFormatting sqref="M55:M56">
    <cfRule type="expression" dxfId="65" priority="21">
      <formula>N55&lt;&gt;""</formula>
    </cfRule>
  </conditionalFormatting>
  <conditionalFormatting sqref="M58:M68">
    <cfRule type="expression" dxfId="64" priority="20">
      <formula>N58&lt;&gt;""</formula>
    </cfRule>
  </conditionalFormatting>
  <conditionalFormatting sqref="M70">
    <cfRule type="expression" dxfId="63" priority="19">
      <formula>N70&lt;&gt;""</formula>
    </cfRule>
  </conditionalFormatting>
  <conditionalFormatting sqref="M72:M73">
    <cfRule type="expression" dxfId="62" priority="18">
      <formula>N72&lt;&gt;""</formula>
    </cfRule>
  </conditionalFormatting>
  <conditionalFormatting sqref="M75:M77">
    <cfRule type="expression" dxfId="61" priority="17">
      <formula>N75&lt;&gt;""</formula>
    </cfRule>
  </conditionalFormatting>
  <conditionalFormatting sqref="M79:M81">
    <cfRule type="expression" dxfId="60" priority="16">
      <formula>N79&lt;&gt;""</formula>
    </cfRule>
  </conditionalFormatting>
  <conditionalFormatting sqref="M83:M85">
    <cfRule type="expression" dxfId="59" priority="15">
      <formula>N83&lt;&gt;""</formula>
    </cfRule>
  </conditionalFormatting>
  <conditionalFormatting sqref="M87:M89">
    <cfRule type="expression" dxfId="58" priority="14">
      <formula>N87&lt;&gt;""</formula>
    </cfRule>
  </conditionalFormatting>
  <conditionalFormatting sqref="M92:M96">
    <cfRule type="expression" dxfId="57" priority="13">
      <formula>N92&lt;&gt;""</formula>
    </cfRule>
  </conditionalFormatting>
  <conditionalFormatting sqref="M98">
    <cfRule type="expression" dxfId="56" priority="12">
      <formula>N98&lt;&gt;""</formula>
    </cfRule>
  </conditionalFormatting>
  <conditionalFormatting sqref="M100:M101">
    <cfRule type="expression" dxfId="55" priority="11">
      <formula>N100&lt;&gt;""</formula>
    </cfRule>
  </conditionalFormatting>
  <conditionalFormatting sqref="M105:M112">
    <cfRule type="expression" dxfId="54" priority="10">
      <formula>N105&lt;&gt;""</formula>
    </cfRule>
  </conditionalFormatting>
  <conditionalFormatting sqref="M114:M115">
    <cfRule type="expression" dxfId="53" priority="9">
      <formula>N114&lt;&gt;""</formula>
    </cfRule>
  </conditionalFormatting>
  <conditionalFormatting sqref="M117">
    <cfRule type="expression" dxfId="52" priority="8">
      <formula>N117&lt;&gt;""</formula>
    </cfRule>
  </conditionalFormatting>
  <conditionalFormatting sqref="M120:M124">
    <cfRule type="expression" dxfId="51" priority="7">
      <formula>N120&lt;&gt;""</formula>
    </cfRule>
  </conditionalFormatting>
  <conditionalFormatting sqref="M126">
    <cfRule type="expression" dxfId="50" priority="6">
      <formula>N126&lt;&gt;""</formula>
    </cfRule>
  </conditionalFormatting>
  <conditionalFormatting sqref="M128:M129">
    <cfRule type="expression" dxfId="49" priority="5">
      <formula>N128&lt;&gt;""</formula>
    </cfRule>
  </conditionalFormatting>
  <conditionalFormatting sqref="M131:M132">
    <cfRule type="expression" dxfId="48" priority="4">
      <formula>N131&lt;&gt;""</formula>
    </cfRule>
  </conditionalFormatting>
  <conditionalFormatting sqref="M137:M139">
    <cfRule type="expression" dxfId="47" priority="3">
      <formula>N137&lt;&gt;""</formula>
    </cfRule>
  </conditionalFormatting>
  <conditionalFormatting sqref="M154">
    <cfRule type="expression" dxfId="46" priority="2">
      <formula>N154&lt;&gt;""</formula>
    </cfRule>
  </conditionalFormatting>
  <dataValidations count="1">
    <dataValidation allowBlank="1" showErrorMessage="1" promptTitle="Nominal Capacity of Heat Pump" prompt="It should be based on the available heat from the Data Centre (DC)" sqref="D14" xr:uid="{60BB4794-E8A9-4AB5-B9FA-3B1E27C5B2B4}"/>
  </dataValidations>
  <hyperlinks>
    <hyperlink ref="B1" location="Content!A1" display="Go to Content" xr:uid="{EFF5A4EE-223E-4731-A28D-A39C61A2CB2F}"/>
    <hyperlink ref="B1:F1" location="Content!A1" display="Go to Content Sheet" xr:uid="{3E7336E4-7537-4747-9905-2AB9F812DE27}"/>
    <hyperlink ref="B1:E1" location="Content!A1" display="Go to Content" xr:uid="{987B768A-6594-4F8E-97C3-B1560E69B1A1}"/>
    <hyperlink ref="C7" location="Content!A1" display="Go to Content" xr:uid="{1348A03E-213C-4725-8EF7-5D894EAD2A1B}"/>
    <hyperlink ref="C7:F7" location="Content!A1" display="Go to Content" xr:uid="{07A1112A-761E-4325-979A-DA317B0C0667}"/>
    <hyperlink ref="G26" location="'Project Setting'!G126" display="Check impact of settings on COP" xr:uid="{EA5D5398-BE23-4DF8-A32D-0E543F4DC583}"/>
    <hyperlink ref="G27:G28" location="'Project Sheet'!A1" display="'Project Sheet'!A1" xr:uid="{A7D722AC-C66D-45C2-8779-AD2721013422}"/>
    <hyperlink ref="G27" location="'Project Setting'!G126" display="Check impact of settings on COP" xr:uid="{72A97DA8-F62B-40B2-963F-3E7B64AD46E9}"/>
    <hyperlink ref="G28" location="'Project Setting'!G126" display="Check impact of settings on COP" xr:uid="{F8916C0A-6B97-4E38-9FCF-F52BCBAAF68F}"/>
    <hyperlink ref="G143:G145" location="'Project Sheet'!E126" display="Check impact of settings on COP" xr:uid="{36A9AABD-DE52-4F50-A49E-E6BC69340480}"/>
    <hyperlink ref="G143" location="'Project Setting'!G26" display="Go to settings above" xr:uid="{EB55A51C-9B0B-4168-A9E3-948710DC00F5}"/>
    <hyperlink ref="G144" location="'Project Setting'!G27" display="Go to settings above" xr:uid="{3E8C4FA7-2393-4D0F-B37D-8205DD2DDA09}"/>
    <hyperlink ref="G145" location="'Project Setting'!G28" display="Go to settings above" xr:uid="{2D75CFD2-B4C8-4541-B1AE-F9CBE0FC5C08}"/>
    <hyperlink ref="A87" location="'Link to additional information / German translation'!B75" display="Additional Information" xr:uid="{28E86C22-2B7C-4ABA-B212-C78F964BF027}"/>
    <hyperlink ref="A88" location="'Link to additional information / German translation'!B76" display="Additional Information" xr:uid="{A2688932-C45D-48EF-A617-A0859CBD4560}"/>
    <hyperlink ref="A89" location="'Link to additional information / German translation'!B77" display="Additional Information" xr:uid="{2FECA83C-0FEC-400A-AC20-FF7AF9217D0B}"/>
    <hyperlink ref="A92" location="'Link to additional information / German translation'!B80" display="Additional Information" xr:uid="{DB604B17-C6A5-415F-A34A-84344C46B93F}"/>
    <hyperlink ref="A93" location="'Link to additional information / German translation'!B81" display="Additional Information" xr:uid="{3426A377-C85A-4F7E-86F4-129B59D83598}"/>
    <hyperlink ref="A94" location="'Link to additional information / German translation'!B82" display="Additional Information" xr:uid="{A0DB45E5-11CD-4609-AC0C-417AD9FC9A82}"/>
    <hyperlink ref="A95" location="'Link to additional information / German translation'!B83" display="Additional Information" xr:uid="{3071B036-6623-45F5-9514-B75E759E767A}"/>
    <hyperlink ref="A96" location="'Link to additional information / German translation'!B84" display="Additional Information" xr:uid="{CB9B4A12-9C38-4F46-8579-0B5EE4A1EC1B}"/>
    <hyperlink ref="A98" location="'Link to additional information / German translation'!B86" display="Additional Information" xr:uid="{2AD46E9E-9CDC-4864-87CC-662DDBCE390C}"/>
    <hyperlink ref="A100" location="'Link to additional information / German translation'!B87" display="Additional Information" xr:uid="{55B3B589-34DA-4419-96CF-D0D97155E2C0}"/>
    <hyperlink ref="A101" location="'Link to additional information / German translation'!B88" display="Additional Information" xr:uid="{83E43F6B-A52D-46A4-9AD2-7C3EEFE056B4}"/>
    <hyperlink ref="A105" location="'Link to additional information / German translation'!B92" display="Additional Information" xr:uid="{EA7AC99C-DDD7-4D2E-A579-88A07C6218B6}"/>
    <hyperlink ref="A106" location="'Link to additional information / German translation'!B93" display="Additional Information" xr:uid="{7F512773-2EA3-40C4-9ED4-1CBE1D83456D}"/>
    <hyperlink ref="A107" location="'Link to additional information / German translation'!B94" display="Additional Information" xr:uid="{4D7BBD65-A1CD-4E28-A8AD-20D97B32EF2B}"/>
    <hyperlink ref="A108" location="'Link to additional information / German translation'!B95" display="Additional Information" xr:uid="{A3FB732E-C006-4F5F-BFA2-9A9ACC75F1B1}"/>
    <hyperlink ref="A109" location="'Link to additional information / German translation'!B96" display="Additional Information" xr:uid="{A7086B21-205D-4C6D-B30B-E5CA848708A5}"/>
    <hyperlink ref="A110" location="'Link to additional information / German translation'!B97" display="Additional Information" xr:uid="{5EB7326E-98DF-46C6-9E6E-A78DA972F57A}"/>
    <hyperlink ref="A111" location="'Link to additional information / German translation'!B98" display="Additional Information" xr:uid="{0890A40C-A6EB-4B45-A848-5C62BA322948}"/>
    <hyperlink ref="A112" location="'Link to additional information / German translation'!B99" display="Additional Information" xr:uid="{20976CE6-B851-4A27-9B84-90C4FD78DC74}"/>
    <hyperlink ref="A114" location="'Link to additional information / German translation'!B101" display="Additional Information" xr:uid="{F87AA5A6-BC5C-4172-8450-5583A87357CE}"/>
    <hyperlink ref="A117" location="'Link to additional information / German translation'!B104" display="Additional Information" xr:uid="{B848D781-5F10-41E0-AA1D-0666C38CC24B}"/>
    <hyperlink ref="A120" location="'Link to additional information / German translation'!B107" display="Additional Information" xr:uid="{E4FBF3BB-09CB-4BF6-A484-47CC845384DE}"/>
    <hyperlink ref="A121" location="'Link to additional information / German translation'!B108" display="Additional Information" xr:uid="{6001B8CA-399E-47FE-BEFA-E82DC70C6607}"/>
    <hyperlink ref="A122" location="'Link to additional information / German translation'!B109" display="Additional Information" xr:uid="{1E9F1378-0ADB-4010-9606-003942510339}"/>
    <hyperlink ref="A123" location="'Link to additional information / German translation'!B110" display="Additional Information" xr:uid="{9AF35A03-9AA7-4034-9B0A-ACCC3417B780}"/>
    <hyperlink ref="A124" location="'Link to additional information / German translation'!B111" display="Additional Information" xr:uid="{1FEDCC5D-34DD-4F52-B5ED-48758A55A560}"/>
    <hyperlink ref="A126" location="'Link to additional information / German translation'!B113" display="Additional Information" xr:uid="{05F383B5-9C43-44E8-BF69-DA019A1DEA9A}"/>
    <hyperlink ref="A128" location="'Link to additional information / German translation'!B114" display="Additional Information" xr:uid="{E53C754A-E6B1-425C-86E3-81C8EDBBDE02}"/>
    <hyperlink ref="A129" location="'Link to additional information / German translation'!B115" display="Contractor 2 / data centre operator" xr:uid="{4842F3AB-DD9C-49DB-A811-F835CB3822D8}"/>
    <hyperlink ref="A132" location="'Link to additional information / German translation'!B117" display="Additional Information" xr:uid="{54904E56-12F4-4361-80C5-40435E70B311}"/>
    <hyperlink ref="I150" r:id="rId1" xr:uid="{5F2F2A1B-4FB3-40E1-8198-508320B1C057}"/>
    <hyperlink ref="H159" location="'Project Setting'!F47" display="Go to settings above" xr:uid="{74D380ED-6334-403A-9532-2038607E265B}"/>
    <hyperlink ref="G48" location="'Project Setting'!F153" display="Calculate approproate value according to German BEW (2026)" xr:uid="{617C0782-C396-43BD-81AC-D1BB1A096512}"/>
    <hyperlink ref="H165" location="'Project Setting'!F47" display="Go to settings above" xr:uid="{D70B8A3A-E52B-4FAA-BD83-157C164C0E3F}"/>
    <hyperlink ref="A55" location="'Link to additional information / German translation'!B47" display="Additional Information" xr:uid="{319DDF40-4E17-4F36-889D-2926DC779FC3}"/>
    <hyperlink ref="A56" location="'Link to additional information / German translation'!B48" display="Additional Information" xr:uid="{56CD0A7A-356E-405A-8D21-0426BF8D08E0}"/>
    <hyperlink ref="A58" location="'Link to additional information / German translation'!B50" display="Additional Information" xr:uid="{28C1C236-7A2F-4443-B663-A4AD24B88729}"/>
    <hyperlink ref="A59" location="'Link to additional information / German translation'!B51" display="Additional Information" xr:uid="{343C23D7-E528-41A6-8CA7-5098B3DB94C2}"/>
    <hyperlink ref="A60" location="'Link to additional information / German translation'!B52" display="HEAT PUMP AND BOOSTER SYSTEM INCLUDING HEAT EXCHANGER  AND PIPING TO THE DH GRID (B2 - B3)" xr:uid="{467DA6A9-AAB1-418D-BA7E-E7494E682420}"/>
    <hyperlink ref="A61" location="'Link to additional information / German translation'!B53" display="Additional Information" xr:uid="{B19C0817-D640-4C1F-8051-CDD28B7A4A26}"/>
    <hyperlink ref="A62" location="'Link to additional information / German translation'!B54" display="Additional Information" xr:uid="{BBD83B75-9657-4C4C-B987-0A761587C12E}"/>
    <hyperlink ref="A63" location="'Link to additional information / German translation'!B55" display="Additional Information" xr:uid="{923013EE-7726-432D-8BAB-5F5405FF108A}"/>
    <hyperlink ref="A64" location="'Link to additional information / German translation'!B56" display="Additional Information" xr:uid="{E2F476D4-5FDD-4B4F-B0B9-295E1AC24B0C}"/>
    <hyperlink ref="A65" location="'Link to additional information / German translation'!B57" display="Additional Information" xr:uid="{CCC3C834-5C92-4ED8-9C9A-BF0C46F21C14}"/>
    <hyperlink ref="A66" location="'Link to additional information / German translation'!B58" display="Additional Information" xr:uid="{24C584F6-DDF6-46E1-8774-FDDFA630267C}"/>
    <hyperlink ref="A68" location="'Link to additional information / German translation'!B59" display="Additional Information" xr:uid="{FC69AF03-E494-4407-BC6A-2F1171C7D1A3}"/>
    <hyperlink ref="A70" location="'Link to additional information / German translation'!B60" display="Additional Information" xr:uid="{A4C07038-20BA-4F01-93F8-F021868F3819}"/>
    <hyperlink ref="A72" location="'Link to additional information / German translation'!B62" display="Additional Information" xr:uid="{10C7F92C-6298-46CB-9A2D-B2BADA1726F5}"/>
    <hyperlink ref="A73" location="'Link to additional information / German translation'!B63" display="Additional Information" xr:uid="{E6673A5C-CE9A-4A80-A6B6-2188534DC114}"/>
    <hyperlink ref="A75" location="'Link to additional information / German translation'!B65" display="Additional Information" xr:uid="{2841D6F3-DD9F-4D9D-9941-E9C277ABB3B1}"/>
    <hyperlink ref="A76" location="'Link to additional information / German translation'!B66" display="Additional Information" xr:uid="{D543C97D-B3F3-4DA3-BC16-842738999C5F}"/>
    <hyperlink ref="A77" location="'Link to additional information / German translation'!B67" display="Additional Information" xr:uid="{D3935947-C824-46B5-A667-925A249DF9A6}"/>
    <hyperlink ref="A79" location="'Link to additional information / German translation'!B69" display="Additional Information" xr:uid="{2340FE51-5A89-4B3A-9004-AC041800CC62}"/>
    <hyperlink ref="A80" location="'Link to additional information / German translation'!B70" display="Additional Information" xr:uid="{B524A50C-FC5F-4546-B823-1B5338FB012C}"/>
    <hyperlink ref="A81" location="'Link to additional information / German translation'!B71" display="Additional Information" xr:uid="{F565AC4D-B871-4185-9F3C-BBE750D1F05A}"/>
    <hyperlink ref="A83" location="'Link to additional information / German translation'!B73" display="Additional Information" xr:uid="{D01A2420-BDB0-473C-8D0B-EED0696CF3EA}"/>
    <hyperlink ref="A84" location="'Link to additional information / German translation'!B74" display="Additional Information" xr:uid="{1A1FF933-799F-4F13-89AF-17B152580CBA}"/>
    <hyperlink ref="I14" location="'Additional Information'!B14" display="Link to additional information / German translation" xr:uid="{0892C6E2-5AA1-4178-B2E5-B7E7CA76DC30}"/>
    <hyperlink ref="I15" location="'Additional Information'!B15" display="Link to additional information / German translation" xr:uid="{186DDD76-95A1-4C7B-BFD6-37433FFF0B8F}"/>
    <hyperlink ref="I16" location="'Additional Information'!B16" display="Link to additional information / German translation" xr:uid="{7340C5BE-C515-446B-A1AE-5173DE624126}"/>
    <hyperlink ref="I17" location="'Additional Information'!B17" display="Link to additional information / German translation" xr:uid="{7A8F5353-3C60-47BD-839F-6DAFB49E0EAC}"/>
    <hyperlink ref="I18" location="'Additional Information'!B18" display="Link to additional information / German translation" xr:uid="{12B07C18-A5D9-4644-ADF2-6BC27184B014}"/>
    <hyperlink ref="I19" location="'Additional Information'!B19" display="Link to additional information / German translation" xr:uid="{9673C9A1-A409-4AC7-B9B5-D9208B832F9A}"/>
    <hyperlink ref="I20" location="'Additional Information'!B20" display="Link to additional information / German translation" xr:uid="{9FEF125E-EA34-416F-A30F-68DE185CB283}"/>
    <hyperlink ref="I21" location="'Additional Information'!B21" display="Link to additional information / German translation" xr:uid="{4D6F9F3B-A94B-4DC3-A7B5-B583054BF622}"/>
    <hyperlink ref="I22" location="'Additional Information'!B22" display="Link to additional information / German translation" xr:uid="{316844CB-D176-4DA8-82B2-BA8B5720133F}"/>
    <hyperlink ref="I23" location="'Additional Information'!B23" display="Link to additional information / German translation" xr:uid="{3CD070F3-319B-4056-9790-F85C378664E9}"/>
    <hyperlink ref="I24" location="'Additional Information'!B24" display="Link to additional information / German translation" xr:uid="{EF308DBA-ADAC-4BD5-8673-38540887565A}"/>
    <hyperlink ref="I25" location="'Additional Information'!B25" display="Link to additional information / German translation" xr:uid="{BDB0201C-6126-47EA-BCD4-AC20370752AF}"/>
    <hyperlink ref="I26" location="'Additional Information'!B26" display="Link to additional information / German translation" xr:uid="{6AE1D766-FA6F-485F-A832-A95108BC342F}"/>
    <hyperlink ref="I27" location="'Additional Information'!B27" display="Link to additional information / German translation" xr:uid="{EE3B6FBF-E366-4EFB-8BD6-2F15A040767F}"/>
    <hyperlink ref="I28" location="'Additional Information'!B28" display="Link to additional information / German translation" xr:uid="{FF72ADCE-9761-4894-A01A-181CFADE8AA0}"/>
    <hyperlink ref="I29" location="'Additional Information'!B29" display="Link to additional information / German translation" xr:uid="{72A92FB6-DD57-48A4-A870-DBE254713ABC}"/>
    <hyperlink ref="I31" location="'Additional Information'!B31" display="Link to additional information / German translation" xr:uid="{9E4F6346-CC0C-44E5-809B-6778E490D020}"/>
    <hyperlink ref="I32" location="'Additional Information'!B32" display="Link to additional information / German translation" xr:uid="{A2C7AD27-06E6-4C36-A034-60331B8CADD7}"/>
    <hyperlink ref="I33" location="'Additional Information'!B33" display="Link to additional information / German translation" xr:uid="{3054A427-CC99-4035-BE9B-E57F387F84B9}"/>
    <hyperlink ref="I34" location="'Additional Information'!B34" display="Link to additional information / German translation" xr:uid="{8BFA4A5B-FF36-4AAA-891E-140C4B1A4A40}"/>
    <hyperlink ref="I35" location="'Additional Information'!B35" display="Link to additional information / German translation" xr:uid="{4B864755-B38C-46C7-971F-E7D0DCCF16D1}"/>
    <hyperlink ref="I36" location="'Additional Information'!B36" display="Link to additional information / German translation" xr:uid="{E044ACB4-7ABE-4B14-9128-968124B19F46}"/>
    <hyperlink ref="I37" location="'Additional Information'!B37" display="Link to additional information / German translation" xr:uid="{210319AA-8B72-43B5-B080-3571400A058D}"/>
    <hyperlink ref="I38" location="'Additional Information'!B38" display="Link to additional information / German translation" xr:uid="{06D70EE2-716C-46EE-9E3C-7F9DB219A8F9}"/>
    <hyperlink ref="I39" location="'Additional Information'!B39" display="Link to additional information / German translation" xr:uid="{5BCD70B9-9D02-418F-8E7B-2EEA29A803D7}"/>
    <hyperlink ref="I41" location="'Additional Information'!B40" display="Link to additional information / German translation" xr:uid="{7F0369B6-9443-4E7B-A8C8-5916B7949212}"/>
    <hyperlink ref="I43" location="'Additional Information'!B41" display="Link to additional information / German translation" xr:uid="{09BEC1DE-16DA-43C0-9E43-AD4D8F6532C7}"/>
    <hyperlink ref="I44" location="'Additional Information'!B42" display="Link to additional information / German translation" xr:uid="{37D53C32-7050-448E-9E86-9584043E17C8}"/>
    <hyperlink ref="I45" location="'Additional Information'!B43" display="Link to additional information / German translation" xr:uid="{44C92E5A-19FF-4176-B488-CB4F927BC416}"/>
    <hyperlink ref="I46" location="'Additional Information'!B44" display="Link to additional information / German translation" xr:uid="{05245296-E514-493E-A13B-DFA207EA61E2}"/>
    <hyperlink ref="I47" location="'Additional Information'!B45" display="Link to additional information / German translation" xr:uid="{BDA075EB-50DA-498D-A6F5-68B4ED442FC3}"/>
    <hyperlink ref="I48" location="'Additional Information'!B46" display="Link to additional information / German translation" xr:uid="{955374CD-2D23-4261-B5CA-4F9EBD242424}"/>
    <hyperlink ref="I49" location="'Additional Information'!B47" display="Link to additional information / German translation" xr:uid="{0C59FE7B-DFD6-4272-BCA5-7D34610B8B4B}"/>
    <hyperlink ref="I50" location="'Additional Information'!B48" display="Link to additional information / German translation" xr:uid="{EBBFBDBF-79F8-47A2-94A4-F477DF6028E0}"/>
    <hyperlink ref="I51" location="'Additional Information'!B49" display="Link to additional information / German translation" xr:uid="{F6EA4D75-66F4-4FCD-AA20-B3EF33BE07D0}"/>
    <hyperlink ref="I55" location="'Additional Information'!B51" display="Link to additional information / German translation" xr:uid="{064A9FBC-BAB7-4827-B9F6-85A20752E40A}"/>
    <hyperlink ref="I56" location="'Additional Information'!B52" display="Link to additional information / German translation" xr:uid="{621ABB5A-7E11-46EC-9C6A-C9EC86BA9F20}"/>
    <hyperlink ref="I58" location="'Additional Information'!B54" display="Link to additional information / German translation" xr:uid="{7DFFC975-D5E0-4E81-9742-36E8A49D4E4C}"/>
    <hyperlink ref="I59" location="'Additional Information'!B55" display="Link to additional information / German translation" xr:uid="{D2C7A64C-E792-4D69-835A-F8E0C4AFFBB2}"/>
    <hyperlink ref="I60" location="'Additional Information'!B56" display="Link to additional information / German translation" xr:uid="{349AA681-EB0A-4A3F-8882-67183610C138}"/>
    <hyperlink ref="I61" location="'Additional Information'!B57" display="Link to additional information / German translation" xr:uid="{9E6362E8-B8C5-41A3-B2F7-C4857905203A}"/>
    <hyperlink ref="I62" location="'Additional Information'!B58" display="Link to additional information / German translation" xr:uid="{3F01AF49-699F-40BB-BCCA-A635E8AEF0A2}"/>
    <hyperlink ref="I63" location="'Additional Information'!B59" display="Link to additional information / German translation" xr:uid="{BD554AB5-3A98-4573-91A6-CAF24C55618D}"/>
    <hyperlink ref="I64" location="'Additional Information'!B60" display="Link to additional information / German translation" xr:uid="{60097973-11B9-4AE9-A6D0-93B7600BC32F}"/>
    <hyperlink ref="I65" location="'Additional Information'!B61" display="Link to additional information / German translation" xr:uid="{04AB99C1-621C-4F78-81ED-DEEE7049A2D8}"/>
    <hyperlink ref="I66" location="'Additional Information'!B62" display="Link to additional information / German translation" xr:uid="{9743F46F-D9FA-4587-8B89-7BE62D5E8FAC}"/>
    <hyperlink ref="I68" location="'Additional Information'!B63" display="Link to additional information / German translation" xr:uid="{C4BF7CDF-0055-4DDD-95CC-6754C0E27024}"/>
    <hyperlink ref="I70" location="'Additional Information'!B64" display="Link to additional information / German translation" xr:uid="{7A76E064-4CEB-4833-BF14-ADEC130D43A8}"/>
    <hyperlink ref="I72" location="'Additional Information'!B66" display="Link to additional information / German translation" xr:uid="{98885818-E3B3-4DEE-8AE1-2EAED28FBC6A}"/>
    <hyperlink ref="I73" location="'Additional Information'!B67" display="Link to additional information / German translation" xr:uid="{1B47455B-1A70-4065-970F-0326D83F1827}"/>
    <hyperlink ref="I75" location="'Additional Information'!B69" display="Link to additional information / German translation" xr:uid="{7697C856-85F6-4F28-A06C-436B638897A1}"/>
    <hyperlink ref="I76" location="'Additional Information'!B70" display="Link to additional information / German translation" xr:uid="{40B77851-22E0-42EE-B498-FB2534DC55AE}"/>
    <hyperlink ref="I77" location="'Additional Information'!B71" display="Link to additional information / German translation" xr:uid="{B7DDBB53-4669-4970-90E9-99A0C328BB7F}"/>
    <hyperlink ref="I79" location="'Additional Information'!B73" display="Link to additional information / German translation" xr:uid="{1B9E6D77-1E95-44BB-8803-8CE295381370}"/>
    <hyperlink ref="I80" location="'Additional Information'!B74" display="Link to additional information / German translation" xr:uid="{BDFBA3AA-D056-44AD-A0B6-A1796F13EF84}"/>
    <hyperlink ref="I81" location="'Additional Information'!B75" display="Link to additional information / German translation" xr:uid="{E7CDC1C1-EF7D-4AA0-9907-F4A15A7FB662}"/>
    <hyperlink ref="I83" location="'Additional Information'!B77" display="Link to additional information / German translation" xr:uid="{E475ED98-1936-4002-B592-036BDFCB1140}"/>
    <hyperlink ref="I84" location="'Additional Information'!B78" display="Link to additional information / German translation" xr:uid="{FBC2AA2F-2581-4265-B435-FEE6A920B78E}"/>
    <hyperlink ref="I87" location="'Additional Information'!B79" display="Link to additional information / German translation" xr:uid="{33A48EF2-9E7D-4D5B-BD0B-F6AAEF235B64}"/>
    <hyperlink ref="I88" location="'Additional Information'!B80" display="Link to additional information / German translation" xr:uid="{D26AF5FA-10E3-4A5A-876D-771E50203C3C}"/>
    <hyperlink ref="I89" location="'Additional Information'!B81" display="Link to additional information / German translation" xr:uid="{1494E3E5-F735-4A5D-BC53-E6594B27F4F9}"/>
    <hyperlink ref="I92" location="'Additional Information'!B84" display="Link to additional information / German translation" xr:uid="{08EE95F4-CFE4-459D-BA3E-D8C1BE4C0F45}"/>
    <hyperlink ref="I93" location="'Additional Information'!B85" display="Link to additional information / German translation" xr:uid="{1D5AF115-DC7E-490E-A90F-A205B60408E0}"/>
    <hyperlink ref="I94" location="'Additional Information'!B86" display="Link to additional information / German translation" xr:uid="{70722AA2-3D6C-4E84-8C2D-237197C22353}"/>
    <hyperlink ref="I95" location="'Additional Information'!B87" display="Link to additional information / German translation" xr:uid="{52EF8810-B042-4409-AA51-0CDD3875AC8F}"/>
    <hyperlink ref="I96" location="'Additional Information'!B88" display="Link to additional information / German translation" xr:uid="{4CAA42E9-20C4-4882-B110-118707869425}"/>
    <hyperlink ref="I98" location="'Additional Information'!B90" display="Link to additional information / German translation" xr:uid="{0350A958-3F7F-49E8-892A-7365FCC48277}"/>
    <hyperlink ref="I100" location="'Additional Information'!B91" display="Link to additional information / German translation" xr:uid="{5B5F978F-A2AB-441D-BAC0-6F0283BD8BB8}"/>
    <hyperlink ref="I101" location="'Additional Information'!B92" display="Link to additional information / German translation" xr:uid="{7EB7336A-57E0-4008-86E6-C2734D9A5444}"/>
    <hyperlink ref="I105" location="'Additional Information'!B95" display="Link to additional information / German translation" xr:uid="{EDE77283-2F19-4B91-A5A4-96B3BC86521C}"/>
    <hyperlink ref="I106" location="'Additional Information'!B96" display="Link to additional information / German translation" xr:uid="{BD052308-52A8-4392-AD7C-654713BF0241}"/>
    <hyperlink ref="I107" location="'Additional Information'!B97" display="Link to additional information / German translation" xr:uid="{D1A81459-D4B0-48F0-BFD8-01290F0B7CC5}"/>
    <hyperlink ref="I108" location="'Additional Information'!B98" display="Link to additional information / German translation" xr:uid="{E4FC4F93-791E-4AC8-A88C-442DD788D6FF}"/>
    <hyperlink ref="I109" location="'Additional Information'!B99" display="Link to additional information / German translation" xr:uid="{CDC3D36A-ABB1-4D5C-946E-996982F8EC68}"/>
    <hyperlink ref="I110" location="'Additional Information'!B100" display="Link to additional information / German translation" xr:uid="{5D51CF88-6C17-44D6-9FE6-E95A10B8A737}"/>
    <hyperlink ref="I111" location="'Additional Information'!B101" display="Link to additional information / German translation" xr:uid="{5BA60EFD-5EE6-456D-9E8D-044E3CC18D48}"/>
    <hyperlink ref="I112" location="'Additional Information'!B102" display="Link to additional information / German translation" xr:uid="{1D78F0A4-54D4-4D6B-94F6-3290AED95F7E}"/>
    <hyperlink ref="I114" location="'Additional Information'!B104" display="Link to additional information / German translation" xr:uid="{2757EFAF-2AA7-477A-A0A0-8D916A315E08}"/>
    <hyperlink ref="I117" location="'Additional Information'!B107" display="Link to additional information / German translation" xr:uid="{BA2F226A-1D50-469E-BC69-6550222BEC88}"/>
    <hyperlink ref="I120" location="'Additional Information'!B110" display="Link to additional information / German translation" xr:uid="{736EFA8C-FDC5-447B-9D49-73E1F2B1A876}"/>
    <hyperlink ref="I121" location="'Additional Information'!B111" display="Link to additional information / German translation" xr:uid="{A3EE181A-82CA-483F-8B9F-3EB08E865426}"/>
    <hyperlink ref="I122" location="'Additional Information'!B112" display="Link to additional information / German translation" xr:uid="{5B5F0884-BF4A-4D7F-A843-32EC4B764EB5}"/>
    <hyperlink ref="I123" location="'Additional Information'!B113" display="Link to additional information / German translation" xr:uid="{57B5AD68-8C6E-4D77-A21A-BCABA24C68E6}"/>
    <hyperlink ref="I124" location="'Additional Information'!B114" display="Link to additional information / German translation" xr:uid="{ED6F2446-FC6C-42C6-AC32-7E98B5C5F74B}"/>
    <hyperlink ref="I126" location="'Additional Information'!B116" display="Link to additional information / German translation" xr:uid="{48C3C809-857A-493A-87E6-CB7DAC35D283}"/>
    <hyperlink ref="I128" location="'Additional Information'!B117" display="Link to additional information / German translation" xr:uid="{67A2543D-BA8E-465C-AD6A-F548EC198185}"/>
    <hyperlink ref="I129" location="'Additional Information'!B118" display="Link to additional information / German translation" xr:uid="{CA03871C-4D70-4283-AB63-AD7653EFA62D}"/>
    <hyperlink ref="I132" location="'Additional Information'!B120" display="Link to additional information / German translation" xr:uid="{083EB301-37F3-406D-8DBD-FF284C0A7FF2}"/>
  </hyperlinks>
  <pageMargins left="0.7" right="0.7" top="0.75" bottom="0.75" header="0.3" footer="0.3"/>
  <pageSetup orientation="portrait" r:id="rId2"/>
  <cellWatches>
    <cellWatch r="F23"/>
  </cellWatch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EB1C4-FAD8-49F8-9754-3C422C4B1506}">
  <sheetPr codeName="Tabelle5">
    <tabColor theme="9" tint="0.79998168889431442"/>
  </sheetPr>
  <dimension ref="A1:BB149"/>
  <sheetViews>
    <sheetView zoomScale="80" zoomScaleNormal="80" workbookViewId="0">
      <selection activeCell="C4" sqref="C4"/>
    </sheetView>
  </sheetViews>
  <sheetFormatPr baseColWidth="10" defaultColWidth="8.5703125" defaultRowHeight="15" customHeight="1"/>
  <cols>
    <col min="1" max="1" width="17.5703125" style="48" customWidth="1"/>
    <col min="2" max="2" width="74.85546875" style="48" customWidth="1"/>
    <col min="3" max="3" width="7.85546875" style="48" customWidth="1"/>
    <col min="4" max="25" width="10.85546875" style="48" customWidth="1"/>
    <col min="26" max="28" width="8.5703125" style="48"/>
    <col min="29" max="29" width="33.5703125" style="48" customWidth="1"/>
    <col min="30" max="30" width="8.5703125" style="48"/>
    <col min="31" max="31" width="11.140625" style="48" bestFit="1" customWidth="1"/>
    <col min="32" max="34" width="8.5703125" style="48"/>
    <col min="35" max="35" width="70.85546875" style="48" customWidth="1"/>
    <col min="36" max="36" width="1.5703125" style="48" customWidth="1"/>
    <col min="37" max="16384" width="8.5703125" style="48"/>
  </cols>
  <sheetData>
    <row r="1" spans="1:36" s="44" customFormat="1">
      <c r="A1" s="1105" t="s">
        <v>57</v>
      </c>
      <c r="B1" s="1105"/>
      <c r="C1" s="84"/>
      <c r="D1" s="84"/>
      <c r="E1" s="84"/>
    </row>
    <row r="2" spans="1:36" s="44" customFormat="1" ht="15" customHeight="1"/>
    <row r="3" spans="1:36" s="44" customFormat="1" ht="15" customHeight="1" thickBot="1">
      <c r="A3" s="1106" t="s">
        <v>58</v>
      </c>
      <c r="B3" s="85" t="s">
        <v>46</v>
      </c>
      <c r="C3" s="86"/>
      <c r="D3" s="86"/>
      <c r="E3" s="86"/>
    </row>
    <row r="4" spans="1:36" s="44" customFormat="1" ht="15" customHeight="1" thickTop="1">
      <c r="A4" s="1106"/>
      <c r="B4" s="87" t="s">
        <v>47</v>
      </c>
      <c r="C4" s="88"/>
      <c r="D4" s="88"/>
      <c r="E4" s="88"/>
    </row>
    <row r="5" spans="1:36" s="44" customFormat="1" ht="15" customHeight="1">
      <c r="A5" s="1106"/>
      <c r="B5" s="116" t="s">
        <v>48</v>
      </c>
      <c r="C5" s="89"/>
      <c r="D5" s="89"/>
      <c r="E5" s="89"/>
    </row>
    <row r="6" spans="1:36" s="44" customFormat="1" ht="15" customHeight="1">
      <c r="A6" s="1106"/>
      <c r="B6" s="117" t="s">
        <v>49</v>
      </c>
      <c r="C6" s="90"/>
      <c r="D6" s="90"/>
      <c r="E6" s="90"/>
    </row>
    <row r="7" spans="1:36" s="44" customFormat="1">
      <c r="A7" s="1106"/>
      <c r="B7" s="32" t="s">
        <v>57</v>
      </c>
      <c r="C7" s="84"/>
      <c r="D7" s="84"/>
      <c r="E7" s="84"/>
    </row>
    <row r="8" spans="1:36" s="44" customFormat="1" ht="15" customHeight="1">
      <c r="A8" s="1106"/>
      <c r="B8" s="91" t="s">
        <v>51</v>
      </c>
      <c r="C8" s="92"/>
      <c r="D8" s="92"/>
      <c r="E8" s="92"/>
    </row>
    <row r="9" spans="1:36" s="44" customFormat="1" ht="15" customHeight="1">
      <c r="A9" s="93"/>
      <c r="B9" s="329" t="s">
        <v>53</v>
      </c>
      <c r="C9" s="516"/>
      <c r="D9" s="516"/>
      <c r="E9" s="516"/>
    </row>
    <row r="10" spans="1:36" s="44" customFormat="1" ht="15" customHeight="1"/>
    <row r="11" spans="1:36" s="44" customFormat="1" ht="19.350000000000001" customHeight="1">
      <c r="B11" s="96" t="s">
        <v>282</v>
      </c>
      <c r="C11" s="97"/>
      <c r="D11" s="97"/>
      <c r="E11" s="97"/>
      <c r="F11" s="97"/>
      <c r="G11" s="97"/>
      <c r="H11" s="97"/>
      <c r="I11" s="97"/>
      <c r="J11" s="97"/>
      <c r="K11" s="97"/>
      <c r="L11" s="97"/>
      <c r="M11" s="97"/>
      <c r="N11" s="97"/>
      <c r="O11" s="97"/>
      <c r="P11" s="97"/>
      <c r="Q11" s="97"/>
      <c r="R11" s="97"/>
      <c r="S11" s="97"/>
      <c r="T11" s="97"/>
      <c r="U11" s="97"/>
      <c r="V11" s="97"/>
      <c r="W11" s="97"/>
      <c r="X11" s="97"/>
      <c r="Y11" s="97"/>
    </row>
    <row r="12" spans="1:36" s="44" customFormat="1" ht="22.35" customHeight="1">
      <c r="B12" s="98" t="s">
        <v>283</v>
      </c>
      <c r="C12" s="99" t="s">
        <v>284</v>
      </c>
      <c r="D12" s="99">
        <v>20</v>
      </c>
      <c r="E12" s="99">
        <v>25</v>
      </c>
      <c r="F12" s="99">
        <v>32</v>
      </c>
      <c r="G12" s="99">
        <v>40</v>
      </c>
      <c r="H12" s="99">
        <v>50</v>
      </c>
      <c r="I12" s="99">
        <v>65</v>
      </c>
      <c r="J12" s="99">
        <v>80</v>
      </c>
      <c r="K12" s="99">
        <v>100</v>
      </c>
      <c r="L12" s="99">
        <v>125</v>
      </c>
      <c r="M12" s="99">
        <v>150</v>
      </c>
      <c r="N12" s="99">
        <v>200</v>
      </c>
      <c r="O12" s="99">
        <v>250</v>
      </c>
      <c r="P12" s="99">
        <v>300</v>
      </c>
      <c r="Q12" s="99">
        <v>350</v>
      </c>
      <c r="R12" s="99">
        <v>400</v>
      </c>
      <c r="S12" s="99">
        <v>450</v>
      </c>
      <c r="T12" s="99">
        <v>500</v>
      </c>
      <c r="U12" s="99">
        <v>600</v>
      </c>
      <c r="V12" s="99">
        <v>700</v>
      </c>
      <c r="W12" s="99">
        <v>800</v>
      </c>
      <c r="X12" s="99">
        <v>900</v>
      </c>
      <c r="Y12" s="99">
        <v>1000</v>
      </c>
    </row>
    <row r="13" spans="1:36" s="44" customFormat="1" ht="22.35" customHeight="1">
      <c r="A13" s="214" t="s">
        <v>73</v>
      </c>
      <c r="B13" s="88" t="s">
        <v>285</v>
      </c>
      <c r="C13" s="100" t="s">
        <v>286</v>
      </c>
      <c r="D13" s="118">
        <v>760</v>
      </c>
      <c r="E13" s="118">
        <v>800</v>
      </c>
      <c r="F13" s="118">
        <v>856</v>
      </c>
      <c r="G13" s="118">
        <v>920</v>
      </c>
      <c r="H13" s="118">
        <v>1000</v>
      </c>
      <c r="I13" s="118">
        <v>1120</v>
      </c>
      <c r="J13" s="118">
        <v>1240</v>
      </c>
      <c r="K13" s="118">
        <v>1400</v>
      </c>
      <c r="L13" s="118">
        <v>1600</v>
      </c>
      <c r="M13" s="118">
        <v>1800</v>
      </c>
      <c r="N13" s="118">
        <v>2200</v>
      </c>
      <c r="O13" s="118">
        <v>2600</v>
      </c>
      <c r="P13" s="118">
        <v>3000</v>
      </c>
      <c r="Q13" s="118">
        <v>3400</v>
      </c>
      <c r="R13" s="118">
        <v>3800</v>
      </c>
      <c r="S13" s="118">
        <v>4200</v>
      </c>
      <c r="T13" s="118">
        <v>4600</v>
      </c>
      <c r="U13" s="118">
        <v>5400</v>
      </c>
      <c r="V13" s="118">
        <v>6200</v>
      </c>
      <c r="W13" s="118">
        <v>7000</v>
      </c>
      <c r="X13" s="118">
        <v>7800</v>
      </c>
      <c r="Y13" s="118">
        <v>8600</v>
      </c>
      <c r="AI13" s="371" t="str">
        <f>AJ13</f>
        <v/>
      </c>
      <c r="AJ13" s="248" t="str">
        <f>IF(IFERROR((1+Y13+X13+W13+V13+U13+T13+S13+R13+Q13+P13+O13+N13+M13+L13+K13+J13+I13+H13+G13+F13+E13+D13)*1, "!!!!")="!!!!","Inputs contain non-numerical data. Please check your input data!","")</f>
        <v/>
      </c>
    </row>
    <row r="14" spans="1:36" s="44" customFormat="1" ht="22.35" customHeight="1">
      <c r="B14" s="98" t="s">
        <v>287</v>
      </c>
      <c r="C14" s="99"/>
      <c r="D14" s="98"/>
      <c r="E14" s="98"/>
      <c r="F14" s="98"/>
      <c r="G14" s="98"/>
      <c r="H14" s="98"/>
      <c r="I14" s="98"/>
      <c r="J14" s="98"/>
      <c r="K14" s="98"/>
      <c r="L14" s="98"/>
      <c r="M14" s="98"/>
      <c r="N14" s="98"/>
      <c r="O14" s="98"/>
      <c r="P14" s="98"/>
      <c r="Q14" s="98"/>
      <c r="R14" s="98"/>
      <c r="S14" s="98"/>
      <c r="T14" s="98"/>
      <c r="U14" s="98"/>
      <c r="V14" s="98"/>
      <c r="W14" s="98"/>
      <c r="X14" s="98"/>
      <c r="Y14" s="98"/>
      <c r="AA14" s="1104" t="s">
        <v>288</v>
      </c>
      <c r="AB14" s="1104"/>
      <c r="AC14" s="1104"/>
      <c r="AD14" s="1104"/>
      <c r="AE14" s="1104"/>
    </row>
    <row r="15" spans="1:36" s="44" customFormat="1" ht="22.35" customHeight="1">
      <c r="B15" s="101" t="s">
        <v>289</v>
      </c>
      <c r="C15" s="100" t="s">
        <v>290</v>
      </c>
      <c r="D15" s="118"/>
      <c r="E15" s="118"/>
      <c r="F15" s="118"/>
      <c r="G15" s="118"/>
      <c r="H15" s="118"/>
      <c r="I15" s="118"/>
      <c r="J15" s="118"/>
      <c r="K15" s="118"/>
      <c r="L15" s="118"/>
      <c r="M15" s="118"/>
      <c r="N15" s="118"/>
      <c r="O15" s="118"/>
      <c r="P15" s="118"/>
      <c r="Q15" s="118"/>
      <c r="R15" s="118"/>
      <c r="S15" s="118">
        <v>200</v>
      </c>
      <c r="T15" s="118"/>
      <c r="U15" s="118"/>
      <c r="V15" s="118"/>
      <c r="W15" s="118"/>
      <c r="X15" s="118"/>
      <c r="Y15" s="118"/>
      <c r="AA15" s="249" t="s">
        <v>291</v>
      </c>
      <c r="AB15" s="249"/>
      <c r="AC15" s="249"/>
      <c r="AD15" s="250" t="s">
        <v>113</v>
      </c>
      <c r="AE15" s="120">
        <f>SUMPRODUCT(D15:Y15,$D$13:$Y$13)</f>
        <v>840000</v>
      </c>
      <c r="AI15" s="371" t="str">
        <f>AJ15</f>
        <v/>
      </c>
      <c r="AJ15" s="248" t="str">
        <f>IF(IFERROR((1+Y15+X15+W15+V15+U15+T15+S15+R15+Q15+P15+O15+N15+M15+L15+K15+J15+I15+H15+G15+F15+E15+D15)*1, "!!!!")="!!!!","Inputs contain non-numerical data. Please check your input data!","")</f>
        <v/>
      </c>
    </row>
    <row r="16" spans="1:36" s="44" customFormat="1" ht="31.35" customHeight="1">
      <c r="B16" s="102" t="s">
        <v>292</v>
      </c>
      <c r="C16" s="103" t="s">
        <v>290</v>
      </c>
      <c r="D16" s="119"/>
      <c r="E16" s="119"/>
      <c r="F16" s="119"/>
      <c r="G16" s="119"/>
      <c r="H16" s="119"/>
      <c r="I16" s="119"/>
      <c r="J16" s="119"/>
      <c r="K16" s="119"/>
      <c r="L16" s="119"/>
      <c r="M16" s="119"/>
      <c r="N16" s="119"/>
      <c r="O16" s="119"/>
      <c r="P16" s="119"/>
      <c r="Q16" s="119"/>
      <c r="R16" s="119"/>
      <c r="S16" s="119">
        <v>20</v>
      </c>
      <c r="T16" s="119"/>
      <c r="U16" s="119"/>
      <c r="V16" s="119"/>
      <c r="W16" s="119"/>
      <c r="X16" s="119"/>
      <c r="Y16" s="119"/>
      <c r="AA16" s="249" t="s">
        <v>293</v>
      </c>
      <c r="AB16" s="249"/>
      <c r="AC16" s="249"/>
      <c r="AD16" s="250" t="s">
        <v>113</v>
      </c>
      <c r="AE16" s="120">
        <f>SUMPRODUCT(D16:Y16,$D$13:$Y$13)</f>
        <v>84000</v>
      </c>
      <c r="AI16" s="371" t="str">
        <f>AJ16</f>
        <v/>
      </c>
      <c r="AJ16" s="248" t="str">
        <f>IF(IFERROR((1+Y16+X16+W16+V16+U16+T16+S16+R16+Q16+P16+O16+N16+M16+L16+K16+J16+I16+H16+G16+F16+E16+D16)*1, "!!!!")="!!!!","Inputs contain non-numerical data. Please check your input data!","")</f>
        <v/>
      </c>
    </row>
    <row r="17" spans="1:54" s="44" customFormat="1" ht="22.35" customHeight="1">
      <c r="B17" s="101" t="s">
        <v>294</v>
      </c>
      <c r="C17" s="100" t="s">
        <v>290</v>
      </c>
      <c r="D17" s="118"/>
      <c r="E17" s="118"/>
      <c r="F17" s="118"/>
      <c r="G17" s="118"/>
      <c r="H17" s="118"/>
      <c r="I17" s="118"/>
      <c r="J17" s="118"/>
      <c r="K17" s="118"/>
      <c r="L17" s="118"/>
      <c r="M17" s="118"/>
      <c r="N17" s="118"/>
      <c r="O17" s="118"/>
      <c r="P17" s="118"/>
      <c r="Q17" s="118"/>
      <c r="R17" s="118"/>
      <c r="S17" s="118">
        <v>30</v>
      </c>
      <c r="T17" s="118"/>
      <c r="U17" s="118"/>
      <c r="V17" s="118"/>
      <c r="W17" s="118"/>
      <c r="X17" s="118"/>
      <c r="Y17" s="118"/>
      <c r="AA17" s="249" t="s">
        <v>295</v>
      </c>
      <c r="AB17" s="249"/>
      <c r="AC17" s="249"/>
      <c r="AD17" s="250" t="s">
        <v>113</v>
      </c>
      <c r="AE17" s="120">
        <f>SUMPRODUCT(D17:Y17,$D$13:$Y$13)</f>
        <v>126000</v>
      </c>
      <c r="AI17" s="371" t="str">
        <f>AJ17</f>
        <v/>
      </c>
      <c r="AJ17" s="248" t="str">
        <f>IF(IFERROR((1+Y17+X17+W17+V17+U17+T17+S17+R17+Q17+P17+O17+N17+M17+L17+K17+J17+I17+H17+G17+F17+E17+D17)*1, "!!!!")="!!!!","Inputs contain non-numerical data. Please check your input data!","")</f>
        <v/>
      </c>
    </row>
    <row r="18" spans="1:54" s="44" customFormat="1" ht="22.35" customHeight="1">
      <c r="B18" s="105" t="s">
        <v>296</v>
      </c>
      <c r="C18" s="103" t="s">
        <v>290</v>
      </c>
      <c r="D18" s="120">
        <f>SUM(D15:D17)</f>
        <v>0</v>
      </c>
      <c r="E18" s="120">
        <f t="shared" ref="E18:Y18" si="0">SUM(E15:E17)</f>
        <v>0</v>
      </c>
      <c r="F18" s="120">
        <f t="shared" si="0"/>
        <v>0</v>
      </c>
      <c r="G18" s="120">
        <f t="shared" si="0"/>
        <v>0</v>
      </c>
      <c r="H18" s="120">
        <f t="shared" si="0"/>
        <v>0</v>
      </c>
      <c r="I18" s="120">
        <f t="shared" si="0"/>
        <v>0</v>
      </c>
      <c r="J18" s="120">
        <f t="shared" si="0"/>
        <v>0</v>
      </c>
      <c r="K18" s="120">
        <f t="shared" si="0"/>
        <v>0</v>
      </c>
      <c r="L18" s="120">
        <f t="shared" si="0"/>
        <v>0</v>
      </c>
      <c r="M18" s="120">
        <f t="shared" si="0"/>
        <v>0</v>
      </c>
      <c r="N18" s="120">
        <f t="shared" si="0"/>
        <v>0</v>
      </c>
      <c r="O18" s="120">
        <f t="shared" si="0"/>
        <v>0</v>
      </c>
      <c r="P18" s="120">
        <f t="shared" si="0"/>
        <v>0</v>
      </c>
      <c r="Q18" s="120">
        <f t="shared" si="0"/>
        <v>0</v>
      </c>
      <c r="R18" s="120">
        <f t="shared" si="0"/>
        <v>0</v>
      </c>
      <c r="S18" s="120">
        <f t="shared" si="0"/>
        <v>250</v>
      </c>
      <c r="T18" s="120">
        <f t="shared" si="0"/>
        <v>0</v>
      </c>
      <c r="U18" s="120">
        <f t="shared" si="0"/>
        <v>0</v>
      </c>
      <c r="V18" s="120">
        <f t="shared" si="0"/>
        <v>0</v>
      </c>
      <c r="W18" s="120">
        <f t="shared" si="0"/>
        <v>0</v>
      </c>
      <c r="X18" s="120">
        <f t="shared" si="0"/>
        <v>0</v>
      </c>
      <c r="Y18" s="120">
        <f t="shared" si="0"/>
        <v>0</v>
      </c>
      <c r="AA18" s="249" t="str">
        <f>B18</f>
        <v>Total pipe length within system boundary: Contractor 1</v>
      </c>
      <c r="AB18" s="249"/>
      <c r="AC18" s="249"/>
      <c r="AD18" s="250" t="s">
        <v>113</v>
      </c>
      <c r="AE18" s="120">
        <f>SUMPRODUCT(D18:Y18,$D$13:$Y$13)</f>
        <v>1050000</v>
      </c>
      <c r="AI18" s="371" t="str">
        <f>AJ18</f>
        <v/>
      </c>
      <c r="AJ18" s="248" t="str">
        <f>IF(IFERROR((1+Y18+X18+W18+V18+U18+T18+S18+R18+Q18+P18+O18+N18+M18+L18+K18+J18+I18+H18+G18+F18+E18+D18)*1, "!!!!")="!!!!","Inputs contain non-numerical data. Please check your input data!","")</f>
        <v/>
      </c>
    </row>
    <row r="19" spans="1:54" s="44" customFormat="1" ht="22.35" customHeight="1">
      <c r="B19" s="106" t="s">
        <v>297</v>
      </c>
      <c r="C19" s="100" t="s">
        <v>113</v>
      </c>
      <c r="D19" s="121">
        <f t="shared" ref="D19:Y19" si="1">SUM(D15:D17)*D13</f>
        <v>0</v>
      </c>
      <c r="E19" s="121">
        <f t="shared" si="1"/>
        <v>0</v>
      </c>
      <c r="F19" s="121">
        <f t="shared" si="1"/>
        <v>0</v>
      </c>
      <c r="G19" s="121">
        <f t="shared" si="1"/>
        <v>0</v>
      </c>
      <c r="H19" s="121">
        <f t="shared" si="1"/>
        <v>0</v>
      </c>
      <c r="I19" s="121">
        <f t="shared" si="1"/>
        <v>0</v>
      </c>
      <c r="J19" s="121">
        <f t="shared" si="1"/>
        <v>0</v>
      </c>
      <c r="K19" s="121">
        <f t="shared" si="1"/>
        <v>0</v>
      </c>
      <c r="L19" s="121">
        <f t="shared" si="1"/>
        <v>0</v>
      </c>
      <c r="M19" s="121">
        <f t="shared" si="1"/>
        <v>0</v>
      </c>
      <c r="N19" s="121">
        <f t="shared" si="1"/>
        <v>0</v>
      </c>
      <c r="O19" s="121">
        <f t="shared" si="1"/>
        <v>0</v>
      </c>
      <c r="P19" s="121">
        <f t="shared" si="1"/>
        <v>0</v>
      </c>
      <c r="Q19" s="121">
        <f t="shared" si="1"/>
        <v>0</v>
      </c>
      <c r="R19" s="121">
        <f t="shared" si="1"/>
        <v>0</v>
      </c>
      <c r="S19" s="121">
        <f>SUM(S15:S17)*S13</f>
        <v>1050000</v>
      </c>
      <c r="T19" s="121">
        <f t="shared" si="1"/>
        <v>0</v>
      </c>
      <c r="U19" s="121">
        <f t="shared" si="1"/>
        <v>0</v>
      </c>
      <c r="V19" s="121">
        <f t="shared" si="1"/>
        <v>0</v>
      </c>
      <c r="W19" s="121">
        <f t="shared" si="1"/>
        <v>0</v>
      </c>
      <c r="X19" s="121">
        <f t="shared" si="1"/>
        <v>0</v>
      </c>
      <c r="Y19" s="121">
        <f t="shared" si="1"/>
        <v>0</v>
      </c>
      <c r="AA19" s="112" t="s">
        <v>298</v>
      </c>
      <c r="AB19" s="112"/>
      <c r="AC19" s="112"/>
      <c r="AD19" s="113" t="s">
        <v>113</v>
      </c>
      <c r="AE19" s="122">
        <f>SUM(AE15:AE17)</f>
        <v>1050000</v>
      </c>
      <c r="AI19" s="371" t="str">
        <f>AJ19</f>
        <v/>
      </c>
      <c r="AJ19" s="248" t="str">
        <f>IF(IFERROR((1+Y19+X19+W19+V19+U19+T19+S19+R19+Q19+P19+O19+N19+M19+L19+K19+J19+I19+H19+G19+F19+E19+D19)*1, "!!!!")="!!!!","Inputs contain non-numerical data. Please check your input data!","")</f>
        <v/>
      </c>
    </row>
    <row r="20" spans="1:54" s="44" customFormat="1" ht="22.35" customHeight="1">
      <c r="B20" s="107" t="s">
        <v>299</v>
      </c>
      <c r="C20" s="108"/>
      <c r="D20" s="109"/>
      <c r="E20" s="109"/>
      <c r="F20" s="109"/>
      <c r="G20" s="109"/>
      <c r="H20" s="109"/>
      <c r="I20" s="109"/>
      <c r="J20" s="109"/>
      <c r="K20" s="109"/>
      <c r="L20" s="109"/>
      <c r="M20" s="109"/>
      <c r="N20" s="109"/>
      <c r="O20" s="109"/>
      <c r="P20" s="109"/>
      <c r="Q20" s="109"/>
      <c r="R20" s="109"/>
      <c r="S20" s="109"/>
      <c r="T20" s="109"/>
      <c r="U20" s="109"/>
      <c r="V20" s="109"/>
      <c r="W20" s="109"/>
      <c r="X20" s="109"/>
      <c r="Y20" s="109"/>
    </row>
    <row r="21" spans="1:54" s="44" customFormat="1" ht="22.35" customHeight="1">
      <c r="B21" s="106" t="s">
        <v>283</v>
      </c>
      <c r="C21" s="110" t="s">
        <v>284</v>
      </c>
      <c r="D21" s="110">
        <v>20</v>
      </c>
      <c r="E21" s="110">
        <v>25</v>
      </c>
      <c r="F21" s="110">
        <v>32</v>
      </c>
      <c r="G21" s="110">
        <v>40</v>
      </c>
      <c r="H21" s="110">
        <v>50</v>
      </c>
      <c r="I21" s="110">
        <v>65</v>
      </c>
      <c r="J21" s="110">
        <v>80</v>
      </c>
      <c r="K21" s="110">
        <v>100</v>
      </c>
      <c r="L21" s="110">
        <v>125</v>
      </c>
      <c r="M21" s="110">
        <v>150</v>
      </c>
      <c r="N21" s="110">
        <v>200</v>
      </c>
      <c r="O21" s="110">
        <v>250</v>
      </c>
      <c r="P21" s="110">
        <v>300</v>
      </c>
      <c r="Q21" s="110">
        <v>350</v>
      </c>
      <c r="R21" s="110">
        <v>400</v>
      </c>
      <c r="S21" s="110">
        <v>450</v>
      </c>
      <c r="T21" s="110">
        <v>500</v>
      </c>
      <c r="U21" s="110">
        <v>600</v>
      </c>
      <c r="V21" s="110">
        <v>700</v>
      </c>
      <c r="W21" s="110">
        <v>800</v>
      </c>
      <c r="X21" s="110">
        <v>900</v>
      </c>
      <c r="Y21" s="110">
        <v>1000</v>
      </c>
    </row>
    <row r="22" spans="1:54" s="44" customFormat="1" ht="22.35" customHeight="1">
      <c r="A22" s="94"/>
      <c r="B22" s="111" t="s">
        <v>285</v>
      </c>
      <c r="C22" s="103" t="s">
        <v>286</v>
      </c>
      <c r="D22" s="104">
        <v>760</v>
      </c>
      <c r="E22" s="104">
        <v>800</v>
      </c>
      <c r="F22" s="104">
        <v>856</v>
      </c>
      <c r="G22" s="104">
        <v>920</v>
      </c>
      <c r="H22" s="104">
        <v>1000</v>
      </c>
      <c r="I22" s="104">
        <v>1120</v>
      </c>
      <c r="J22" s="104">
        <v>1240</v>
      </c>
      <c r="K22" s="104">
        <v>1400</v>
      </c>
      <c r="L22" s="104">
        <v>1600</v>
      </c>
      <c r="M22" s="104">
        <v>1800</v>
      </c>
      <c r="N22" s="104">
        <v>2200</v>
      </c>
      <c r="O22" s="104">
        <v>2600</v>
      </c>
      <c r="P22" s="104">
        <v>3000</v>
      </c>
      <c r="Q22" s="104">
        <v>3400</v>
      </c>
      <c r="R22" s="104">
        <v>3800</v>
      </c>
      <c r="S22" s="104">
        <v>4200</v>
      </c>
      <c r="T22" s="104">
        <v>4600</v>
      </c>
      <c r="U22" s="104">
        <v>5400</v>
      </c>
      <c r="V22" s="104">
        <v>6200</v>
      </c>
      <c r="W22" s="104">
        <v>7000</v>
      </c>
      <c r="X22" s="104">
        <v>7800</v>
      </c>
      <c r="Y22" s="104">
        <v>8600</v>
      </c>
      <c r="AI22" s="371" t="str">
        <f>AJ22</f>
        <v/>
      </c>
      <c r="AJ22" s="248" t="str">
        <f>IF(IFERROR((1+Y22+X22+W22+V22+U22+T22+S22+R22+Q22+P22+O22+N22+M22+L22+K22+J22+I22+H22+G22+F22+E22+D22)*1, "!!!!")="!!!!","Inputs contain non-numerical data. Please check your input data!","")</f>
        <v/>
      </c>
    </row>
    <row r="23" spans="1:54" s="44" customFormat="1" ht="22.35" customHeight="1">
      <c r="B23" s="106" t="s">
        <v>300</v>
      </c>
      <c r="C23" s="110"/>
      <c r="D23" s="106"/>
      <c r="E23" s="106"/>
      <c r="F23" s="106"/>
      <c r="G23" s="106"/>
      <c r="H23" s="106"/>
      <c r="I23" s="106"/>
      <c r="J23" s="106"/>
      <c r="K23" s="106"/>
      <c r="L23" s="106"/>
      <c r="M23" s="106"/>
      <c r="N23" s="106"/>
      <c r="O23" s="106"/>
      <c r="P23" s="106"/>
      <c r="Q23" s="106"/>
      <c r="R23" s="106"/>
      <c r="S23" s="106"/>
      <c r="T23" s="106"/>
      <c r="U23" s="106"/>
      <c r="V23" s="106"/>
      <c r="W23" s="106"/>
      <c r="X23" s="106"/>
      <c r="Y23" s="106"/>
      <c r="AA23" s="1104" t="s">
        <v>288</v>
      </c>
      <c r="AB23" s="1104"/>
      <c r="AC23" s="1104"/>
      <c r="AD23" s="1104"/>
      <c r="AE23" s="1104"/>
    </row>
    <row r="24" spans="1:54" s="44" customFormat="1" ht="31.35" customHeight="1">
      <c r="B24" s="114" t="s">
        <v>301</v>
      </c>
      <c r="C24" s="103" t="s">
        <v>290</v>
      </c>
      <c r="D24" s="119"/>
      <c r="E24" s="119"/>
      <c r="F24" s="119"/>
      <c r="G24" s="119"/>
      <c r="H24" s="119"/>
      <c r="I24" s="119"/>
      <c r="J24" s="119"/>
      <c r="K24" s="119"/>
      <c r="L24" s="119"/>
      <c r="M24" s="119"/>
      <c r="N24" s="119"/>
      <c r="O24" s="119"/>
      <c r="P24" s="119"/>
      <c r="Q24" s="119"/>
      <c r="R24" s="119"/>
      <c r="S24" s="119">
        <v>30</v>
      </c>
      <c r="T24" s="119"/>
      <c r="U24" s="119"/>
      <c r="V24" s="119"/>
      <c r="W24" s="119"/>
      <c r="X24" s="119"/>
      <c r="Y24" s="119"/>
      <c r="AA24" s="249" t="s">
        <v>302</v>
      </c>
      <c r="AB24" s="249"/>
      <c r="AC24" s="249"/>
      <c r="AD24" s="250" t="s">
        <v>113</v>
      </c>
      <c r="AE24" s="120">
        <f>SUMPRODUCT(D24:Y24,$D$13:$Y$13)</f>
        <v>126000</v>
      </c>
      <c r="AI24" s="371" t="str">
        <f>AJ24</f>
        <v/>
      </c>
      <c r="AJ24" s="248" t="str">
        <f>IF(IFERROR((1+Y24+X24+W24+V24+U24+T24+S24+R24+Q24+P24+O24+N24+M24+L24+K24+J24+I24+H24+G24+F24+E24+D24)*1, "!!!!")="!!!!","Inputs contain non-numerical data. Please check your input data!","")</f>
        <v/>
      </c>
    </row>
    <row r="25" spans="1:54" s="44" customFormat="1" ht="22.35" customHeight="1">
      <c r="B25" s="112" t="s">
        <v>303</v>
      </c>
      <c r="C25" s="113" t="s">
        <v>113</v>
      </c>
      <c r="D25" s="122">
        <f t="shared" ref="D25:Y25" si="2">SUM(D24:D24)*D22</f>
        <v>0</v>
      </c>
      <c r="E25" s="122">
        <f t="shared" si="2"/>
        <v>0</v>
      </c>
      <c r="F25" s="122">
        <f t="shared" si="2"/>
        <v>0</v>
      </c>
      <c r="G25" s="122">
        <f t="shared" si="2"/>
        <v>0</v>
      </c>
      <c r="H25" s="122">
        <f t="shared" si="2"/>
        <v>0</v>
      </c>
      <c r="I25" s="122">
        <f t="shared" si="2"/>
        <v>0</v>
      </c>
      <c r="J25" s="122">
        <f t="shared" si="2"/>
        <v>0</v>
      </c>
      <c r="K25" s="122">
        <f t="shared" si="2"/>
        <v>0</v>
      </c>
      <c r="L25" s="122">
        <f t="shared" si="2"/>
        <v>0</v>
      </c>
      <c r="M25" s="122">
        <f t="shared" si="2"/>
        <v>0</v>
      </c>
      <c r="N25" s="122">
        <f t="shared" si="2"/>
        <v>0</v>
      </c>
      <c r="O25" s="122">
        <f t="shared" si="2"/>
        <v>0</v>
      </c>
      <c r="P25" s="122">
        <f t="shared" si="2"/>
        <v>0</v>
      </c>
      <c r="Q25" s="122">
        <f t="shared" si="2"/>
        <v>0</v>
      </c>
      <c r="R25" s="122">
        <f t="shared" si="2"/>
        <v>0</v>
      </c>
      <c r="S25" s="122">
        <f>SUM(S24:S24)*S22</f>
        <v>126000</v>
      </c>
      <c r="T25" s="122">
        <f t="shared" si="2"/>
        <v>0</v>
      </c>
      <c r="U25" s="122">
        <f t="shared" si="2"/>
        <v>0</v>
      </c>
      <c r="V25" s="122">
        <f t="shared" si="2"/>
        <v>0</v>
      </c>
      <c r="W25" s="122">
        <f t="shared" si="2"/>
        <v>0</v>
      </c>
      <c r="X25" s="122">
        <f t="shared" si="2"/>
        <v>0</v>
      </c>
      <c r="Y25" s="122">
        <f t="shared" si="2"/>
        <v>0</v>
      </c>
      <c r="AA25" s="98" t="s">
        <v>298</v>
      </c>
      <c r="AB25" s="98"/>
      <c r="AC25" s="98"/>
      <c r="AD25" s="99" t="s">
        <v>113</v>
      </c>
      <c r="AE25" s="120">
        <f>SUM(AE24:AE24)</f>
        <v>126000</v>
      </c>
      <c r="AI25" s="371" t="str">
        <f>AJ25</f>
        <v/>
      </c>
      <c r="AJ25" s="248" t="str">
        <f>IF(IFERROR((1+Y25+X25+W25+V25+U25+T25+S25+R25+Q25+P25+O25+N25+M25+L25+K25+J25+I25+H25+G25+F25+E25+D25)*1, "!!!!")="!!!!","Inputs contain non-numerical data. Please check your input data!","")</f>
        <v/>
      </c>
    </row>
    <row r="26" spans="1:54" s="44" customFormat="1"/>
    <row r="27" spans="1:54" s="44" customFormat="1">
      <c r="D27" s="95"/>
      <c r="E27" s="95"/>
      <c r="F27" s="95"/>
      <c r="G27" s="95"/>
      <c r="H27" s="95"/>
      <c r="I27" s="95"/>
      <c r="J27" s="95"/>
      <c r="K27" s="95"/>
      <c r="L27" s="95"/>
      <c r="M27" s="95"/>
      <c r="N27" s="95"/>
      <c r="O27" s="95"/>
      <c r="P27" s="95"/>
      <c r="Q27" s="95"/>
      <c r="R27" s="95"/>
      <c r="S27" s="95"/>
      <c r="T27" s="95"/>
      <c r="U27" s="95"/>
      <c r="V27" s="95"/>
      <c r="W27" s="95"/>
      <c r="X27" s="95"/>
      <c r="Y27" s="95"/>
    </row>
    <row r="28" spans="1:54" s="44" customFormat="1">
      <c r="D28" s="95"/>
      <c r="E28" s="95"/>
      <c r="F28" s="95"/>
      <c r="G28" s="95"/>
      <c r="H28" s="95"/>
      <c r="I28" s="95"/>
      <c r="J28" s="95"/>
      <c r="K28" s="95"/>
      <c r="L28" s="95"/>
      <c r="M28" s="95"/>
      <c r="N28" s="95"/>
      <c r="O28" s="95"/>
      <c r="P28" s="95"/>
      <c r="Q28" s="95"/>
      <c r="R28" s="95"/>
      <c r="S28" s="95"/>
      <c r="T28" s="95"/>
      <c r="U28" s="95"/>
      <c r="V28" s="95"/>
      <c r="W28" s="95"/>
      <c r="X28" s="95"/>
      <c r="Y28" s="95"/>
    </row>
    <row r="29" spans="1:54" s="44" customFormat="1">
      <c r="D29" s="95"/>
      <c r="E29" s="95"/>
      <c r="F29" s="95"/>
      <c r="G29" s="95"/>
      <c r="H29" s="95"/>
      <c r="I29" s="95"/>
      <c r="J29" s="95"/>
      <c r="K29" s="95"/>
      <c r="L29" s="95"/>
      <c r="M29" s="95"/>
      <c r="N29" s="95"/>
      <c r="O29" s="95"/>
      <c r="P29" s="95"/>
      <c r="Q29" s="95"/>
      <c r="R29" s="95"/>
      <c r="S29" s="95"/>
      <c r="T29" s="95"/>
      <c r="U29" s="95"/>
      <c r="V29" s="95"/>
      <c r="W29" s="95"/>
      <c r="X29" s="95"/>
      <c r="Y29" s="95"/>
    </row>
    <row r="30" spans="1:54" ht="24" customHeight="1">
      <c r="A30" s="44"/>
      <c r="B30" s="1107" t="str">
        <f>B11</f>
        <v>Contractor 1 (district heating operator)</v>
      </c>
      <c r="C30" s="1107"/>
      <c r="D30" s="1107"/>
      <c r="E30" s="1107"/>
      <c r="F30" s="1107"/>
      <c r="G30" s="1107"/>
      <c r="H30" s="1107"/>
      <c r="I30" s="1107"/>
      <c r="J30" s="1107"/>
      <c r="K30" s="1107"/>
      <c r="L30" s="1107"/>
      <c r="M30" s="1107"/>
      <c r="N30" s="1107"/>
      <c r="O30" s="1107"/>
      <c r="P30" s="1107"/>
      <c r="Q30" s="1107"/>
      <c r="R30" s="1107"/>
      <c r="S30" s="1107"/>
      <c r="T30" s="1107"/>
      <c r="U30" s="115"/>
      <c r="V30" s="115"/>
      <c r="W30" s="115"/>
      <c r="X30" s="115"/>
      <c r="Y30" s="115"/>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row>
    <row r="31" spans="1:54" s="44" customFormat="1" ht="15" customHeight="1"/>
    <row r="32" spans="1:54" s="44" customFormat="1" ht="15" customHeight="1"/>
    <row r="33" s="44" customFormat="1" ht="15" customHeight="1"/>
    <row r="34" s="44" customFormat="1" ht="15" customHeight="1"/>
    <row r="35" s="44" customFormat="1" ht="15" customHeight="1"/>
    <row r="36" s="44" customFormat="1" ht="15" customHeight="1"/>
    <row r="37" s="44" customFormat="1" ht="15" customHeight="1"/>
    <row r="38" s="44" customFormat="1" ht="15" customHeight="1"/>
    <row r="39" s="44" customFormat="1" ht="15" customHeight="1"/>
    <row r="40" s="44" customFormat="1" ht="15" customHeight="1"/>
    <row r="41" s="44" customFormat="1" ht="15" customHeight="1"/>
    <row r="42" s="44" customFormat="1" ht="15" customHeight="1"/>
    <row r="43" s="44" customFormat="1" ht="15" customHeight="1"/>
    <row r="44" s="44" customFormat="1" ht="15" customHeight="1"/>
    <row r="45" s="44" customFormat="1" ht="15" customHeight="1"/>
    <row r="46" s="44" customFormat="1" ht="15" customHeight="1"/>
    <row r="47" s="44" customFormat="1" ht="15" customHeight="1"/>
    <row r="48" s="44" customFormat="1" ht="15" customHeight="1"/>
    <row r="49" spans="2:25" s="44" customFormat="1" ht="15" customHeight="1"/>
    <row r="50" spans="2:25" s="44" customFormat="1" ht="24.6" customHeight="1">
      <c r="B50" s="1103" t="str">
        <f>B20</f>
        <v>Contractor 2 (data centre operator)</v>
      </c>
      <c r="C50" s="1103"/>
      <c r="D50" s="1103"/>
      <c r="E50" s="1103"/>
      <c r="F50" s="1103"/>
      <c r="G50" s="1103"/>
      <c r="H50" s="1103"/>
      <c r="I50" s="1103"/>
      <c r="J50" s="1103"/>
      <c r="K50" s="1103"/>
      <c r="L50" s="1103"/>
      <c r="M50" s="1103"/>
      <c r="N50" s="1103"/>
      <c r="O50" s="1103"/>
      <c r="P50" s="1103"/>
      <c r="Q50" s="1103"/>
      <c r="R50" s="1103"/>
      <c r="S50" s="1103"/>
      <c r="T50" s="1103"/>
      <c r="U50" s="115"/>
      <c r="V50" s="115"/>
      <c r="W50" s="115"/>
      <c r="X50" s="115"/>
      <c r="Y50" s="115"/>
    </row>
    <row r="51" spans="2:25" s="44" customFormat="1" ht="15" customHeight="1"/>
    <row r="52" spans="2:25" s="44" customFormat="1" ht="15" customHeight="1"/>
    <row r="53" spans="2:25" s="44" customFormat="1" ht="15" customHeight="1"/>
    <row r="54" spans="2:25" s="44" customFormat="1" ht="15" customHeight="1"/>
    <row r="55" spans="2:25" s="44" customFormat="1" ht="15" customHeight="1"/>
    <row r="56" spans="2:25" s="44" customFormat="1" ht="15" customHeight="1"/>
    <row r="57" spans="2:25" s="44" customFormat="1" ht="15" customHeight="1"/>
    <row r="58" spans="2:25" s="44" customFormat="1" ht="15" customHeight="1"/>
    <row r="59" spans="2:25" s="44" customFormat="1" ht="15" customHeight="1"/>
    <row r="60" spans="2:25" s="44" customFormat="1" ht="15" customHeight="1"/>
    <row r="61" spans="2:25" s="44" customFormat="1" ht="15" customHeight="1"/>
    <row r="62" spans="2:25" s="44" customFormat="1" ht="15" customHeight="1"/>
    <row r="63" spans="2:25" s="44" customFormat="1" ht="15" customHeight="1"/>
    <row r="64" spans="2:25" s="44" customFormat="1" ht="15" customHeight="1"/>
    <row r="65" spans="5:5" s="44" customFormat="1" ht="15" customHeight="1"/>
    <row r="66" spans="5:5" s="44" customFormat="1" ht="15" customHeight="1"/>
    <row r="67" spans="5:5" s="44" customFormat="1" ht="15" customHeight="1"/>
    <row r="68" spans="5:5" s="44" customFormat="1" ht="15" customHeight="1"/>
    <row r="69" spans="5:5" s="44" customFormat="1" ht="15" customHeight="1"/>
    <row r="70" spans="5:5" s="44" customFormat="1" ht="15" customHeight="1"/>
    <row r="71" spans="5:5" s="44" customFormat="1" ht="15" customHeight="1"/>
    <row r="72" spans="5:5" s="44" customFormat="1" ht="15" customHeight="1"/>
    <row r="73" spans="5:5" s="44" customFormat="1" ht="15" customHeight="1"/>
    <row r="74" spans="5:5" s="44" customFormat="1" ht="15" customHeight="1">
      <c r="E74"/>
    </row>
    <row r="75" spans="5:5" s="44" customFormat="1" ht="15" customHeight="1"/>
    <row r="76" spans="5:5" s="44" customFormat="1" ht="15" customHeight="1"/>
    <row r="77" spans="5:5" s="44" customFormat="1" ht="15" customHeight="1"/>
    <row r="78" spans="5:5" s="44" customFormat="1" ht="15" customHeight="1"/>
    <row r="79" spans="5:5" s="44" customFormat="1" ht="15" customHeight="1"/>
    <row r="80" spans="5:5" s="44" customFormat="1" ht="15" customHeight="1"/>
    <row r="81" s="44" customFormat="1" ht="15" customHeight="1"/>
    <row r="82" s="44" customFormat="1" ht="15" customHeight="1"/>
    <row r="83" s="44" customFormat="1" ht="15" customHeight="1"/>
    <row r="84" s="44" customFormat="1" ht="15" customHeight="1"/>
    <row r="85" s="44" customFormat="1" ht="15" customHeight="1"/>
    <row r="86" s="44" customFormat="1" ht="15" customHeight="1"/>
    <row r="87" s="44" customFormat="1" ht="15" customHeight="1"/>
    <row r="88" s="44" customFormat="1" ht="15" customHeight="1"/>
    <row r="89" s="44" customFormat="1" ht="15" customHeight="1"/>
    <row r="90" s="44" customFormat="1" ht="15" customHeight="1"/>
    <row r="91" s="44" customFormat="1" ht="15" customHeight="1"/>
    <row r="92" s="44" customFormat="1" ht="15" customHeight="1"/>
    <row r="93" s="44" customFormat="1" ht="15" customHeight="1"/>
    <row r="94" s="44" customFormat="1" ht="15" customHeight="1"/>
    <row r="95" s="44" customFormat="1" ht="15" customHeight="1"/>
    <row r="96" s="44" customFormat="1" ht="15" customHeight="1"/>
    <row r="97" s="44" customFormat="1" ht="15" customHeight="1"/>
    <row r="98" s="44" customFormat="1" ht="15" customHeight="1"/>
    <row r="99" s="44" customFormat="1" ht="15" customHeight="1"/>
    <row r="100" s="44" customFormat="1" ht="15" customHeight="1"/>
    <row r="101" s="44" customFormat="1" ht="15" customHeight="1"/>
    <row r="102" s="44" customFormat="1" ht="15" customHeight="1"/>
    <row r="103" s="44" customFormat="1" ht="15" customHeight="1"/>
    <row r="104" s="44" customFormat="1" ht="15" customHeight="1"/>
    <row r="105" s="44" customFormat="1" ht="15" customHeight="1"/>
    <row r="106" s="44" customFormat="1" ht="15" customHeight="1"/>
    <row r="107" s="44" customFormat="1" ht="15" customHeight="1"/>
    <row r="108" s="44" customFormat="1" ht="15" customHeight="1"/>
    <row r="109" s="44" customFormat="1" ht="15" customHeight="1"/>
    <row r="110" s="44" customFormat="1" ht="15" customHeight="1"/>
    <row r="111" s="44" customFormat="1" ht="15" customHeight="1"/>
    <row r="112" s="44" customFormat="1" ht="15" customHeight="1"/>
    <row r="113" s="44" customFormat="1" ht="15" customHeight="1"/>
    <row r="114" s="44" customFormat="1" ht="15" customHeight="1"/>
    <row r="115" s="44" customFormat="1" ht="15" customHeight="1"/>
    <row r="116" s="44" customFormat="1" ht="15" customHeight="1"/>
    <row r="117" s="44" customFormat="1" ht="15" customHeight="1"/>
    <row r="118" s="44" customFormat="1" ht="15" customHeight="1"/>
    <row r="119" s="44" customFormat="1" ht="15" customHeight="1"/>
    <row r="120" s="44" customFormat="1" ht="15" customHeight="1"/>
    <row r="121" s="44" customFormat="1" ht="15" customHeight="1"/>
    <row r="122" s="44" customFormat="1" ht="15" customHeight="1"/>
    <row r="123" s="44" customFormat="1" ht="15" customHeight="1"/>
    <row r="124" s="44" customFormat="1" ht="15" customHeight="1"/>
    <row r="125" s="44" customFormat="1" ht="15" customHeight="1"/>
    <row r="126" s="44" customFormat="1" ht="15" customHeight="1"/>
    <row r="127" s="44" customFormat="1" ht="15" customHeight="1"/>
    <row r="128" s="44" customFormat="1" ht="15" customHeight="1"/>
    <row r="129" s="44" customFormat="1" ht="15" customHeight="1"/>
    <row r="130" s="44" customFormat="1" ht="15" customHeight="1"/>
    <row r="131" s="44" customFormat="1" ht="15" customHeight="1"/>
    <row r="132" s="44" customFormat="1" ht="15" customHeight="1"/>
    <row r="133" s="44" customFormat="1" ht="15" customHeight="1"/>
    <row r="134" s="44" customFormat="1" ht="15" customHeight="1"/>
    <row r="135" s="44" customFormat="1" ht="15" customHeight="1"/>
    <row r="136" s="44" customFormat="1" ht="15" customHeight="1"/>
    <row r="137" s="44" customFormat="1" ht="15" customHeight="1"/>
    <row r="138" s="44" customFormat="1" ht="15" customHeight="1"/>
    <row r="139" s="44" customFormat="1" ht="15" customHeight="1"/>
    <row r="140" s="44" customFormat="1" ht="15" customHeight="1"/>
    <row r="141" s="44" customFormat="1" ht="15" customHeight="1"/>
    <row r="142" s="44" customFormat="1" ht="15" customHeight="1"/>
    <row r="143" s="44" customFormat="1" ht="15" customHeight="1"/>
    <row r="144" s="44" customFormat="1" ht="15" customHeight="1"/>
    <row r="145" s="44" customFormat="1" ht="15" customHeight="1"/>
    <row r="146" s="44" customFormat="1" ht="15" customHeight="1"/>
    <row r="147" s="44" customFormat="1" ht="15" customHeight="1"/>
    <row r="148" s="44" customFormat="1" ht="15" customHeight="1"/>
    <row r="149" s="44" customFormat="1" ht="15" customHeight="1"/>
  </sheetData>
  <mergeCells count="6">
    <mergeCell ref="B50:T50"/>
    <mergeCell ref="AA23:AE23"/>
    <mergeCell ref="AA14:AE14"/>
    <mergeCell ref="A1:B1"/>
    <mergeCell ref="A3:A8"/>
    <mergeCell ref="B30:T30"/>
  </mergeCells>
  <conditionalFormatting sqref="AI13">
    <cfRule type="expression" dxfId="45" priority="4">
      <formula>AJ13&lt;&gt;""</formula>
    </cfRule>
  </conditionalFormatting>
  <conditionalFormatting sqref="AI15:AI19">
    <cfRule type="expression" dxfId="44" priority="3">
      <formula>AJ15&lt;&gt;""</formula>
    </cfRule>
  </conditionalFormatting>
  <conditionalFormatting sqref="AI22">
    <cfRule type="expression" dxfId="43" priority="2">
      <formula>AJ22&lt;&gt;""</formula>
    </cfRule>
  </conditionalFormatting>
  <conditionalFormatting sqref="AI24:AI25">
    <cfRule type="expression" dxfId="42" priority="1">
      <formula>AJ24&lt;&gt;""</formula>
    </cfRule>
  </conditionalFormatting>
  <hyperlinks>
    <hyperlink ref="A1" location="Content!A1" display="Go to Content" xr:uid="{C40DEBE0-0EDE-4309-9B3A-2C23228CBD77}"/>
    <hyperlink ref="B7" location="Content!A1" display="Go to Content" xr:uid="{8F58182E-2D27-455C-94E4-597F2A887A30}"/>
    <hyperlink ref="B7:E7" location="Content!A1" display="Go to Content" xr:uid="{26F080CA-BB8D-4D18-9E4D-9D036342054F}"/>
    <hyperlink ref="A1:B1" location="Content!A1" display="Go to Content Sheet" xr:uid="{B27D8700-A3C7-47E8-95B1-5C291382B4AC}"/>
    <hyperlink ref="A13" location="'Additional Information'!B124" display="Link to additional information / German translation" xr:uid="{86B9F399-04A8-4B36-AD22-765720B93B9C}"/>
  </hyperlink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9" tint="0.79998168889431442"/>
    <outlinePr summaryBelow="0" summaryRight="0"/>
  </sheetPr>
  <dimension ref="A1:AV865"/>
  <sheetViews>
    <sheetView topLeftCell="A245" zoomScaleNormal="100" workbookViewId="0">
      <selection activeCell="D277" sqref="D277"/>
    </sheetView>
  </sheetViews>
  <sheetFormatPr baseColWidth="10" defaultColWidth="8.5703125" defaultRowHeight="15" outlineLevelRow="1" outlineLevelCol="1"/>
  <cols>
    <col min="1" max="1" width="116.140625" style="143" customWidth="1"/>
    <col min="2" max="2" width="7.85546875" style="212" bestFit="1" customWidth="1"/>
    <col min="3" max="3" width="52.5703125" style="212" customWidth="1"/>
    <col min="4" max="5" width="23.140625" style="212" customWidth="1"/>
    <col min="6" max="9" width="24" style="143" customWidth="1"/>
    <col min="10" max="10" width="24" style="143" customWidth="1" collapsed="1"/>
    <col min="11" max="24" width="24" style="143" hidden="1" customWidth="1" outlineLevel="1"/>
    <col min="25" max="25" width="30.140625" style="212" customWidth="1"/>
    <col min="26" max="26" width="23.140625" style="143" bestFit="1" customWidth="1"/>
    <col min="27" max="27" width="56.42578125" customWidth="1"/>
    <col min="28" max="28" width="3" style="395" customWidth="1"/>
    <col min="29" max="29" width="23.5703125" style="521" bestFit="1" customWidth="1"/>
    <col min="30" max="30" width="16.5703125" style="521" bestFit="1" customWidth="1"/>
    <col min="31" max="31" width="4.5703125" style="521" bestFit="1" customWidth="1"/>
    <col min="32" max="32" width="23.140625" style="196" bestFit="1" customWidth="1"/>
    <col min="33" max="33" width="8.5703125" style="196"/>
    <col min="34" max="34" width="3" style="521" customWidth="1"/>
    <col min="35" max="35" width="23.5703125" style="521" bestFit="1" customWidth="1"/>
    <col min="36" max="36" width="16.5703125" style="521" bestFit="1" customWidth="1"/>
    <col min="37" max="37" width="4.5703125" style="521" bestFit="1" customWidth="1"/>
    <col min="38" max="38" width="23.140625" style="196" bestFit="1" customWidth="1"/>
    <col min="39" max="39" width="8.5703125" style="196"/>
    <col min="40" max="40" width="3" style="521" customWidth="1"/>
    <col min="41" max="41" width="23.5703125" style="521" bestFit="1" customWidth="1"/>
    <col min="42" max="42" width="16.5703125" style="521" bestFit="1" customWidth="1"/>
    <col min="43" max="43" width="4.5703125" style="521" bestFit="1" customWidth="1"/>
    <col min="44" max="44" width="23.140625" style="196" bestFit="1" customWidth="1"/>
    <col min="45" max="48" width="8.5703125" style="196"/>
    <col min="49" max="16384" width="8.5703125" style="143"/>
  </cols>
  <sheetData>
    <row r="1" spans="1:48" s="44" customFormat="1">
      <c r="A1" s="1014" t="s">
        <v>57</v>
      </c>
      <c r="B1" s="84"/>
      <c r="C1" s="84"/>
      <c r="D1" s="84"/>
      <c r="AA1" s="5"/>
      <c r="AB1" s="5"/>
    </row>
    <row r="2" spans="1:48" s="44" customFormat="1" ht="15" customHeight="1">
      <c r="C2" s="48"/>
      <c r="AA2" s="5"/>
      <c r="AB2" s="5"/>
    </row>
    <row r="3" spans="1:48" s="44" customFormat="1" ht="15" customHeight="1" thickBot="1">
      <c r="A3" s="158" t="s">
        <v>46</v>
      </c>
      <c r="B3" s="1108" t="s">
        <v>58</v>
      </c>
      <c r="D3" s="145"/>
      <c r="AA3" s="5"/>
      <c r="AB3" s="5"/>
    </row>
    <row r="4" spans="1:48" s="44" customFormat="1" ht="15" customHeight="1" thickTop="1">
      <c r="A4" s="41" t="s">
        <v>47</v>
      </c>
      <c r="B4" s="1108"/>
      <c r="D4" s="9"/>
      <c r="AA4" s="5"/>
      <c r="AB4" s="5"/>
    </row>
    <row r="5" spans="1:48" s="44" customFormat="1" ht="15" customHeight="1">
      <c r="A5" s="155" t="s">
        <v>48</v>
      </c>
      <c r="B5" s="1108"/>
      <c r="D5" s="200"/>
      <c r="AA5" s="5"/>
      <c r="AB5" s="5"/>
    </row>
    <row r="6" spans="1:48" s="44" customFormat="1" ht="15" customHeight="1">
      <c r="A6" s="156" t="s">
        <v>49</v>
      </c>
      <c r="B6" s="1108"/>
      <c r="D6" s="201"/>
      <c r="AA6" s="5"/>
      <c r="AB6" s="5"/>
    </row>
    <row r="7" spans="1:48" s="44" customFormat="1">
      <c r="A7" s="154" t="s">
        <v>50</v>
      </c>
      <c r="B7" s="1108"/>
      <c r="D7" s="46"/>
      <c r="AA7" s="5"/>
      <c r="AB7" s="5"/>
    </row>
    <row r="8" spans="1:48" s="44" customFormat="1" ht="15" customHeight="1">
      <c r="A8" s="157" t="s">
        <v>51</v>
      </c>
      <c r="B8" s="1108"/>
      <c r="D8" s="202"/>
      <c r="AA8" s="5"/>
      <c r="AB8" s="5"/>
    </row>
    <row r="9" spans="1:48" s="44" customFormat="1" ht="15" customHeight="1">
      <c r="B9" s="1108"/>
      <c r="AA9" s="5"/>
      <c r="AB9" s="5"/>
    </row>
    <row r="10" spans="1:48" s="44" customFormat="1" ht="15" customHeight="1">
      <c r="A10" s="160" t="s">
        <v>53</v>
      </c>
      <c r="B10" s="1108"/>
      <c r="C10" s="1115" t="s">
        <v>304</v>
      </c>
      <c r="D10" s="1115"/>
      <c r="E10" s="1115"/>
      <c r="F10" s="1115"/>
      <c r="G10" s="1115"/>
      <c r="H10" s="1115"/>
      <c r="I10" s="1115"/>
      <c r="J10" s="1115"/>
      <c r="K10" s="1115"/>
      <c r="L10" s="1115"/>
      <c r="M10" s="1115"/>
      <c r="N10" s="1115"/>
      <c r="O10" s="1115"/>
      <c r="P10" s="1115"/>
      <c r="Q10" s="1115"/>
      <c r="R10" s="1115"/>
      <c r="S10" s="1115"/>
      <c r="T10" s="1115"/>
      <c r="U10" s="1115"/>
      <c r="V10" s="1115"/>
      <c r="W10" s="1115"/>
      <c r="AA10" s="5"/>
      <c r="AB10" s="5"/>
    </row>
    <row r="11" spans="1:48" s="44" customFormat="1" ht="15" customHeight="1">
      <c r="A11" s="153" t="s">
        <v>54</v>
      </c>
      <c r="B11" s="1108"/>
      <c r="D11" s="165"/>
      <c r="AA11" s="5"/>
      <c r="AB11" s="5"/>
    </row>
    <row r="12" spans="1:48" s="135" customFormat="1" ht="11.25">
      <c r="B12" s="204"/>
      <c r="C12" s="204"/>
      <c r="D12" s="204"/>
      <c r="Y12" s="204"/>
    </row>
    <row r="13" spans="1:48" s="57" customFormat="1" ht="12" customHeight="1">
      <c r="B13" s="886" t="s">
        <v>305</v>
      </c>
      <c r="C13" s="813"/>
      <c r="D13" s="813" t="s">
        <v>305</v>
      </c>
      <c r="E13" s="815">
        <v>1</v>
      </c>
      <c r="F13" s="815">
        <f>E13+1</f>
        <v>2</v>
      </c>
      <c r="G13" s="815">
        <f>F13+1</f>
        <v>3</v>
      </c>
      <c r="H13" s="815">
        <f t="shared" ref="H13:U13" si="0">G13+1</f>
        <v>4</v>
      </c>
      <c r="I13" s="815">
        <f t="shared" si="0"/>
        <v>5</v>
      </c>
      <c r="J13" s="815">
        <f t="shared" si="0"/>
        <v>6</v>
      </c>
      <c r="K13" s="815">
        <f t="shared" si="0"/>
        <v>7</v>
      </c>
      <c r="L13" s="815">
        <f t="shared" si="0"/>
        <v>8</v>
      </c>
      <c r="M13" s="815">
        <f t="shared" si="0"/>
        <v>9</v>
      </c>
      <c r="N13" s="815">
        <f t="shared" si="0"/>
        <v>10</v>
      </c>
      <c r="O13" s="815">
        <f t="shared" si="0"/>
        <v>11</v>
      </c>
      <c r="P13" s="815">
        <f t="shared" si="0"/>
        <v>12</v>
      </c>
      <c r="Q13" s="815">
        <f t="shared" si="0"/>
        <v>13</v>
      </c>
      <c r="R13" s="815">
        <f t="shared" si="0"/>
        <v>14</v>
      </c>
      <c r="S13" s="815">
        <f t="shared" si="0"/>
        <v>15</v>
      </c>
      <c r="T13" s="815">
        <f t="shared" si="0"/>
        <v>16</v>
      </c>
      <c r="U13" s="815">
        <f t="shared" si="0"/>
        <v>17</v>
      </c>
      <c r="V13" s="815">
        <f>U13+1</f>
        <v>18</v>
      </c>
      <c r="W13" s="815">
        <f>V13+1</f>
        <v>19</v>
      </c>
      <c r="X13" s="815">
        <f>W13+1</f>
        <v>20</v>
      </c>
      <c r="Y13" s="813"/>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row>
    <row r="14" spans="1:48" s="168" customFormat="1" ht="12" customHeight="1">
      <c r="A14" s="1009" t="s">
        <v>73</v>
      </c>
      <c r="B14" s="230"/>
      <c r="C14" s="654" t="s">
        <v>306</v>
      </c>
      <c r="D14" s="654" t="s">
        <v>306</v>
      </c>
      <c r="E14" s="850" t="s">
        <v>307</v>
      </c>
      <c r="F14" s="850" t="s">
        <v>308</v>
      </c>
      <c r="G14" s="850" t="s">
        <v>309</v>
      </c>
      <c r="H14" s="850" t="s">
        <v>310</v>
      </c>
      <c r="I14" s="850" t="s">
        <v>311</v>
      </c>
      <c r="J14" s="850" t="s">
        <v>312</v>
      </c>
      <c r="K14" s="850">
        <f t="shared" ref="K14:W14" si="1">K13</f>
        <v>7</v>
      </c>
      <c r="L14" s="850">
        <f t="shared" si="1"/>
        <v>8</v>
      </c>
      <c r="M14" s="850">
        <f t="shared" si="1"/>
        <v>9</v>
      </c>
      <c r="N14" s="850">
        <f t="shared" si="1"/>
        <v>10</v>
      </c>
      <c r="O14" s="850">
        <f t="shared" si="1"/>
        <v>11</v>
      </c>
      <c r="P14" s="850">
        <f t="shared" si="1"/>
        <v>12</v>
      </c>
      <c r="Q14" s="850">
        <f t="shared" si="1"/>
        <v>13</v>
      </c>
      <c r="R14" s="850">
        <f t="shared" si="1"/>
        <v>14</v>
      </c>
      <c r="S14" s="850">
        <f t="shared" si="1"/>
        <v>15</v>
      </c>
      <c r="T14" s="850">
        <f t="shared" si="1"/>
        <v>16</v>
      </c>
      <c r="U14" s="850">
        <f t="shared" si="1"/>
        <v>17</v>
      </c>
      <c r="V14" s="850">
        <f t="shared" si="1"/>
        <v>18</v>
      </c>
      <c r="W14" s="850">
        <f t="shared" si="1"/>
        <v>19</v>
      </c>
      <c r="X14" s="850" t="s">
        <v>1187</v>
      </c>
      <c r="Y14" s="654"/>
      <c r="Z14" s="241"/>
      <c r="AA14" s="135"/>
      <c r="AB14" s="241"/>
      <c r="AC14" s="241"/>
      <c r="AD14" s="241"/>
      <c r="AE14" s="241"/>
      <c r="AF14" s="241"/>
      <c r="AG14" s="241"/>
      <c r="AH14" s="241"/>
      <c r="AI14" s="241"/>
      <c r="AJ14" s="241"/>
      <c r="AK14" s="241"/>
      <c r="AL14" s="241"/>
      <c r="AM14" s="241"/>
      <c r="AN14" s="241"/>
      <c r="AO14" s="241"/>
      <c r="AP14" s="241"/>
      <c r="AQ14" s="241"/>
      <c r="AR14" s="241"/>
      <c r="AS14" s="241"/>
      <c r="AT14" s="241"/>
      <c r="AU14" s="241"/>
      <c r="AV14" s="241"/>
    </row>
    <row r="15" spans="1:48" s="57" customFormat="1" ht="12" customHeight="1">
      <c r="A15" s="1009" t="s">
        <v>73</v>
      </c>
      <c r="B15" s="204"/>
      <c r="C15" s="813" t="s">
        <v>313</v>
      </c>
      <c r="D15" s="813" t="s">
        <v>313</v>
      </c>
      <c r="E15" s="929" t="s">
        <v>314</v>
      </c>
      <c r="F15" s="929" t="s">
        <v>315</v>
      </c>
      <c r="G15" s="929" t="s">
        <v>315</v>
      </c>
      <c r="H15" s="929" t="s">
        <v>316</v>
      </c>
      <c r="I15" s="929" t="s">
        <v>316</v>
      </c>
      <c r="J15" s="929" t="s">
        <v>317</v>
      </c>
      <c r="K15" s="930"/>
      <c r="L15" s="807"/>
      <c r="M15" s="807"/>
      <c r="N15" s="807"/>
      <c r="O15" s="807"/>
      <c r="P15" s="807"/>
      <c r="Q15" s="807"/>
      <c r="R15" s="807"/>
      <c r="S15" s="807"/>
      <c r="T15" s="807"/>
      <c r="U15" s="807"/>
      <c r="V15" s="807"/>
      <c r="W15" s="807"/>
      <c r="X15" s="807"/>
      <c r="Y15" s="813" t="s">
        <v>318</v>
      </c>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row>
    <row r="16" spans="1:48" s="57" customFormat="1" ht="86.45" customHeight="1" thickBot="1">
      <c r="A16" s="1009" t="s">
        <v>73</v>
      </c>
      <c r="B16" s="204"/>
      <c r="C16" s="1123" t="s">
        <v>319</v>
      </c>
      <c r="D16" s="931"/>
      <c r="E16" s="79" t="s">
        <v>320</v>
      </c>
      <c r="F16" s="79" t="s">
        <v>321</v>
      </c>
      <c r="G16" s="79" t="s">
        <v>322</v>
      </c>
      <c r="H16" s="79" t="s">
        <v>323</v>
      </c>
      <c r="I16" s="79" t="s">
        <v>324</v>
      </c>
      <c r="J16" s="79" t="s">
        <v>325</v>
      </c>
      <c r="K16" s="932"/>
      <c r="L16" s="8"/>
      <c r="M16" s="8"/>
      <c r="N16" s="8"/>
      <c r="O16" s="8"/>
      <c r="P16" s="8"/>
      <c r="Q16" s="8"/>
      <c r="R16" s="8"/>
      <c r="S16" s="8"/>
      <c r="T16" s="8"/>
      <c r="U16" s="8"/>
      <c r="V16" s="8"/>
      <c r="W16" s="8"/>
      <c r="X16" s="8"/>
      <c r="Y16" s="931" t="s">
        <v>319</v>
      </c>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row>
    <row r="17" spans="1:48" s="57" customFormat="1" ht="12" customHeight="1" thickBot="1">
      <c r="A17" s="1010"/>
      <c r="B17" s="204"/>
      <c r="C17" s="1124"/>
      <c r="D17" s="807" t="s">
        <v>326</v>
      </c>
      <c r="E17" s="933"/>
      <c r="F17" s="933"/>
      <c r="G17" s="933"/>
      <c r="H17" s="933"/>
      <c r="I17" s="933"/>
      <c r="J17" s="933"/>
      <c r="K17" s="934"/>
      <c r="L17" s="655"/>
      <c r="M17" s="655"/>
      <c r="N17" s="655"/>
      <c r="O17" s="655"/>
      <c r="P17" s="655"/>
      <c r="Q17" s="655"/>
      <c r="R17" s="655"/>
      <c r="S17" s="655"/>
      <c r="T17" s="655"/>
      <c r="U17" s="655"/>
      <c r="V17" s="655"/>
      <c r="W17" s="655"/>
      <c r="X17" s="655"/>
      <c r="Y17" s="807" t="str">
        <f>D17</f>
        <v>Outside Temperature</v>
      </c>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row>
    <row r="18" spans="1:48" s="57" customFormat="1" ht="12" customHeight="1" thickBot="1">
      <c r="A18" s="1010"/>
      <c r="B18" s="204"/>
      <c r="C18" s="1124"/>
      <c r="D18" s="807" t="s">
        <v>327</v>
      </c>
      <c r="E18" s="933" t="s">
        <v>328</v>
      </c>
      <c r="F18" s="933" t="s">
        <v>329</v>
      </c>
      <c r="G18" s="933" t="s">
        <v>329</v>
      </c>
      <c r="H18" s="933"/>
      <c r="I18" s="933"/>
      <c r="J18" s="933"/>
      <c r="K18" s="934"/>
      <c r="L18" s="655"/>
      <c r="M18" s="655"/>
      <c r="N18" s="655"/>
      <c r="O18" s="655"/>
      <c r="P18" s="655"/>
      <c r="Q18" s="655"/>
      <c r="R18" s="655"/>
      <c r="S18" s="655"/>
      <c r="T18" s="655"/>
      <c r="U18" s="655"/>
      <c r="V18" s="655"/>
      <c r="W18" s="655"/>
      <c r="X18" s="655"/>
      <c r="Y18" s="807" t="str">
        <f t="shared" ref="Y18:Y23" si="2">D18</f>
        <v>Available waste heat</v>
      </c>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row>
    <row r="19" spans="1:48" s="57" customFormat="1" ht="12" customHeight="1" thickBot="1">
      <c r="A19" s="1010"/>
      <c r="B19" s="204"/>
      <c r="C19" s="1124"/>
      <c r="D19" s="807" t="s">
        <v>330</v>
      </c>
      <c r="E19" s="933" t="s">
        <v>331</v>
      </c>
      <c r="F19" s="933" t="s">
        <v>331</v>
      </c>
      <c r="G19" s="933" t="s">
        <v>331</v>
      </c>
      <c r="H19" s="933"/>
      <c r="I19" s="933"/>
      <c r="J19" s="933"/>
      <c r="K19" s="934"/>
      <c r="L19" s="655"/>
      <c r="M19" s="655"/>
      <c r="N19" s="655"/>
      <c r="O19" s="655"/>
      <c r="P19" s="655"/>
      <c r="Q19" s="655"/>
      <c r="R19" s="655"/>
      <c r="S19" s="655"/>
      <c r="T19" s="655"/>
      <c r="U19" s="655"/>
      <c r="V19" s="655"/>
      <c r="W19" s="655"/>
      <c r="X19" s="655"/>
      <c r="Y19" s="807" t="str">
        <f t="shared" si="2"/>
        <v>Waste heat higher than demand</v>
      </c>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row>
    <row r="20" spans="1:48" s="57" customFormat="1" ht="12" customHeight="1" thickBot="1">
      <c r="A20" s="1010"/>
      <c r="B20" s="204"/>
      <c r="C20" s="1124"/>
      <c r="D20" s="807" t="s">
        <v>332</v>
      </c>
      <c r="E20" s="933" t="s">
        <v>333</v>
      </c>
      <c r="F20" s="933" t="s">
        <v>333</v>
      </c>
      <c r="G20" s="933" t="s">
        <v>333</v>
      </c>
      <c r="H20" s="933" t="s">
        <v>333</v>
      </c>
      <c r="I20" s="933" t="s">
        <v>333</v>
      </c>
      <c r="J20" s="933"/>
      <c r="K20" s="934"/>
      <c r="L20" s="655"/>
      <c r="M20" s="655"/>
      <c r="N20" s="655"/>
      <c r="O20" s="655"/>
      <c r="P20" s="655"/>
      <c r="Q20" s="655"/>
      <c r="R20" s="655"/>
      <c r="S20" s="655"/>
      <c r="T20" s="655"/>
      <c r="U20" s="655"/>
      <c r="V20" s="655"/>
      <c r="W20" s="655"/>
      <c r="X20" s="655"/>
      <c r="Y20" s="807" t="str">
        <f t="shared" si="2"/>
        <v>Waste heat temperature</v>
      </c>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row>
    <row r="21" spans="1:48" s="57" customFormat="1" ht="12" customHeight="1" thickBot="1">
      <c r="A21" s="1010"/>
      <c r="B21" s="204"/>
      <c r="C21" s="1124"/>
      <c r="D21" s="807" t="s">
        <v>334</v>
      </c>
      <c r="E21" s="933" t="s">
        <v>328</v>
      </c>
      <c r="F21" s="933" t="s">
        <v>335</v>
      </c>
      <c r="G21" s="933" t="s">
        <v>335</v>
      </c>
      <c r="H21" s="933" t="s">
        <v>336</v>
      </c>
      <c r="I21" s="933" t="s">
        <v>336</v>
      </c>
      <c r="J21" s="933"/>
      <c r="K21" s="934"/>
      <c r="L21" s="655"/>
      <c r="M21" s="655"/>
      <c r="N21" s="655"/>
      <c r="O21" s="655"/>
      <c r="P21" s="655"/>
      <c r="Q21" s="655"/>
      <c r="R21" s="655"/>
      <c r="S21" s="655"/>
      <c r="T21" s="655"/>
      <c r="U21" s="655"/>
      <c r="V21" s="655"/>
      <c r="W21" s="655"/>
      <c r="X21" s="655"/>
      <c r="Y21" s="807" t="str">
        <f t="shared" si="2"/>
        <v>Grid temperature</v>
      </c>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row>
    <row r="22" spans="1:48" s="57" customFormat="1" ht="12" customHeight="1" thickBot="1">
      <c r="A22" s="1010"/>
      <c r="B22" s="204"/>
      <c r="C22" s="1124"/>
      <c r="D22" s="807"/>
      <c r="E22" s="933"/>
      <c r="F22" s="933"/>
      <c r="G22" s="933"/>
      <c r="H22" s="933"/>
      <c r="I22" s="933"/>
      <c r="J22" s="933"/>
      <c r="K22" s="934"/>
      <c r="L22" s="655"/>
      <c r="M22" s="655"/>
      <c r="N22" s="655"/>
      <c r="O22" s="655"/>
      <c r="P22" s="655"/>
      <c r="Q22" s="655"/>
      <c r="R22" s="655"/>
      <c r="S22" s="655"/>
      <c r="T22" s="655"/>
      <c r="U22" s="655"/>
      <c r="V22" s="655"/>
      <c r="W22" s="655"/>
      <c r="X22" s="655"/>
      <c r="Y22" s="807">
        <f t="shared" si="2"/>
        <v>0</v>
      </c>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row>
    <row r="23" spans="1:48" s="57" customFormat="1" ht="12" customHeight="1">
      <c r="A23" s="1010"/>
      <c r="B23" s="204"/>
      <c r="C23" s="1125"/>
      <c r="D23" s="807" t="s">
        <v>337</v>
      </c>
      <c r="E23" s="933" t="s">
        <v>331</v>
      </c>
      <c r="F23" s="933" t="s">
        <v>331</v>
      </c>
      <c r="G23" s="933" t="s">
        <v>331</v>
      </c>
      <c r="H23" s="933" t="s">
        <v>331</v>
      </c>
      <c r="I23" s="933" t="s">
        <v>331</v>
      </c>
      <c r="J23" s="933" t="s">
        <v>338</v>
      </c>
      <c r="K23" s="934"/>
      <c r="L23" s="655"/>
      <c r="M23" s="655"/>
      <c r="N23" s="655"/>
      <c r="O23" s="655"/>
      <c r="P23" s="655"/>
      <c r="Q23" s="655"/>
      <c r="R23" s="655"/>
      <c r="S23" s="655"/>
      <c r="T23" s="655"/>
      <c r="U23" s="655"/>
      <c r="V23" s="655"/>
      <c r="W23" s="655"/>
      <c r="X23" s="655"/>
      <c r="Y23" s="807" t="str">
        <f t="shared" si="2"/>
        <v>HP outage / maintenance</v>
      </c>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row>
    <row r="24" spans="1:48" s="57" customFormat="1" ht="12" customHeight="1">
      <c r="A24" s="1010"/>
      <c r="B24" s="204"/>
      <c r="C24" s="206"/>
      <c r="D24" s="8"/>
      <c r="E24" s="79"/>
      <c r="F24" s="79"/>
      <c r="G24" s="79"/>
      <c r="H24" s="79"/>
      <c r="I24" s="79"/>
      <c r="J24" s="79"/>
      <c r="K24" s="8"/>
      <c r="L24" s="8"/>
      <c r="M24" s="8"/>
      <c r="N24" s="8"/>
      <c r="O24" s="8"/>
      <c r="P24" s="8"/>
      <c r="Q24" s="8"/>
      <c r="R24" s="8"/>
      <c r="S24" s="8"/>
      <c r="T24" s="8"/>
      <c r="U24" s="8"/>
      <c r="V24" s="8"/>
      <c r="W24" s="8"/>
      <c r="X24" s="8"/>
      <c r="Y24" s="8"/>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35"/>
      <c r="AV24" s="135"/>
    </row>
    <row r="25" spans="1:48" s="57" customFormat="1" ht="12" customHeight="1">
      <c r="A25" s="1010"/>
      <c r="B25" s="204"/>
      <c r="C25" s="935" t="s">
        <v>339</v>
      </c>
      <c r="D25" s="936"/>
      <c r="E25" s="936"/>
      <c r="F25" s="936"/>
      <c r="G25" s="936"/>
      <c r="H25" s="936"/>
      <c r="I25" s="936"/>
      <c r="J25" s="936"/>
      <c r="K25" s="936"/>
      <c r="L25" s="936"/>
      <c r="M25" s="936"/>
      <c r="N25" s="936"/>
      <c r="O25" s="936"/>
      <c r="P25" s="936"/>
      <c r="Q25" s="936"/>
      <c r="R25" s="936"/>
      <c r="S25" s="936"/>
      <c r="T25" s="936"/>
      <c r="U25" s="936"/>
      <c r="V25" s="936"/>
      <c r="W25" s="936"/>
      <c r="X25" s="936"/>
      <c r="Y25" s="936" t="s">
        <v>339</v>
      </c>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row>
    <row r="26" spans="1:48" s="57" customFormat="1" ht="11.25">
      <c r="A26" s="1010"/>
      <c r="B26" s="204"/>
      <c r="C26" s="8"/>
      <c r="D26" s="8"/>
      <c r="E26" s="938"/>
      <c r="F26" s="938"/>
      <c r="G26" s="938"/>
      <c r="H26" s="938"/>
      <c r="I26" s="938"/>
      <c r="J26" s="938"/>
      <c r="K26" s="938"/>
      <c r="L26" s="938"/>
      <c r="M26" s="938"/>
      <c r="N26" s="938"/>
      <c r="O26" s="938"/>
      <c r="P26" s="938"/>
      <c r="Q26" s="938"/>
      <c r="R26" s="938"/>
      <c r="S26" s="938"/>
      <c r="T26" s="938"/>
      <c r="U26" s="938"/>
      <c r="V26" s="938"/>
      <c r="W26" s="938"/>
      <c r="X26" s="938"/>
      <c r="Y26" s="8">
        <f>C26</f>
        <v>0</v>
      </c>
      <c r="Z26" s="135"/>
      <c r="AA26" s="135"/>
      <c r="AC26" s="135"/>
      <c r="AD26" s="135"/>
      <c r="AE26" s="135"/>
      <c r="AF26" s="135"/>
      <c r="AG26" s="135"/>
      <c r="AH26" s="135"/>
      <c r="AI26" s="135"/>
      <c r="AJ26" s="135"/>
      <c r="AK26" s="135"/>
      <c r="AL26" s="135"/>
      <c r="AM26" s="135"/>
      <c r="AN26" s="135"/>
      <c r="AO26" s="135"/>
      <c r="AP26" s="135"/>
      <c r="AQ26" s="135"/>
      <c r="AR26" s="135"/>
      <c r="AS26" s="135"/>
      <c r="AT26" s="135"/>
      <c r="AU26" s="135"/>
      <c r="AV26" s="135"/>
    </row>
    <row r="27" spans="1:48" s="57" customFormat="1" ht="25.35" customHeight="1">
      <c r="A27" s="1009" t="s">
        <v>73</v>
      </c>
      <c r="B27" s="204"/>
      <c r="C27" s="646" t="s">
        <v>340</v>
      </c>
      <c r="D27" s="646" t="s">
        <v>341</v>
      </c>
      <c r="E27" s="647">
        <v>135</v>
      </c>
      <c r="F27" s="647">
        <v>71</v>
      </c>
      <c r="G27" s="647">
        <v>71</v>
      </c>
      <c r="H27" s="647">
        <v>60</v>
      </c>
      <c r="I27" s="647">
        <v>60</v>
      </c>
      <c r="J27" s="647">
        <v>66</v>
      </c>
      <c r="K27" s="647"/>
      <c r="L27" s="647"/>
      <c r="M27" s="647"/>
      <c r="N27" s="647"/>
      <c r="O27" s="647"/>
      <c r="P27" s="647"/>
      <c r="Q27" s="647"/>
      <c r="R27" s="647"/>
      <c r="S27" s="647"/>
      <c r="T27" s="647"/>
      <c r="U27" s="647"/>
      <c r="V27" s="647"/>
      <c r="W27" s="647"/>
      <c r="X27" s="647"/>
      <c r="Y27" s="646" t="str">
        <f>C27</f>
        <v>Electricity price auxiliary electricity (for simplicity, this price includes already grid fees, etc.).</v>
      </c>
      <c r="Z27" s="135"/>
      <c r="AA27" s="371" t="str">
        <f>AB27</f>
        <v/>
      </c>
      <c r="AB27" s="160" t="str">
        <f>IF(IFERROR((1+X27+W27+V27+U27+T27+S27+R27+Q27+P27+O27+N27+M27+L27+K27+J27+I27+H27+G27+F27+E27)*1, "!!!!")="!!!!","Inputs contain non-numerical data. Please check your input data!","")</f>
        <v/>
      </c>
      <c r="AC27" s="5"/>
      <c r="AD27" s="135"/>
      <c r="AE27" s="135"/>
      <c r="AF27" s="135"/>
      <c r="AG27" s="135"/>
      <c r="AH27" s="135"/>
      <c r="AI27" s="135"/>
      <c r="AJ27" s="135"/>
      <c r="AK27" s="135"/>
      <c r="AL27" s="135"/>
      <c r="AM27" s="135"/>
      <c r="AN27" s="135"/>
      <c r="AO27" s="135"/>
      <c r="AP27" s="135"/>
      <c r="AQ27" s="135"/>
      <c r="AR27" s="135"/>
      <c r="AS27" s="135"/>
      <c r="AT27" s="135"/>
      <c r="AU27" s="135"/>
      <c r="AV27" s="135"/>
    </row>
    <row r="28" spans="1:48" s="57" customFormat="1" ht="11.25">
      <c r="A28" s="1010"/>
      <c r="B28" s="204"/>
      <c r="C28" s="7"/>
      <c r="D28" s="7"/>
      <c r="E28" s="937"/>
      <c r="F28" s="937"/>
      <c r="G28" s="937"/>
      <c r="H28" s="937"/>
      <c r="I28" s="937"/>
      <c r="J28" s="937"/>
      <c r="K28" s="937"/>
      <c r="L28" s="937"/>
      <c r="M28" s="937"/>
      <c r="N28" s="937"/>
      <c r="O28" s="937"/>
      <c r="P28" s="937"/>
      <c r="Q28" s="937"/>
      <c r="R28" s="937"/>
      <c r="S28" s="937"/>
      <c r="T28" s="937"/>
      <c r="U28" s="937"/>
      <c r="V28" s="937"/>
      <c r="W28" s="937"/>
      <c r="X28" s="937"/>
      <c r="Y28" s="7"/>
      <c r="Z28" s="135"/>
      <c r="AA28" s="135"/>
      <c r="AB28" s="135"/>
      <c r="AC28" s="135"/>
      <c r="AD28" s="135"/>
      <c r="AE28" s="135"/>
      <c r="AF28" s="135"/>
      <c r="AG28" s="135"/>
      <c r="AH28" s="135"/>
      <c r="AI28" s="135"/>
      <c r="AJ28" s="135"/>
      <c r="AK28" s="135"/>
      <c r="AL28" s="135"/>
      <c r="AM28" s="135"/>
      <c r="AN28" s="135"/>
      <c r="AO28" s="135"/>
      <c r="AP28" s="135"/>
      <c r="AQ28" s="135"/>
      <c r="AR28" s="135"/>
      <c r="AS28" s="135"/>
      <c r="AT28" s="135"/>
      <c r="AU28" s="135"/>
      <c r="AV28" s="135"/>
    </row>
    <row r="29" spans="1:48" s="57" customFormat="1" ht="11.25">
      <c r="A29" s="1010"/>
      <c r="B29" s="204"/>
      <c r="C29" s="7"/>
      <c r="D29" s="7"/>
      <c r="E29" s="937"/>
      <c r="F29" s="937"/>
      <c r="G29" s="937"/>
      <c r="H29" s="937"/>
      <c r="I29" s="937"/>
      <c r="J29" s="937"/>
      <c r="K29" s="937"/>
      <c r="L29" s="937"/>
      <c r="M29" s="937"/>
      <c r="N29" s="937"/>
      <c r="O29" s="937"/>
      <c r="P29" s="937"/>
      <c r="Q29" s="937"/>
      <c r="R29" s="937"/>
      <c r="S29" s="937"/>
      <c r="T29" s="937"/>
      <c r="U29" s="937"/>
      <c r="V29" s="937"/>
      <c r="W29" s="937"/>
      <c r="X29" s="937"/>
      <c r="Y29" s="7"/>
      <c r="Z29" s="135"/>
      <c r="AA29" s="135"/>
      <c r="AB29" s="135"/>
      <c r="AC29" s="135"/>
      <c r="AD29" s="135"/>
      <c r="AE29" s="135"/>
      <c r="AF29" s="135"/>
      <c r="AG29" s="135"/>
      <c r="AH29" s="135"/>
      <c r="AI29" s="135"/>
      <c r="AJ29" s="135"/>
      <c r="AK29" s="135"/>
      <c r="AL29" s="135"/>
      <c r="AM29" s="135"/>
      <c r="AN29" s="135"/>
      <c r="AO29" s="135"/>
      <c r="AP29" s="135"/>
      <c r="AQ29" s="135"/>
      <c r="AR29" s="135"/>
      <c r="AS29" s="135"/>
      <c r="AT29" s="135"/>
      <c r="AU29" s="135"/>
      <c r="AV29" s="135"/>
    </row>
    <row r="30" spans="1:48" s="57" customFormat="1" ht="12" thickBot="1">
      <c r="A30" s="1010"/>
      <c r="B30" s="53"/>
      <c r="C30" s="654" t="s">
        <v>342</v>
      </c>
      <c r="D30" s="813"/>
      <c r="E30" s="813"/>
      <c r="F30" s="813"/>
      <c r="G30" s="813"/>
      <c r="H30" s="813"/>
      <c r="I30" s="813"/>
      <c r="J30" s="813"/>
      <c r="K30" s="813"/>
      <c r="L30" s="813"/>
      <c r="M30" s="813"/>
      <c r="N30" s="813"/>
      <c r="O30" s="813"/>
      <c r="P30" s="813"/>
      <c r="Q30" s="813"/>
      <c r="R30" s="813"/>
      <c r="S30" s="813"/>
      <c r="T30" s="813"/>
      <c r="U30" s="813"/>
      <c r="V30" s="813"/>
      <c r="W30" s="813"/>
      <c r="X30" s="813"/>
      <c r="Y30" s="813"/>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row>
    <row r="31" spans="1:48" s="57" customFormat="1" ht="12" thickBot="1">
      <c r="A31" s="1011"/>
      <c r="B31" s="58"/>
      <c r="C31" s="939" t="s">
        <v>343</v>
      </c>
      <c r="D31" s="944" t="s">
        <v>344</v>
      </c>
      <c r="E31" s="940"/>
      <c r="F31" s="818"/>
      <c r="G31" s="818"/>
      <c r="H31" s="818"/>
      <c r="I31" s="818"/>
      <c r="J31" s="818"/>
      <c r="K31" s="818"/>
      <c r="L31" s="818"/>
      <c r="M31" s="818"/>
      <c r="N31" s="818"/>
      <c r="O31" s="818"/>
      <c r="P31" s="818"/>
      <c r="Q31" s="818"/>
      <c r="R31" s="818"/>
      <c r="S31" s="818"/>
      <c r="T31" s="818"/>
      <c r="U31" s="818"/>
      <c r="V31" s="818"/>
      <c r="W31" s="818"/>
      <c r="X31" s="818"/>
      <c r="Y31" s="940"/>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row>
    <row r="32" spans="1:48" s="57" customFormat="1" ht="25.35" customHeight="1">
      <c r="A32" s="222"/>
      <c r="B32" s="206">
        <v>1</v>
      </c>
      <c r="C32" s="807" t="str">
        <f>E32</f>
        <v>Available waste heat (DC heat source)</v>
      </c>
      <c r="D32" s="718" t="s">
        <v>345</v>
      </c>
      <c r="E32" s="1116" t="s">
        <v>346</v>
      </c>
      <c r="F32" s="1117"/>
      <c r="G32" s="1117"/>
      <c r="H32" s="1117"/>
      <c r="I32" s="1117"/>
      <c r="J32" s="1117"/>
      <c r="K32" s="1117"/>
      <c r="L32" s="1117"/>
      <c r="M32" s="1117"/>
      <c r="N32" s="1117"/>
      <c r="O32" s="1117"/>
      <c r="P32" s="1117"/>
      <c r="Q32" s="1117"/>
      <c r="R32" s="1117"/>
      <c r="S32" s="1117"/>
      <c r="T32" s="1117"/>
      <c r="U32" s="1117"/>
      <c r="V32" s="1117"/>
      <c r="W32" s="1117"/>
      <c r="X32" s="1118"/>
      <c r="Y32" s="815" t="s">
        <v>347</v>
      </c>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row>
    <row r="33" spans="1:48" s="8" customFormat="1" ht="11.85" customHeight="1" outlineLevel="1">
      <c r="A33" s="28" t="s">
        <v>73</v>
      </c>
      <c r="B33" s="206">
        <f>B32</f>
        <v>1</v>
      </c>
      <c r="C33" s="807" t="str">
        <f>C32</f>
        <v>Available waste heat (DC heat source)</v>
      </c>
      <c r="D33" s="945"/>
      <c r="E33" s="766" t="s">
        <v>71</v>
      </c>
      <c r="F33" s="766"/>
      <c r="G33" s="766"/>
      <c r="H33" s="766"/>
      <c r="I33" s="766"/>
      <c r="J33" s="766"/>
      <c r="K33" s="766"/>
      <c r="L33" s="766"/>
      <c r="M33" s="766"/>
      <c r="N33" s="766"/>
      <c r="O33" s="766"/>
      <c r="P33" s="766"/>
      <c r="Q33" s="766"/>
      <c r="R33" s="766"/>
      <c r="S33" s="766"/>
      <c r="T33" s="766"/>
      <c r="U33" s="766"/>
      <c r="V33" s="766"/>
      <c r="W33" s="766"/>
      <c r="X33" s="766"/>
      <c r="Y33" s="655"/>
      <c r="Z33" s="7"/>
      <c r="AA33" s="7"/>
      <c r="AB33" s="7"/>
      <c r="AC33" s="7"/>
      <c r="AD33" s="7"/>
      <c r="AE33" s="7"/>
      <c r="AF33" s="7"/>
      <c r="AG33" s="7"/>
      <c r="AH33" s="7"/>
      <c r="AI33" s="7"/>
      <c r="AJ33" s="7"/>
      <c r="AK33" s="7"/>
      <c r="AL33" s="7"/>
      <c r="AM33" s="7"/>
      <c r="AN33" s="7"/>
      <c r="AO33" s="7"/>
      <c r="AP33" s="7"/>
      <c r="AQ33" s="7"/>
      <c r="AR33" s="7"/>
      <c r="AS33" s="7"/>
      <c r="AT33" s="7"/>
      <c r="AU33" s="7"/>
      <c r="AV33" s="7"/>
    </row>
    <row r="34" spans="1:48" s="8" customFormat="1" ht="32.1" customHeight="1" outlineLevel="1">
      <c r="A34" s="7"/>
      <c r="B34" s="206">
        <f t="shared" ref="B34:B60" si="3">B33</f>
        <v>1</v>
      </c>
      <c r="C34" s="807" t="str">
        <f t="shared" ref="C34:C58" si="4">C33</f>
        <v>Available waste heat (DC heat source)</v>
      </c>
      <c r="D34" s="655"/>
      <c r="E34" s="1119" t="s">
        <v>348</v>
      </c>
      <c r="F34" s="1119"/>
      <c r="G34" s="1119"/>
      <c r="H34" s="1119"/>
      <c r="I34" s="1119"/>
      <c r="J34" s="1119"/>
      <c r="K34" s="1119"/>
      <c r="L34" s="1119"/>
      <c r="M34" s="1119"/>
      <c r="N34" s="1119"/>
      <c r="O34" s="1119"/>
      <c r="P34" s="1119"/>
      <c r="Q34" s="1119"/>
      <c r="R34" s="1119"/>
      <c r="S34" s="1119"/>
      <c r="T34" s="1119"/>
      <c r="U34" s="1119"/>
      <c r="V34" s="1119"/>
      <c r="W34" s="1119"/>
      <c r="X34" s="1119"/>
      <c r="Y34" s="655"/>
      <c r="Z34" s="7"/>
      <c r="AA34" s="7"/>
      <c r="AB34" s="7"/>
      <c r="AC34" s="7"/>
      <c r="AD34" s="7"/>
      <c r="AE34" s="7"/>
      <c r="AF34" s="7"/>
      <c r="AG34" s="7"/>
      <c r="AH34" s="7"/>
      <c r="AI34" s="7"/>
      <c r="AJ34" s="7"/>
      <c r="AK34" s="7"/>
      <c r="AL34" s="7"/>
      <c r="AM34" s="7"/>
      <c r="AN34" s="7"/>
      <c r="AO34" s="7"/>
      <c r="AP34" s="7"/>
      <c r="AQ34" s="7"/>
      <c r="AR34" s="7"/>
      <c r="AS34" s="7"/>
      <c r="AT34" s="7"/>
      <c r="AU34" s="7"/>
      <c r="AV34" s="7"/>
    </row>
    <row r="35" spans="1:48" s="57" customFormat="1" ht="10.35" customHeight="1" outlineLevel="1">
      <c r="A35" s="135"/>
      <c r="B35" s="206">
        <f>B34</f>
        <v>1</v>
      </c>
      <c r="C35" s="807" t="str">
        <f>C34</f>
        <v>Available waste heat (DC heat source)</v>
      </c>
      <c r="D35" s="714">
        <v>1</v>
      </c>
      <c r="E35" s="947">
        <v>2</v>
      </c>
      <c r="F35" s="946">
        <f t="shared" ref="F35:F58" si="5">$E$35</f>
        <v>2</v>
      </c>
      <c r="G35" s="947">
        <f t="shared" ref="G35:I50" si="6">$E$35</f>
        <v>2</v>
      </c>
      <c r="H35" s="947">
        <f t="shared" si="6"/>
        <v>2</v>
      </c>
      <c r="I35" s="947">
        <f t="shared" si="6"/>
        <v>2</v>
      </c>
      <c r="J35" s="947">
        <v>0</v>
      </c>
      <c r="K35" s="946"/>
      <c r="L35" s="941"/>
      <c r="M35" s="941"/>
      <c r="N35" s="941"/>
      <c r="O35" s="941"/>
      <c r="P35" s="941"/>
      <c r="Q35" s="941"/>
      <c r="R35" s="941"/>
      <c r="S35" s="941"/>
      <c r="T35" s="941"/>
      <c r="U35" s="941"/>
      <c r="V35" s="941"/>
      <c r="W35" s="941"/>
      <c r="X35" s="1023">
        <v>1E-3</v>
      </c>
      <c r="Y35" s="714">
        <v>1</v>
      </c>
      <c r="Z35" s="135"/>
      <c r="AA35" s="371" t="str">
        <f t="shared" ref="AA35:AA58" si="7">AB35</f>
        <v/>
      </c>
      <c r="AB35" s="248" t="str">
        <f t="shared" ref="AB35:AB58" si="8">IF(IFERROR((1+X35+W35+V35+U35+T35+S35+R35+Q35+P35+O35+N35+M35+L35+K35+J35+I35+H35+G35+F35+E35)*1, "!!!!")="!!!!","Inputs contain non-numerical data. Please check your input data!","")</f>
        <v/>
      </c>
      <c r="AC35" s="135"/>
      <c r="AD35" s="135"/>
      <c r="AE35" s="135"/>
      <c r="AF35" s="135"/>
      <c r="AG35" s="135"/>
      <c r="AH35" s="135"/>
      <c r="AI35" s="135"/>
      <c r="AJ35" s="135"/>
      <c r="AK35" s="135"/>
      <c r="AL35" s="135"/>
      <c r="AM35" s="135"/>
      <c r="AN35" s="135"/>
      <c r="AO35" s="135"/>
      <c r="AP35" s="135"/>
      <c r="AQ35" s="135"/>
      <c r="AR35" s="135"/>
      <c r="AS35" s="135"/>
      <c r="AT35" s="135"/>
      <c r="AU35" s="135"/>
      <c r="AV35" s="135"/>
    </row>
    <row r="36" spans="1:48" s="57" customFormat="1" ht="10.35" customHeight="1" outlineLevel="1">
      <c r="A36" s="135"/>
      <c r="B36" s="206">
        <f t="shared" si="3"/>
        <v>1</v>
      </c>
      <c r="C36" s="807" t="str">
        <f t="shared" si="4"/>
        <v>Available waste heat (DC heat source)</v>
      </c>
      <c r="D36" s="714">
        <v>2</v>
      </c>
      <c r="E36" s="947">
        <f>$E$35</f>
        <v>2</v>
      </c>
      <c r="F36" s="946">
        <f t="shared" si="5"/>
        <v>2</v>
      </c>
      <c r="G36" s="947">
        <f t="shared" si="6"/>
        <v>2</v>
      </c>
      <c r="H36" s="947">
        <f t="shared" si="6"/>
        <v>2</v>
      </c>
      <c r="I36" s="947">
        <f t="shared" si="6"/>
        <v>2</v>
      </c>
      <c r="J36" s="947">
        <v>0</v>
      </c>
      <c r="K36" s="946"/>
      <c r="L36" s="941"/>
      <c r="M36" s="941"/>
      <c r="N36" s="941"/>
      <c r="O36" s="941"/>
      <c r="P36" s="941"/>
      <c r="Q36" s="941"/>
      <c r="R36" s="941"/>
      <c r="S36" s="941"/>
      <c r="T36" s="941"/>
      <c r="U36" s="941"/>
      <c r="V36" s="941"/>
      <c r="W36" s="941"/>
      <c r="X36" s="1023">
        <v>1E-3</v>
      </c>
      <c r="Y36" s="714">
        <v>2</v>
      </c>
      <c r="Z36" s="135"/>
      <c r="AA36" s="394" t="str">
        <f t="shared" si="7"/>
        <v/>
      </c>
      <c r="AB36" s="248" t="str">
        <f t="shared" si="8"/>
        <v/>
      </c>
      <c r="AC36" s="135"/>
      <c r="AD36" s="135"/>
      <c r="AE36" s="135"/>
      <c r="AF36" s="135"/>
      <c r="AG36" s="135"/>
      <c r="AH36" s="135"/>
      <c r="AI36" s="135"/>
      <c r="AJ36" s="135"/>
      <c r="AK36" s="135"/>
      <c r="AL36" s="135"/>
      <c r="AM36" s="135"/>
      <c r="AN36" s="135"/>
      <c r="AO36" s="135"/>
      <c r="AP36" s="135"/>
      <c r="AQ36" s="135"/>
      <c r="AR36" s="135"/>
      <c r="AS36" s="135"/>
      <c r="AT36" s="135"/>
      <c r="AU36" s="135"/>
      <c r="AV36" s="135"/>
    </row>
    <row r="37" spans="1:48" s="57" customFormat="1" ht="10.35" customHeight="1" outlineLevel="1">
      <c r="A37" s="135"/>
      <c r="B37" s="206">
        <f t="shared" si="3"/>
        <v>1</v>
      </c>
      <c r="C37" s="807" t="str">
        <f t="shared" si="4"/>
        <v>Available waste heat (DC heat source)</v>
      </c>
      <c r="D37" s="714">
        <v>3</v>
      </c>
      <c r="E37" s="947">
        <f t="shared" ref="E37:E58" si="9">$E$35</f>
        <v>2</v>
      </c>
      <c r="F37" s="946">
        <f t="shared" si="5"/>
        <v>2</v>
      </c>
      <c r="G37" s="947">
        <f t="shared" si="6"/>
        <v>2</v>
      </c>
      <c r="H37" s="947">
        <f t="shared" si="6"/>
        <v>2</v>
      </c>
      <c r="I37" s="947">
        <f t="shared" si="6"/>
        <v>2</v>
      </c>
      <c r="J37" s="947">
        <v>0</v>
      </c>
      <c r="K37" s="946"/>
      <c r="L37" s="941"/>
      <c r="M37" s="941"/>
      <c r="N37" s="941"/>
      <c r="O37" s="941"/>
      <c r="P37" s="941"/>
      <c r="Q37" s="941"/>
      <c r="R37" s="941"/>
      <c r="S37" s="941"/>
      <c r="T37" s="941"/>
      <c r="U37" s="941"/>
      <c r="V37" s="941"/>
      <c r="W37" s="941"/>
      <c r="X37" s="1023">
        <v>1E-3</v>
      </c>
      <c r="Y37" s="714">
        <v>3</v>
      </c>
      <c r="Z37" s="135"/>
      <c r="AA37" s="394" t="str">
        <f t="shared" si="7"/>
        <v/>
      </c>
      <c r="AB37" s="248" t="str">
        <f t="shared" si="8"/>
        <v/>
      </c>
      <c r="AC37" s="135"/>
      <c r="AD37" s="135"/>
      <c r="AE37" s="135"/>
      <c r="AF37" s="135"/>
      <c r="AG37" s="135"/>
      <c r="AH37" s="135"/>
      <c r="AI37" s="135"/>
      <c r="AJ37" s="135"/>
      <c r="AK37" s="135"/>
      <c r="AL37" s="135"/>
      <c r="AM37" s="135"/>
      <c r="AN37" s="135"/>
      <c r="AO37" s="135"/>
      <c r="AP37" s="135"/>
      <c r="AQ37" s="135"/>
      <c r="AR37" s="135"/>
      <c r="AS37" s="135"/>
      <c r="AT37" s="135"/>
      <c r="AU37" s="135"/>
      <c r="AV37" s="135"/>
    </row>
    <row r="38" spans="1:48" s="57" customFormat="1" ht="10.35" customHeight="1" outlineLevel="1">
      <c r="A38" s="135"/>
      <c r="B38" s="206">
        <f t="shared" si="3"/>
        <v>1</v>
      </c>
      <c r="C38" s="807" t="str">
        <f t="shared" si="4"/>
        <v>Available waste heat (DC heat source)</v>
      </c>
      <c r="D38" s="714">
        <v>4</v>
      </c>
      <c r="E38" s="947">
        <f t="shared" si="9"/>
        <v>2</v>
      </c>
      <c r="F38" s="946">
        <f t="shared" si="5"/>
        <v>2</v>
      </c>
      <c r="G38" s="947">
        <f t="shared" si="6"/>
        <v>2</v>
      </c>
      <c r="H38" s="947">
        <f t="shared" si="6"/>
        <v>2</v>
      </c>
      <c r="I38" s="947">
        <f t="shared" si="6"/>
        <v>2</v>
      </c>
      <c r="J38" s="947">
        <v>0</v>
      </c>
      <c r="K38" s="946"/>
      <c r="L38" s="941"/>
      <c r="M38" s="941"/>
      <c r="N38" s="941"/>
      <c r="O38" s="941"/>
      <c r="P38" s="941"/>
      <c r="Q38" s="941"/>
      <c r="R38" s="941"/>
      <c r="S38" s="941"/>
      <c r="T38" s="941"/>
      <c r="U38" s="941"/>
      <c r="V38" s="941"/>
      <c r="W38" s="941"/>
      <c r="X38" s="1023">
        <v>1E-3</v>
      </c>
      <c r="Y38" s="714">
        <v>4</v>
      </c>
      <c r="Z38" s="135"/>
      <c r="AA38" s="394" t="str">
        <f t="shared" si="7"/>
        <v/>
      </c>
      <c r="AB38" s="248" t="str">
        <f t="shared" si="8"/>
        <v/>
      </c>
      <c r="AC38" s="135"/>
      <c r="AD38" s="135"/>
      <c r="AE38" s="135"/>
      <c r="AF38" s="135"/>
      <c r="AG38" s="135"/>
      <c r="AH38" s="135"/>
      <c r="AI38" s="135"/>
      <c r="AJ38" s="135"/>
      <c r="AK38" s="135"/>
      <c r="AL38" s="135"/>
      <c r="AM38" s="135"/>
      <c r="AN38" s="135"/>
      <c r="AO38" s="135"/>
      <c r="AP38" s="135"/>
      <c r="AQ38" s="135"/>
      <c r="AR38" s="135"/>
      <c r="AS38" s="135"/>
      <c r="AT38" s="135"/>
      <c r="AU38" s="135"/>
      <c r="AV38" s="135"/>
    </row>
    <row r="39" spans="1:48" s="57" customFormat="1" ht="10.35" customHeight="1" outlineLevel="1">
      <c r="A39" s="135"/>
      <c r="B39" s="206">
        <f t="shared" si="3"/>
        <v>1</v>
      </c>
      <c r="C39" s="807" t="str">
        <f t="shared" si="4"/>
        <v>Available waste heat (DC heat source)</v>
      </c>
      <c r="D39" s="714">
        <v>5</v>
      </c>
      <c r="E39" s="947">
        <f t="shared" si="9"/>
        <v>2</v>
      </c>
      <c r="F39" s="946">
        <f t="shared" si="5"/>
        <v>2</v>
      </c>
      <c r="G39" s="947">
        <f t="shared" si="6"/>
        <v>2</v>
      </c>
      <c r="H39" s="947">
        <f t="shared" si="6"/>
        <v>2</v>
      </c>
      <c r="I39" s="947">
        <f t="shared" si="6"/>
        <v>2</v>
      </c>
      <c r="J39" s="947">
        <v>0</v>
      </c>
      <c r="K39" s="946"/>
      <c r="L39" s="941"/>
      <c r="M39" s="941"/>
      <c r="N39" s="941"/>
      <c r="O39" s="941"/>
      <c r="P39" s="941"/>
      <c r="Q39" s="941"/>
      <c r="R39" s="941"/>
      <c r="S39" s="941"/>
      <c r="T39" s="941"/>
      <c r="U39" s="941"/>
      <c r="V39" s="941"/>
      <c r="W39" s="941"/>
      <c r="X39" s="1023">
        <v>1E-3</v>
      </c>
      <c r="Y39" s="714">
        <v>5</v>
      </c>
      <c r="Z39" s="135"/>
      <c r="AA39" s="394" t="str">
        <f t="shared" si="7"/>
        <v/>
      </c>
      <c r="AB39" s="248" t="str">
        <f t="shared" si="8"/>
        <v/>
      </c>
      <c r="AC39" s="135"/>
      <c r="AD39" s="135"/>
      <c r="AE39" s="135"/>
      <c r="AF39" s="135"/>
      <c r="AG39" s="135"/>
      <c r="AH39" s="135"/>
      <c r="AI39" s="135"/>
      <c r="AJ39" s="135"/>
      <c r="AK39" s="135"/>
      <c r="AL39" s="135"/>
      <c r="AM39" s="135"/>
      <c r="AN39" s="135"/>
      <c r="AO39" s="135"/>
      <c r="AP39" s="135"/>
      <c r="AQ39" s="135"/>
      <c r="AR39" s="135"/>
      <c r="AS39" s="135"/>
      <c r="AT39" s="135"/>
      <c r="AU39" s="135"/>
      <c r="AV39" s="135"/>
    </row>
    <row r="40" spans="1:48" s="57" customFormat="1" ht="10.35" customHeight="1" outlineLevel="1">
      <c r="A40" s="135"/>
      <c r="B40" s="206">
        <f t="shared" si="3"/>
        <v>1</v>
      </c>
      <c r="C40" s="807" t="str">
        <f t="shared" si="4"/>
        <v>Available waste heat (DC heat source)</v>
      </c>
      <c r="D40" s="714">
        <v>6</v>
      </c>
      <c r="E40" s="947">
        <f t="shared" si="9"/>
        <v>2</v>
      </c>
      <c r="F40" s="946">
        <f t="shared" si="5"/>
        <v>2</v>
      </c>
      <c r="G40" s="947">
        <f t="shared" si="6"/>
        <v>2</v>
      </c>
      <c r="H40" s="947">
        <f t="shared" si="6"/>
        <v>2</v>
      </c>
      <c r="I40" s="947">
        <f t="shared" si="6"/>
        <v>2</v>
      </c>
      <c r="J40" s="947">
        <v>0</v>
      </c>
      <c r="K40" s="946"/>
      <c r="L40" s="941"/>
      <c r="M40" s="941"/>
      <c r="N40" s="941"/>
      <c r="O40" s="941"/>
      <c r="P40" s="941"/>
      <c r="Q40" s="941"/>
      <c r="R40" s="941"/>
      <c r="S40" s="941"/>
      <c r="T40" s="941"/>
      <c r="U40" s="941"/>
      <c r="V40" s="941"/>
      <c r="W40" s="941"/>
      <c r="X40" s="1023">
        <v>1E-3</v>
      </c>
      <c r="Y40" s="714">
        <v>6</v>
      </c>
      <c r="Z40" s="135"/>
      <c r="AA40" s="394" t="str">
        <f t="shared" si="7"/>
        <v/>
      </c>
      <c r="AB40" s="248" t="str">
        <f t="shared" si="8"/>
        <v/>
      </c>
      <c r="AC40" s="135"/>
      <c r="AD40" s="135"/>
      <c r="AE40" s="135"/>
      <c r="AF40" s="135"/>
      <c r="AG40" s="135"/>
      <c r="AH40" s="135"/>
      <c r="AI40" s="135"/>
      <c r="AJ40" s="135"/>
      <c r="AK40" s="135"/>
      <c r="AL40" s="135"/>
      <c r="AM40" s="135"/>
      <c r="AN40" s="135"/>
      <c r="AO40" s="135"/>
      <c r="AP40" s="135"/>
      <c r="AQ40" s="135"/>
      <c r="AR40" s="135"/>
      <c r="AS40" s="135"/>
      <c r="AT40" s="135"/>
      <c r="AU40" s="135"/>
      <c r="AV40" s="135"/>
    </row>
    <row r="41" spans="1:48" s="57" customFormat="1" ht="10.35" customHeight="1" outlineLevel="1">
      <c r="A41" s="135"/>
      <c r="B41" s="206">
        <f t="shared" si="3"/>
        <v>1</v>
      </c>
      <c r="C41" s="807" t="str">
        <f t="shared" si="4"/>
        <v>Available waste heat (DC heat source)</v>
      </c>
      <c r="D41" s="714">
        <v>7</v>
      </c>
      <c r="E41" s="947">
        <f t="shared" si="9"/>
        <v>2</v>
      </c>
      <c r="F41" s="946">
        <f t="shared" si="5"/>
        <v>2</v>
      </c>
      <c r="G41" s="947">
        <f t="shared" si="6"/>
        <v>2</v>
      </c>
      <c r="H41" s="947">
        <f t="shared" si="6"/>
        <v>2</v>
      </c>
      <c r="I41" s="947">
        <f t="shared" si="6"/>
        <v>2</v>
      </c>
      <c r="J41" s="947">
        <v>0</v>
      </c>
      <c r="K41" s="946"/>
      <c r="L41" s="941"/>
      <c r="M41" s="941"/>
      <c r="N41" s="941"/>
      <c r="O41" s="941"/>
      <c r="P41" s="941"/>
      <c r="Q41" s="941"/>
      <c r="R41" s="941"/>
      <c r="S41" s="941"/>
      <c r="T41" s="941"/>
      <c r="U41" s="941"/>
      <c r="V41" s="941"/>
      <c r="W41" s="941"/>
      <c r="X41" s="1023">
        <v>1E-3</v>
      </c>
      <c r="Y41" s="714">
        <v>7</v>
      </c>
      <c r="Z41" s="135"/>
      <c r="AA41" s="394" t="str">
        <f t="shared" si="7"/>
        <v/>
      </c>
      <c r="AB41" s="248" t="str">
        <f t="shared" si="8"/>
        <v/>
      </c>
      <c r="AC41" s="135"/>
      <c r="AD41" s="135"/>
      <c r="AE41" s="135"/>
      <c r="AF41" s="135"/>
      <c r="AG41" s="135"/>
      <c r="AH41" s="135"/>
      <c r="AI41" s="135"/>
      <c r="AJ41" s="135"/>
      <c r="AK41" s="135"/>
      <c r="AL41" s="135"/>
      <c r="AM41" s="135"/>
      <c r="AN41" s="135"/>
      <c r="AO41" s="135"/>
      <c r="AP41" s="135"/>
      <c r="AQ41" s="135"/>
      <c r="AR41" s="135"/>
      <c r="AS41" s="135"/>
      <c r="AT41" s="135"/>
      <c r="AU41" s="135"/>
      <c r="AV41" s="135"/>
    </row>
    <row r="42" spans="1:48" s="57" customFormat="1" ht="10.35" customHeight="1" outlineLevel="1">
      <c r="A42" s="135"/>
      <c r="B42" s="206">
        <f t="shared" si="3"/>
        <v>1</v>
      </c>
      <c r="C42" s="807" t="str">
        <f t="shared" si="4"/>
        <v>Available waste heat (DC heat source)</v>
      </c>
      <c r="D42" s="714">
        <v>8</v>
      </c>
      <c r="E42" s="947">
        <f t="shared" si="9"/>
        <v>2</v>
      </c>
      <c r="F42" s="946">
        <f t="shared" si="5"/>
        <v>2</v>
      </c>
      <c r="G42" s="947">
        <f t="shared" si="6"/>
        <v>2</v>
      </c>
      <c r="H42" s="947">
        <f t="shared" si="6"/>
        <v>2</v>
      </c>
      <c r="I42" s="947">
        <f t="shared" si="6"/>
        <v>2</v>
      </c>
      <c r="J42" s="947">
        <v>0</v>
      </c>
      <c r="K42" s="946"/>
      <c r="L42" s="941"/>
      <c r="M42" s="941"/>
      <c r="N42" s="941"/>
      <c r="O42" s="941"/>
      <c r="P42" s="941"/>
      <c r="Q42" s="941"/>
      <c r="R42" s="941"/>
      <c r="S42" s="941"/>
      <c r="T42" s="941"/>
      <c r="U42" s="941"/>
      <c r="V42" s="941"/>
      <c r="W42" s="941"/>
      <c r="X42" s="1023">
        <v>1E-3</v>
      </c>
      <c r="Y42" s="714">
        <v>8</v>
      </c>
      <c r="Z42" s="135"/>
      <c r="AA42" s="394" t="str">
        <f t="shared" si="7"/>
        <v/>
      </c>
      <c r="AB42" s="248" t="str">
        <f t="shared" si="8"/>
        <v/>
      </c>
      <c r="AC42" s="135"/>
      <c r="AD42" s="135"/>
      <c r="AE42" s="135"/>
      <c r="AF42" s="135"/>
      <c r="AG42" s="135"/>
      <c r="AH42" s="135"/>
      <c r="AI42" s="135"/>
      <c r="AJ42" s="135"/>
      <c r="AK42" s="135"/>
      <c r="AL42" s="135"/>
      <c r="AM42" s="135"/>
      <c r="AN42" s="135"/>
      <c r="AO42" s="135"/>
      <c r="AP42" s="135"/>
      <c r="AQ42" s="135"/>
      <c r="AR42" s="135"/>
      <c r="AS42" s="135"/>
      <c r="AT42" s="135"/>
      <c r="AU42" s="135"/>
      <c r="AV42" s="135"/>
    </row>
    <row r="43" spans="1:48" s="57" customFormat="1" ht="10.35" customHeight="1" outlineLevel="1">
      <c r="A43" s="135"/>
      <c r="B43" s="206">
        <f t="shared" si="3"/>
        <v>1</v>
      </c>
      <c r="C43" s="807" t="str">
        <f t="shared" si="4"/>
        <v>Available waste heat (DC heat source)</v>
      </c>
      <c r="D43" s="714">
        <v>9</v>
      </c>
      <c r="E43" s="947">
        <f t="shared" si="9"/>
        <v>2</v>
      </c>
      <c r="F43" s="946">
        <f t="shared" si="5"/>
        <v>2</v>
      </c>
      <c r="G43" s="947">
        <f t="shared" si="6"/>
        <v>2</v>
      </c>
      <c r="H43" s="947">
        <f t="shared" si="6"/>
        <v>2</v>
      </c>
      <c r="I43" s="947">
        <f t="shared" si="6"/>
        <v>2</v>
      </c>
      <c r="J43" s="947">
        <v>0</v>
      </c>
      <c r="K43" s="946"/>
      <c r="L43" s="941"/>
      <c r="M43" s="941"/>
      <c r="N43" s="941"/>
      <c r="O43" s="941"/>
      <c r="P43" s="941"/>
      <c r="Q43" s="941"/>
      <c r="R43" s="941"/>
      <c r="S43" s="941"/>
      <c r="T43" s="941"/>
      <c r="U43" s="941"/>
      <c r="V43" s="941"/>
      <c r="W43" s="941"/>
      <c r="X43" s="1023">
        <v>1E-3</v>
      </c>
      <c r="Y43" s="714">
        <v>9</v>
      </c>
      <c r="Z43" s="135"/>
      <c r="AA43" s="394" t="str">
        <f t="shared" si="7"/>
        <v/>
      </c>
      <c r="AB43" s="248" t="str">
        <f t="shared" si="8"/>
        <v/>
      </c>
      <c r="AC43" s="135"/>
      <c r="AD43" s="135"/>
      <c r="AE43" s="135"/>
      <c r="AF43" s="135"/>
      <c r="AG43" s="135"/>
      <c r="AH43" s="135"/>
      <c r="AI43" s="135"/>
      <c r="AJ43" s="135"/>
      <c r="AK43" s="135"/>
      <c r="AL43" s="135"/>
      <c r="AM43" s="135"/>
      <c r="AN43" s="135"/>
      <c r="AO43" s="135"/>
      <c r="AP43" s="135"/>
      <c r="AQ43" s="135"/>
      <c r="AR43" s="135"/>
      <c r="AS43" s="135"/>
      <c r="AT43" s="135"/>
      <c r="AU43" s="135"/>
      <c r="AV43" s="135"/>
    </row>
    <row r="44" spans="1:48" s="57" customFormat="1" ht="10.35" customHeight="1" outlineLevel="1">
      <c r="A44" s="135"/>
      <c r="B44" s="206">
        <f t="shared" si="3"/>
        <v>1</v>
      </c>
      <c r="C44" s="807" t="str">
        <f t="shared" si="4"/>
        <v>Available waste heat (DC heat source)</v>
      </c>
      <c r="D44" s="714">
        <v>10</v>
      </c>
      <c r="E44" s="947">
        <f t="shared" si="9"/>
        <v>2</v>
      </c>
      <c r="F44" s="946">
        <f t="shared" si="5"/>
        <v>2</v>
      </c>
      <c r="G44" s="947">
        <f t="shared" si="6"/>
        <v>2</v>
      </c>
      <c r="H44" s="947">
        <f t="shared" si="6"/>
        <v>2</v>
      </c>
      <c r="I44" s="947">
        <f>$E$35</f>
        <v>2</v>
      </c>
      <c r="J44" s="947">
        <v>0</v>
      </c>
      <c r="K44" s="946"/>
      <c r="L44" s="941"/>
      <c r="M44" s="941"/>
      <c r="N44" s="941"/>
      <c r="O44" s="941"/>
      <c r="P44" s="941"/>
      <c r="Q44" s="941"/>
      <c r="R44" s="941"/>
      <c r="S44" s="941"/>
      <c r="T44" s="941"/>
      <c r="U44" s="941"/>
      <c r="V44" s="941"/>
      <c r="W44" s="941"/>
      <c r="X44" s="1023">
        <v>1E-3</v>
      </c>
      <c r="Y44" s="714">
        <v>10</v>
      </c>
      <c r="Z44" s="135"/>
      <c r="AA44" s="394" t="str">
        <f t="shared" si="7"/>
        <v/>
      </c>
      <c r="AB44" s="248" t="str">
        <f t="shared" si="8"/>
        <v/>
      </c>
      <c r="AC44" s="135"/>
      <c r="AD44" s="135"/>
      <c r="AE44" s="135"/>
      <c r="AF44" s="135"/>
      <c r="AG44" s="135"/>
      <c r="AH44" s="135"/>
      <c r="AI44" s="135"/>
      <c r="AJ44" s="135"/>
      <c r="AK44" s="135"/>
      <c r="AL44" s="135"/>
      <c r="AM44" s="135"/>
      <c r="AN44" s="135"/>
      <c r="AO44" s="135"/>
      <c r="AP44" s="135"/>
      <c r="AQ44" s="135"/>
      <c r="AR44" s="135"/>
      <c r="AS44" s="135"/>
      <c r="AT44" s="135"/>
      <c r="AU44" s="135"/>
      <c r="AV44" s="135"/>
    </row>
    <row r="45" spans="1:48" s="57" customFormat="1" ht="10.35" customHeight="1" outlineLevel="1">
      <c r="A45" s="135"/>
      <c r="B45" s="206">
        <f t="shared" si="3"/>
        <v>1</v>
      </c>
      <c r="C45" s="807" t="str">
        <f t="shared" si="4"/>
        <v>Available waste heat (DC heat source)</v>
      </c>
      <c r="D45" s="714">
        <v>11</v>
      </c>
      <c r="E45" s="947">
        <f t="shared" si="9"/>
        <v>2</v>
      </c>
      <c r="F45" s="946">
        <f t="shared" si="5"/>
        <v>2</v>
      </c>
      <c r="G45" s="947">
        <f t="shared" si="6"/>
        <v>2</v>
      </c>
      <c r="H45" s="947">
        <f t="shared" si="6"/>
        <v>2</v>
      </c>
      <c r="I45" s="947">
        <f t="shared" si="6"/>
        <v>2</v>
      </c>
      <c r="J45" s="947">
        <v>0</v>
      </c>
      <c r="K45" s="946"/>
      <c r="L45" s="941"/>
      <c r="M45" s="941"/>
      <c r="N45" s="941"/>
      <c r="O45" s="941"/>
      <c r="P45" s="941"/>
      <c r="Q45" s="941"/>
      <c r="R45" s="941"/>
      <c r="S45" s="941"/>
      <c r="T45" s="941"/>
      <c r="U45" s="941"/>
      <c r="V45" s="941"/>
      <c r="W45" s="941"/>
      <c r="X45" s="1023">
        <v>1E-3</v>
      </c>
      <c r="Y45" s="714">
        <v>11</v>
      </c>
      <c r="Z45" s="135"/>
      <c r="AA45" s="394" t="str">
        <f t="shared" si="7"/>
        <v/>
      </c>
      <c r="AB45" s="248" t="str">
        <f t="shared" si="8"/>
        <v/>
      </c>
      <c r="AC45" s="135"/>
      <c r="AD45" s="135"/>
      <c r="AE45" s="135"/>
      <c r="AF45" s="135"/>
      <c r="AG45" s="135"/>
      <c r="AH45" s="135"/>
      <c r="AI45" s="135"/>
      <c r="AJ45" s="135"/>
      <c r="AK45" s="135"/>
      <c r="AL45" s="135"/>
      <c r="AM45" s="135"/>
      <c r="AN45" s="135"/>
      <c r="AO45" s="135"/>
      <c r="AP45" s="135"/>
      <c r="AQ45" s="135"/>
      <c r="AR45" s="135"/>
      <c r="AS45" s="135"/>
      <c r="AT45" s="135"/>
      <c r="AU45" s="135"/>
      <c r="AV45" s="135"/>
    </row>
    <row r="46" spans="1:48" s="57" customFormat="1" ht="10.35" customHeight="1" outlineLevel="1">
      <c r="A46" s="135"/>
      <c r="B46" s="206">
        <f t="shared" si="3"/>
        <v>1</v>
      </c>
      <c r="C46" s="807" t="str">
        <f t="shared" si="4"/>
        <v>Available waste heat (DC heat source)</v>
      </c>
      <c r="D46" s="714">
        <v>12</v>
      </c>
      <c r="E46" s="947">
        <f t="shared" si="9"/>
        <v>2</v>
      </c>
      <c r="F46" s="946">
        <f t="shared" si="5"/>
        <v>2</v>
      </c>
      <c r="G46" s="947">
        <f t="shared" si="6"/>
        <v>2</v>
      </c>
      <c r="H46" s="947">
        <f t="shared" si="6"/>
        <v>2</v>
      </c>
      <c r="I46" s="947">
        <f t="shared" si="6"/>
        <v>2</v>
      </c>
      <c r="J46" s="947">
        <v>0</v>
      </c>
      <c r="K46" s="946"/>
      <c r="L46" s="941"/>
      <c r="M46" s="941"/>
      <c r="N46" s="941"/>
      <c r="O46" s="941"/>
      <c r="P46" s="941"/>
      <c r="Q46" s="941"/>
      <c r="R46" s="941"/>
      <c r="S46" s="941"/>
      <c r="T46" s="941"/>
      <c r="U46" s="941"/>
      <c r="V46" s="941"/>
      <c r="W46" s="941"/>
      <c r="X46" s="1023">
        <v>1E-3</v>
      </c>
      <c r="Y46" s="714">
        <v>12</v>
      </c>
      <c r="Z46" s="135"/>
      <c r="AA46" s="394" t="str">
        <f t="shared" si="7"/>
        <v/>
      </c>
      <c r="AB46" s="248" t="str">
        <f t="shared" si="8"/>
        <v/>
      </c>
      <c r="AC46" s="135"/>
      <c r="AD46" s="135"/>
      <c r="AE46" s="135"/>
      <c r="AF46" s="135"/>
      <c r="AG46" s="135"/>
      <c r="AH46" s="135"/>
      <c r="AI46" s="135"/>
      <c r="AJ46" s="135"/>
      <c r="AK46" s="135"/>
      <c r="AL46" s="135"/>
      <c r="AM46" s="135"/>
      <c r="AN46" s="135"/>
      <c r="AO46" s="135"/>
      <c r="AP46" s="135"/>
      <c r="AQ46" s="135"/>
      <c r="AR46" s="135"/>
      <c r="AS46" s="135"/>
      <c r="AT46" s="135"/>
      <c r="AU46" s="135"/>
      <c r="AV46" s="135"/>
    </row>
    <row r="47" spans="1:48" s="57" customFormat="1" ht="10.35" customHeight="1" outlineLevel="1">
      <c r="A47" s="135"/>
      <c r="B47" s="206">
        <f t="shared" si="3"/>
        <v>1</v>
      </c>
      <c r="C47" s="807" t="str">
        <f t="shared" si="4"/>
        <v>Available waste heat (DC heat source)</v>
      </c>
      <c r="D47" s="714">
        <v>13</v>
      </c>
      <c r="E47" s="947">
        <f t="shared" si="9"/>
        <v>2</v>
      </c>
      <c r="F47" s="946">
        <f t="shared" si="5"/>
        <v>2</v>
      </c>
      <c r="G47" s="947">
        <f t="shared" si="6"/>
        <v>2</v>
      </c>
      <c r="H47" s="947">
        <f>$E$35</f>
        <v>2</v>
      </c>
      <c r="I47" s="947">
        <f t="shared" si="6"/>
        <v>2</v>
      </c>
      <c r="J47" s="947">
        <v>0</v>
      </c>
      <c r="K47" s="946"/>
      <c r="L47" s="941"/>
      <c r="M47" s="941"/>
      <c r="N47" s="941"/>
      <c r="O47" s="941"/>
      <c r="P47" s="941"/>
      <c r="Q47" s="941"/>
      <c r="R47" s="941"/>
      <c r="S47" s="941"/>
      <c r="T47" s="941"/>
      <c r="U47" s="941"/>
      <c r="V47" s="941"/>
      <c r="W47" s="941"/>
      <c r="X47" s="1023">
        <v>1E-3</v>
      </c>
      <c r="Y47" s="714">
        <v>13</v>
      </c>
      <c r="Z47" s="135"/>
      <c r="AA47" s="394" t="str">
        <f t="shared" si="7"/>
        <v/>
      </c>
      <c r="AB47" s="248" t="str">
        <f t="shared" si="8"/>
        <v/>
      </c>
      <c r="AC47" s="135"/>
      <c r="AD47" s="135"/>
      <c r="AE47" s="135"/>
      <c r="AF47" s="135"/>
      <c r="AG47" s="135"/>
      <c r="AH47" s="135"/>
      <c r="AI47" s="135"/>
      <c r="AJ47" s="135"/>
      <c r="AK47" s="135"/>
      <c r="AL47" s="135"/>
      <c r="AM47" s="135"/>
      <c r="AN47" s="135"/>
      <c r="AO47" s="135"/>
      <c r="AP47" s="135"/>
      <c r="AQ47" s="135"/>
      <c r="AR47" s="135"/>
      <c r="AS47" s="135"/>
      <c r="AT47" s="135"/>
      <c r="AU47" s="135"/>
      <c r="AV47" s="135"/>
    </row>
    <row r="48" spans="1:48" s="57" customFormat="1" ht="10.35" customHeight="1" outlineLevel="1">
      <c r="A48" s="135"/>
      <c r="B48" s="206">
        <f t="shared" si="3"/>
        <v>1</v>
      </c>
      <c r="C48" s="807" t="str">
        <f t="shared" si="4"/>
        <v>Available waste heat (DC heat source)</v>
      </c>
      <c r="D48" s="714">
        <v>14</v>
      </c>
      <c r="E48" s="947">
        <f t="shared" si="9"/>
        <v>2</v>
      </c>
      <c r="F48" s="946">
        <f t="shared" si="5"/>
        <v>2</v>
      </c>
      <c r="G48" s="947">
        <f t="shared" si="6"/>
        <v>2</v>
      </c>
      <c r="H48" s="947">
        <f t="shared" si="6"/>
        <v>2</v>
      </c>
      <c r="I48" s="947">
        <f t="shared" si="6"/>
        <v>2</v>
      </c>
      <c r="J48" s="947">
        <v>0</v>
      </c>
      <c r="K48" s="946"/>
      <c r="L48" s="941"/>
      <c r="M48" s="941"/>
      <c r="N48" s="941"/>
      <c r="O48" s="941"/>
      <c r="P48" s="941"/>
      <c r="Q48" s="941"/>
      <c r="R48" s="941"/>
      <c r="S48" s="941"/>
      <c r="T48" s="941"/>
      <c r="U48" s="941"/>
      <c r="V48" s="941"/>
      <c r="W48" s="941"/>
      <c r="X48" s="1023">
        <v>1E-3</v>
      </c>
      <c r="Y48" s="714">
        <v>14</v>
      </c>
      <c r="Z48" s="135"/>
      <c r="AA48" s="394" t="str">
        <f t="shared" si="7"/>
        <v/>
      </c>
      <c r="AB48" s="248" t="str">
        <f t="shared" si="8"/>
        <v/>
      </c>
      <c r="AC48" s="135"/>
      <c r="AD48" s="135"/>
      <c r="AE48" s="135"/>
      <c r="AF48" s="135"/>
      <c r="AG48" s="135"/>
      <c r="AH48" s="135"/>
      <c r="AI48" s="135"/>
      <c r="AJ48" s="135"/>
      <c r="AK48" s="135"/>
      <c r="AL48" s="135"/>
      <c r="AM48" s="135"/>
      <c r="AN48" s="135"/>
      <c r="AO48" s="135"/>
      <c r="AP48" s="135"/>
      <c r="AQ48" s="135"/>
      <c r="AR48" s="135"/>
      <c r="AS48" s="135"/>
      <c r="AT48" s="135"/>
      <c r="AU48" s="135"/>
      <c r="AV48" s="135"/>
    </row>
    <row r="49" spans="1:48" s="57" customFormat="1" ht="10.35" customHeight="1" outlineLevel="1">
      <c r="A49" s="135"/>
      <c r="B49" s="206">
        <f t="shared" si="3"/>
        <v>1</v>
      </c>
      <c r="C49" s="807" t="str">
        <f t="shared" si="4"/>
        <v>Available waste heat (DC heat source)</v>
      </c>
      <c r="D49" s="714">
        <v>15</v>
      </c>
      <c r="E49" s="947">
        <f t="shared" si="9"/>
        <v>2</v>
      </c>
      <c r="F49" s="946">
        <f t="shared" si="5"/>
        <v>2</v>
      </c>
      <c r="G49" s="947">
        <f t="shared" si="6"/>
        <v>2</v>
      </c>
      <c r="H49" s="947">
        <f t="shared" si="6"/>
        <v>2</v>
      </c>
      <c r="I49" s="947">
        <f t="shared" si="6"/>
        <v>2</v>
      </c>
      <c r="J49" s="947">
        <v>0</v>
      </c>
      <c r="K49" s="946"/>
      <c r="L49" s="941"/>
      <c r="M49" s="941"/>
      <c r="N49" s="941"/>
      <c r="O49" s="941"/>
      <c r="P49" s="941"/>
      <c r="Q49" s="941"/>
      <c r="R49" s="941"/>
      <c r="S49" s="941"/>
      <c r="T49" s="941"/>
      <c r="U49" s="941"/>
      <c r="V49" s="941"/>
      <c r="W49" s="941"/>
      <c r="X49" s="1023">
        <v>1E-3</v>
      </c>
      <c r="Y49" s="714">
        <v>15</v>
      </c>
      <c r="Z49" s="135"/>
      <c r="AA49" s="394" t="str">
        <f t="shared" si="7"/>
        <v/>
      </c>
      <c r="AB49" s="248" t="str">
        <f t="shared" si="8"/>
        <v/>
      </c>
      <c r="AC49" s="135"/>
      <c r="AD49" s="135"/>
      <c r="AE49" s="135"/>
      <c r="AF49" s="135"/>
      <c r="AG49" s="135"/>
      <c r="AH49" s="135"/>
      <c r="AI49" s="135"/>
      <c r="AJ49" s="135"/>
      <c r="AK49" s="135"/>
      <c r="AL49" s="135"/>
      <c r="AM49" s="135"/>
      <c r="AN49" s="135"/>
      <c r="AO49" s="135"/>
      <c r="AP49" s="135"/>
      <c r="AQ49" s="135"/>
      <c r="AR49" s="135"/>
      <c r="AS49" s="135"/>
      <c r="AT49" s="135"/>
      <c r="AU49" s="135"/>
      <c r="AV49" s="135"/>
    </row>
    <row r="50" spans="1:48" s="57" customFormat="1" ht="10.35" customHeight="1" outlineLevel="1">
      <c r="A50" s="135"/>
      <c r="B50" s="206">
        <f t="shared" si="3"/>
        <v>1</v>
      </c>
      <c r="C50" s="807" t="str">
        <f t="shared" si="4"/>
        <v>Available waste heat (DC heat source)</v>
      </c>
      <c r="D50" s="714">
        <v>16</v>
      </c>
      <c r="E50" s="947">
        <f t="shared" si="9"/>
        <v>2</v>
      </c>
      <c r="F50" s="946">
        <f t="shared" si="5"/>
        <v>2</v>
      </c>
      <c r="G50" s="947">
        <f t="shared" si="6"/>
        <v>2</v>
      </c>
      <c r="H50" s="947">
        <f t="shared" si="6"/>
        <v>2</v>
      </c>
      <c r="I50" s="947">
        <f t="shared" si="6"/>
        <v>2</v>
      </c>
      <c r="J50" s="947">
        <v>0</v>
      </c>
      <c r="K50" s="946"/>
      <c r="L50" s="941"/>
      <c r="M50" s="941"/>
      <c r="N50" s="941"/>
      <c r="O50" s="941"/>
      <c r="P50" s="941"/>
      <c r="Q50" s="941"/>
      <c r="R50" s="941"/>
      <c r="S50" s="941"/>
      <c r="T50" s="941"/>
      <c r="U50" s="941"/>
      <c r="V50" s="941"/>
      <c r="W50" s="941"/>
      <c r="X50" s="1023">
        <v>1E-3</v>
      </c>
      <c r="Y50" s="714">
        <v>16</v>
      </c>
      <c r="Z50" s="135"/>
      <c r="AA50" s="394" t="str">
        <f t="shared" si="7"/>
        <v/>
      </c>
      <c r="AB50" s="248" t="str">
        <f t="shared" si="8"/>
        <v/>
      </c>
      <c r="AC50" s="135"/>
      <c r="AD50" s="135"/>
      <c r="AE50" s="135"/>
      <c r="AF50" s="135"/>
      <c r="AG50" s="135"/>
      <c r="AH50" s="135"/>
      <c r="AI50" s="135"/>
      <c r="AJ50" s="135"/>
      <c r="AK50" s="135"/>
      <c r="AL50" s="135"/>
      <c r="AM50" s="135"/>
      <c r="AN50" s="135"/>
      <c r="AO50" s="135"/>
      <c r="AP50" s="135"/>
      <c r="AQ50" s="135"/>
      <c r="AR50" s="135"/>
      <c r="AS50" s="135"/>
      <c r="AT50" s="135"/>
      <c r="AU50" s="135"/>
      <c r="AV50" s="135"/>
    </row>
    <row r="51" spans="1:48" s="57" customFormat="1" ht="10.35" customHeight="1" outlineLevel="1">
      <c r="A51" s="135"/>
      <c r="B51" s="206">
        <f t="shared" si="3"/>
        <v>1</v>
      </c>
      <c r="C51" s="807" t="str">
        <f t="shared" si="4"/>
        <v>Available waste heat (DC heat source)</v>
      </c>
      <c r="D51" s="714">
        <v>17</v>
      </c>
      <c r="E51" s="947">
        <f t="shared" si="9"/>
        <v>2</v>
      </c>
      <c r="F51" s="946">
        <f t="shared" si="5"/>
        <v>2</v>
      </c>
      <c r="G51" s="947">
        <f t="shared" ref="G51:I58" si="10">$E$35</f>
        <v>2</v>
      </c>
      <c r="H51" s="947">
        <f t="shared" si="10"/>
        <v>2</v>
      </c>
      <c r="I51" s="947">
        <f t="shared" si="10"/>
        <v>2</v>
      </c>
      <c r="J51" s="947">
        <v>0</v>
      </c>
      <c r="K51" s="946"/>
      <c r="L51" s="941"/>
      <c r="M51" s="941"/>
      <c r="N51" s="941"/>
      <c r="O51" s="941"/>
      <c r="P51" s="941"/>
      <c r="Q51" s="941"/>
      <c r="R51" s="941"/>
      <c r="S51" s="941"/>
      <c r="T51" s="941"/>
      <c r="U51" s="941"/>
      <c r="V51" s="941"/>
      <c r="W51" s="941"/>
      <c r="X51" s="1023">
        <v>1E-3</v>
      </c>
      <c r="Y51" s="714">
        <v>17</v>
      </c>
      <c r="Z51" s="135"/>
      <c r="AA51" s="394" t="str">
        <f t="shared" si="7"/>
        <v/>
      </c>
      <c r="AB51" s="248" t="str">
        <f t="shared" si="8"/>
        <v/>
      </c>
      <c r="AC51" s="135"/>
      <c r="AD51" s="135"/>
      <c r="AE51" s="135"/>
      <c r="AF51" s="135"/>
      <c r="AG51" s="135"/>
      <c r="AH51" s="135"/>
      <c r="AI51" s="135"/>
      <c r="AJ51" s="135"/>
      <c r="AK51" s="135"/>
      <c r="AL51" s="135"/>
      <c r="AM51" s="135"/>
      <c r="AN51" s="135"/>
      <c r="AO51" s="135"/>
      <c r="AP51" s="135"/>
      <c r="AQ51" s="135"/>
      <c r="AR51" s="135"/>
      <c r="AS51" s="135"/>
      <c r="AT51" s="135"/>
      <c r="AU51" s="135"/>
      <c r="AV51" s="135"/>
    </row>
    <row r="52" spans="1:48" s="57" customFormat="1" ht="10.35" customHeight="1" outlineLevel="1">
      <c r="A52" s="135"/>
      <c r="B52" s="206">
        <f t="shared" si="3"/>
        <v>1</v>
      </c>
      <c r="C52" s="807" t="str">
        <f t="shared" si="4"/>
        <v>Available waste heat (DC heat source)</v>
      </c>
      <c r="D52" s="714">
        <v>18</v>
      </c>
      <c r="E52" s="947">
        <f t="shared" si="9"/>
        <v>2</v>
      </c>
      <c r="F52" s="946">
        <f t="shared" si="5"/>
        <v>2</v>
      </c>
      <c r="G52" s="947">
        <f t="shared" si="10"/>
        <v>2</v>
      </c>
      <c r="H52" s="947">
        <f t="shared" si="10"/>
        <v>2</v>
      </c>
      <c r="I52" s="947">
        <f t="shared" si="10"/>
        <v>2</v>
      </c>
      <c r="J52" s="947">
        <v>0</v>
      </c>
      <c r="K52" s="946"/>
      <c r="L52" s="941"/>
      <c r="M52" s="941"/>
      <c r="N52" s="941"/>
      <c r="O52" s="941"/>
      <c r="P52" s="941"/>
      <c r="Q52" s="941"/>
      <c r="R52" s="941"/>
      <c r="S52" s="941"/>
      <c r="T52" s="941"/>
      <c r="U52" s="941"/>
      <c r="V52" s="941"/>
      <c r="W52" s="941"/>
      <c r="X52" s="1023">
        <v>1E-3</v>
      </c>
      <c r="Y52" s="714">
        <v>18</v>
      </c>
      <c r="Z52" s="135"/>
      <c r="AA52" s="394" t="str">
        <f t="shared" si="7"/>
        <v/>
      </c>
      <c r="AB52" s="248" t="str">
        <f t="shared" si="8"/>
        <v/>
      </c>
      <c r="AC52" s="135"/>
      <c r="AD52" s="135"/>
      <c r="AE52" s="135"/>
      <c r="AF52" s="135"/>
      <c r="AG52" s="135"/>
      <c r="AH52" s="135"/>
      <c r="AI52" s="135"/>
      <c r="AJ52" s="135"/>
      <c r="AK52" s="135"/>
      <c r="AL52" s="135"/>
      <c r="AM52" s="135"/>
      <c r="AN52" s="135"/>
      <c r="AO52" s="135"/>
      <c r="AP52" s="135"/>
      <c r="AQ52" s="135"/>
      <c r="AR52" s="135"/>
      <c r="AS52" s="135"/>
      <c r="AT52" s="135"/>
      <c r="AU52" s="135"/>
      <c r="AV52" s="135"/>
    </row>
    <row r="53" spans="1:48" s="57" customFormat="1" ht="10.35" customHeight="1" outlineLevel="1">
      <c r="A53" s="135"/>
      <c r="B53" s="206">
        <f t="shared" si="3"/>
        <v>1</v>
      </c>
      <c r="C53" s="807" t="str">
        <f t="shared" si="4"/>
        <v>Available waste heat (DC heat source)</v>
      </c>
      <c r="D53" s="714">
        <v>19</v>
      </c>
      <c r="E53" s="947">
        <f t="shared" si="9"/>
        <v>2</v>
      </c>
      <c r="F53" s="946">
        <f t="shared" si="5"/>
        <v>2</v>
      </c>
      <c r="G53" s="947">
        <f t="shared" si="10"/>
        <v>2</v>
      </c>
      <c r="H53" s="947">
        <f t="shared" si="10"/>
        <v>2</v>
      </c>
      <c r="I53" s="947">
        <f t="shared" si="10"/>
        <v>2</v>
      </c>
      <c r="J53" s="947">
        <v>0</v>
      </c>
      <c r="K53" s="946"/>
      <c r="L53" s="941"/>
      <c r="M53" s="941"/>
      <c r="N53" s="941"/>
      <c r="O53" s="941"/>
      <c r="P53" s="941"/>
      <c r="Q53" s="941"/>
      <c r="R53" s="941"/>
      <c r="S53" s="941"/>
      <c r="T53" s="941"/>
      <c r="U53" s="941"/>
      <c r="V53" s="941"/>
      <c r="W53" s="941"/>
      <c r="X53" s="1023">
        <v>1E-3</v>
      </c>
      <c r="Y53" s="714">
        <v>19</v>
      </c>
      <c r="Z53" s="135"/>
      <c r="AA53" s="394" t="str">
        <f t="shared" si="7"/>
        <v/>
      </c>
      <c r="AB53" s="248" t="str">
        <f t="shared" si="8"/>
        <v/>
      </c>
      <c r="AC53" s="135"/>
      <c r="AD53" s="135"/>
      <c r="AE53" s="135"/>
      <c r="AF53" s="135"/>
      <c r="AG53" s="135"/>
      <c r="AH53" s="135"/>
      <c r="AI53" s="135"/>
      <c r="AJ53" s="135"/>
      <c r="AK53" s="135"/>
      <c r="AL53" s="135"/>
      <c r="AM53" s="135"/>
      <c r="AN53" s="135"/>
      <c r="AO53" s="135"/>
      <c r="AP53" s="135"/>
      <c r="AQ53" s="135"/>
      <c r="AR53" s="135"/>
      <c r="AS53" s="135"/>
      <c r="AT53" s="135"/>
      <c r="AU53" s="135"/>
      <c r="AV53" s="135"/>
    </row>
    <row r="54" spans="1:48" s="57" customFormat="1" ht="10.35" customHeight="1" outlineLevel="1">
      <c r="A54" s="135"/>
      <c r="B54" s="206">
        <f t="shared" si="3"/>
        <v>1</v>
      </c>
      <c r="C54" s="807" t="str">
        <f t="shared" si="4"/>
        <v>Available waste heat (DC heat source)</v>
      </c>
      <c r="D54" s="714">
        <v>20</v>
      </c>
      <c r="E54" s="947">
        <f t="shared" si="9"/>
        <v>2</v>
      </c>
      <c r="F54" s="946">
        <f t="shared" si="5"/>
        <v>2</v>
      </c>
      <c r="G54" s="947">
        <f t="shared" si="10"/>
        <v>2</v>
      </c>
      <c r="H54" s="947">
        <f t="shared" si="10"/>
        <v>2</v>
      </c>
      <c r="I54" s="947">
        <f t="shared" si="10"/>
        <v>2</v>
      </c>
      <c r="J54" s="947">
        <v>0</v>
      </c>
      <c r="K54" s="946"/>
      <c r="L54" s="941"/>
      <c r="M54" s="941"/>
      <c r="N54" s="941"/>
      <c r="O54" s="941"/>
      <c r="P54" s="941"/>
      <c r="Q54" s="941"/>
      <c r="R54" s="941"/>
      <c r="S54" s="941"/>
      <c r="T54" s="941"/>
      <c r="U54" s="941"/>
      <c r="V54" s="941"/>
      <c r="W54" s="941"/>
      <c r="X54" s="1023">
        <v>1E-3</v>
      </c>
      <c r="Y54" s="714">
        <v>20</v>
      </c>
      <c r="Z54" s="135"/>
      <c r="AA54" s="394" t="str">
        <f t="shared" si="7"/>
        <v/>
      </c>
      <c r="AB54" s="248" t="str">
        <f t="shared" si="8"/>
        <v/>
      </c>
      <c r="AC54" s="135"/>
      <c r="AD54" s="135"/>
      <c r="AE54" s="135"/>
      <c r="AF54" s="135"/>
      <c r="AG54" s="135"/>
      <c r="AH54" s="135"/>
      <c r="AI54" s="135"/>
      <c r="AJ54" s="135"/>
      <c r="AK54" s="135"/>
      <c r="AL54" s="135"/>
      <c r="AM54" s="135"/>
      <c r="AN54" s="135"/>
      <c r="AO54" s="135"/>
      <c r="AP54" s="135"/>
      <c r="AQ54" s="135"/>
      <c r="AR54" s="135"/>
      <c r="AS54" s="135"/>
      <c r="AT54" s="135"/>
      <c r="AU54" s="135"/>
      <c r="AV54" s="135"/>
    </row>
    <row r="55" spans="1:48" s="57" customFormat="1" ht="10.35" customHeight="1" outlineLevel="1">
      <c r="A55" s="135"/>
      <c r="B55" s="206">
        <f t="shared" si="3"/>
        <v>1</v>
      </c>
      <c r="C55" s="807" t="str">
        <f t="shared" si="4"/>
        <v>Available waste heat (DC heat source)</v>
      </c>
      <c r="D55" s="714">
        <v>21</v>
      </c>
      <c r="E55" s="947">
        <f t="shared" si="9"/>
        <v>2</v>
      </c>
      <c r="F55" s="946">
        <f t="shared" si="5"/>
        <v>2</v>
      </c>
      <c r="G55" s="947">
        <f t="shared" si="10"/>
        <v>2</v>
      </c>
      <c r="H55" s="947">
        <f t="shared" si="10"/>
        <v>2</v>
      </c>
      <c r="I55" s="947">
        <f t="shared" si="10"/>
        <v>2</v>
      </c>
      <c r="J55" s="947">
        <v>0</v>
      </c>
      <c r="K55" s="946"/>
      <c r="L55" s="941"/>
      <c r="M55" s="941"/>
      <c r="N55" s="941"/>
      <c r="O55" s="941"/>
      <c r="P55" s="941"/>
      <c r="Q55" s="941"/>
      <c r="R55" s="941"/>
      <c r="S55" s="941"/>
      <c r="T55" s="941"/>
      <c r="U55" s="941"/>
      <c r="V55" s="941"/>
      <c r="W55" s="941"/>
      <c r="X55" s="1023">
        <v>1E-3</v>
      </c>
      <c r="Y55" s="714">
        <v>21</v>
      </c>
      <c r="Z55" s="135"/>
      <c r="AA55" s="394" t="str">
        <f t="shared" si="7"/>
        <v/>
      </c>
      <c r="AB55" s="248" t="str">
        <f t="shared" si="8"/>
        <v/>
      </c>
      <c r="AC55" s="135"/>
      <c r="AD55" s="135"/>
      <c r="AE55" s="135"/>
      <c r="AF55" s="135"/>
      <c r="AG55" s="135"/>
      <c r="AH55" s="135"/>
      <c r="AI55" s="135"/>
      <c r="AJ55" s="135"/>
      <c r="AK55" s="135"/>
      <c r="AL55" s="135"/>
      <c r="AM55" s="135"/>
      <c r="AN55" s="135"/>
      <c r="AO55" s="135"/>
      <c r="AP55" s="135"/>
      <c r="AQ55" s="135"/>
      <c r="AR55" s="135"/>
      <c r="AS55" s="135"/>
      <c r="AT55" s="135"/>
      <c r="AU55" s="135"/>
      <c r="AV55" s="135"/>
    </row>
    <row r="56" spans="1:48" s="57" customFormat="1" ht="10.35" customHeight="1" outlineLevel="1">
      <c r="A56" s="135"/>
      <c r="B56" s="206">
        <f t="shared" si="3"/>
        <v>1</v>
      </c>
      <c r="C56" s="807" t="str">
        <f t="shared" si="4"/>
        <v>Available waste heat (DC heat source)</v>
      </c>
      <c r="D56" s="714">
        <v>22</v>
      </c>
      <c r="E56" s="947">
        <f t="shared" si="9"/>
        <v>2</v>
      </c>
      <c r="F56" s="946">
        <f t="shared" si="5"/>
        <v>2</v>
      </c>
      <c r="G56" s="947">
        <f t="shared" si="10"/>
        <v>2</v>
      </c>
      <c r="H56" s="947">
        <f t="shared" si="10"/>
        <v>2</v>
      </c>
      <c r="I56" s="947">
        <f t="shared" si="10"/>
        <v>2</v>
      </c>
      <c r="J56" s="947">
        <v>0</v>
      </c>
      <c r="K56" s="946"/>
      <c r="L56" s="941"/>
      <c r="M56" s="941"/>
      <c r="N56" s="941"/>
      <c r="O56" s="941"/>
      <c r="P56" s="941"/>
      <c r="Q56" s="941"/>
      <c r="R56" s="941"/>
      <c r="S56" s="941"/>
      <c r="T56" s="941"/>
      <c r="U56" s="941"/>
      <c r="V56" s="941"/>
      <c r="W56" s="941"/>
      <c r="X56" s="1023">
        <v>1E-3</v>
      </c>
      <c r="Y56" s="714">
        <v>22</v>
      </c>
      <c r="Z56" s="135"/>
      <c r="AA56" s="394" t="str">
        <f t="shared" si="7"/>
        <v/>
      </c>
      <c r="AB56" s="248" t="str">
        <f t="shared" si="8"/>
        <v/>
      </c>
      <c r="AC56" s="135"/>
      <c r="AD56" s="135"/>
      <c r="AE56" s="135"/>
      <c r="AF56" s="135"/>
      <c r="AG56" s="135"/>
      <c r="AH56" s="135"/>
      <c r="AI56" s="135"/>
      <c r="AJ56" s="135"/>
      <c r="AK56" s="135"/>
      <c r="AL56" s="135"/>
      <c r="AM56" s="135"/>
      <c r="AN56" s="135"/>
      <c r="AO56" s="135"/>
      <c r="AP56" s="135"/>
      <c r="AQ56" s="135"/>
      <c r="AR56" s="135"/>
      <c r="AS56" s="135"/>
      <c r="AT56" s="135"/>
      <c r="AU56" s="135"/>
      <c r="AV56" s="135"/>
    </row>
    <row r="57" spans="1:48" s="57" customFormat="1" ht="10.35" customHeight="1" outlineLevel="1">
      <c r="A57" s="135"/>
      <c r="B57" s="206">
        <f t="shared" si="3"/>
        <v>1</v>
      </c>
      <c r="C57" s="807" t="str">
        <f t="shared" si="4"/>
        <v>Available waste heat (DC heat source)</v>
      </c>
      <c r="D57" s="714">
        <v>23</v>
      </c>
      <c r="E57" s="947">
        <f t="shared" si="9"/>
        <v>2</v>
      </c>
      <c r="F57" s="946">
        <f t="shared" si="5"/>
        <v>2</v>
      </c>
      <c r="G57" s="947">
        <f t="shared" si="10"/>
        <v>2</v>
      </c>
      <c r="H57" s="947">
        <f t="shared" si="10"/>
        <v>2</v>
      </c>
      <c r="I57" s="947">
        <f t="shared" si="10"/>
        <v>2</v>
      </c>
      <c r="J57" s="947">
        <v>0</v>
      </c>
      <c r="K57" s="946"/>
      <c r="L57" s="941"/>
      <c r="M57" s="941"/>
      <c r="N57" s="941"/>
      <c r="O57" s="941"/>
      <c r="P57" s="941"/>
      <c r="Q57" s="941"/>
      <c r="R57" s="941"/>
      <c r="S57" s="941"/>
      <c r="T57" s="941"/>
      <c r="U57" s="941"/>
      <c r="V57" s="941"/>
      <c r="W57" s="941"/>
      <c r="X57" s="1023">
        <v>1E-3</v>
      </c>
      <c r="Y57" s="714">
        <v>23</v>
      </c>
      <c r="Z57" s="135"/>
      <c r="AA57" s="394" t="str">
        <f t="shared" si="7"/>
        <v/>
      </c>
      <c r="AB57" s="248" t="str">
        <f t="shared" si="8"/>
        <v/>
      </c>
      <c r="AC57" s="135"/>
      <c r="AD57" s="135"/>
      <c r="AE57" s="135"/>
      <c r="AF57" s="135"/>
      <c r="AG57" s="135"/>
      <c r="AH57" s="135"/>
      <c r="AI57" s="135"/>
      <c r="AJ57" s="135"/>
      <c r="AK57" s="135"/>
      <c r="AL57" s="135"/>
      <c r="AM57" s="135"/>
      <c r="AN57" s="135"/>
      <c r="AO57" s="135"/>
      <c r="AP57" s="135"/>
      <c r="AQ57" s="135"/>
      <c r="AR57" s="135"/>
      <c r="AS57" s="135"/>
      <c r="AT57" s="135"/>
      <c r="AU57" s="135"/>
      <c r="AV57" s="135"/>
    </row>
    <row r="58" spans="1:48" s="57" customFormat="1" ht="10.35" customHeight="1" outlineLevel="1">
      <c r="A58" s="135"/>
      <c r="B58" s="206">
        <f t="shared" si="3"/>
        <v>1</v>
      </c>
      <c r="C58" s="959" t="str">
        <f t="shared" si="4"/>
        <v>Available waste heat (DC heat source)</v>
      </c>
      <c r="D58" s="948">
        <v>24</v>
      </c>
      <c r="E58" s="950">
        <f t="shared" si="9"/>
        <v>2</v>
      </c>
      <c r="F58" s="951">
        <f t="shared" si="5"/>
        <v>2</v>
      </c>
      <c r="G58" s="952">
        <f t="shared" si="10"/>
        <v>2</v>
      </c>
      <c r="H58" s="953">
        <f t="shared" si="10"/>
        <v>2</v>
      </c>
      <c r="I58" s="953">
        <f t="shared" si="10"/>
        <v>2</v>
      </c>
      <c r="J58" s="954">
        <v>0</v>
      </c>
      <c r="K58" s="946"/>
      <c r="L58" s="941"/>
      <c r="M58" s="941"/>
      <c r="N58" s="941"/>
      <c r="O58" s="941"/>
      <c r="P58" s="941"/>
      <c r="Q58" s="941"/>
      <c r="R58" s="941"/>
      <c r="S58" s="941"/>
      <c r="T58" s="941"/>
      <c r="U58" s="941"/>
      <c r="V58" s="941"/>
      <c r="W58" s="941"/>
      <c r="X58" s="1023">
        <v>1E-3</v>
      </c>
      <c r="Y58" s="948">
        <v>24</v>
      </c>
      <c r="Z58" s="135"/>
      <c r="AA58" s="394" t="str">
        <f t="shared" si="7"/>
        <v/>
      </c>
      <c r="AB58" s="248" t="str">
        <f t="shared" si="8"/>
        <v/>
      </c>
      <c r="AC58" s="135"/>
      <c r="AD58" s="135"/>
      <c r="AE58" s="135"/>
      <c r="AF58" s="135"/>
      <c r="AG58" s="135"/>
      <c r="AH58" s="135"/>
      <c r="AI58" s="135"/>
      <c r="AJ58" s="135"/>
      <c r="AK58" s="135"/>
      <c r="AL58" s="135"/>
      <c r="AM58" s="135"/>
      <c r="AN58" s="135"/>
      <c r="AO58" s="135"/>
      <c r="AP58" s="135"/>
      <c r="AQ58" s="135"/>
      <c r="AR58" s="135"/>
      <c r="AS58" s="135"/>
      <c r="AT58" s="135"/>
      <c r="AU58" s="135"/>
      <c r="AV58" s="135"/>
    </row>
    <row r="59" spans="1:48" s="57" customFormat="1" ht="11.25">
      <c r="A59" s="135"/>
      <c r="B59" s="206">
        <f t="shared" si="3"/>
        <v>1</v>
      </c>
      <c r="C59" s="662"/>
      <c r="D59" s="928" t="s">
        <v>349</v>
      </c>
      <c r="E59" s="955">
        <f t="shared" ref="E59:X59" si="11">SUM(E35:E58)/24</f>
        <v>2</v>
      </c>
      <c r="F59" s="956">
        <f t="shared" si="11"/>
        <v>2</v>
      </c>
      <c r="G59" s="956">
        <f t="shared" si="11"/>
        <v>2</v>
      </c>
      <c r="H59" s="956">
        <f t="shared" si="11"/>
        <v>2</v>
      </c>
      <c r="I59" s="956">
        <f t="shared" si="11"/>
        <v>2</v>
      </c>
      <c r="J59" s="957">
        <f t="shared" si="11"/>
        <v>0</v>
      </c>
      <c r="K59" s="943">
        <f t="shared" si="11"/>
        <v>0</v>
      </c>
      <c r="L59" s="943">
        <f t="shared" si="11"/>
        <v>0</v>
      </c>
      <c r="M59" s="943">
        <f t="shared" si="11"/>
        <v>0</v>
      </c>
      <c r="N59" s="943">
        <f t="shared" si="11"/>
        <v>0</v>
      </c>
      <c r="O59" s="943">
        <f t="shared" si="11"/>
        <v>0</v>
      </c>
      <c r="P59" s="943">
        <f t="shared" si="11"/>
        <v>0</v>
      </c>
      <c r="Q59" s="943">
        <f t="shared" si="11"/>
        <v>0</v>
      </c>
      <c r="R59" s="943">
        <f t="shared" si="11"/>
        <v>0</v>
      </c>
      <c r="S59" s="943">
        <f t="shared" si="11"/>
        <v>0</v>
      </c>
      <c r="T59" s="943">
        <f t="shared" si="11"/>
        <v>0</v>
      </c>
      <c r="U59" s="943">
        <f t="shared" si="11"/>
        <v>0</v>
      </c>
      <c r="V59" s="943">
        <f t="shared" si="11"/>
        <v>0</v>
      </c>
      <c r="W59" s="943">
        <f t="shared" si="11"/>
        <v>0</v>
      </c>
      <c r="X59" s="943">
        <f t="shared" si="11"/>
        <v>1.0000000000000007E-3</v>
      </c>
      <c r="Y59" s="662" t="s">
        <v>349</v>
      </c>
      <c r="Z59" s="135"/>
      <c r="AA59" s="135"/>
      <c r="AB59" s="135"/>
      <c r="AC59" s="135"/>
      <c r="AD59" s="135"/>
      <c r="AE59" s="135"/>
      <c r="AF59" s="135"/>
      <c r="AG59" s="135"/>
      <c r="AH59" s="135"/>
      <c r="AI59" s="135"/>
      <c r="AJ59" s="135"/>
      <c r="AK59" s="135"/>
      <c r="AL59" s="135"/>
      <c r="AM59" s="135"/>
      <c r="AN59" s="135"/>
      <c r="AO59" s="135"/>
      <c r="AP59" s="135"/>
      <c r="AQ59" s="135"/>
      <c r="AR59" s="135"/>
      <c r="AS59" s="135"/>
      <c r="AT59" s="135"/>
      <c r="AU59" s="135"/>
      <c r="AV59" s="135"/>
    </row>
    <row r="60" spans="1:48" s="57" customFormat="1" ht="11.25">
      <c r="A60" s="135"/>
      <c r="B60" s="206">
        <f t="shared" si="3"/>
        <v>1</v>
      </c>
      <c r="C60" s="958"/>
      <c r="D60" s="958"/>
      <c r="E60" s="949"/>
      <c r="F60" s="949"/>
      <c r="G60" s="949"/>
      <c r="H60" s="949"/>
      <c r="I60" s="949"/>
      <c r="J60" s="949"/>
      <c r="K60" s="807"/>
      <c r="L60" s="807"/>
      <c r="M60" s="807"/>
      <c r="N60" s="807"/>
      <c r="O60" s="807"/>
      <c r="P60" s="807"/>
      <c r="Q60" s="807"/>
      <c r="R60" s="807"/>
      <c r="S60" s="807"/>
      <c r="T60" s="807"/>
      <c r="U60" s="807"/>
      <c r="V60" s="807"/>
      <c r="W60" s="807"/>
      <c r="X60" s="807"/>
      <c r="Y60" s="949"/>
      <c r="Z60" s="135"/>
      <c r="AA60" s="135"/>
      <c r="AB60" s="135"/>
      <c r="AC60" s="135"/>
      <c r="AD60" s="135"/>
      <c r="AE60" s="135"/>
      <c r="AF60" s="135"/>
      <c r="AG60" s="135"/>
      <c r="AH60" s="135"/>
      <c r="AI60" s="135"/>
      <c r="AJ60" s="135"/>
      <c r="AK60" s="135"/>
      <c r="AL60" s="135"/>
      <c r="AM60" s="135"/>
      <c r="AN60" s="135"/>
      <c r="AO60" s="135"/>
      <c r="AP60" s="135"/>
      <c r="AQ60" s="135"/>
      <c r="AR60" s="135"/>
      <c r="AS60" s="135"/>
      <c r="AT60" s="135"/>
      <c r="AU60" s="135"/>
      <c r="AV60" s="135"/>
    </row>
    <row r="61" spans="1:48" s="57" customFormat="1" ht="25.35" customHeight="1">
      <c r="A61" s="1009" t="s">
        <v>73</v>
      </c>
      <c r="B61" s="206">
        <f>B58+1</f>
        <v>2</v>
      </c>
      <c r="C61" s="807" t="str">
        <f>E61</f>
        <v>Max heat demand - grid (HP heat sink)</v>
      </c>
      <c r="D61" s="718" t="s">
        <v>345</v>
      </c>
      <c r="E61" s="1116" t="s">
        <v>350</v>
      </c>
      <c r="F61" s="1117"/>
      <c r="G61" s="1117"/>
      <c r="H61" s="1117"/>
      <c r="I61" s="1117"/>
      <c r="J61" s="1117"/>
      <c r="K61" s="1117"/>
      <c r="L61" s="1117"/>
      <c r="M61" s="1117"/>
      <c r="N61" s="1117"/>
      <c r="O61" s="1117"/>
      <c r="P61" s="1117"/>
      <c r="Q61" s="1117"/>
      <c r="R61" s="1117"/>
      <c r="S61" s="1117"/>
      <c r="T61" s="1117"/>
      <c r="U61" s="1117"/>
      <c r="V61" s="1117"/>
      <c r="W61" s="1117"/>
      <c r="X61" s="1118"/>
      <c r="Y61" s="815" t="s">
        <v>345</v>
      </c>
      <c r="Z61" s="135"/>
      <c r="AA61" s="135"/>
      <c r="AB61" s="135"/>
      <c r="AC61" s="135"/>
      <c r="AD61" s="135"/>
      <c r="AE61" s="135"/>
      <c r="AF61" s="135"/>
      <c r="AG61" s="135"/>
      <c r="AH61" s="135"/>
      <c r="AI61" s="135"/>
      <c r="AJ61" s="135"/>
      <c r="AK61" s="135"/>
      <c r="AL61" s="135"/>
      <c r="AM61" s="135"/>
      <c r="AN61" s="135"/>
      <c r="AO61" s="135"/>
      <c r="AP61" s="135"/>
      <c r="AQ61" s="135"/>
      <c r="AR61" s="135"/>
      <c r="AS61" s="135"/>
      <c r="AT61" s="135"/>
      <c r="AU61" s="135"/>
      <c r="AV61" s="135"/>
    </row>
    <row r="62" spans="1:48" s="8" customFormat="1" ht="11.85" customHeight="1" outlineLevel="1">
      <c r="A62" s="7"/>
      <c r="B62" s="206">
        <f>B61</f>
        <v>2</v>
      </c>
      <c r="C62" s="807" t="str">
        <f>C61</f>
        <v>Max heat demand - grid (HP heat sink)</v>
      </c>
      <c r="D62" s="655"/>
      <c r="E62" s="1119" t="s">
        <v>71</v>
      </c>
      <c r="F62" s="1119"/>
      <c r="G62" s="1119"/>
      <c r="H62" s="1119"/>
      <c r="I62" s="1119"/>
      <c r="J62" s="1119"/>
      <c r="K62" s="1119"/>
      <c r="L62" s="1119"/>
      <c r="M62" s="1119"/>
      <c r="N62" s="1119"/>
      <c r="O62" s="1119"/>
      <c r="P62" s="1119"/>
      <c r="Q62" s="1119"/>
      <c r="R62" s="1119"/>
      <c r="S62" s="1119"/>
      <c r="T62" s="1119"/>
      <c r="U62" s="1119"/>
      <c r="V62" s="1119"/>
      <c r="W62" s="1119"/>
      <c r="X62" s="1119"/>
      <c r="Y62" s="655"/>
      <c r="Z62" s="7"/>
      <c r="AA62" s="7"/>
      <c r="AB62" s="7"/>
      <c r="AC62" s="7"/>
      <c r="AD62" s="7"/>
      <c r="AE62" s="7"/>
      <c r="AF62" s="7"/>
      <c r="AG62" s="7"/>
      <c r="AH62" s="7"/>
      <c r="AI62" s="7"/>
      <c r="AJ62" s="7"/>
      <c r="AK62" s="7"/>
      <c r="AL62" s="7"/>
      <c r="AM62" s="7"/>
      <c r="AN62" s="7"/>
      <c r="AO62" s="7"/>
      <c r="AP62" s="7"/>
      <c r="AQ62" s="7"/>
      <c r="AR62" s="7"/>
      <c r="AS62" s="7"/>
      <c r="AT62" s="7"/>
      <c r="AU62" s="7"/>
      <c r="AV62" s="7"/>
    </row>
    <row r="63" spans="1:48" s="8" customFormat="1" ht="34.35" customHeight="1" outlineLevel="1">
      <c r="A63" s="7"/>
      <c r="B63" s="206">
        <f t="shared" ref="B63:B89" si="12">B62</f>
        <v>2</v>
      </c>
      <c r="C63" s="8" t="str">
        <f t="shared" ref="C63:C87" si="13">C62</f>
        <v>Max heat demand - grid (HP heat sink)</v>
      </c>
      <c r="D63" s="618"/>
      <c r="E63" s="1110" t="s">
        <v>351</v>
      </c>
      <c r="F63" s="1110"/>
      <c r="G63" s="1110"/>
      <c r="H63" s="1110"/>
      <c r="I63" s="1110"/>
      <c r="J63" s="1110"/>
      <c r="K63" s="1110"/>
      <c r="L63" s="1110"/>
      <c r="M63" s="1110"/>
      <c r="N63" s="1110"/>
      <c r="O63" s="1110"/>
      <c r="P63" s="1110"/>
      <c r="Q63" s="1110"/>
      <c r="R63" s="1110"/>
      <c r="S63" s="1110"/>
      <c r="T63" s="1110"/>
      <c r="U63" s="1110"/>
      <c r="V63" s="1110"/>
      <c r="W63" s="1110"/>
      <c r="X63" s="1110"/>
      <c r="Y63" s="618"/>
      <c r="Z63" s="7"/>
      <c r="AA63" s="7"/>
      <c r="AB63" s="7"/>
      <c r="AC63" s="7"/>
      <c r="AD63" s="7"/>
      <c r="AE63" s="7"/>
      <c r="AF63" s="7"/>
      <c r="AG63" s="7"/>
      <c r="AH63" s="7"/>
      <c r="AI63" s="7"/>
      <c r="AJ63" s="7"/>
      <c r="AK63" s="7"/>
      <c r="AL63" s="7"/>
      <c r="AM63" s="7"/>
      <c r="AN63" s="7"/>
      <c r="AO63" s="7"/>
      <c r="AP63" s="7"/>
      <c r="AQ63" s="7"/>
      <c r="AR63" s="7"/>
      <c r="AS63" s="7"/>
      <c r="AT63" s="7"/>
      <c r="AU63" s="7"/>
      <c r="AV63" s="7"/>
    </row>
    <row r="64" spans="1:48" s="57" customFormat="1" ht="10.35" customHeight="1" outlineLevel="1">
      <c r="A64" s="135"/>
      <c r="B64" s="206">
        <f>B63</f>
        <v>2</v>
      </c>
      <c r="C64" s="807" t="str">
        <f t="shared" si="13"/>
        <v>Max heat demand - grid (HP heat sink)</v>
      </c>
      <c r="D64" s="714">
        <v>1</v>
      </c>
      <c r="E64" s="947">
        <v>6</v>
      </c>
      <c r="F64" s="947">
        <v>6</v>
      </c>
      <c r="G64" s="947">
        <v>6</v>
      </c>
      <c r="H64" s="947">
        <v>6</v>
      </c>
      <c r="I64" s="947">
        <v>6</v>
      </c>
      <c r="J64" s="947">
        <v>0</v>
      </c>
      <c r="K64" s="946"/>
      <c r="L64" s="941"/>
      <c r="M64" s="941"/>
      <c r="N64" s="941"/>
      <c r="O64" s="941"/>
      <c r="P64" s="941"/>
      <c r="Q64" s="941"/>
      <c r="R64" s="941"/>
      <c r="S64" s="941"/>
      <c r="T64" s="941"/>
      <c r="U64" s="941"/>
      <c r="V64" s="941"/>
      <c r="W64" s="941"/>
      <c r="X64" s="941">
        <v>100</v>
      </c>
      <c r="Y64" s="714">
        <v>1</v>
      </c>
      <c r="Z64" s="135"/>
      <c r="AA64" s="371" t="str">
        <f t="shared" ref="AA64:AA87" si="14">AB64</f>
        <v/>
      </c>
      <c r="AB64" s="248" t="str">
        <f t="shared" ref="AB64:AB87" si="15">IF(IFERROR((1+X64+W64+V64+U64+T64+S64+R64+Q64+P64+O64+N64+M64+L64+K64+J64+I64+H64+G64+F64+E64)*1, "!!!!")="!!!!","Inputs contain non-numerical data. Please check your input data!","")</f>
        <v/>
      </c>
      <c r="AC64" s="135"/>
      <c r="AD64" s="135"/>
      <c r="AE64" s="135"/>
      <c r="AF64" s="135"/>
      <c r="AG64" s="135"/>
      <c r="AH64" s="135"/>
      <c r="AI64" s="135"/>
      <c r="AJ64" s="135"/>
      <c r="AK64" s="135"/>
      <c r="AL64" s="135"/>
      <c r="AM64" s="135"/>
      <c r="AN64" s="135"/>
      <c r="AO64" s="135"/>
      <c r="AP64" s="135"/>
      <c r="AQ64" s="135"/>
      <c r="AR64" s="135"/>
      <c r="AS64" s="135"/>
      <c r="AT64" s="135"/>
      <c r="AU64" s="135"/>
      <c r="AV64" s="135"/>
    </row>
    <row r="65" spans="1:48" s="57" customFormat="1" ht="10.35" customHeight="1" outlineLevel="1">
      <c r="A65" s="135"/>
      <c r="B65" s="206">
        <f t="shared" si="12"/>
        <v>2</v>
      </c>
      <c r="C65" s="807" t="str">
        <f t="shared" si="13"/>
        <v>Max heat demand - grid (HP heat sink)</v>
      </c>
      <c r="D65" s="714">
        <v>2</v>
      </c>
      <c r="E65" s="947">
        <v>6</v>
      </c>
      <c r="F65" s="947">
        <v>6</v>
      </c>
      <c r="G65" s="947">
        <v>6</v>
      </c>
      <c r="H65" s="947">
        <v>6</v>
      </c>
      <c r="I65" s="947">
        <v>6</v>
      </c>
      <c r="J65" s="947">
        <v>0</v>
      </c>
      <c r="K65" s="946"/>
      <c r="L65" s="941"/>
      <c r="M65" s="941"/>
      <c r="N65" s="941"/>
      <c r="O65" s="941"/>
      <c r="P65" s="941"/>
      <c r="Q65" s="941"/>
      <c r="R65" s="941"/>
      <c r="S65" s="941"/>
      <c r="T65" s="941"/>
      <c r="U65" s="941"/>
      <c r="V65" s="941"/>
      <c r="W65" s="941"/>
      <c r="X65" s="941">
        <v>100</v>
      </c>
      <c r="Y65" s="714">
        <v>2</v>
      </c>
      <c r="Z65" s="135"/>
      <c r="AA65" s="394" t="str">
        <f t="shared" si="14"/>
        <v/>
      </c>
      <c r="AB65" s="248" t="str">
        <f t="shared" si="15"/>
        <v/>
      </c>
      <c r="AC65" s="135"/>
      <c r="AD65" s="135"/>
      <c r="AE65" s="135"/>
      <c r="AF65" s="135"/>
      <c r="AG65" s="135"/>
      <c r="AH65" s="135"/>
      <c r="AI65" s="135"/>
      <c r="AJ65" s="135"/>
      <c r="AK65" s="135"/>
      <c r="AL65" s="135"/>
      <c r="AM65" s="135"/>
      <c r="AN65" s="135"/>
      <c r="AO65" s="135"/>
      <c r="AP65" s="135"/>
      <c r="AQ65" s="135"/>
      <c r="AR65" s="135"/>
      <c r="AS65" s="135"/>
      <c r="AT65" s="135"/>
      <c r="AU65" s="135"/>
      <c r="AV65" s="135"/>
    </row>
    <row r="66" spans="1:48" s="57" customFormat="1" ht="10.35" customHeight="1" outlineLevel="1">
      <c r="A66" s="135"/>
      <c r="B66" s="206">
        <f t="shared" si="12"/>
        <v>2</v>
      </c>
      <c r="C66" s="807" t="str">
        <f t="shared" si="13"/>
        <v>Max heat demand - grid (HP heat sink)</v>
      </c>
      <c r="D66" s="714">
        <v>3</v>
      </c>
      <c r="E66" s="947">
        <v>6</v>
      </c>
      <c r="F66" s="947">
        <v>6</v>
      </c>
      <c r="G66" s="947">
        <v>6</v>
      </c>
      <c r="H66" s="947">
        <v>6</v>
      </c>
      <c r="I66" s="947">
        <v>6</v>
      </c>
      <c r="J66" s="947">
        <v>0</v>
      </c>
      <c r="K66" s="946"/>
      <c r="L66" s="941"/>
      <c r="M66" s="941"/>
      <c r="N66" s="941"/>
      <c r="O66" s="941"/>
      <c r="P66" s="941"/>
      <c r="Q66" s="941"/>
      <c r="R66" s="941"/>
      <c r="S66" s="941"/>
      <c r="T66" s="941"/>
      <c r="U66" s="941"/>
      <c r="V66" s="941"/>
      <c r="W66" s="941"/>
      <c r="X66" s="941">
        <v>100</v>
      </c>
      <c r="Y66" s="714">
        <v>3</v>
      </c>
      <c r="Z66" s="135"/>
      <c r="AA66" s="394" t="str">
        <f t="shared" si="14"/>
        <v/>
      </c>
      <c r="AB66" s="248" t="str">
        <f t="shared" si="15"/>
        <v/>
      </c>
      <c r="AC66" s="135"/>
      <c r="AD66" s="135"/>
      <c r="AE66" s="135"/>
      <c r="AF66" s="135"/>
      <c r="AG66" s="135"/>
      <c r="AH66" s="135"/>
      <c r="AI66" s="135"/>
      <c r="AJ66" s="135"/>
      <c r="AK66" s="135"/>
      <c r="AL66" s="135"/>
      <c r="AM66" s="135"/>
      <c r="AN66" s="135"/>
      <c r="AO66" s="135"/>
      <c r="AP66" s="135"/>
      <c r="AQ66" s="135"/>
      <c r="AR66" s="135"/>
      <c r="AS66" s="135"/>
      <c r="AT66" s="135"/>
      <c r="AU66" s="135"/>
      <c r="AV66" s="135"/>
    </row>
    <row r="67" spans="1:48" s="57" customFormat="1" ht="10.35" customHeight="1" outlineLevel="1">
      <c r="A67" s="135"/>
      <c r="B67" s="206">
        <f t="shared" si="12"/>
        <v>2</v>
      </c>
      <c r="C67" s="807" t="str">
        <f t="shared" si="13"/>
        <v>Max heat demand - grid (HP heat sink)</v>
      </c>
      <c r="D67" s="714">
        <v>4</v>
      </c>
      <c r="E67" s="947">
        <v>6</v>
      </c>
      <c r="F67" s="947">
        <v>6</v>
      </c>
      <c r="G67" s="947">
        <v>6</v>
      </c>
      <c r="H67" s="947">
        <v>6</v>
      </c>
      <c r="I67" s="947">
        <v>6</v>
      </c>
      <c r="J67" s="947">
        <v>0</v>
      </c>
      <c r="K67" s="946"/>
      <c r="L67" s="941"/>
      <c r="M67" s="941"/>
      <c r="N67" s="941"/>
      <c r="O67" s="941"/>
      <c r="P67" s="941"/>
      <c r="Q67" s="941"/>
      <c r="R67" s="941"/>
      <c r="S67" s="941"/>
      <c r="T67" s="941"/>
      <c r="U67" s="941"/>
      <c r="V67" s="941"/>
      <c r="W67" s="941"/>
      <c r="X67" s="941">
        <v>100</v>
      </c>
      <c r="Y67" s="714">
        <v>4</v>
      </c>
      <c r="Z67" s="135"/>
      <c r="AA67" s="394" t="str">
        <f t="shared" si="14"/>
        <v/>
      </c>
      <c r="AB67" s="248" t="str">
        <f t="shared" si="15"/>
        <v/>
      </c>
      <c r="AC67" s="135"/>
      <c r="AD67" s="135"/>
      <c r="AE67" s="135"/>
      <c r="AF67" s="135"/>
      <c r="AG67" s="135"/>
      <c r="AH67" s="135"/>
      <c r="AI67" s="135"/>
      <c r="AJ67" s="135"/>
      <c r="AK67" s="135"/>
      <c r="AL67" s="135"/>
      <c r="AM67" s="135"/>
      <c r="AN67" s="135"/>
      <c r="AO67" s="135"/>
      <c r="AP67" s="135"/>
      <c r="AQ67" s="135"/>
      <c r="AR67" s="135"/>
      <c r="AS67" s="135"/>
      <c r="AT67" s="135"/>
      <c r="AU67" s="135"/>
      <c r="AV67" s="135"/>
    </row>
    <row r="68" spans="1:48" s="57" customFormat="1" ht="10.35" customHeight="1" outlineLevel="1">
      <c r="A68" s="135"/>
      <c r="B68" s="206">
        <f t="shared" si="12"/>
        <v>2</v>
      </c>
      <c r="C68" s="807" t="str">
        <f t="shared" si="13"/>
        <v>Max heat demand - grid (HP heat sink)</v>
      </c>
      <c r="D68" s="714">
        <v>5</v>
      </c>
      <c r="E68" s="947">
        <v>6</v>
      </c>
      <c r="F68" s="947">
        <v>6</v>
      </c>
      <c r="G68" s="947">
        <v>6</v>
      </c>
      <c r="H68" s="947">
        <v>6</v>
      </c>
      <c r="I68" s="947">
        <v>6</v>
      </c>
      <c r="J68" s="947">
        <v>0</v>
      </c>
      <c r="K68" s="946"/>
      <c r="L68" s="941"/>
      <c r="M68" s="941"/>
      <c r="N68" s="941"/>
      <c r="O68" s="941"/>
      <c r="P68" s="941"/>
      <c r="Q68" s="941"/>
      <c r="R68" s="941"/>
      <c r="S68" s="941"/>
      <c r="T68" s="941"/>
      <c r="U68" s="941"/>
      <c r="V68" s="941"/>
      <c r="W68" s="941"/>
      <c r="X68" s="941">
        <v>100</v>
      </c>
      <c r="Y68" s="714">
        <v>5</v>
      </c>
      <c r="Z68" s="135"/>
      <c r="AA68" s="394" t="str">
        <f t="shared" si="14"/>
        <v/>
      </c>
      <c r="AB68" s="248" t="str">
        <f t="shared" si="15"/>
        <v/>
      </c>
      <c r="AC68" s="135"/>
      <c r="AD68" s="135"/>
      <c r="AE68" s="135"/>
      <c r="AF68" s="135"/>
      <c r="AG68" s="135"/>
      <c r="AH68" s="135"/>
      <c r="AI68" s="135"/>
      <c r="AJ68" s="135"/>
      <c r="AK68" s="135"/>
      <c r="AL68" s="135"/>
      <c r="AM68" s="135"/>
      <c r="AN68" s="135"/>
      <c r="AO68" s="135"/>
      <c r="AP68" s="135"/>
      <c r="AQ68" s="135"/>
      <c r="AR68" s="135"/>
      <c r="AS68" s="135"/>
      <c r="AT68" s="135"/>
      <c r="AU68" s="135"/>
      <c r="AV68" s="135"/>
    </row>
    <row r="69" spans="1:48" s="57" customFormat="1" ht="10.35" customHeight="1" outlineLevel="1">
      <c r="A69" s="135"/>
      <c r="B69" s="206">
        <f t="shared" si="12"/>
        <v>2</v>
      </c>
      <c r="C69" s="807" t="str">
        <f t="shared" si="13"/>
        <v>Max heat demand - grid (HP heat sink)</v>
      </c>
      <c r="D69" s="714">
        <v>6</v>
      </c>
      <c r="E69" s="947">
        <v>6</v>
      </c>
      <c r="F69" s="947">
        <v>6</v>
      </c>
      <c r="G69" s="947">
        <v>6</v>
      </c>
      <c r="H69" s="947">
        <v>6</v>
      </c>
      <c r="I69" s="947">
        <v>6</v>
      </c>
      <c r="J69" s="947">
        <v>0</v>
      </c>
      <c r="K69" s="946"/>
      <c r="L69" s="941"/>
      <c r="M69" s="941"/>
      <c r="N69" s="941"/>
      <c r="O69" s="941"/>
      <c r="P69" s="941"/>
      <c r="Q69" s="941"/>
      <c r="R69" s="941"/>
      <c r="S69" s="941"/>
      <c r="T69" s="941"/>
      <c r="U69" s="941"/>
      <c r="V69" s="941"/>
      <c r="W69" s="941"/>
      <c r="X69" s="941">
        <v>100</v>
      </c>
      <c r="Y69" s="714">
        <v>6</v>
      </c>
      <c r="Z69" s="135"/>
      <c r="AA69" s="394" t="str">
        <f t="shared" si="14"/>
        <v/>
      </c>
      <c r="AB69" s="248" t="str">
        <f t="shared" si="15"/>
        <v/>
      </c>
      <c r="AC69" s="135"/>
      <c r="AD69" s="135"/>
      <c r="AE69" s="135"/>
      <c r="AF69" s="135"/>
      <c r="AG69" s="135"/>
      <c r="AH69" s="135"/>
      <c r="AI69" s="135"/>
      <c r="AJ69" s="135"/>
      <c r="AK69" s="135"/>
      <c r="AL69" s="135"/>
      <c r="AM69" s="135"/>
      <c r="AN69" s="135"/>
      <c r="AO69" s="135"/>
      <c r="AP69" s="135"/>
      <c r="AQ69" s="135"/>
      <c r="AR69" s="135"/>
      <c r="AS69" s="135"/>
      <c r="AT69" s="135"/>
      <c r="AU69" s="135"/>
      <c r="AV69" s="135"/>
    </row>
    <row r="70" spans="1:48" s="57" customFormat="1" ht="10.35" customHeight="1" outlineLevel="1">
      <c r="A70" s="135"/>
      <c r="B70" s="206">
        <f t="shared" si="12"/>
        <v>2</v>
      </c>
      <c r="C70" s="807" t="str">
        <f t="shared" si="13"/>
        <v>Max heat demand - grid (HP heat sink)</v>
      </c>
      <c r="D70" s="714">
        <v>7</v>
      </c>
      <c r="E70" s="947">
        <v>6</v>
      </c>
      <c r="F70" s="947">
        <v>6</v>
      </c>
      <c r="G70" s="947">
        <v>6</v>
      </c>
      <c r="H70" s="947">
        <v>6</v>
      </c>
      <c r="I70" s="947">
        <v>6</v>
      </c>
      <c r="J70" s="947">
        <v>0</v>
      </c>
      <c r="K70" s="946"/>
      <c r="L70" s="941"/>
      <c r="M70" s="941"/>
      <c r="N70" s="941"/>
      <c r="O70" s="941"/>
      <c r="P70" s="941"/>
      <c r="Q70" s="941"/>
      <c r="R70" s="941"/>
      <c r="S70" s="941"/>
      <c r="T70" s="941"/>
      <c r="U70" s="941"/>
      <c r="V70" s="941"/>
      <c r="W70" s="941"/>
      <c r="X70" s="941">
        <v>100</v>
      </c>
      <c r="Y70" s="714">
        <v>7</v>
      </c>
      <c r="Z70" s="135"/>
      <c r="AA70" s="394" t="str">
        <f t="shared" si="14"/>
        <v/>
      </c>
      <c r="AB70" s="248" t="str">
        <f t="shared" si="15"/>
        <v/>
      </c>
      <c r="AC70" s="135"/>
      <c r="AD70" s="135"/>
      <c r="AE70" s="135"/>
      <c r="AF70" s="135"/>
      <c r="AG70" s="135"/>
      <c r="AH70" s="135"/>
      <c r="AI70" s="135"/>
      <c r="AJ70" s="135"/>
      <c r="AK70" s="135"/>
      <c r="AL70" s="135"/>
      <c r="AM70" s="135"/>
      <c r="AN70" s="135"/>
      <c r="AO70" s="135"/>
      <c r="AP70" s="135"/>
      <c r="AQ70" s="135"/>
      <c r="AR70" s="135"/>
      <c r="AS70" s="135"/>
      <c r="AT70" s="135"/>
      <c r="AU70" s="135"/>
      <c r="AV70" s="135"/>
    </row>
    <row r="71" spans="1:48" s="57" customFormat="1" ht="10.35" customHeight="1" outlineLevel="1">
      <c r="A71" s="135"/>
      <c r="B71" s="206">
        <f t="shared" si="12"/>
        <v>2</v>
      </c>
      <c r="C71" s="807" t="str">
        <f t="shared" si="13"/>
        <v>Max heat demand - grid (HP heat sink)</v>
      </c>
      <c r="D71" s="714">
        <v>8</v>
      </c>
      <c r="E71" s="947">
        <v>6</v>
      </c>
      <c r="F71" s="947">
        <v>6</v>
      </c>
      <c r="G71" s="947">
        <v>6</v>
      </c>
      <c r="H71" s="947">
        <v>6</v>
      </c>
      <c r="I71" s="947">
        <v>6</v>
      </c>
      <c r="J71" s="947">
        <v>0</v>
      </c>
      <c r="K71" s="946"/>
      <c r="L71" s="941"/>
      <c r="M71" s="941"/>
      <c r="N71" s="941"/>
      <c r="O71" s="941"/>
      <c r="P71" s="941"/>
      <c r="Q71" s="941"/>
      <c r="R71" s="941"/>
      <c r="S71" s="941"/>
      <c r="T71" s="941"/>
      <c r="U71" s="941"/>
      <c r="V71" s="941"/>
      <c r="W71" s="941"/>
      <c r="X71" s="941">
        <v>100</v>
      </c>
      <c r="Y71" s="714">
        <v>8</v>
      </c>
      <c r="Z71" s="135"/>
      <c r="AA71" s="394" t="str">
        <f t="shared" si="14"/>
        <v/>
      </c>
      <c r="AB71" s="248" t="str">
        <f t="shared" si="15"/>
        <v/>
      </c>
      <c r="AC71" s="135"/>
      <c r="AD71" s="135"/>
      <c r="AE71" s="135"/>
      <c r="AF71" s="135"/>
      <c r="AG71" s="135"/>
      <c r="AH71" s="135"/>
      <c r="AI71" s="135"/>
      <c r="AJ71" s="135"/>
      <c r="AK71" s="135"/>
      <c r="AL71" s="135"/>
      <c r="AM71" s="135"/>
      <c r="AN71" s="135"/>
      <c r="AO71" s="135"/>
      <c r="AP71" s="135"/>
      <c r="AQ71" s="135"/>
      <c r="AR71" s="135"/>
      <c r="AS71" s="135"/>
      <c r="AT71" s="135"/>
      <c r="AU71" s="135"/>
      <c r="AV71" s="135"/>
    </row>
    <row r="72" spans="1:48" s="57" customFormat="1" ht="10.35" customHeight="1" outlineLevel="1">
      <c r="A72" s="135"/>
      <c r="B72" s="206">
        <f t="shared" si="12"/>
        <v>2</v>
      </c>
      <c r="C72" s="807" t="str">
        <f t="shared" si="13"/>
        <v>Max heat demand - grid (HP heat sink)</v>
      </c>
      <c r="D72" s="714">
        <v>9</v>
      </c>
      <c r="E72" s="947">
        <v>6</v>
      </c>
      <c r="F72" s="947">
        <v>6</v>
      </c>
      <c r="G72" s="947">
        <v>6</v>
      </c>
      <c r="H72" s="947">
        <v>6</v>
      </c>
      <c r="I72" s="947">
        <v>6</v>
      </c>
      <c r="J72" s="947">
        <v>0</v>
      </c>
      <c r="K72" s="946"/>
      <c r="L72" s="941"/>
      <c r="M72" s="941"/>
      <c r="N72" s="941"/>
      <c r="O72" s="941"/>
      <c r="P72" s="941"/>
      <c r="Q72" s="941"/>
      <c r="R72" s="941"/>
      <c r="S72" s="941"/>
      <c r="T72" s="941"/>
      <c r="U72" s="941"/>
      <c r="V72" s="941"/>
      <c r="W72" s="941"/>
      <c r="X72" s="941">
        <v>100</v>
      </c>
      <c r="Y72" s="714">
        <v>9</v>
      </c>
      <c r="Z72" s="135"/>
      <c r="AA72" s="394" t="str">
        <f t="shared" si="14"/>
        <v/>
      </c>
      <c r="AB72" s="248" t="str">
        <f t="shared" si="15"/>
        <v/>
      </c>
      <c r="AC72" s="135"/>
      <c r="AD72" s="135"/>
      <c r="AE72" s="135"/>
      <c r="AF72" s="135"/>
      <c r="AG72" s="135"/>
      <c r="AH72" s="135"/>
      <c r="AI72" s="135"/>
      <c r="AJ72" s="135"/>
      <c r="AK72" s="135"/>
      <c r="AL72" s="135"/>
      <c r="AM72" s="135"/>
      <c r="AN72" s="135"/>
      <c r="AO72" s="135"/>
      <c r="AP72" s="135"/>
      <c r="AQ72" s="135"/>
      <c r="AR72" s="135"/>
      <c r="AS72" s="135"/>
      <c r="AT72" s="135"/>
      <c r="AU72" s="135"/>
      <c r="AV72" s="135"/>
    </row>
    <row r="73" spans="1:48" s="57" customFormat="1" ht="10.35" customHeight="1" outlineLevel="1">
      <c r="A73" s="135"/>
      <c r="B73" s="206">
        <f t="shared" si="12"/>
        <v>2</v>
      </c>
      <c r="C73" s="807" t="str">
        <f t="shared" si="13"/>
        <v>Max heat demand - grid (HP heat sink)</v>
      </c>
      <c r="D73" s="714">
        <v>10</v>
      </c>
      <c r="E73" s="947">
        <v>6</v>
      </c>
      <c r="F73" s="947">
        <v>6</v>
      </c>
      <c r="G73" s="947">
        <v>6</v>
      </c>
      <c r="H73" s="947">
        <v>6</v>
      </c>
      <c r="I73" s="947">
        <v>6</v>
      </c>
      <c r="J73" s="947">
        <v>0</v>
      </c>
      <c r="K73" s="946"/>
      <c r="L73" s="941"/>
      <c r="M73" s="941"/>
      <c r="N73" s="941"/>
      <c r="O73" s="941"/>
      <c r="P73" s="941"/>
      <c r="Q73" s="941"/>
      <c r="R73" s="941"/>
      <c r="S73" s="941"/>
      <c r="T73" s="941"/>
      <c r="U73" s="941"/>
      <c r="V73" s="941"/>
      <c r="W73" s="941"/>
      <c r="X73" s="941">
        <v>100</v>
      </c>
      <c r="Y73" s="714">
        <v>10</v>
      </c>
      <c r="Z73" s="135"/>
      <c r="AA73" s="394" t="str">
        <f t="shared" si="14"/>
        <v/>
      </c>
      <c r="AB73" s="248" t="str">
        <f t="shared" si="15"/>
        <v/>
      </c>
      <c r="AC73" s="135"/>
      <c r="AD73" s="135"/>
      <c r="AE73" s="135"/>
      <c r="AF73" s="135"/>
      <c r="AG73" s="135"/>
      <c r="AH73" s="135"/>
      <c r="AI73" s="135"/>
      <c r="AJ73" s="135"/>
      <c r="AK73" s="135"/>
      <c r="AL73" s="135"/>
      <c r="AM73" s="135"/>
      <c r="AN73" s="135"/>
      <c r="AO73" s="135"/>
      <c r="AP73" s="135"/>
      <c r="AQ73" s="135"/>
      <c r="AR73" s="135"/>
      <c r="AS73" s="135"/>
      <c r="AT73" s="135"/>
      <c r="AU73" s="135"/>
      <c r="AV73" s="135"/>
    </row>
    <row r="74" spans="1:48" s="57" customFormat="1" ht="10.35" customHeight="1" outlineLevel="1">
      <c r="A74" s="135"/>
      <c r="B74" s="206">
        <f t="shared" si="12"/>
        <v>2</v>
      </c>
      <c r="C74" s="807" t="str">
        <f t="shared" si="13"/>
        <v>Max heat demand - grid (HP heat sink)</v>
      </c>
      <c r="D74" s="714">
        <v>11</v>
      </c>
      <c r="E74" s="947">
        <v>6</v>
      </c>
      <c r="F74" s="947">
        <v>6</v>
      </c>
      <c r="G74" s="947">
        <v>6</v>
      </c>
      <c r="H74" s="947">
        <v>6</v>
      </c>
      <c r="I74" s="947">
        <v>6</v>
      </c>
      <c r="J74" s="947">
        <v>0</v>
      </c>
      <c r="K74" s="946"/>
      <c r="L74" s="941"/>
      <c r="M74" s="941"/>
      <c r="N74" s="941"/>
      <c r="O74" s="941"/>
      <c r="P74" s="941"/>
      <c r="Q74" s="941"/>
      <c r="R74" s="941"/>
      <c r="S74" s="941"/>
      <c r="T74" s="941"/>
      <c r="U74" s="941"/>
      <c r="V74" s="941"/>
      <c r="W74" s="941"/>
      <c r="X74" s="941">
        <v>100</v>
      </c>
      <c r="Y74" s="714">
        <v>11</v>
      </c>
      <c r="Z74" s="135"/>
      <c r="AA74" s="394" t="str">
        <f t="shared" si="14"/>
        <v/>
      </c>
      <c r="AB74" s="248" t="str">
        <f t="shared" si="15"/>
        <v/>
      </c>
      <c r="AC74" s="135"/>
      <c r="AD74" s="135"/>
      <c r="AE74" s="135"/>
      <c r="AF74" s="135"/>
      <c r="AG74" s="135"/>
      <c r="AH74" s="135"/>
      <c r="AI74" s="135"/>
      <c r="AJ74" s="135"/>
      <c r="AK74" s="135"/>
      <c r="AL74" s="135"/>
      <c r="AM74" s="135"/>
      <c r="AN74" s="135"/>
      <c r="AO74" s="135"/>
      <c r="AP74" s="135"/>
      <c r="AQ74" s="135"/>
      <c r="AR74" s="135"/>
      <c r="AS74" s="135"/>
      <c r="AT74" s="135"/>
      <c r="AU74" s="135"/>
      <c r="AV74" s="135"/>
    </row>
    <row r="75" spans="1:48" s="57" customFormat="1" ht="10.35" customHeight="1" outlineLevel="1">
      <c r="A75" s="135"/>
      <c r="B75" s="206">
        <f t="shared" si="12"/>
        <v>2</v>
      </c>
      <c r="C75" s="807" t="str">
        <f t="shared" si="13"/>
        <v>Max heat demand - grid (HP heat sink)</v>
      </c>
      <c r="D75" s="714">
        <v>12</v>
      </c>
      <c r="E75" s="947">
        <v>6</v>
      </c>
      <c r="F75" s="947">
        <v>6</v>
      </c>
      <c r="G75" s="947">
        <v>6</v>
      </c>
      <c r="H75" s="947">
        <v>6</v>
      </c>
      <c r="I75" s="947">
        <v>6</v>
      </c>
      <c r="J75" s="947">
        <v>0</v>
      </c>
      <c r="K75" s="946"/>
      <c r="L75" s="941"/>
      <c r="M75" s="941"/>
      <c r="N75" s="941"/>
      <c r="O75" s="941"/>
      <c r="P75" s="941"/>
      <c r="Q75" s="941"/>
      <c r="R75" s="941"/>
      <c r="S75" s="941"/>
      <c r="T75" s="941"/>
      <c r="U75" s="941"/>
      <c r="V75" s="941"/>
      <c r="W75" s="941"/>
      <c r="X75" s="941">
        <v>100</v>
      </c>
      <c r="Y75" s="714">
        <v>12</v>
      </c>
      <c r="Z75" s="135"/>
      <c r="AA75" s="394" t="str">
        <f t="shared" si="14"/>
        <v/>
      </c>
      <c r="AB75" s="248" t="str">
        <f t="shared" si="15"/>
        <v/>
      </c>
      <c r="AC75" s="135"/>
      <c r="AD75" s="135"/>
      <c r="AE75" s="135"/>
      <c r="AF75" s="135"/>
      <c r="AG75" s="135"/>
      <c r="AH75" s="135"/>
      <c r="AI75" s="135"/>
      <c r="AJ75" s="135"/>
      <c r="AK75" s="135"/>
      <c r="AL75" s="135"/>
      <c r="AM75" s="135"/>
      <c r="AN75" s="135"/>
      <c r="AO75" s="135"/>
      <c r="AP75" s="135"/>
      <c r="AQ75" s="135"/>
      <c r="AR75" s="135"/>
      <c r="AS75" s="135"/>
      <c r="AT75" s="135"/>
      <c r="AU75" s="135"/>
      <c r="AV75" s="135"/>
    </row>
    <row r="76" spans="1:48" s="57" customFormat="1" ht="10.35" customHeight="1" outlineLevel="1">
      <c r="A76" s="135"/>
      <c r="B76" s="206">
        <f t="shared" si="12"/>
        <v>2</v>
      </c>
      <c r="C76" s="807" t="str">
        <f t="shared" si="13"/>
        <v>Max heat demand - grid (HP heat sink)</v>
      </c>
      <c r="D76" s="714">
        <v>13</v>
      </c>
      <c r="E76" s="947">
        <v>6</v>
      </c>
      <c r="F76" s="947">
        <v>6</v>
      </c>
      <c r="G76" s="947">
        <v>6</v>
      </c>
      <c r="H76" s="947">
        <v>6</v>
      </c>
      <c r="I76" s="947">
        <v>6</v>
      </c>
      <c r="J76" s="947">
        <v>0</v>
      </c>
      <c r="K76" s="946"/>
      <c r="L76" s="941"/>
      <c r="M76" s="941"/>
      <c r="N76" s="941"/>
      <c r="O76" s="941"/>
      <c r="P76" s="941"/>
      <c r="Q76" s="941"/>
      <c r="R76" s="941"/>
      <c r="S76" s="941"/>
      <c r="T76" s="941"/>
      <c r="U76" s="941"/>
      <c r="V76" s="941"/>
      <c r="W76" s="941"/>
      <c r="X76" s="941">
        <v>100</v>
      </c>
      <c r="Y76" s="714">
        <v>13</v>
      </c>
      <c r="Z76" s="135"/>
      <c r="AA76" s="394" t="str">
        <f t="shared" si="14"/>
        <v/>
      </c>
      <c r="AB76" s="248" t="str">
        <f t="shared" si="15"/>
        <v/>
      </c>
      <c r="AC76" s="135"/>
      <c r="AD76" s="135"/>
      <c r="AE76" s="135"/>
      <c r="AF76" s="135"/>
      <c r="AG76" s="135"/>
      <c r="AH76" s="135"/>
      <c r="AI76" s="135"/>
      <c r="AJ76" s="135"/>
      <c r="AK76" s="135"/>
      <c r="AL76" s="135"/>
      <c r="AM76" s="135"/>
      <c r="AN76" s="135"/>
      <c r="AO76" s="135"/>
      <c r="AP76" s="135"/>
      <c r="AQ76" s="135"/>
      <c r="AR76" s="135"/>
      <c r="AS76" s="135"/>
      <c r="AT76" s="135"/>
      <c r="AU76" s="135"/>
      <c r="AV76" s="135"/>
    </row>
    <row r="77" spans="1:48" s="57" customFormat="1" ht="10.35" customHeight="1" outlineLevel="1">
      <c r="A77" s="135"/>
      <c r="B77" s="206">
        <f t="shared" si="12"/>
        <v>2</v>
      </c>
      <c r="C77" s="807" t="str">
        <f t="shared" si="13"/>
        <v>Max heat demand - grid (HP heat sink)</v>
      </c>
      <c r="D77" s="714">
        <v>14</v>
      </c>
      <c r="E77" s="947">
        <v>6</v>
      </c>
      <c r="F77" s="947">
        <v>6</v>
      </c>
      <c r="G77" s="947">
        <v>6</v>
      </c>
      <c r="H77" s="947">
        <v>6</v>
      </c>
      <c r="I77" s="947">
        <v>6</v>
      </c>
      <c r="J77" s="947">
        <v>0</v>
      </c>
      <c r="K77" s="946"/>
      <c r="L77" s="941"/>
      <c r="M77" s="941"/>
      <c r="N77" s="941"/>
      <c r="O77" s="941"/>
      <c r="P77" s="941"/>
      <c r="Q77" s="941"/>
      <c r="R77" s="941"/>
      <c r="S77" s="941"/>
      <c r="T77" s="941"/>
      <c r="U77" s="941"/>
      <c r="V77" s="941"/>
      <c r="W77" s="941"/>
      <c r="X77" s="941">
        <v>100</v>
      </c>
      <c r="Y77" s="714">
        <v>14</v>
      </c>
      <c r="Z77" s="135"/>
      <c r="AA77" s="394" t="str">
        <f t="shared" si="14"/>
        <v/>
      </c>
      <c r="AB77" s="248" t="str">
        <f t="shared" si="15"/>
        <v/>
      </c>
      <c r="AC77" s="135"/>
      <c r="AD77" s="135"/>
      <c r="AE77" s="135"/>
      <c r="AF77" s="135"/>
      <c r="AG77" s="135"/>
      <c r="AH77" s="135"/>
      <c r="AI77" s="135"/>
      <c r="AJ77" s="135"/>
      <c r="AK77" s="135"/>
      <c r="AL77" s="135"/>
      <c r="AM77" s="135"/>
      <c r="AN77" s="135"/>
      <c r="AO77" s="135"/>
      <c r="AP77" s="135"/>
      <c r="AQ77" s="135"/>
      <c r="AR77" s="135"/>
      <c r="AS77" s="135"/>
      <c r="AT77" s="135"/>
      <c r="AU77" s="135"/>
      <c r="AV77" s="135"/>
    </row>
    <row r="78" spans="1:48" s="57" customFormat="1" ht="10.35" customHeight="1" outlineLevel="1">
      <c r="A78" s="135"/>
      <c r="B78" s="206">
        <f t="shared" si="12"/>
        <v>2</v>
      </c>
      <c r="C78" s="807" t="str">
        <f t="shared" si="13"/>
        <v>Max heat demand - grid (HP heat sink)</v>
      </c>
      <c r="D78" s="714">
        <v>15</v>
      </c>
      <c r="E78" s="947">
        <v>6</v>
      </c>
      <c r="F78" s="947">
        <v>6</v>
      </c>
      <c r="G78" s="947">
        <v>6</v>
      </c>
      <c r="H78" s="947">
        <v>6</v>
      </c>
      <c r="I78" s="947">
        <v>6</v>
      </c>
      <c r="J78" s="947">
        <v>0</v>
      </c>
      <c r="K78" s="946"/>
      <c r="L78" s="941"/>
      <c r="M78" s="941"/>
      <c r="N78" s="941"/>
      <c r="O78" s="941"/>
      <c r="P78" s="941"/>
      <c r="Q78" s="941"/>
      <c r="R78" s="941"/>
      <c r="S78" s="941"/>
      <c r="T78" s="941"/>
      <c r="U78" s="941"/>
      <c r="V78" s="941"/>
      <c r="W78" s="941"/>
      <c r="X78" s="941">
        <v>100</v>
      </c>
      <c r="Y78" s="714">
        <v>15</v>
      </c>
      <c r="Z78" s="135"/>
      <c r="AA78" s="394" t="str">
        <f t="shared" si="14"/>
        <v/>
      </c>
      <c r="AB78" s="248" t="str">
        <f t="shared" si="15"/>
        <v/>
      </c>
      <c r="AC78" s="135"/>
      <c r="AD78" s="135"/>
      <c r="AE78" s="135"/>
      <c r="AF78" s="135"/>
      <c r="AG78" s="135"/>
      <c r="AH78" s="135"/>
      <c r="AI78" s="135"/>
      <c r="AJ78" s="135"/>
      <c r="AK78" s="135"/>
      <c r="AL78" s="135"/>
      <c r="AM78" s="135"/>
      <c r="AN78" s="135"/>
      <c r="AO78" s="135"/>
      <c r="AP78" s="135"/>
      <c r="AQ78" s="135"/>
      <c r="AR78" s="135"/>
      <c r="AS78" s="135"/>
      <c r="AT78" s="135"/>
      <c r="AU78" s="135"/>
      <c r="AV78" s="135"/>
    </row>
    <row r="79" spans="1:48" s="57" customFormat="1" ht="10.35" customHeight="1" outlineLevel="1">
      <c r="A79" s="135"/>
      <c r="B79" s="206">
        <f t="shared" si="12"/>
        <v>2</v>
      </c>
      <c r="C79" s="807" t="str">
        <f t="shared" si="13"/>
        <v>Max heat demand - grid (HP heat sink)</v>
      </c>
      <c r="D79" s="714">
        <v>16</v>
      </c>
      <c r="E79" s="947">
        <v>6</v>
      </c>
      <c r="F79" s="947">
        <v>6</v>
      </c>
      <c r="G79" s="947">
        <v>6</v>
      </c>
      <c r="H79" s="947">
        <v>6</v>
      </c>
      <c r="I79" s="947">
        <v>6</v>
      </c>
      <c r="J79" s="947">
        <v>0</v>
      </c>
      <c r="K79" s="946"/>
      <c r="L79" s="941"/>
      <c r="M79" s="941"/>
      <c r="N79" s="941"/>
      <c r="O79" s="941"/>
      <c r="P79" s="941"/>
      <c r="Q79" s="941"/>
      <c r="R79" s="941"/>
      <c r="S79" s="941"/>
      <c r="T79" s="941"/>
      <c r="U79" s="941"/>
      <c r="V79" s="941"/>
      <c r="W79" s="941"/>
      <c r="X79" s="941">
        <v>100</v>
      </c>
      <c r="Y79" s="714">
        <v>16</v>
      </c>
      <c r="Z79" s="135"/>
      <c r="AA79" s="394" t="str">
        <f t="shared" si="14"/>
        <v/>
      </c>
      <c r="AB79" s="248" t="str">
        <f t="shared" si="15"/>
        <v/>
      </c>
      <c r="AC79" s="135"/>
      <c r="AD79" s="135"/>
      <c r="AE79" s="135"/>
      <c r="AF79" s="135"/>
      <c r="AG79" s="135"/>
      <c r="AH79" s="135"/>
      <c r="AI79" s="135"/>
      <c r="AJ79" s="135"/>
      <c r="AK79" s="135"/>
      <c r="AL79" s="135"/>
      <c r="AM79" s="135"/>
      <c r="AN79" s="135"/>
      <c r="AO79" s="135"/>
      <c r="AP79" s="135"/>
      <c r="AQ79" s="135"/>
      <c r="AR79" s="135"/>
      <c r="AS79" s="135"/>
      <c r="AT79" s="135"/>
      <c r="AU79" s="135"/>
      <c r="AV79" s="135"/>
    </row>
    <row r="80" spans="1:48" s="57" customFormat="1" ht="10.35" customHeight="1" outlineLevel="1">
      <c r="A80" s="135"/>
      <c r="B80" s="206">
        <f t="shared" si="12"/>
        <v>2</v>
      </c>
      <c r="C80" s="807" t="str">
        <f t="shared" si="13"/>
        <v>Max heat demand - grid (HP heat sink)</v>
      </c>
      <c r="D80" s="714">
        <v>17</v>
      </c>
      <c r="E80" s="947">
        <v>6</v>
      </c>
      <c r="F80" s="947">
        <v>6</v>
      </c>
      <c r="G80" s="947">
        <v>6</v>
      </c>
      <c r="H80" s="947">
        <v>6</v>
      </c>
      <c r="I80" s="947">
        <v>6</v>
      </c>
      <c r="J80" s="947">
        <v>0</v>
      </c>
      <c r="K80" s="946"/>
      <c r="L80" s="941"/>
      <c r="M80" s="941"/>
      <c r="N80" s="941"/>
      <c r="O80" s="941"/>
      <c r="P80" s="941"/>
      <c r="Q80" s="941"/>
      <c r="R80" s="941"/>
      <c r="S80" s="941"/>
      <c r="T80" s="941"/>
      <c r="U80" s="941"/>
      <c r="V80" s="941"/>
      <c r="W80" s="941"/>
      <c r="X80" s="941">
        <v>100</v>
      </c>
      <c r="Y80" s="714">
        <v>17</v>
      </c>
      <c r="Z80" s="135"/>
      <c r="AA80" s="394" t="str">
        <f t="shared" si="14"/>
        <v/>
      </c>
      <c r="AB80" s="248" t="str">
        <f t="shared" si="15"/>
        <v/>
      </c>
      <c r="AC80" s="135"/>
      <c r="AD80" s="135"/>
      <c r="AE80" s="135"/>
      <c r="AF80" s="135"/>
      <c r="AG80" s="135"/>
      <c r="AH80" s="135"/>
      <c r="AI80" s="135"/>
      <c r="AJ80" s="135"/>
      <c r="AK80" s="135"/>
      <c r="AL80" s="135"/>
      <c r="AM80" s="135"/>
      <c r="AN80" s="135"/>
      <c r="AO80" s="135"/>
      <c r="AP80" s="135"/>
      <c r="AQ80" s="135"/>
      <c r="AR80" s="135"/>
      <c r="AS80" s="135"/>
      <c r="AT80" s="135"/>
      <c r="AU80" s="135"/>
      <c r="AV80" s="135"/>
    </row>
    <row r="81" spans="1:48" s="57" customFormat="1" ht="10.35" customHeight="1" outlineLevel="1">
      <c r="A81" s="135"/>
      <c r="B81" s="206">
        <f t="shared" si="12"/>
        <v>2</v>
      </c>
      <c r="C81" s="807" t="str">
        <f t="shared" si="13"/>
        <v>Max heat demand - grid (HP heat sink)</v>
      </c>
      <c r="D81" s="714">
        <v>18</v>
      </c>
      <c r="E81" s="947">
        <v>6</v>
      </c>
      <c r="F81" s="947">
        <v>6</v>
      </c>
      <c r="G81" s="947">
        <v>6</v>
      </c>
      <c r="H81" s="947">
        <v>6</v>
      </c>
      <c r="I81" s="947">
        <v>6</v>
      </c>
      <c r="J81" s="947">
        <v>0</v>
      </c>
      <c r="K81" s="946"/>
      <c r="L81" s="941"/>
      <c r="M81" s="941"/>
      <c r="N81" s="941"/>
      <c r="O81" s="941"/>
      <c r="P81" s="941"/>
      <c r="Q81" s="941"/>
      <c r="R81" s="941"/>
      <c r="S81" s="941"/>
      <c r="T81" s="941"/>
      <c r="U81" s="941"/>
      <c r="V81" s="941"/>
      <c r="W81" s="941"/>
      <c r="X81" s="941">
        <v>100</v>
      </c>
      <c r="Y81" s="714">
        <v>18</v>
      </c>
      <c r="Z81" s="135"/>
      <c r="AA81" s="394" t="str">
        <f t="shared" si="14"/>
        <v/>
      </c>
      <c r="AB81" s="248" t="str">
        <f t="shared" si="15"/>
        <v/>
      </c>
      <c r="AC81" s="135"/>
      <c r="AD81" s="135"/>
      <c r="AE81" s="135"/>
      <c r="AF81" s="135"/>
      <c r="AG81" s="135"/>
      <c r="AH81" s="135"/>
      <c r="AI81" s="135"/>
      <c r="AJ81" s="135"/>
      <c r="AK81" s="135"/>
      <c r="AL81" s="135"/>
      <c r="AM81" s="135"/>
      <c r="AN81" s="135"/>
      <c r="AO81" s="135"/>
      <c r="AP81" s="135"/>
      <c r="AQ81" s="135"/>
      <c r="AR81" s="135"/>
      <c r="AS81" s="135"/>
      <c r="AT81" s="135"/>
      <c r="AU81" s="135"/>
      <c r="AV81" s="135"/>
    </row>
    <row r="82" spans="1:48" s="57" customFormat="1" ht="10.35" customHeight="1" outlineLevel="1">
      <c r="A82" s="135"/>
      <c r="B82" s="206">
        <f t="shared" si="12"/>
        <v>2</v>
      </c>
      <c r="C82" s="807" t="str">
        <f t="shared" si="13"/>
        <v>Max heat demand - grid (HP heat sink)</v>
      </c>
      <c r="D82" s="714">
        <v>19</v>
      </c>
      <c r="E82" s="947">
        <v>6</v>
      </c>
      <c r="F82" s="947">
        <v>6</v>
      </c>
      <c r="G82" s="947">
        <v>6</v>
      </c>
      <c r="H82" s="947">
        <v>6</v>
      </c>
      <c r="I82" s="947">
        <v>6</v>
      </c>
      <c r="J82" s="947">
        <v>0</v>
      </c>
      <c r="K82" s="946"/>
      <c r="L82" s="941"/>
      <c r="M82" s="941"/>
      <c r="N82" s="941"/>
      <c r="O82" s="941"/>
      <c r="P82" s="941"/>
      <c r="Q82" s="941"/>
      <c r="R82" s="941"/>
      <c r="S82" s="941"/>
      <c r="T82" s="941"/>
      <c r="U82" s="941"/>
      <c r="V82" s="941"/>
      <c r="W82" s="941"/>
      <c r="X82" s="941">
        <v>100</v>
      </c>
      <c r="Y82" s="714">
        <v>19</v>
      </c>
      <c r="Z82" s="135"/>
      <c r="AA82" s="394" t="str">
        <f t="shared" si="14"/>
        <v/>
      </c>
      <c r="AB82" s="248" t="str">
        <f t="shared" si="15"/>
        <v/>
      </c>
      <c r="AC82" s="135"/>
      <c r="AD82" s="135"/>
      <c r="AE82" s="135"/>
      <c r="AF82" s="135"/>
      <c r="AG82" s="135"/>
      <c r="AH82" s="135"/>
      <c r="AI82" s="135"/>
      <c r="AJ82" s="135"/>
      <c r="AK82" s="135"/>
      <c r="AL82" s="135"/>
      <c r="AM82" s="135"/>
      <c r="AN82" s="135"/>
      <c r="AO82" s="135"/>
      <c r="AP82" s="135"/>
      <c r="AQ82" s="135"/>
      <c r="AR82" s="135"/>
      <c r="AS82" s="135"/>
      <c r="AT82" s="135"/>
      <c r="AU82" s="135"/>
      <c r="AV82" s="135"/>
    </row>
    <row r="83" spans="1:48" s="57" customFormat="1" ht="10.35" customHeight="1" outlineLevel="1">
      <c r="A83" s="135"/>
      <c r="B83" s="206">
        <f t="shared" si="12"/>
        <v>2</v>
      </c>
      <c r="C83" s="807" t="str">
        <f t="shared" si="13"/>
        <v>Max heat demand - grid (HP heat sink)</v>
      </c>
      <c r="D83" s="714">
        <v>20</v>
      </c>
      <c r="E83" s="947">
        <v>6</v>
      </c>
      <c r="F83" s="947">
        <v>6</v>
      </c>
      <c r="G83" s="947">
        <v>6</v>
      </c>
      <c r="H83" s="947">
        <v>6</v>
      </c>
      <c r="I83" s="947">
        <v>6</v>
      </c>
      <c r="J83" s="947">
        <v>0</v>
      </c>
      <c r="K83" s="946"/>
      <c r="L83" s="941"/>
      <c r="M83" s="941"/>
      <c r="N83" s="941"/>
      <c r="O83" s="941"/>
      <c r="P83" s="941"/>
      <c r="Q83" s="941"/>
      <c r="R83" s="941"/>
      <c r="S83" s="941"/>
      <c r="T83" s="941"/>
      <c r="U83" s="941"/>
      <c r="V83" s="941"/>
      <c r="W83" s="941"/>
      <c r="X83" s="941">
        <v>100</v>
      </c>
      <c r="Y83" s="714">
        <v>20</v>
      </c>
      <c r="Z83" s="135"/>
      <c r="AA83" s="394" t="str">
        <f t="shared" si="14"/>
        <v/>
      </c>
      <c r="AB83" s="248" t="str">
        <f t="shared" si="15"/>
        <v/>
      </c>
      <c r="AC83" s="135"/>
      <c r="AD83" s="135"/>
      <c r="AE83" s="135"/>
      <c r="AF83" s="135"/>
      <c r="AG83" s="135"/>
      <c r="AH83" s="135"/>
      <c r="AI83" s="135"/>
      <c r="AJ83" s="135"/>
      <c r="AK83" s="135"/>
      <c r="AL83" s="135"/>
      <c r="AM83" s="135"/>
      <c r="AN83" s="135"/>
      <c r="AO83" s="135"/>
      <c r="AP83" s="135"/>
      <c r="AQ83" s="135"/>
      <c r="AR83" s="135"/>
      <c r="AS83" s="135"/>
      <c r="AT83" s="135"/>
      <c r="AU83" s="135"/>
      <c r="AV83" s="135"/>
    </row>
    <row r="84" spans="1:48" s="57" customFormat="1" ht="10.35" customHeight="1" outlineLevel="1">
      <c r="A84" s="135"/>
      <c r="B84" s="206">
        <f t="shared" si="12"/>
        <v>2</v>
      </c>
      <c r="C84" s="807" t="str">
        <f t="shared" si="13"/>
        <v>Max heat demand - grid (HP heat sink)</v>
      </c>
      <c r="D84" s="714">
        <v>21</v>
      </c>
      <c r="E84" s="947">
        <v>6</v>
      </c>
      <c r="F84" s="947">
        <v>6</v>
      </c>
      <c r="G84" s="947">
        <v>6</v>
      </c>
      <c r="H84" s="947">
        <v>6</v>
      </c>
      <c r="I84" s="947">
        <v>6</v>
      </c>
      <c r="J84" s="947">
        <v>0</v>
      </c>
      <c r="K84" s="946"/>
      <c r="L84" s="941"/>
      <c r="M84" s="941"/>
      <c r="N84" s="941"/>
      <c r="O84" s="941"/>
      <c r="P84" s="941"/>
      <c r="Q84" s="941"/>
      <c r="R84" s="941"/>
      <c r="S84" s="941"/>
      <c r="T84" s="941"/>
      <c r="U84" s="941"/>
      <c r="V84" s="941"/>
      <c r="W84" s="941"/>
      <c r="X84" s="941">
        <v>100</v>
      </c>
      <c r="Y84" s="714">
        <v>21</v>
      </c>
      <c r="Z84" s="135"/>
      <c r="AA84" s="394" t="str">
        <f t="shared" si="14"/>
        <v/>
      </c>
      <c r="AB84" s="248" t="str">
        <f t="shared" si="15"/>
        <v/>
      </c>
      <c r="AC84" s="135"/>
      <c r="AD84" s="135"/>
      <c r="AE84" s="135"/>
      <c r="AF84" s="135"/>
      <c r="AG84" s="135"/>
      <c r="AH84" s="135"/>
      <c r="AI84" s="135"/>
      <c r="AJ84" s="135"/>
      <c r="AK84" s="135"/>
      <c r="AL84" s="135"/>
      <c r="AM84" s="135"/>
      <c r="AN84" s="135"/>
      <c r="AO84" s="135"/>
      <c r="AP84" s="135"/>
      <c r="AQ84" s="135"/>
      <c r="AR84" s="135"/>
      <c r="AS84" s="135"/>
      <c r="AT84" s="135"/>
      <c r="AU84" s="135"/>
      <c r="AV84" s="135"/>
    </row>
    <row r="85" spans="1:48" s="57" customFormat="1" ht="10.35" customHeight="1" outlineLevel="1">
      <c r="A85" s="135"/>
      <c r="B85" s="206">
        <f t="shared" si="12"/>
        <v>2</v>
      </c>
      <c r="C85" s="807" t="str">
        <f t="shared" si="13"/>
        <v>Max heat demand - grid (HP heat sink)</v>
      </c>
      <c r="D85" s="714">
        <v>22</v>
      </c>
      <c r="E85" s="947">
        <v>6</v>
      </c>
      <c r="F85" s="947">
        <v>6</v>
      </c>
      <c r="G85" s="947">
        <v>6</v>
      </c>
      <c r="H85" s="947">
        <v>6</v>
      </c>
      <c r="I85" s="947">
        <v>6</v>
      </c>
      <c r="J85" s="947">
        <v>0</v>
      </c>
      <c r="K85" s="946"/>
      <c r="L85" s="941"/>
      <c r="M85" s="941"/>
      <c r="N85" s="941"/>
      <c r="O85" s="941"/>
      <c r="P85" s="941"/>
      <c r="Q85" s="941"/>
      <c r="R85" s="941"/>
      <c r="S85" s="941"/>
      <c r="T85" s="941"/>
      <c r="U85" s="941"/>
      <c r="V85" s="941"/>
      <c r="W85" s="941"/>
      <c r="X85" s="941">
        <v>100</v>
      </c>
      <c r="Y85" s="714">
        <v>22</v>
      </c>
      <c r="Z85" s="135"/>
      <c r="AA85" s="394" t="str">
        <f t="shared" si="14"/>
        <v/>
      </c>
      <c r="AB85" s="248" t="str">
        <f t="shared" si="15"/>
        <v/>
      </c>
      <c r="AC85" s="135"/>
      <c r="AD85" s="135"/>
      <c r="AE85" s="135"/>
      <c r="AF85" s="135"/>
      <c r="AG85" s="135"/>
      <c r="AH85" s="135"/>
      <c r="AI85" s="135"/>
      <c r="AJ85" s="135"/>
      <c r="AK85" s="135"/>
      <c r="AL85" s="135"/>
      <c r="AM85" s="135"/>
      <c r="AN85" s="135"/>
      <c r="AO85" s="135"/>
      <c r="AP85" s="135"/>
      <c r="AQ85" s="135"/>
      <c r="AR85" s="135"/>
      <c r="AS85" s="135"/>
      <c r="AT85" s="135"/>
      <c r="AU85" s="135"/>
      <c r="AV85" s="135"/>
    </row>
    <row r="86" spans="1:48" s="57" customFormat="1" ht="10.35" customHeight="1" outlineLevel="1">
      <c r="A86" s="135"/>
      <c r="B86" s="206">
        <f t="shared" si="12"/>
        <v>2</v>
      </c>
      <c r="C86" s="807" t="str">
        <f t="shared" si="13"/>
        <v>Max heat demand - grid (HP heat sink)</v>
      </c>
      <c r="D86" s="714">
        <v>23</v>
      </c>
      <c r="E86" s="947">
        <v>6</v>
      </c>
      <c r="F86" s="947">
        <v>6</v>
      </c>
      <c r="G86" s="947">
        <v>6</v>
      </c>
      <c r="H86" s="947">
        <v>6</v>
      </c>
      <c r="I86" s="947">
        <v>6</v>
      </c>
      <c r="J86" s="947">
        <v>0</v>
      </c>
      <c r="K86" s="946"/>
      <c r="L86" s="941"/>
      <c r="M86" s="941"/>
      <c r="N86" s="941"/>
      <c r="O86" s="941"/>
      <c r="P86" s="941"/>
      <c r="Q86" s="941"/>
      <c r="R86" s="941"/>
      <c r="S86" s="941"/>
      <c r="T86" s="941"/>
      <c r="U86" s="941"/>
      <c r="V86" s="941"/>
      <c r="W86" s="941"/>
      <c r="X86" s="941">
        <v>100</v>
      </c>
      <c r="Y86" s="714">
        <v>23</v>
      </c>
      <c r="Z86" s="135"/>
      <c r="AA86" s="394" t="str">
        <f t="shared" si="14"/>
        <v/>
      </c>
      <c r="AB86" s="248" t="str">
        <f t="shared" si="15"/>
        <v/>
      </c>
      <c r="AC86" s="135"/>
      <c r="AD86" s="135"/>
      <c r="AE86" s="135"/>
      <c r="AF86" s="135"/>
      <c r="AG86" s="135"/>
      <c r="AH86" s="135"/>
      <c r="AI86" s="135"/>
      <c r="AJ86" s="135"/>
      <c r="AK86" s="135"/>
      <c r="AL86" s="135"/>
      <c r="AM86" s="135"/>
      <c r="AN86" s="135"/>
      <c r="AO86" s="135"/>
      <c r="AP86" s="135"/>
      <c r="AQ86" s="135"/>
      <c r="AR86" s="135"/>
      <c r="AS86" s="135"/>
      <c r="AT86" s="135"/>
      <c r="AU86" s="135"/>
      <c r="AV86" s="135"/>
    </row>
    <row r="87" spans="1:48" s="57" customFormat="1" ht="10.35" customHeight="1" outlineLevel="1">
      <c r="A87" s="135"/>
      <c r="B87" s="206">
        <f t="shared" si="12"/>
        <v>2</v>
      </c>
      <c r="C87" s="959" t="str">
        <f t="shared" si="13"/>
        <v>Max heat demand - grid (HP heat sink)</v>
      </c>
      <c r="D87" s="948">
        <v>24</v>
      </c>
      <c r="E87" s="950">
        <v>6</v>
      </c>
      <c r="F87" s="950">
        <v>6</v>
      </c>
      <c r="G87" s="950">
        <v>6</v>
      </c>
      <c r="H87" s="950">
        <v>6</v>
      </c>
      <c r="I87" s="950">
        <v>6</v>
      </c>
      <c r="J87" s="950">
        <v>0</v>
      </c>
      <c r="K87" s="946"/>
      <c r="L87" s="941"/>
      <c r="M87" s="941"/>
      <c r="N87" s="941"/>
      <c r="O87" s="941"/>
      <c r="P87" s="941"/>
      <c r="Q87" s="941"/>
      <c r="R87" s="941"/>
      <c r="S87" s="941"/>
      <c r="T87" s="941"/>
      <c r="U87" s="941"/>
      <c r="V87" s="941"/>
      <c r="W87" s="941"/>
      <c r="X87" s="941">
        <v>100</v>
      </c>
      <c r="Y87" s="714">
        <v>24</v>
      </c>
      <c r="Z87" s="135"/>
      <c r="AA87" s="394" t="str">
        <f t="shared" si="14"/>
        <v/>
      </c>
      <c r="AB87" s="248" t="str">
        <f t="shared" si="15"/>
        <v/>
      </c>
      <c r="AC87" s="135"/>
      <c r="AD87" s="135"/>
      <c r="AE87" s="135"/>
      <c r="AF87" s="135"/>
      <c r="AG87" s="135"/>
      <c r="AH87" s="135"/>
      <c r="AI87" s="135"/>
      <c r="AJ87" s="135"/>
      <c r="AK87" s="135"/>
      <c r="AL87" s="135"/>
      <c r="AM87" s="135"/>
      <c r="AN87" s="135"/>
      <c r="AO87" s="135"/>
      <c r="AP87" s="135"/>
      <c r="AQ87" s="135"/>
      <c r="AR87" s="135"/>
      <c r="AS87" s="135"/>
      <c r="AT87" s="135"/>
      <c r="AU87" s="135"/>
      <c r="AV87" s="135"/>
    </row>
    <row r="88" spans="1:48" s="57" customFormat="1" ht="11.25">
      <c r="A88" s="135"/>
      <c r="B88" s="206">
        <f t="shared" si="12"/>
        <v>2</v>
      </c>
      <c r="C88" s="662"/>
      <c r="D88" s="928" t="s">
        <v>349</v>
      </c>
      <c r="E88" s="955">
        <f t="shared" ref="E88:X88" si="16">SUM(E64:E87)/24</f>
        <v>6</v>
      </c>
      <c r="F88" s="956">
        <f t="shared" si="16"/>
        <v>6</v>
      </c>
      <c r="G88" s="956">
        <f t="shared" si="16"/>
        <v>6</v>
      </c>
      <c r="H88" s="956">
        <f t="shared" si="16"/>
        <v>6</v>
      </c>
      <c r="I88" s="956">
        <f t="shared" si="16"/>
        <v>6</v>
      </c>
      <c r="J88" s="957">
        <f t="shared" si="16"/>
        <v>0</v>
      </c>
      <c r="K88" s="943">
        <f t="shared" si="16"/>
        <v>0</v>
      </c>
      <c r="L88" s="943">
        <f t="shared" si="16"/>
        <v>0</v>
      </c>
      <c r="M88" s="943">
        <f t="shared" si="16"/>
        <v>0</v>
      </c>
      <c r="N88" s="943">
        <f t="shared" si="16"/>
        <v>0</v>
      </c>
      <c r="O88" s="943">
        <f t="shared" si="16"/>
        <v>0</v>
      </c>
      <c r="P88" s="943">
        <f t="shared" si="16"/>
        <v>0</v>
      </c>
      <c r="Q88" s="943">
        <f t="shared" si="16"/>
        <v>0</v>
      </c>
      <c r="R88" s="943">
        <f t="shared" si="16"/>
        <v>0</v>
      </c>
      <c r="S88" s="943">
        <f t="shared" si="16"/>
        <v>0</v>
      </c>
      <c r="T88" s="943">
        <f t="shared" si="16"/>
        <v>0</v>
      </c>
      <c r="U88" s="943">
        <f t="shared" si="16"/>
        <v>0</v>
      </c>
      <c r="V88" s="943">
        <f t="shared" si="16"/>
        <v>0</v>
      </c>
      <c r="W88" s="943">
        <f t="shared" si="16"/>
        <v>0</v>
      </c>
      <c r="X88" s="943">
        <f t="shared" si="16"/>
        <v>100</v>
      </c>
      <c r="Y88" s="942" t="s">
        <v>349</v>
      </c>
      <c r="Z88" s="135"/>
      <c r="AA88" s="135"/>
      <c r="AB88" s="135"/>
      <c r="AC88" s="135"/>
      <c r="AD88" s="135"/>
      <c r="AE88" s="135"/>
      <c r="AF88" s="135"/>
      <c r="AG88" s="135"/>
      <c r="AH88" s="135"/>
      <c r="AI88" s="135"/>
      <c r="AJ88" s="135"/>
      <c r="AK88" s="135"/>
      <c r="AL88" s="135"/>
      <c r="AM88" s="135"/>
      <c r="AN88" s="135"/>
      <c r="AO88" s="135"/>
      <c r="AP88" s="135"/>
      <c r="AQ88" s="135"/>
      <c r="AR88" s="135"/>
      <c r="AS88" s="135"/>
      <c r="AT88" s="135"/>
      <c r="AU88" s="135"/>
      <c r="AV88" s="135"/>
    </row>
    <row r="89" spans="1:48" s="57" customFormat="1" ht="22.5">
      <c r="A89" s="222" t="s">
        <v>73</v>
      </c>
      <c r="B89" s="206">
        <f t="shared" si="12"/>
        <v>2</v>
      </c>
      <c r="C89" s="961" t="str">
        <f>E90</f>
        <v>Heat source temperature (DC) / temperature of the cooling system before HEx 1</v>
      </c>
      <c r="E89" s="8"/>
      <c r="F89" s="8"/>
      <c r="G89" s="8"/>
      <c r="H89" s="8"/>
      <c r="I89" s="8"/>
      <c r="J89" s="8"/>
      <c r="K89" s="8"/>
      <c r="L89" s="8"/>
      <c r="M89" s="8"/>
      <c r="N89" s="8"/>
      <c r="O89" s="8"/>
      <c r="P89" s="8"/>
      <c r="Q89" s="8"/>
      <c r="R89" s="8"/>
      <c r="S89" s="8"/>
      <c r="T89" s="8"/>
      <c r="U89" s="8"/>
      <c r="V89" s="8"/>
      <c r="W89" s="8"/>
      <c r="X89" s="8"/>
      <c r="Y89" s="8"/>
      <c r="Z89" s="135"/>
      <c r="AA89" s="135"/>
      <c r="AB89" s="135"/>
      <c r="AC89" s="135"/>
      <c r="AD89" s="135"/>
      <c r="AE89" s="135"/>
      <c r="AF89" s="135"/>
      <c r="AG89" s="135"/>
      <c r="AH89" s="135"/>
      <c r="AI89" s="135"/>
      <c r="AJ89" s="135"/>
      <c r="AK89" s="135"/>
      <c r="AL89" s="135"/>
      <c r="AM89" s="135"/>
      <c r="AN89" s="135"/>
      <c r="AO89" s="135"/>
      <c r="AP89" s="135"/>
      <c r="AQ89" s="135"/>
      <c r="AR89" s="135"/>
      <c r="AS89" s="135"/>
      <c r="AT89" s="135"/>
      <c r="AU89" s="135"/>
      <c r="AV89" s="135"/>
    </row>
    <row r="90" spans="1:48" s="57" customFormat="1" ht="25.35" customHeight="1">
      <c r="A90" s="1009"/>
      <c r="B90" s="206">
        <f>B87+1</f>
        <v>3</v>
      </c>
      <c r="D90" s="960" t="s">
        <v>345</v>
      </c>
      <c r="E90" s="1120" t="s">
        <v>352</v>
      </c>
      <c r="F90" s="1120"/>
      <c r="G90" s="1120"/>
      <c r="H90" s="1120"/>
      <c r="I90" s="1120"/>
      <c r="J90" s="1120"/>
      <c r="K90" s="1120"/>
      <c r="L90" s="1120"/>
      <c r="M90" s="1120"/>
      <c r="N90" s="1120"/>
      <c r="O90" s="1120"/>
      <c r="P90" s="1120"/>
      <c r="Q90" s="1120"/>
      <c r="R90" s="1120"/>
      <c r="S90" s="1120"/>
      <c r="T90" s="1120"/>
      <c r="U90" s="1120"/>
      <c r="V90" s="1120"/>
      <c r="W90" s="1120"/>
      <c r="X90" s="1120"/>
      <c r="Y90" s="857" t="s">
        <v>345</v>
      </c>
      <c r="Z90" s="135"/>
      <c r="AA90" s="135"/>
      <c r="AB90" s="135"/>
      <c r="AC90" s="135"/>
      <c r="AD90" s="135"/>
      <c r="AE90" s="135"/>
      <c r="AF90" s="135"/>
      <c r="AG90" s="135"/>
      <c r="AH90" s="135"/>
      <c r="AI90" s="135"/>
      <c r="AJ90" s="135"/>
      <c r="AK90" s="135"/>
      <c r="AL90" s="135"/>
      <c r="AM90" s="135"/>
      <c r="AN90" s="135"/>
      <c r="AO90" s="135"/>
      <c r="AP90" s="135"/>
      <c r="AQ90" s="135"/>
      <c r="AR90" s="135"/>
      <c r="AS90" s="135"/>
      <c r="AT90" s="135"/>
      <c r="AU90" s="135"/>
      <c r="AV90" s="135"/>
    </row>
    <row r="91" spans="1:48" s="57" customFormat="1" ht="11.25" outlineLevel="1">
      <c r="A91" s="135"/>
      <c r="B91" s="206">
        <f>B90</f>
        <v>3</v>
      </c>
      <c r="C91" s="819" t="str">
        <f>C89</f>
        <v>Heat source temperature (DC) / temperature of the cooling system before HEx 1</v>
      </c>
      <c r="D91" s="962"/>
      <c r="E91" s="1121" t="s">
        <v>83</v>
      </c>
      <c r="F91" s="1121"/>
      <c r="G91" s="1121"/>
      <c r="H91" s="1121"/>
      <c r="I91" s="1121"/>
      <c r="J91" s="1121"/>
      <c r="K91" s="1121"/>
      <c r="L91" s="1121"/>
      <c r="M91" s="1121"/>
      <c r="N91" s="1121"/>
      <c r="O91" s="1121"/>
      <c r="P91" s="1121"/>
      <c r="Q91" s="1121"/>
      <c r="R91" s="1121"/>
      <c r="S91" s="1121"/>
      <c r="T91" s="1121"/>
      <c r="U91" s="1121"/>
      <c r="V91" s="1121"/>
      <c r="W91" s="1121"/>
      <c r="X91" s="1121"/>
      <c r="Y91" s="650"/>
      <c r="Z91" s="135"/>
      <c r="AA91" s="135"/>
      <c r="AB91" s="135"/>
      <c r="AC91" s="135"/>
      <c r="AD91" s="135"/>
      <c r="AE91" s="135"/>
      <c r="AF91" s="135"/>
      <c r="AG91" s="135"/>
      <c r="AH91" s="135"/>
      <c r="AI91" s="135"/>
      <c r="AJ91" s="135"/>
      <c r="AK91" s="135"/>
      <c r="AL91" s="135"/>
      <c r="AM91" s="135"/>
      <c r="AN91" s="135"/>
      <c r="AO91" s="135"/>
      <c r="AP91" s="135"/>
      <c r="AQ91" s="135"/>
      <c r="AR91" s="135"/>
      <c r="AS91" s="135"/>
      <c r="AT91" s="135"/>
      <c r="AU91" s="135"/>
      <c r="AV91" s="135"/>
    </row>
    <row r="92" spans="1:48" s="57" customFormat="1" ht="32.450000000000003" customHeight="1" outlineLevel="1">
      <c r="A92" s="135"/>
      <c r="B92" s="206">
        <f t="shared" ref="B92:B118" si="17">B91</f>
        <v>3</v>
      </c>
      <c r="C92" s="780" t="str">
        <f t="shared" ref="C92:C116" si="18">C91</f>
        <v>Heat source temperature (DC) / temperature of the cooling system before HEx 1</v>
      </c>
      <c r="D92" s="963"/>
      <c r="E92" s="1110" t="s">
        <v>353</v>
      </c>
      <c r="F92" s="1110"/>
      <c r="G92" s="1110"/>
      <c r="H92" s="1110"/>
      <c r="I92" s="1110"/>
      <c r="J92" s="1110"/>
      <c r="K92" s="1110"/>
      <c r="L92" s="1110"/>
      <c r="M92" s="1110"/>
      <c r="N92" s="1110"/>
      <c r="O92" s="1110"/>
      <c r="P92" s="1110"/>
      <c r="Q92" s="1110"/>
      <c r="R92" s="1110"/>
      <c r="S92" s="1110"/>
      <c r="T92" s="1110"/>
      <c r="U92" s="1110"/>
      <c r="V92" s="1110"/>
      <c r="W92" s="1110"/>
      <c r="X92" s="1110"/>
      <c r="Y92" s="618"/>
      <c r="Z92" s="135"/>
      <c r="AA92" s="135"/>
      <c r="AB92" s="135"/>
      <c r="AC92" s="135"/>
      <c r="AD92" s="135"/>
      <c r="AE92" s="135"/>
      <c r="AF92" s="135"/>
      <c r="AG92" s="135"/>
      <c r="AH92" s="135"/>
      <c r="AI92" s="135"/>
      <c r="AJ92" s="135"/>
      <c r="AK92" s="135"/>
      <c r="AL92" s="135"/>
      <c r="AM92" s="135"/>
      <c r="AN92" s="135"/>
      <c r="AO92" s="135"/>
      <c r="AP92" s="135"/>
      <c r="AQ92" s="135"/>
      <c r="AR92" s="135"/>
      <c r="AS92" s="135"/>
      <c r="AT92" s="135"/>
      <c r="AU92" s="135"/>
      <c r="AV92" s="135"/>
    </row>
    <row r="93" spans="1:48" s="57" customFormat="1" ht="10.35" customHeight="1" outlineLevel="1">
      <c r="A93" s="135"/>
      <c r="B93" s="206">
        <f>B92</f>
        <v>3</v>
      </c>
      <c r="C93" s="766" t="str">
        <f t="shared" si="18"/>
        <v>Heat source temperature (DC) / temperature of the cooling system before HEx 1</v>
      </c>
      <c r="D93" s="714">
        <v>1</v>
      </c>
      <c r="E93" s="967">
        <v>40</v>
      </c>
      <c r="F93" s="966">
        <v>40</v>
      </c>
      <c r="G93" s="967">
        <v>40</v>
      </c>
      <c r="H93" s="967">
        <v>40</v>
      </c>
      <c r="I93" s="967">
        <v>40</v>
      </c>
      <c r="J93" s="967">
        <v>40</v>
      </c>
      <c r="K93" s="966"/>
      <c r="L93" s="941"/>
      <c r="M93" s="941"/>
      <c r="N93" s="941"/>
      <c r="O93" s="941"/>
      <c r="P93" s="941"/>
      <c r="Q93" s="941"/>
      <c r="R93" s="941"/>
      <c r="S93" s="941"/>
      <c r="T93" s="941"/>
      <c r="U93" s="941"/>
      <c r="V93" s="941"/>
      <c r="W93" s="941"/>
      <c r="X93" s="965">
        <v>30</v>
      </c>
      <c r="Y93" s="714">
        <v>1</v>
      </c>
      <c r="Z93" s="135"/>
      <c r="AA93" s="371" t="str">
        <f t="shared" ref="AA93:AA116" si="19">AB93</f>
        <v/>
      </c>
      <c r="AB93" s="248" t="str">
        <f t="shared" ref="AB93:AB116" si="20">IF(IFERROR((1+X93+W93+V93+U93+T93+S93+R93+Q93+P93+O93+N93+M93+L93+K93+J93+I93+H93+G93+F93+E93)*1, "!!!!")="!!!!","Inputs contain non-numerical data. Please check your input data!","")</f>
        <v/>
      </c>
      <c r="AC93" s="135"/>
      <c r="AD93" s="135"/>
      <c r="AE93" s="135"/>
      <c r="AF93" s="135"/>
      <c r="AG93" s="135"/>
      <c r="AH93" s="135"/>
      <c r="AI93" s="135"/>
      <c r="AJ93" s="135"/>
      <c r="AK93" s="135"/>
      <c r="AL93" s="135"/>
      <c r="AM93" s="135"/>
      <c r="AN93" s="135"/>
      <c r="AO93" s="135"/>
      <c r="AP93" s="135"/>
      <c r="AQ93" s="135"/>
      <c r="AR93" s="135"/>
      <c r="AS93" s="135"/>
      <c r="AT93" s="135"/>
      <c r="AU93" s="135"/>
      <c r="AV93" s="135"/>
    </row>
    <row r="94" spans="1:48" s="57" customFormat="1" ht="10.35" customHeight="1" outlineLevel="1">
      <c r="A94" s="135"/>
      <c r="B94" s="206">
        <f t="shared" si="17"/>
        <v>3</v>
      </c>
      <c r="C94" s="766" t="str">
        <f t="shared" si="18"/>
        <v>Heat source temperature (DC) / temperature of the cooling system before HEx 1</v>
      </c>
      <c r="D94" s="714">
        <v>2</v>
      </c>
      <c r="E94" s="967">
        <v>40</v>
      </c>
      <c r="F94" s="966">
        <v>40</v>
      </c>
      <c r="G94" s="967">
        <v>40</v>
      </c>
      <c r="H94" s="967">
        <v>40</v>
      </c>
      <c r="I94" s="967">
        <v>40</v>
      </c>
      <c r="J94" s="967">
        <v>40</v>
      </c>
      <c r="K94" s="966"/>
      <c r="L94" s="941"/>
      <c r="M94" s="941"/>
      <c r="N94" s="941"/>
      <c r="O94" s="941"/>
      <c r="P94" s="941"/>
      <c r="Q94" s="941"/>
      <c r="R94" s="941"/>
      <c r="S94" s="941"/>
      <c r="T94" s="941"/>
      <c r="U94" s="941"/>
      <c r="V94" s="941"/>
      <c r="W94" s="941"/>
      <c r="X94" s="965">
        <v>30</v>
      </c>
      <c r="Y94" s="714">
        <v>2</v>
      </c>
      <c r="Z94" s="135"/>
      <c r="AA94" s="394" t="str">
        <f t="shared" si="19"/>
        <v/>
      </c>
      <c r="AB94" s="248" t="str">
        <f t="shared" si="20"/>
        <v/>
      </c>
      <c r="AC94" s="135"/>
      <c r="AD94" s="135"/>
      <c r="AE94" s="135"/>
      <c r="AF94" s="135"/>
      <c r="AG94" s="135"/>
      <c r="AH94" s="135"/>
      <c r="AI94" s="135"/>
      <c r="AJ94" s="135"/>
      <c r="AK94" s="135"/>
      <c r="AL94" s="135"/>
      <c r="AM94" s="135"/>
      <c r="AN94" s="135"/>
      <c r="AO94" s="135"/>
      <c r="AP94" s="135"/>
      <c r="AQ94" s="135"/>
      <c r="AR94" s="135"/>
      <c r="AS94" s="135"/>
      <c r="AT94" s="135"/>
      <c r="AU94" s="135"/>
      <c r="AV94" s="135"/>
    </row>
    <row r="95" spans="1:48" s="57" customFormat="1" ht="10.35" customHeight="1" outlineLevel="1">
      <c r="A95" s="135"/>
      <c r="B95" s="206">
        <f t="shared" si="17"/>
        <v>3</v>
      </c>
      <c r="C95" s="766" t="str">
        <f t="shared" si="18"/>
        <v>Heat source temperature (DC) / temperature of the cooling system before HEx 1</v>
      </c>
      <c r="D95" s="714">
        <v>3</v>
      </c>
      <c r="E95" s="967">
        <v>40</v>
      </c>
      <c r="F95" s="966">
        <v>40</v>
      </c>
      <c r="G95" s="967">
        <v>40</v>
      </c>
      <c r="H95" s="967">
        <v>40</v>
      </c>
      <c r="I95" s="967">
        <v>40</v>
      </c>
      <c r="J95" s="967">
        <v>40</v>
      </c>
      <c r="K95" s="966"/>
      <c r="L95" s="941"/>
      <c r="M95" s="941"/>
      <c r="N95" s="941"/>
      <c r="O95" s="941"/>
      <c r="P95" s="941"/>
      <c r="Q95" s="941"/>
      <c r="R95" s="941"/>
      <c r="S95" s="941"/>
      <c r="T95" s="941"/>
      <c r="U95" s="941"/>
      <c r="V95" s="941"/>
      <c r="W95" s="941"/>
      <c r="X95" s="965">
        <v>30</v>
      </c>
      <c r="Y95" s="714">
        <v>3</v>
      </c>
      <c r="Z95" s="135"/>
      <c r="AA95" s="394" t="str">
        <f t="shared" si="19"/>
        <v/>
      </c>
      <c r="AB95" s="248" t="str">
        <f t="shared" si="20"/>
        <v/>
      </c>
      <c r="AC95" s="135"/>
      <c r="AD95" s="135"/>
      <c r="AE95" s="135"/>
      <c r="AF95" s="135"/>
      <c r="AG95" s="135"/>
      <c r="AH95" s="135"/>
      <c r="AI95" s="135"/>
      <c r="AJ95" s="135"/>
      <c r="AK95" s="135"/>
      <c r="AL95" s="135"/>
      <c r="AM95" s="135"/>
      <c r="AN95" s="135"/>
      <c r="AO95" s="135"/>
      <c r="AP95" s="135"/>
      <c r="AQ95" s="135"/>
      <c r="AR95" s="135"/>
      <c r="AS95" s="135"/>
      <c r="AT95" s="135"/>
      <c r="AU95" s="135"/>
      <c r="AV95" s="135"/>
    </row>
    <row r="96" spans="1:48" s="57" customFormat="1" ht="10.35" customHeight="1" outlineLevel="1">
      <c r="A96" s="135"/>
      <c r="B96" s="206">
        <f t="shared" si="17"/>
        <v>3</v>
      </c>
      <c r="C96" s="766" t="str">
        <f t="shared" si="18"/>
        <v>Heat source temperature (DC) / temperature of the cooling system before HEx 1</v>
      </c>
      <c r="D96" s="714">
        <v>4</v>
      </c>
      <c r="E96" s="967">
        <v>40</v>
      </c>
      <c r="F96" s="966">
        <v>40</v>
      </c>
      <c r="G96" s="967">
        <v>40</v>
      </c>
      <c r="H96" s="967">
        <v>40</v>
      </c>
      <c r="I96" s="967">
        <v>40</v>
      </c>
      <c r="J96" s="967">
        <v>40</v>
      </c>
      <c r="K96" s="966"/>
      <c r="L96" s="941"/>
      <c r="M96" s="941"/>
      <c r="N96" s="941"/>
      <c r="O96" s="941"/>
      <c r="P96" s="941"/>
      <c r="Q96" s="941"/>
      <c r="R96" s="941"/>
      <c r="S96" s="941"/>
      <c r="T96" s="941"/>
      <c r="U96" s="941"/>
      <c r="V96" s="941"/>
      <c r="W96" s="941"/>
      <c r="X96" s="965">
        <v>30</v>
      </c>
      <c r="Y96" s="714">
        <v>4</v>
      </c>
      <c r="Z96" s="135"/>
      <c r="AA96" s="394" t="str">
        <f t="shared" si="19"/>
        <v/>
      </c>
      <c r="AB96" s="248" t="str">
        <f t="shared" si="20"/>
        <v/>
      </c>
      <c r="AC96" s="135"/>
      <c r="AD96" s="135"/>
      <c r="AE96" s="135"/>
      <c r="AF96" s="135"/>
      <c r="AG96" s="135"/>
      <c r="AH96" s="135"/>
      <c r="AI96" s="135"/>
      <c r="AJ96" s="135"/>
      <c r="AK96" s="135"/>
      <c r="AL96" s="135"/>
      <c r="AM96" s="135"/>
      <c r="AN96" s="135"/>
      <c r="AO96" s="135"/>
      <c r="AP96" s="135"/>
      <c r="AQ96" s="135"/>
      <c r="AR96" s="135"/>
      <c r="AS96" s="135"/>
      <c r="AT96" s="135"/>
      <c r="AU96" s="135"/>
      <c r="AV96" s="135"/>
    </row>
    <row r="97" spans="1:48" s="57" customFormat="1" ht="10.35" customHeight="1" outlineLevel="1">
      <c r="A97" s="135"/>
      <c r="B97" s="206">
        <f t="shared" si="17"/>
        <v>3</v>
      </c>
      <c r="C97" s="766" t="str">
        <f t="shared" si="18"/>
        <v>Heat source temperature (DC) / temperature of the cooling system before HEx 1</v>
      </c>
      <c r="D97" s="714">
        <v>5</v>
      </c>
      <c r="E97" s="967">
        <v>40</v>
      </c>
      <c r="F97" s="966">
        <v>40</v>
      </c>
      <c r="G97" s="967">
        <v>40</v>
      </c>
      <c r="H97" s="967">
        <v>40</v>
      </c>
      <c r="I97" s="967">
        <v>40</v>
      </c>
      <c r="J97" s="967">
        <v>40</v>
      </c>
      <c r="K97" s="966"/>
      <c r="L97" s="941"/>
      <c r="M97" s="941"/>
      <c r="N97" s="941"/>
      <c r="O97" s="941"/>
      <c r="P97" s="941"/>
      <c r="Q97" s="941"/>
      <c r="R97" s="941"/>
      <c r="S97" s="941"/>
      <c r="T97" s="941"/>
      <c r="U97" s="941"/>
      <c r="V97" s="941"/>
      <c r="W97" s="941"/>
      <c r="X97" s="965">
        <v>30</v>
      </c>
      <c r="Y97" s="714">
        <v>5</v>
      </c>
      <c r="Z97" s="135"/>
      <c r="AA97" s="394" t="str">
        <f t="shared" si="19"/>
        <v/>
      </c>
      <c r="AB97" s="248" t="str">
        <f t="shared" si="20"/>
        <v/>
      </c>
      <c r="AC97" s="135"/>
      <c r="AD97" s="135"/>
      <c r="AE97" s="135"/>
      <c r="AF97" s="135"/>
      <c r="AG97" s="135"/>
      <c r="AH97" s="135"/>
      <c r="AI97" s="135"/>
      <c r="AJ97" s="135"/>
      <c r="AK97" s="135"/>
      <c r="AL97" s="135"/>
      <c r="AM97" s="135"/>
      <c r="AN97" s="135"/>
      <c r="AO97" s="135"/>
      <c r="AP97" s="135"/>
      <c r="AQ97" s="135"/>
      <c r="AR97" s="135"/>
      <c r="AS97" s="135"/>
      <c r="AT97" s="135"/>
      <c r="AU97" s="135"/>
      <c r="AV97" s="135"/>
    </row>
    <row r="98" spans="1:48" s="57" customFormat="1" ht="10.35" customHeight="1" outlineLevel="1">
      <c r="A98" s="135"/>
      <c r="B98" s="206">
        <f t="shared" si="17"/>
        <v>3</v>
      </c>
      <c r="C98" s="766" t="str">
        <f t="shared" si="18"/>
        <v>Heat source temperature (DC) / temperature of the cooling system before HEx 1</v>
      </c>
      <c r="D98" s="714">
        <v>6</v>
      </c>
      <c r="E98" s="967">
        <v>40</v>
      </c>
      <c r="F98" s="966">
        <v>40</v>
      </c>
      <c r="G98" s="967">
        <v>40</v>
      </c>
      <c r="H98" s="967">
        <v>40</v>
      </c>
      <c r="I98" s="967">
        <v>40</v>
      </c>
      <c r="J98" s="967">
        <v>40</v>
      </c>
      <c r="K98" s="966"/>
      <c r="L98" s="941"/>
      <c r="M98" s="941"/>
      <c r="N98" s="941"/>
      <c r="O98" s="941"/>
      <c r="P98" s="941"/>
      <c r="Q98" s="941"/>
      <c r="R98" s="941"/>
      <c r="S98" s="941"/>
      <c r="T98" s="941"/>
      <c r="U98" s="941"/>
      <c r="V98" s="941"/>
      <c r="W98" s="941"/>
      <c r="X98" s="965">
        <v>30</v>
      </c>
      <c r="Y98" s="714">
        <v>6</v>
      </c>
      <c r="Z98" s="135"/>
      <c r="AA98" s="394" t="str">
        <f t="shared" si="19"/>
        <v/>
      </c>
      <c r="AB98" s="248" t="str">
        <f t="shared" si="20"/>
        <v/>
      </c>
      <c r="AC98" s="135"/>
      <c r="AD98" s="135"/>
      <c r="AE98" s="135"/>
      <c r="AF98" s="135"/>
      <c r="AG98" s="135"/>
      <c r="AH98" s="135"/>
      <c r="AI98" s="135"/>
      <c r="AJ98" s="135"/>
      <c r="AK98" s="135"/>
      <c r="AL98" s="135"/>
      <c r="AM98" s="135"/>
      <c r="AN98" s="135"/>
      <c r="AO98" s="135"/>
      <c r="AP98" s="135"/>
      <c r="AQ98" s="135"/>
      <c r="AR98" s="135"/>
      <c r="AS98" s="135"/>
      <c r="AT98" s="135"/>
      <c r="AU98" s="135"/>
      <c r="AV98" s="135"/>
    </row>
    <row r="99" spans="1:48" s="57" customFormat="1" ht="10.35" customHeight="1" outlineLevel="1">
      <c r="A99" s="135"/>
      <c r="B99" s="206">
        <f t="shared" si="17"/>
        <v>3</v>
      </c>
      <c r="C99" s="766" t="str">
        <f t="shared" si="18"/>
        <v>Heat source temperature (DC) / temperature of the cooling system before HEx 1</v>
      </c>
      <c r="D99" s="714">
        <v>7</v>
      </c>
      <c r="E99" s="967">
        <v>40</v>
      </c>
      <c r="F99" s="966">
        <v>40</v>
      </c>
      <c r="G99" s="967">
        <v>40</v>
      </c>
      <c r="H99" s="967">
        <v>40</v>
      </c>
      <c r="I99" s="967">
        <v>40</v>
      </c>
      <c r="J99" s="967">
        <v>40</v>
      </c>
      <c r="K99" s="966"/>
      <c r="L99" s="941"/>
      <c r="M99" s="941"/>
      <c r="N99" s="941"/>
      <c r="O99" s="941"/>
      <c r="P99" s="941"/>
      <c r="Q99" s="941"/>
      <c r="R99" s="941"/>
      <c r="S99" s="941"/>
      <c r="T99" s="941"/>
      <c r="U99" s="941"/>
      <c r="V99" s="941"/>
      <c r="W99" s="941"/>
      <c r="X99" s="965">
        <v>30</v>
      </c>
      <c r="Y99" s="714">
        <v>7</v>
      </c>
      <c r="Z99" s="135"/>
      <c r="AA99" s="394" t="str">
        <f t="shared" si="19"/>
        <v/>
      </c>
      <c r="AB99" s="248" t="str">
        <f t="shared" si="20"/>
        <v/>
      </c>
      <c r="AC99" s="135"/>
      <c r="AD99" s="135"/>
      <c r="AE99" s="135"/>
      <c r="AF99" s="135"/>
      <c r="AG99" s="135"/>
      <c r="AH99" s="135"/>
      <c r="AI99" s="135"/>
      <c r="AJ99" s="135"/>
      <c r="AK99" s="135"/>
      <c r="AL99" s="135"/>
      <c r="AM99" s="135"/>
      <c r="AN99" s="135"/>
      <c r="AO99" s="135"/>
      <c r="AP99" s="135"/>
      <c r="AQ99" s="135"/>
      <c r="AR99" s="135"/>
      <c r="AS99" s="135"/>
      <c r="AT99" s="135"/>
      <c r="AU99" s="135"/>
      <c r="AV99" s="135"/>
    </row>
    <row r="100" spans="1:48" s="57" customFormat="1" ht="10.35" customHeight="1" outlineLevel="1">
      <c r="A100" s="135"/>
      <c r="B100" s="206">
        <f t="shared" si="17"/>
        <v>3</v>
      </c>
      <c r="C100" s="766" t="str">
        <f t="shared" si="18"/>
        <v>Heat source temperature (DC) / temperature of the cooling system before HEx 1</v>
      </c>
      <c r="D100" s="714">
        <v>8</v>
      </c>
      <c r="E100" s="967">
        <v>40</v>
      </c>
      <c r="F100" s="966">
        <v>40</v>
      </c>
      <c r="G100" s="967">
        <v>40</v>
      </c>
      <c r="H100" s="967">
        <v>40</v>
      </c>
      <c r="I100" s="967">
        <v>40</v>
      </c>
      <c r="J100" s="967">
        <v>40</v>
      </c>
      <c r="K100" s="966"/>
      <c r="L100" s="941"/>
      <c r="M100" s="941"/>
      <c r="N100" s="941"/>
      <c r="O100" s="941"/>
      <c r="P100" s="941"/>
      <c r="Q100" s="941"/>
      <c r="R100" s="941"/>
      <c r="S100" s="941"/>
      <c r="T100" s="941"/>
      <c r="U100" s="941"/>
      <c r="V100" s="941"/>
      <c r="W100" s="941"/>
      <c r="X100" s="965">
        <v>30</v>
      </c>
      <c r="Y100" s="714">
        <v>8</v>
      </c>
      <c r="Z100" s="135"/>
      <c r="AA100" s="394" t="str">
        <f t="shared" si="19"/>
        <v/>
      </c>
      <c r="AB100" s="248" t="str">
        <f t="shared" si="20"/>
        <v/>
      </c>
      <c r="AC100" s="135"/>
      <c r="AD100" s="135"/>
      <c r="AE100" s="135"/>
      <c r="AF100" s="135"/>
      <c r="AG100" s="135"/>
      <c r="AH100" s="135"/>
      <c r="AI100" s="135"/>
      <c r="AJ100" s="135"/>
      <c r="AK100" s="135"/>
      <c r="AL100" s="135"/>
      <c r="AM100" s="135"/>
      <c r="AN100" s="135"/>
      <c r="AO100" s="135"/>
      <c r="AP100" s="135"/>
      <c r="AQ100" s="135"/>
      <c r="AR100" s="135"/>
      <c r="AS100" s="135"/>
      <c r="AT100" s="135"/>
      <c r="AU100" s="135"/>
      <c r="AV100" s="135"/>
    </row>
    <row r="101" spans="1:48" s="57" customFormat="1" ht="10.35" customHeight="1" outlineLevel="1">
      <c r="A101" s="135"/>
      <c r="B101" s="206">
        <f t="shared" si="17"/>
        <v>3</v>
      </c>
      <c r="C101" s="766" t="str">
        <f t="shared" si="18"/>
        <v>Heat source temperature (DC) / temperature of the cooling system before HEx 1</v>
      </c>
      <c r="D101" s="714">
        <v>9</v>
      </c>
      <c r="E101" s="967">
        <v>40</v>
      </c>
      <c r="F101" s="966">
        <v>40</v>
      </c>
      <c r="G101" s="967">
        <v>40</v>
      </c>
      <c r="H101" s="967">
        <v>40</v>
      </c>
      <c r="I101" s="967">
        <v>40</v>
      </c>
      <c r="J101" s="967">
        <v>40</v>
      </c>
      <c r="K101" s="966"/>
      <c r="L101" s="941"/>
      <c r="M101" s="941"/>
      <c r="N101" s="941"/>
      <c r="O101" s="941"/>
      <c r="P101" s="941"/>
      <c r="Q101" s="941"/>
      <c r="R101" s="941"/>
      <c r="S101" s="941"/>
      <c r="T101" s="941"/>
      <c r="U101" s="941"/>
      <c r="V101" s="941"/>
      <c r="W101" s="941"/>
      <c r="X101" s="965">
        <v>30</v>
      </c>
      <c r="Y101" s="714">
        <v>9</v>
      </c>
      <c r="Z101" s="135"/>
      <c r="AA101" s="394" t="str">
        <f t="shared" si="19"/>
        <v/>
      </c>
      <c r="AB101" s="248" t="str">
        <f t="shared" si="20"/>
        <v/>
      </c>
      <c r="AC101" s="135"/>
      <c r="AD101" s="135"/>
      <c r="AE101" s="135"/>
      <c r="AF101" s="135"/>
      <c r="AG101" s="135"/>
      <c r="AH101" s="135"/>
      <c r="AI101" s="135"/>
      <c r="AJ101" s="135"/>
      <c r="AK101" s="135"/>
      <c r="AL101" s="135"/>
      <c r="AM101" s="135"/>
      <c r="AN101" s="135"/>
      <c r="AO101" s="135"/>
      <c r="AP101" s="135"/>
      <c r="AQ101" s="135"/>
      <c r="AR101" s="135"/>
      <c r="AS101" s="135"/>
      <c r="AT101" s="135"/>
      <c r="AU101" s="135"/>
      <c r="AV101" s="135"/>
    </row>
    <row r="102" spans="1:48" s="57" customFormat="1" ht="10.35" customHeight="1" outlineLevel="1">
      <c r="A102" s="135"/>
      <c r="B102" s="206">
        <f t="shared" si="17"/>
        <v>3</v>
      </c>
      <c r="C102" s="766" t="str">
        <f t="shared" si="18"/>
        <v>Heat source temperature (DC) / temperature of the cooling system before HEx 1</v>
      </c>
      <c r="D102" s="714">
        <v>10</v>
      </c>
      <c r="E102" s="967">
        <v>40</v>
      </c>
      <c r="F102" s="966">
        <v>40</v>
      </c>
      <c r="G102" s="967">
        <v>40</v>
      </c>
      <c r="H102" s="967">
        <v>40</v>
      </c>
      <c r="I102" s="967">
        <v>40</v>
      </c>
      <c r="J102" s="967">
        <v>40</v>
      </c>
      <c r="K102" s="966"/>
      <c r="L102" s="941"/>
      <c r="M102" s="941"/>
      <c r="N102" s="941"/>
      <c r="O102" s="941"/>
      <c r="P102" s="941"/>
      <c r="Q102" s="941"/>
      <c r="R102" s="941"/>
      <c r="S102" s="941"/>
      <c r="T102" s="941"/>
      <c r="U102" s="941"/>
      <c r="V102" s="941"/>
      <c r="W102" s="941"/>
      <c r="X102" s="965">
        <v>30</v>
      </c>
      <c r="Y102" s="714">
        <v>10</v>
      </c>
      <c r="Z102" s="135"/>
      <c r="AA102" s="394" t="str">
        <f t="shared" si="19"/>
        <v/>
      </c>
      <c r="AB102" s="248" t="str">
        <f t="shared" si="20"/>
        <v/>
      </c>
      <c r="AC102" s="135"/>
      <c r="AD102" s="135"/>
      <c r="AE102" s="135"/>
      <c r="AF102" s="135"/>
      <c r="AG102" s="135"/>
      <c r="AH102" s="135"/>
      <c r="AI102" s="135"/>
      <c r="AJ102" s="135"/>
      <c r="AK102" s="135"/>
      <c r="AL102" s="135"/>
      <c r="AM102" s="135"/>
      <c r="AN102" s="135"/>
      <c r="AO102" s="135"/>
      <c r="AP102" s="135"/>
      <c r="AQ102" s="135"/>
      <c r="AR102" s="135"/>
      <c r="AS102" s="135"/>
      <c r="AT102" s="135"/>
      <c r="AU102" s="135"/>
      <c r="AV102" s="135"/>
    </row>
    <row r="103" spans="1:48" s="57" customFormat="1" ht="10.35" customHeight="1" outlineLevel="1">
      <c r="A103" s="135"/>
      <c r="B103" s="206">
        <f t="shared" si="17"/>
        <v>3</v>
      </c>
      <c r="C103" s="766" t="str">
        <f t="shared" si="18"/>
        <v>Heat source temperature (DC) / temperature of the cooling system before HEx 1</v>
      </c>
      <c r="D103" s="714">
        <v>11</v>
      </c>
      <c r="E103" s="967">
        <v>40</v>
      </c>
      <c r="F103" s="966">
        <v>40</v>
      </c>
      <c r="G103" s="967">
        <v>40</v>
      </c>
      <c r="H103" s="967">
        <v>40</v>
      </c>
      <c r="I103" s="967">
        <v>40</v>
      </c>
      <c r="J103" s="967">
        <v>40</v>
      </c>
      <c r="K103" s="966"/>
      <c r="L103" s="941"/>
      <c r="M103" s="941"/>
      <c r="N103" s="941"/>
      <c r="O103" s="941"/>
      <c r="P103" s="941"/>
      <c r="Q103" s="941"/>
      <c r="R103" s="941"/>
      <c r="S103" s="941"/>
      <c r="T103" s="941"/>
      <c r="U103" s="941"/>
      <c r="V103" s="941"/>
      <c r="W103" s="941"/>
      <c r="X103" s="965">
        <v>30</v>
      </c>
      <c r="Y103" s="714">
        <v>11</v>
      </c>
      <c r="Z103" s="135"/>
      <c r="AA103" s="394" t="str">
        <f t="shared" si="19"/>
        <v/>
      </c>
      <c r="AB103" s="248" t="str">
        <f t="shared" si="20"/>
        <v/>
      </c>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row>
    <row r="104" spans="1:48" s="57" customFormat="1" ht="10.35" customHeight="1" outlineLevel="1">
      <c r="A104" s="135"/>
      <c r="B104" s="206">
        <f t="shared" si="17"/>
        <v>3</v>
      </c>
      <c r="C104" s="766" t="str">
        <f t="shared" si="18"/>
        <v>Heat source temperature (DC) / temperature of the cooling system before HEx 1</v>
      </c>
      <c r="D104" s="714">
        <v>12</v>
      </c>
      <c r="E104" s="967">
        <v>40</v>
      </c>
      <c r="F104" s="966">
        <v>40</v>
      </c>
      <c r="G104" s="967">
        <v>40</v>
      </c>
      <c r="H104" s="967">
        <v>40</v>
      </c>
      <c r="I104" s="967">
        <v>40</v>
      </c>
      <c r="J104" s="967">
        <v>40</v>
      </c>
      <c r="K104" s="966"/>
      <c r="L104" s="941"/>
      <c r="M104" s="941"/>
      <c r="N104" s="941"/>
      <c r="O104" s="941"/>
      <c r="P104" s="941"/>
      <c r="Q104" s="941"/>
      <c r="R104" s="941"/>
      <c r="S104" s="941"/>
      <c r="T104" s="941"/>
      <c r="U104" s="941"/>
      <c r="V104" s="941"/>
      <c r="W104" s="941"/>
      <c r="X104" s="965">
        <v>30</v>
      </c>
      <c r="Y104" s="714">
        <v>12</v>
      </c>
      <c r="Z104" s="135"/>
      <c r="AA104" s="394" t="str">
        <f t="shared" si="19"/>
        <v/>
      </c>
      <c r="AB104" s="248" t="str">
        <f t="shared" si="20"/>
        <v/>
      </c>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row>
    <row r="105" spans="1:48" s="57" customFormat="1" ht="10.35" customHeight="1" outlineLevel="1">
      <c r="A105" s="135"/>
      <c r="B105" s="206">
        <f t="shared" si="17"/>
        <v>3</v>
      </c>
      <c r="C105" s="766" t="str">
        <f t="shared" si="18"/>
        <v>Heat source temperature (DC) / temperature of the cooling system before HEx 1</v>
      </c>
      <c r="D105" s="714">
        <v>13</v>
      </c>
      <c r="E105" s="967">
        <v>40</v>
      </c>
      <c r="F105" s="966">
        <v>40</v>
      </c>
      <c r="G105" s="967">
        <v>40</v>
      </c>
      <c r="H105" s="967">
        <v>40</v>
      </c>
      <c r="I105" s="967">
        <v>40</v>
      </c>
      <c r="J105" s="967">
        <v>40</v>
      </c>
      <c r="K105" s="966"/>
      <c r="L105" s="941"/>
      <c r="M105" s="941"/>
      <c r="N105" s="941"/>
      <c r="O105" s="941"/>
      <c r="P105" s="941"/>
      <c r="Q105" s="941"/>
      <c r="R105" s="941"/>
      <c r="S105" s="941"/>
      <c r="T105" s="941"/>
      <c r="U105" s="941"/>
      <c r="V105" s="941"/>
      <c r="W105" s="941"/>
      <c r="X105" s="965">
        <v>30</v>
      </c>
      <c r="Y105" s="714">
        <v>13</v>
      </c>
      <c r="Z105" s="135"/>
      <c r="AA105" s="394" t="str">
        <f t="shared" si="19"/>
        <v/>
      </c>
      <c r="AB105" s="248" t="str">
        <f t="shared" si="20"/>
        <v/>
      </c>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row>
    <row r="106" spans="1:48" s="57" customFormat="1" ht="10.35" customHeight="1" outlineLevel="1">
      <c r="A106" s="135"/>
      <c r="B106" s="206">
        <f t="shared" si="17"/>
        <v>3</v>
      </c>
      <c r="C106" s="766" t="str">
        <f t="shared" si="18"/>
        <v>Heat source temperature (DC) / temperature of the cooling system before HEx 1</v>
      </c>
      <c r="D106" s="714">
        <v>14</v>
      </c>
      <c r="E106" s="967">
        <v>40</v>
      </c>
      <c r="F106" s="966">
        <v>40</v>
      </c>
      <c r="G106" s="967">
        <v>40</v>
      </c>
      <c r="H106" s="967">
        <v>40</v>
      </c>
      <c r="I106" s="967">
        <v>40</v>
      </c>
      <c r="J106" s="967">
        <v>40</v>
      </c>
      <c r="K106" s="966"/>
      <c r="L106" s="941"/>
      <c r="M106" s="941"/>
      <c r="N106" s="941"/>
      <c r="O106" s="941"/>
      <c r="P106" s="941"/>
      <c r="Q106" s="941"/>
      <c r="R106" s="941"/>
      <c r="S106" s="941"/>
      <c r="T106" s="941"/>
      <c r="U106" s="941"/>
      <c r="V106" s="941"/>
      <c r="W106" s="941"/>
      <c r="X106" s="965">
        <v>30</v>
      </c>
      <c r="Y106" s="714">
        <v>14</v>
      </c>
      <c r="Z106" s="135"/>
      <c r="AA106" s="394" t="str">
        <f t="shared" si="19"/>
        <v/>
      </c>
      <c r="AB106" s="248" t="str">
        <f t="shared" si="20"/>
        <v/>
      </c>
      <c r="AC106" s="135"/>
      <c r="AD106" s="135"/>
      <c r="AE106" s="135"/>
      <c r="AF106" s="135"/>
      <c r="AG106" s="135"/>
      <c r="AH106" s="135"/>
      <c r="AI106" s="135"/>
      <c r="AJ106" s="135"/>
      <c r="AK106" s="135"/>
      <c r="AL106" s="135"/>
      <c r="AM106" s="135"/>
      <c r="AN106" s="135"/>
      <c r="AO106" s="135"/>
      <c r="AP106" s="135"/>
      <c r="AQ106" s="135"/>
      <c r="AR106" s="135"/>
      <c r="AS106" s="135"/>
      <c r="AT106" s="135"/>
      <c r="AU106" s="135"/>
      <c r="AV106" s="135"/>
    </row>
    <row r="107" spans="1:48" s="57" customFormat="1" ht="10.35" customHeight="1" outlineLevel="1">
      <c r="A107" s="135"/>
      <c r="B107" s="206">
        <f t="shared" si="17"/>
        <v>3</v>
      </c>
      <c r="C107" s="766" t="str">
        <f t="shared" si="18"/>
        <v>Heat source temperature (DC) / temperature of the cooling system before HEx 1</v>
      </c>
      <c r="D107" s="714">
        <v>15</v>
      </c>
      <c r="E107" s="967">
        <v>40</v>
      </c>
      <c r="F107" s="966">
        <v>40</v>
      </c>
      <c r="G107" s="967">
        <v>40</v>
      </c>
      <c r="H107" s="967">
        <v>40</v>
      </c>
      <c r="I107" s="967">
        <v>40</v>
      </c>
      <c r="J107" s="967">
        <v>40</v>
      </c>
      <c r="K107" s="966"/>
      <c r="L107" s="941"/>
      <c r="M107" s="941"/>
      <c r="N107" s="941"/>
      <c r="O107" s="941"/>
      <c r="P107" s="941"/>
      <c r="Q107" s="941"/>
      <c r="R107" s="941"/>
      <c r="S107" s="941"/>
      <c r="T107" s="941"/>
      <c r="U107" s="941"/>
      <c r="V107" s="941"/>
      <c r="W107" s="941"/>
      <c r="X107" s="965">
        <v>30</v>
      </c>
      <c r="Y107" s="714">
        <v>15</v>
      </c>
      <c r="Z107" s="135"/>
      <c r="AA107" s="394" t="str">
        <f t="shared" si="19"/>
        <v/>
      </c>
      <c r="AB107" s="248" t="str">
        <f t="shared" si="20"/>
        <v/>
      </c>
      <c r="AC107" s="135"/>
      <c r="AD107" s="135"/>
      <c r="AE107" s="135"/>
      <c r="AF107" s="135"/>
      <c r="AG107" s="135"/>
      <c r="AH107" s="135"/>
      <c r="AI107" s="135"/>
      <c r="AJ107" s="135"/>
      <c r="AK107" s="135"/>
      <c r="AL107" s="135"/>
      <c r="AM107" s="135"/>
      <c r="AN107" s="135"/>
      <c r="AO107" s="135"/>
      <c r="AP107" s="135"/>
      <c r="AQ107" s="135"/>
      <c r="AR107" s="135"/>
      <c r="AS107" s="135"/>
      <c r="AT107" s="135"/>
      <c r="AU107" s="135"/>
      <c r="AV107" s="135"/>
    </row>
    <row r="108" spans="1:48" s="57" customFormat="1" ht="10.35" customHeight="1" outlineLevel="1">
      <c r="A108" s="135"/>
      <c r="B108" s="206">
        <f t="shared" si="17"/>
        <v>3</v>
      </c>
      <c r="C108" s="766" t="str">
        <f t="shared" si="18"/>
        <v>Heat source temperature (DC) / temperature of the cooling system before HEx 1</v>
      </c>
      <c r="D108" s="714">
        <v>16</v>
      </c>
      <c r="E108" s="967">
        <v>40</v>
      </c>
      <c r="F108" s="966">
        <v>40</v>
      </c>
      <c r="G108" s="967">
        <v>40</v>
      </c>
      <c r="H108" s="967">
        <v>40</v>
      </c>
      <c r="I108" s="967">
        <v>40</v>
      </c>
      <c r="J108" s="967">
        <v>40</v>
      </c>
      <c r="K108" s="966"/>
      <c r="L108" s="941"/>
      <c r="M108" s="941"/>
      <c r="N108" s="941"/>
      <c r="O108" s="941"/>
      <c r="P108" s="941"/>
      <c r="Q108" s="941"/>
      <c r="R108" s="941"/>
      <c r="S108" s="941"/>
      <c r="T108" s="941"/>
      <c r="U108" s="941"/>
      <c r="V108" s="941"/>
      <c r="W108" s="941"/>
      <c r="X108" s="965">
        <v>30</v>
      </c>
      <c r="Y108" s="714">
        <v>16</v>
      </c>
      <c r="Z108" s="135"/>
      <c r="AA108" s="394" t="str">
        <f t="shared" si="19"/>
        <v/>
      </c>
      <c r="AB108" s="248" t="str">
        <f t="shared" si="20"/>
        <v/>
      </c>
      <c r="AC108" s="135"/>
      <c r="AD108" s="135"/>
      <c r="AE108" s="135"/>
      <c r="AF108" s="135"/>
      <c r="AG108" s="135"/>
      <c r="AH108" s="135"/>
      <c r="AI108" s="135"/>
      <c r="AJ108" s="135"/>
      <c r="AK108" s="135"/>
      <c r="AL108" s="135"/>
      <c r="AM108" s="135"/>
      <c r="AN108" s="135"/>
      <c r="AO108" s="135"/>
      <c r="AP108" s="135"/>
      <c r="AQ108" s="135"/>
      <c r="AR108" s="135"/>
      <c r="AS108" s="135"/>
      <c r="AT108" s="135"/>
      <c r="AU108" s="135"/>
      <c r="AV108" s="135"/>
    </row>
    <row r="109" spans="1:48" s="57" customFormat="1" ht="10.35" customHeight="1" outlineLevel="1">
      <c r="A109" s="135"/>
      <c r="B109" s="206">
        <f t="shared" si="17"/>
        <v>3</v>
      </c>
      <c r="C109" s="766" t="str">
        <f t="shared" si="18"/>
        <v>Heat source temperature (DC) / temperature of the cooling system before HEx 1</v>
      </c>
      <c r="D109" s="714">
        <v>17</v>
      </c>
      <c r="E109" s="967">
        <v>40</v>
      </c>
      <c r="F109" s="966">
        <v>40</v>
      </c>
      <c r="G109" s="967">
        <v>40</v>
      </c>
      <c r="H109" s="967">
        <v>40</v>
      </c>
      <c r="I109" s="967">
        <v>40</v>
      </c>
      <c r="J109" s="967">
        <v>40</v>
      </c>
      <c r="K109" s="966"/>
      <c r="L109" s="941"/>
      <c r="M109" s="941"/>
      <c r="N109" s="941"/>
      <c r="O109" s="941"/>
      <c r="P109" s="941"/>
      <c r="Q109" s="941"/>
      <c r="R109" s="941"/>
      <c r="S109" s="941"/>
      <c r="T109" s="941"/>
      <c r="U109" s="941"/>
      <c r="V109" s="941"/>
      <c r="W109" s="941"/>
      <c r="X109" s="965">
        <v>30</v>
      </c>
      <c r="Y109" s="714">
        <v>17</v>
      </c>
      <c r="Z109" s="135"/>
      <c r="AA109" s="394" t="str">
        <f t="shared" si="19"/>
        <v/>
      </c>
      <c r="AB109" s="248" t="str">
        <f t="shared" si="20"/>
        <v/>
      </c>
      <c r="AC109" s="135"/>
      <c r="AD109" s="135"/>
      <c r="AE109" s="135"/>
      <c r="AF109" s="135"/>
      <c r="AG109" s="135"/>
      <c r="AH109" s="135"/>
      <c r="AI109" s="135"/>
      <c r="AJ109" s="135"/>
      <c r="AK109" s="135"/>
      <c r="AL109" s="135"/>
      <c r="AM109" s="135"/>
      <c r="AN109" s="135"/>
      <c r="AO109" s="135"/>
      <c r="AP109" s="135"/>
      <c r="AQ109" s="135"/>
      <c r="AR109" s="135"/>
      <c r="AS109" s="135"/>
      <c r="AT109" s="135"/>
      <c r="AU109" s="135"/>
      <c r="AV109" s="135"/>
    </row>
    <row r="110" spans="1:48" s="57" customFormat="1" ht="10.35" customHeight="1" outlineLevel="1">
      <c r="A110" s="135"/>
      <c r="B110" s="206">
        <f t="shared" si="17"/>
        <v>3</v>
      </c>
      <c r="C110" s="766" t="str">
        <f t="shared" si="18"/>
        <v>Heat source temperature (DC) / temperature of the cooling system before HEx 1</v>
      </c>
      <c r="D110" s="714">
        <v>18</v>
      </c>
      <c r="E110" s="967">
        <v>40</v>
      </c>
      <c r="F110" s="966">
        <v>40</v>
      </c>
      <c r="G110" s="967">
        <v>40</v>
      </c>
      <c r="H110" s="967">
        <v>40</v>
      </c>
      <c r="I110" s="967">
        <v>40</v>
      </c>
      <c r="J110" s="967">
        <v>40</v>
      </c>
      <c r="K110" s="966"/>
      <c r="L110" s="941"/>
      <c r="M110" s="941"/>
      <c r="N110" s="941"/>
      <c r="O110" s="941"/>
      <c r="P110" s="941"/>
      <c r="Q110" s="941"/>
      <c r="R110" s="941"/>
      <c r="S110" s="941"/>
      <c r="T110" s="941"/>
      <c r="U110" s="941"/>
      <c r="V110" s="941"/>
      <c r="W110" s="941"/>
      <c r="X110" s="965">
        <v>30</v>
      </c>
      <c r="Y110" s="714">
        <v>18</v>
      </c>
      <c r="Z110" s="135"/>
      <c r="AA110" s="394" t="str">
        <f t="shared" si="19"/>
        <v/>
      </c>
      <c r="AB110" s="248" t="str">
        <f t="shared" si="20"/>
        <v/>
      </c>
      <c r="AC110" s="135"/>
      <c r="AD110" s="135"/>
      <c r="AE110" s="135"/>
      <c r="AF110" s="135"/>
      <c r="AG110" s="135"/>
      <c r="AH110" s="135"/>
      <c r="AI110" s="135"/>
      <c r="AJ110" s="135"/>
      <c r="AK110" s="135"/>
      <c r="AL110" s="135"/>
      <c r="AM110" s="135"/>
      <c r="AN110" s="135"/>
      <c r="AO110" s="135"/>
      <c r="AP110" s="135"/>
      <c r="AQ110" s="135"/>
      <c r="AR110" s="135"/>
      <c r="AS110" s="135"/>
      <c r="AT110" s="135"/>
      <c r="AU110" s="135"/>
      <c r="AV110" s="135"/>
    </row>
    <row r="111" spans="1:48" s="57" customFormat="1" ht="10.35" customHeight="1" outlineLevel="1">
      <c r="A111" s="135"/>
      <c r="B111" s="206">
        <f t="shared" si="17"/>
        <v>3</v>
      </c>
      <c r="C111" s="766" t="str">
        <f t="shared" si="18"/>
        <v>Heat source temperature (DC) / temperature of the cooling system before HEx 1</v>
      </c>
      <c r="D111" s="714">
        <v>19</v>
      </c>
      <c r="E111" s="967">
        <v>40</v>
      </c>
      <c r="F111" s="966">
        <v>40</v>
      </c>
      <c r="G111" s="967">
        <v>40</v>
      </c>
      <c r="H111" s="967">
        <v>40</v>
      </c>
      <c r="I111" s="967">
        <v>40</v>
      </c>
      <c r="J111" s="967">
        <v>40</v>
      </c>
      <c r="K111" s="966"/>
      <c r="L111" s="941"/>
      <c r="M111" s="941"/>
      <c r="N111" s="941"/>
      <c r="O111" s="941"/>
      <c r="P111" s="941"/>
      <c r="Q111" s="941"/>
      <c r="R111" s="941"/>
      <c r="S111" s="941"/>
      <c r="T111" s="941"/>
      <c r="U111" s="941"/>
      <c r="V111" s="941"/>
      <c r="W111" s="941"/>
      <c r="X111" s="965">
        <v>30</v>
      </c>
      <c r="Y111" s="714">
        <v>19</v>
      </c>
      <c r="Z111" s="135"/>
      <c r="AA111" s="394" t="str">
        <f t="shared" si="19"/>
        <v/>
      </c>
      <c r="AB111" s="248" t="str">
        <f t="shared" si="20"/>
        <v/>
      </c>
      <c r="AC111" s="135"/>
      <c r="AD111" s="135"/>
      <c r="AE111" s="135"/>
      <c r="AF111" s="135"/>
      <c r="AG111" s="135"/>
      <c r="AH111" s="135"/>
      <c r="AI111" s="135"/>
      <c r="AJ111" s="135"/>
      <c r="AK111" s="135"/>
      <c r="AL111" s="135"/>
      <c r="AM111" s="135"/>
      <c r="AN111" s="135"/>
      <c r="AO111" s="135"/>
      <c r="AP111" s="135"/>
      <c r="AQ111" s="135"/>
      <c r="AR111" s="135"/>
      <c r="AS111" s="135"/>
      <c r="AT111" s="135"/>
      <c r="AU111" s="135"/>
      <c r="AV111" s="135"/>
    </row>
    <row r="112" spans="1:48" s="57" customFormat="1" ht="10.35" customHeight="1" outlineLevel="1">
      <c r="A112" s="135"/>
      <c r="B112" s="206">
        <f t="shared" si="17"/>
        <v>3</v>
      </c>
      <c r="C112" s="766" t="str">
        <f t="shared" si="18"/>
        <v>Heat source temperature (DC) / temperature of the cooling system before HEx 1</v>
      </c>
      <c r="D112" s="714">
        <v>20</v>
      </c>
      <c r="E112" s="967">
        <v>40</v>
      </c>
      <c r="F112" s="966">
        <v>40</v>
      </c>
      <c r="G112" s="967">
        <v>40</v>
      </c>
      <c r="H112" s="967">
        <v>40</v>
      </c>
      <c r="I112" s="967">
        <v>40</v>
      </c>
      <c r="J112" s="967">
        <v>40</v>
      </c>
      <c r="K112" s="966"/>
      <c r="L112" s="941"/>
      <c r="M112" s="941"/>
      <c r="N112" s="941"/>
      <c r="O112" s="941"/>
      <c r="P112" s="941"/>
      <c r="Q112" s="941"/>
      <c r="R112" s="941"/>
      <c r="S112" s="941"/>
      <c r="T112" s="941"/>
      <c r="U112" s="941"/>
      <c r="V112" s="941"/>
      <c r="W112" s="941"/>
      <c r="X112" s="965">
        <v>30</v>
      </c>
      <c r="Y112" s="714">
        <v>20</v>
      </c>
      <c r="Z112" s="135"/>
      <c r="AA112" s="394" t="str">
        <f t="shared" si="19"/>
        <v/>
      </c>
      <c r="AB112" s="248" t="str">
        <f t="shared" si="20"/>
        <v/>
      </c>
      <c r="AC112" s="135"/>
      <c r="AD112" s="135"/>
      <c r="AE112" s="135"/>
      <c r="AF112" s="135"/>
      <c r="AG112" s="135"/>
      <c r="AH112" s="135"/>
      <c r="AI112" s="135"/>
      <c r="AJ112" s="135"/>
      <c r="AK112" s="135"/>
      <c r="AL112" s="135"/>
      <c r="AM112" s="135"/>
      <c r="AN112" s="135"/>
      <c r="AO112" s="135"/>
      <c r="AP112" s="135"/>
      <c r="AQ112" s="135"/>
      <c r="AR112" s="135"/>
      <c r="AS112" s="135"/>
      <c r="AT112" s="135"/>
      <c r="AU112" s="135"/>
      <c r="AV112" s="135"/>
    </row>
    <row r="113" spans="1:48" s="57" customFormat="1" ht="10.35" customHeight="1" outlineLevel="1">
      <c r="A113" s="135"/>
      <c r="B113" s="206">
        <f t="shared" si="17"/>
        <v>3</v>
      </c>
      <c r="C113" s="766" t="str">
        <f t="shared" si="18"/>
        <v>Heat source temperature (DC) / temperature of the cooling system before HEx 1</v>
      </c>
      <c r="D113" s="714">
        <v>21</v>
      </c>
      <c r="E113" s="967">
        <v>40</v>
      </c>
      <c r="F113" s="966">
        <v>40</v>
      </c>
      <c r="G113" s="967">
        <v>40</v>
      </c>
      <c r="H113" s="967">
        <v>40</v>
      </c>
      <c r="I113" s="967">
        <v>40</v>
      </c>
      <c r="J113" s="967">
        <v>40</v>
      </c>
      <c r="K113" s="966"/>
      <c r="L113" s="941"/>
      <c r="M113" s="941"/>
      <c r="N113" s="941"/>
      <c r="O113" s="941"/>
      <c r="P113" s="941"/>
      <c r="Q113" s="941"/>
      <c r="R113" s="941"/>
      <c r="S113" s="941"/>
      <c r="T113" s="941"/>
      <c r="U113" s="941"/>
      <c r="V113" s="941"/>
      <c r="W113" s="941"/>
      <c r="X113" s="965">
        <v>30</v>
      </c>
      <c r="Y113" s="714">
        <v>21</v>
      </c>
      <c r="Z113" s="135"/>
      <c r="AA113" s="394" t="str">
        <f t="shared" si="19"/>
        <v/>
      </c>
      <c r="AB113" s="248" t="str">
        <f t="shared" si="20"/>
        <v/>
      </c>
      <c r="AC113" s="135"/>
      <c r="AD113" s="135"/>
      <c r="AE113" s="135"/>
      <c r="AF113" s="135"/>
      <c r="AG113" s="135"/>
      <c r="AH113" s="135"/>
      <c r="AI113" s="135"/>
      <c r="AJ113" s="135"/>
      <c r="AK113" s="135"/>
      <c r="AL113" s="135"/>
      <c r="AM113" s="135"/>
      <c r="AN113" s="135"/>
      <c r="AO113" s="135"/>
      <c r="AP113" s="135"/>
      <c r="AQ113" s="135"/>
      <c r="AR113" s="135"/>
      <c r="AS113" s="135"/>
      <c r="AT113" s="135"/>
      <c r="AU113" s="135"/>
      <c r="AV113" s="135"/>
    </row>
    <row r="114" spans="1:48" s="57" customFormat="1" ht="10.35" customHeight="1" outlineLevel="1">
      <c r="A114" s="135"/>
      <c r="B114" s="206">
        <f t="shared" si="17"/>
        <v>3</v>
      </c>
      <c r="C114" s="766" t="str">
        <f t="shared" si="18"/>
        <v>Heat source temperature (DC) / temperature of the cooling system before HEx 1</v>
      </c>
      <c r="D114" s="714">
        <v>22</v>
      </c>
      <c r="E114" s="967">
        <v>40</v>
      </c>
      <c r="F114" s="966">
        <v>40</v>
      </c>
      <c r="G114" s="967">
        <v>40</v>
      </c>
      <c r="H114" s="967">
        <v>40</v>
      </c>
      <c r="I114" s="967">
        <v>40</v>
      </c>
      <c r="J114" s="967">
        <v>40</v>
      </c>
      <c r="K114" s="966"/>
      <c r="L114" s="941"/>
      <c r="M114" s="941"/>
      <c r="N114" s="941"/>
      <c r="O114" s="941"/>
      <c r="P114" s="941"/>
      <c r="Q114" s="941"/>
      <c r="R114" s="941"/>
      <c r="S114" s="941"/>
      <c r="T114" s="941"/>
      <c r="U114" s="941"/>
      <c r="V114" s="941"/>
      <c r="W114" s="941"/>
      <c r="X114" s="965">
        <v>30</v>
      </c>
      <c r="Y114" s="714">
        <v>22</v>
      </c>
      <c r="Z114" s="135"/>
      <c r="AA114" s="394" t="str">
        <f t="shared" si="19"/>
        <v/>
      </c>
      <c r="AB114" s="248" t="str">
        <f t="shared" si="20"/>
        <v/>
      </c>
      <c r="AC114" s="135"/>
      <c r="AD114" s="135"/>
      <c r="AE114" s="135"/>
      <c r="AF114" s="135"/>
      <c r="AG114" s="135"/>
      <c r="AH114" s="135"/>
      <c r="AI114" s="135"/>
      <c r="AJ114" s="135"/>
      <c r="AK114" s="135"/>
      <c r="AL114" s="135"/>
      <c r="AM114" s="135"/>
      <c r="AN114" s="135"/>
      <c r="AO114" s="135"/>
      <c r="AP114" s="135"/>
      <c r="AQ114" s="135"/>
      <c r="AR114" s="135"/>
      <c r="AS114" s="135"/>
      <c r="AT114" s="135"/>
      <c r="AU114" s="135"/>
      <c r="AV114" s="135"/>
    </row>
    <row r="115" spans="1:48" s="57" customFormat="1" ht="10.35" customHeight="1" outlineLevel="1">
      <c r="A115" s="135"/>
      <c r="B115" s="206">
        <f t="shared" si="17"/>
        <v>3</v>
      </c>
      <c r="C115" s="766" t="str">
        <f t="shared" si="18"/>
        <v>Heat source temperature (DC) / temperature of the cooling system before HEx 1</v>
      </c>
      <c r="D115" s="714">
        <v>23</v>
      </c>
      <c r="E115" s="967">
        <v>40</v>
      </c>
      <c r="F115" s="966">
        <v>40</v>
      </c>
      <c r="G115" s="967">
        <v>40</v>
      </c>
      <c r="H115" s="967">
        <v>40</v>
      </c>
      <c r="I115" s="967">
        <v>40</v>
      </c>
      <c r="J115" s="967">
        <v>40</v>
      </c>
      <c r="K115" s="966"/>
      <c r="L115" s="941"/>
      <c r="M115" s="941"/>
      <c r="N115" s="941"/>
      <c r="O115" s="941"/>
      <c r="P115" s="941"/>
      <c r="Q115" s="941"/>
      <c r="R115" s="941"/>
      <c r="S115" s="941"/>
      <c r="T115" s="941"/>
      <c r="U115" s="941"/>
      <c r="V115" s="941"/>
      <c r="W115" s="941"/>
      <c r="X115" s="965">
        <v>30</v>
      </c>
      <c r="Y115" s="714">
        <v>23</v>
      </c>
      <c r="Z115" s="135"/>
      <c r="AA115" s="394" t="str">
        <f t="shared" si="19"/>
        <v/>
      </c>
      <c r="AB115" s="248" t="str">
        <f t="shared" si="20"/>
        <v/>
      </c>
      <c r="AC115" s="135"/>
      <c r="AD115" s="135"/>
      <c r="AE115" s="135"/>
      <c r="AF115" s="135"/>
      <c r="AG115" s="135"/>
      <c r="AH115" s="135"/>
      <c r="AI115" s="135"/>
      <c r="AJ115" s="135"/>
      <c r="AK115" s="135"/>
      <c r="AL115" s="135"/>
      <c r="AM115" s="135"/>
      <c r="AN115" s="135"/>
      <c r="AO115" s="135"/>
      <c r="AP115" s="135"/>
      <c r="AQ115" s="135"/>
      <c r="AR115" s="135"/>
      <c r="AS115" s="135"/>
      <c r="AT115" s="135"/>
      <c r="AU115" s="135"/>
      <c r="AV115" s="135"/>
    </row>
    <row r="116" spans="1:48" s="57" customFormat="1" ht="10.35" customHeight="1" outlineLevel="1">
      <c r="A116" s="135"/>
      <c r="B116" s="206">
        <f t="shared" si="17"/>
        <v>3</v>
      </c>
      <c r="C116" s="970" t="str">
        <f t="shared" si="18"/>
        <v>Heat source temperature (DC) / temperature of the cooling system before HEx 1</v>
      </c>
      <c r="D116" s="948">
        <v>24</v>
      </c>
      <c r="E116" s="968">
        <v>40</v>
      </c>
      <c r="F116" s="969">
        <v>40</v>
      </c>
      <c r="G116" s="968">
        <v>40</v>
      </c>
      <c r="H116" s="968">
        <v>40</v>
      </c>
      <c r="I116" s="968">
        <v>40</v>
      </c>
      <c r="J116" s="968">
        <v>40</v>
      </c>
      <c r="K116" s="966"/>
      <c r="L116" s="941"/>
      <c r="M116" s="941"/>
      <c r="N116" s="941"/>
      <c r="O116" s="941"/>
      <c r="P116" s="941"/>
      <c r="Q116" s="941"/>
      <c r="R116" s="941"/>
      <c r="S116" s="941"/>
      <c r="T116" s="941"/>
      <c r="U116" s="941"/>
      <c r="V116" s="941"/>
      <c r="W116" s="941"/>
      <c r="X116" s="965">
        <v>30</v>
      </c>
      <c r="Y116" s="948">
        <v>24</v>
      </c>
      <c r="Z116" s="135"/>
      <c r="AA116" s="394" t="str">
        <f t="shared" si="19"/>
        <v/>
      </c>
      <c r="AB116" s="248" t="str">
        <f t="shared" si="20"/>
        <v/>
      </c>
      <c r="AC116" s="135"/>
      <c r="AD116" s="135"/>
      <c r="AE116" s="135"/>
      <c r="AF116" s="135"/>
      <c r="AG116" s="135"/>
      <c r="AH116" s="135"/>
      <c r="AI116" s="135"/>
      <c r="AJ116" s="135"/>
      <c r="AK116" s="135"/>
      <c r="AL116" s="135"/>
      <c r="AM116" s="135"/>
      <c r="AN116" s="135"/>
      <c r="AO116" s="135"/>
      <c r="AP116" s="135"/>
      <c r="AQ116" s="135"/>
      <c r="AR116" s="135"/>
      <c r="AS116" s="135"/>
      <c r="AT116" s="135"/>
      <c r="AU116" s="135"/>
      <c r="AV116" s="135"/>
    </row>
    <row r="117" spans="1:48" s="57" customFormat="1" ht="12" thickBot="1">
      <c r="A117" s="135"/>
      <c r="B117" s="206">
        <f t="shared" si="17"/>
        <v>3</v>
      </c>
      <c r="C117" s="662"/>
      <c r="D117" s="928" t="s">
        <v>349</v>
      </c>
      <c r="E117" s="955">
        <f t="shared" ref="E117:X117" si="21">SUM(E93:E116)/24</f>
        <v>40</v>
      </c>
      <c r="F117" s="956">
        <f t="shared" si="21"/>
        <v>40</v>
      </c>
      <c r="G117" s="956">
        <f t="shared" si="21"/>
        <v>40</v>
      </c>
      <c r="H117" s="956">
        <f t="shared" si="21"/>
        <v>40</v>
      </c>
      <c r="I117" s="956">
        <f t="shared" si="21"/>
        <v>40</v>
      </c>
      <c r="J117" s="957">
        <f t="shared" si="21"/>
        <v>40</v>
      </c>
      <c r="K117" s="964">
        <f t="shared" si="21"/>
        <v>0</v>
      </c>
      <c r="L117" s="964">
        <f t="shared" si="21"/>
        <v>0</v>
      </c>
      <c r="M117" s="964">
        <f t="shared" si="21"/>
        <v>0</v>
      </c>
      <c r="N117" s="964">
        <f t="shared" si="21"/>
        <v>0</v>
      </c>
      <c r="O117" s="964">
        <f t="shared" si="21"/>
        <v>0</v>
      </c>
      <c r="P117" s="964">
        <f t="shared" si="21"/>
        <v>0</v>
      </c>
      <c r="Q117" s="964">
        <f t="shared" si="21"/>
        <v>0</v>
      </c>
      <c r="R117" s="964">
        <f t="shared" si="21"/>
        <v>0</v>
      </c>
      <c r="S117" s="964">
        <f t="shared" si="21"/>
        <v>0</v>
      </c>
      <c r="T117" s="964">
        <f t="shared" si="21"/>
        <v>0</v>
      </c>
      <c r="U117" s="964">
        <f t="shared" si="21"/>
        <v>0</v>
      </c>
      <c r="V117" s="964">
        <f t="shared" si="21"/>
        <v>0</v>
      </c>
      <c r="W117" s="964">
        <f t="shared" si="21"/>
        <v>0</v>
      </c>
      <c r="X117" s="964">
        <f t="shared" si="21"/>
        <v>30</v>
      </c>
      <c r="Y117" s="662" t="s">
        <v>349</v>
      </c>
      <c r="Z117" s="135"/>
      <c r="AA117" s="135"/>
      <c r="AB117" s="135"/>
      <c r="AC117" s="135"/>
      <c r="AD117" s="135"/>
      <c r="AE117" s="135"/>
      <c r="AF117" s="135"/>
      <c r="AG117" s="135"/>
      <c r="AH117" s="135"/>
      <c r="AI117" s="135"/>
      <c r="AJ117" s="135"/>
      <c r="AK117" s="135"/>
      <c r="AL117" s="135"/>
      <c r="AM117" s="135"/>
      <c r="AN117" s="135"/>
      <c r="AO117" s="135"/>
      <c r="AP117" s="135"/>
      <c r="AQ117" s="135"/>
      <c r="AR117" s="135"/>
      <c r="AS117" s="135"/>
      <c r="AT117" s="135"/>
      <c r="AU117" s="135"/>
      <c r="AV117" s="135"/>
    </row>
    <row r="118" spans="1:48" s="57" customFormat="1" ht="12" thickBot="1">
      <c r="A118" s="135"/>
      <c r="B118" s="206">
        <f t="shared" si="17"/>
        <v>3</v>
      </c>
      <c r="E118" s="8"/>
      <c r="F118" s="8"/>
      <c r="G118" s="8"/>
      <c r="H118" s="8"/>
      <c r="I118" s="8"/>
      <c r="J118" s="8"/>
      <c r="K118" s="58"/>
      <c r="L118" s="58"/>
      <c r="M118" s="58"/>
      <c r="N118" s="58"/>
      <c r="O118" s="58"/>
      <c r="P118" s="58"/>
      <c r="Q118" s="58"/>
      <c r="R118" s="58"/>
      <c r="S118" s="58"/>
      <c r="T118" s="58"/>
      <c r="U118" s="58"/>
      <c r="V118" s="58"/>
      <c r="W118" s="58"/>
      <c r="X118" s="58"/>
      <c r="Y118" s="8"/>
      <c r="Z118" s="135"/>
      <c r="AA118" s="135"/>
      <c r="AB118" s="135"/>
      <c r="AC118" s="135"/>
      <c r="AD118" s="135"/>
      <c r="AE118" s="135"/>
      <c r="AF118" s="135"/>
      <c r="AG118" s="135"/>
      <c r="AH118" s="135"/>
      <c r="AI118" s="135"/>
      <c r="AJ118" s="135"/>
      <c r="AK118" s="135"/>
      <c r="AL118" s="135"/>
      <c r="AM118" s="135"/>
      <c r="AN118" s="135"/>
      <c r="AO118" s="135"/>
      <c r="AP118" s="135"/>
      <c r="AQ118" s="135"/>
      <c r="AR118" s="135"/>
      <c r="AS118" s="135"/>
      <c r="AT118" s="135"/>
      <c r="AU118" s="135"/>
      <c r="AV118" s="135"/>
    </row>
    <row r="119" spans="1:48" s="57" customFormat="1" ht="25.35" customHeight="1" thickBot="1">
      <c r="A119" s="1009" t="s">
        <v>73</v>
      </c>
      <c r="B119" s="206">
        <f>B116+1</f>
        <v>4</v>
      </c>
      <c r="C119" s="974" t="str">
        <f>E119</f>
        <v>DH supply line temperature*</v>
      </c>
      <c r="D119" s="960" t="s">
        <v>345</v>
      </c>
      <c r="E119" s="973" t="s">
        <v>354</v>
      </c>
      <c r="F119" s="971"/>
      <c r="G119" s="971"/>
      <c r="H119" s="971"/>
      <c r="I119" s="971"/>
      <c r="J119" s="972"/>
      <c r="K119" s="210"/>
      <c r="L119" s="210"/>
      <c r="M119" s="210"/>
      <c r="N119" s="210"/>
      <c r="O119" s="210"/>
      <c r="P119" s="210"/>
      <c r="Q119" s="210"/>
      <c r="R119" s="210"/>
      <c r="S119" s="210"/>
      <c r="T119" s="210"/>
      <c r="U119" s="210"/>
      <c r="V119" s="210"/>
      <c r="W119" s="210"/>
      <c r="X119" s="210"/>
      <c r="Y119" s="856" t="s">
        <v>345</v>
      </c>
      <c r="Z119" s="135"/>
      <c r="AA119" s="135"/>
      <c r="AB119" s="135"/>
      <c r="AC119" s="135"/>
      <c r="AD119" s="135"/>
      <c r="AE119" s="135"/>
      <c r="AF119" s="135"/>
      <c r="AG119" s="135"/>
      <c r="AH119" s="135"/>
      <c r="AI119" s="135"/>
      <c r="AJ119" s="135"/>
      <c r="AK119" s="135"/>
      <c r="AL119" s="135"/>
      <c r="AM119" s="135"/>
      <c r="AN119" s="135"/>
      <c r="AO119" s="135"/>
      <c r="AP119" s="135"/>
      <c r="AQ119" s="135"/>
      <c r="AR119" s="135"/>
      <c r="AS119" s="135"/>
      <c r="AT119" s="135"/>
      <c r="AU119" s="135"/>
      <c r="AV119" s="135"/>
    </row>
    <row r="120" spans="1:48" s="57" customFormat="1" ht="11.25" outlineLevel="1">
      <c r="A120" s="135"/>
      <c r="B120" s="206">
        <f>B119</f>
        <v>4</v>
      </c>
      <c r="C120" s="835" t="str">
        <f>C119</f>
        <v>DH supply line temperature*</v>
      </c>
      <c r="D120" s="923"/>
      <c r="E120" s="1128" t="s">
        <v>83</v>
      </c>
      <c r="F120" s="1128"/>
      <c r="G120" s="1128"/>
      <c r="H120" s="1128"/>
      <c r="I120" s="1128"/>
      <c r="J120" s="1128"/>
      <c r="K120" s="1129"/>
      <c r="L120" s="1129"/>
      <c r="M120" s="1129"/>
      <c r="N120" s="1129"/>
      <c r="O120" s="1129"/>
      <c r="P120" s="1129"/>
      <c r="Q120" s="1129"/>
      <c r="R120" s="1129"/>
      <c r="S120" s="1129"/>
      <c r="T120" s="1129"/>
      <c r="U120" s="1129"/>
      <c r="V120" s="1129"/>
      <c r="W120" s="1129"/>
      <c r="X120" s="1129"/>
      <c r="Y120" s="923"/>
      <c r="Z120" s="135"/>
      <c r="AA120" s="135"/>
      <c r="AB120" s="135"/>
      <c r="AC120" s="135"/>
      <c r="AD120" s="135"/>
      <c r="AE120" s="135"/>
      <c r="AF120" s="135"/>
      <c r="AG120" s="135"/>
      <c r="AH120" s="135"/>
      <c r="AI120" s="135"/>
      <c r="AJ120" s="135"/>
      <c r="AK120" s="135"/>
      <c r="AL120" s="135"/>
      <c r="AM120" s="135"/>
      <c r="AN120" s="135"/>
      <c r="AO120" s="135"/>
      <c r="AP120" s="135"/>
      <c r="AQ120" s="135"/>
      <c r="AR120" s="135"/>
      <c r="AS120" s="135"/>
      <c r="AT120" s="135"/>
      <c r="AU120" s="135"/>
      <c r="AV120" s="135"/>
    </row>
    <row r="121" spans="1:48" s="57" customFormat="1" ht="32.1" customHeight="1" outlineLevel="1">
      <c r="A121" s="135"/>
      <c r="B121" s="206">
        <f t="shared" ref="B121:B147" si="22">B120</f>
        <v>4</v>
      </c>
      <c r="C121" s="780" t="str">
        <f t="shared" ref="C121:C145" si="23">C120</f>
        <v>DH supply line temperature*</v>
      </c>
      <c r="D121" s="618"/>
      <c r="E121" s="1110" t="s">
        <v>355</v>
      </c>
      <c r="F121" s="1110"/>
      <c r="G121" s="1110"/>
      <c r="H121" s="1110"/>
      <c r="I121" s="1110"/>
      <c r="J121" s="1110"/>
      <c r="K121" s="1110"/>
      <c r="L121" s="1110"/>
      <c r="M121" s="1110"/>
      <c r="N121" s="1110"/>
      <c r="O121" s="1110"/>
      <c r="P121" s="1110"/>
      <c r="Q121" s="1110"/>
      <c r="R121" s="1110"/>
      <c r="S121" s="1110"/>
      <c r="T121" s="1110"/>
      <c r="U121" s="1110"/>
      <c r="V121" s="1110"/>
      <c r="W121" s="1110"/>
      <c r="X121" s="1110"/>
      <c r="Y121" s="618"/>
      <c r="Z121" s="135"/>
      <c r="AA121" s="135"/>
      <c r="AB121" s="135"/>
      <c r="AC121" s="135"/>
      <c r="AD121" s="135"/>
      <c r="AE121" s="135"/>
      <c r="AF121" s="135"/>
      <c r="AG121" s="135"/>
      <c r="AH121" s="135"/>
      <c r="AI121" s="135"/>
      <c r="AJ121" s="135"/>
      <c r="AK121" s="135"/>
      <c r="AL121" s="135"/>
      <c r="AM121" s="135"/>
      <c r="AN121" s="135"/>
      <c r="AO121" s="135"/>
      <c r="AP121" s="135"/>
      <c r="AQ121" s="135"/>
      <c r="AR121" s="135"/>
      <c r="AS121" s="135"/>
      <c r="AT121" s="135"/>
      <c r="AU121" s="135"/>
      <c r="AV121" s="135"/>
    </row>
    <row r="122" spans="1:48" s="57" customFormat="1" ht="10.35" customHeight="1" outlineLevel="1">
      <c r="A122" s="135"/>
      <c r="B122" s="206">
        <f>B121</f>
        <v>4</v>
      </c>
      <c r="C122" s="766" t="str">
        <f t="shared" si="23"/>
        <v>DH supply line temperature*</v>
      </c>
      <c r="D122" s="714">
        <v>1</v>
      </c>
      <c r="E122" s="967">
        <v>77</v>
      </c>
      <c r="F122" s="967">
        <v>86.666666666666657</v>
      </c>
      <c r="G122" s="967">
        <f>F122</f>
        <v>86.666666666666657</v>
      </c>
      <c r="H122" s="967">
        <v>60</v>
      </c>
      <c r="I122" s="967">
        <f>H122</f>
        <v>60</v>
      </c>
      <c r="J122" s="975">
        <f>AVERAGE(H122,F122)</f>
        <v>73.333333333333329</v>
      </c>
      <c r="K122" s="966"/>
      <c r="L122" s="965"/>
      <c r="M122" s="965"/>
      <c r="N122" s="965"/>
      <c r="O122" s="965"/>
      <c r="P122" s="965"/>
      <c r="Q122" s="965"/>
      <c r="R122" s="965"/>
      <c r="S122" s="965"/>
      <c r="T122" s="965"/>
      <c r="U122" s="965"/>
      <c r="V122" s="965"/>
      <c r="W122" s="965"/>
      <c r="X122" s="965">
        <v>93</v>
      </c>
      <c r="Y122" s="714">
        <v>1</v>
      </c>
      <c r="Z122" s="135"/>
      <c r="AA122" s="371" t="str">
        <f t="shared" ref="AA122:AA145" si="24">AB122</f>
        <v/>
      </c>
      <c r="AB122" s="248" t="str">
        <f t="shared" ref="AB122:AB145" si="25">IF(IFERROR((1+X122+W122+V122+U122+T122+S122+R122+Q122+P122+O122+N122+M122+L122+K122+J122+I122+H122+G122+F122+E122)*1, "!!!!")="!!!!","Inputs contain non-numerical data. Please check your input data!","")</f>
        <v/>
      </c>
      <c r="AC122" s="135"/>
      <c r="AD122" s="135"/>
      <c r="AE122" s="135"/>
      <c r="AF122" s="135"/>
      <c r="AG122" s="135"/>
      <c r="AH122" s="135"/>
      <c r="AI122" s="135"/>
      <c r="AJ122" s="135"/>
      <c r="AK122" s="135"/>
      <c r="AL122" s="135"/>
      <c r="AM122" s="135"/>
      <c r="AN122" s="135"/>
      <c r="AO122" s="135"/>
      <c r="AP122" s="135"/>
      <c r="AQ122" s="135"/>
      <c r="AR122" s="135"/>
      <c r="AS122" s="135"/>
      <c r="AT122" s="135"/>
      <c r="AU122" s="135"/>
      <c r="AV122" s="135"/>
    </row>
    <row r="123" spans="1:48" s="57" customFormat="1" ht="10.35" customHeight="1" outlineLevel="1">
      <c r="A123" s="135"/>
      <c r="B123" s="206">
        <f t="shared" si="22"/>
        <v>4</v>
      </c>
      <c r="C123" s="766" t="str">
        <f t="shared" si="23"/>
        <v>DH supply line temperature*</v>
      </c>
      <c r="D123" s="714">
        <v>2</v>
      </c>
      <c r="E123" s="967">
        <v>77</v>
      </c>
      <c r="F123" s="967">
        <v>86.666666666666657</v>
      </c>
      <c r="G123" s="967">
        <f t="shared" ref="G123:G145" si="26">F123</f>
        <v>86.666666666666657</v>
      </c>
      <c r="H123" s="967">
        <v>60</v>
      </c>
      <c r="I123" s="967">
        <f t="shared" ref="I123:I145" si="27">H123</f>
        <v>60</v>
      </c>
      <c r="J123" s="975">
        <f t="shared" ref="J123:J145" si="28">AVERAGE(H123,F123)</f>
        <v>73.333333333333329</v>
      </c>
      <c r="K123" s="966"/>
      <c r="L123" s="965"/>
      <c r="M123" s="965"/>
      <c r="N123" s="965"/>
      <c r="O123" s="965"/>
      <c r="P123" s="965"/>
      <c r="Q123" s="965"/>
      <c r="R123" s="965"/>
      <c r="S123" s="965"/>
      <c r="T123" s="965"/>
      <c r="U123" s="965"/>
      <c r="V123" s="965"/>
      <c r="W123" s="965"/>
      <c r="X123" s="965">
        <v>86.666666666666657</v>
      </c>
      <c r="Y123" s="714">
        <v>2</v>
      </c>
      <c r="Z123" s="135"/>
      <c r="AA123" s="394" t="str">
        <f t="shared" si="24"/>
        <v/>
      </c>
      <c r="AB123" s="248" t="str">
        <f t="shared" si="25"/>
        <v/>
      </c>
      <c r="AC123" s="135"/>
      <c r="AD123" s="135"/>
      <c r="AE123" s="135"/>
      <c r="AF123" s="135"/>
      <c r="AG123" s="135"/>
      <c r="AH123" s="135"/>
      <c r="AI123" s="135"/>
      <c r="AJ123" s="135"/>
      <c r="AK123" s="135"/>
      <c r="AL123" s="135"/>
      <c r="AM123" s="135"/>
      <c r="AN123" s="135"/>
      <c r="AO123" s="135"/>
      <c r="AP123" s="135"/>
      <c r="AQ123" s="135"/>
      <c r="AR123" s="135"/>
      <c r="AS123" s="135"/>
      <c r="AT123" s="135"/>
      <c r="AU123" s="135"/>
      <c r="AV123" s="135"/>
    </row>
    <row r="124" spans="1:48" s="57" customFormat="1" ht="10.35" customHeight="1" outlineLevel="1">
      <c r="A124" s="135"/>
      <c r="B124" s="206">
        <f t="shared" si="22"/>
        <v>4</v>
      </c>
      <c r="C124" s="766" t="str">
        <f t="shared" si="23"/>
        <v>DH supply line temperature*</v>
      </c>
      <c r="D124" s="714">
        <v>3</v>
      </c>
      <c r="E124" s="967">
        <v>77</v>
      </c>
      <c r="F124" s="967">
        <v>86.666666666666657</v>
      </c>
      <c r="G124" s="967">
        <f t="shared" si="26"/>
        <v>86.666666666666657</v>
      </c>
      <c r="H124" s="967">
        <v>60</v>
      </c>
      <c r="I124" s="967">
        <f t="shared" si="27"/>
        <v>60</v>
      </c>
      <c r="J124" s="975">
        <f t="shared" si="28"/>
        <v>73.333333333333329</v>
      </c>
      <c r="K124" s="966"/>
      <c r="L124" s="965"/>
      <c r="M124" s="965"/>
      <c r="N124" s="965"/>
      <c r="O124" s="965"/>
      <c r="P124" s="965"/>
      <c r="Q124" s="965"/>
      <c r="R124" s="965"/>
      <c r="S124" s="965"/>
      <c r="T124" s="965"/>
      <c r="U124" s="965"/>
      <c r="V124" s="965"/>
      <c r="W124" s="965"/>
      <c r="X124" s="965">
        <v>86.666666666666657</v>
      </c>
      <c r="Y124" s="714">
        <v>3</v>
      </c>
      <c r="Z124" s="135"/>
      <c r="AA124" s="394" t="str">
        <f t="shared" si="24"/>
        <v/>
      </c>
      <c r="AB124" s="248" t="str">
        <f t="shared" si="25"/>
        <v/>
      </c>
      <c r="AC124" s="135"/>
      <c r="AD124" s="135"/>
      <c r="AE124" s="135"/>
      <c r="AF124" s="135"/>
      <c r="AG124" s="135"/>
      <c r="AH124" s="135"/>
      <c r="AI124" s="135"/>
      <c r="AJ124" s="135"/>
      <c r="AK124" s="135"/>
      <c r="AL124" s="135"/>
      <c r="AM124" s="135"/>
      <c r="AN124" s="135"/>
      <c r="AO124" s="135"/>
      <c r="AP124" s="135"/>
      <c r="AQ124" s="135"/>
      <c r="AR124" s="135"/>
      <c r="AS124" s="135"/>
      <c r="AT124" s="135"/>
      <c r="AU124" s="135"/>
      <c r="AV124" s="135"/>
    </row>
    <row r="125" spans="1:48" s="57" customFormat="1" ht="10.35" customHeight="1" outlineLevel="1">
      <c r="A125" s="135"/>
      <c r="B125" s="206">
        <f t="shared" si="22"/>
        <v>4</v>
      </c>
      <c r="C125" s="766" t="str">
        <f t="shared" si="23"/>
        <v>DH supply line temperature*</v>
      </c>
      <c r="D125" s="714">
        <v>4</v>
      </c>
      <c r="E125" s="967">
        <v>79</v>
      </c>
      <c r="F125" s="967">
        <v>88.333333333333329</v>
      </c>
      <c r="G125" s="967">
        <f t="shared" si="26"/>
        <v>88.333333333333329</v>
      </c>
      <c r="H125" s="967">
        <v>60</v>
      </c>
      <c r="I125" s="967">
        <f t="shared" si="27"/>
        <v>60</v>
      </c>
      <c r="J125" s="975">
        <f t="shared" si="28"/>
        <v>74.166666666666657</v>
      </c>
      <c r="K125" s="966"/>
      <c r="L125" s="965"/>
      <c r="M125" s="965"/>
      <c r="N125" s="965"/>
      <c r="O125" s="965"/>
      <c r="P125" s="965"/>
      <c r="Q125" s="965"/>
      <c r="R125" s="965"/>
      <c r="S125" s="965"/>
      <c r="T125" s="965"/>
      <c r="U125" s="965"/>
      <c r="V125" s="965"/>
      <c r="W125" s="965"/>
      <c r="X125" s="965">
        <v>88.333333333333329</v>
      </c>
      <c r="Y125" s="714">
        <v>4</v>
      </c>
      <c r="Z125" s="135"/>
      <c r="AA125" s="394" t="str">
        <f t="shared" si="24"/>
        <v/>
      </c>
      <c r="AB125" s="248" t="str">
        <f t="shared" si="25"/>
        <v/>
      </c>
      <c r="AC125" s="135"/>
      <c r="AD125" s="135"/>
      <c r="AE125" s="135"/>
      <c r="AF125" s="135"/>
      <c r="AG125" s="135"/>
      <c r="AH125" s="135"/>
      <c r="AI125" s="135"/>
      <c r="AJ125" s="135"/>
      <c r="AK125" s="135"/>
      <c r="AL125" s="135"/>
      <c r="AM125" s="135"/>
      <c r="AN125" s="135"/>
      <c r="AO125" s="135"/>
      <c r="AP125" s="135"/>
      <c r="AQ125" s="135"/>
      <c r="AR125" s="135"/>
      <c r="AS125" s="135"/>
      <c r="AT125" s="135"/>
      <c r="AU125" s="135"/>
      <c r="AV125" s="135"/>
    </row>
    <row r="126" spans="1:48" s="57" customFormat="1" ht="10.35" customHeight="1" outlineLevel="1">
      <c r="A126" s="135"/>
      <c r="B126" s="206">
        <f t="shared" si="22"/>
        <v>4</v>
      </c>
      <c r="C126" s="766" t="str">
        <f t="shared" si="23"/>
        <v>DH supply line temperature*</v>
      </c>
      <c r="D126" s="714">
        <v>5</v>
      </c>
      <c r="E126" s="967">
        <v>83</v>
      </c>
      <c r="F126" s="967">
        <v>90</v>
      </c>
      <c r="G126" s="967">
        <f t="shared" si="26"/>
        <v>90</v>
      </c>
      <c r="H126" s="967">
        <v>60</v>
      </c>
      <c r="I126" s="967">
        <f t="shared" si="27"/>
        <v>60</v>
      </c>
      <c r="J126" s="975">
        <f t="shared" si="28"/>
        <v>75</v>
      </c>
      <c r="K126" s="966"/>
      <c r="L126" s="965"/>
      <c r="M126" s="965"/>
      <c r="N126" s="965"/>
      <c r="O126" s="965"/>
      <c r="P126" s="965"/>
      <c r="Q126" s="965"/>
      <c r="R126" s="965"/>
      <c r="S126" s="965"/>
      <c r="T126" s="965"/>
      <c r="U126" s="965"/>
      <c r="V126" s="965"/>
      <c r="W126" s="965"/>
      <c r="X126" s="965">
        <v>88</v>
      </c>
      <c r="Y126" s="714">
        <v>5</v>
      </c>
      <c r="Z126" s="135"/>
      <c r="AA126" s="394" t="str">
        <f t="shared" si="24"/>
        <v/>
      </c>
      <c r="AB126" s="248" t="str">
        <f t="shared" si="25"/>
        <v/>
      </c>
      <c r="AC126" s="135"/>
      <c r="AD126" s="135"/>
      <c r="AE126" s="135"/>
      <c r="AF126" s="135"/>
      <c r="AG126" s="135"/>
      <c r="AH126" s="135"/>
      <c r="AI126" s="135"/>
      <c r="AJ126" s="135"/>
      <c r="AK126" s="135"/>
      <c r="AL126" s="135"/>
      <c r="AM126" s="135"/>
      <c r="AN126" s="135"/>
      <c r="AO126" s="135"/>
      <c r="AP126" s="135"/>
      <c r="AQ126" s="135"/>
      <c r="AR126" s="135"/>
      <c r="AS126" s="135"/>
      <c r="AT126" s="135"/>
      <c r="AU126" s="135"/>
      <c r="AV126" s="135"/>
    </row>
    <row r="127" spans="1:48" s="57" customFormat="1" ht="10.35" customHeight="1" outlineLevel="1">
      <c r="A127" s="135"/>
      <c r="B127" s="206">
        <f t="shared" si="22"/>
        <v>4</v>
      </c>
      <c r="C127" s="766" t="str">
        <f t="shared" si="23"/>
        <v>DH supply line temperature*</v>
      </c>
      <c r="D127" s="714">
        <v>6</v>
      </c>
      <c r="E127" s="967">
        <v>93</v>
      </c>
      <c r="F127" s="967">
        <v>88.333333333333329</v>
      </c>
      <c r="G127" s="967">
        <f t="shared" si="26"/>
        <v>88.333333333333329</v>
      </c>
      <c r="H127" s="967">
        <v>60</v>
      </c>
      <c r="I127" s="967">
        <f t="shared" si="27"/>
        <v>60</v>
      </c>
      <c r="J127" s="975">
        <f t="shared" si="28"/>
        <v>74.166666666666657</v>
      </c>
      <c r="K127" s="966"/>
      <c r="L127" s="965"/>
      <c r="M127" s="965"/>
      <c r="N127" s="965"/>
      <c r="O127" s="965"/>
      <c r="P127" s="965"/>
      <c r="Q127" s="965"/>
      <c r="R127" s="965"/>
      <c r="S127" s="965"/>
      <c r="T127" s="965"/>
      <c r="U127" s="965"/>
      <c r="V127" s="965"/>
      <c r="W127" s="965"/>
      <c r="X127" s="965">
        <v>88.333333333333329</v>
      </c>
      <c r="Y127" s="714">
        <v>6</v>
      </c>
      <c r="Z127" s="135"/>
      <c r="AA127" s="394" t="str">
        <f t="shared" si="24"/>
        <v/>
      </c>
      <c r="AB127" s="248" t="str">
        <f t="shared" si="25"/>
        <v/>
      </c>
      <c r="AC127" s="135"/>
      <c r="AD127" s="135"/>
      <c r="AE127" s="135"/>
      <c r="AF127" s="135"/>
      <c r="AG127" s="135"/>
      <c r="AH127" s="135"/>
      <c r="AI127" s="135"/>
      <c r="AJ127" s="135"/>
      <c r="AK127" s="135"/>
      <c r="AL127" s="135"/>
      <c r="AM127" s="135"/>
      <c r="AN127" s="135"/>
      <c r="AO127" s="135"/>
      <c r="AP127" s="135"/>
      <c r="AQ127" s="135"/>
      <c r="AR127" s="135"/>
      <c r="AS127" s="135"/>
      <c r="AT127" s="135"/>
      <c r="AU127" s="135"/>
      <c r="AV127" s="135"/>
    </row>
    <row r="128" spans="1:48" s="57" customFormat="1" ht="10.35" customHeight="1" outlineLevel="1">
      <c r="A128" s="135"/>
      <c r="B128" s="206">
        <f t="shared" si="22"/>
        <v>4</v>
      </c>
      <c r="C128" s="766" t="str">
        <f t="shared" si="23"/>
        <v>DH supply line temperature*</v>
      </c>
      <c r="D128" s="714">
        <v>7</v>
      </c>
      <c r="E128" s="967">
        <v>95</v>
      </c>
      <c r="F128" s="967">
        <v>88.333333333333329</v>
      </c>
      <c r="G128" s="967">
        <f t="shared" si="26"/>
        <v>88.333333333333329</v>
      </c>
      <c r="H128" s="967">
        <v>60</v>
      </c>
      <c r="I128" s="967">
        <f t="shared" si="27"/>
        <v>60</v>
      </c>
      <c r="J128" s="975">
        <f t="shared" si="28"/>
        <v>74.166666666666657</v>
      </c>
      <c r="K128" s="966"/>
      <c r="L128" s="965"/>
      <c r="M128" s="965"/>
      <c r="N128" s="965"/>
      <c r="O128" s="965"/>
      <c r="P128" s="965"/>
      <c r="Q128" s="965"/>
      <c r="R128" s="965"/>
      <c r="S128" s="965"/>
      <c r="T128" s="965"/>
      <c r="U128" s="965"/>
      <c r="V128" s="965"/>
      <c r="W128" s="965"/>
      <c r="X128" s="965">
        <v>88.333333333333329</v>
      </c>
      <c r="Y128" s="714">
        <v>7</v>
      </c>
      <c r="Z128" s="135"/>
      <c r="AA128" s="394" t="str">
        <f t="shared" si="24"/>
        <v/>
      </c>
      <c r="AB128" s="248" t="str">
        <f t="shared" si="25"/>
        <v/>
      </c>
      <c r="AC128" s="135"/>
      <c r="AD128" s="135"/>
      <c r="AE128" s="135"/>
      <c r="AF128" s="135"/>
      <c r="AG128" s="135"/>
      <c r="AH128" s="135"/>
      <c r="AI128" s="135"/>
      <c r="AJ128" s="135"/>
      <c r="AK128" s="135"/>
      <c r="AL128" s="135"/>
      <c r="AM128" s="135"/>
      <c r="AN128" s="135"/>
      <c r="AO128" s="135"/>
      <c r="AP128" s="135"/>
      <c r="AQ128" s="135"/>
      <c r="AR128" s="135"/>
      <c r="AS128" s="135"/>
      <c r="AT128" s="135"/>
      <c r="AU128" s="135"/>
      <c r="AV128" s="135"/>
    </row>
    <row r="129" spans="1:48" s="57" customFormat="1" ht="10.35" customHeight="1" outlineLevel="1">
      <c r="A129" s="135"/>
      <c r="B129" s="206">
        <f t="shared" si="22"/>
        <v>4</v>
      </c>
      <c r="C129" s="766" t="str">
        <f t="shared" si="23"/>
        <v>DH supply line temperature*</v>
      </c>
      <c r="D129" s="714">
        <v>8</v>
      </c>
      <c r="E129" s="967">
        <v>95</v>
      </c>
      <c r="F129" s="967">
        <v>86.666666666666657</v>
      </c>
      <c r="G129" s="967">
        <f t="shared" si="26"/>
        <v>86.666666666666657</v>
      </c>
      <c r="H129" s="967">
        <v>60</v>
      </c>
      <c r="I129" s="967">
        <f t="shared" si="27"/>
        <v>60</v>
      </c>
      <c r="J129" s="975">
        <f t="shared" si="28"/>
        <v>73.333333333333329</v>
      </c>
      <c r="K129" s="966"/>
      <c r="L129" s="965"/>
      <c r="M129" s="965"/>
      <c r="N129" s="965"/>
      <c r="O129" s="965"/>
      <c r="P129" s="965"/>
      <c r="Q129" s="965"/>
      <c r="R129" s="965"/>
      <c r="S129" s="965"/>
      <c r="T129" s="965"/>
      <c r="U129" s="965"/>
      <c r="V129" s="965"/>
      <c r="W129" s="965"/>
      <c r="X129" s="965">
        <v>86.666666666666657</v>
      </c>
      <c r="Y129" s="714">
        <v>8</v>
      </c>
      <c r="Z129" s="135"/>
      <c r="AA129" s="394" t="str">
        <f t="shared" si="24"/>
        <v/>
      </c>
      <c r="AB129" s="248" t="str">
        <f t="shared" si="25"/>
        <v/>
      </c>
      <c r="AC129" s="135"/>
      <c r="AD129" s="135"/>
      <c r="AE129" s="135"/>
      <c r="AF129" s="135"/>
      <c r="AG129" s="135"/>
      <c r="AH129" s="135"/>
      <c r="AI129" s="135"/>
      <c r="AJ129" s="135"/>
      <c r="AK129" s="135"/>
      <c r="AL129" s="135"/>
      <c r="AM129" s="135"/>
      <c r="AN129" s="135"/>
      <c r="AO129" s="135"/>
      <c r="AP129" s="135"/>
      <c r="AQ129" s="135"/>
      <c r="AR129" s="135"/>
      <c r="AS129" s="135"/>
      <c r="AT129" s="135"/>
      <c r="AU129" s="135"/>
      <c r="AV129" s="135"/>
    </row>
    <row r="130" spans="1:48" s="57" customFormat="1" ht="10.35" customHeight="1" outlineLevel="1">
      <c r="A130" s="135"/>
      <c r="B130" s="206">
        <f t="shared" si="22"/>
        <v>4</v>
      </c>
      <c r="C130" s="766" t="str">
        <f t="shared" si="23"/>
        <v>DH supply line temperature*</v>
      </c>
      <c r="D130" s="714">
        <v>9</v>
      </c>
      <c r="E130" s="967">
        <v>93</v>
      </c>
      <c r="F130" s="967">
        <v>85</v>
      </c>
      <c r="G130" s="967">
        <f t="shared" si="26"/>
        <v>85</v>
      </c>
      <c r="H130" s="967">
        <v>60</v>
      </c>
      <c r="I130" s="967">
        <f t="shared" si="27"/>
        <v>60</v>
      </c>
      <c r="J130" s="975">
        <f t="shared" si="28"/>
        <v>72.5</v>
      </c>
      <c r="K130" s="966"/>
      <c r="L130" s="965"/>
      <c r="M130" s="965"/>
      <c r="N130" s="965"/>
      <c r="O130" s="965"/>
      <c r="P130" s="965"/>
      <c r="Q130" s="965"/>
      <c r="R130" s="965"/>
      <c r="S130" s="965"/>
      <c r="T130" s="965"/>
      <c r="U130" s="965"/>
      <c r="V130" s="965"/>
      <c r="W130" s="965"/>
      <c r="X130" s="965">
        <v>85</v>
      </c>
      <c r="Y130" s="714">
        <v>9</v>
      </c>
      <c r="Z130" s="135"/>
      <c r="AA130" s="394" t="str">
        <f t="shared" si="24"/>
        <v/>
      </c>
      <c r="AB130" s="248" t="str">
        <f t="shared" si="25"/>
        <v/>
      </c>
      <c r="AC130" s="135"/>
      <c r="AD130" s="135"/>
      <c r="AE130" s="135"/>
      <c r="AF130" s="135"/>
      <c r="AG130" s="135"/>
      <c r="AH130" s="135"/>
      <c r="AI130" s="135"/>
      <c r="AJ130" s="135"/>
      <c r="AK130" s="135"/>
      <c r="AL130" s="135"/>
      <c r="AM130" s="135"/>
      <c r="AN130" s="135"/>
      <c r="AO130" s="135"/>
      <c r="AP130" s="135"/>
      <c r="AQ130" s="135"/>
      <c r="AR130" s="135"/>
      <c r="AS130" s="135"/>
      <c r="AT130" s="135"/>
      <c r="AU130" s="135"/>
      <c r="AV130" s="135"/>
    </row>
    <row r="131" spans="1:48" s="57" customFormat="1" ht="10.35" customHeight="1" outlineLevel="1">
      <c r="A131" s="135"/>
      <c r="B131" s="206">
        <f t="shared" si="22"/>
        <v>4</v>
      </c>
      <c r="C131" s="766" t="str">
        <f t="shared" si="23"/>
        <v>DH supply line temperature*</v>
      </c>
      <c r="D131" s="714">
        <v>10</v>
      </c>
      <c r="E131" s="967">
        <v>92</v>
      </c>
      <c r="F131" s="967">
        <v>83.333333333333314</v>
      </c>
      <c r="G131" s="967">
        <f t="shared" si="26"/>
        <v>83.333333333333314</v>
      </c>
      <c r="H131" s="967">
        <v>60</v>
      </c>
      <c r="I131" s="967">
        <f t="shared" si="27"/>
        <v>60</v>
      </c>
      <c r="J131" s="975">
        <f t="shared" si="28"/>
        <v>71.666666666666657</v>
      </c>
      <c r="K131" s="966"/>
      <c r="L131" s="965"/>
      <c r="M131" s="965"/>
      <c r="N131" s="965"/>
      <c r="O131" s="965"/>
      <c r="P131" s="965"/>
      <c r="Q131" s="965"/>
      <c r="R131" s="965"/>
      <c r="S131" s="965"/>
      <c r="T131" s="965"/>
      <c r="U131" s="965"/>
      <c r="V131" s="965"/>
      <c r="W131" s="965"/>
      <c r="X131" s="965">
        <v>83.333333333333314</v>
      </c>
      <c r="Y131" s="714">
        <v>10</v>
      </c>
      <c r="Z131" s="135"/>
      <c r="AA131" s="394" t="str">
        <f t="shared" si="24"/>
        <v/>
      </c>
      <c r="AB131" s="248" t="str">
        <f t="shared" si="25"/>
        <v/>
      </c>
      <c r="AC131" s="135"/>
      <c r="AD131" s="135"/>
      <c r="AE131" s="135"/>
      <c r="AF131" s="135"/>
      <c r="AG131" s="135"/>
      <c r="AH131" s="135"/>
      <c r="AI131" s="135"/>
      <c r="AJ131" s="135"/>
      <c r="AK131" s="135"/>
      <c r="AL131" s="135"/>
      <c r="AM131" s="135"/>
      <c r="AN131" s="135"/>
      <c r="AO131" s="135"/>
      <c r="AP131" s="135"/>
      <c r="AQ131" s="135"/>
      <c r="AR131" s="135"/>
      <c r="AS131" s="135"/>
      <c r="AT131" s="135"/>
      <c r="AU131" s="135"/>
      <c r="AV131" s="135"/>
    </row>
    <row r="132" spans="1:48" s="57" customFormat="1" ht="10.35" customHeight="1" outlineLevel="1">
      <c r="A132" s="135"/>
      <c r="B132" s="206">
        <f t="shared" si="22"/>
        <v>4</v>
      </c>
      <c r="C132" s="766" t="str">
        <f t="shared" si="23"/>
        <v>DH supply line temperature*</v>
      </c>
      <c r="D132" s="714">
        <v>11</v>
      </c>
      <c r="E132" s="967">
        <v>88</v>
      </c>
      <c r="F132" s="967">
        <v>81.666666666666643</v>
      </c>
      <c r="G132" s="967">
        <f t="shared" si="26"/>
        <v>81.666666666666643</v>
      </c>
      <c r="H132" s="967">
        <v>60</v>
      </c>
      <c r="I132" s="967">
        <f t="shared" si="27"/>
        <v>60</v>
      </c>
      <c r="J132" s="975">
        <f t="shared" si="28"/>
        <v>70.833333333333314</v>
      </c>
      <c r="K132" s="966"/>
      <c r="L132" s="965"/>
      <c r="M132" s="965"/>
      <c r="N132" s="965"/>
      <c r="O132" s="965"/>
      <c r="P132" s="965"/>
      <c r="Q132" s="965"/>
      <c r="R132" s="965"/>
      <c r="S132" s="965"/>
      <c r="T132" s="965"/>
      <c r="U132" s="965"/>
      <c r="V132" s="965"/>
      <c r="W132" s="965"/>
      <c r="X132" s="965">
        <v>81.666666666666643</v>
      </c>
      <c r="Y132" s="714">
        <v>11</v>
      </c>
      <c r="Z132" s="135"/>
      <c r="AA132" s="394" t="str">
        <f t="shared" si="24"/>
        <v/>
      </c>
      <c r="AB132" s="248" t="str">
        <f t="shared" si="25"/>
        <v/>
      </c>
      <c r="AC132" s="135"/>
      <c r="AD132" s="135"/>
      <c r="AE132" s="135"/>
      <c r="AF132" s="135"/>
      <c r="AG132" s="135"/>
      <c r="AH132" s="135"/>
      <c r="AI132" s="135"/>
      <c r="AJ132" s="135"/>
      <c r="AK132" s="135"/>
      <c r="AL132" s="135"/>
      <c r="AM132" s="135"/>
      <c r="AN132" s="135"/>
      <c r="AO132" s="135"/>
      <c r="AP132" s="135"/>
      <c r="AQ132" s="135"/>
      <c r="AR132" s="135"/>
      <c r="AS132" s="135"/>
      <c r="AT132" s="135"/>
      <c r="AU132" s="135"/>
      <c r="AV132" s="135"/>
    </row>
    <row r="133" spans="1:48" s="57" customFormat="1" ht="10.35" customHeight="1" outlineLevel="1">
      <c r="A133" s="135"/>
      <c r="B133" s="206">
        <f t="shared" si="22"/>
        <v>4</v>
      </c>
      <c r="C133" s="766" t="str">
        <f t="shared" si="23"/>
        <v>DH supply line temperature*</v>
      </c>
      <c r="D133" s="714">
        <v>12</v>
      </c>
      <c r="E133" s="967">
        <v>80</v>
      </c>
      <c r="F133" s="967">
        <v>80</v>
      </c>
      <c r="G133" s="967">
        <f t="shared" si="26"/>
        <v>80</v>
      </c>
      <c r="H133" s="967">
        <v>60</v>
      </c>
      <c r="I133" s="967">
        <f t="shared" si="27"/>
        <v>60</v>
      </c>
      <c r="J133" s="975">
        <f t="shared" si="28"/>
        <v>70</v>
      </c>
      <c r="K133" s="966"/>
      <c r="L133" s="965"/>
      <c r="M133" s="965"/>
      <c r="N133" s="965"/>
      <c r="O133" s="965"/>
      <c r="P133" s="965"/>
      <c r="Q133" s="965"/>
      <c r="R133" s="965"/>
      <c r="S133" s="965"/>
      <c r="T133" s="965"/>
      <c r="U133" s="965"/>
      <c r="V133" s="965"/>
      <c r="W133" s="965"/>
      <c r="X133" s="965">
        <v>80</v>
      </c>
      <c r="Y133" s="714">
        <v>12</v>
      </c>
      <c r="Z133" s="135"/>
      <c r="AA133" s="394" t="str">
        <f t="shared" si="24"/>
        <v/>
      </c>
      <c r="AB133" s="248" t="str">
        <f t="shared" si="25"/>
        <v/>
      </c>
      <c r="AC133" s="135"/>
      <c r="AD133" s="135"/>
      <c r="AE133" s="135"/>
      <c r="AF133" s="135"/>
      <c r="AG133" s="135"/>
      <c r="AH133" s="135"/>
      <c r="AI133" s="135"/>
      <c r="AJ133" s="135"/>
      <c r="AK133" s="135"/>
      <c r="AL133" s="135"/>
      <c r="AM133" s="135"/>
      <c r="AN133" s="135"/>
      <c r="AO133" s="135"/>
      <c r="AP133" s="135"/>
      <c r="AQ133" s="135"/>
      <c r="AR133" s="135"/>
      <c r="AS133" s="135"/>
      <c r="AT133" s="135"/>
      <c r="AU133" s="135"/>
      <c r="AV133" s="135"/>
    </row>
    <row r="134" spans="1:48" s="57" customFormat="1" ht="10.35" customHeight="1" outlineLevel="1">
      <c r="A134" s="135"/>
      <c r="B134" s="206">
        <f t="shared" si="22"/>
        <v>4</v>
      </c>
      <c r="C134" s="766" t="str">
        <f t="shared" si="23"/>
        <v>DH supply line temperature*</v>
      </c>
      <c r="D134" s="714">
        <v>13</v>
      </c>
      <c r="E134" s="967">
        <v>78.3333333333333</v>
      </c>
      <c r="F134" s="967">
        <v>78.3333333333333</v>
      </c>
      <c r="G134" s="967">
        <f t="shared" si="26"/>
        <v>78.3333333333333</v>
      </c>
      <c r="H134" s="967">
        <v>60</v>
      </c>
      <c r="I134" s="967">
        <f t="shared" si="27"/>
        <v>60</v>
      </c>
      <c r="J134" s="975">
        <f t="shared" si="28"/>
        <v>69.166666666666657</v>
      </c>
      <c r="K134" s="966"/>
      <c r="L134" s="965"/>
      <c r="M134" s="965"/>
      <c r="N134" s="965"/>
      <c r="O134" s="965"/>
      <c r="P134" s="965"/>
      <c r="Q134" s="965"/>
      <c r="R134" s="965"/>
      <c r="S134" s="965"/>
      <c r="T134" s="965"/>
      <c r="U134" s="965"/>
      <c r="V134" s="965"/>
      <c r="W134" s="965"/>
      <c r="X134" s="965">
        <v>78.3333333333333</v>
      </c>
      <c r="Y134" s="714">
        <v>13</v>
      </c>
      <c r="Z134" s="135"/>
      <c r="AA134" s="394" t="str">
        <f t="shared" si="24"/>
        <v/>
      </c>
      <c r="AB134" s="248" t="str">
        <f t="shared" si="25"/>
        <v/>
      </c>
      <c r="AC134" s="135"/>
      <c r="AD134" s="135"/>
      <c r="AE134" s="135"/>
      <c r="AF134" s="135"/>
      <c r="AG134" s="135"/>
      <c r="AH134" s="135"/>
      <c r="AI134" s="135"/>
      <c r="AJ134" s="135"/>
      <c r="AK134" s="135"/>
      <c r="AL134" s="135"/>
      <c r="AM134" s="135"/>
      <c r="AN134" s="135"/>
      <c r="AO134" s="135"/>
      <c r="AP134" s="135"/>
      <c r="AQ134" s="135"/>
      <c r="AR134" s="135"/>
      <c r="AS134" s="135"/>
      <c r="AT134" s="135"/>
      <c r="AU134" s="135"/>
      <c r="AV134" s="135"/>
    </row>
    <row r="135" spans="1:48" s="57" customFormat="1" ht="10.35" customHeight="1" outlineLevel="1">
      <c r="A135" s="135"/>
      <c r="B135" s="206">
        <f t="shared" si="22"/>
        <v>4</v>
      </c>
      <c r="C135" s="766" t="str">
        <f t="shared" si="23"/>
        <v>DH supply line temperature*</v>
      </c>
      <c r="D135" s="714">
        <v>14</v>
      </c>
      <c r="E135" s="967">
        <v>76.666666666666629</v>
      </c>
      <c r="F135" s="967">
        <v>76.666666666666629</v>
      </c>
      <c r="G135" s="967">
        <f t="shared" si="26"/>
        <v>76.666666666666629</v>
      </c>
      <c r="H135" s="967">
        <v>60</v>
      </c>
      <c r="I135" s="967">
        <f t="shared" si="27"/>
        <v>60</v>
      </c>
      <c r="J135" s="975">
        <f t="shared" si="28"/>
        <v>68.333333333333314</v>
      </c>
      <c r="K135" s="966"/>
      <c r="L135" s="965"/>
      <c r="M135" s="965"/>
      <c r="N135" s="965"/>
      <c r="O135" s="965"/>
      <c r="P135" s="965"/>
      <c r="Q135" s="965"/>
      <c r="R135" s="965"/>
      <c r="S135" s="965"/>
      <c r="T135" s="965"/>
      <c r="U135" s="965"/>
      <c r="V135" s="965"/>
      <c r="W135" s="965"/>
      <c r="X135" s="965">
        <v>76.666666666666629</v>
      </c>
      <c r="Y135" s="714">
        <v>14</v>
      </c>
      <c r="Z135" s="135"/>
      <c r="AA135" s="394" t="str">
        <f t="shared" si="24"/>
        <v/>
      </c>
      <c r="AB135" s="248" t="str">
        <f t="shared" si="25"/>
        <v/>
      </c>
      <c r="AC135" s="135"/>
      <c r="AD135" s="135"/>
      <c r="AE135" s="135"/>
      <c r="AF135" s="135"/>
      <c r="AG135" s="135"/>
      <c r="AH135" s="135"/>
      <c r="AI135" s="135"/>
      <c r="AJ135" s="135"/>
      <c r="AK135" s="135"/>
      <c r="AL135" s="135"/>
      <c r="AM135" s="135"/>
      <c r="AN135" s="135"/>
      <c r="AO135" s="135"/>
      <c r="AP135" s="135"/>
      <c r="AQ135" s="135"/>
      <c r="AR135" s="135"/>
      <c r="AS135" s="135"/>
      <c r="AT135" s="135"/>
      <c r="AU135" s="135"/>
      <c r="AV135" s="135"/>
    </row>
    <row r="136" spans="1:48" s="57" customFormat="1" ht="10.35" customHeight="1" outlineLevel="1">
      <c r="A136" s="135"/>
      <c r="B136" s="206">
        <f t="shared" si="22"/>
        <v>4</v>
      </c>
      <c r="C136" s="766" t="str">
        <f t="shared" si="23"/>
        <v>DH supply line temperature*</v>
      </c>
      <c r="D136" s="714">
        <v>15</v>
      </c>
      <c r="E136" s="967">
        <v>76.666666666666629</v>
      </c>
      <c r="F136" s="967">
        <v>76.666666666666629</v>
      </c>
      <c r="G136" s="967">
        <f t="shared" si="26"/>
        <v>76.666666666666629</v>
      </c>
      <c r="H136" s="967">
        <v>60</v>
      </c>
      <c r="I136" s="967">
        <f t="shared" si="27"/>
        <v>60</v>
      </c>
      <c r="J136" s="975">
        <f t="shared" si="28"/>
        <v>68.333333333333314</v>
      </c>
      <c r="K136" s="966"/>
      <c r="L136" s="965"/>
      <c r="M136" s="965"/>
      <c r="N136" s="965"/>
      <c r="O136" s="965"/>
      <c r="P136" s="965"/>
      <c r="Q136" s="965"/>
      <c r="R136" s="965"/>
      <c r="S136" s="965"/>
      <c r="T136" s="965"/>
      <c r="U136" s="965"/>
      <c r="V136" s="965"/>
      <c r="W136" s="965"/>
      <c r="X136" s="965">
        <v>76.666666666666629</v>
      </c>
      <c r="Y136" s="714">
        <v>15</v>
      </c>
      <c r="Z136" s="135"/>
      <c r="AA136" s="394" t="str">
        <f t="shared" si="24"/>
        <v/>
      </c>
      <c r="AB136" s="248" t="str">
        <f t="shared" si="25"/>
        <v/>
      </c>
      <c r="AC136" s="135"/>
      <c r="AD136" s="135"/>
      <c r="AE136" s="135"/>
      <c r="AF136" s="135"/>
      <c r="AG136" s="135"/>
      <c r="AH136" s="135"/>
      <c r="AI136" s="135"/>
      <c r="AJ136" s="135"/>
      <c r="AK136" s="135"/>
      <c r="AL136" s="135"/>
      <c r="AM136" s="135"/>
      <c r="AN136" s="135"/>
      <c r="AO136" s="135"/>
      <c r="AP136" s="135"/>
      <c r="AQ136" s="135"/>
      <c r="AR136" s="135"/>
      <c r="AS136" s="135"/>
      <c r="AT136" s="135"/>
      <c r="AU136" s="135"/>
      <c r="AV136" s="135"/>
    </row>
    <row r="137" spans="1:48" s="57" customFormat="1" ht="10.35" customHeight="1" outlineLevel="1">
      <c r="A137" s="135"/>
      <c r="B137" s="206">
        <f t="shared" si="22"/>
        <v>4</v>
      </c>
      <c r="C137" s="766" t="str">
        <f t="shared" si="23"/>
        <v>DH supply line temperature*</v>
      </c>
      <c r="D137" s="714">
        <v>16</v>
      </c>
      <c r="E137" s="967">
        <v>75</v>
      </c>
      <c r="F137" s="967">
        <v>75</v>
      </c>
      <c r="G137" s="967">
        <f t="shared" si="26"/>
        <v>75</v>
      </c>
      <c r="H137" s="967">
        <v>60</v>
      </c>
      <c r="I137" s="967">
        <f t="shared" si="27"/>
        <v>60</v>
      </c>
      <c r="J137" s="975">
        <f t="shared" si="28"/>
        <v>67.5</v>
      </c>
      <c r="K137" s="966"/>
      <c r="L137" s="965"/>
      <c r="M137" s="965"/>
      <c r="N137" s="965"/>
      <c r="O137" s="965"/>
      <c r="P137" s="965"/>
      <c r="Q137" s="965"/>
      <c r="R137" s="965"/>
      <c r="S137" s="965"/>
      <c r="T137" s="965"/>
      <c r="U137" s="965"/>
      <c r="V137" s="965"/>
      <c r="W137" s="965"/>
      <c r="X137" s="965">
        <v>75</v>
      </c>
      <c r="Y137" s="714">
        <v>16</v>
      </c>
      <c r="Z137" s="135"/>
      <c r="AA137" s="394" t="str">
        <f t="shared" si="24"/>
        <v/>
      </c>
      <c r="AB137" s="248" t="str">
        <f t="shared" si="25"/>
        <v/>
      </c>
      <c r="AC137" s="135"/>
      <c r="AD137" s="135"/>
      <c r="AE137" s="135"/>
      <c r="AF137" s="135"/>
      <c r="AG137" s="135"/>
      <c r="AH137" s="135"/>
      <c r="AI137" s="135"/>
      <c r="AJ137" s="135"/>
      <c r="AK137" s="135"/>
      <c r="AL137" s="135"/>
      <c r="AM137" s="135"/>
      <c r="AN137" s="135"/>
      <c r="AO137" s="135"/>
      <c r="AP137" s="135"/>
      <c r="AQ137" s="135"/>
      <c r="AR137" s="135"/>
      <c r="AS137" s="135"/>
      <c r="AT137" s="135"/>
      <c r="AU137" s="135"/>
      <c r="AV137" s="135"/>
    </row>
    <row r="138" spans="1:48" s="57" customFormat="1" ht="10.35" customHeight="1" outlineLevel="1">
      <c r="A138" s="135"/>
      <c r="B138" s="206">
        <f t="shared" si="22"/>
        <v>4</v>
      </c>
      <c r="C138" s="766" t="str">
        <f t="shared" si="23"/>
        <v>DH supply line temperature*</v>
      </c>
      <c r="D138" s="714">
        <v>17</v>
      </c>
      <c r="E138" s="967">
        <v>76.666666666666629</v>
      </c>
      <c r="F138" s="967">
        <v>76.666666666666629</v>
      </c>
      <c r="G138" s="967">
        <f t="shared" si="26"/>
        <v>76.666666666666629</v>
      </c>
      <c r="H138" s="967">
        <v>60</v>
      </c>
      <c r="I138" s="967">
        <f t="shared" si="27"/>
        <v>60</v>
      </c>
      <c r="J138" s="975">
        <f t="shared" si="28"/>
        <v>68.333333333333314</v>
      </c>
      <c r="K138" s="966"/>
      <c r="L138" s="965"/>
      <c r="M138" s="965"/>
      <c r="N138" s="965"/>
      <c r="O138" s="965"/>
      <c r="P138" s="965"/>
      <c r="Q138" s="965"/>
      <c r="R138" s="965"/>
      <c r="S138" s="965"/>
      <c r="T138" s="965"/>
      <c r="U138" s="965"/>
      <c r="V138" s="965"/>
      <c r="W138" s="965"/>
      <c r="X138" s="965">
        <v>76.666666666666629</v>
      </c>
      <c r="Y138" s="714">
        <v>17</v>
      </c>
      <c r="Z138" s="135"/>
      <c r="AA138" s="394" t="str">
        <f t="shared" si="24"/>
        <v/>
      </c>
      <c r="AB138" s="248" t="str">
        <f t="shared" si="25"/>
        <v/>
      </c>
      <c r="AC138" s="135"/>
      <c r="AD138" s="135"/>
      <c r="AE138" s="135"/>
      <c r="AF138" s="135"/>
      <c r="AG138" s="135"/>
      <c r="AH138" s="135"/>
      <c r="AI138" s="135"/>
      <c r="AJ138" s="135"/>
      <c r="AK138" s="135"/>
      <c r="AL138" s="135"/>
      <c r="AM138" s="135"/>
      <c r="AN138" s="135"/>
      <c r="AO138" s="135"/>
      <c r="AP138" s="135"/>
      <c r="AQ138" s="135"/>
      <c r="AR138" s="135"/>
      <c r="AS138" s="135"/>
      <c r="AT138" s="135"/>
      <c r="AU138" s="135"/>
      <c r="AV138" s="135"/>
    </row>
    <row r="139" spans="1:48" s="57" customFormat="1" ht="10.35" customHeight="1" outlineLevel="1">
      <c r="A139" s="135"/>
      <c r="B139" s="206">
        <f t="shared" si="22"/>
        <v>4</v>
      </c>
      <c r="C139" s="766" t="str">
        <f t="shared" si="23"/>
        <v>DH supply line temperature*</v>
      </c>
      <c r="D139" s="714">
        <v>18</v>
      </c>
      <c r="E139" s="967">
        <v>80</v>
      </c>
      <c r="F139" s="967">
        <v>78.3333333333333</v>
      </c>
      <c r="G139" s="967">
        <f t="shared" si="26"/>
        <v>78.3333333333333</v>
      </c>
      <c r="H139" s="967">
        <v>60</v>
      </c>
      <c r="I139" s="967">
        <f t="shared" si="27"/>
        <v>60</v>
      </c>
      <c r="J139" s="975">
        <f t="shared" si="28"/>
        <v>69.166666666666657</v>
      </c>
      <c r="K139" s="966"/>
      <c r="L139" s="965"/>
      <c r="M139" s="965"/>
      <c r="N139" s="965"/>
      <c r="O139" s="965"/>
      <c r="P139" s="965"/>
      <c r="Q139" s="965"/>
      <c r="R139" s="965"/>
      <c r="S139" s="965"/>
      <c r="T139" s="965"/>
      <c r="U139" s="965"/>
      <c r="V139" s="965"/>
      <c r="W139" s="965"/>
      <c r="X139" s="965">
        <v>78.3333333333333</v>
      </c>
      <c r="Y139" s="714">
        <v>18</v>
      </c>
      <c r="Z139" s="135"/>
      <c r="AA139" s="394" t="str">
        <f t="shared" si="24"/>
        <v/>
      </c>
      <c r="AB139" s="248" t="str">
        <f t="shared" si="25"/>
        <v/>
      </c>
      <c r="AC139" s="135"/>
      <c r="AD139" s="135"/>
      <c r="AE139" s="135"/>
      <c r="AF139" s="135"/>
      <c r="AG139" s="135"/>
      <c r="AH139" s="135"/>
      <c r="AI139" s="135"/>
      <c r="AJ139" s="135"/>
      <c r="AK139" s="135"/>
      <c r="AL139" s="135"/>
      <c r="AM139" s="135"/>
      <c r="AN139" s="135"/>
      <c r="AO139" s="135"/>
      <c r="AP139" s="135"/>
      <c r="AQ139" s="135"/>
      <c r="AR139" s="135"/>
      <c r="AS139" s="135"/>
      <c r="AT139" s="135"/>
      <c r="AU139" s="135"/>
      <c r="AV139" s="135"/>
    </row>
    <row r="140" spans="1:48" s="57" customFormat="1" ht="10.35" customHeight="1" outlineLevel="1">
      <c r="A140" s="135"/>
      <c r="B140" s="206">
        <f t="shared" si="22"/>
        <v>4</v>
      </c>
      <c r="C140" s="766" t="str">
        <f t="shared" si="23"/>
        <v>DH supply line temperature*</v>
      </c>
      <c r="D140" s="714">
        <v>19</v>
      </c>
      <c r="E140" s="967">
        <v>82</v>
      </c>
      <c r="F140" s="967">
        <v>80</v>
      </c>
      <c r="G140" s="967">
        <f t="shared" si="26"/>
        <v>80</v>
      </c>
      <c r="H140" s="967">
        <v>60</v>
      </c>
      <c r="I140" s="967">
        <f t="shared" si="27"/>
        <v>60</v>
      </c>
      <c r="J140" s="975">
        <f t="shared" si="28"/>
        <v>70</v>
      </c>
      <c r="K140" s="966"/>
      <c r="L140" s="965"/>
      <c r="M140" s="965"/>
      <c r="N140" s="965"/>
      <c r="O140" s="965"/>
      <c r="P140" s="965"/>
      <c r="Q140" s="965"/>
      <c r="R140" s="965"/>
      <c r="S140" s="965"/>
      <c r="T140" s="965"/>
      <c r="U140" s="965"/>
      <c r="V140" s="965"/>
      <c r="W140" s="965"/>
      <c r="X140" s="965">
        <v>80</v>
      </c>
      <c r="Y140" s="714">
        <v>19</v>
      </c>
      <c r="Z140" s="135"/>
      <c r="AA140" s="394" t="str">
        <f t="shared" si="24"/>
        <v/>
      </c>
      <c r="AB140" s="248" t="str">
        <f t="shared" si="25"/>
        <v/>
      </c>
      <c r="AC140" s="135"/>
      <c r="AD140" s="135"/>
      <c r="AE140" s="135"/>
      <c r="AF140" s="135"/>
      <c r="AG140" s="135"/>
      <c r="AH140" s="135"/>
      <c r="AI140" s="135"/>
      <c r="AJ140" s="135"/>
      <c r="AK140" s="135"/>
      <c r="AL140" s="135"/>
      <c r="AM140" s="135"/>
      <c r="AN140" s="135"/>
      <c r="AO140" s="135"/>
      <c r="AP140" s="135"/>
      <c r="AQ140" s="135"/>
      <c r="AR140" s="135"/>
      <c r="AS140" s="135"/>
      <c r="AT140" s="135"/>
      <c r="AU140" s="135"/>
      <c r="AV140" s="135"/>
    </row>
    <row r="141" spans="1:48" s="57" customFormat="1" ht="10.35" customHeight="1" outlineLevel="1">
      <c r="A141" s="135"/>
      <c r="B141" s="206">
        <f t="shared" si="22"/>
        <v>4</v>
      </c>
      <c r="C141" s="766" t="str">
        <f t="shared" si="23"/>
        <v>DH supply line temperature*</v>
      </c>
      <c r="D141" s="714">
        <v>20</v>
      </c>
      <c r="E141" s="967">
        <v>83</v>
      </c>
      <c r="F141" s="967">
        <v>81.666666666666643</v>
      </c>
      <c r="G141" s="967">
        <f t="shared" si="26"/>
        <v>81.666666666666643</v>
      </c>
      <c r="H141" s="967">
        <v>60</v>
      </c>
      <c r="I141" s="967">
        <f t="shared" si="27"/>
        <v>60</v>
      </c>
      <c r="J141" s="975">
        <f t="shared" si="28"/>
        <v>70.833333333333314</v>
      </c>
      <c r="K141" s="966"/>
      <c r="L141" s="965"/>
      <c r="M141" s="965"/>
      <c r="N141" s="965"/>
      <c r="O141" s="965"/>
      <c r="P141" s="965"/>
      <c r="Q141" s="965"/>
      <c r="R141" s="965"/>
      <c r="S141" s="965"/>
      <c r="T141" s="965"/>
      <c r="U141" s="965"/>
      <c r="V141" s="965"/>
      <c r="W141" s="965"/>
      <c r="X141" s="965">
        <v>81.666666666666643</v>
      </c>
      <c r="Y141" s="714">
        <v>20</v>
      </c>
      <c r="Z141" s="135"/>
      <c r="AA141" s="394" t="str">
        <f t="shared" si="24"/>
        <v/>
      </c>
      <c r="AB141" s="248" t="str">
        <f t="shared" si="25"/>
        <v/>
      </c>
      <c r="AC141" s="135"/>
      <c r="AD141" s="135"/>
      <c r="AE141" s="135"/>
      <c r="AF141" s="135"/>
      <c r="AG141" s="135"/>
      <c r="AH141" s="135"/>
      <c r="AI141" s="135"/>
      <c r="AJ141" s="135"/>
      <c r="AK141" s="135"/>
      <c r="AL141" s="135"/>
      <c r="AM141" s="135"/>
      <c r="AN141" s="135"/>
      <c r="AO141" s="135"/>
      <c r="AP141" s="135"/>
      <c r="AQ141" s="135"/>
      <c r="AR141" s="135"/>
      <c r="AS141" s="135"/>
      <c r="AT141" s="135"/>
      <c r="AU141" s="135"/>
      <c r="AV141" s="135"/>
    </row>
    <row r="142" spans="1:48" s="57" customFormat="1" ht="10.35" customHeight="1" outlineLevel="1">
      <c r="A142" s="135"/>
      <c r="B142" s="206">
        <f t="shared" si="22"/>
        <v>4</v>
      </c>
      <c r="C142" s="766" t="str">
        <f t="shared" si="23"/>
        <v>DH supply line temperature*</v>
      </c>
      <c r="D142" s="714">
        <v>21</v>
      </c>
      <c r="E142" s="967">
        <v>84</v>
      </c>
      <c r="F142" s="967">
        <v>83.333333333333314</v>
      </c>
      <c r="G142" s="967">
        <f t="shared" si="26"/>
        <v>83.333333333333314</v>
      </c>
      <c r="H142" s="967">
        <v>60</v>
      </c>
      <c r="I142" s="967">
        <f t="shared" si="27"/>
        <v>60</v>
      </c>
      <c r="J142" s="975">
        <f t="shared" si="28"/>
        <v>71.666666666666657</v>
      </c>
      <c r="K142" s="966"/>
      <c r="L142" s="965"/>
      <c r="M142" s="965"/>
      <c r="N142" s="965"/>
      <c r="O142" s="965"/>
      <c r="P142" s="965"/>
      <c r="Q142" s="965"/>
      <c r="R142" s="965"/>
      <c r="S142" s="965"/>
      <c r="T142" s="965"/>
      <c r="U142" s="965"/>
      <c r="V142" s="965"/>
      <c r="W142" s="965"/>
      <c r="X142" s="965">
        <v>83.333333333333314</v>
      </c>
      <c r="Y142" s="714">
        <v>21</v>
      </c>
      <c r="Z142" s="135"/>
      <c r="AA142" s="394" t="str">
        <f t="shared" si="24"/>
        <v/>
      </c>
      <c r="AB142" s="248" t="str">
        <f t="shared" si="25"/>
        <v/>
      </c>
      <c r="AC142" s="135"/>
      <c r="AD142" s="135"/>
      <c r="AE142" s="135"/>
      <c r="AF142" s="135"/>
      <c r="AG142" s="135"/>
      <c r="AH142" s="135"/>
      <c r="AI142" s="135"/>
      <c r="AJ142" s="135"/>
      <c r="AK142" s="135"/>
      <c r="AL142" s="135"/>
      <c r="AM142" s="135"/>
      <c r="AN142" s="135"/>
      <c r="AO142" s="135"/>
      <c r="AP142" s="135"/>
      <c r="AQ142" s="135"/>
      <c r="AR142" s="135"/>
      <c r="AS142" s="135"/>
      <c r="AT142" s="135"/>
      <c r="AU142" s="135"/>
      <c r="AV142" s="135"/>
    </row>
    <row r="143" spans="1:48" s="57" customFormat="1" ht="10.35" customHeight="1" outlineLevel="1">
      <c r="A143" s="135"/>
      <c r="B143" s="206">
        <f t="shared" si="22"/>
        <v>4</v>
      </c>
      <c r="C143" s="766" t="str">
        <f t="shared" si="23"/>
        <v>DH supply line temperature*</v>
      </c>
      <c r="D143" s="714">
        <v>22</v>
      </c>
      <c r="E143" s="967">
        <v>80</v>
      </c>
      <c r="F143" s="967">
        <v>84.999999999999986</v>
      </c>
      <c r="G143" s="967">
        <f t="shared" si="26"/>
        <v>84.999999999999986</v>
      </c>
      <c r="H143" s="967">
        <v>60</v>
      </c>
      <c r="I143" s="967">
        <f t="shared" si="27"/>
        <v>60</v>
      </c>
      <c r="J143" s="975">
        <f t="shared" si="28"/>
        <v>72.5</v>
      </c>
      <c r="K143" s="966"/>
      <c r="L143" s="965"/>
      <c r="M143" s="965"/>
      <c r="N143" s="965"/>
      <c r="O143" s="965"/>
      <c r="P143" s="965"/>
      <c r="Q143" s="965"/>
      <c r="R143" s="965"/>
      <c r="S143" s="965"/>
      <c r="T143" s="965"/>
      <c r="U143" s="965"/>
      <c r="V143" s="965"/>
      <c r="W143" s="965"/>
      <c r="X143" s="965">
        <v>84.999999999999986</v>
      </c>
      <c r="Y143" s="714">
        <v>22</v>
      </c>
      <c r="Z143" s="135"/>
      <c r="AA143" s="394" t="str">
        <f t="shared" si="24"/>
        <v/>
      </c>
      <c r="AB143" s="248" t="str">
        <f t="shared" si="25"/>
        <v/>
      </c>
      <c r="AC143" s="135"/>
      <c r="AD143" s="135"/>
      <c r="AE143" s="135"/>
      <c r="AF143" s="135"/>
      <c r="AG143" s="135"/>
      <c r="AH143" s="135"/>
      <c r="AI143" s="135"/>
      <c r="AJ143" s="135"/>
      <c r="AK143" s="135"/>
      <c r="AL143" s="135"/>
      <c r="AM143" s="135"/>
      <c r="AN143" s="135"/>
      <c r="AO143" s="135"/>
      <c r="AP143" s="135"/>
      <c r="AQ143" s="135"/>
      <c r="AR143" s="135"/>
      <c r="AS143" s="135"/>
      <c r="AT143" s="135"/>
      <c r="AU143" s="135"/>
      <c r="AV143" s="135"/>
    </row>
    <row r="144" spans="1:48" s="57" customFormat="1" ht="10.35" customHeight="1" outlineLevel="1">
      <c r="A144" s="135"/>
      <c r="B144" s="206">
        <f t="shared" si="22"/>
        <v>4</v>
      </c>
      <c r="C144" s="766" t="str">
        <f t="shared" si="23"/>
        <v>DH supply line temperature*</v>
      </c>
      <c r="D144" s="714">
        <v>23</v>
      </c>
      <c r="E144" s="967">
        <v>79</v>
      </c>
      <c r="F144" s="967">
        <v>84.999999999999986</v>
      </c>
      <c r="G144" s="967">
        <f t="shared" si="26"/>
        <v>84.999999999999986</v>
      </c>
      <c r="H144" s="967">
        <v>60</v>
      </c>
      <c r="I144" s="967">
        <f t="shared" si="27"/>
        <v>60</v>
      </c>
      <c r="J144" s="975">
        <f t="shared" si="28"/>
        <v>72.5</v>
      </c>
      <c r="K144" s="966"/>
      <c r="L144" s="965"/>
      <c r="M144" s="965"/>
      <c r="N144" s="965"/>
      <c r="O144" s="965"/>
      <c r="P144" s="965"/>
      <c r="Q144" s="965"/>
      <c r="R144" s="965"/>
      <c r="S144" s="965"/>
      <c r="T144" s="965"/>
      <c r="U144" s="965"/>
      <c r="V144" s="965"/>
      <c r="W144" s="965"/>
      <c r="X144" s="965">
        <v>84.999999999999986</v>
      </c>
      <c r="Y144" s="714">
        <v>23</v>
      </c>
      <c r="Z144" s="135"/>
      <c r="AA144" s="394" t="str">
        <f t="shared" si="24"/>
        <v/>
      </c>
      <c r="AB144" s="248" t="str">
        <f t="shared" si="25"/>
        <v/>
      </c>
      <c r="AC144" s="135"/>
      <c r="AD144" s="135"/>
      <c r="AE144" s="135"/>
      <c r="AF144" s="135"/>
      <c r="AG144" s="135"/>
      <c r="AH144" s="135"/>
      <c r="AI144" s="135"/>
      <c r="AJ144" s="135"/>
      <c r="AK144" s="135"/>
      <c r="AL144" s="135"/>
      <c r="AM144" s="135"/>
      <c r="AN144" s="135"/>
      <c r="AO144" s="135"/>
      <c r="AP144" s="135"/>
      <c r="AQ144" s="135"/>
      <c r="AR144" s="135"/>
      <c r="AS144" s="135"/>
      <c r="AT144" s="135"/>
      <c r="AU144" s="135"/>
      <c r="AV144" s="135"/>
    </row>
    <row r="145" spans="1:48" s="57" customFormat="1" ht="10.35" customHeight="1" outlineLevel="1">
      <c r="A145" s="135"/>
      <c r="B145" s="206">
        <f t="shared" si="22"/>
        <v>4</v>
      </c>
      <c r="C145" s="766" t="str">
        <f t="shared" si="23"/>
        <v>DH supply line temperature*</v>
      </c>
      <c r="D145" s="714">
        <v>24</v>
      </c>
      <c r="E145" s="967">
        <v>78</v>
      </c>
      <c r="F145" s="967">
        <v>86.666666666666657</v>
      </c>
      <c r="G145" s="967">
        <f t="shared" si="26"/>
        <v>86.666666666666657</v>
      </c>
      <c r="H145" s="967">
        <v>60</v>
      </c>
      <c r="I145" s="967">
        <f t="shared" si="27"/>
        <v>60</v>
      </c>
      <c r="J145" s="975">
        <f t="shared" si="28"/>
        <v>73.333333333333329</v>
      </c>
      <c r="K145" s="966"/>
      <c r="L145" s="965"/>
      <c r="M145" s="965"/>
      <c r="N145" s="965"/>
      <c r="O145" s="965"/>
      <c r="P145" s="965"/>
      <c r="Q145" s="965"/>
      <c r="R145" s="965"/>
      <c r="S145" s="965"/>
      <c r="T145" s="965"/>
      <c r="U145" s="965"/>
      <c r="V145" s="965"/>
      <c r="W145" s="965"/>
      <c r="X145" s="965">
        <v>86.666666666666657</v>
      </c>
      <c r="Y145" s="948">
        <v>24</v>
      </c>
      <c r="Z145" s="135"/>
      <c r="AA145" s="394" t="str">
        <f t="shared" si="24"/>
        <v/>
      </c>
      <c r="AB145" s="248" t="str">
        <f t="shared" si="25"/>
        <v/>
      </c>
      <c r="AC145" s="135"/>
      <c r="AD145" s="135"/>
      <c r="AE145" s="135"/>
      <c r="AF145" s="135"/>
      <c r="AG145" s="135"/>
      <c r="AH145" s="135"/>
      <c r="AI145" s="135"/>
      <c r="AJ145" s="135"/>
      <c r="AK145" s="135"/>
      <c r="AL145" s="135"/>
      <c r="AM145" s="135"/>
      <c r="AN145" s="135"/>
      <c r="AO145" s="135"/>
      <c r="AP145" s="135"/>
      <c r="AQ145" s="135"/>
      <c r="AR145" s="135"/>
      <c r="AS145" s="135"/>
      <c r="AT145" s="135"/>
      <c r="AU145" s="135"/>
      <c r="AV145" s="135"/>
    </row>
    <row r="146" spans="1:48" s="57" customFormat="1" ht="11.25">
      <c r="A146" s="135"/>
      <c r="B146" s="206">
        <f t="shared" si="22"/>
        <v>4</v>
      </c>
      <c r="C146" s="942"/>
      <c r="D146" s="720" t="s">
        <v>349</v>
      </c>
      <c r="E146" s="943">
        <f t="shared" ref="E146:X146" si="29">SUM(E122:E145)/24</f>
        <v>82.430555555555543</v>
      </c>
      <c r="F146" s="943">
        <f t="shared" si="29"/>
        <v>83.124999999999986</v>
      </c>
      <c r="G146" s="943">
        <f t="shared" si="29"/>
        <v>83.124999999999986</v>
      </c>
      <c r="H146" s="943">
        <f t="shared" si="29"/>
        <v>60</v>
      </c>
      <c r="I146" s="943">
        <f t="shared" si="29"/>
        <v>60</v>
      </c>
      <c r="J146" s="976">
        <f t="shared" si="29"/>
        <v>71.562499999999986</v>
      </c>
      <c r="K146" s="943">
        <f t="shared" si="29"/>
        <v>0</v>
      </c>
      <c r="L146" s="943">
        <f t="shared" si="29"/>
        <v>0</v>
      </c>
      <c r="M146" s="943">
        <f t="shared" si="29"/>
        <v>0</v>
      </c>
      <c r="N146" s="943">
        <f t="shared" si="29"/>
        <v>0</v>
      </c>
      <c r="O146" s="943">
        <f t="shared" si="29"/>
        <v>0</v>
      </c>
      <c r="P146" s="943">
        <f t="shared" si="29"/>
        <v>0</v>
      </c>
      <c r="Q146" s="943">
        <f t="shared" si="29"/>
        <v>0</v>
      </c>
      <c r="R146" s="943">
        <f t="shared" si="29"/>
        <v>0</v>
      </c>
      <c r="S146" s="943">
        <f t="shared" si="29"/>
        <v>0</v>
      </c>
      <c r="T146" s="943">
        <f t="shared" si="29"/>
        <v>0</v>
      </c>
      <c r="U146" s="943">
        <f t="shared" si="29"/>
        <v>0</v>
      </c>
      <c r="V146" s="943">
        <f t="shared" si="29"/>
        <v>0</v>
      </c>
      <c r="W146" s="943">
        <f t="shared" si="29"/>
        <v>0</v>
      </c>
      <c r="X146" s="943">
        <f t="shared" si="29"/>
        <v>83.305555555555543</v>
      </c>
      <c r="Y146" s="927" t="s">
        <v>349</v>
      </c>
      <c r="Z146" s="135"/>
      <c r="AA146" s="135"/>
      <c r="AB146" s="135"/>
      <c r="AC146" s="135"/>
      <c r="AD146" s="135"/>
      <c r="AE146" s="135"/>
      <c r="AF146" s="135"/>
      <c r="AG146" s="135"/>
      <c r="AH146" s="135"/>
      <c r="AI146" s="135"/>
      <c r="AJ146" s="135"/>
      <c r="AK146" s="135"/>
      <c r="AL146" s="135"/>
      <c r="AM146" s="135"/>
      <c r="AN146" s="135"/>
      <c r="AO146" s="135"/>
      <c r="AP146" s="135"/>
      <c r="AQ146" s="135"/>
      <c r="AR146" s="135"/>
      <c r="AS146" s="135"/>
      <c r="AT146" s="135"/>
      <c r="AU146" s="135"/>
      <c r="AV146" s="135"/>
    </row>
    <row r="147" spans="1:48" s="57" customFormat="1" ht="12" thickBot="1">
      <c r="A147" s="135"/>
      <c r="B147" s="206">
        <f t="shared" si="22"/>
        <v>4</v>
      </c>
      <c r="E147" s="8"/>
      <c r="F147" s="8"/>
      <c r="G147" s="8"/>
      <c r="H147" s="8"/>
      <c r="I147" s="8"/>
      <c r="J147" s="8"/>
      <c r="K147" s="207"/>
      <c r="L147" s="207"/>
      <c r="M147" s="207"/>
      <c r="N147" s="207"/>
      <c r="O147" s="207"/>
      <c r="P147" s="207"/>
      <c r="Q147" s="207"/>
      <c r="R147" s="207"/>
      <c r="S147" s="207"/>
      <c r="T147" s="207"/>
      <c r="U147" s="207"/>
      <c r="V147" s="207"/>
      <c r="W147" s="207"/>
      <c r="X147" s="207"/>
      <c r="Y147" s="8"/>
      <c r="Z147" s="135"/>
      <c r="AA147" s="135"/>
      <c r="AB147" s="135"/>
      <c r="AC147" s="135"/>
      <c r="AD147" s="135"/>
      <c r="AE147" s="135"/>
      <c r="AF147" s="135"/>
      <c r="AG147" s="135"/>
      <c r="AH147" s="135"/>
      <c r="AI147" s="135"/>
      <c r="AJ147" s="135"/>
      <c r="AK147" s="135"/>
      <c r="AL147" s="135"/>
      <c r="AM147" s="135"/>
      <c r="AN147" s="135"/>
      <c r="AO147" s="135"/>
      <c r="AP147" s="135"/>
      <c r="AQ147" s="135"/>
      <c r="AR147" s="135"/>
      <c r="AS147" s="135"/>
      <c r="AT147" s="135"/>
      <c r="AU147" s="135"/>
      <c r="AV147" s="135"/>
    </row>
    <row r="148" spans="1:48" s="57" customFormat="1" ht="25.35" customHeight="1">
      <c r="A148" s="1009" t="s">
        <v>73</v>
      </c>
      <c r="B148" s="206">
        <f>B145+1</f>
        <v>5</v>
      </c>
      <c r="C148" s="984" t="str">
        <f>E148</f>
        <v xml:space="preserve">DH return line temperature*  </v>
      </c>
      <c r="D148" s="985" t="s">
        <v>345</v>
      </c>
      <c r="E148" s="986" t="s">
        <v>356</v>
      </c>
      <c r="F148" s="987"/>
      <c r="G148" s="649"/>
      <c r="H148" s="649"/>
      <c r="I148" s="649"/>
      <c r="J148" s="988"/>
      <c r="K148" s="59"/>
      <c r="L148" s="59"/>
      <c r="M148" s="59"/>
      <c r="N148" s="59"/>
      <c r="O148" s="59"/>
      <c r="P148" s="59"/>
      <c r="Q148" s="59"/>
      <c r="R148" s="59"/>
      <c r="S148" s="59"/>
      <c r="T148" s="59"/>
      <c r="U148" s="59"/>
      <c r="V148" s="59"/>
      <c r="W148" s="59"/>
      <c r="X148" s="59"/>
      <c r="Y148" s="989" t="s">
        <v>345</v>
      </c>
      <c r="Z148" s="135"/>
      <c r="AA148" s="135"/>
      <c r="AB148" s="135"/>
      <c r="AC148" s="135"/>
      <c r="AD148" s="135"/>
      <c r="AE148" s="135"/>
      <c r="AF148" s="135"/>
      <c r="AG148" s="135"/>
      <c r="AH148" s="135"/>
      <c r="AI148" s="135"/>
      <c r="AJ148" s="135"/>
      <c r="AK148" s="135"/>
      <c r="AL148" s="135"/>
      <c r="AM148" s="135"/>
      <c r="AN148" s="135"/>
      <c r="AO148" s="135"/>
      <c r="AP148" s="135"/>
      <c r="AQ148" s="135"/>
      <c r="AR148" s="135"/>
      <c r="AS148" s="135"/>
      <c r="AT148" s="135"/>
      <c r="AU148" s="135"/>
      <c r="AV148" s="135"/>
    </row>
    <row r="149" spans="1:48" s="57" customFormat="1" ht="11.25" outlineLevel="1">
      <c r="A149" s="135"/>
      <c r="B149" s="206">
        <f>B148</f>
        <v>5</v>
      </c>
      <c r="C149" s="782" t="str">
        <f>C148</f>
        <v xml:space="preserve">DH return line temperature*  </v>
      </c>
      <c r="D149" s="728"/>
      <c r="E149" s="1114" t="s">
        <v>83</v>
      </c>
      <c r="F149" s="1114"/>
      <c r="G149" s="1114"/>
      <c r="H149" s="1114"/>
      <c r="I149" s="1114"/>
      <c r="J149" s="1114"/>
      <c r="K149" s="1114"/>
      <c r="L149" s="1114"/>
      <c r="M149" s="1114"/>
      <c r="N149" s="1114"/>
      <c r="O149" s="1114"/>
      <c r="P149" s="1114"/>
      <c r="Q149" s="1114"/>
      <c r="R149" s="1114"/>
      <c r="S149" s="1114"/>
      <c r="T149" s="1114"/>
      <c r="U149" s="1114"/>
      <c r="V149" s="1114"/>
      <c r="W149" s="1114"/>
      <c r="X149" s="1114"/>
      <c r="Y149" s="728"/>
      <c r="Z149" s="135"/>
      <c r="AA149" s="135"/>
      <c r="AB149" s="135"/>
      <c r="AC149" s="135"/>
      <c r="AD149" s="135"/>
      <c r="AE149" s="135"/>
      <c r="AF149" s="135"/>
      <c r="AG149" s="135"/>
      <c r="AH149" s="135"/>
      <c r="AI149" s="135"/>
      <c r="AJ149" s="135"/>
      <c r="AK149" s="135"/>
      <c r="AL149" s="135"/>
      <c r="AM149" s="135"/>
      <c r="AN149" s="135"/>
      <c r="AO149" s="135"/>
      <c r="AP149" s="135"/>
      <c r="AQ149" s="135"/>
      <c r="AR149" s="135"/>
      <c r="AS149" s="135"/>
      <c r="AT149" s="135"/>
      <c r="AU149" s="135"/>
      <c r="AV149" s="135"/>
    </row>
    <row r="150" spans="1:48" s="57" customFormat="1" ht="32.1" customHeight="1" outlineLevel="1" thickBot="1">
      <c r="A150" s="135"/>
      <c r="B150" s="206">
        <f t="shared" ref="B150:B176" si="30">B149</f>
        <v>5</v>
      </c>
      <c r="C150" s="780" t="str">
        <f t="shared" ref="C150:C174" si="31">C149</f>
        <v xml:space="preserve">DH return line temperature*  </v>
      </c>
      <c r="D150" s="618"/>
      <c r="E150" s="1110" t="s">
        <v>357</v>
      </c>
      <c r="F150" s="1110"/>
      <c r="G150" s="1110"/>
      <c r="H150" s="1110"/>
      <c r="I150" s="1110"/>
      <c r="J150" s="1110"/>
      <c r="K150" s="1127"/>
      <c r="L150" s="1127"/>
      <c r="M150" s="1127"/>
      <c r="N150" s="1127"/>
      <c r="O150" s="1127"/>
      <c r="P150" s="1127"/>
      <c r="Q150" s="1127"/>
      <c r="R150" s="1127"/>
      <c r="S150" s="1127"/>
      <c r="T150" s="1127"/>
      <c r="U150" s="1127"/>
      <c r="V150" s="1127"/>
      <c r="W150" s="1127"/>
      <c r="X150" s="1127"/>
      <c r="Y150" s="618"/>
      <c r="Z150" s="135"/>
      <c r="AA150" s="135"/>
      <c r="AB150" s="135"/>
      <c r="AC150" s="135"/>
      <c r="AD150" s="135"/>
      <c r="AE150" s="135"/>
      <c r="AF150" s="135"/>
      <c r="AG150" s="135"/>
      <c r="AH150" s="135"/>
      <c r="AI150" s="135"/>
      <c r="AJ150" s="135"/>
      <c r="AK150" s="135"/>
      <c r="AL150" s="135"/>
      <c r="AM150" s="135"/>
      <c r="AN150" s="135"/>
      <c r="AO150" s="135"/>
      <c r="AP150" s="135"/>
      <c r="AQ150" s="135"/>
      <c r="AR150" s="135"/>
      <c r="AS150" s="135"/>
      <c r="AT150" s="135"/>
      <c r="AU150" s="135"/>
      <c r="AV150" s="135"/>
    </row>
    <row r="151" spans="1:48" s="57" customFormat="1" ht="10.35" customHeight="1" outlineLevel="1" thickBot="1">
      <c r="A151" s="135"/>
      <c r="B151" s="206">
        <f>B150</f>
        <v>5</v>
      </c>
      <c r="C151" s="766" t="str">
        <f t="shared" si="31"/>
        <v xml:space="preserve">DH return line temperature*  </v>
      </c>
      <c r="D151" s="979">
        <v>1</v>
      </c>
      <c r="E151" s="978">
        <v>45</v>
      </c>
      <c r="F151" s="978">
        <v>45</v>
      </c>
      <c r="G151" s="978">
        <v>45</v>
      </c>
      <c r="H151" s="978">
        <v>45</v>
      </c>
      <c r="I151" s="978">
        <v>45</v>
      </c>
      <c r="J151" s="978">
        <v>45</v>
      </c>
      <c r="K151" s="977"/>
      <c r="L151" s="209"/>
      <c r="M151" s="209"/>
      <c r="N151" s="209"/>
      <c r="O151" s="209"/>
      <c r="P151" s="209"/>
      <c r="Q151" s="209"/>
      <c r="R151" s="209"/>
      <c r="S151" s="209"/>
      <c r="T151" s="209"/>
      <c r="U151" s="209"/>
      <c r="V151" s="209"/>
      <c r="W151" s="209"/>
      <c r="X151" s="209">
        <v>45</v>
      </c>
      <c r="Y151" s="714">
        <v>1</v>
      </c>
      <c r="Z151" s="135"/>
      <c r="AA151" s="371" t="str">
        <f t="shared" ref="AA151:AA174" si="32">AB151</f>
        <v/>
      </c>
      <c r="AB151" s="248" t="str">
        <f t="shared" ref="AB151:AB174" si="33">IF(IFERROR((1+X151+W151+V151+U151+T151+S151+R151+Q151+P151+O151+N151+M151+L151+K151+J151+I151+H151+G151+F151+E151)*1, "!!!!")="!!!!","Inputs contain non-numerical data. Please check your input data!","")</f>
        <v/>
      </c>
      <c r="AC151" s="135"/>
      <c r="AD151" s="135"/>
      <c r="AE151" s="135"/>
      <c r="AF151" s="135"/>
      <c r="AG151" s="135"/>
      <c r="AH151" s="135"/>
      <c r="AI151" s="135"/>
      <c r="AJ151" s="135"/>
      <c r="AK151" s="135"/>
      <c r="AL151" s="135"/>
      <c r="AM151" s="135"/>
      <c r="AN151" s="135"/>
      <c r="AO151" s="135"/>
      <c r="AP151" s="135"/>
      <c r="AQ151" s="135"/>
      <c r="AR151" s="135"/>
      <c r="AS151" s="135"/>
      <c r="AT151" s="135"/>
      <c r="AU151" s="135"/>
      <c r="AV151" s="135"/>
    </row>
    <row r="152" spans="1:48" s="57" customFormat="1" ht="10.35" customHeight="1" outlineLevel="1" thickBot="1">
      <c r="A152" s="135"/>
      <c r="B152" s="206">
        <f t="shared" si="30"/>
        <v>5</v>
      </c>
      <c r="C152" s="766" t="str">
        <f t="shared" si="31"/>
        <v xml:space="preserve">DH return line temperature*  </v>
      </c>
      <c r="D152" s="979">
        <v>2</v>
      </c>
      <c r="E152" s="978">
        <v>45</v>
      </c>
      <c r="F152" s="978">
        <v>45</v>
      </c>
      <c r="G152" s="978">
        <v>45</v>
      </c>
      <c r="H152" s="978">
        <v>45</v>
      </c>
      <c r="I152" s="978">
        <v>45</v>
      </c>
      <c r="J152" s="978">
        <v>45</v>
      </c>
      <c r="K152" s="977"/>
      <c r="L152" s="209"/>
      <c r="M152" s="209"/>
      <c r="N152" s="209"/>
      <c r="O152" s="209"/>
      <c r="P152" s="209"/>
      <c r="Q152" s="209"/>
      <c r="R152" s="209"/>
      <c r="S152" s="209"/>
      <c r="T152" s="209"/>
      <c r="U152" s="209"/>
      <c r="V152" s="209"/>
      <c r="W152" s="209"/>
      <c r="X152" s="209">
        <v>45</v>
      </c>
      <c r="Y152" s="714">
        <v>2</v>
      </c>
      <c r="Z152" s="135"/>
      <c r="AA152" s="394" t="str">
        <f t="shared" si="32"/>
        <v/>
      </c>
      <c r="AB152" s="248" t="str">
        <f t="shared" si="33"/>
        <v/>
      </c>
      <c r="AC152" s="135"/>
      <c r="AD152" s="135"/>
      <c r="AE152" s="135"/>
      <c r="AF152" s="135"/>
      <c r="AG152" s="135"/>
      <c r="AH152" s="135"/>
      <c r="AI152" s="135"/>
      <c r="AJ152" s="135"/>
      <c r="AK152" s="135"/>
      <c r="AL152" s="135"/>
      <c r="AM152" s="135"/>
      <c r="AN152" s="135"/>
      <c r="AO152" s="135"/>
      <c r="AP152" s="135"/>
      <c r="AQ152" s="135"/>
      <c r="AR152" s="135"/>
      <c r="AS152" s="135"/>
      <c r="AT152" s="135"/>
      <c r="AU152" s="135"/>
      <c r="AV152" s="135"/>
    </row>
    <row r="153" spans="1:48" s="57" customFormat="1" ht="10.35" customHeight="1" outlineLevel="1" thickBot="1">
      <c r="A153" s="135"/>
      <c r="B153" s="206">
        <f t="shared" si="30"/>
        <v>5</v>
      </c>
      <c r="C153" s="766" t="str">
        <f t="shared" si="31"/>
        <v xml:space="preserve">DH return line temperature*  </v>
      </c>
      <c r="D153" s="979">
        <v>3</v>
      </c>
      <c r="E153" s="978">
        <v>45</v>
      </c>
      <c r="F153" s="978">
        <v>45</v>
      </c>
      <c r="G153" s="978">
        <v>45</v>
      </c>
      <c r="H153" s="978">
        <v>45</v>
      </c>
      <c r="I153" s="978">
        <v>45</v>
      </c>
      <c r="J153" s="978">
        <v>45</v>
      </c>
      <c r="K153" s="977"/>
      <c r="L153" s="209"/>
      <c r="M153" s="209"/>
      <c r="N153" s="209"/>
      <c r="O153" s="209"/>
      <c r="P153" s="209"/>
      <c r="Q153" s="209"/>
      <c r="R153" s="209"/>
      <c r="S153" s="209"/>
      <c r="T153" s="209"/>
      <c r="U153" s="209"/>
      <c r="V153" s="209"/>
      <c r="W153" s="209"/>
      <c r="X153" s="209">
        <v>45</v>
      </c>
      <c r="Y153" s="714">
        <v>3</v>
      </c>
      <c r="Z153" s="135"/>
      <c r="AA153" s="394" t="str">
        <f t="shared" si="32"/>
        <v/>
      </c>
      <c r="AB153" s="248" t="str">
        <f t="shared" si="33"/>
        <v/>
      </c>
      <c r="AC153" s="135"/>
      <c r="AD153" s="135"/>
      <c r="AE153" s="135"/>
      <c r="AF153" s="135"/>
      <c r="AG153" s="135"/>
      <c r="AH153" s="135"/>
      <c r="AI153" s="135"/>
      <c r="AJ153" s="135"/>
      <c r="AK153" s="135"/>
      <c r="AL153" s="135"/>
      <c r="AM153" s="135"/>
      <c r="AN153" s="135"/>
      <c r="AO153" s="135"/>
      <c r="AP153" s="135"/>
      <c r="AQ153" s="135"/>
      <c r="AR153" s="135"/>
      <c r="AS153" s="135"/>
      <c r="AT153" s="135"/>
      <c r="AU153" s="135"/>
      <c r="AV153" s="135"/>
    </row>
    <row r="154" spans="1:48" s="57" customFormat="1" ht="10.35" customHeight="1" outlineLevel="1" thickBot="1">
      <c r="A154" s="135"/>
      <c r="B154" s="206">
        <f t="shared" si="30"/>
        <v>5</v>
      </c>
      <c r="C154" s="766" t="str">
        <f t="shared" si="31"/>
        <v xml:space="preserve">DH return line temperature*  </v>
      </c>
      <c r="D154" s="979">
        <v>4</v>
      </c>
      <c r="E154" s="978">
        <v>45</v>
      </c>
      <c r="F154" s="978">
        <v>45</v>
      </c>
      <c r="G154" s="978">
        <v>45</v>
      </c>
      <c r="H154" s="978">
        <v>45</v>
      </c>
      <c r="I154" s="978">
        <v>45</v>
      </c>
      <c r="J154" s="978">
        <v>45</v>
      </c>
      <c r="K154" s="977"/>
      <c r="L154" s="209"/>
      <c r="M154" s="209"/>
      <c r="N154" s="209"/>
      <c r="O154" s="209"/>
      <c r="P154" s="209"/>
      <c r="Q154" s="209"/>
      <c r="R154" s="209"/>
      <c r="S154" s="209"/>
      <c r="T154" s="209"/>
      <c r="U154" s="209"/>
      <c r="V154" s="209"/>
      <c r="W154" s="209"/>
      <c r="X154" s="209">
        <v>45</v>
      </c>
      <c r="Y154" s="714">
        <v>4</v>
      </c>
      <c r="Z154" s="135"/>
      <c r="AA154" s="394" t="str">
        <f t="shared" si="32"/>
        <v/>
      </c>
      <c r="AB154" s="248" t="str">
        <f t="shared" si="33"/>
        <v/>
      </c>
      <c r="AC154" s="135"/>
      <c r="AD154" s="135"/>
      <c r="AE154" s="135"/>
      <c r="AF154" s="135"/>
      <c r="AG154" s="135"/>
      <c r="AH154" s="135"/>
      <c r="AI154" s="135"/>
      <c r="AJ154" s="135"/>
      <c r="AK154" s="135"/>
      <c r="AL154" s="135"/>
      <c r="AM154" s="135"/>
      <c r="AN154" s="135"/>
      <c r="AO154" s="135"/>
      <c r="AP154" s="135"/>
      <c r="AQ154" s="135"/>
      <c r="AR154" s="135"/>
      <c r="AS154" s="135"/>
      <c r="AT154" s="135"/>
      <c r="AU154" s="135"/>
      <c r="AV154" s="135"/>
    </row>
    <row r="155" spans="1:48" s="57" customFormat="1" ht="10.35" customHeight="1" outlineLevel="1" thickBot="1">
      <c r="A155" s="135"/>
      <c r="B155" s="206">
        <f t="shared" si="30"/>
        <v>5</v>
      </c>
      <c r="C155" s="766" t="str">
        <f t="shared" si="31"/>
        <v xml:space="preserve">DH return line temperature*  </v>
      </c>
      <c r="D155" s="979">
        <v>5</v>
      </c>
      <c r="E155" s="978">
        <v>45</v>
      </c>
      <c r="F155" s="978">
        <v>45</v>
      </c>
      <c r="G155" s="978">
        <v>45</v>
      </c>
      <c r="H155" s="978">
        <v>45</v>
      </c>
      <c r="I155" s="978">
        <v>45</v>
      </c>
      <c r="J155" s="978">
        <v>45</v>
      </c>
      <c r="K155" s="977"/>
      <c r="L155" s="209"/>
      <c r="M155" s="209"/>
      <c r="N155" s="209"/>
      <c r="O155" s="209"/>
      <c r="P155" s="209"/>
      <c r="Q155" s="209"/>
      <c r="R155" s="209"/>
      <c r="S155" s="209"/>
      <c r="T155" s="209"/>
      <c r="U155" s="209"/>
      <c r="V155" s="209"/>
      <c r="W155" s="209"/>
      <c r="X155" s="209">
        <v>45</v>
      </c>
      <c r="Y155" s="714">
        <v>5</v>
      </c>
      <c r="Z155" s="135"/>
      <c r="AA155" s="394" t="str">
        <f t="shared" si="32"/>
        <v/>
      </c>
      <c r="AB155" s="248" t="str">
        <f t="shared" si="33"/>
        <v/>
      </c>
      <c r="AC155" s="135"/>
      <c r="AD155" s="135"/>
      <c r="AE155" s="135"/>
      <c r="AF155" s="135"/>
      <c r="AG155" s="135"/>
      <c r="AH155" s="135"/>
      <c r="AI155" s="135"/>
      <c r="AJ155" s="135"/>
      <c r="AK155" s="135"/>
      <c r="AL155" s="135"/>
      <c r="AM155" s="135"/>
      <c r="AN155" s="135"/>
      <c r="AO155" s="135"/>
      <c r="AP155" s="135"/>
      <c r="AQ155" s="135"/>
      <c r="AR155" s="135"/>
      <c r="AS155" s="135"/>
      <c r="AT155" s="135"/>
      <c r="AU155" s="135"/>
      <c r="AV155" s="135"/>
    </row>
    <row r="156" spans="1:48" s="57" customFormat="1" ht="10.35" customHeight="1" outlineLevel="1" thickBot="1">
      <c r="A156" s="135"/>
      <c r="B156" s="206">
        <f t="shared" si="30"/>
        <v>5</v>
      </c>
      <c r="C156" s="766" t="str">
        <f t="shared" si="31"/>
        <v xml:space="preserve">DH return line temperature*  </v>
      </c>
      <c r="D156" s="979">
        <v>6</v>
      </c>
      <c r="E156" s="978">
        <v>45</v>
      </c>
      <c r="F156" s="978">
        <v>45</v>
      </c>
      <c r="G156" s="978">
        <v>45</v>
      </c>
      <c r="H156" s="978">
        <v>45</v>
      </c>
      <c r="I156" s="978">
        <v>45</v>
      </c>
      <c r="J156" s="978">
        <v>45</v>
      </c>
      <c r="K156" s="977"/>
      <c r="L156" s="209"/>
      <c r="M156" s="209"/>
      <c r="N156" s="209"/>
      <c r="O156" s="209"/>
      <c r="P156" s="209"/>
      <c r="Q156" s="209"/>
      <c r="R156" s="209"/>
      <c r="S156" s="209"/>
      <c r="T156" s="209"/>
      <c r="U156" s="209"/>
      <c r="V156" s="209"/>
      <c r="W156" s="209"/>
      <c r="X156" s="209">
        <v>45</v>
      </c>
      <c r="Y156" s="714">
        <v>6</v>
      </c>
      <c r="Z156" s="135"/>
      <c r="AA156" s="394" t="str">
        <f t="shared" si="32"/>
        <v/>
      </c>
      <c r="AB156" s="248" t="str">
        <f t="shared" si="33"/>
        <v/>
      </c>
      <c r="AC156" s="135"/>
      <c r="AD156" s="135"/>
      <c r="AE156" s="135"/>
      <c r="AF156" s="135"/>
      <c r="AG156" s="135"/>
      <c r="AH156" s="135"/>
      <c r="AI156" s="135"/>
      <c r="AJ156" s="135"/>
      <c r="AK156" s="135"/>
      <c r="AL156" s="135"/>
      <c r="AM156" s="135"/>
      <c r="AN156" s="135"/>
      <c r="AO156" s="135"/>
      <c r="AP156" s="135"/>
      <c r="AQ156" s="135"/>
      <c r="AR156" s="135"/>
      <c r="AS156" s="135"/>
      <c r="AT156" s="135"/>
      <c r="AU156" s="135"/>
      <c r="AV156" s="135"/>
    </row>
    <row r="157" spans="1:48" s="57" customFormat="1" ht="10.35" customHeight="1" outlineLevel="1" thickBot="1">
      <c r="A157" s="135"/>
      <c r="B157" s="206">
        <f t="shared" si="30"/>
        <v>5</v>
      </c>
      <c r="C157" s="766" t="str">
        <f t="shared" si="31"/>
        <v xml:space="preserve">DH return line temperature*  </v>
      </c>
      <c r="D157" s="979">
        <v>7</v>
      </c>
      <c r="E157" s="978">
        <v>45</v>
      </c>
      <c r="F157" s="978">
        <v>45</v>
      </c>
      <c r="G157" s="978">
        <v>45</v>
      </c>
      <c r="H157" s="978">
        <v>45</v>
      </c>
      <c r="I157" s="978">
        <v>45</v>
      </c>
      <c r="J157" s="978">
        <v>45</v>
      </c>
      <c r="K157" s="977"/>
      <c r="L157" s="209"/>
      <c r="M157" s="209"/>
      <c r="N157" s="209"/>
      <c r="O157" s="209"/>
      <c r="P157" s="209"/>
      <c r="Q157" s="209"/>
      <c r="R157" s="209"/>
      <c r="S157" s="209"/>
      <c r="T157" s="209"/>
      <c r="U157" s="209"/>
      <c r="V157" s="209"/>
      <c r="W157" s="209"/>
      <c r="X157" s="209">
        <v>45</v>
      </c>
      <c r="Y157" s="714">
        <v>7</v>
      </c>
      <c r="Z157" s="135"/>
      <c r="AA157" s="394" t="str">
        <f t="shared" si="32"/>
        <v/>
      </c>
      <c r="AB157" s="248" t="str">
        <f t="shared" si="33"/>
        <v/>
      </c>
      <c r="AC157" s="135"/>
      <c r="AD157" s="135"/>
      <c r="AE157" s="135"/>
      <c r="AF157" s="135"/>
      <c r="AG157" s="135"/>
      <c r="AH157" s="135"/>
      <c r="AI157" s="135"/>
      <c r="AJ157" s="135"/>
      <c r="AK157" s="135"/>
      <c r="AL157" s="135"/>
      <c r="AM157" s="135"/>
      <c r="AN157" s="135"/>
      <c r="AO157" s="135"/>
      <c r="AP157" s="135"/>
      <c r="AQ157" s="135"/>
      <c r="AR157" s="135"/>
      <c r="AS157" s="135"/>
      <c r="AT157" s="135"/>
      <c r="AU157" s="135"/>
      <c r="AV157" s="135"/>
    </row>
    <row r="158" spans="1:48" s="57" customFormat="1" ht="10.35" customHeight="1" outlineLevel="1" thickBot="1">
      <c r="A158" s="135"/>
      <c r="B158" s="206">
        <f t="shared" si="30"/>
        <v>5</v>
      </c>
      <c r="C158" s="766" t="str">
        <f t="shared" si="31"/>
        <v xml:space="preserve">DH return line temperature*  </v>
      </c>
      <c r="D158" s="979">
        <v>8</v>
      </c>
      <c r="E158" s="978">
        <v>45</v>
      </c>
      <c r="F158" s="978">
        <v>45</v>
      </c>
      <c r="G158" s="978">
        <v>45</v>
      </c>
      <c r="H158" s="978">
        <v>45</v>
      </c>
      <c r="I158" s="978">
        <v>45</v>
      </c>
      <c r="J158" s="978">
        <v>45</v>
      </c>
      <c r="K158" s="977"/>
      <c r="L158" s="209"/>
      <c r="M158" s="209"/>
      <c r="N158" s="209"/>
      <c r="O158" s="209"/>
      <c r="P158" s="209"/>
      <c r="Q158" s="209"/>
      <c r="R158" s="209"/>
      <c r="S158" s="209"/>
      <c r="T158" s="209"/>
      <c r="U158" s="209"/>
      <c r="V158" s="209"/>
      <c r="W158" s="209"/>
      <c r="X158" s="209">
        <v>45</v>
      </c>
      <c r="Y158" s="714">
        <v>8</v>
      </c>
      <c r="Z158" s="135"/>
      <c r="AA158" s="394" t="str">
        <f t="shared" si="32"/>
        <v/>
      </c>
      <c r="AB158" s="248" t="str">
        <f t="shared" si="33"/>
        <v/>
      </c>
      <c r="AC158" s="135"/>
      <c r="AD158" s="135"/>
      <c r="AE158" s="135"/>
      <c r="AF158" s="135"/>
      <c r="AG158" s="135"/>
      <c r="AH158" s="135"/>
      <c r="AI158" s="135"/>
      <c r="AJ158" s="135"/>
      <c r="AK158" s="135"/>
      <c r="AL158" s="135"/>
      <c r="AM158" s="135"/>
      <c r="AN158" s="135"/>
      <c r="AO158" s="135"/>
      <c r="AP158" s="135"/>
      <c r="AQ158" s="135"/>
      <c r="AR158" s="135"/>
      <c r="AS158" s="135"/>
      <c r="AT158" s="135"/>
      <c r="AU158" s="135"/>
      <c r="AV158" s="135"/>
    </row>
    <row r="159" spans="1:48" s="57" customFormat="1" ht="10.35" customHeight="1" outlineLevel="1" thickBot="1">
      <c r="A159" s="135"/>
      <c r="B159" s="206">
        <f t="shared" si="30"/>
        <v>5</v>
      </c>
      <c r="C159" s="766" t="str">
        <f t="shared" si="31"/>
        <v xml:space="preserve">DH return line temperature*  </v>
      </c>
      <c r="D159" s="979">
        <v>9</v>
      </c>
      <c r="E159" s="978">
        <v>45</v>
      </c>
      <c r="F159" s="978">
        <v>45</v>
      </c>
      <c r="G159" s="978">
        <v>45</v>
      </c>
      <c r="H159" s="978">
        <v>45</v>
      </c>
      <c r="I159" s="978">
        <v>45</v>
      </c>
      <c r="J159" s="978">
        <v>45</v>
      </c>
      <c r="K159" s="977"/>
      <c r="L159" s="209"/>
      <c r="M159" s="209"/>
      <c r="N159" s="209"/>
      <c r="O159" s="209"/>
      <c r="P159" s="209"/>
      <c r="Q159" s="209"/>
      <c r="R159" s="209"/>
      <c r="S159" s="209"/>
      <c r="T159" s="209"/>
      <c r="U159" s="209"/>
      <c r="V159" s="209"/>
      <c r="W159" s="209"/>
      <c r="X159" s="209">
        <v>45</v>
      </c>
      <c r="Y159" s="714">
        <v>9</v>
      </c>
      <c r="Z159" s="135"/>
      <c r="AA159" s="394" t="str">
        <f t="shared" si="32"/>
        <v/>
      </c>
      <c r="AB159" s="248" t="str">
        <f t="shared" si="33"/>
        <v/>
      </c>
      <c r="AC159" s="135"/>
      <c r="AD159" s="135"/>
      <c r="AE159" s="135"/>
      <c r="AF159" s="135"/>
      <c r="AG159" s="135"/>
      <c r="AH159" s="135"/>
      <c r="AI159" s="135"/>
      <c r="AJ159" s="135"/>
      <c r="AK159" s="135"/>
      <c r="AL159" s="135"/>
      <c r="AM159" s="135"/>
      <c r="AN159" s="135"/>
      <c r="AO159" s="135"/>
      <c r="AP159" s="135"/>
      <c r="AQ159" s="135"/>
      <c r="AR159" s="135"/>
      <c r="AS159" s="135"/>
      <c r="AT159" s="135"/>
      <c r="AU159" s="135"/>
      <c r="AV159" s="135"/>
    </row>
    <row r="160" spans="1:48" s="57" customFormat="1" ht="10.35" customHeight="1" outlineLevel="1" thickBot="1">
      <c r="A160" s="135"/>
      <c r="B160" s="206">
        <f t="shared" si="30"/>
        <v>5</v>
      </c>
      <c r="C160" s="766" t="str">
        <f t="shared" si="31"/>
        <v xml:space="preserve">DH return line temperature*  </v>
      </c>
      <c r="D160" s="979">
        <v>10</v>
      </c>
      <c r="E160" s="978">
        <v>45</v>
      </c>
      <c r="F160" s="978">
        <v>45</v>
      </c>
      <c r="G160" s="978">
        <v>45</v>
      </c>
      <c r="H160" s="978">
        <v>45</v>
      </c>
      <c r="I160" s="978">
        <v>45</v>
      </c>
      <c r="J160" s="978">
        <v>45</v>
      </c>
      <c r="K160" s="977"/>
      <c r="L160" s="209"/>
      <c r="M160" s="209"/>
      <c r="N160" s="209"/>
      <c r="O160" s="209"/>
      <c r="P160" s="209"/>
      <c r="Q160" s="209"/>
      <c r="R160" s="209"/>
      <c r="S160" s="209"/>
      <c r="T160" s="209"/>
      <c r="U160" s="209"/>
      <c r="V160" s="209"/>
      <c r="W160" s="209"/>
      <c r="X160" s="209">
        <v>45</v>
      </c>
      <c r="Y160" s="714">
        <v>10</v>
      </c>
      <c r="Z160" s="135"/>
      <c r="AA160" s="394" t="str">
        <f t="shared" si="32"/>
        <v/>
      </c>
      <c r="AB160" s="248" t="str">
        <f t="shared" si="33"/>
        <v/>
      </c>
      <c r="AC160" s="135"/>
      <c r="AD160" s="135"/>
      <c r="AE160" s="135"/>
      <c r="AF160" s="135"/>
      <c r="AG160" s="135"/>
      <c r="AH160" s="135"/>
      <c r="AI160" s="135"/>
      <c r="AJ160" s="135"/>
      <c r="AK160" s="135"/>
      <c r="AL160" s="135"/>
      <c r="AM160" s="135"/>
      <c r="AN160" s="135"/>
      <c r="AO160" s="135"/>
      <c r="AP160" s="135"/>
      <c r="AQ160" s="135"/>
      <c r="AR160" s="135"/>
      <c r="AS160" s="135"/>
      <c r="AT160" s="135"/>
      <c r="AU160" s="135"/>
      <c r="AV160" s="135"/>
    </row>
    <row r="161" spans="1:48" s="57" customFormat="1" ht="10.35" customHeight="1" outlineLevel="1" thickBot="1">
      <c r="A161" s="135"/>
      <c r="B161" s="206">
        <f t="shared" si="30"/>
        <v>5</v>
      </c>
      <c r="C161" s="766" t="str">
        <f t="shared" si="31"/>
        <v xml:space="preserve">DH return line temperature*  </v>
      </c>
      <c r="D161" s="979">
        <v>11</v>
      </c>
      <c r="E161" s="978">
        <v>45</v>
      </c>
      <c r="F161" s="978">
        <v>45</v>
      </c>
      <c r="G161" s="978">
        <v>45</v>
      </c>
      <c r="H161" s="978">
        <v>45</v>
      </c>
      <c r="I161" s="978">
        <v>45</v>
      </c>
      <c r="J161" s="978">
        <v>45</v>
      </c>
      <c r="K161" s="977"/>
      <c r="L161" s="209"/>
      <c r="M161" s="209"/>
      <c r="N161" s="209"/>
      <c r="O161" s="209"/>
      <c r="P161" s="209"/>
      <c r="Q161" s="209"/>
      <c r="R161" s="209"/>
      <c r="S161" s="209"/>
      <c r="T161" s="209"/>
      <c r="U161" s="209"/>
      <c r="V161" s="209"/>
      <c r="W161" s="209"/>
      <c r="X161" s="209">
        <v>45</v>
      </c>
      <c r="Y161" s="714">
        <v>11</v>
      </c>
      <c r="Z161" s="135"/>
      <c r="AA161" s="394" t="str">
        <f t="shared" si="32"/>
        <v/>
      </c>
      <c r="AB161" s="248" t="str">
        <f t="shared" si="33"/>
        <v/>
      </c>
      <c r="AC161" s="135"/>
      <c r="AD161" s="135"/>
      <c r="AE161" s="135"/>
      <c r="AF161" s="135"/>
      <c r="AG161" s="135"/>
      <c r="AH161" s="135"/>
      <c r="AI161" s="135"/>
      <c r="AJ161" s="135"/>
      <c r="AK161" s="135"/>
      <c r="AL161" s="135"/>
      <c r="AM161" s="135"/>
      <c r="AN161" s="135"/>
      <c r="AO161" s="135"/>
      <c r="AP161" s="135"/>
      <c r="AQ161" s="135"/>
      <c r="AR161" s="135"/>
      <c r="AS161" s="135"/>
      <c r="AT161" s="135"/>
      <c r="AU161" s="135"/>
      <c r="AV161" s="135"/>
    </row>
    <row r="162" spans="1:48" s="57" customFormat="1" ht="10.35" customHeight="1" outlineLevel="1" thickBot="1">
      <c r="A162" s="135"/>
      <c r="B162" s="206">
        <f t="shared" si="30"/>
        <v>5</v>
      </c>
      <c r="C162" s="766" t="str">
        <f t="shared" si="31"/>
        <v xml:space="preserve">DH return line temperature*  </v>
      </c>
      <c r="D162" s="979">
        <v>12</v>
      </c>
      <c r="E162" s="978">
        <v>45</v>
      </c>
      <c r="F162" s="978">
        <v>45</v>
      </c>
      <c r="G162" s="978">
        <v>45</v>
      </c>
      <c r="H162" s="978">
        <v>45</v>
      </c>
      <c r="I162" s="978">
        <v>45</v>
      </c>
      <c r="J162" s="978">
        <v>45</v>
      </c>
      <c r="K162" s="977"/>
      <c r="L162" s="209"/>
      <c r="M162" s="209"/>
      <c r="N162" s="209"/>
      <c r="O162" s="209"/>
      <c r="P162" s="209"/>
      <c r="Q162" s="209"/>
      <c r="R162" s="209"/>
      <c r="S162" s="209"/>
      <c r="T162" s="209"/>
      <c r="U162" s="209"/>
      <c r="V162" s="209"/>
      <c r="W162" s="209"/>
      <c r="X162" s="209">
        <v>45</v>
      </c>
      <c r="Y162" s="714">
        <v>12</v>
      </c>
      <c r="Z162" s="135"/>
      <c r="AA162" s="394" t="str">
        <f t="shared" si="32"/>
        <v/>
      </c>
      <c r="AB162" s="248" t="str">
        <f t="shared" si="33"/>
        <v/>
      </c>
      <c r="AC162" s="135"/>
      <c r="AD162" s="135"/>
      <c r="AE162" s="135"/>
      <c r="AF162" s="135"/>
      <c r="AG162" s="135"/>
      <c r="AH162" s="135"/>
      <c r="AI162" s="135"/>
      <c r="AJ162" s="135"/>
      <c r="AK162" s="135"/>
      <c r="AL162" s="135"/>
      <c r="AM162" s="135"/>
      <c r="AN162" s="135"/>
      <c r="AO162" s="135"/>
      <c r="AP162" s="135"/>
      <c r="AQ162" s="135"/>
      <c r="AR162" s="135"/>
      <c r="AS162" s="135"/>
      <c r="AT162" s="135"/>
      <c r="AU162" s="135"/>
      <c r="AV162" s="135"/>
    </row>
    <row r="163" spans="1:48" s="57" customFormat="1" ht="10.35" customHeight="1" outlineLevel="1" thickBot="1">
      <c r="A163" s="135"/>
      <c r="B163" s="206">
        <f t="shared" si="30"/>
        <v>5</v>
      </c>
      <c r="C163" s="766" t="str">
        <f t="shared" si="31"/>
        <v xml:space="preserve">DH return line temperature*  </v>
      </c>
      <c r="D163" s="979">
        <v>13</v>
      </c>
      <c r="E163" s="978">
        <v>45</v>
      </c>
      <c r="F163" s="978">
        <v>45</v>
      </c>
      <c r="G163" s="978">
        <v>45</v>
      </c>
      <c r="H163" s="978">
        <v>45</v>
      </c>
      <c r="I163" s="978">
        <v>45</v>
      </c>
      <c r="J163" s="978">
        <v>45</v>
      </c>
      <c r="K163" s="977"/>
      <c r="L163" s="209"/>
      <c r="M163" s="209"/>
      <c r="N163" s="209"/>
      <c r="O163" s="209"/>
      <c r="P163" s="209"/>
      <c r="Q163" s="209"/>
      <c r="R163" s="209"/>
      <c r="S163" s="209"/>
      <c r="T163" s="209"/>
      <c r="U163" s="209"/>
      <c r="V163" s="209"/>
      <c r="W163" s="209"/>
      <c r="X163" s="209">
        <v>45</v>
      </c>
      <c r="Y163" s="714">
        <v>13</v>
      </c>
      <c r="Z163" s="135"/>
      <c r="AA163" s="394" t="str">
        <f t="shared" si="32"/>
        <v/>
      </c>
      <c r="AB163" s="248" t="str">
        <f t="shared" si="33"/>
        <v/>
      </c>
      <c r="AC163" s="135"/>
      <c r="AD163" s="135"/>
      <c r="AE163" s="135"/>
      <c r="AF163" s="135"/>
      <c r="AG163" s="135"/>
      <c r="AH163" s="135"/>
      <c r="AI163" s="135"/>
      <c r="AJ163" s="135"/>
      <c r="AK163" s="135"/>
      <c r="AL163" s="135"/>
      <c r="AM163" s="135"/>
      <c r="AN163" s="135"/>
      <c r="AO163" s="135"/>
      <c r="AP163" s="135"/>
      <c r="AQ163" s="135"/>
      <c r="AR163" s="135"/>
      <c r="AS163" s="135"/>
      <c r="AT163" s="135"/>
      <c r="AU163" s="135"/>
      <c r="AV163" s="135"/>
    </row>
    <row r="164" spans="1:48" s="57" customFormat="1" ht="10.35" customHeight="1" outlineLevel="1" thickBot="1">
      <c r="A164" s="135"/>
      <c r="B164" s="206">
        <f t="shared" si="30"/>
        <v>5</v>
      </c>
      <c r="C164" s="766" t="str">
        <f t="shared" si="31"/>
        <v xml:space="preserve">DH return line temperature*  </v>
      </c>
      <c r="D164" s="979">
        <v>14</v>
      </c>
      <c r="E164" s="978">
        <v>45</v>
      </c>
      <c r="F164" s="978">
        <v>45</v>
      </c>
      <c r="G164" s="978">
        <v>45</v>
      </c>
      <c r="H164" s="978">
        <v>45</v>
      </c>
      <c r="I164" s="978">
        <v>45</v>
      </c>
      <c r="J164" s="978">
        <v>45</v>
      </c>
      <c r="K164" s="977"/>
      <c r="L164" s="209"/>
      <c r="M164" s="209"/>
      <c r="N164" s="209"/>
      <c r="O164" s="209"/>
      <c r="P164" s="209"/>
      <c r="Q164" s="209"/>
      <c r="R164" s="209"/>
      <c r="S164" s="209"/>
      <c r="T164" s="209"/>
      <c r="U164" s="209"/>
      <c r="V164" s="209"/>
      <c r="W164" s="209"/>
      <c r="X164" s="209">
        <v>45</v>
      </c>
      <c r="Y164" s="714">
        <v>14</v>
      </c>
      <c r="Z164" s="135"/>
      <c r="AA164" s="394" t="str">
        <f t="shared" si="32"/>
        <v/>
      </c>
      <c r="AB164" s="248" t="str">
        <f t="shared" si="33"/>
        <v/>
      </c>
      <c r="AC164" s="135"/>
      <c r="AD164" s="135"/>
      <c r="AE164" s="135"/>
      <c r="AF164" s="135"/>
      <c r="AG164" s="135"/>
      <c r="AH164" s="135"/>
      <c r="AI164" s="135"/>
      <c r="AJ164" s="135"/>
      <c r="AK164" s="135"/>
      <c r="AL164" s="135"/>
      <c r="AM164" s="135"/>
      <c r="AN164" s="135"/>
      <c r="AO164" s="135"/>
      <c r="AP164" s="135"/>
      <c r="AQ164" s="135"/>
      <c r="AR164" s="135"/>
      <c r="AS164" s="135"/>
      <c r="AT164" s="135"/>
      <c r="AU164" s="135"/>
      <c r="AV164" s="135"/>
    </row>
    <row r="165" spans="1:48" s="57" customFormat="1" ht="10.35" customHeight="1" outlineLevel="1" thickBot="1">
      <c r="A165" s="135"/>
      <c r="B165" s="206">
        <f t="shared" si="30"/>
        <v>5</v>
      </c>
      <c r="C165" s="766" t="str">
        <f t="shared" si="31"/>
        <v xml:space="preserve">DH return line temperature*  </v>
      </c>
      <c r="D165" s="979">
        <v>15</v>
      </c>
      <c r="E165" s="978">
        <v>45</v>
      </c>
      <c r="F165" s="978">
        <v>45</v>
      </c>
      <c r="G165" s="978">
        <v>45</v>
      </c>
      <c r="H165" s="978">
        <v>45</v>
      </c>
      <c r="I165" s="978">
        <v>45</v>
      </c>
      <c r="J165" s="978">
        <v>45</v>
      </c>
      <c r="K165" s="977"/>
      <c r="L165" s="209"/>
      <c r="M165" s="209"/>
      <c r="N165" s="209"/>
      <c r="O165" s="209"/>
      <c r="P165" s="209"/>
      <c r="Q165" s="209"/>
      <c r="R165" s="209"/>
      <c r="S165" s="209"/>
      <c r="T165" s="209"/>
      <c r="U165" s="209"/>
      <c r="V165" s="209"/>
      <c r="W165" s="209"/>
      <c r="X165" s="209">
        <v>45</v>
      </c>
      <c r="Y165" s="714">
        <v>15</v>
      </c>
      <c r="Z165" s="135"/>
      <c r="AA165" s="394" t="str">
        <f t="shared" si="32"/>
        <v/>
      </c>
      <c r="AB165" s="248" t="str">
        <f t="shared" si="33"/>
        <v/>
      </c>
      <c r="AC165" s="135"/>
      <c r="AD165" s="135"/>
      <c r="AE165" s="135"/>
      <c r="AF165" s="135"/>
      <c r="AG165" s="135"/>
      <c r="AH165" s="135"/>
      <c r="AI165" s="135"/>
      <c r="AJ165" s="135"/>
      <c r="AK165" s="135"/>
      <c r="AL165" s="135"/>
      <c r="AM165" s="135"/>
      <c r="AN165" s="135"/>
      <c r="AO165" s="135"/>
      <c r="AP165" s="135"/>
      <c r="AQ165" s="135"/>
      <c r="AR165" s="135"/>
      <c r="AS165" s="135"/>
      <c r="AT165" s="135"/>
      <c r="AU165" s="135"/>
      <c r="AV165" s="135"/>
    </row>
    <row r="166" spans="1:48" s="57" customFormat="1" ht="10.35" customHeight="1" outlineLevel="1" thickBot="1">
      <c r="A166" s="135"/>
      <c r="B166" s="206">
        <f t="shared" si="30"/>
        <v>5</v>
      </c>
      <c r="C166" s="766" t="str">
        <f t="shared" si="31"/>
        <v xml:space="preserve">DH return line temperature*  </v>
      </c>
      <c r="D166" s="979">
        <v>16</v>
      </c>
      <c r="E166" s="978">
        <v>45</v>
      </c>
      <c r="F166" s="978">
        <v>45</v>
      </c>
      <c r="G166" s="978">
        <v>45</v>
      </c>
      <c r="H166" s="978">
        <v>45</v>
      </c>
      <c r="I166" s="978">
        <v>45</v>
      </c>
      <c r="J166" s="978">
        <v>45</v>
      </c>
      <c r="K166" s="977"/>
      <c r="L166" s="209"/>
      <c r="M166" s="209"/>
      <c r="N166" s="209"/>
      <c r="O166" s="209"/>
      <c r="P166" s="209"/>
      <c r="Q166" s="209"/>
      <c r="R166" s="209"/>
      <c r="S166" s="209"/>
      <c r="T166" s="209"/>
      <c r="U166" s="209"/>
      <c r="V166" s="209"/>
      <c r="W166" s="209"/>
      <c r="X166" s="209">
        <v>45</v>
      </c>
      <c r="Y166" s="714">
        <v>16</v>
      </c>
      <c r="Z166" s="135"/>
      <c r="AA166" s="394" t="str">
        <f t="shared" si="32"/>
        <v/>
      </c>
      <c r="AB166" s="248" t="str">
        <f t="shared" si="33"/>
        <v/>
      </c>
      <c r="AC166" s="135"/>
      <c r="AD166" s="135"/>
      <c r="AE166" s="135"/>
      <c r="AF166" s="135"/>
      <c r="AG166" s="135"/>
      <c r="AH166" s="135"/>
      <c r="AI166" s="135"/>
      <c r="AJ166" s="135"/>
      <c r="AK166" s="135"/>
      <c r="AL166" s="135"/>
      <c r="AM166" s="135"/>
      <c r="AN166" s="135"/>
      <c r="AO166" s="135"/>
      <c r="AP166" s="135"/>
      <c r="AQ166" s="135"/>
      <c r="AR166" s="135"/>
      <c r="AS166" s="135"/>
      <c r="AT166" s="135"/>
      <c r="AU166" s="135"/>
      <c r="AV166" s="135"/>
    </row>
    <row r="167" spans="1:48" s="57" customFormat="1" ht="10.35" customHeight="1" outlineLevel="1" thickBot="1">
      <c r="A167" s="135"/>
      <c r="B167" s="206">
        <f t="shared" si="30"/>
        <v>5</v>
      </c>
      <c r="C167" s="766" t="str">
        <f t="shared" si="31"/>
        <v xml:space="preserve">DH return line temperature*  </v>
      </c>
      <c r="D167" s="979">
        <v>17</v>
      </c>
      <c r="E167" s="978">
        <v>45</v>
      </c>
      <c r="F167" s="978">
        <v>45</v>
      </c>
      <c r="G167" s="978">
        <v>45</v>
      </c>
      <c r="H167" s="978">
        <v>45</v>
      </c>
      <c r="I167" s="978">
        <v>45</v>
      </c>
      <c r="J167" s="978">
        <v>45</v>
      </c>
      <c r="K167" s="977"/>
      <c r="L167" s="209"/>
      <c r="M167" s="209"/>
      <c r="N167" s="209"/>
      <c r="O167" s="209"/>
      <c r="P167" s="209"/>
      <c r="Q167" s="209"/>
      <c r="R167" s="209"/>
      <c r="S167" s="209"/>
      <c r="T167" s="209"/>
      <c r="U167" s="209"/>
      <c r="V167" s="209"/>
      <c r="W167" s="209"/>
      <c r="X167" s="209">
        <v>45</v>
      </c>
      <c r="Y167" s="714">
        <v>17</v>
      </c>
      <c r="Z167" s="135"/>
      <c r="AA167" s="394" t="str">
        <f t="shared" si="32"/>
        <v/>
      </c>
      <c r="AB167" s="248" t="str">
        <f t="shared" si="33"/>
        <v/>
      </c>
      <c r="AC167" s="135"/>
      <c r="AD167" s="135"/>
      <c r="AE167" s="135"/>
      <c r="AF167" s="135"/>
      <c r="AG167" s="135"/>
      <c r="AH167" s="135"/>
      <c r="AI167" s="135"/>
      <c r="AJ167" s="135"/>
      <c r="AK167" s="135"/>
      <c r="AL167" s="135"/>
      <c r="AM167" s="135"/>
      <c r="AN167" s="135"/>
      <c r="AO167" s="135"/>
      <c r="AP167" s="135"/>
      <c r="AQ167" s="135"/>
      <c r="AR167" s="135"/>
      <c r="AS167" s="135"/>
      <c r="AT167" s="135"/>
      <c r="AU167" s="135"/>
      <c r="AV167" s="135"/>
    </row>
    <row r="168" spans="1:48" s="57" customFormat="1" ht="10.35" customHeight="1" outlineLevel="1" thickBot="1">
      <c r="A168" s="135"/>
      <c r="B168" s="206">
        <f t="shared" si="30"/>
        <v>5</v>
      </c>
      <c r="C168" s="766" t="str">
        <f t="shared" si="31"/>
        <v xml:space="preserve">DH return line temperature*  </v>
      </c>
      <c r="D168" s="979">
        <v>18</v>
      </c>
      <c r="E168" s="978">
        <v>45</v>
      </c>
      <c r="F168" s="978">
        <v>45</v>
      </c>
      <c r="G168" s="978">
        <v>45</v>
      </c>
      <c r="H168" s="978">
        <v>45</v>
      </c>
      <c r="I168" s="978">
        <v>45</v>
      </c>
      <c r="J168" s="978">
        <v>45</v>
      </c>
      <c r="K168" s="977"/>
      <c r="L168" s="209"/>
      <c r="M168" s="209"/>
      <c r="N168" s="209"/>
      <c r="O168" s="209"/>
      <c r="P168" s="209"/>
      <c r="Q168" s="209"/>
      <c r="R168" s="209"/>
      <c r="S168" s="209"/>
      <c r="T168" s="209"/>
      <c r="U168" s="209"/>
      <c r="V168" s="209"/>
      <c r="W168" s="209"/>
      <c r="X168" s="209">
        <v>45</v>
      </c>
      <c r="Y168" s="714">
        <v>18</v>
      </c>
      <c r="Z168" s="135"/>
      <c r="AA168" s="394" t="str">
        <f t="shared" si="32"/>
        <v/>
      </c>
      <c r="AB168" s="248" t="str">
        <f t="shared" si="33"/>
        <v/>
      </c>
      <c r="AC168" s="135"/>
      <c r="AD168" s="135"/>
      <c r="AE168" s="135"/>
      <c r="AF168" s="135"/>
      <c r="AG168" s="135"/>
      <c r="AH168" s="135"/>
      <c r="AI168" s="135"/>
      <c r="AJ168" s="135"/>
      <c r="AK168" s="135"/>
      <c r="AL168" s="135"/>
      <c r="AM168" s="135"/>
      <c r="AN168" s="135"/>
      <c r="AO168" s="135"/>
      <c r="AP168" s="135"/>
      <c r="AQ168" s="135"/>
      <c r="AR168" s="135"/>
      <c r="AS168" s="135"/>
      <c r="AT168" s="135"/>
      <c r="AU168" s="135"/>
      <c r="AV168" s="135"/>
    </row>
    <row r="169" spans="1:48" s="57" customFormat="1" ht="10.35" customHeight="1" outlineLevel="1" thickBot="1">
      <c r="A169" s="135"/>
      <c r="B169" s="206">
        <f t="shared" si="30"/>
        <v>5</v>
      </c>
      <c r="C169" s="766" t="str">
        <f t="shared" si="31"/>
        <v xml:space="preserve">DH return line temperature*  </v>
      </c>
      <c r="D169" s="979">
        <v>19</v>
      </c>
      <c r="E169" s="978">
        <v>45</v>
      </c>
      <c r="F169" s="978">
        <v>45</v>
      </c>
      <c r="G169" s="978">
        <v>45</v>
      </c>
      <c r="H169" s="978">
        <v>45</v>
      </c>
      <c r="I169" s="978">
        <v>45</v>
      </c>
      <c r="J169" s="978">
        <v>45</v>
      </c>
      <c r="K169" s="977"/>
      <c r="L169" s="209"/>
      <c r="M169" s="209"/>
      <c r="N169" s="209"/>
      <c r="O169" s="209"/>
      <c r="P169" s="209"/>
      <c r="Q169" s="209"/>
      <c r="R169" s="209"/>
      <c r="S169" s="209"/>
      <c r="T169" s="209"/>
      <c r="U169" s="209"/>
      <c r="V169" s="209"/>
      <c r="W169" s="209"/>
      <c r="X169" s="209">
        <v>45</v>
      </c>
      <c r="Y169" s="714">
        <v>19</v>
      </c>
      <c r="Z169" s="135"/>
      <c r="AA169" s="394" t="str">
        <f t="shared" si="32"/>
        <v/>
      </c>
      <c r="AB169" s="248" t="str">
        <f t="shared" si="33"/>
        <v/>
      </c>
      <c r="AC169" s="135"/>
      <c r="AD169" s="135"/>
      <c r="AE169" s="135"/>
      <c r="AF169" s="135"/>
      <c r="AG169" s="135"/>
      <c r="AH169" s="135"/>
      <c r="AI169" s="135"/>
      <c r="AJ169" s="135"/>
      <c r="AK169" s="135"/>
      <c r="AL169" s="135"/>
      <c r="AM169" s="135"/>
      <c r="AN169" s="135"/>
      <c r="AO169" s="135"/>
      <c r="AP169" s="135"/>
      <c r="AQ169" s="135"/>
      <c r="AR169" s="135"/>
      <c r="AS169" s="135"/>
      <c r="AT169" s="135"/>
      <c r="AU169" s="135"/>
      <c r="AV169" s="135"/>
    </row>
    <row r="170" spans="1:48" s="57" customFormat="1" ht="10.35" customHeight="1" outlineLevel="1" thickBot="1">
      <c r="A170" s="135"/>
      <c r="B170" s="206">
        <f t="shared" si="30"/>
        <v>5</v>
      </c>
      <c r="C170" s="766" t="str">
        <f t="shared" si="31"/>
        <v xml:space="preserve">DH return line temperature*  </v>
      </c>
      <c r="D170" s="979">
        <v>20</v>
      </c>
      <c r="E170" s="978">
        <v>45</v>
      </c>
      <c r="F170" s="978">
        <v>45</v>
      </c>
      <c r="G170" s="978">
        <v>45</v>
      </c>
      <c r="H170" s="978">
        <v>45</v>
      </c>
      <c r="I170" s="978">
        <v>45</v>
      </c>
      <c r="J170" s="978">
        <v>45</v>
      </c>
      <c r="K170" s="977"/>
      <c r="L170" s="209"/>
      <c r="M170" s="209"/>
      <c r="N170" s="209"/>
      <c r="O170" s="209"/>
      <c r="P170" s="209"/>
      <c r="Q170" s="209"/>
      <c r="R170" s="209"/>
      <c r="S170" s="209"/>
      <c r="T170" s="209"/>
      <c r="U170" s="209"/>
      <c r="V170" s="209"/>
      <c r="W170" s="209"/>
      <c r="X170" s="209">
        <v>45</v>
      </c>
      <c r="Y170" s="714">
        <v>20</v>
      </c>
      <c r="Z170" s="135"/>
      <c r="AA170" s="394" t="str">
        <f t="shared" si="32"/>
        <v/>
      </c>
      <c r="AB170" s="248" t="str">
        <f t="shared" si="33"/>
        <v/>
      </c>
      <c r="AC170" s="135"/>
      <c r="AD170" s="135"/>
      <c r="AE170" s="135"/>
      <c r="AF170" s="135"/>
      <c r="AG170" s="135"/>
      <c r="AH170" s="135"/>
      <c r="AI170" s="135"/>
      <c r="AJ170" s="135"/>
      <c r="AK170" s="135"/>
      <c r="AL170" s="135"/>
      <c r="AM170" s="135"/>
      <c r="AN170" s="135"/>
      <c r="AO170" s="135"/>
      <c r="AP170" s="135"/>
      <c r="AQ170" s="135"/>
      <c r="AR170" s="135"/>
      <c r="AS170" s="135"/>
      <c r="AT170" s="135"/>
      <c r="AU170" s="135"/>
      <c r="AV170" s="135"/>
    </row>
    <row r="171" spans="1:48" s="57" customFormat="1" ht="10.35" customHeight="1" outlineLevel="1" thickBot="1">
      <c r="A171" s="135"/>
      <c r="B171" s="206">
        <f t="shared" si="30"/>
        <v>5</v>
      </c>
      <c r="C171" s="766" t="str">
        <f t="shared" si="31"/>
        <v xml:space="preserve">DH return line temperature*  </v>
      </c>
      <c r="D171" s="979">
        <v>21</v>
      </c>
      <c r="E171" s="978">
        <v>45</v>
      </c>
      <c r="F171" s="978">
        <v>45</v>
      </c>
      <c r="G171" s="978">
        <v>45</v>
      </c>
      <c r="H171" s="978">
        <v>45</v>
      </c>
      <c r="I171" s="978">
        <v>45</v>
      </c>
      <c r="J171" s="978">
        <v>45</v>
      </c>
      <c r="K171" s="977"/>
      <c r="L171" s="209"/>
      <c r="M171" s="209"/>
      <c r="N171" s="209"/>
      <c r="O171" s="209"/>
      <c r="P171" s="209"/>
      <c r="Q171" s="209"/>
      <c r="R171" s="209"/>
      <c r="S171" s="209"/>
      <c r="T171" s="209"/>
      <c r="U171" s="209"/>
      <c r="V171" s="209"/>
      <c r="W171" s="209"/>
      <c r="X171" s="209">
        <v>45</v>
      </c>
      <c r="Y171" s="714">
        <v>21</v>
      </c>
      <c r="Z171" s="135"/>
      <c r="AA171" s="394" t="str">
        <f t="shared" si="32"/>
        <v/>
      </c>
      <c r="AB171" s="248" t="str">
        <f t="shared" si="33"/>
        <v/>
      </c>
      <c r="AC171" s="135"/>
      <c r="AD171" s="135"/>
      <c r="AE171" s="135"/>
      <c r="AF171" s="135"/>
      <c r="AG171" s="135"/>
      <c r="AH171" s="135"/>
      <c r="AI171" s="135"/>
      <c r="AJ171" s="135"/>
      <c r="AK171" s="135"/>
      <c r="AL171" s="135"/>
      <c r="AM171" s="135"/>
      <c r="AN171" s="135"/>
      <c r="AO171" s="135"/>
      <c r="AP171" s="135"/>
      <c r="AQ171" s="135"/>
      <c r="AR171" s="135"/>
      <c r="AS171" s="135"/>
      <c r="AT171" s="135"/>
      <c r="AU171" s="135"/>
      <c r="AV171" s="135"/>
    </row>
    <row r="172" spans="1:48" s="57" customFormat="1" ht="10.35" customHeight="1" outlineLevel="1" thickBot="1">
      <c r="A172" s="135"/>
      <c r="B172" s="206">
        <f t="shared" si="30"/>
        <v>5</v>
      </c>
      <c r="C172" s="766" t="str">
        <f t="shared" si="31"/>
        <v xml:space="preserve">DH return line temperature*  </v>
      </c>
      <c r="D172" s="979">
        <v>22</v>
      </c>
      <c r="E172" s="978">
        <v>45</v>
      </c>
      <c r="F172" s="978">
        <v>45</v>
      </c>
      <c r="G172" s="978">
        <v>45</v>
      </c>
      <c r="H172" s="978">
        <v>45</v>
      </c>
      <c r="I172" s="978">
        <v>45</v>
      </c>
      <c r="J172" s="978">
        <v>45</v>
      </c>
      <c r="K172" s="977"/>
      <c r="L172" s="209"/>
      <c r="M172" s="209"/>
      <c r="N172" s="209"/>
      <c r="O172" s="209"/>
      <c r="P172" s="209"/>
      <c r="Q172" s="209"/>
      <c r="R172" s="209"/>
      <c r="S172" s="209"/>
      <c r="T172" s="209"/>
      <c r="U172" s="209"/>
      <c r="V172" s="209"/>
      <c r="W172" s="209"/>
      <c r="X172" s="209">
        <v>45</v>
      </c>
      <c r="Y172" s="714">
        <v>22</v>
      </c>
      <c r="Z172" s="135"/>
      <c r="AA172" s="394" t="str">
        <f t="shared" si="32"/>
        <v/>
      </c>
      <c r="AB172" s="248" t="str">
        <f t="shared" si="33"/>
        <v/>
      </c>
      <c r="AC172" s="135"/>
      <c r="AD172" s="135"/>
      <c r="AE172" s="135"/>
      <c r="AF172" s="135"/>
      <c r="AG172" s="135"/>
      <c r="AH172" s="135"/>
      <c r="AI172" s="135"/>
      <c r="AJ172" s="135"/>
      <c r="AK172" s="135"/>
      <c r="AL172" s="135"/>
      <c r="AM172" s="135"/>
      <c r="AN172" s="135"/>
      <c r="AO172" s="135"/>
      <c r="AP172" s="135"/>
      <c r="AQ172" s="135"/>
      <c r="AR172" s="135"/>
      <c r="AS172" s="135"/>
      <c r="AT172" s="135"/>
      <c r="AU172" s="135"/>
      <c r="AV172" s="135"/>
    </row>
    <row r="173" spans="1:48" s="57" customFormat="1" ht="10.35" customHeight="1" outlineLevel="1" thickBot="1">
      <c r="A173" s="135"/>
      <c r="B173" s="206">
        <f t="shared" si="30"/>
        <v>5</v>
      </c>
      <c r="C173" s="766" t="str">
        <f t="shared" si="31"/>
        <v xml:space="preserve">DH return line temperature*  </v>
      </c>
      <c r="D173" s="979">
        <v>23</v>
      </c>
      <c r="E173" s="978">
        <v>45</v>
      </c>
      <c r="F173" s="978">
        <v>45</v>
      </c>
      <c r="G173" s="978">
        <v>45</v>
      </c>
      <c r="H173" s="978">
        <v>45</v>
      </c>
      <c r="I173" s="978">
        <v>45</v>
      </c>
      <c r="J173" s="978">
        <v>45</v>
      </c>
      <c r="K173" s="977"/>
      <c r="L173" s="209"/>
      <c r="M173" s="209"/>
      <c r="N173" s="209"/>
      <c r="O173" s="209"/>
      <c r="P173" s="209"/>
      <c r="Q173" s="209"/>
      <c r="R173" s="209"/>
      <c r="S173" s="209"/>
      <c r="T173" s="209"/>
      <c r="U173" s="209"/>
      <c r="V173" s="209"/>
      <c r="W173" s="209"/>
      <c r="X173" s="209">
        <v>45</v>
      </c>
      <c r="Y173" s="714">
        <v>23</v>
      </c>
      <c r="Z173" s="135"/>
      <c r="AA173" s="394" t="str">
        <f t="shared" si="32"/>
        <v/>
      </c>
      <c r="AB173" s="248" t="str">
        <f t="shared" si="33"/>
        <v/>
      </c>
      <c r="AC173" s="135"/>
      <c r="AD173" s="135"/>
      <c r="AE173" s="135"/>
      <c r="AF173" s="135"/>
      <c r="AG173" s="135"/>
      <c r="AH173" s="135"/>
      <c r="AI173" s="135"/>
      <c r="AJ173" s="135"/>
      <c r="AK173" s="135"/>
      <c r="AL173" s="135"/>
      <c r="AM173" s="135"/>
      <c r="AN173" s="135"/>
      <c r="AO173" s="135"/>
      <c r="AP173" s="135"/>
      <c r="AQ173" s="135"/>
      <c r="AR173" s="135"/>
      <c r="AS173" s="135"/>
      <c r="AT173" s="135"/>
      <c r="AU173" s="135"/>
      <c r="AV173" s="135"/>
    </row>
    <row r="174" spans="1:48" s="57" customFormat="1" ht="10.35" customHeight="1" outlineLevel="1" thickBot="1">
      <c r="A174" s="135"/>
      <c r="B174" s="206">
        <f t="shared" si="30"/>
        <v>5</v>
      </c>
      <c r="C174" s="766" t="str">
        <f t="shared" si="31"/>
        <v xml:space="preserve">DH return line temperature*  </v>
      </c>
      <c r="D174" s="981">
        <v>24</v>
      </c>
      <c r="E174" s="978">
        <v>45</v>
      </c>
      <c r="F174" s="978">
        <v>45</v>
      </c>
      <c r="G174" s="978">
        <v>45</v>
      </c>
      <c r="H174" s="978">
        <v>45</v>
      </c>
      <c r="I174" s="978">
        <v>45</v>
      </c>
      <c r="J174" s="978">
        <v>45</v>
      </c>
      <c r="K174" s="977"/>
      <c r="L174" s="209"/>
      <c r="M174" s="209"/>
      <c r="N174" s="209"/>
      <c r="O174" s="209"/>
      <c r="P174" s="209"/>
      <c r="Q174" s="209"/>
      <c r="R174" s="209"/>
      <c r="S174" s="209"/>
      <c r="T174" s="209"/>
      <c r="U174" s="209"/>
      <c r="V174" s="209"/>
      <c r="W174" s="209"/>
      <c r="X174" s="211"/>
      <c r="Y174" s="948">
        <v>24</v>
      </c>
      <c r="Z174" s="135"/>
      <c r="AA174" s="394" t="str">
        <f t="shared" si="32"/>
        <v/>
      </c>
      <c r="AB174" s="248" t="str">
        <f t="shared" si="33"/>
        <v/>
      </c>
      <c r="AC174" s="135"/>
      <c r="AD174" s="135"/>
      <c r="AE174" s="135"/>
      <c r="AF174" s="135"/>
      <c r="AG174" s="135"/>
      <c r="AH174" s="135"/>
      <c r="AI174" s="135"/>
      <c r="AJ174" s="135"/>
      <c r="AK174" s="135"/>
      <c r="AL174" s="135"/>
      <c r="AM174" s="135"/>
      <c r="AN174" s="135"/>
      <c r="AO174" s="135"/>
      <c r="AP174" s="135"/>
      <c r="AQ174" s="135"/>
      <c r="AR174" s="135"/>
      <c r="AS174" s="135"/>
      <c r="AT174" s="135"/>
      <c r="AU174" s="135"/>
      <c r="AV174" s="135"/>
    </row>
    <row r="175" spans="1:48" s="57" customFormat="1" ht="12" thickBot="1">
      <c r="A175" s="135"/>
      <c r="B175" s="206">
        <f t="shared" si="30"/>
        <v>5</v>
      </c>
      <c r="C175" s="980"/>
      <c r="D175" s="719" t="s">
        <v>349</v>
      </c>
      <c r="E175" s="964">
        <f t="shared" ref="E175:X175" si="34">SUM(E151:E174)/24</f>
        <v>45</v>
      </c>
      <c r="F175" s="964">
        <f t="shared" si="34"/>
        <v>45</v>
      </c>
      <c r="G175" s="964">
        <f t="shared" si="34"/>
        <v>45</v>
      </c>
      <c r="H175" s="964">
        <f t="shared" si="34"/>
        <v>45</v>
      </c>
      <c r="I175" s="964">
        <f t="shared" si="34"/>
        <v>45</v>
      </c>
      <c r="J175" s="964">
        <f t="shared" si="34"/>
        <v>45</v>
      </c>
      <c r="K175" s="213">
        <f t="shared" si="34"/>
        <v>0</v>
      </c>
      <c r="L175" s="213">
        <f t="shared" si="34"/>
        <v>0</v>
      </c>
      <c r="M175" s="213">
        <f t="shared" si="34"/>
        <v>0</v>
      </c>
      <c r="N175" s="213">
        <f t="shared" si="34"/>
        <v>0</v>
      </c>
      <c r="O175" s="213">
        <f t="shared" si="34"/>
        <v>0</v>
      </c>
      <c r="P175" s="213">
        <f t="shared" si="34"/>
        <v>0</v>
      </c>
      <c r="Q175" s="213">
        <f t="shared" si="34"/>
        <v>0</v>
      </c>
      <c r="R175" s="213">
        <f t="shared" si="34"/>
        <v>0</v>
      </c>
      <c r="S175" s="213">
        <f t="shared" si="34"/>
        <v>0</v>
      </c>
      <c r="T175" s="213">
        <f t="shared" si="34"/>
        <v>0</v>
      </c>
      <c r="U175" s="213">
        <f t="shared" si="34"/>
        <v>0</v>
      </c>
      <c r="V175" s="213">
        <f t="shared" si="34"/>
        <v>0</v>
      </c>
      <c r="W175" s="213">
        <f t="shared" si="34"/>
        <v>0</v>
      </c>
      <c r="X175" s="213">
        <f t="shared" si="34"/>
        <v>43.125</v>
      </c>
      <c r="Y175" s="982" t="s">
        <v>349</v>
      </c>
      <c r="Z175" s="135"/>
      <c r="AA175" s="135"/>
      <c r="AB175" s="135"/>
      <c r="AC175" s="135"/>
      <c r="AD175" s="135"/>
      <c r="AE175" s="135"/>
      <c r="AF175" s="135"/>
      <c r="AG175" s="135"/>
      <c r="AH175" s="135"/>
      <c r="AI175" s="135"/>
      <c r="AJ175" s="135"/>
      <c r="AK175" s="135"/>
      <c r="AL175" s="135"/>
      <c r="AM175" s="135"/>
      <c r="AN175" s="135"/>
      <c r="AO175" s="135"/>
      <c r="AP175" s="135"/>
      <c r="AQ175" s="135"/>
      <c r="AR175" s="135"/>
      <c r="AS175" s="135"/>
      <c r="AT175" s="135"/>
      <c r="AU175" s="135"/>
      <c r="AV175" s="135"/>
    </row>
    <row r="176" spans="1:48" s="57" customFormat="1" ht="11.25">
      <c r="A176" s="135"/>
      <c r="B176" s="206">
        <f t="shared" si="30"/>
        <v>5</v>
      </c>
      <c r="E176" s="8"/>
      <c r="F176" s="8"/>
      <c r="G176" s="8"/>
      <c r="H176" s="8"/>
      <c r="I176" s="8"/>
      <c r="J176" s="8"/>
      <c r="K176" s="645"/>
      <c r="L176" s="645"/>
      <c r="M176" s="645"/>
      <c r="N176" s="645"/>
      <c r="O176" s="645"/>
      <c r="P176" s="645"/>
      <c r="Q176" s="645"/>
      <c r="R176" s="645"/>
      <c r="S176" s="645"/>
      <c r="T176" s="645"/>
      <c r="U176" s="645"/>
      <c r="V176" s="645"/>
      <c r="W176" s="645"/>
      <c r="X176" s="645"/>
      <c r="Y176" s="8"/>
      <c r="Z176" s="135"/>
      <c r="AA176" s="135"/>
      <c r="AB176" s="135"/>
      <c r="AC176" s="135"/>
      <c r="AD176" s="135"/>
      <c r="AE176" s="135"/>
      <c r="AF176" s="135"/>
      <c r="AG176" s="135"/>
      <c r="AH176" s="135"/>
      <c r="AI176" s="135"/>
      <c r="AJ176" s="135"/>
      <c r="AK176" s="135"/>
      <c r="AL176" s="135"/>
      <c r="AM176" s="135"/>
      <c r="AN176" s="135"/>
      <c r="AO176" s="135"/>
      <c r="AP176" s="135"/>
      <c r="AQ176" s="135"/>
      <c r="AR176" s="135"/>
      <c r="AS176" s="135"/>
      <c r="AT176" s="135"/>
      <c r="AU176" s="135"/>
      <c r="AV176" s="135"/>
    </row>
    <row r="177" spans="1:48" s="57" customFormat="1" ht="25.35" customHeight="1">
      <c r="A177" s="1009" t="s">
        <v>73</v>
      </c>
      <c r="B177" s="206">
        <f>B174+1</f>
        <v>6</v>
      </c>
      <c r="C177" s="732" t="str">
        <f>E177</f>
        <v>Short-run marginal costs of alternative heat production</v>
      </c>
      <c r="D177" s="713" t="s">
        <v>345</v>
      </c>
      <c r="E177" s="1111" t="s">
        <v>358</v>
      </c>
      <c r="F177" s="1112"/>
      <c r="G177" s="1112"/>
      <c r="H177" s="1112"/>
      <c r="I177" s="1112"/>
      <c r="J177" s="1112"/>
      <c r="K177" s="1112"/>
      <c r="L177" s="1112"/>
      <c r="M177" s="1112"/>
      <c r="N177" s="1112"/>
      <c r="O177" s="1112"/>
      <c r="P177" s="1112"/>
      <c r="Q177" s="1112"/>
      <c r="R177" s="1112"/>
      <c r="S177" s="1112"/>
      <c r="T177" s="1112"/>
      <c r="U177" s="1112"/>
      <c r="V177" s="1112"/>
      <c r="W177" s="1112"/>
      <c r="X177" s="1113"/>
      <c r="Y177" s="983" t="s">
        <v>345</v>
      </c>
      <c r="Z177" s="135"/>
      <c r="AA177" s="135"/>
      <c r="AB177" s="135"/>
      <c r="AC177" s="135"/>
      <c r="AD177" s="135"/>
      <c r="AE177" s="135"/>
      <c r="AF177" s="135"/>
      <c r="AG177" s="135"/>
      <c r="AH177" s="135"/>
      <c r="AI177" s="135"/>
      <c r="AJ177" s="135"/>
      <c r="AK177" s="135"/>
      <c r="AL177" s="135"/>
      <c r="AM177" s="135"/>
      <c r="AN177" s="135"/>
      <c r="AO177" s="135"/>
      <c r="AP177" s="135"/>
      <c r="AQ177" s="135"/>
      <c r="AR177" s="135"/>
      <c r="AS177" s="135"/>
      <c r="AT177" s="135"/>
      <c r="AU177" s="135"/>
      <c r="AV177" s="135"/>
    </row>
    <row r="178" spans="1:48" s="57" customFormat="1" ht="11.25" outlineLevel="1">
      <c r="A178" s="135"/>
      <c r="B178" s="206">
        <f>B177</f>
        <v>6</v>
      </c>
      <c r="C178" s="8" t="str">
        <f t="shared" ref="C178:C203" si="35">C177</f>
        <v>Short-run marginal costs of alternative heat production</v>
      </c>
      <c r="D178" s="618"/>
      <c r="E178" s="1110" t="s">
        <v>359</v>
      </c>
      <c r="F178" s="1110"/>
      <c r="G178" s="1110"/>
      <c r="H178" s="1110"/>
      <c r="I178" s="1110"/>
      <c r="J178" s="1110"/>
      <c r="K178" s="1110"/>
      <c r="L178" s="1110"/>
      <c r="M178" s="1110"/>
      <c r="N178" s="1110"/>
      <c r="O178" s="1110"/>
      <c r="P178" s="1110"/>
      <c r="Q178" s="1110"/>
      <c r="R178" s="1110"/>
      <c r="S178" s="1110"/>
      <c r="T178" s="1110"/>
      <c r="U178" s="1110"/>
      <c r="V178" s="1110"/>
      <c r="W178" s="1110"/>
      <c r="X178" s="1110"/>
      <c r="Y178" s="618"/>
      <c r="Z178" s="135"/>
      <c r="AA178" s="135"/>
      <c r="AB178" s="135"/>
      <c r="AC178" s="135"/>
      <c r="AD178" s="135"/>
      <c r="AE178" s="135"/>
      <c r="AF178" s="135"/>
      <c r="AG178" s="135"/>
      <c r="AH178" s="135"/>
      <c r="AI178" s="135"/>
      <c r="AJ178" s="135"/>
      <c r="AK178" s="135"/>
      <c r="AL178" s="135"/>
      <c r="AM178" s="135"/>
      <c r="AN178" s="135"/>
      <c r="AO178" s="135"/>
      <c r="AP178" s="135"/>
      <c r="AQ178" s="135"/>
      <c r="AR178" s="135"/>
      <c r="AS178" s="135"/>
      <c r="AT178" s="135"/>
      <c r="AU178" s="135"/>
      <c r="AV178" s="135"/>
    </row>
    <row r="179" spans="1:48" s="57" customFormat="1" ht="32.1" customHeight="1" outlineLevel="1">
      <c r="A179" s="135"/>
      <c r="B179" s="206">
        <f t="shared" ref="B179:B205" si="36">B178</f>
        <v>6</v>
      </c>
      <c r="C179" s="731" t="str">
        <f t="shared" si="35"/>
        <v>Short-run marginal costs of alternative heat production</v>
      </c>
      <c r="D179" s="728"/>
      <c r="E179" s="1114" t="s">
        <v>360</v>
      </c>
      <c r="F179" s="1114"/>
      <c r="G179" s="1114"/>
      <c r="H179" s="1114"/>
      <c r="I179" s="1114"/>
      <c r="J179" s="1114"/>
      <c r="K179" s="1114"/>
      <c r="L179" s="1114"/>
      <c r="M179" s="1114"/>
      <c r="N179" s="1114"/>
      <c r="O179" s="1114"/>
      <c r="P179" s="1114"/>
      <c r="Q179" s="1114"/>
      <c r="R179" s="1114"/>
      <c r="S179" s="1114"/>
      <c r="T179" s="1114"/>
      <c r="U179" s="1114"/>
      <c r="V179" s="1114"/>
      <c r="W179" s="1114"/>
      <c r="X179" s="1114"/>
      <c r="Y179" s="728"/>
      <c r="Z179" s="135"/>
      <c r="AA179" s="135"/>
      <c r="AB179" s="135"/>
      <c r="AC179" s="135"/>
      <c r="AD179" s="135"/>
      <c r="AE179" s="135"/>
      <c r="AF179" s="135"/>
      <c r="AG179" s="135"/>
      <c r="AH179" s="135"/>
      <c r="AI179" s="135"/>
      <c r="AJ179" s="135"/>
      <c r="AK179" s="135"/>
      <c r="AL179" s="135"/>
      <c r="AM179" s="135"/>
      <c r="AN179" s="135"/>
      <c r="AO179" s="135"/>
      <c r="AP179" s="135"/>
      <c r="AQ179" s="135"/>
      <c r="AR179" s="135"/>
      <c r="AS179" s="135"/>
      <c r="AT179" s="135"/>
      <c r="AU179" s="135"/>
      <c r="AV179" s="135"/>
    </row>
    <row r="180" spans="1:48" s="57" customFormat="1" ht="10.35" customHeight="1" outlineLevel="1" thickBot="1">
      <c r="A180" s="135"/>
      <c r="B180" s="206">
        <f>B179</f>
        <v>6</v>
      </c>
      <c r="C180" s="990" t="str">
        <f t="shared" si="35"/>
        <v>Short-run marginal costs of alternative heat production</v>
      </c>
      <c r="D180" s="991">
        <v>1</v>
      </c>
      <c r="E180" s="992">
        <v>65</v>
      </c>
      <c r="F180" s="992">
        <v>60</v>
      </c>
      <c r="G180" s="992">
        <v>60</v>
      </c>
      <c r="H180" s="992">
        <v>40</v>
      </c>
      <c r="I180" s="992">
        <v>55</v>
      </c>
      <c r="J180" s="992">
        <v>55</v>
      </c>
      <c r="K180" s="993"/>
      <c r="L180" s="993"/>
      <c r="M180" s="993"/>
      <c r="N180" s="993"/>
      <c r="O180" s="993"/>
      <c r="P180" s="993"/>
      <c r="Q180" s="993"/>
      <c r="R180" s="993"/>
      <c r="S180" s="993"/>
      <c r="T180" s="993"/>
      <c r="U180" s="993"/>
      <c r="V180" s="993"/>
      <c r="W180" s="993"/>
      <c r="X180" s="993">
        <v>65</v>
      </c>
      <c r="Y180" s="714">
        <v>1</v>
      </c>
      <c r="Z180" s="135"/>
      <c r="AA180" s="371" t="str">
        <f t="shared" ref="AA180:AA203" si="37">AB180</f>
        <v/>
      </c>
      <c r="AB180" s="248" t="str">
        <f t="shared" ref="AB180:AB203" si="38">IF(IFERROR((1+X180+W180+V180+U180+T180+S180+R180+Q180+P180+O180+N180+M180+L180+K180+J180+I180+H180+G180+F180+E180)*1, "!!!!")="!!!!","Inputs contain non-numerical data. Please check your input data!","")</f>
        <v/>
      </c>
      <c r="AC180" s="135"/>
      <c r="AD180" s="135"/>
      <c r="AE180" s="135"/>
      <c r="AF180" s="135"/>
      <c r="AG180" s="135"/>
      <c r="AH180" s="135"/>
      <c r="AI180" s="135"/>
      <c r="AJ180" s="135"/>
      <c r="AK180" s="135"/>
      <c r="AL180" s="135"/>
      <c r="AM180" s="135"/>
      <c r="AN180" s="135"/>
      <c r="AO180" s="135"/>
      <c r="AP180" s="135"/>
      <c r="AQ180" s="135"/>
      <c r="AR180" s="135"/>
      <c r="AS180" s="135"/>
      <c r="AT180" s="135"/>
      <c r="AU180" s="135"/>
      <c r="AV180" s="135"/>
    </row>
    <row r="181" spans="1:48" s="57" customFormat="1" ht="10.35" customHeight="1" outlineLevel="1" thickBot="1">
      <c r="A181" s="135"/>
      <c r="B181" s="206">
        <f t="shared" si="36"/>
        <v>6</v>
      </c>
      <c r="C181" s="766" t="str">
        <f t="shared" si="35"/>
        <v>Short-run marginal costs of alternative heat production</v>
      </c>
      <c r="D181" s="979">
        <v>2</v>
      </c>
      <c r="E181" s="978">
        <v>65</v>
      </c>
      <c r="F181" s="978">
        <v>60</v>
      </c>
      <c r="G181" s="978">
        <v>60</v>
      </c>
      <c r="H181" s="978">
        <f>H180</f>
        <v>40</v>
      </c>
      <c r="I181" s="978">
        <v>55</v>
      </c>
      <c r="J181" s="978">
        <v>55</v>
      </c>
      <c r="K181" s="208"/>
      <c r="L181" s="208"/>
      <c r="M181" s="208"/>
      <c r="N181" s="208"/>
      <c r="O181" s="208"/>
      <c r="P181" s="208"/>
      <c r="Q181" s="208"/>
      <c r="R181" s="208"/>
      <c r="S181" s="208"/>
      <c r="T181" s="208"/>
      <c r="U181" s="208"/>
      <c r="V181" s="208"/>
      <c r="W181" s="208"/>
      <c r="X181" s="208">
        <v>65</v>
      </c>
      <c r="Y181" s="714">
        <v>2</v>
      </c>
      <c r="Z181" s="135"/>
      <c r="AA181" s="394" t="str">
        <f t="shared" si="37"/>
        <v/>
      </c>
      <c r="AB181" s="248" t="str">
        <f t="shared" si="38"/>
        <v/>
      </c>
      <c r="AC181" s="135"/>
      <c r="AD181" s="135"/>
      <c r="AE181" s="135"/>
      <c r="AF181" s="135"/>
      <c r="AG181" s="135"/>
      <c r="AH181" s="135"/>
      <c r="AI181" s="135"/>
      <c r="AJ181" s="135"/>
      <c r="AK181" s="135"/>
      <c r="AL181" s="135"/>
      <c r="AM181" s="135"/>
      <c r="AN181" s="135"/>
      <c r="AO181" s="135"/>
      <c r="AP181" s="135"/>
      <c r="AQ181" s="135"/>
      <c r="AR181" s="135"/>
      <c r="AS181" s="135"/>
      <c r="AT181" s="135"/>
      <c r="AU181" s="135"/>
      <c r="AV181" s="135"/>
    </row>
    <row r="182" spans="1:48" s="57" customFormat="1" ht="10.35" customHeight="1" outlineLevel="1" thickBot="1">
      <c r="A182" s="135"/>
      <c r="B182" s="206">
        <f t="shared" si="36"/>
        <v>6</v>
      </c>
      <c r="C182" s="766" t="str">
        <f t="shared" si="35"/>
        <v>Short-run marginal costs of alternative heat production</v>
      </c>
      <c r="D182" s="979">
        <v>3</v>
      </c>
      <c r="E182" s="978">
        <v>65</v>
      </c>
      <c r="F182" s="978">
        <v>60</v>
      </c>
      <c r="G182" s="978">
        <v>60</v>
      </c>
      <c r="H182" s="978">
        <f t="shared" ref="H182:H203" si="39">H181</f>
        <v>40</v>
      </c>
      <c r="I182" s="978">
        <v>55</v>
      </c>
      <c r="J182" s="978">
        <v>55</v>
      </c>
      <c r="K182" s="208"/>
      <c r="L182" s="208"/>
      <c r="M182" s="208"/>
      <c r="N182" s="208"/>
      <c r="O182" s="208"/>
      <c r="P182" s="208"/>
      <c r="Q182" s="208"/>
      <c r="R182" s="208"/>
      <c r="S182" s="208"/>
      <c r="T182" s="208"/>
      <c r="U182" s="208"/>
      <c r="V182" s="208"/>
      <c r="W182" s="208"/>
      <c r="X182" s="208">
        <v>65</v>
      </c>
      <c r="Y182" s="714">
        <v>3</v>
      </c>
      <c r="Z182" s="135"/>
      <c r="AA182" s="394" t="str">
        <f t="shared" si="37"/>
        <v/>
      </c>
      <c r="AB182" s="248" t="str">
        <f t="shared" si="38"/>
        <v/>
      </c>
      <c r="AC182" s="135"/>
      <c r="AD182" s="135"/>
      <c r="AE182" s="135"/>
      <c r="AF182" s="135"/>
      <c r="AG182" s="135"/>
      <c r="AH182" s="135"/>
      <c r="AI182" s="135"/>
      <c r="AJ182" s="135"/>
      <c r="AK182" s="135"/>
      <c r="AL182" s="135"/>
      <c r="AM182" s="135"/>
      <c r="AN182" s="135"/>
      <c r="AO182" s="135"/>
      <c r="AP182" s="135"/>
      <c r="AQ182" s="135"/>
      <c r="AR182" s="135"/>
      <c r="AS182" s="135"/>
      <c r="AT182" s="135"/>
      <c r="AU182" s="135"/>
      <c r="AV182" s="135"/>
    </row>
    <row r="183" spans="1:48" s="57" customFormat="1" ht="10.35" customHeight="1" outlineLevel="1" thickBot="1">
      <c r="A183" s="135"/>
      <c r="B183" s="206">
        <f t="shared" si="36"/>
        <v>6</v>
      </c>
      <c r="C183" s="766" t="str">
        <f t="shared" si="35"/>
        <v>Short-run marginal costs of alternative heat production</v>
      </c>
      <c r="D183" s="979">
        <v>4</v>
      </c>
      <c r="E183" s="978">
        <v>65</v>
      </c>
      <c r="F183" s="978">
        <v>60</v>
      </c>
      <c r="G183" s="978">
        <v>60</v>
      </c>
      <c r="H183" s="978">
        <f t="shared" si="39"/>
        <v>40</v>
      </c>
      <c r="I183" s="978">
        <v>55</v>
      </c>
      <c r="J183" s="978">
        <v>55</v>
      </c>
      <c r="K183" s="208"/>
      <c r="L183" s="208"/>
      <c r="M183" s="208"/>
      <c r="N183" s="208"/>
      <c r="O183" s="208"/>
      <c r="P183" s="208"/>
      <c r="Q183" s="208"/>
      <c r="R183" s="208"/>
      <c r="S183" s="208"/>
      <c r="T183" s="208"/>
      <c r="U183" s="208"/>
      <c r="V183" s="208"/>
      <c r="W183" s="208"/>
      <c r="X183" s="208">
        <v>65</v>
      </c>
      <c r="Y183" s="714">
        <v>4</v>
      </c>
      <c r="Z183" s="135"/>
      <c r="AA183" s="394" t="str">
        <f t="shared" si="37"/>
        <v/>
      </c>
      <c r="AB183" s="248" t="str">
        <f t="shared" si="38"/>
        <v/>
      </c>
      <c r="AC183" s="135"/>
      <c r="AD183" s="135"/>
      <c r="AE183" s="135"/>
      <c r="AF183" s="135"/>
      <c r="AG183" s="135"/>
      <c r="AH183" s="135"/>
      <c r="AI183" s="135"/>
      <c r="AJ183" s="135"/>
      <c r="AK183" s="135"/>
      <c r="AL183" s="135"/>
      <c r="AM183" s="135"/>
      <c r="AN183" s="135"/>
      <c r="AO183" s="135"/>
      <c r="AP183" s="135"/>
      <c r="AQ183" s="135"/>
      <c r="AR183" s="135"/>
      <c r="AS183" s="135"/>
      <c r="AT183" s="135"/>
      <c r="AU183" s="135"/>
      <c r="AV183" s="135"/>
    </row>
    <row r="184" spans="1:48" s="57" customFormat="1" ht="10.35" customHeight="1" outlineLevel="1" thickBot="1">
      <c r="A184" s="135"/>
      <c r="B184" s="206">
        <f t="shared" si="36"/>
        <v>6</v>
      </c>
      <c r="C184" s="766" t="str">
        <f t="shared" si="35"/>
        <v>Short-run marginal costs of alternative heat production</v>
      </c>
      <c r="D184" s="979">
        <v>5</v>
      </c>
      <c r="E184" s="978">
        <v>65</v>
      </c>
      <c r="F184" s="978">
        <v>60</v>
      </c>
      <c r="G184" s="978">
        <v>60</v>
      </c>
      <c r="H184" s="978">
        <f t="shared" si="39"/>
        <v>40</v>
      </c>
      <c r="I184" s="978">
        <v>55</v>
      </c>
      <c r="J184" s="978">
        <v>55</v>
      </c>
      <c r="K184" s="208"/>
      <c r="L184" s="208"/>
      <c r="M184" s="208"/>
      <c r="N184" s="208"/>
      <c r="O184" s="208"/>
      <c r="P184" s="208"/>
      <c r="Q184" s="208"/>
      <c r="R184" s="208"/>
      <c r="S184" s="208"/>
      <c r="T184" s="208"/>
      <c r="U184" s="208"/>
      <c r="V184" s="208"/>
      <c r="W184" s="208"/>
      <c r="X184" s="208">
        <v>65</v>
      </c>
      <c r="Y184" s="714">
        <v>5</v>
      </c>
      <c r="Z184" s="135"/>
      <c r="AA184" s="394" t="str">
        <f t="shared" si="37"/>
        <v/>
      </c>
      <c r="AB184" s="248" t="str">
        <f t="shared" si="38"/>
        <v/>
      </c>
      <c r="AC184" s="135"/>
      <c r="AD184" s="135"/>
      <c r="AE184" s="135"/>
      <c r="AF184" s="135"/>
      <c r="AG184" s="135"/>
      <c r="AH184" s="135"/>
      <c r="AI184" s="135"/>
      <c r="AJ184" s="135"/>
      <c r="AK184" s="135"/>
      <c r="AL184" s="135"/>
      <c r="AM184" s="135"/>
      <c r="AN184" s="135"/>
      <c r="AO184" s="135"/>
      <c r="AP184" s="135"/>
      <c r="AQ184" s="135"/>
      <c r="AR184" s="135"/>
      <c r="AS184" s="135"/>
      <c r="AT184" s="135"/>
      <c r="AU184" s="135"/>
      <c r="AV184" s="135"/>
    </row>
    <row r="185" spans="1:48" s="57" customFormat="1" ht="10.35" customHeight="1" outlineLevel="1" thickBot="1">
      <c r="A185" s="135"/>
      <c r="B185" s="206">
        <f t="shared" si="36"/>
        <v>6</v>
      </c>
      <c r="C185" s="766" t="str">
        <f t="shared" si="35"/>
        <v>Short-run marginal costs of alternative heat production</v>
      </c>
      <c r="D185" s="979">
        <v>6</v>
      </c>
      <c r="E185" s="978">
        <v>65</v>
      </c>
      <c r="F185" s="978">
        <v>60</v>
      </c>
      <c r="G185" s="978">
        <v>60</v>
      </c>
      <c r="H185" s="978">
        <f t="shared" si="39"/>
        <v>40</v>
      </c>
      <c r="I185" s="978">
        <v>55</v>
      </c>
      <c r="J185" s="978">
        <v>55</v>
      </c>
      <c r="K185" s="208"/>
      <c r="L185" s="208"/>
      <c r="M185" s="208"/>
      <c r="N185" s="208"/>
      <c r="O185" s="208"/>
      <c r="P185" s="208"/>
      <c r="Q185" s="208"/>
      <c r="R185" s="208"/>
      <c r="S185" s="208"/>
      <c r="T185" s="208"/>
      <c r="U185" s="208"/>
      <c r="V185" s="208"/>
      <c r="W185" s="208"/>
      <c r="X185" s="208">
        <v>65</v>
      </c>
      <c r="Y185" s="714">
        <v>6</v>
      </c>
      <c r="Z185" s="135"/>
      <c r="AA185" s="394" t="str">
        <f t="shared" si="37"/>
        <v/>
      </c>
      <c r="AB185" s="248" t="str">
        <f t="shared" si="38"/>
        <v/>
      </c>
      <c r="AC185" s="135"/>
      <c r="AD185" s="135"/>
      <c r="AE185" s="135"/>
      <c r="AF185" s="135"/>
      <c r="AG185" s="135"/>
      <c r="AH185" s="135"/>
      <c r="AI185" s="135"/>
      <c r="AJ185" s="135"/>
      <c r="AK185" s="135"/>
      <c r="AL185" s="135"/>
      <c r="AM185" s="135"/>
      <c r="AN185" s="135"/>
      <c r="AO185" s="135"/>
      <c r="AP185" s="135"/>
      <c r="AQ185" s="135"/>
      <c r="AR185" s="135"/>
      <c r="AS185" s="135"/>
      <c r="AT185" s="135"/>
      <c r="AU185" s="135"/>
      <c r="AV185" s="135"/>
    </row>
    <row r="186" spans="1:48" s="57" customFormat="1" ht="10.35" customHeight="1" outlineLevel="1" thickBot="1">
      <c r="A186" s="135"/>
      <c r="B186" s="206">
        <f t="shared" si="36"/>
        <v>6</v>
      </c>
      <c r="C186" s="766" t="str">
        <f t="shared" si="35"/>
        <v>Short-run marginal costs of alternative heat production</v>
      </c>
      <c r="D186" s="979">
        <v>7</v>
      </c>
      <c r="E186" s="978">
        <v>65</v>
      </c>
      <c r="F186" s="978">
        <v>60</v>
      </c>
      <c r="G186" s="978">
        <v>60</v>
      </c>
      <c r="H186" s="978">
        <f t="shared" si="39"/>
        <v>40</v>
      </c>
      <c r="I186" s="978">
        <v>55</v>
      </c>
      <c r="J186" s="978">
        <v>55</v>
      </c>
      <c r="K186" s="208"/>
      <c r="L186" s="208"/>
      <c r="M186" s="208"/>
      <c r="N186" s="208"/>
      <c r="O186" s="208"/>
      <c r="P186" s="208"/>
      <c r="Q186" s="208"/>
      <c r="R186" s="208"/>
      <c r="S186" s="208"/>
      <c r="T186" s="208"/>
      <c r="U186" s="208"/>
      <c r="V186" s="208"/>
      <c r="W186" s="208"/>
      <c r="X186" s="208">
        <v>65</v>
      </c>
      <c r="Y186" s="714">
        <v>7</v>
      </c>
      <c r="Z186" s="135"/>
      <c r="AA186" s="394" t="str">
        <f t="shared" si="37"/>
        <v/>
      </c>
      <c r="AB186" s="248" t="str">
        <f t="shared" si="38"/>
        <v/>
      </c>
      <c r="AC186" s="135"/>
      <c r="AD186" s="135"/>
      <c r="AE186" s="135"/>
      <c r="AF186" s="135"/>
      <c r="AG186" s="135"/>
      <c r="AH186" s="135"/>
      <c r="AI186" s="135"/>
      <c r="AJ186" s="135"/>
      <c r="AK186" s="135"/>
      <c r="AL186" s="135"/>
      <c r="AM186" s="135"/>
      <c r="AN186" s="135"/>
      <c r="AO186" s="135"/>
      <c r="AP186" s="135"/>
      <c r="AQ186" s="135"/>
      <c r="AR186" s="135"/>
      <c r="AS186" s="135"/>
      <c r="AT186" s="135"/>
      <c r="AU186" s="135"/>
      <c r="AV186" s="135"/>
    </row>
    <row r="187" spans="1:48" s="57" customFormat="1" ht="10.35" customHeight="1" outlineLevel="1" thickBot="1">
      <c r="A187" s="135"/>
      <c r="B187" s="206">
        <f t="shared" si="36"/>
        <v>6</v>
      </c>
      <c r="C187" s="766" t="str">
        <f t="shared" si="35"/>
        <v>Short-run marginal costs of alternative heat production</v>
      </c>
      <c r="D187" s="979">
        <v>8</v>
      </c>
      <c r="E187" s="978">
        <v>65</v>
      </c>
      <c r="F187" s="978">
        <v>60</v>
      </c>
      <c r="G187" s="978">
        <v>60</v>
      </c>
      <c r="H187" s="978">
        <f t="shared" si="39"/>
        <v>40</v>
      </c>
      <c r="I187" s="978">
        <v>55</v>
      </c>
      <c r="J187" s="978">
        <v>55</v>
      </c>
      <c r="K187" s="208"/>
      <c r="L187" s="208"/>
      <c r="M187" s="208"/>
      <c r="N187" s="208"/>
      <c r="O187" s="208"/>
      <c r="P187" s="208"/>
      <c r="Q187" s="208"/>
      <c r="R187" s="208"/>
      <c r="S187" s="208"/>
      <c r="T187" s="208"/>
      <c r="U187" s="208"/>
      <c r="V187" s="208"/>
      <c r="W187" s="208"/>
      <c r="X187" s="208">
        <v>65</v>
      </c>
      <c r="Y187" s="714">
        <v>8</v>
      </c>
      <c r="Z187" s="135"/>
      <c r="AA187" s="394" t="str">
        <f t="shared" si="37"/>
        <v/>
      </c>
      <c r="AB187" s="248" t="str">
        <f t="shared" si="38"/>
        <v/>
      </c>
      <c r="AC187" s="135"/>
      <c r="AD187" s="135"/>
      <c r="AE187" s="135"/>
      <c r="AF187" s="135"/>
      <c r="AG187" s="135"/>
      <c r="AH187" s="135"/>
      <c r="AI187" s="135"/>
      <c r="AJ187" s="135"/>
      <c r="AK187" s="135"/>
      <c r="AL187" s="135"/>
      <c r="AM187" s="135"/>
      <c r="AN187" s="135"/>
      <c r="AO187" s="135"/>
      <c r="AP187" s="135"/>
      <c r="AQ187" s="135"/>
      <c r="AR187" s="135"/>
      <c r="AS187" s="135"/>
      <c r="AT187" s="135"/>
      <c r="AU187" s="135"/>
      <c r="AV187" s="135"/>
    </row>
    <row r="188" spans="1:48" s="57" customFormat="1" ht="10.35" customHeight="1" outlineLevel="1" thickBot="1">
      <c r="A188" s="135"/>
      <c r="B188" s="206">
        <f t="shared" si="36"/>
        <v>6</v>
      </c>
      <c r="C188" s="766" t="str">
        <f t="shared" si="35"/>
        <v>Short-run marginal costs of alternative heat production</v>
      </c>
      <c r="D188" s="979">
        <v>9</v>
      </c>
      <c r="E188" s="978">
        <v>65</v>
      </c>
      <c r="F188" s="978">
        <v>60</v>
      </c>
      <c r="G188" s="978">
        <v>60</v>
      </c>
      <c r="H188" s="978">
        <f t="shared" si="39"/>
        <v>40</v>
      </c>
      <c r="I188" s="978">
        <v>55</v>
      </c>
      <c r="J188" s="978">
        <v>55</v>
      </c>
      <c r="K188" s="208"/>
      <c r="L188" s="208"/>
      <c r="M188" s="208"/>
      <c r="N188" s="208"/>
      <c r="O188" s="208"/>
      <c r="P188" s="208"/>
      <c r="Q188" s="208"/>
      <c r="R188" s="208"/>
      <c r="S188" s="208"/>
      <c r="T188" s="208"/>
      <c r="U188" s="208"/>
      <c r="V188" s="208"/>
      <c r="W188" s="208"/>
      <c r="X188" s="208">
        <v>65</v>
      </c>
      <c r="Y188" s="714">
        <v>9</v>
      </c>
      <c r="Z188" s="135"/>
      <c r="AA188" s="394" t="str">
        <f t="shared" si="37"/>
        <v/>
      </c>
      <c r="AB188" s="248" t="str">
        <f t="shared" si="38"/>
        <v/>
      </c>
      <c r="AC188" s="135"/>
      <c r="AD188" s="135"/>
      <c r="AE188" s="135"/>
      <c r="AF188" s="135"/>
      <c r="AG188" s="135"/>
      <c r="AH188" s="135"/>
      <c r="AI188" s="135"/>
      <c r="AJ188" s="135"/>
      <c r="AK188" s="135"/>
      <c r="AL188" s="135"/>
      <c r="AM188" s="135"/>
      <c r="AN188" s="135"/>
      <c r="AO188" s="135"/>
      <c r="AP188" s="135"/>
      <c r="AQ188" s="135"/>
      <c r="AR188" s="135"/>
      <c r="AS188" s="135"/>
      <c r="AT188" s="135"/>
      <c r="AU188" s="135"/>
      <c r="AV188" s="135"/>
    </row>
    <row r="189" spans="1:48" s="57" customFormat="1" ht="10.35" customHeight="1" outlineLevel="1" thickBot="1">
      <c r="A189" s="135"/>
      <c r="B189" s="206">
        <f t="shared" si="36"/>
        <v>6</v>
      </c>
      <c r="C189" s="766" t="str">
        <f t="shared" si="35"/>
        <v>Short-run marginal costs of alternative heat production</v>
      </c>
      <c r="D189" s="979">
        <v>10</v>
      </c>
      <c r="E189" s="978">
        <v>65</v>
      </c>
      <c r="F189" s="978">
        <v>60</v>
      </c>
      <c r="G189" s="978">
        <v>60</v>
      </c>
      <c r="H189" s="978">
        <f t="shared" si="39"/>
        <v>40</v>
      </c>
      <c r="I189" s="978">
        <v>55</v>
      </c>
      <c r="J189" s="978">
        <v>55</v>
      </c>
      <c r="K189" s="208"/>
      <c r="L189" s="208"/>
      <c r="M189" s="208"/>
      <c r="N189" s="208"/>
      <c r="O189" s="208"/>
      <c r="P189" s="208"/>
      <c r="Q189" s="208"/>
      <c r="R189" s="208"/>
      <c r="S189" s="208"/>
      <c r="T189" s="208"/>
      <c r="U189" s="208"/>
      <c r="V189" s="208"/>
      <c r="W189" s="208"/>
      <c r="X189" s="208">
        <v>65</v>
      </c>
      <c r="Y189" s="714">
        <v>10</v>
      </c>
      <c r="Z189" s="135"/>
      <c r="AA189" s="394" t="str">
        <f t="shared" si="37"/>
        <v/>
      </c>
      <c r="AB189" s="248" t="str">
        <f t="shared" si="38"/>
        <v/>
      </c>
      <c r="AC189" s="135"/>
      <c r="AD189" s="135"/>
      <c r="AE189" s="135"/>
      <c r="AF189" s="135"/>
      <c r="AG189" s="135"/>
      <c r="AH189" s="135"/>
      <c r="AI189" s="135"/>
      <c r="AJ189" s="135"/>
      <c r="AK189" s="135"/>
      <c r="AL189" s="135"/>
      <c r="AM189" s="135"/>
      <c r="AN189" s="135"/>
      <c r="AO189" s="135"/>
      <c r="AP189" s="135"/>
      <c r="AQ189" s="135"/>
      <c r="AR189" s="135"/>
      <c r="AS189" s="135"/>
      <c r="AT189" s="135"/>
      <c r="AU189" s="135"/>
      <c r="AV189" s="135"/>
    </row>
    <row r="190" spans="1:48" s="57" customFormat="1" ht="10.35" customHeight="1" outlineLevel="1" thickBot="1">
      <c r="A190" s="135"/>
      <c r="B190" s="206">
        <f t="shared" si="36"/>
        <v>6</v>
      </c>
      <c r="C190" s="766" t="str">
        <f t="shared" si="35"/>
        <v>Short-run marginal costs of alternative heat production</v>
      </c>
      <c r="D190" s="979">
        <v>11</v>
      </c>
      <c r="E190" s="978">
        <v>65</v>
      </c>
      <c r="F190" s="978">
        <v>60</v>
      </c>
      <c r="G190" s="978">
        <v>60</v>
      </c>
      <c r="H190" s="978">
        <f t="shared" si="39"/>
        <v>40</v>
      </c>
      <c r="I190" s="978">
        <v>55</v>
      </c>
      <c r="J190" s="978">
        <v>55</v>
      </c>
      <c r="K190" s="208"/>
      <c r="L190" s="208"/>
      <c r="M190" s="208"/>
      <c r="N190" s="208"/>
      <c r="O190" s="208"/>
      <c r="P190" s="208"/>
      <c r="Q190" s="208"/>
      <c r="R190" s="208"/>
      <c r="S190" s="208"/>
      <c r="T190" s="208"/>
      <c r="U190" s="208"/>
      <c r="V190" s="208"/>
      <c r="W190" s="208"/>
      <c r="X190" s="208">
        <v>65</v>
      </c>
      <c r="Y190" s="714">
        <v>11</v>
      </c>
      <c r="Z190" s="135"/>
      <c r="AA190" s="394" t="str">
        <f t="shared" si="37"/>
        <v/>
      </c>
      <c r="AB190" s="248" t="str">
        <f t="shared" si="38"/>
        <v/>
      </c>
      <c r="AC190" s="135"/>
      <c r="AD190" s="135"/>
      <c r="AE190" s="135"/>
      <c r="AF190" s="135"/>
      <c r="AG190" s="135"/>
      <c r="AH190" s="135"/>
      <c r="AI190" s="135"/>
      <c r="AJ190" s="135"/>
      <c r="AK190" s="135"/>
      <c r="AL190" s="135"/>
      <c r="AM190" s="135"/>
      <c r="AN190" s="135"/>
      <c r="AO190" s="135"/>
      <c r="AP190" s="135"/>
      <c r="AQ190" s="135"/>
      <c r="AR190" s="135"/>
      <c r="AS190" s="135"/>
      <c r="AT190" s="135"/>
      <c r="AU190" s="135"/>
      <c r="AV190" s="135"/>
    </row>
    <row r="191" spans="1:48" s="57" customFormat="1" ht="10.35" customHeight="1" outlineLevel="1" thickBot="1">
      <c r="A191" s="135"/>
      <c r="B191" s="206">
        <f t="shared" si="36"/>
        <v>6</v>
      </c>
      <c r="C191" s="766" t="str">
        <f t="shared" si="35"/>
        <v>Short-run marginal costs of alternative heat production</v>
      </c>
      <c r="D191" s="979">
        <v>12</v>
      </c>
      <c r="E191" s="978">
        <v>65</v>
      </c>
      <c r="F191" s="978">
        <v>60</v>
      </c>
      <c r="G191" s="978">
        <v>60</v>
      </c>
      <c r="H191" s="978">
        <f t="shared" si="39"/>
        <v>40</v>
      </c>
      <c r="I191" s="978">
        <v>55</v>
      </c>
      <c r="J191" s="978">
        <v>55</v>
      </c>
      <c r="K191" s="208"/>
      <c r="L191" s="208"/>
      <c r="M191" s="208"/>
      <c r="N191" s="208"/>
      <c r="O191" s="208"/>
      <c r="P191" s="208"/>
      <c r="Q191" s="208"/>
      <c r="R191" s="208"/>
      <c r="S191" s="208"/>
      <c r="T191" s="208"/>
      <c r="U191" s="208"/>
      <c r="V191" s="208"/>
      <c r="W191" s="208"/>
      <c r="X191" s="208">
        <v>65</v>
      </c>
      <c r="Y191" s="714">
        <v>12</v>
      </c>
      <c r="Z191" s="135"/>
      <c r="AA191" s="394" t="str">
        <f t="shared" si="37"/>
        <v/>
      </c>
      <c r="AB191" s="248" t="str">
        <f t="shared" si="38"/>
        <v/>
      </c>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row>
    <row r="192" spans="1:48" s="57" customFormat="1" ht="10.35" customHeight="1" outlineLevel="1" thickBot="1">
      <c r="A192" s="135"/>
      <c r="B192" s="206">
        <f t="shared" si="36"/>
        <v>6</v>
      </c>
      <c r="C192" s="766" t="str">
        <f t="shared" si="35"/>
        <v>Short-run marginal costs of alternative heat production</v>
      </c>
      <c r="D192" s="979">
        <v>13</v>
      </c>
      <c r="E192" s="978">
        <v>65</v>
      </c>
      <c r="F192" s="978">
        <v>60</v>
      </c>
      <c r="G192" s="978">
        <v>60</v>
      </c>
      <c r="H192" s="978">
        <f t="shared" si="39"/>
        <v>40</v>
      </c>
      <c r="I192" s="978">
        <v>55</v>
      </c>
      <c r="J192" s="978">
        <v>55</v>
      </c>
      <c r="K192" s="208"/>
      <c r="L192" s="208"/>
      <c r="M192" s="208"/>
      <c r="N192" s="208"/>
      <c r="O192" s="208"/>
      <c r="P192" s="208"/>
      <c r="Q192" s="208"/>
      <c r="R192" s="208"/>
      <c r="S192" s="208"/>
      <c r="T192" s="208"/>
      <c r="U192" s="208"/>
      <c r="V192" s="208"/>
      <c r="W192" s="208"/>
      <c r="X192" s="208">
        <v>65</v>
      </c>
      <c r="Y192" s="714">
        <v>13</v>
      </c>
      <c r="Z192" s="135"/>
      <c r="AA192" s="394" t="str">
        <f t="shared" si="37"/>
        <v/>
      </c>
      <c r="AB192" s="248" t="str">
        <f t="shared" si="38"/>
        <v/>
      </c>
      <c r="AC192" s="135"/>
      <c r="AD192" s="135"/>
      <c r="AE192" s="135"/>
      <c r="AF192" s="135"/>
      <c r="AG192" s="135"/>
      <c r="AH192" s="135"/>
      <c r="AI192" s="135"/>
      <c r="AJ192" s="135"/>
      <c r="AK192" s="135"/>
      <c r="AL192" s="135"/>
      <c r="AM192" s="135"/>
      <c r="AN192" s="135"/>
      <c r="AO192" s="135"/>
      <c r="AP192" s="135"/>
      <c r="AQ192" s="135"/>
      <c r="AR192" s="135"/>
      <c r="AS192" s="135"/>
      <c r="AT192" s="135"/>
      <c r="AU192" s="135"/>
      <c r="AV192" s="135"/>
    </row>
    <row r="193" spans="1:48" s="57" customFormat="1" ht="10.35" customHeight="1" outlineLevel="1" thickBot="1">
      <c r="A193" s="135"/>
      <c r="B193" s="206">
        <f t="shared" si="36"/>
        <v>6</v>
      </c>
      <c r="C193" s="766" t="str">
        <f t="shared" si="35"/>
        <v>Short-run marginal costs of alternative heat production</v>
      </c>
      <c r="D193" s="979">
        <v>14</v>
      </c>
      <c r="E193" s="978">
        <v>65</v>
      </c>
      <c r="F193" s="978">
        <v>60</v>
      </c>
      <c r="G193" s="978">
        <v>60</v>
      </c>
      <c r="H193" s="978">
        <f t="shared" si="39"/>
        <v>40</v>
      </c>
      <c r="I193" s="978">
        <v>55</v>
      </c>
      <c r="J193" s="978">
        <v>55</v>
      </c>
      <c r="K193" s="208"/>
      <c r="L193" s="208"/>
      <c r="M193" s="208"/>
      <c r="N193" s="208"/>
      <c r="O193" s="208"/>
      <c r="P193" s="208"/>
      <c r="Q193" s="208"/>
      <c r="R193" s="208"/>
      <c r="S193" s="208"/>
      <c r="T193" s="208"/>
      <c r="U193" s="208"/>
      <c r="V193" s="208"/>
      <c r="W193" s="208"/>
      <c r="X193" s="208">
        <v>65</v>
      </c>
      <c r="Y193" s="714">
        <v>14</v>
      </c>
      <c r="Z193" s="135"/>
      <c r="AA193" s="394" t="str">
        <f t="shared" si="37"/>
        <v/>
      </c>
      <c r="AB193" s="248" t="str">
        <f t="shared" si="38"/>
        <v/>
      </c>
      <c r="AC193" s="135"/>
      <c r="AD193" s="135"/>
      <c r="AE193" s="135"/>
      <c r="AF193" s="135"/>
      <c r="AG193" s="135"/>
      <c r="AH193" s="135"/>
      <c r="AI193" s="135"/>
      <c r="AJ193" s="135"/>
      <c r="AK193" s="135"/>
      <c r="AL193" s="135"/>
      <c r="AM193" s="135"/>
      <c r="AN193" s="135"/>
      <c r="AO193" s="135"/>
      <c r="AP193" s="135"/>
      <c r="AQ193" s="135"/>
      <c r="AR193" s="135"/>
      <c r="AS193" s="135"/>
      <c r="AT193" s="135"/>
      <c r="AU193" s="135"/>
      <c r="AV193" s="135"/>
    </row>
    <row r="194" spans="1:48" s="57" customFormat="1" ht="10.35" customHeight="1" outlineLevel="1" thickBot="1">
      <c r="A194" s="135"/>
      <c r="B194" s="206">
        <f t="shared" si="36"/>
        <v>6</v>
      </c>
      <c r="C194" s="766" t="str">
        <f t="shared" si="35"/>
        <v>Short-run marginal costs of alternative heat production</v>
      </c>
      <c r="D194" s="979">
        <v>15</v>
      </c>
      <c r="E194" s="978">
        <v>65</v>
      </c>
      <c r="F194" s="978">
        <v>60</v>
      </c>
      <c r="G194" s="978">
        <v>60</v>
      </c>
      <c r="H194" s="978">
        <f t="shared" si="39"/>
        <v>40</v>
      </c>
      <c r="I194" s="978">
        <v>55</v>
      </c>
      <c r="J194" s="978">
        <v>55</v>
      </c>
      <c r="K194" s="208"/>
      <c r="L194" s="208"/>
      <c r="M194" s="208"/>
      <c r="N194" s="208"/>
      <c r="O194" s="208"/>
      <c r="P194" s="208"/>
      <c r="Q194" s="208"/>
      <c r="R194" s="208"/>
      <c r="S194" s="208"/>
      <c r="T194" s="208"/>
      <c r="U194" s="208"/>
      <c r="V194" s="208"/>
      <c r="W194" s="208"/>
      <c r="X194" s="208">
        <v>65</v>
      </c>
      <c r="Y194" s="714">
        <v>15</v>
      </c>
      <c r="Z194" s="135"/>
      <c r="AA194" s="394" t="str">
        <f t="shared" si="37"/>
        <v/>
      </c>
      <c r="AB194" s="248" t="str">
        <f t="shared" si="38"/>
        <v/>
      </c>
      <c r="AC194" s="135"/>
      <c r="AD194" s="135"/>
      <c r="AE194" s="135"/>
      <c r="AF194" s="135"/>
      <c r="AG194" s="135"/>
      <c r="AH194" s="135"/>
      <c r="AI194" s="135"/>
      <c r="AJ194" s="135"/>
      <c r="AK194" s="135"/>
      <c r="AL194" s="135"/>
      <c r="AM194" s="135"/>
      <c r="AN194" s="135"/>
      <c r="AO194" s="135"/>
      <c r="AP194" s="135"/>
      <c r="AQ194" s="135"/>
      <c r="AR194" s="135"/>
      <c r="AS194" s="135"/>
      <c r="AT194" s="135"/>
      <c r="AU194" s="135"/>
      <c r="AV194" s="135"/>
    </row>
    <row r="195" spans="1:48" s="57" customFormat="1" ht="10.35" customHeight="1" outlineLevel="1" thickBot="1">
      <c r="A195" s="135"/>
      <c r="B195" s="206">
        <f t="shared" si="36"/>
        <v>6</v>
      </c>
      <c r="C195" s="766" t="str">
        <f t="shared" si="35"/>
        <v>Short-run marginal costs of alternative heat production</v>
      </c>
      <c r="D195" s="979">
        <v>16</v>
      </c>
      <c r="E195" s="978">
        <v>65</v>
      </c>
      <c r="F195" s="978">
        <v>60</v>
      </c>
      <c r="G195" s="978">
        <v>60</v>
      </c>
      <c r="H195" s="978">
        <f t="shared" si="39"/>
        <v>40</v>
      </c>
      <c r="I195" s="978">
        <v>55</v>
      </c>
      <c r="J195" s="978">
        <v>55</v>
      </c>
      <c r="K195" s="208"/>
      <c r="L195" s="208"/>
      <c r="M195" s="208"/>
      <c r="N195" s="208"/>
      <c r="O195" s="208"/>
      <c r="P195" s="208"/>
      <c r="Q195" s="208"/>
      <c r="R195" s="208"/>
      <c r="S195" s="208"/>
      <c r="T195" s="208"/>
      <c r="U195" s="208"/>
      <c r="V195" s="208"/>
      <c r="W195" s="208"/>
      <c r="X195" s="208">
        <v>65</v>
      </c>
      <c r="Y195" s="714">
        <v>16</v>
      </c>
      <c r="Z195" s="135"/>
      <c r="AA195" s="394" t="str">
        <f t="shared" si="37"/>
        <v/>
      </c>
      <c r="AB195" s="248" t="str">
        <f t="shared" si="38"/>
        <v/>
      </c>
      <c r="AC195" s="135"/>
      <c r="AD195" s="135"/>
      <c r="AE195" s="135"/>
      <c r="AF195" s="135"/>
      <c r="AG195" s="135"/>
      <c r="AH195" s="135"/>
      <c r="AI195" s="135"/>
      <c r="AJ195" s="135"/>
      <c r="AK195" s="135"/>
      <c r="AL195" s="135"/>
      <c r="AM195" s="135"/>
      <c r="AN195" s="135"/>
      <c r="AO195" s="135"/>
      <c r="AP195" s="135"/>
      <c r="AQ195" s="135"/>
      <c r="AR195" s="135"/>
      <c r="AS195" s="135"/>
      <c r="AT195" s="135"/>
      <c r="AU195" s="135"/>
      <c r="AV195" s="135"/>
    </row>
    <row r="196" spans="1:48" s="57" customFormat="1" ht="10.35" customHeight="1" outlineLevel="1" thickBot="1">
      <c r="A196" s="135"/>
      <c r="B196" s="206">
        <f t="shared" si="36"/>
        <v>6</v>
      </c>
      <c r="C196" s="766" t="str">
        <f t="shared" si="35"/>
        <v>Short-run marginal costs of alternative heat production</v>
      </c>
      <c r="D196" s="979">
        <v>17</v>
      </c>
      <c r="E196" s="978">
        <v>65</v>
      </c>
      <c r="F196" s="978">
        <v>60</v>
      </c>
      <c r="G196" s="978">
        <v>60</v>
      </c>
      <c r="H196" s="978">
        <f t="shared" si="39"/>
        <v>40</v>
      </c>
      <c r="I196" s="978">
        <v>55</v>
      </c>
      <c r="J196" s="978">
        <v>55</v>
      </c>
      <c r="K196" s="208"/>
      <c r="L196" s="208"/>
      <c r="M196" s="208"/>
      <c r="N196" s="208"/>
      <c r="O196" s="208"/>
      <c r="P196" s="208"/>
      <c r="Q196" s="208"/>
      <c r="R196" s="208"/>
      <c r="S196" s="208"/>
      <c r="T196" s="208"/>
      <c r="U196" s="208"/>
      <c r="V196" s="208"/>
      <c r="W196" s="208"/>
      <c r="X196" s="208">
        <v>65</v>
      </c>
      <c r="Y196" s="714">
        <v>17</v>
      </c>
      <c r="Z196" s="135"/>
      <c r="AA196" s="394" t="str">
        <f t="shared" si="37"/>
        <v/>
      </c>
      <c r="AB196" s="248" t="str">
        <f t="shared" si="38"/>
        <v/>
      </c>
      <c r="AC196" s="135"/>
      <c r="AD196" s="135"/>
      <c r="AE196" s="135"/>
      <c r="AF196" s="135"/>
      <c r="AG196" s="135"/>
      <c r="AH196" s="135"/>
      <c r="AI196" s="135"/>
      <c r="AJ196" s="135"/>
      <c r="AK196" s="135"/>
      <c r="AL196" s="135"/>
      <c r="AM196" s="135"/>
      <c r="AN196" s="135"/>
      <c r="AO196" s="135"/>
      <c r="AP196" s="135"/>
      <c r="AQ196" s="135"/>
      <c r="AR196" s="135"/>
      <c r="AS196" s="135"/>
      <c r="AT196" s="135"/>
      <c r="AU196" s="135"/>
      <c r="AV196" s="135"/>
    </row>
    <row r="197" spans="1:48" s="57" customFormat="1" ht="10.35" customHeight="1" outlineLevel="1" thickBot="1">
      <c r="A197" s="135"/>
      <c r="B197" s="206">
        <f t="shared" si="36"/>
        <v>6</v>
      </c>
      <c r="C197" s="766" t="str">
        <f t="shared" si="35"/>
        <v>Short-run marginal costs of alternative heat production</v>
      </c>
      <c r="D197" s="979">
        <v>18</v>
      </c>
      <c r="E197" s="978">
        <v>65</v>
      </c>
      <c r="F197" s="978">
        <v>60</v>
      </c>
      <c r="G197" s="978">
        <v>60</v>
      </c>
      <c r="H197" s="978">
        <f t="shared" si="39"/>
        <v>40</v>
      </c>
      <c r="I197" s="978">
        <v>55</v>
      </c>
      <c r="J197" s="978">
        <v>55</v>
      </c>
      <c r="K197" s="208"/>
      <c r="L197" s="208"/>
      <c r="M197" s="208"/>
      <c r="N197" s="208"/>
      <c r="O197" s="208"/>
      <c r="P197" s="208"/>
      <c r="Q197" s="208"/>
      <c r="R197" s="208"/>
      <c r="S197" s="208"/>
      <c r="T197" s="208"/>
      <c r="U197" s="208"/>
      <c r="V197" s="208"/>
      <c r="W197" s="208"/>
      <c r="X197" s="208">
        <v>65</v>
      </c>
      <c r="Y197" s="714">
        <v>18</v>
      </c>
      <c r="Z197" s="135"/>
      <c r="AA197" s="394" t="str">
        <f t="shared" si="37"/>
        <v/>
      </c>
      <c r="AB197" s="248" t="str">
        <f t="shared" si="38"/>
        <v/>
      </c>
      <c r="AC197" s="135"/>
      <c r="AD197" s="135"/>
      <c r="AE197" s="135"/>
      <c r="AF197" s="135"/>
      <c r="AG197" s="135"/>
      <c r="AH197" s="135"/>
      <c r="AI197" s="135"/>
      <c r="AJ197" s="135"/>
      <c r="AK197" s="135"/>
      <c r="AL197" s="135"/>
      <c r="AM197" s="135"/>
      <c r="AN197" s="135"/>
      <c r="AO197" s="135"/>
      <c r="AP197" s="135"/>
      <c r="AQ197" s="135"/>
      <c r="AR197" s="135"/>
      <c r="AS197" s="135"/>
      <c r="AT197" s="135"/>
      <c r="AU197" s="135"/>
      <c r="AV197" s="135"/>
    </row>
    <row r="198" spans="1:48" s="57" customFormat="1" ht="10.35" customHeight="1" outlineLevel="1" thickBot="1">
      <c r="A198" s="135"/>
      <c r="B198" s="206">
        <f t="shared" si="36"/>
        <v>6</v>
      </c>
      <c r="C198" s="766" t="str">
        <f t="shared" si="35"/>
        <v>Short-run marginal costs of alternative heat production</v>
      </c>
      <c r="D198" s="979">
        <v>19</v>
      </c>
      <c r="E198" s="978">
        <v>65</v>
      </c>
      <c r="F198" s="978">
        <v>60</v>
      </c>
      <c r="G198" s="978">
        <v>60</v>
      </c>
      <c r="H198" s="978">
        <f t="shared" si="39"/>
        <v>40</v>
      </c>
      <c r="I198" s="978">
        <v>55</v>
      </c>
      <c r="J198" s="978">
        <v>55</v>
      </c>
      <c r="K198" s="208"/>
      <c r="L198" s="208"/>
      <c r="M198" s="208"/>
      <c r="N198" s="208"/>
      <c r="O198" s="208"/>
      <c r="P198" s="208"/>
      <c r="Q198" s="208"/>
      <c r="R198" s="208"/>
      <c r="S198" s="208"/>
      <c r="T198" s="208"/>
      <c r="U198" s="208"/>
      <c r="V198" s="208"/>
      <c r="W198" s="208"/>
      <c r="X198" s="208">
        <v>65</v>
      </c>
      <c r="Y198" s="714">
        <v>19</v>
      </c>
      <c r="Z198" s="135"/>
      <c r="AA198" s="394" t="str">
        <f t="shared" si="37"/>
        <v/>
      </c>
      <c r="AB198" s="248" t="str">
        <f t="shared" si="38"/>
        <v/>
      </c>
      <c r="AC198" s="135"/>
      <c r="AD198" s="135"/>
      <c r="AE198" s="135"/>
      <c r="AF198" s="135"/>
      <c r="AG198" s="135"/>
      <c r="AH198" s="135"/>
      <c r="AI198" s="135"/>
      <c r="AJ198" s="135"/>
      <c r="AK198" s="135"/>
      <c r="AL198" s="135"/>
      <c r="AM198" s="135"/>
      <c r="AN198" s="135"/>
      <c r="AO198" s="135"/>
      <c r="AP198" s="135"/>
      <c r="AQ198" s="135"/>
      <c r="AR198" s="135"/>
      <c r="AS198" s="135"/>
      <c r="AT198" s="135"/>
      <c r="AU198" s="135"/>
      <c r="AV198" s="135"/>
    </row>
    <row r="199" spans="1:48" s="57" customFormat="1" ht="10.35" customHeight="1" outlineLevel="1" thickBot="1">
      <c r="A199" s="135"/>
      <c r="B199" s="206">
        <f t="shared" si="36"/>
        <v>6</v>
      </c>
      <c r="C199" s="766" t="str">
        <f t="shared" si="35"/>
        <v>Short-run marginal costs of alternative heat production</v>
      </c>
      <c r="D199" s="979">
        <v>20</v>
      </c>
      <c r="E199" s="978">
        <v>65</v>
      </c>
      <c r="F199" s="978">
        <v>60</v>
      </c>
      <c r="G199" s="978">
        <v>60</v>
      </c>
      <c r="H199" s="978">
        <f t="shared" si="39"/>
        <v>40</v>
      </c>
      <c r="I199" s="978">
        <v>55</v>
      </c>
      <c r="J199" s="978">
        <v>55</v>
      </c>
      <c r="K199" s="208"/>
      <c r="L199" s="208"/>
      <c r="M199" s="208"/>
      <c r="N199" s="208"/>
      <c r="O199" s="208"/>
      <c r="P199" s="208"/>
      <c r="Q199" s="208"/>
      <c r="R199" s="208"/>
      <c r="S199" s="208"/>
      <c r="T199" s="208"/>
      <c r="U199" s="208"/>
      <c r="V199" s="208"/>
      <c r="W199" s="208"/>
      <c r="X199" s="208">
        <v>65</v>
      </c>
      <c r="Y199" s="714">
        <v>20</v>
      </c>
      <c r="Z199" s="135"/>
      <c r="AA199" s="394" t="str">
        <f t="shared" si="37"/>
        <v/>
      </c>
      <c r="AB199" s="248" t="str">
        <f t="shared" si="38"/>
        <v/>
      </c>
      <c r="AC199" s="135"/>
      <c r="AD199" s="135"/>
      <c r="AE199" s="135"/>
      <c r="AF199" s="135"/>
      <c r="AG199" s="135"/>
      <c r="AH199" s="135"/>
      <c r="AI199" s="135"/>
      <c r="AJ199" s="135"/>
      <c r="AK199" s="135"/>
      <c r="AL199" s="135"/>
      <c r="AM199" s="135"/>
      <c r="AN199" s="135"/>
      <c r="AO199" s="135"/>
      <c r="AP199" s="135"/>
      <c r="AQ199" s="135"/>
      <c r="AR199" s="135"/>
      <c r="AS199" s="135"/>
      <c r="AT199" s="135"/>
      <c r="AU199" s="135"/>
      <c r="AV199" s="135"/>
    </row>
    <row r="200" spans="1:48" s="57" customFormat="1" ht="10.35" customHeight="1" outlineLevel="1" thickBot="1">
      <c r="A200" s="135"/>
      <c r="B200" s="206">
        <f t="shared" si="36"/>
        <v>6</v>
      </c>
      <c r="C200" s="766" t="str">
        <f t="shared" si="35"/>
        <v>Short-run marginal costs of alternative heat production</v>
      </c>
      <c r="D200" s="979">
        <v>21</v>
      </c>
      <c r="E200" s="978">
        <v>65</v>
      </c>
      <c r="F200" s="978">
        <v>60</v>
      </c>
      <c r="G200" s="978">
        <v>60</v>
      </c>
      <c r="H200" s="978">
        <f t="shared" si="39"/>
        <v>40</v>
      </c>
      <c r="I200" s="978">
        <v>55</v>
      </c>
      <c r="J200" s="978">
        <v>55</v>
      </c>
      <c r="K200" s="208"/>
      <c r="L200" s="208"/>
      <c r="M200" s="208"/>
      <c r="N200" s="208"/>
      <c r="O200" s="208"/>
      <c r="P200" s="208"/>
      <c r="Q200" s="208"/>
      <c r="R200" s="208"/>
      <c r="S200" s="208"/>
      <c r="T200" s="208"/>
      <c r="U200" s="208"/>
      <c r="V200" s="208"/>
      <c r="W200" s="208"/>
      <c r="X200" s="208">
        <v>65</v>
      </c>
      <c r="Y200" s="714">
        <v>21</v>
      </c>
      <c r="Z200" s="135"/>
      <c r="AA200" s="394" t="str">
        <f t="shared" si="37"/>
        <v/>
      </c>
      <c r="AB200" s="248" t="str">
        <f t="shared" si="38"/>
        <v/>
      </c>
      <c r="AC200" s="135"/>
      <c r="AD200" s="135"/>
      <c r="AE200" s="135"/>
      <c r="AF200" s="135"/>
      <c r="AG200" s="135"/>
      <c r="AH200" s="135"/>
      <c r="AI200" s="135"/>
      <c r="AJ200" s="135"/>
      <c r="AK200" s="135"/>
      <c r="AL200" s="135"/>
      <c r="AM200" s="135"/>
      <c r="AN200" s="135"/>
      <c r="AO200" s="135"/>
      <c r="AP200" s="135"/>
      <c r="AQ200" s="135"/>
      <c r="AR200" s="135"/>
      <c r="AS200" s="135"/>
      <c r="AT200" s="135"/>
      <c r="AU200" s="135"/>
      <c r="AV200" s="135"/>
    </row>
    <row r="201" spans="1:48" s="57" customFormat="1" ht="10.35" customHeight="1" outlineLevel="1" thickBot="1">
      <c r="A201" s="135"/>
      <c r="B201" s="206">
        <f t="shared" si="36"/>
        <v>6</v>
      </c>
      <c r="C201" s="766" t="str">
        <f t="shared" si="35"/>
        <v>Short-run marginal costs of alternative heat production</v>
      </c>
      <c r="D201" s="979">
        <v>22</v>
      </c>
      <c r="E201" s="978">
        <v>65</v>
      </c>
      <c r="F201" s="978">
        <v>60</v>
      </c>
      <c r="G201" s="978">
        <v>60</v>
      </c>
      <c r="H201" s="978">
        <f t="shared" si="39"/>
        <v>40</v>
      </c>
      <c r="I201" s="978">
        <v>55</v>
      </c>
      <c r="J201" s="978">
        <v>55</v>
      </c>
      <c r="K201" s="208"/>
      <c r="L201" s="208"/>
      <c r="M201" s="208"/>
      <c r="N201" s="208"/>
      <c r="O201" s="208"/>
      <c r="P201" s="208"/>
      <c r="Q201" s="208"/>
      <c r="R201" s="208"/>
      <c r="S201" s="208"/>
      <c r="T201" s="208"/>
      <c r="U201" s="208"/>
      <c r="V201" s="208"/>
      <c r="W201" s="208"/>
      <c r="X201" s="208">
        <v>65</v>
      </c>
      <c r="Y201" s="714">
        <v>22</v>
      </c>
      <c r="Z201" s="135"/>
      <c r="AA201" s="394" t="str">
        <f t="shared" si="37"/>
        <v/>
      </c>
      <c r="AB201" s="248" t="str">
        <f t="shared" si="38"/>
        <v/>
      </c>
      <c r="AC201" s="135"/>
      <c r="AD201" s="135"/>
      <c r="AE201" s="135"/>
      <c r="AF201" s="135"/>
      <c r="AG201" s="135"/>
      <c r="AH201" s="135"/>
      <c r="AI201" s="135"/>
      <c r="AJ201" s="135"/>
      <c r="AK201" s="135"/>
      <c r="AL201" s="135"/>
      <c r="AM201" s="135"/>
      <c r="AN201" s="135"/>
      <c r="AO201" s="135"/>
      <c r="AP201" s="135"/>
      <c r="AQ201" s="135"/>
      <c r="AR201" s="135"/>
      <c r="AS201" s="135"/>
      <c r="AT201" s="135"/>
      <c r="AU201" s="135"/>
      <c r="AV201" s="135"/>
    </row>
    <row r="202" spans="1:48" s="57" customFormat="1" ht="10.35" customHeight="1" outlineLevel="1" thickBot="1">
      <c r="A202" s="135"/>
      <c r="B202" s="206">
        <f t="shared" si="36"/>
        <v>6</v>
      </c>
      <c r="C202" s="766" t="str">
        <f t="shared" si="35"/>
        <v>Short-run marginal costs of alternative heat production</v>
      </c>
      <c r="D202" s="979">
        <v>23</v>
      </c>
      <c r="E202" s="978">
        <v>65</v>
      </c>
      <c r="F202" s="978">
        <v>60</v>
      </c>
      <c r="G202" s="978">
        <v>60</v>
      </c>
      <c r="H202" s="978">
        <f t="shared" si="39"/>
        <v>40</v>
      </c>
      <c r="I202" s="978">
        <v>55</v>
      </c>
      <c r="J202" s="978">
        <v>55</v>
      </c>
      <c r="K202" s="208"/>
      <c r="L202" s="208"/>
      <c r="M202" s="208"/>
      <c r="N202" s="208"/>
      <c r="O202" s="208"/>
      <c r="P202" s="208"/>
      <c r="Q202" s="208"/>
      <c r="R202" s="208"/>
      <c r="S202" s="208"/>
      <c r="T202" s="208"/>
      <c r="U202" s="208"/>
      <c r="V202" s="208"/>
      <c r="W202" s="208"/>
      <c r="X202" s="208">
        <v>65</v>
      </c>
      <c r="Y202" s="714">
        <v>23</v>
      </c>
      <c r="Z202" s="135"/>
      <c r="AA202" s="394" t="str">
        <f t="shared" si="37"/>
        <v/>
      </c>
      <c r="AB202" s="248" t="str">
        <f t="shared" si="38"/>
        <v/>
      </c>
      <c r="AC202" s="135"/>
      <c r="AD202" s="135"/>
      <c r="AE202" s="135"/>
      <c r="AF202" s="135"/>
      <c r="AG202" s="135"/>
      <c r="AH202" s="135"/>
      <c r="AI202" s="135"/>
      <c r="AJ202" s="135"/>
      <c r="AK202" s="135"/>
      <c r="AL202" s="135"/>
      <c r="AM202" s="135"/>
      <c r="AN202" s="135"/>
      <c r="AO202" s="135"/>
      <c r="AP202" s="135"/>
      <c r="AQ202" s="135"/>
      <c r="AR202" s="135"/>
      <c r="AS202" s="135"/>
      <c r="AT202" s="135"/>
      <c r="AU202" s="135"/>
      <c r="AV202" s="135"/>
    </row>
    <row r="203" spans="1:48" s="57" customFormat="1" ht="10.35" customHeight="1" outlineLevel="1" thickBot="1">
      <c r="A203" s="135"/>
      <c r="B203" s="206">
        <f t="shared" si="36"/>
        <v>6</v>
      </c>
      <c r="C203" s="970" t="str">
        <f t="shared" si="35"/>
        <v>Short-run marginal costs of alternative heat production</v>
      </c>
      <c r="D203" s="981">
        <v>24</v>
      </c>
      <c r="E203" s="995">
        <v>65</v>
      </c>
      <c r="F203" s="995">
        <v>60</v>
      </c>
      <c r="G203" s="995">
        <v>60</v>
      </c>
      <c r="H203" s="978">
        <f t="shared" si="39"/>
        <v>40</v>
      </c>
      <c r="I203" s="995">
        <v>55</v>
      </c>
      <c r="J203" s="995">
        <v>55</v>
      </c>
      <c r="K203" s="208"/>
      <c r="L203" s="208"/>
      <c r="M203" s="208"/>
      <c r="N203" s="208"/>
      <c r="O203" s="208"/>
      <c r="P203" s="208"/>
      <c r="Q203" s="208"/>
      <c r="R203" s="208"/>
      <c r="S203" s="208"/>
      <c r="T203" s="208"/>
      <c r="U203" s="208"/>
      <c r="V203" s="208"/>
      <c r="W203" s="208"/>
      <c r="X203" s="208">
        <v>65</v>
      </c>
      <c r="Y203" s="948">
        <v>24</v>
      </c>
      <c r="Z203" s="135"/>
      <c r="AA203" s="394" t="str">
        <f t="shared" si="37"/>
        <v/>
      </c>
      <c r="AB203" s="248" t="str">
        <f t="shared" si="38"/>
        <v/>
      </c>
      <c r="AC203" s="135"/>
      <c r="AD203" s="135"/>
      <c r="AE203" s="135"/>
      <c r="AF203" s="135"/>
      <c r="AG203" s="135"/>
      <c r="AH203" s="135"/>
      <c r="AI203" s="135"/>
      <c r="AJ203" s="135"/>
      <c r="AK203" s="135"/>
      <c r="AL203" s="135"/>
      <c r="AM203" s="135"/>
      <c r="AN203" s="135"/>
      <c r="AO203" s="135"/>
      <c r="AP203" s="135"/>
      <c r="AQ203" s="135"/>
      <c r="AR203" s="135"/>
      <c r="AS203" s="135"/>
      <c r="AT203" s="135"/>
      <c r="AU203" s="135"/>
      <c r="AV203" s="135"/>
    </row>
    <row r="204" spans="1:48" s="57" customFormat="1" ht="12" thickBot="1">
      <c r="A204" s="135"/>
      <c r="B204" s="206">
        <f t="shared" si="36"/>
        <v>6</v>
      </c>
      <c r="C204" s="994"/>
      <c r="D204" s="723" t="s">
        <v>349</v>
      </c>
      <c r="E204" s="213">
        <f t="shared" ref="E204:X204" si="40">SUM(E180:E203)/24</f>
        <v>65</v>
      </c>
      <c r="F204" s="213">
        <f t="shared" si="40"/>
        <v>60</v>
      </c>
      <c r="G204" s="213">
        <f t="shared" si="40"/>
        <v>60</v>
      </c>
      <c r="H204" s="213">
        <f t="shared" si="40"/>
        <v>40</v>
      </c>
      <c r="I204" s="213">
        <f t="shared" si="40"/>
        <v>55</v>
      </c>
      <c r="J204" s="996">
        <f t="shared" si="40"/>
        <v>55</v>
      </c>
      <c r="K204" s="213">
        <f t="shared" si="40"/>
        <v>0</v>
      </c>
      <c r="L204" s="213">
        <f t="shared" si="40"/>
        <v>0</v>
      </c>
      <c r="M204" s="213">
        <f t="shared" si="40"/>
        <v>0</v>
      </c>
      <c r="N204" s="213">
        <f t="shared" si="40"/>
        <v>0</v>
      </c>
      <c r="O204" s="213">
        <f t="shared" si="40"/>
        <v>0</v>
      </c>
      <c r="P204" s="213">
        <f t="shared" si="40"/>
        <v>0</v>
      </c>
      <c r="Q204" s="213">
        <f t="shared" si="40"/>
        <v>0</v>
      </c>
      <c r="R204" s="213">
        <f t="shared" si="40"/>
        <v>0</v>
      </c>
      <c r="S204" s="213">
        <f t="shared" si="40"/>
        <v>0</v>
      </c>
      <c r="T204" s="213">
        <f t="shared" si="40"/>
        <v>0</v>
      </c>
      <c r="U204" s="213">
        <f t="shared" si="40"/>
        <v>0</v>
      </c>
      <c r="V204" s="213">
        <f t="shared" si="40"/>
        <v>0</v>
      </c>
      <c r="W204" s="213">
        <f t="shared" si="40"/>
        <v>0</v>
      </c>
      <c r="X204" s="213">
        <f t="shared" si="40"/>
        <v>65</v>
      </c>
      <c r="Y204" s="723" t="s">
        <v>349</v>
      </c>
      <c r="Z204" s="135"/>
      <c r="AA204" s="135"/>
      <c r="AB204" s="135"/>
      <c r="AC204" s="135"/>
      <c r="AD204" s="135"/>
      <c r="AE204" s="135"/>
      <c r="AF204" s="135"/>
      <c r="AG204" s="135"/>
      <c r="AH204" s="135"/>
      <c r="AI204" s="135"/>
      <c r="AJ204" s="135"/>
      <c r="AK204" s="135"/>
      <c r="AL204" s="135"/>
      <c r="AM204" s="135"/>
      <c r="AN204" s="135"/>
      <c r="AO204" s="135"/>
      <c r="AP204" s="135"/>
      <c r="AQ204" s="135"/>
      <c r="AR204" s="135"/>
      <c r="AS204" s="135"/>
      <c r="AT204" s="135"/>
      <c r="AU204" s="135"/>
      <c r="AV204" s="135"/>
    </row>
    <row r="205" spans="1:48" s="57" customFormat="1" ht="11.25">
      <c r="A205" s="135"/>
      <c r="B205" s="206">
        <f t="shared" si="36"/>
        <v>6</v>
      </c>
      <c r="E205" s="8"/>
      <c r="F205" s="8"/>
      <c r="G205" s="8"/>
      <c r="H205" s="8"/>
      <c r="I205" s="8"/>
      <c r="J205" s="8"/>
      <c r="K205" s="645"/>
      <c r="L205" s="645"/>
      <c r="M205" s="645"/>
      <c r="N205" s="645"/>
      <c r="O205" s="645"/>
      <c r="P205" s="645"/>
      <c r="Q205" s="645"/>
      <c r="R205" s="645"/>
      <c r="S205" s="645"/>
      <c r="T205" s="645"/>
      <c r="U205" s="645"/>
      <c r="V205" s="645"/>
      <c r="W205" s="645"/>
      <c r="X205" s="645"/>
      <c r="Y205" s="8"/>
      <c r="Z205" s="135"/>
      <c r="AA205" s="135"/>
      <c r="AB205" s="135"/>
      <c r="AC205" s="135"/>
      <c r="AD205" s="135"/>
      <c r="AE205" s="135"/>
      <c r="AF205" s="135"/>
      <c r="AG205" s="135"/>
      <c r="AH205" s="135"/>
      <c r="AI205" s="135"/>
      <c r="AJ205" s="135"/>
      <c r="AK205" s="135"/>
      <c r="AL205" s="135"/>
      <c r="AM205" s="135"/>
      <c r="AN205" s="135"/>
      <c r="AO205" s="135"/>
      <c r="AP205" s="135"/>
      <c r="AQ205" s="135"/>
      <c r="AR205" s="135"/>
      <c r="AS205" s="135"/>
      <c r="AT205" s="135"/>
      <c r="AU205" s="135"/>
      <c r="AV205" s="135"/>
    </row>
    <row r="206" spans="1:48" s="57" customFormat="1" ht="25.35" customHeight="1">
      <c r="A206" s="1009" t="s">
        <v>73</v>
      </c>
      <c r="B206" s="206">
        <f>B202+1</f>
        <v>7</v>
      </c>
      <c r="C206" s="732" t="str">
        <f>E206</f>
        <v>Electricity price heat pump</v>
      </c>
      <c r="D206" s="713" t="s">
        <v>345</v>
      </c>
      <c r="E206" s="1111" t="s">
        <v>361</v>
      </c>
      <c r="F206" s="1112"/>
      <c r="G206" s="1112"/>
      <c r="H206" s="1112"/>
      <c r="I206" s="1112"/>
      <c r="J206" s="1112"/>
      <c r="K206" s="1112"/>
      <c r="L206" s="1112"/>
      <c r="M206" s="1112"/>
      <c r="N206" s="1112"/>
      <c r="O206" s="1112"/>
      <c r="P206" s="1112"/>
      <c r="Q206" s="1112"/>
      <c r="R206" s="1112"/>
      <c r="S206" s="1112"/>
      <c r="T206" s="1112"/>
      <c r="U206" s="1112"/>
      <c r="V206" s="1112"/>
      <c r="W206" s="1112"/>
      <c r="X206" s="1113"/>
      <c r="Y206" s="983" t="s">
        <v>345</v>
      </c>
      <c r="Z206" s="135"/>
      <c r="AA206" s="135"/>
      <c r="AB206" s="135"/>
      <c r="AC206" s="135"/>
      <c r="AD206" s="135"/>
      <c r="AE206" s="135"/>
      <c r="AF206" s="135"/>
      <c r="AG206" s="135"/>
      <c r="AH206" s="135"/>
      <c r="AI206" s="135"/>
      <c r="AJ206" s="135"/>
      <c r="AK206" s="135"/>
      <c r="AL206" s="135"/>
      <c r="AM206" s="135"/>
      <c r="AN206" s="135"/>
      <c r="AO206" s="135"/>
      <c r="AP206" s="135"/>
      <c r="AQ206" s="135"/>
      <c r="AR206" s="135"/>
      <c r="AS206" s="135"/>
      <c r="AT206" s="135"/>
      <c r="AU206" s="135"/>
      <c r="AV206" s="135"/>
    </row>
    <row r="207" spans="1:48" s="57" customFormat="1" ht="11.25" outlineLevel="1">
      <c r="A207" s="135"/>
      <c r="B207" s="206">
        <f>B206</f>
        <v>7</v>
      </c>
      <c r="C207" s="997" t="str">
        <f t="shared" ref="C207:C273" si="41">C206</f>
        <v>Electricity price heat pump</v>
      </c>
      <c r="D207" s="998"/>
      <c r="E207" s="1122" t="s">
        <v>362</v>
      </c>
      <c r="F207" s="1122"/>
      <c r="G207" s="1122"/>
      <c r="H207" s="1122"/>
      <c r="I207" s="1122"/>
      <c r="J207" s="1122"/>
      <c r="K207" s="1122"/>
      <c r="L207" s="1122"/>
      <c r="M207" s="1122"/>
      <c r="N207" s="1122"/>
      <c r="O207" s="1122"/>
      <c r="P207" s="1122"/>
      <c r="Q207" s="1122"/>
      <c r="R207" s="1122"/>
      <c r="S207" s="1122"/>
      <c r="T207" s="1122"/>
      <c r="U207" s="1122"/>
      <c r="V207" s="1122"/>
      <c r="W207" s="1122"/>
      <c r="X207" s="1122"/>
      <c r="Y207" s="998"/>
      <c r="Z207" s="135"/>
      <c r="AA207" s="135"/>
      <c r="AB207" s="135"/>
      <c r="AC207" s="135"/>
      <c r="AD207" s="135"/>
      <c r="AE207" s="135"/>
      <c r="AF207" s="135"/>
      <c r="AG207" s="135"/>
      <c r="AH207" s="135"/>
      <c r="AI207" s="135"/>
      <c r="AJ207" s="135"/>
      <c r="AK207" s="135"/>
      <c r="AL207" s="135"/>
      <c r="AM207" s="135"/>
      <c r="AN207" s="135"/>
      <c r="AO207" s="135"/>
      <c r="AP207" s="135"/>
      <c r="AQ207" s="135"/>
      <c r="AR207" s="135"/>
      <c r="AS207" s="135"/>
      <c r="AT207" s="135"/>
      <c r="AU207" s="135"/>
      <c r="AV207" s="135"/>
    </row>
    <row r="208" spans="1:48" s="57" customFormat="1" ht="33" customHeight="1" outlineLevel="1">
      <c r="A208" s="135"/>
      <c r="B208" s="206">
        <f t="shared" ref="B208:B234" si="42">B207</f>
        <v>7</v>
      </c>
      <c r="C208" s="8" t="str">
        <f t="shared" si="41"/>
        <v>Electricity price heat pump</v>
      </c>
      <c r="D208" s="618"/>
      <c r="E208" s="1110" t="s">
        <v>363</v>
      </c>
      <c r="F208" s="1110"/>
      <c r="G208" s="1110"/>
      <c r="H208" s="1110"/>
      <c r="I208" s="1110"/>
      <c r="J208" s="1110"/>
      <c r="K208" s="1110"/>
      <c r="L208" s="1110"/>
      <c r="M208" s="1110"/>
      <c r="N208" s="1110"/>
      <c r="O208" s="1110"/>
      <c r="P208" s="1110"/>
      <c r="Q208" s="1110"/>
      <c r="R208" s="1110"/>
      <c r="S208" s="1110"/>
      <c r="T208" s="1110"/>
      <c r="U208" s="1110"/>
      <c r="V208" s="1110"/>
      <c r="W208" s="1110"/>
      <c r="X208" s="1110"/>
      <c r="Y208" s="618"/>
      <c r="Z208" s="135"/>
      <c r="AA208" s="135"/>
      <c r="AB208" s="135"/>
      <c r="AC208" s="135"/>
      <c r="AD208" s="135"/>
      <c r="AE208" s="135"/>
      <c r="AF208" s="135"/>
      <c r="AG208" s="135"/>
      <c r="AH208" s="135"/>
      <c r="AI208" s="135"/>
      <c r="AJ208" s="135"/>
      <c r="AK208" s="135"/>
      <c r="AL208" s="135"/>
      <c r="AM208" s="135"/>
      <c r="AN208" s="135"/>
      <c r="AO208" s="135"/>
      <c r="AP208" s="135"/>
      <c r="AQ208" s="135"/>
      <c r="AR208" s="135"/>
      <c r="AS208" s="135"/>
      <c r="AT208" s="135"/>
      <c r="AU208" s="135"/>
      <c r="AV208" s="135"/>
    </row>
    <row r="209" spans="1:48" s="57" customFormat="1" ht="10.35" customHeight="1" outlineLevel="1" thickBot="1">
      <c r="A209" s="135"/>
      <c r="B209" s="206">
        <f>B208</f>
        <v>7</v>
      </c>
      <c r="C209" s="1000" t="str">
        <f t="shared" si="41"/>
        <v>Electricity price heat pump</v>
      </c>
      <c r="D209" s="1001">
        <v>1</v>
      </c>
      <c r="E209" s="978">
        <v>66</v>
      </c>
      <c r="F209" s="978">
        <v>71</v>
      </c>
      <c r="G209" s="978">
        <v>81.849999999999994</v>
      </c>
      <c r="H209" s="978">
        <v>90.11</v>
      </c>
      <c r="I209" s="978">
        <v>90.49</v>
      </c>
      <c r="J209" s="978">
        <f>AVERAGE(G209:H209)</f>
        <v>85.97999999999999</v>
      </c>
      <c r="K209" s="1002"/>
      <c r="L209" s="1002"/>
      <c r="M209" s="1002"/>
      <c r="N209" s="1002"/>
      <c r="O209" s="1002"/>
      <c r="P209" s="1002"/>
      <c r="Q209" s="1002"/>
      <c r="R209" s="1002"/>
      <c r="S209" s="1002"/>
      <c r="T209" s="1002"/>
      <c r="U209" s="1002"/>
      <c r="V209" s="1002"/>
      <c r="W209" s="1002"/>
      <c r="X209" s="1002">
        <v>66</v>
      </c>
      <c r="Y209" s="1003">
        <v>1</v>
      </c>
      <c r="Z209" s="135"/>
      <c r="AA209" s="371" t="str">
        <f t="shared" ref="AA209:AA232" si="43">AB209</f>
        <v/>
      </c>
      <c r="AB209" s="248" t="str">
        <f t="shared" ref="AB209:AB232" si="44">IF(IFERROR((1+X209+W209+V209+U209+T209+S209+R209+Q209+P209+O209+N209+M209+L209+K209+J209+I209+H209+G209+F209+E209)*1, "!!!!")="!!!!","Inputs contain non-numerical data. Please check your input data!","")</f>
        <v/>
      </c>
      <c r="AC209" s="135"/>
      <c r="AD209" s="135"/>
      <c r="AE209" s="135"/>
      <c r="AF209" s="135"/>
      <c r="AG209" s="135"/>
      <c r="AH209" s="135"/>
      <c r="AI209" s="135"/>
      <c r="AJ209" s="135"/>
      <c r="AK209" s="135"/>
      <c r="AL209" s="135"/>
      <c r="AM209" s="135"/>
      <c r="AN209" s="135"/>
      <c r="AO209" s="135"/>
      <c r="AP209" s="135"/>
      <c r="AQ209" s="135"/>
      <c r="AR209" s="135"/>
      <c r="AS209" s="135"/>
      <c r="AT209" s="135"/>
      <c r="AU209" s="135"/>
      <c r="AV209" s="135"/>
    </row>
    <row r="210" spans="1:48" s="57" customFormat="1" ht="10.35" customHeight="1" outlineLevel="1" thickBot="1">
      <c r="A210" s="135"/>
      <c r="B210" s="206">
        <f t="shared" si="42"/>
        <v>7</v>
      </c>
      <c r="C210" s="766" t="str">
        <f t="shared" si="41"/>
        <v>Electricity price heat pump</v>
      </c>
      <c r="D210" s="979">
        <v>2</v>
      </c>
      <c r="E210" s="978">
        <v>63.45</v>
      </c>
      <c r="F210" s="978">
        <v>70.7</v>
      </c>
      <c r="G210" s="978">
        <v>70.59</v>
      </c>
      <c r="H210" s="978">
        <v>80.45</v>
      </c>
      <c r="I210" s="978">
        <v>79.25</v>
      </c>
      <c r="J210" s="978">
        <f t="shared" ref="J210:J232" si="45">AVERAGE(G210:H210)</f>
        <v>75.52000000000001</v>
      </c>
      <c r="K210" s="208"/>
      <c r="L210" s="208"/>
      <c r="M210" s="208"/>
      <c r="N210" s="208"/>
      <c r="O210" s="208"/>
      <c r="P210" s="208"/>
      <c r="Q210" s="208"/>
      <c r="R210" s="208"/>
      <c r="S210" s="208"/>
      <c r="T210" s="208"/>
      <c r="U210" s="208"/>
      <c r="V210" s="208"/>
      <c r="W210" s="208"/>
      <c r="X210" s="208">
        <v>63.45</v>
      </c>
      <c r="Y210" s="714">
        <v>2</v>
      </c>
      <c r="Z210" s="135"/>
      <c r="AA210" s="394" t="str">
        <f t="shared" si="43"/>
        <v/>
      </c>
      <c r="AB210" s="248" t="str">
        <f t="shared" si="44"/>
        <v/>
      </c>
      <c r="AC210" s="135"/>
      <c r="AD210" s="135"/>
      <c r="AE210" s="135"/>
      <c r="AF210" s="135"/>
      <c r="AG210" s="135"/>
      <c r="AH210" s="135"/>
      <c r="AI210" s="135"/>
      <c r="AJ210" s="135"/>
      <c r="AK210" s="135"/>
      <c r="AL210" s="135"/>
      <c r="AM210" s="135"/>
      <c r="AN210" s="135"/>
      <c r="AO210" s="135"/>
      <c r="AP210" s="135"/>
      <c r="AQ210" s="135"/>
      <c r="AR210" s="135"/>
      <c r="AS210" s="135"/>
      <c r="AT210" s="135"/>
      <c r="AU210" s="135"/>
      <c r="AV210" s="135"/>
    </row>
    <row r="211" spans="1:48" s="57" customFormat="1" ht="10.35" customHeight="1" outlineLevel="1" thickBot="1">
      <c r="A211" s="135"/>
      <c r="B211" s="206">
        <f t="shared" si="42"/>
        <v>7</v>
      </c>
      <c r="C211" s="766" t="str">
        <f t="shared" si="41"/>
        <v>Electricity price heat pump</v>
      </c>
      <c r="D211" s="979">
        <v>3</v>
      </c>
      <c r="E211" s="978">
        <v>63.54</v>
      </c>
      <c r="F211" s="978">
        <v>70.459999999999994</v>
      </c>
      <c r="G211" s="978">
        <v>69.53</v>
      </c>
      <c r="H211" s="978">
        <v>79.91</v>
      </c>
      <c r="I211" s="978">
        <v>71.239999999999995</v>
      </c>
      <c r="J211" s="978">
        <f t="shared" si="45"/>
        <v>74.72</v>
      </c>
      <c r="K211" s="208"/>
      <c r="L211" s="208"/>
      <c r="M211" s="208"/>
      <c r="N211" s="208"/>
      <c r="O211" s="208"/>
      <c r="P211" s="208"/>
      <c r="Q211" s="208"/>
      <c r="R211" s="208"/>
      <c r="S211" s="208"/>
      <c r="T211" s="208"/>
      <c r="U211" s="208"/>
      <c r="V211" s="208"/>
      <c r="W211" s="208"/>
      <c r="X211" s="208">
        <v>63.54</v>
      </c>
      <c r="Y211" s="714">
        <v>3</v>
      </c>
      <c r="Z211" s="135"/>
      <c r="AA211" s="394" t="str">
        <f t="shared" si="43"/>
        <v/>
      </c>
      <c r="AB211" s="248" t="str">
        <f t="shared" si="44"/>
        <v/>
      </c>
      <c r="AC211" s="135"/>
      <c r="AD211" s="135"/>
      <c r="AE211" s="135"/>
      <c r="AF211" s="135"/>
      <c r="AG211" s="135"/>
      <c r="AH211" s="135"/>
      <c r="AI211" s="135"/>
      <c r="AJ211" s="135"/>
      <c r="AK211" s="135"/>
      <c r="AL211" s="135"/>
      <c r="AM211" s="135"/>
      <c r="AN211" s="135"/>
      <c r="AO211" s="135"/>
      <c r="AP211" s="135"/>
      <c r="AQ211" s="135"/>
      <c r="AR211" s="135"/>
      <c r="AS211" s="135"/>
      <c r="AT211" s="135"/>
      <c r="AU211" s="135"/>
      <c r="AV211" s="135"/>
    </row>
    <row r="212" spans="1:48" s="57" customFormat="1" ht="10.35" customHeight="1" outlineLevel="1" thickBot="1">
      <c r="A212" s="135"/>
      <c r="B212" s="206">
        <f t="shared" si="42"/>
        <v>7</v>
      </c>
      <c r="C212" s="766" t="str">
        <f t="shared" si="41"/>
        <v>Electricity price heat pump</v>
      </c>
      <c r="D212" s="979">
        <v>4</v>
      </c>
      <c r="E212" s="978">
        <v>61.82</v>
      </c>
      <c r="F212" s="978">
        <v>69.739999999999995</v>
      </c>
      <c r="G212" s="978">
        <v>64.400000000000006</v>
      </c>
      <c r="H212" s="978">
        <v>79.290000000000006</v>
      </c>
      <c r="I212" s="978">
        <v>70.67</v>
      </c>
      <c r="J212" s="978">
        <f t="shared" si="45"/>
        <v>71.844999999999999</v>
      </c>
      <c r="K212" s="208"/>
      <c r="L212" s="208"/>
      <c r="M212" s="208"/>
      <c r="N212" s="208"/>
      <c r="O212" s="208"/>
      <c r="P212" s="208"/>
      <c r="Q212" s="208"/>
      <c r="R212" s="208"/>
      <c r="S212" s="208"/>
      <c r="T212" s="208"/>
      <c r="U212" s="208"/>
      <c r="V212" s="208"/>
      <c r="W212" s="208"/>
      <c r="X212" s="208">
        <v>61.82</v>
      </c>
      <c r="Y212" s="714">
        <v>4</v>
      </c>
      <c r="Z212" s="135"/>
      <c r="AA212" s="394" t="str">
        <f t="shared" si="43"/>
        <v/>
      </c>
      <c r="AB212" s="248" t="str">
        <f t="shared" si="44"/>
        <v/>
      </c>
      <c r="AC212" s="135"/>
      <c r="AD212" s="135"/>
      <c r="AE212" s="135"/>
      <c r="AF212" s="135"/>
      <c r="AG212" s="135"/>
      <c r="AH212" s="135"/>
      <c r="AI212" s="135"/>
      <c r="AJ212" s="135"/>
      <c r="AK212" s="135"/>
      <c r="AL212" s="135"/>
      <c r="AM212" s="135"/>
      <c r="AN212" s="135"/>
      <c r="AO212" s="135"/>
      <c r="AP212" s="135"/>
      <c r="AQ212" s="135"/>
      <c r="AR212" s="135"/>
      <c r="AS212" s="135"/>
      <c r="AT212" s="135"/>
      <c r="AU212" s="135"/>
      <c r="AV212" s="135"/>
    </row>
    <row r="213" spans="1:48" s="57" customFormat="1" ht="10.35" customHeight="1" outlineLevel="1" thickBot="1">
      <c r="A213" s="135"/>
      <c r="B213" s="206">
        <f t="shared" si="42"/>
        <v>7</v>
      </c>
      <c r="C213" s="766" t="str">
        <f t="shared" si="41"/>
        <v>Electricity price heat pump</v>
      </c>
      <c r="D213" s="979">
        <v>5</v>
      </c>
      <c r="E213" s="978">
        <v>61.85</v>
      </c>
      <c r="F213" s="978">
        <v>70.459999999999994</v>
      </c>
      <c r="G213" s="978">
        <v>63.88</v>
      </c>
      <c r="H213" s="978">
        <v>83.38</v>
      </c>
      <c r="I213" s="978">
        <v>66.94</v>
      </c>
      <c r="J213" s="978">
        <f t="shared" si="45"/>
        <v>73.63</v>
      </c>
      <c r="K213" s="208"/>
      <c r="L213" s="208"/>
      <c r="M213" s="208"/>
      <c r="N213" s="208"/>
      <c r="O213" s="208"/>
      <c r="P213" s="208"/>
      <c r="Q213" s="208"/>
      <c r="R213" s="208"/>
      <c r="S213" s="208"/>
      <c r="T213" s="208"/>
      <c r="U213" s="208"/>
      <c r="V213" s="208"/>
      <c r="W213" s="208"/>
      <c r="X213" s="208">
        <v>61.85</v>
      </c>
      <c r="Y213" s="714">
        <v>5</v>
      </c>
      <c r="Z213" s="135"/>
      <c r="AA213" s="394" t="str">
        <f t="shared" si="43"/>
        <v/>
      </c>
      <c r="AB213" s="248" t="str">
        <f t="shared" si="44"/>
        <v/>
      </c>
      <c r="AC213" s="135"/>
      <c r="AD213" s="135"/>
      <c r="AE213" s="135"/>
      <c r="AF213" s="135"/>
      <c r="AG213" s="135"/>
      <c r="AH213" s="135"/>
      <c r="AI213" s="135"/>
      <c r="AJ213" s="135"/>
      <c r="AK213" s="135"/>
      <c r="AL213" s="135"/>
      <c r="AM213" s="135"/>
      <c r="AN213" s="135"/>
      <c r="AO213" s="135"/>
      <c r="AP213" s="135"/>
      <c r="AQ213" s="135"/>
      <c r="AR213" s="135"/>
      <c r="AS213" s="135"/>
      <c r="AT213" s="135"/>
      <c r="AU213" s="135"/>
      <c r="AV213" s="135"/>
    </row>
    <row r="214" spans="1:48" s="57" customFormat="1" ht="10.35" customHeight="1" outlineLevel="1" thickBot="1">
      <c r="A214" s="135"/>
      <c r="B214" s="206">
        <f t="shared" si="42"/>
        <v>7</v>
      </c>
      <c r="C214" s="766" t="str">
        <f t="shared" si="41"/>
        <v>Electricity price heat pump</v>
      </c>
      <c r="D214" s="979">
        <v>6</v>
      </c>
      <c r="E214" s="978">
        <v>61.75</v>
      </c>
      <c r="F214" s="978">
        <v>73.91</v>
      </c>
      <c r="G214" s="978">
        <v>63.62</v>
      </c>
      <c r="H214" s="978">
        <v>91.38</v>
      </c>
      <c r="I214" s="978">
        <v>62.09</v>
      </c>
      <c r="J214" s="978">
        <f t="shared" si="45"/>
        <v>77.5</v>
      </c>
      <c r="K214" s="208"/>
      <c r="L214" s="208"/>
      <c r="M214" s="208"/>
      <c r="N214" s="208"/>
      <c r="O214" s="208"/>
      <c r="P214" s="208"/>
      <c r="Q214" s="208"/>
      <c r="R214" s="208"/>
      <c r="S214" s="208"/>
      <c r="T214" s="208"/>
      <c r="U214" s="208"/>
      <c r="V214" s="208"/>
      <c r="W214" s="208"/>
      <c r="X214" s="208">
        <v>61.75</v>
      </c>
      <c r="Y214" s="714">
        <v>6</v>
      </c>
      <c r="Z214" s="135"/>
      <c r="AA214" s="394" t="str">
        <f t="shared" si="43"/>
        <v/>
      </c>
      <c r="AB214" s="248" t="str">
        <f t="shared" si="44"/>
        <v/>
      </c>
      <c r="AC214" s="135"/>
      <c r="AD214" s="135"/>
      <c r="AE214" s="135"/>
      <c r="AF214" s="135"/>
      <c r="AG214" s="135"/>
      <c r="AH214" s="135"/>
      <c r="AI214" s="135"/>
      <c r="AJ214" s="135"/>
      <c r="AK214" s="135"/>
      <c r="AL214" s="135"/>
      <c r="AM214" s="135"/>
      <c r="AN214" s="135"/>
      <c r="AO214" s="135"/>
      <c r="AP214" s="135"/>
      <c r="AQ214" s="135"/>
      <c r="AR214" s="135"/>
      <c r="AS214" s="135"/>
      <c r="AT214" s="135"/>
      <c r="AU214" s="135"/>
      <c r="AV214" s="135"/>
    </row>
    <row r="215" spans="1:48" s="57" customFormat="1" ht="10.35" customHeight="1" outlineLevel="1" thickBot="1">
      <c r="A215" s="135"/>
      <c r="B215" s="206">
        <f t="shared" si="42"/>
        <v>7</v>
      </c>
      <c r="C215" s="766" t="str">
        <f t="shared" si="41"/>
        <v>Electricity price heat pump</v>
      </c>
      <c r="D215" s="979">
        <v>7</v>
      </c>
      <c r="E215" s="978">
        <v>62.59</v>
      </c>
      <c r="F215" s="978">
        <v>83.98</v>
      </c>
      <c r="G215" s="978">
        <v>64.430000000000007</v>
      </c>
      <c r="H215" s="978">
        <v>115.6</v>
      </c>
      <c r="I215" s="978">
        <v>57.9</v>
      </c>
      <c r="J215" s="978">
        <f t="shared" si="45"/>
        <v>90.015000000000001</v>
      </c>
      <c r="K215" s="208"/>
      <c r="L215" s="208"/>
      <c r="M215" s="208"/>
      <c r="N215" s="208"/>
      <c r="O215" s="208"/>
      <c r="P215" s="208"/>
      <c r="Q215" s="208"/>
      <c r="R215" s="208"/>
      <c r="S215" s="208"/>
      <c r="T215" s="208"/>
      <c r="U215" s="208"/>
      <c r="V215" s="208"/>
      <c r="W215" s="208"/>
      <c r="X215" s="208">
        <v>62.59</v>
      </c>
      <c r="Y215" s="714">
        <v>7</v>
      </c>
      <c r="Z215" s="135"/>
      <c r="AA215" s="394" t="str">
        <f t="shared" si="43"/>
        <v/>
      </c>
      <c r="AB215" s="248" t="str">
        <f t="shared" si="44"/>
        <v/>
      </c>
      <c r="AC215" s="135"/>
      <c r="AD215" s="135"/>
      <c r="AE215" s="135"/>
      <c r="AF215" s="135"/>
      <c r="AG215" s="135"/>
      <c r="AH215" s="135"/>
      <c r="AI215" s="135"/>
      <c r="AJ215" s="135"/>
      <c r="AK215" s="135"/>
      <c r="AL215" s="135"/>
      <c r="AM215" s="135"/>
      <c r="AN215" s="135"/>
      <c r="AO215" s="135"/>
      <c r="AP215" s="135"/>
      <c r="AQ215" s="135"/>
      <c r="AR215" s="135"/>
      <c r="AS215" s="135"/>
      <c r="AT215" s="135"/>
      <c r="AU215" s="135"/>
      <c r="AV215" s="135"/>
    </row>
    <row r="216" spans="1:48" s="57" customFormat="1" ht="10.35" customHeight="1" outlineLevel="1" thickBot="1">
      <c r="A216" s="135"/>
      <c r="B216" s="206">
        <f t="shared" si="42"/>
        <v>7</v>
      </c>
      <c r="C216" s="766" t="str">
        <f t="shared" si="41"/>
        <v>Electricity price heat pump</v>
      </c>
      <c r="D216" s="979">
        <v>8</v>
      </c>
      <c r="E216" s="978">
        <v>66.900000000000006</v>
      </c>
      <c r="F216" s="978">
        <v>106.64</v>
      </c>
      <c r="G216" s="978">
        <v>60.53</v>
      </c>
      <c r="H216" s="978">
        <v>110.72</v>
      </c>
      <c r="I216" s="978">
        <v>46.35</v>
      </c>
      <c r="J216" s="978">
        <f t="shared" si="45"/>
        <v>85.625</v>
      </c>
      <c r="K216" s="208"/>
      <c r="L216" s="208"/>
      <c r="M216" s="208"/>
      <c r="N216" s="208"/>
      <c r="O216" s="208"/>
      <c r="P216" s="208"/>
      <c r="Q216" s="208"/>
      <c r="R216" s="208"/>
      <c r="S216" s="208"/>
      <c r="T216" s="208"/>
      <c r="U216" s="208"/>
      <c r="V216" s="208"/>
      <c r="W216" s="208"/>
      <c r="X216" s="208">
        <v>66.900000000000006</v>
      </c>
      <c r="Y216" s="714">
        <v>8</v>
      </c>
      <c r="Z216" s="135"/>
      <c r="AA216" s="394" t="str">
        <f t="shared" si="43"/>
        <v/>
      </c>
      <c r="AB216" s="248" t="str">
        <f t="shared" si="44"/>
        <v/>
      </c>
      <c r="AC216" s="135"/>
      <c r="AD216" s="135"/>
      <c r="AE216" s="135"/>
      <c r="AF216" s="135"/>
      <c r="AG216" s="135"/>
      <c r="AH216" s="135"/>
      <c r="AI216" s="135"/>
      <c r="AJ216" s="135"/>
      <c r="AK216" s="135"/>
      <c r="AL216" s="135"/>
      <c r="AM216" s="135"/>
      <c r="AN216" s="135"/>
      <c r="AO216" s="135"/>
      <c r="AP216" s="135"/>
      <c r="AQ216" s="135"/>
      <c r="AR216" s="135"/>
      <c r="AS216" s="135"/>
      <c r="AT216" s="135"/>
      <c r="AU216" s="135"/>
      <c r="AV216" s="135"/>
    </row>
    <row r="217" spans="1:48" s="57" customFormat="1" ht="10.35" customHeight="1" outlineLevel="1" thickBot="1">
      <c r="A217" s="135"/>
      <c r="B217" s="206">
        <f t="shared" si="42"/>
        <v>7</v>
      </c>
      <c r="C217" s="766" t="str">
        <f t="shared" si="41"/>
        <v>Electricity price heat pump</v>
      </c>
      <c r="D217" s="979">
        <v>9</v>
      </c>
      <c r="E217" s="978">
        <v>74.819999999999993</v>
      </c>
      <c r="F217" s="978">
        <v>108.7</v>
      </c>
      <c r="G217" s="978">
        <v>60.88</v>
      </c>
      <c r="H217" s="978">
        <v>98.4</v>
      </c>
      <c r="I217" s="978">
        <v>19.77</v>
      </c>
      <c r="J217" s="978">
        <f t="shared" si="45"/>
        <v>79.64</v>
      </c>
      <c r="K217" s="208"/>
      <c r="L217" s="208"/>
      <c r="M217" s="208"/>
      <c r="N217" s="208"/>
      <c r="O217" s="208"/>
      <c r="P217" s="208"/>
      <c r="Q217" s="208"/>
      <c r="R217" s="208"/>
      <c r="S217" s="208"/>
      <c r="T217" s="208"/>
      <c r="U217" s="208"/>
      <c r="V217" s="208"/>
      <c r="W217" s="208"/>
      <c r="X217" s="208">
        <v>74.819999999999993</v>
      </c>
      <c r="Y217" s="714">
        <v>9</v>
      </c>
      <c r="Z217" s="135"/>
      <c r="AA217" s="394" t="str">
        <f t="shared" si="43"/>
        <v/>
      </c>
      <c r="AB217" s="248" t="str">
        <f t="shared" si="44"/>
        <v/>
      </c>
      <c r="AC217" s="135"/>
      <c r="AD217" s="135"/>
      <c r="AE217" s="135"/>
      <c r="AF217" s="135"/>
      <c r="AG217" s="135"/>
      <c r="AH217" s="135"/>
      <c r="AI217" s="135"/>
      <c r="AJ217" s="135"/>
      <c r="AK217" s="135"/>
      <c r="AL217" s="135"/>
      <c r="AM217" s="135"/>
      <c r="AN217" s="135"/>
      <c r="AO217" s="135"/>
      <c r="AP217" s="135"/>
      <c r="AQ217" s="135"/>
      <c r="AR217" s="135"/>
      <c r="AS217" s="135"/>
      <c r="AT217" s="135"/>
      <c r="AU217" s="135"/>
      <c r="AV217" s="135"/>
    </row>
    <row r="218" spans="1:48" s="57" customFormat="1" ht="10.35" customHeight="1" outlineLevel="1" thickBot="1">
      <c r="A218" s="135"/>
      <c r="B218" s="206">
        <f t="shared" si="42"/>
        <v>7</v>
      </c>
      <c r="C218" s="766" t="str">
        <f t="shared" si="41"/>
        <v>Electricity price heat pump</v>
      </c>
      <c r="D218" s="979">
        <v>10</v>
      </c>
      <c r="E218" s="978">
        <v>77.900000000000006</v>
      </c>
      <c r="F218" s="978">
        <v>87.21</v>
      </c>
      <c r="G218" s="978">
        <v>55.38</v>
      </c>
      <c r="H218" s="978">
        <v>81.430000000000007</v>
      </c>
      <c r="I218" s="978">
        <v>4.24</v>
      </c>
      <c r="J218" s="978">
        <f t="shared" si="45"/>
        <v>68.405000000000001</v>
      </c>
      <c r="K218" s="208"/>
      <c r="L218" s="208"/>
      <c r="M218" s="208"/>
      <c r="N218" s="208"/>
      <c r="O218" s="208"/>
      <c r="P218" s="208"/>
      <c r="Q218" s="208"/>
      <c r="R218" s="208"/>
      <c r="S218" s="208"/>
      <c r="T218" s="208"/>
      <c r="U218" s="208"/>
      <c r="V218" s="208"/>
      <c r="W218" s="208"/>
      <c r="X218" s="208">
        <v>77.900000000000006</v>
      </c>
      <c r="Y218" s="714">
        <v>10</v>
      </c>
      <c r="Z218" s="135"/>
      <c r="AA218" s="394" t="str">
        <f t="shared" si="43"/>
        <v/>
      </c>
      <c r="AB218" s="248" t="str">
        <f t="shared" si="44"/>
        <v/>
      </c>
      <c r="AC218" s="135"/>
      <c r="AD218" s="135"/>
      <c r="AE218" s="135"/>
      <c r="AF218" s="135"/>
      <c r="AG218" s="135"/>
      <c r="AH218" s="135"/>
      <c r="AI218" s="135"/>
      <c r="AJ218" s="135"/>
      <c r="AK218" s="135"/>
      <c r="AL218" s="135"/>
      <c r="AM218" s="135"/>
      <c r="AN218" s="135"/>
      <c r="AO218" s="135"/>
      <c r="AP218" s="135"/>
      <c r="AQ218" s="135"/>
      <c r="AR218" s="135"/>
      <c r="AS218" s="135"/>
      <c r="AT218" s="135"/>
      <c r="AU218" s="135"/>
      <c r="AV218" s="135"/>
    </row>
    <row r="219" spans="1:48" s="57" customFormat="1" ht="10.35" customHeight="1" outlineLevel="1" thickBot="1">
      <c r="A219" s="135"/>
      <c r="B219" s="206">
        <f t="shared" si="42"/>
        <v>7</v>
      </c>
      <c r="C219" s="766" t="str">
        <f t="shared" si="41"/>
        <v>Electricity price heat pump</v>
      </c>
      <c r="D219" s="979">
        <v>11</v>
      </c>
      <c r="E219" s="978">
        <v>71.8</v>
      </c>
      <c r="F219" s="978">
        <v>75.92</v>
      </c>
      <c r="G219" s="978">
        <v>32.99</v>
      </c>
      <c r="H219" s="978">
        <v>70</v>
      </c>
      <c r="I219" s="978">
        <v>0</v>
      </c>
      <c r="J219" s="978">
        <f t="shared" si="45"/>
        <v>51.495000000000005</v>
      </c>
      <c r="K219" s="208"/>
      <c r="L219" s="208"/>
      <c r="M219" s="208"/>
      <c r="N219" s="208"/>
      <c r="O219" s="208"/>
      <c r="P219" s="208"/>
      <c r="Q219" s="208"/>
      <c r="R219" s="208"/>
      <c r="S219" s="208"/>
      <c r="T219" s="208"/>
      <c r="U219" s="208"/>
      <c r="V219" s="208"/>
      <c r="W219" s="208"/>
      <c r="X219" s="208">
        <v>71.8</v>
      </c>
      <c r="Y219" s="714">
        <v>11</v>
      </c>
      <c r="Z219" s="135"/>
      <c r="AA219" s="394" t="str">
        <f t="shared" si="43"/>
        <v/>
      </c>
      <c r="AB219" s="248" t="str">
        <f t="shared" si="44"/>
        <v/>
      </c>
      <c r="AC219" s="135"/>
      <c r="AD219" s="135"/>
      <c r="AE219" s="135"/>
      <c r="AF219" s="135"/>
      <c r="AG219" s="135"/>
      <c r="AH219" s="135"/>
      <c r="AI219" s="135"/>
      <c r="AJ219" s="135"/>
      <c r="AK219" s="135"/>
      <c r="AL219" s="135"/>
      <c r="AM219" s="135"/>
      <c r="AN219" s="135"/>
      <c r="AO219" s="135"/>
      <c r="AP219" s="135"/>
      <c r="AQ219" s="135"/>
      <c r="AR219" s="135"/>
      <c r="AS219" s="135"/>
      <c r="AT219" s="135"/>
      <c r="AU219" s="135"/>
      <c r="AV219" s="135"/>
    </row>
    <row r="220" spans="1:48" s="57" customFormat="1" ht="10.35" customHeight="1" outlineLevel="1" thickBot="1">
      <c r="A220" s="135"/>
      <c r="B220" s="206">
        <f t="shared" si="42"/>
        <v>7</v>
      </c>
      <c r="C220" s="766" t="str">
        <f t="shared" si="41"/>
        <v>Electricity price heat pump</v>
      </c>
      <c r="D220" s="979">
        <v>12</v>
      </c>
      <c r="E220" s="978">
        <v>70.77</v>
      </c>
      <c r="F220" s="978">
        <v>72.02</v>
      </c>
      <c r="G220" s="978">
        <v>36.96</v>
      </c>
      <c r="H220" s="978">
        <v>58.75</v>
      </c>
      <c r="I220" s="978">
        <v>-0.05</v>
      </c>
      <c r="J220" s="978">
        <f t="shared" si="45"/>
        <v>47.855000000000004</v>
      </c>
      <c r="K220" s="208"/>
      <c r="L220" s="208"/>
      <c r="M220" s="208"/>
      <c r="N220" s="208"/>
      <c r="O220" s="208"/>
      <c r="P220" s="208"/>
      <c r="Q220" s="208"/>
      <c r="R220" s="208"/>
      <c r="S220" s="208"/>
      <c r="T220" s="208"/>
      <c r="U220" s="208"/>
      <c r="V220" s="208"/>
      <c r="W220" s="208"/>
      <c r="X220" s="208">
        <v>70.77</v>
      </c>
      <c r="Y220" s="714">
        <v>12</v>
      </c>
      <c r="Z220" s="135"/>
      <c r="AA220" s="394" t="str">
        <f t="shared" si="43"/>
        <v/>
      </c>
      <c r="AB220" s="248" t="str">
        <f t="shared" si="44"/>
        <v/>
      </c>
      <c r="AC220" s="135"/>
      <c r="AD220" s="135"/>
      <c r="AE220" s="135"/>
      <c r="AF220" s="135"/>
      <c r="AG220" s="135"/>
      <c r="AH220" s="135"/>
      <c r="AI220" s="135"/>
      <c r="AJ220" s="135"/>
      <c r="AK220" s="135"/>
      <c r="AL220" s="135"/>
      <c r="AM220" s="135"/>
      <c r="AN220" s="135"/>
      <c r="AO220" s="135"/>
      <c r="AP220" s="135"/>
      <c r="AQ220" s="135"/>
      <c r="AR220" s="135"/>
      <c r="AS220" s="135"/>
      <c r="AT220" s="135"/>
      <c r="AU220" s="135"/>
      <c r="AV220" s="135"/>
    </row>
    <row r="221" spans="1:48" s="57" customFormat="1" ht="10.35" customHeight="1" outlineLevel="1" thickBot="1">
      <c r="A221" s="135"/>
      <c r="B221" s="206">
        <f t="shared" si="42"/>
        <v>7</v>
      </c>
      <c r="C221" s="766" t="str">
        <f t="shared" si="41"/>
        <v>Electricity price heat pump</v>
      </c>
      <c r="D221" s="979">
        <v>13</v>
      </c>
      <c r="E221" s="978">
        <v>67.73</v>
      </c>
      <c r="F221" s="978">
        <v>69.349999999999994</v>
      </c>
      <c r="G221" s="978">
        <v>6.06</v>
      </c>
      <c r="H221" s="978">
        <v>44.34</v>
      </c>
      <c r="I221" s="978">
        <v>-0.1</v>
      </c>
      <c r="J221" s="978">
        <f t="shared" si="45"/>
        <v>25.200000000000003</v>
      </c>
      <c r="K221" s="208"/>
      <c r="L221" s="208"/>
      <c r="M221" s="208"/>
      <c r="N221" s="208"/>
      <c r="O221" s="208"/>
      <c r="P221" s="208"/>
      <c r="Q221" s="208"/>
      <c r="R221" s="208"/>
      <c r="S221" s="208"/>
      <c r="T221" s="208"/>
      <c r="U221" s="208"/>
      <c r="V221" s="208"/>
      <c r="W221" s="208"/>
      <c r="X221" s="208">
        <v>67.73</v>
      </c>
      <c r="Y221" s="714">
        <v>13</v>
      </c>
      <c r="Z221" s="135"/>
      <c r="AA221" s="394" t="str">
        <f t="shared" si="43"/>
        <v/>
      </c>
      <c r="AB221" s="248" t="str">
        <f t="shared" si="44"/>
        <v/>
      </c>
      <c r="AC221" s="135"/>
      <c r="AD221" s="135"/>
      <c r="AE221" s="135"/>
      <c r="AF221" s="135"/>
      <c r="AG221" s="135"/>
      <c r="AH221" s="135"/>
      <c r="AI221" s="135"/>
      <c r="AJ221" s="135"/>
      <c r="AK221" s="135"/>
      <c r="AL221" s="135"/>
      <c r="AM221" s="135"/>
      <c r="AN221" s="135"/>
      <c r="AO221" s="135"/>
      <c r="AP221" s="135"/>
      <c r="AQ221" s="135"/>
      <c r="AR221" s="135"/>
      <c r="AS221" s="135"/>
      <c r="AT221" s="135"/>
      <c r="AU221" s="135"/>
      <c r="AV221" s="135"/>
    </row>
    <row r="222" spans="1:48" s="57" customFormat="1" ht="10.35" customHeight="1" outlineLevel="1" thickBot="1">
      <c r="A222" s="135"/>
      <c r="B222" s="206">
        <f t="shared" si="42"/>
        <v>7</v>
      </c>
      <c r="C222" s="766" t="str">
        <f t="shared" si="41"/>
        <v>Electricity price heat pump</v>
      </c>
      <c r="D222" s="979">
        <v>14</v>
      </c>
      <c r="E222" s="978">
        <v>68.78</v>
      </c>
      <c r="F222" s="978">
        <v>69.290000000000006</v>
      </c>
      <c r="G222" s="978">
        <v>0.28000000000000003</v>
      </c>
      <c r="H222" s="978">
        <v>36.5</v>
      </c>
      <c r="I222" s="978">
        <v>-1.05</v>
      </c>
      <c r="J222" s="978">
        <f t="shared" si="45"/>
        <v>18.39</v>
      </c>
      <c r="K222" s="208"/>
      <c r="L222" s="208"/>
      <c r="M222" s="208"/>
      <c r="N222" s="208"/>
      <c r="O222" s="208"/>
      <c r="P222" s="208"/>
      <c r="Q222" s="208"/>
      <c r="R222" s="208"/>
      <c r="S222" s="208"/>
      <c r="T222" s="208"/>
      <c r="U222" s="208"/>
      <c r="V222" s="208"/>
      <c r="W222" s="208"/>
      <c r="X222" s="208">
        <v>68.78</v>
      </c>
      <c r="Y222" s="714">
        <v>14</v>
      </c>
      <c r="Z222" s="135"/>
      <c r="AA222" s="394" t="str">
        <f t="shared" si="43"/>
        <v/>
      </c>
      <c r="AB222" s="248" t="str">
        <f t="shared" si="44"/>
        <v/>
      </c>
      <c r="AC222" s="135"/>
      <c r="AD222" s="135"/>
      <c r="AE222" s="135"/>
      <c r="AF222" s="135"/>
      <c r="AG222" s="135"/>
      <c r="AH222" s="135"/>
      <c r="AI222" s="135"/>
      <c r="AJ222" s="135"/>
      <c r="AK222" s="135"/>
      <c r="AL222" s="135"/>
      <c r="AM222" s="135"/>
      <c r="AN222" s="135"/>
      <c r="AO222" s="135"/>
      <c r="AP222" s="135"/>
      <c r="AQ222" s="135"/>
      <c r="AR222" s="135"/>
      <c r="AS222" s="135"/>
      <c r="AT222" s="135"/>
      <c r="AU222" s="135"/>
      <c r="AV222" s="135"/>
    </row>
    <row r="223" spans="1:48" s="57" customFormat="1" ht="10.35" customHeight="1" outlineLevel="1" thickBot="1">
      <c r="A223" s="135"/>
      <c r="B223" s="206">
        <f t="shared" si="42"/>
        <v>7</v>
      </c>
      <c r="C223" s="766" t="str">
        <f t="shared" si="41"/>
        <v>Electricity price heat pump</v>
      </c>
      <c r="D223" s="979">
        <v>15</v>
      </c>
      <c r="E223" s="978">
        <v>73.39</v>
      </c>
      <c r="F223" s="978">
        <v>70.64</v>
      </c>
      <c r="G223" s="978">
        <v>-0.9</v>
      </c>
      <c r="H223" s="978">
        <v>36.200000000000003</v>
      </c>
      <c r="I223" s="978">
        <v>-2.21</v>
      </c>
      <c r="J223" s="978">
        <f t="shared" si="45"/>
        <v>17.650000000000002</v>
      </c>
      <c r="K223" s="208"/>
      <c r="L223" s="208"/>
      <c r="M223" s="208"/>
      <c r="N223" s="208"/>
      <c r="O223" s="208"/>
      <c r="P223" s="208"/>
      <c r="Q223" s="208"/>
      <c r="R223" s="208"/>
      <c r="S223" s="208"/>
      <c r="T223" s="208"/>
      <c r="U223" s="208"/>
      <c r="V223" s="208"/>
      <c r="W223" s="208"/>
      <c r="X223" s="208">
        <v>73.39</v>
      </c>
      <c r="Y223" s="714">
        <v>15</v>
      </c>
      <c r="Z223" s="135"/>
      <c r="AA223" s="394" t="str">
        <f t="shared" si="43"/>
        <v/>
      </c>
      <c r="AB223" s="248" t="str">
        <f t="shared" si="44"/>
        <v/>
      </c>
      <c r="AC223" s="135"/>
      <c r="AD223" s="135"/>
      <c r="AE223" s="135"/>
      <c r="AF223" s="135"/>
      <c r="AG223" s="135"/>
      <c r="AH223" s="135"/>
      <c r="AI223" s="135"/>
      <c r="AJ223" s="135"/>
      <c r="AK223" s="135"/>
      <c r="AL223" s="135"/>
      <c r="AM223" s="135"/>
      <c r="AN223" s="135"/>
      <c r="AO223" s="135"/>
      <c r="AP223" s="135"/>
      <c r="AQ223" s="135"/>
      <c r="AR223" s="135"/>
      <c r="AS223" s="135"/>
      <c r="AT223" s="135"/>
      <c r="AU223" s="135"/>
      <c r="AV223" s="135"/>
    </row>
    <row r="224" spans="1:48" s="57" customFormat="1" ht="10.35" customHeight="1" outlineLevel="1" thickBot="1">
      <c r="A224" s="135"/>
      <c r="B224" s="206">
        <f t="shared" si="42"/>
        <v>7</v>
      </c>
      <c r="C224" s="766" t="str">
        <f t="shared" si="41"/>
        <v>Electricity price heat pump</v>
      </c>
      <c r="D224" s="979">
        <v>16</v>
      </c>
      <c r="E224" s="978">
        <v>79.11</v>
      </c>
      <c r="F224" s="978">
        <v>72.260000000000005</v>
      </c>
      <c r="G224" s="978">
        <v>0.75</v>
      </c>
      <c r="H224" s="978">
        <v>42.54</v>
      </c>
      <c r="I224" s="978">
        <v>-2.0499999999999998</v>
      </c>
      <c r="J224" s="978">
        <f t="shared" si="45"/>
        <v>21.645</v>
      </c>
      <c r="K224" s="208"/>
      <c r="L224" s="208"/>
      <c r="M224" s="208"/>
      <c r="N224" s="208"/>
      <c r="O224" s="208"/>
      <c r="P224" s="208"/>
      <c r="Q224" s="208"/>
      <c r="R224" s="208"/>
      <c r="S224" s="208"/>
      <c r="T224" s="208"/>
      <c r="U224" s="208"/>
      <c r="V224" s="208"/>
      <c r="W224" s="208"/>
      <c r="X224" s="208">
        <v>79.11</v>
      </c>
      <c r="Y224" s="714">
        <v>16</v>
      </c>
      <c r="Z224" s="135"/>
      <c r="AA224" s="394" t="str">
        <f t="shared" si="43"/>
        <v/>
      </c>
      <c r="AB224" s="248" t="str">
        <f t="shared" si="44"/>
        <v/>
      </c>
      <c r="AC224" s="135"/>
      <c r="AD224" s="135"/>
      <c r="AE224" s="135"/>
      <c r="AF224" s="135"/>
      <c r="AG224" s="135"/>
      <c r="AH224" s="135"/>
      <c r="AI224" s="135"/>
      <c r="AJ224" s="135"/>
      <c r="AK224" s="135"/>
      <c r="AL224" s="135"/>
      <c r="AM224" s="135"/>
      <c r="AN224" s="135"/>
      <c r="AO224" s="135"/>
      <c r="AP224" s="135"/>
      <c r="AQ224" s="135"/>
      <c r="AR224" s="135"/>
      <c r="AS224" s="135"/>
      <c r="AT224" s="135"/>
      <c r="AU224" s="135"/>
      <c r="AV224" s="135"/>
    </row>
    <row r="225" spans="1:48" s="57" customFormat="1" ht="10.35" customHeight="1" outlineLevel="1" thickBot="1">
      <c r="A225" s="135"/>
      <c r="B225" s="206">
        <f t="shared" si="42"/>
        <v>7</v>
      </c>
      <c r="C225" s="766" t="str">
        <f t="shared" si="41"/>
        <v>Electricity price heat pump</v>
      </c>
      <c r="D225" s="979">
        <v>17</v>
      </c>
      <c r="E225" s="978">
        <v>87.8</v>
      </c>
      <c r="F225" s="978">
        <v>81.06</v>
      </c>
      <c r="G225" s="978">
        <v>6.01</v>
      </c>
      <c r="H225" s="978">
        <v>63.79</v>
      </c>
      <c r="I225" s="978">
        <v>-0.27</v>
      </c>
      <c r="J225" s="978">
        <f t="shared" si="45"/>
        <v>34.9</v>
      </c>
      <c r="K225" s="208"/>
      <c r="L225" s="208"/>
      <c r="M225" s="208"/>
      <c r="N225" s="208"/>
      <c r="O225" s="208"/>
      <c r="P225" s="208"/>
      <c r="Q225" s="208"/>
      <c r="R225" s="208"/>
      <c r="S225" s="208"/>
      <c r="T225" s="208"/>
      <c r="U225" s="208"/>
      <c r="V225" s="208"/>
      <c r="W225" s="208"/>
      <c r="X225" s="208">
        <v>87.8</v>
      </c>
      <c r="Y225" s="714">
        <v>17</v>
      </c>
      <c r="Z225" s="135"/>
      <c r="AA225" s="394" t="str">
        <f t="shared" si="43"/>
        <v/>
      </c>
      <c r="AB225" s="248" t="str">
        <f t="shared" si="44"/>
        <v/>
      </c>
      <c r="AC225" s="135"/>
      <c r="AD225" s="135"/>
      <c r="AE225" s="135"/>
      <c r="AF225" s="135"/>
      <c r="AG225" s="135"/>
      <c r="AH225" s="135"/>
      <c r="AI225" s="135"/>
      <c r="AJ225" s="135"/>
      <c r="AK225" s="135"/>
      <c r="AL225" s="135"/>
      <c r="AM225" s="135"/>
      <c r="AN225" s="135"/>
      <c r="AO225" s="135"/>
      <c r="AP225" s="135"/>
      <c r="AQ225" s="135"/>
      <c r="AR225" s="135"/>
      <c r="AS225" s="135"/>
      <c r="AT225" s="135"/>
      <c r="AU225" s="135"/>
      <c r="AV225" s="135"/>
    </row>
    <row r="226" spans="1:48" s="57" customFormat="1" ht="10.35" customHeight="1" outlineLevel="1" thickBot="1">
      <c r="A226" s="135"/>
      <c r="B226" s="206">
        <f t="shared" si="42"/>
        <v>7</v>
      </c>
      <c r="C226" s="766" t="str">
        <f t="shared" si="41"/>
        <v>Electricity price heat pump</v>
      </c>
      <c r="D226" s="979">
        <v>18</v>
      </c>
      <c r="E226" s="978">
        <v>94.93</v>
      </c>
      <c r="F226" s="978">
        <v>100</v>
      </c>
      <c r="G226" s="978">
        <v>58.22</v>
      </c>
      <c r="H226" s="978">
        <v>77.34</v>
      </c>
      <c r="I226" s="978">
        <v>22.61</v>
      </c>
      <c r="J226" s="978">
        <f t="shared" si="45"/>
        <v>67.78</v>
      </c>
      <c r="K226" s="208"/>
      <c r="L226" s="208"/>
      <c r="M226" s="208"/>
      <c r="N226" s="208"/>
      <c r="O226" s="208"/>
      <c r="P226" s="208"/>
      <c r="Q226" s="208"/>
      <c r="R226" s="208"/>
      <c r="S226" s="208"/>
      <c r="T226" s="208"/>
      <c r="U226" s="208"/>
      <c r="V226" s="208"/>
      <c r="W226" s="208"/>
      <c r="X226" s="208">
        <v>94.93</v>
      </c>
      <c r="Y226" s="714">
        <v>18</v>
      </c>
      <c r="Z226" s="135"/>
      <c r="AA226" s="394" t="str">
        <f t="shared" si="43"/>
        <v/>
      </c>
      <c r="AB226" s="248" t="str">
        <f t="shared" si="44"/>
        <v/>
      </c>
      <c r="AC226" s="135"/>
      <c r="AD226" s="135"/>
      <c r="AE226" s="135"/>
      <c r="AF226" s="135"/>
      <c r="AG226" s="135"/>
      <c r="AH226" s="135"/>
      <c r="AI226" s="135"/>
      <c r="AJ226" s="135"/>
      <c r="AK226" s="135"/>
      <c r="AL226" s="135"/>
      <c r="AM226" s="135"/>
      <c r="AN226" s="135"/>
      <c r="AO226" s="135"/>
      <c r="AP226" s="135"/>
      <c r="AQ226" s="135"/>
      <c r="AR226" s="135"/>
      <c r="AS226" s="135"/>
      <c r="AT226" s="135"/>
      <c r="AU226" s="135"/>
      <c r="AV226" s="135"/>
    </row>
    <row r="227" spans="1:48" s="57" customFormat="1" ht="10.35" customHeight="1" outlineLevel="1" thickBot="1">
      <c r="A227" s="135"/>
      <c r="B227" s="206">
        <f t="shared" si="42"/>
        <v>7</v>
      </c>
      <c r="C227" s="766" t="str">
        <f t="shared" si="41"/>
        <v>Electricity price heat pump</v>
      </c>
      <c r="D227" s="979">
        <v>19</v>
      </c>
      <c r="E227" s="978">
        <v>99.87</v>
      </c>
      <c r="F227" s="978">
        <v>119.58</v>
      </c>
      <c r="G227" s="978">
        <v>74.599999999999994</v>
      </c>
      <c r="H227" s="978">
        <v>91.61</v>
      </c>
      <c r="I227" s="978">
        <v>71.12</v>
      </c>
      <c r="J227" s="978">
        <f t="shared" si="45"/>
        <v>83.10499999999999</v>
      </c>
      <c r="K227" s="208"/>
      <c r="L227" s="208"/>
      <c r="M227" s="208"/>
      <c r="N227" s="208"/>
      <c r="O227" s="208"/>
      <c r="P227" s="208"/>
      <c r="Q227" s="208"/>
      <c r="R227" s="208"/>
      <c r="S227" s="208"/>
      <c r="T227" s="208"/>
      <c r="U227" s="208"/>
      <c r="V227" s="208"/>
      <c r="W227" s="208"/>
      <c r="X227" s="208">
        <v>99.87</v>
      </c>
      <c r="Y227" s="714">
        <v>19</v>
      </c>
      <c r="Z227" s="135"/>
      <c r="AA227" s="394" t="str">
        <f t="shared" si="43"/>
        <v/>
      </c>
      <c r="AB227" s="248" t="str">
        <f t="shared" si="44"/>
        <v/>
      </c>
      <c r="AC227" s="135"/>
      <c r="AD227" s="135"/>
      <c r="AE227" s="135"/>
      <c r="AF227" s="135"/>
      <c r="AG227" s="135"/>
      <c r="AH227" s="135"/>
      <c r="AI227" s="135"/>
      <c r="AJ227" s="135"/>
      <c r="AK227" s="135"/>
      <c r="AL227" s="135"/>
      <c r="AM227" s="135"/>
      <c r="AN227" s="135"/>
      <c r="AO227" s="135"/>
      <c r="AP227" s="135"/>
      <c r="AQ227" s="135"/>
      <c r="AR227" s="135"/>
      <c r="AS227" s="135"/>
      <c r="AT227" s="135"/>
      <c r="AU227" s="135"/>
      <c r="AV227" s="135"/>
    </row>
    <row r="228" spans="1:48" s="57" customFormat="1" ht="10.35" customHeight="1" outlineLevel="1" thickBot="1">
      <c r="A228" s="135"/>
      <c r="B228" s="206">
        <f t="shared" si="42"/>
        <v>7</v>
      </c>
      <c r="C228" s="766" t="str">
        <f t="shared" si="41"/>
        <v>Electricity price heat pump</v>
      </c>
      <c r="D228" s="979">
        <v>20</v>
      </c>
      <c r="E228" s="978">
        <v>91.57</v>
      </c>
      <c r="F228" s="978">
        <v>119.25</v>
      </c>
      <c r="G228" s="978">
        <v>89.36</v>
      </c>
      <c r="H228" s="978">
        <v>121.02</v>
      </c>
      <c r="I228" s="978">
        <v>99.5</v>
      </c>
      <c r="J228" s="978">
        <f t="shared" si="45"/>
        <v>105.19</v>
      </c>
      <c r="K228" s="208"/>
      <c r="L228" s="208"/>
      <c r="M228" s="208"/>
      <c r="N228" s="208"/>
      <c r="O228" s="208"/>
      <c r="P228" s="208"/>
      <c r="Q228" s="208"/>
      <c r="R228" s="208"/>
      <c r="S228" s="208"/>
      <c r="T228" s="208"/>
      <c r="U228" s="208"/>
      <c r="V228" s="208"/>
      <c r="W228" s="208"/>
      <c r="X228" s="208">
        <v>91.57</v>
      </c>
      <c r="Y228" s="714">
        <v>20</v>
      </c>
      <c r="Z228" s="135"/>
      <c r="AA228" s="394" t="str">
        <f t="shared" si="43"/>
        <v/>
      </c>
      <c r="AB228" s="248" t="str">
        <f t="shared" si="44"/>
        <v/>
      </c>
      <c r="AC228" s="135"/>
      <c r="AD228" s="135"/>
      <c r="AE228" s="135"/>
      <c r="AF228" s="135"/>
      <c r="AG228" s="135"/>
      <c r="AH228" s="135"/>
      <c r="AI228" s="135"/>
      <c r="AJ228" s="135"/>
      <c r="AK228" s="135"/>
      <c r="AL228" s="135"/>
      <c r="AM228" s="135"/>
      <c r="AN228" s="135"/>
      <c r="AO228" s="135"/>
      <c r="AP228" s="135"/>
      <c r="AQ228" s="135"/>
      <c r="AR228" s="135"/>
      <c r="AS228" s="135"/>
      <c r="AT228" s="135"/>
      <c r="AU228" s="135"/>
      <c r="AV228" s="135"/>
    </row>
    <row r="229" spans="1:48" s="57" customFormat="1" ht="10.35" customHeight="1" outlineLevel="1" thickBot="1">
      <c r="A229" s="135"/>
      <c r="B229" s="206">
        <f t="shared" si="42"/>
        <v>7</v>
      </c>
      <c r="C229" s="766" t="str">
        <f t="shared" si="41"/>
        <v>Electricity price heat pump</v>
      </c>
      <c r="D229" s="979">
        <v>21</v>
      </c>
      <c r="E229" s="978">
        <v>81.97</v>
      </c>
      <c r="F229" s="978">
        <v>93.4</v>
      </c>
      <c r="G229" s="978">
        <v>95.26</v>
      </c>
      <c r="H229" s="978">
        <v>190.46</v>
      </c>
      <c r="I229" s="978">
        <v>115.14</v>
      </c>
      <c r="J229" s="978">
        <f t="shared" si="45"/>
        <v>142.86000000000001</v>
      </c>
      <c r="K229" s="208"/>
      <c r="L229" s="208"/>
      <c r="M229" s="208"/>
      <c r="N229" s="208"/>
      <c r="O229" s="208"/>
      <c r="P229" s="208"/>
      <c r="Q229" s="208"/>
      <c r="R229" s="208"/>
      <c r="S229" s="208"/>
      <c r="T229" s="208"/>
      <c r="U229" s="208"/>
      <c r="V229" s="208"/>
      <c r="W229" s="208"/>
      <c r="X229" s="208">
        <v>81.97</v>
      </c>
      <c r="Y229" s="714">
        <v>21</v>
      </c>
      <c r="Z229" s="135"/>
      <c r="AA229" s="394" t="str">
        <f t="shared" si="43"/>
        <v/>
      </c>
      <c r="AB229" s="248" t="str">
        <f t="shared" si="44"/>
        <v/>
      </c>
      <c r="AC229" s="135"/>
      <c r="AD229" s="135"/>
      <c r="AE229" s="135"/>
      <c r="AF229" s="135"/>
      <c r="AG229" s="135"/>
      <c r="AH229" s="135"/>
      <c r="AI229" s="135"/>
      <c r="AJ229" s="135"/>
      <c r="AK229" s="135"/>
      <c r="AL229" s="135"/>
      <c r="AM229" s="135"/>
      <c r="AN229" s="135"/>
      <c r="AO229" s="135"/>
      <c r="AP229" s="135"/>
      <c r="AQ229" s="135"/>
      <c r="AR229" s="135"/>
      <c r="AS229" s="135"/>
      <c r="AT229" s="135"/>
      <c r="AU229" s="135"/>
      <c r="AV229" s="135"/>
    </row>
    <row r="230" spans="1:48" s="57" customFormat="1" ht="10.35" customHeight="1" outlineLevel="1" thickBot="1">
      <c r="A230" s="135"/>
      <c r="B230" s="206">
        <f t="shared" si="42"/>
        <v>7</v>
      </c>
      <c r="C230" s="766" t="str">
        <f t="shared" si="41"/>
        <v>Electricity price heat pump</v>
      </c>
      <c r="D230" s="979">
        <v>22</v>
      </c>
      <c r="E230" s="978">
        <v>75.739999999999995</v>
      </c>
      <c r="F230" s="978">
        <v>80.150000000000006</v>
      </c>
      <c r="G230" s="978">
        <v>91.07</v>
      </c>
      <c r="H230" s="978">
        <v>120</v>
      </c>
      <c r="I230" s="978">
        <v>115.44</v>
      </c>
      <c r="J230" s="978">
        <f t="shared" si="45"/>
        <v>105.535</v>
      </c>
      <c r="K230" s="208"/>
      <c r="L230" s="208"/>
      <c r="M230" s="208"/>
      <c r="N230" s="208"/>
      <c r="O230" s="208"/>
      <c r="P230" s="208"/>
      <c r="Q230" s="208"/>
      <c r="R230" s="208"/>
      <c r="S230" s="208"/>
      <c r="T230" s="208"/>
      <c r="U230" s="208"/>
      <c r="V230" s="208"/>
      <c r="W230" s="208"/>
      <c r="X230" s="208">
        <v>75.739999999999995</v>
      </c>
      <c r="Y230" s="714">
        <v>22</v>
      </c>
      <c r="Z230" s="135"/>
      <c r="AA230" s="394" t="str">
        <f t="shared" si="43"/>
        <v/>
      </c>
      <c r="AB230" s="248" t="str">
        <f t="shared" si="44"/>
        <v/>
      </c>
      <c r="AC230" s="135"/>
      <c r="AD230" s="135"/>
      <c r="AE230" s="135"/>
      <c r="AF230" s="135"/>
      <c r="AG230" s="135"/>
      <c r="AH230" s="135"/>
      <c r="AI230" s="135"/>
      <c r="AJ230" s="135"/>
      <c r="AK230" s="135"/>
      <c r="AL230" s="135"/>
      <c r="AM230" s="135"/>
      <c r="AN230" s="135"/>
      <c r="AO230" s="135"/>
      <c r="AP230" s="135"/>
      <c r="AQ230" s="135"/>
      <c r="AR230" s="135"/>
      <c r="AS230" s="135"/>
      <c r="AT230" s="135"/>
      <c r="AU230" s="135"/>
      <c r="AV230" s="135"/>
    </row>
    <row r="231" spans="1:48" s="57" customFormat="1" ht="10.35" customHeight="1" outlineLevel="1" thickBot="1">
      <c r="A231" s="135"/>
      <c r="B231" s="206">
        <f t="shared" si="42"/>
        <v>7</v>
      </c>
      <c r="C231" s="766" t="str">
        <f t="shared" si="41"/>
        <v>Electricity price heat pump</v>
      </c>
      <c r="D231" s="979">
        <v>23</v>
      </c>
      <c r="E231" s="978">
        <v>74.680000000000007</v>
      </c>
      <c r="F231" s="978">
        <v>77.98</v>
      </c>
      <c r="G231" s="978">
        <v>89.41</v>
      </c>
      <c r="H231" s="978">
        <v>106.86</v>
      </c>
      <c r="I231" s="978">
        <v>114.33</v>
      </c>
      <c r="J231" s="978">
        <f t="shared" si="45"/>
        <v>98.134999999999991</v>
      </c>
      <c r="K231" s="208"/>
      <c r="L231" s="208"/>
      <c r="M231" s="208"/>
      <c r="N231" s="208"/>
      <c r="O231" s="208"/>
      <c r="P231" s="208"/>
      <c r="Q231" s="208"/>
      <c r="R231" s="208"/>
      <c r="S231" s="208"/>
      <c r="T231" s="208"/>
      <c r="U231" s="208"/>
      <c r="V231" s="208"/>
      <c r="W231" s="208"/>
      <c r="X231" s="208">
        <v>74.680000000000007</v>
      </c>
      <c r="Y231" s="714">
        <v>23</v>
      </c>
      <c r="Z231" s="135"/>
      <c r="AA231" s="394" t="str">
        <f t="shared" si="43"/>
        <v/>
      </c>
      <c r="AB231" s="248" t="str">
        <f t="shared" si="44"/>
        <v/>
      </c>
      <c r="AC231" s="135"/>
      <c r="AD231" s="135"/>
      <c r="AE231" s="135"/>
      <c r="AF231" s="135"/>
      <c r="AG231" s="135"/>
      <c r="AH231" s="135"/>
      <c r="AI231" s="135"/>
      <c r="AJ231" s="135"/>
      <c r="AK231" s="135"/>
      <c r="AL231" s="135"/>
      <c r="AM231" s="135"/>
      <c r="AN231" s="135"/>
      <c r="AO231" s="135"/>
      <c r="AP231" s="135"/>
      <c r="AQ231" s="135"/>
      <c r="AR231" s="135"/>
      <c r="AS231" s="135"/>
      <c r="AT231" s="135"/>
      <c r="AU231" s="135"/>
      <c r="AV231" s="135"/>
    </row>
    <row r="232" spans="1:48" s="57" customFormat="1" ht="10.35" customHeight="1" outlineLevel="1" thickBot="1">
      <c r="A232" s="135"/>
      <c r="B232" s="206">
        <f t="shared" si="42"/>
        <v>7</v>
      </c>
      <c r="C232" s="970" t="str">
        <f t="shared" si="41"/>
        <v>Electricity price heat pump</v>
      </c>
      <c r="D232" s="981">
        <v>24</v>
      </c>
      <c r="E232" s="995">
        <v>69.13</v>
      </c>
      <c r="F232" s="995">
        <v>74.34</v>
      </c>
      <c r="G232" s="995">
        <v>88.46</v>
      </c>
      <c r="H232" s="995">
        <v>91.55</v>
      </c>
      <c r="I232" s="995">
        <v>99.79</v>
      </c>
      <c r="J232" s="995">
        <f t="shared" si="45"/>
        <v>90.004999999999995</v>
      </c>
      <c r="K232" s="208"/>
      <c r="L232" s="208"/>
      <c r="M232" s="208"/>
      <c r="N232" s="208"/>
      <c r="O232" s="208"/>
      <c r="P232" s="208"/>
      <c r="Q232" s="208"/>
      <c r="R232" s="208"/>
      <c r="S232" s="208"/>
      <c r="T232" s="208"/>
      <c r="U232" s="208"/>
      <c r="V232" s="208"/>
      <c r="W232" s="208"/>
      <c r="X232" s="208">
        <v>69.13</v>
      </c>
      <c r="Y232" s="948">
        <v>24</v>
      </c>
      <c r="Z232" s="135"/>
      <c r="AA232" s="394" t="str">
        <f t="shared" si="43"/>
        <v/>
      </c>
      <c r="AB232" s="248" t="str">
        <f t="shared" si="44"/>
        <v/>
      </c>
      <c r="AC232" s="135"/>
      <c r="AD232" s="135"/>
      <c r="AE232" s="135"/>
      <c r="AF232" s="135"/>
      <c r="AG232" s="135"/>
      <c r="AH232" s="135"/>
      <c r="AI232" s="135"/>
      <c r="AJ232" s="135"/>
      <c r="AK232" s="135"/>
      <c r="AL232" s="135"/>
      <c r="AM232" s="135"/>
      <c r="AN232" s="135"/>
      <c r="AO232" s="135"/>
      <c r="AP232" s="135"/>
      <c r="AQ232" s="135"/>
      <c r="AR232" s="135"/>
      <c r="AS232" s="135"/>
      <c r="AT232" s="135"/>
      <c r="AU232" s="135"/>
      <c r="AV232" s="135"/>
    </row>
    <row r="233" spans="1:48" s="57" customFormat="1" ht="11.25">
      <c r="A233" s="135"/>
      <c r="B233" s="206">
        <f t="shared" si="42"/>
        <v>7</v>
      </c>
      <c r="C233" s="537"/>
      <c r="D233" s="537" t="s">
        <v>349</v>
      </c>
      <c r="E233" s="213">
        <f t="shared" ref="E233:X233" si="46">SUM(E209:E232)/24</f>
        <v>73.662083333333328</v>
      </c>
      <c r="F233" s="213">
        <f t="shared" si="46"/>
        <v>82.834999999999994</v>
      </c>
      <c r="G233" s="213">
        <f t="shared" si="46"/>
        <v>55.150833333333338</v>
      </c>
      <c r="H233" s="213">
        <f t="shared" si="46"/>
        <v>85.90124999999999</v>
      </c>
      <c r="I233" s="213">
        <f t="shared" si="46"/>
        <v>50.047500000000007</v>
      </c>
      <c r="J233" s="996">
        <f t="shared" si="46"/>
        <v>70.526041666666686</v>
      </c>
      <c r="K233" s="213">
        <f t="shared" si="46"/>
        <v>0</v>
      </c>
      <c r="L233" s="213">
        <f t="shared" si="46"/>
        <v>0</v>
      </c>
      <c r="M233" s="213">
        <f t="shared" si="46"/>
        <v>0</v>
      </c>
      <c r="N233" s="213">
        <f t="shared" si="46"/>
        <v>0</v>
      </c>
      <c r="O233" s="213">
        <f t="shared" si="46"/>
        <v>0</v>
      </c>
      <c r="P233" s="213">
        <f t="shared" si="46"/>
        <v>0</v>
      </c>
      <c r="Q233" s="213">
        <f t="shared" si="46"/>
        <v>0</v>
      </c>
      <c r="R233" s="213">
        <f t="shared" si="46"/>
        <v>0</v>
      </c>
      <c r="S233" s="213">
        <f t="shared" si="46"/>
        <v>0</v>
      </c>
      <c r="T233" s="213">
        <f t="shared" si="46"/>
        <v>0</v>
      </c>
      <c r="U233" s="213">
        <f t="shared" si="46"/>
        <v>0</v>
      </c>
      <c r="V233" s="213">
        <f t="shared" si="46"/>
        <v>0</v>
      </c>
      <c r="W233" s="213">
        <f t="shared" si="46"/>
        <v>0</v>
      </c>
      <c r="X233" s="213">
        <f t="shared" si="46"/>
        <v>73.662083333333328</v>
      </c>
      <c r="Y233" s="723" t="s">
        <v>349</v>
      </c>
      <c r="Z233" s="135"/>
      <c r="AA233" s="135"/>
      <c r="AB233" s="135"/>
      <c r="AC233" s="135"/>
      <c r="AD233" s="135"/>
      <c r="AE233" s="135"/>
      <c r="AF233" s="135"/>
      <c r="AG233" s="135"/>
      <c r="AH233" s="135"/>
      <c r="AI233" s="135"/>
      <c r="AJ233" s="135"/>
      <c r="AK233" s="135"/>
      <c r="AL233" s="135"/>
      <c r="AM233" s="135"/>
      <c r="AN233" s="135"/>
      <c r="AO233" s="135"/>
      <c r="AP233" s="135"/>
      <c r="AQ233" s="135"/>
      <c r="AR233" s="135"/>
      <c r="AS233" s="135"/>
      <c r="AT233" s="135"/>
      <c r="AU233" s="135"/>
      <c r="AV233" s="135"/>
    </row>
    <row r="234" spans="1:48" s="57" customFormat="1" ht="11.25">
      <c r="A234" s="135"/>
      <c r="B234" s="206">
        <f t="shared" si="42"/>
        <v>7</v>
      </c>
      <c r="E234" s="8"/>
      <c r="F234" s="8"/>
      <c r="G234" s="8"/>
      <c r="H234" s="8"/>
      <c r="I234" s="8"/>
      <c r="J234" s="8"/>
      <c r="K234" s="8"/>
      <c r="L234" s="8"/>
      <c r="M234" s="8"/>
      <c r="N234" s="8"/>
      <c r="O234" s="8"/>
      <c r="P234" s="8"/>
      <c r="Q234" s="8"/>
      <c r="R234" s="8"/>
      <c r="S234" s="8"/>
      <c r="T234" s="8"/>
      <c r="U234" s="8"/>
      <c r="V234" s="8"/>
      <c r="W234" s="8"/>
      <c r="X234" s="8"/>
      <c r="Y234" s="8"/>
      <c r="Z234" s="135"/>
      <c r="AA234" s="135"/>
      <c r="AB234" s="135"/>
      <c r="AC234" s="135"/>
      <c r="AD234" s="135"/>
      <c r="AE234" s="135"/>
      <c r="AF234" s="135"/>
      <c r="AG234" s="135"/>
      <c r="AH234" s="135"/>
      <c r="AI234" s="135"/>
      <c r="AJ234" s="135"/>
      <c r="AK234" s="135"/>
      <c r="AL234" s="135"/>
      <c r="AM234" s="135"/>
      <c r="AN234" s="135"/>
      <c r="AO234" s="135"/>
      <c r="AP234" s="135"/>
      <c r="AQ234" s="135"/>
      <c r="AR234" s="135"/>
      <c r="AS234" s="135"/>
      <c r="AT234" s="135"/>
      <c r="AU234" s="135"/>
      <c r="AV234" s="135"/>
    </row>
    <row r="235" spans="1:48" s="57" customFormat="1" ht="25.35" customHeight="1">
      <c r="A235" s="1009" t="s">
        <v>73</v>
      </c>
      <c r="B235" s="206">
        <f>B230+1</f>
        <v>8</v>
      </c>
      <c r="C235" s="807" t="str">
        <f>E235</f>
        <v>Energy price for energy used by booster</v>
      </c>
      <c r="D235" s="713" t="s">
        <v>345</v>
      </c>
      <c r="E235" s="1117" t="s">
        <v>364</v>
      </c>
      <c r="F235" s="1117"/>
      <c r="G235" s="1117"/>
      <c r="H235" s="1117"/>
      <c r="I235" s="1117"/>
      <c r="J235" s="1117"/>
      <c r="K235" s="1117"/>
      <c r="L235" s="1117"/>
      <c r="M235" s="1117"/>
      <c r="N235" s="1117"/>
      <c r="O235" s="1117"/>
      <c r="P235" s="1117"/>
      <c r="Q235" s="1117"/>
      <c r="R235" s="1117"/>
      <c r="S235" s="1117"/>
      <c r="T235" s="1117"/>
      <c r="U235" s="1117"/>
      <c r="V235" s="1117"/>
      <c r="W235" s="1117"/>
      <c r="X235" s="1117"/>
      <c r="Y235" s="999" t="s">
        <v>345</v>
      </c>
      <c r="Z235" s="135"/>
      <c r="AA235" s="135"/>
      <c r="AB235" s="135"/>
      <c r="AC235" s="135"/>
      <c r="AD235" s="135"/>
      <c r="AE235" s="135"/>
      <c r="AF235" s="135"/>
      <c r="AG235" s="135"/>
      <c r="AH235" s="135"/>
      <c r="AI235" s="135"/>
      <c r="AJ235" s="135"/>
      <c r="AK235" s="135"/>
      <c r="AL235" s="135"/>
      <c r="AM235" s="135"/>
      <c r="AN235" s="135"/>
      <c r="AO235" s="135"/>
      <c r="AP235" s="135"/>
      <c r="AQ235" s="135"/>
      <c r="AR235" s="135"/>
      <c r="AS235" s="135"/>
      <c r="AT235" s="135"/>
      <c r="AU235" s="135"/>
      <c r="AV235" s="135"/>
    </row>
    <row r="236" spans="1:48" s="57" customFormat="1" ht="11.85" customHeight="1" outlineLevel="1">
      <c r="A236" s="135"/>
      <c r="B236" s="206">
        <f>B235</f>
        <v>8</v>
      </c>
      <c r="C236" s="807" t="str">
        <f t="shared" si="41"/>
        <v>Energy price for energy used by booster</v>
      </c>
      <c r="D236" s="945"/>
      <c r="E236" s="1119" t="s">
        <v>365</v>
      </c>
      <c r="F236" s="1119"/>
      <c r="G236" s="1119"/>
      <c r="H236" s="1119"/>
      <c r="I236" s="1119"/>
      <c r="J236" s="1119"/>
      <c r="K236" s="1119"/>
      <c r="L236" s="1119"/>
      <c r="M236" s="1119"/>
      <c r="N236" s="1119"/>
      <c r="O236" s="1119"/>
      <c r="P236" s="1119"/>
      <c r="Q236" s="1119"/>
      <c r="R236" s="1119"/>
      <c r="S236" s="1119"/>
      <c r="T236" s="1119"/>
      <c r="U236" s="1119"/>
      <c r="V236" s="1119"/>
      <c r="W236" s="1119"/>
      <c r="X236" s="1119"/>
      <c r="Y236" s="655"/>
      <c r="Z236" s="135"/>
      <c r="AA236" s="135"/>
      <c r="AB236" s="135"/>
      <c r="AC236" s="135"/>
      <c r="AD236" s="135"/>
      <c r="AE236" s="135"/>
      <c r="AF236" s="135"/>
      <c r="AG236" s="135"/>
      <c r="AH236" s="135"/>
      <c r="AI236" s="135"/>
      <c r="AJ236" s="135"/>
      <c r="AK236" s="135"/>
      <c r="AL236" s="135"/>
      <c r="AM236" s="135"/>
      <c r="AN236" s="135"/>
      <c r="AO236" s="135"/>
      <c r="AP236" s="135"/>
      <c r="AQ236" s="135"/>
      <c r="AR236" s="135"/>
      <c r="AS236" s="135"/>
      <c r="AT236" s="135"/>
      <c r="AU236" s="135"/>
      <c r="AV236" s="135"/>
    </row>
    <row r="237" spans="1:48" s="57" customFormat="1" ht="35.450000000000003" customHeight="1" outlineLevel="1">
      <c r="A237" s="135"/>
      <c r="B237" s="206">
        <f t="shared" ref="B237:B263" si="47">B236</f>
        <v>8</v>
      </c>
      <c r="C237" s="1004" t="str">
        <f t="shared" si="41"/>
        <v>Energy price for energy used by booster</v>
      </c>
      <c r="D237" s="1007"/>
      <c r="E237" s="1109" t="s">
        <v>366</v>
      </c>
      <c r="F237" s="1109"/>
      <c r="G237" s="1109"/>
      <c r="H237" s="1109"/>
      <c r="I237" s="1109"/>
      <c r="J237" s="1109"/>
      <c r="K237" s="1109"/>
      <c r="L237" s="1109"/>
      <c r="M237" s="1109"/>
      <c r="N237" s="1109"/>
      <c r="O237" s="1109"/>
      <c r="P237" s="1109"/>
      <c r="Q237" s="1109"/>
      <c r="R237" s="1109"/>
      <c r="S237" s="1109"/>
      <c r="T237" s="1109"/>
      <c r="U237" s="1109"/>
      <c r="V237" s="1109"/>
      <c r="W237" s="1109"/>
      <c r="X237" s="1109"/>
      <c r="Y237" s="1007"/>
      <c r="Z237" s="135"/>
      <c r="AA237" s="135"/>
      <c r="AB237" s="135"/>
      <c r="AC237" s="135"/>
      <c r="AD237" s="135"/>
      <c r="AE237" s="135"/>
      <c r="AF237" s="135"/>
      <c r="AG237" s="135"/>
      <c r="AH237" s="135"/>
      <c r="AI237" s="135"/>
      <c r="AJ237" s="135"/>
      <c r="AK237" s="135"/>
      <c r="AL237" s="135"/>
      <c r="AM237" s="135"/>
      <c r="AN237" s="135"/>
      <c r="AO237" s="135"/>
      <c r="AP237" s="135"/>
      <c r="AQ237" s="135"/>
      <c r="AR237" s="135"/>
      <c r="AS237" s="135"/>
      <c r="AT237" s="135"/>
      <c r="AU237" s="135"/>
      <c r="AV237" s="135"/>
    </row>
    <row r="238" spans="1:48" s="57" customFormat="1" ht="10.35" customHeight="1" outlineLevel="1" thickBot="1">
      <c r="A238" s="135"/>
      <c r="B238" s="206">
        <f>B237</f>
        <v>8</v>
      </c>
      <c r="C238" s="990" t="str">
        <f t="shared" si="41"/>
        <v>Energy price for energy used by booster</v>
      </c>
      <c r="D238" s="991">
        <v>1</v>
      </c>
      <c r="E238" s="992">
        <v>66</v>
      </c>
      <c r="F238" s="992">
        <v>71</v>
      </c>
      <c r="G238" s="992">
        <v>81.849999999999994</v>
      </c>
      <c r="H238" s="992">
        <v>90.11</v>
      </c>
      <c r="I238" s="992">
        <v>90.49</v>
      </c>
      <c r="J238" s="992">
        <f>AVERAGE(G238:H238)</f>
        <v>85.97999999999999</v>
      </c>
      <c r="K238" s="993"/>
      <c r="L238" s="993"/>
      <c r="M238" s="993"/>
      <c r="N238" s="993"/>
      <c r="O238" s="993"/>
      <c r="P238" s="993"/>
      <c r="Q238" s="993"/>
      <c r="R238" s="993"/>
      <c r="S238" s="993"/>
      <c r="T238" s="993"/>
      <c r="U238" s="993"/>
      <c r="V238" s="993"/>
      <c r="W238" s="993"/>
      <c r="X238" s="993">
        <v>66</v>
      </c>
      <c r="Y238" s="1006">
        <v>1</v>
      </c>
      <c r="Z238" s="135"/>
      <c r="AA238" s="371" t="str">
        <f t="shared" ref="AA238:AA261" si="48">AB238</f>
        <v/>
      </c>
      <c r="AB238" s="248" t="str">
        <f t="shared" ref="AB238:AB261" si="49">IF(IFERROR((1+X238+W238+V238+U238+T238+S238+R238+Q238+P238+O238+N238+M238+L238+K238+J238+I238+H238+G238+F238+E238)*1, "!!!!")="!!!!","Inputs contain non-numerical data. Please check your input data!","")</f>
        <v/>
      </c>
      <c r="AC238" s="135"/>
      <c r="AD238" s="135"/>
      <c r="AE238" s="135"/>
      <c r="AF238" s="135"/>
      <c r="AG238" s="135"/>
      <c r="AH238" s="135"/>
      <c r="AI238" s="135"/>
      <c r="AJ238" s="135"/>
      <c r="AK238" s="135"/>
      <c r="AL238" s="135"/>
      <c r="AM238" s="135"/>
      <c r="AN238" s="135"/>
      <c r="AO238" s="135"/>
      <c r="AP238" s="135"/>
      <c r="AQ238" s="135"/>
      <c r="AR238" s="135"/>
      <c r="AS238" s="135"/>
      <c r="AT238" s="135"/>
      <c r="AU238" s="135"/>
      <c r="AV238" s="135"/>
    </row>
    <row r="239" spans="1:48" s="57" customFormat="1" ht="10.35" customHeight="1" outlineLevel="1" thickBot="1">
      <c r="A239" s="135"/>
      <c r="B239" s="206">
        <f t="shared" si="47"/>
        <v>8</v>
      </c>
      <c r="C239" s="766" t="str">
        <f t="shared" si="41"/>
        <v>Energy price for energy used by booster</v>
      </c>
      <c r="D239" s="979">
        <v>2</v>
      </c>
      <c r="E239" s="978">
        <v>63.45</v>
      </c>
      <c r="F239" s="978">
        <v>70.7</v>
      </c>
      <c r="G239" s="978">
        <v>70.59</v>
      </c>
      <c r="H239" s="978">
        <v>80.45</v>
      </c>
      <c r="I239" s="978">
        <v>79.25</v>
      </c>
      <c r="J239" s="978">
        <f t="shared" ref="J239:J261" si="50">AVERAGE(G239:H239)</f>
        <v>75.52000000000001</v>
      </c>
      <c r="K239" s="208"/>
      <c r="L239" s="208"/>
      <c r="M239" s="208"/>
      <c r="N239" s="208"/>
      <c r="O239" s="208"/>
      <c r="P239" s="208"/>
      <c r="Q239" s="208"/>
      <c r="R239" s="208"/>
      <c r="S239" s="208"/>
      <c r="T239" s="208"/>
      <c r="U239" s="208"/>
      <c r="V239" s="208"/>
      <c r="W239" s="208"/>
      <c r="X239" s="208">
        <v>63.45</v>
      </c>
      <c r="Y239" s="714">
        <v>2</v>
      </c>
      <c r="Z239" s="135"/>
      <c r="AA239" s="394" t="str">
        <f t="shared" si="48"/>
        <v/>
      </c>
      <c r="AB239" s="248" t="str">
        <f t="shared" si="49"/>
        <v/>
      </c>
      <c r="AC239" s="135"/>
      <c r="AD239" s="135"/>
      <c r="AE239" s="135"/>
      <c r="AF239" s="135"/>
      <c r="AG239" s="135"/>
      <c r="AH239" s="135"/>
      <c r="AI239" s="135"/>
      <c r="AJ239" s="135"/>
      <c r="AK239" s="135"/>
      <c r="AL239" s="135"/>
      <c r="AM239" s="135"/>
      <c r="AN239" s="135"/>
      <c r="AO239" s="135"/>
      <c r="AP239" s="135"/>
      <c r="AQ239" s="135"/>
      <c r="AR239" s="135"/>
      <c r="AS239" s="135"/>
      <c r="AT239" s="135"/>
      <c r="AU239" s="135"/>
      <c r="AV239" s="135"/>
    </row>
    <row r="240" spans="1:48" s="57" customFormat="1" ht="10.35" customHeight="1" outlineLevel="1" thickBot="1">
      <c r="A240" s="135"/>
      <c r="B240" s="206">
        <f t="shared" si="47"/>
        <v>8</v>
      </c>
      <c r="C240" s="766" t="str">
        <f t="shared" si="41"/>
        <v>Energy price for energy used by booster</v>
      </c>
      <c r="D240" s="979">
        <v>3</v>
      </c>
      <c r="E240" s="978">
        <v>63.54</v>
      </c>
      <c r="F240" s="978">
        <v>70.459999999999994</v>
      </c>
      <c r="G240" s="978">
        <v>69.53</v>
      </c>
      <c r="H240" s="978">
        <v>79.91</v>
      </c>
      <c r="I240" s="978">
        <v>71.239999999999995</v>
      </c>
      <c r="J240" s="978">
        <f t="shared" si="50"/>
        <v>74.72</v>
      </c>
      <c r="K240" s="208"/>
      <c r="L240" s="208"/>
      <c r="M240" s="208"/>
      <c r="N240" s="208"/>
      <c r="O240" s="208"/>
      <c r="P240" s="208"/>
      <c r="Q240" s="208"/>
      <c r="R240" s="208"/>
      <c r="S240" s="208"/>
      <c r="T240" s="208"/>
      <c r="U240" s="208"/>
      <c r="V240" s="208"/>
      <c r="W240" s="208"/>
      <c r="X240" s="208">
        <v>63.54</v>
      </c>
      <c r="Y240" s="714">
        <v>3</v>
      </c>
      <c r="Z240" s="135"/>
      <c r="AA240" s="394" t="str">
        <f t="shared" si="48"/>
        <v/>
      </c>
      <c r="AB240" s="248" t="str">
        <f t="shared" si="49"/>
        <v/>
      </c>
      <c r="AC240" s="135"/>
      <c r="AD240" s="135"/>
      <c r="AE240" s="135"/>
      <c r="AF240" s="135"/>
      <c r="AG240" s="135"/>
      <c r="AH240" s="135"/>
      <c r="AI240" s="135"/>
      <c r="AJ240" s="135"/>
      <c r="AK240" s="135"/>
      <c r="AL240" s="135"/>
      <c r="AM240" s="135"/>
      <c r="AN240" s="135"/>
      <c r="AO240" s="135"/>
      <c r="AP240" s="135"/>
      <c r="AQ240" s="135"/>
      <c r="AR240" s="135"/>
      <c r="AS240" s="135"/>
      <c r="AT240" s="135"/>
      <c r="AU240" s="135"/>
      <c r="AV240" s="135"/>
    </row>
    <row r="241" spans="1:48" s="57" customFormat="1" ht="10.35" customHeight="1" outlineLevel="1" thickBot="1">
      <c r="A241" s="135"/>
      <c r="B241" s="206">
        <f t="shared" si="47"/>
        <v>8</v>
      </c>
      <c r="C241" s="766" t="str">
        <f t="shared" si="41"/>
        <v>Energy price for energy used by booster</v>
      </c>
      <c r="D241" s="979">
        <v>4</v>
      </c>
      <c r="E241" s="978">
        <v>61.82</v>
      </c>
      <c r="F241" s="978">
        <v>69.739999999999995</v>
      </c>
      <c r="G241" s="978">
        <v>64.400000000000006</v>
      </c>
      <c r="H241" s="978">
        <v>79.290000000000006</v>
      </c>
      <c r="I241" s="978">
        <v>70.67</v>
      </c>
      <c r="J241" s="978">
        <f t="shared" si="50"/>
        <v>71.844999999999999</v>
      </c>
      <c r="K241" s="208"/>
      <c r="L241" s="208"/>
      <c r="M241" s="208"/>
      <c r="N241" s="208"/>
      <c r="O241" s="208"/>
      <c r="P241" s="208"/>
      <c r="Q241" s="208"/>
      <c r="R241" s="208"/>
      <c r="S241" s="208"/>
      <c r="T241" s="208"/>
      <c r="U241" s="208"/>
      <c r="V241" s="208"/>
      <c r="W241" s="208"/>
      <c r="X241" s="208">
        <v>61.82</v>
      </c>
      <c r="Y241" s="714">
        <v>4</v>
      </c>
      <c r="Z241" s="135"/>
      <c r="AA241" s="394" t="str">
        <f t="shared" si="48"/>
        <v/>
      </c>
      <c r="AB241" s="248" t="str">
        <f t="shared" si="49"/>
        <v/>
      </c>
      <c r="AC241" s="135"/>
      <c r="AD241" s="135"/>
      <c r="AE241" s="135"/>
      <c r="AF241" s="135"/>
      <c r="AG241" s="135"/>
      <c r="AH241" s="135"/>
      <c r="AI241" s="135"/>
      <c r="AJ241" s="135"/>
      <c r="AK241" s="135"/>
      <c r="AL241" s="135"/>
      <c r="AM241" s="135"/>
      <c r="AN241" s="135"/>
      <c r="AO241" s="135"/>
      <c r="AP241" s="135"/>
      <c r="AQ241" s="135"/>
      <c r="AR241" s="135"/>
      <c r="AS241" s="135"/>
      <c r="AT241" s="135"/>
      <c r="AU241" s="135"/>
      <c r="AV241" s="135"/>
    </row>
    <row r="242" spans="1:48" s="57" customFormat="1" ht="10.35" customHeight="1" outlineLevel="1" thickBot="1">
      <c r="A242" s="135"/>
      <c r="B242" s="206">
        <f t="shared" si="47"/>
        <v>8</v>
      </c>
      <c r="C242" s="766" t="str">
        <f t="shared" si="41"/>
        <v>Energy price for energy used by booster</v>
      </c>
      <c r="D242" s="979">
        <v>5</v>
      </c>
      <c r="E242" s="978">
        <v>61.85</v>
      </c>
      <c r="F242" s="978">
        <v>70.459999999999994</v>
      </c>
      <c r="G242" s="978">
        <v>63.88</v>
      </c>
      <c r="H242" s="978">
        <v>83.38</v>
      </c>
      <c r="I242" s="978">
        <v>66.94</v>
      </c>
      <c r="J242" s="978">
        <f t="shared" si="50"/>
        <v>73.63</v>
      </c>
      <c r="K242" s="208"/>
      <c r="L242" s="208"/>
      <c r="M242" s="208"/>
      <c r="N242" s="208"/>
      <c r="O242" s="208"/>
      <c r="P242" s="208"/>
      <c r="Q242" s="208"/>
      <c r="R242" s="208"/>
      <c r="S242" s="208"/>
      <c r="T242" s="208"/>
      <c r="U242" s="208"/>
      <c r="V242" s="208"/>
      <c r="W242" s="208"/>
      <c r="X242" s="208">
        <v>61.85</v>
      </c>
      <c r="Y242" s="714">
        <v>5</v>
      </c>
      <c r="Z242" s="135"/>
      <c r="AA242" s="394" t="str">
        <f t="shared" si="48"/>
        <v/>
      </c>
      <c r="AB242" s="248" t="str">
        <f t="shared" si="49"/>
        <v/>
      </c>
      <c r="AC242" s="135"/>
      <c r="AD242" s="135"/>
      <c r="AE242" s="135"/>
      <c r="AF242" s="135"/>
      <c r="AG242" s="135"/>
      <c r="AH242" s="135"/>
      <c r="AI242" s="135"/>
      <c r="AJ242" s="135"/>
      <c r="AK242" s="135"/>
      <c r="AL242" s="135"/>
      <c r="AM242" s="135"/>
      <c r="AN242" s="135"/>
      <c r="AO242" s="135"/>
      <c r="AP242" s="135"/>
      <c r="AQ242" s="135"/>
      <c r="AR242" s="135"/>
      <c r="AS242" s="135"/>
      <c r="AT242" s="135"/>
      <c r="AU242" s="135"/>
      <c r="AV242" s="135"/>
    </row>
    <row r="243" spans="1:48" s="57" customFormat="1" ht="10.35" customHeight="1" outlineLevel="1" thickBot="1">
      <c r="A243" s="135"/>
      <c r="B243" s="206">
        <f t="shared" si="47"/>
        <v>8</v>
      </c>
      <c r="C243" s="766" t="str">
        <f t="shared" si="41"/>
        <v>Energy price for energy used by booster</v>
      </c>
      <c r="D243" s="979">
        <v>6</v>
      </c>
      <c r="E243" s="978">
        <v>61.75</v>
      </c>
      <c r="F243" s="978">
        <v>73.91</v>
      </c>
      <c r="G243" s="978">
        <v>63.62</v>
      </c>
      <c r="H243" s="978">
        <v>91.38</v>
      </c>
      <c r="I243" s="978">
        <v>62.09</v>
      </c>
      <c r="J243" s="978">
        <f t="shared" si="50"/>
        <v>77.5</v>
      </c>
      <c r="K243" s="208"/>
      <c r="L243" s="208"/>
      <c r="M243" s="208"/>
      <c r="N243" s="208"/>
      <c r="O243" s="208"/>
      <c r="P243" s="208"/>
      <c r="Q243" s="208"/>
      <c r="R243" s="208"/>
      <c r="S243" s="208"/>
      <c r="T243" s="208"/>
      <c r="U243" s="208"/>
      <c r="V243" s="208"/>
      <c r="W243" s="208"/>
      <c r="X243" s="208">
        <v>61.75</v>
      </c>
      <c r="Y243" s="714">
        <v>6</v>
      </c>
      <c r="Z243" s="135"/>
      <c r="AA243" s="394" t="str">
        <f t="shared" si="48"/>
        <v/>
      </c>
      <c r="AB243" s="248" t="str">
        <f t="shared" si="49"/>
        <v/>
      </c>
      <c r="AC243" s="135"/>
      <c r="AD243" s="135"/>
      <c r="AE243" s="135"/>
      <c r="AF243" s="135"/>
      <c r="AG243" s="135"/>
      <c r="AH243" s="135"/>
      <c r="AI243" s="135"/>
      <c r="AJ243" s="135"/>
      <c r="AK243" s="135"/>
      <c r="AL243" s="135"/>
      <c r="AM243" s="135"/>
      <c r="AN243" s="135"/>
      <c r="AO243" s="135"/>
      <c r="AP243" s="135"/>
      <c r="AQ243" s="135"/>
      <c r="AR243" s="135"/>
      <c r="AS243" s="135"/>
      <c r="AT243" s="135"/>
      <c r="AU243" s="135"/>
      <c r="AV243" s="135"/>
    </row>
    <row r="244" spans="1:48" s="57" customFormat="1" ht="10.35" customHeight="1" outlineLevel="1" thickBot="1">
      <c r="A244" s="135"/>
      <c r="B244" s="206">
        <f t="shared" si="47"/>
        <v>8</v>
      </c>
      <c r="C244" s="766" t="str">
        <f t="shared" si="41"/>
        <v>Energy price for energy used by booster</v>
      </c>
      <c r="D244" s="979">
        <v>7</v>
      </c>
      <c r="E244" s="978">
        <v>62.59</v>
      </c>
      <c r="F244" s="978">
        <v>83.98</v>
      </c>
      <c r="G244" s="978">
        <v>64.430000000000007</v>
      </c>
      <c r="H244" s="978">
        <v>115.6</v>
      </c>
      <c r="I244" s="978">
        <v>57.9</v>
      </c>
      <c r="J244" s="978">
        <f t="shared" si="50"/>
        <v>90.015000000000001</v>
      </c>
      <c r="K244" s="208"/>
      <c r="L244" s="208"/>
      <c r="M244" s="208"/>
      <c r="N244" s="208"/>
      <c r="O244" s="208"/>
      <c r="P244" s="208"/>
      <c r="Q244" s="208"/>
      <c r="R244" s="208"/>
      <c r="S244" s="208"/>
      <c r="T244" s="208"/>
      <c r="U244" s="208"/>
      <c r="V244" s="208"/>
      <c r="W244" s="208"/>
      <c r="X244" s="208">
        <v>62.59</v>
      </c>
      <c r="Y244" s="714">
        <v>7</v>
      </c>
      <c r="Z244" s="135"/>
      <c r="AA244" s="394" t="str">
        <f t="shared" si="48"/>
        <v/>
      </c>
      <c r="AB244" s="248" t="str">
        <f t="shared" si="49"/>
        <v/>
      </c>
      <c r="AC244" s="135"/>
      <c r="AD244" s="135"/>
      <c r="AE244" s="135"/>
      <c r="AF244" s="135"/>
      <c r="AG244" s="135"/>
      <c r="AH244" s="135"/>
      <c r="AI244" s="135"/>
      <c r="AJ244" s="135"/>
      <c r="AK244" s="135"/>
      <c r="AL244" s="135"/>
      <c r="AM244" s="135"/>
      <c r="AN244" s="135"/>
      <c r="AO244" s="135"/>
      <c r="AP244" s="135"/>
      <c r="AQ244" s="135"/>
      <c r="AR244" s="135"/>
      <c r="AS244" s="135"/>
      <c r="AT244" s="135"/>
      <c r="AU244" s="135"/>
      <c r="AV244" s="135"/>
    </row>
    <row r="245" spans="1:48" s="57" customFormat="1" ht="10.35" customHeight="1" outlineLevel="1" thickBot="1">
      <c r="A245" s="135"/>
      <c r="B245" s="206">
        <f t="shared" si="47"/>
        <v>8</v>
      </c>
      <c r="C245" s="766" t="str">
        <f t="shared" si="41"/>
        <v>Energy price for energy used by booster</v>
      </c>
      <c r="D245" s="979">
        <v>8</v>
      </c>
      <c r="E245" s="978">
        <v>66.900000000000006</v>
      </c>
      <c r="F245" s="978">
        <v>106.64</v>
      </c>
      <c r="G245" s="978">
        <v>60.53</v>
      </c>
      <c r="H245" s="978">
        <v>110.72</v>
      </c>
      <c r="I245" s="978">
        <v>46.35</v>
      </c>
      <c r="J245" s="978">
        <f t="shared" si="50"/>
        <v>85.625</v>
      </c>
      <c r="K245" s="208"/>
      <c r="L245" s="208"/>
      <c r="M245" s="208"/>
      <c r="N245" s="208"/>
      <c r="O245" s="208"/>
      <c r="P245" s="208"/>
      <c r="Q245" s="208"/>
      <c r="R245" s="208"/>
      <c r="S245" s="208"/>
      <c r="T245" s="208"/>
      <c r="U245" s="208"/>
      <c r="V245" s="208"/>
      <c r="W245" s="208"/>
      <c r="X245" s="208">
        <v>66.900000000000006</v>
      </c>
      <c r="Y245" s="714">
        <v>8</v>
      </c>
      <c r="Z245" s="135"/>
      <c r="AA245" s="394" t="str">
        <f t="shared" si="48"/>
        <v/>
      </c>
      <c r="AB245" s="248" t="str">
        <f t="shared" si="49"/>
        <v/>
      </c>
      <c r="AC245" s="135"/>
      <c r="AD245" s="135"/>
      <c r="AE245" s="135"/>
      <c r="AF245" s="135"/>
      <c r="AG245" s="135"/>
      <c r="AH245" s="135"/>
      <c r="AI245" s="135"/>
      <c r="AJ245" s="135"/>
      <c r="AK245" s="135"/>
      <c r="AL245" s="135"/>
      <c r="AM245" s="135"/>
      <c r="AN245" s="135"/>
      <c r="AO245" s="135"/>
      <c r="AP245" s="135"/>
      <c r="AQ245" s="135"/>
      <c r="AR245" s="135"/>
      <c r="AS245" s="135"/>
      <c r="AT245" s="135"/>
      <c r="AU245" s="135"/>
      <c r="AV245" s="135"/>
    </row>
    <row r="246" spans="1:48" s="57" customFormat="1" ht="10.35" customHeight="1" outlineLevel="1" thickBot="1">
      <c r="A246" s="135"/>
      <c r="B246" s="206">
        <f t="shared" si="47"/>
        <v>8</v>
      </c>
      <c r="C246" s="766" t="str">
        <f t="shared" si="41"/>
        <v>Energy price for energy used by booster</v>
      </c>
      <c r="D246" s="979">
        <v>9</v>
      </c>
      <c r="E246" s="978">
        <v>74.819999999999993</v>
      </c>
      <c r="F246" s="978">
        <v>108.7</v>
      </c>
      <c r="G246" s="978">
        <v>60.88</v>
      </c>
      <c r="H246" s="978">
        <v>98.4</v>
      </c>
      <c r="I246" s="978">
        <v>19.77</v>
      </c>
      <c r="J246" s="978">
        <f t="shared" si="50"/>
        <v>79.64</v>
      </c>
      <c r="K246" s="208"/>
      <c r="L246" s="208"/>
      <c r="M246" s="208"/>
      <c r="N246" s="208"/>
      <c r="O246" s="208"/>
      <c r="P246" s="208"/>
      <c r="Q246" s="208"/>
      <c r="R246" s="208"/>
      <c r="S246" s="208"/>
      <c r="T246" s="208"/>
      <c r="U246" s="208"/>
      <c r="V246" s="208"/>
      <c r="W246" s="208"/>
      <c r="X246" s="208">
        <v>74.819999999999993</v>
      </c>
      <c r="Y246" s="714">
        <v>9</v>
      </c>
      <c r="Z246" s="135"/>
      <c r="AA246" s="394" t="str">
        <f t="shared" si="48"/>
        <v/>
      </c>
      <c r="AB246" s="248" t="str">
        <f t="shared" si="49"/>
        <v/>
      </c>
      <c r="AC246" s="135"/>
      <c r="AD246" s="135"/>
      <c r="AE246" s="135"/>
      <c r="AF246" s="135"/>
      <c r="AG246" s="135"/>
      <c r="AH246" s="135"/>
      <c r="AI246" s="135"/>
      <c r="AJ246" s="135"/>
      <c r="AK246" s="135"/>
      <c r="AL246" s="135"/>
      <c r="AM246" s="135"/>
      <c r="AN246" s="135"/>
      <c r="AO246" s="135"/>
      <c r="AP246" s="135"/>
      <c r="AQ246" s="135"/>
      <c r="AR246" s="135"/>
      <c r="AS246" s="135"/>
      <c r="AT246" s="135"/>
      <c r="AU246" s="135"/>
      <c r="AV246" s="135"/>
    </row>
    <row r="247" spans="1:48" s="57" customFormat="1" ht="10.35" customHeight="1" outlineLevel="1" thickBot="1">
      <c r="A247" s="135"/>
      <c r="B247" s="206">
        <f t="shared" si="47"/>
        <v>8</v>
      </c>
      <c r="C247" s="766" t="str">
        <f t="shared" si="41"/>
        <v>Energy price for energy used by booster</v>
      </c>
      <c r="D247" s="979">
        <v>10</v>
      </c>
      <c r="E247" s="978">
        <v>77.900000000000006</v>
      </c>
      <c r="F247" s="978">
        <v>87.21</v>
      </c>
      <c r="G247" s="978">
        <v>55.38</v>
      </c>
      <c r="H247" s="978">
        <v>81.430000000000007</v>
      </c>
      <c r="I247" s="978">
        <v>4.24</v>
      </c>
      <c r="J247" s="978">
        <f t="shared" si="50"/>
        <v>68.405000000000001</v>
      </c>
      <c r="K247" s="208"/>
      <c r="L247" s="208"/>
      <c r="M247" s="208"/>
      <c r="N247" s="208"/>
      <c r="O247" s="208"/>
      <c r="P247" s="208"/>
      <c r="Q247" s="208"/>
      <c r="R247" s="208"/>
      <c r="S247" s="208"/>
      <c r="T247" s="208"/>
      <c r="U247" s="208"/>
      <c r="V247" s="208"/>
      <c r="W247" s="208"/>
      <c r="X247" s="208">
        <v>77.900000000000006</v>
      </c>
      <c r="Y247" s="714">
        <v>10</v>
      </c>
      <c r="Z247" s="135"/>
      <c r="AA247" s="394" t="str">
        <f t="shared" si="48"/>
        <v/>
      </c>
      <c r="AB247" s="248" t="str">
        <f t="shared" si="49"/>
        <v/>
      </c>
      <c r="AC247" s="135"/>
      <c r="AD247" s="135"/>
      <c r="AE247" s="135"/>
      <c r="AF247" s="135"/>
      <c r="AG247" s="135"/>
      <c r="AH247" s="135"/>
      <c r="AI247" s="135"/>
      <c r="AJ247" s="135"/>
      <c r="AK247" s="135"/>
      <c r="AL247" s="135"/>
      <c r="AM247" s="135"/>
      <c r="AN247" s="135"/>
      <c r="AO247" s="135"/>
      <c r="AP247" s="135"/>
      <c r="AQ247" s="135"/>
      <c r="AR247" s="135"/>
      <c r="AS247" s="135"/>
      <c r="AT247" s="135"/>
      <c r="AU247" s="135"/>
      <c r="AV247" s="135"/>
    </row>
    <row r="248" spans="1:48" s="57" customFormat="1" ht="10.35" customHeight="1" outlineLevel="1" thickBot="1">
      <c r="A248" s="135"/>
      <c r="B248" s="206">
        <f t="shared" si="47"/>
        <v>8</v>
      </c>
      <c r="C248" s="766" t="str">
        <f t="shared" si="41"/>
        <v>Energy price for energy used by booster</v>
      </c>
      <c r="D248" s="979">
        <v>11</v>
      </c>
      <c r="E248" s="978">
        <v>71.8</v>
      </c>
      <c r="F248" s="978">
        <v>75.92</v>
      </c>
      <c r="G248" s="978">
        <v>32.99</v>
      </c>
      <c r="H248" s="978">
        <v>70</v>
      </c>
      <c r="I248" s="978">
        <v>0</v>
      </c>
      <c r="J248" s="978">
        <f t="shared" si="50"/>
        <v>51.495000000000005</v>
      </c>
      <c r="K248" s="208"/>
      <c r="L248" s="208"/>
      <c r="M248" s="208"/>
      <c r="N248" s="208"/>
      <c r="O248" s="208"/>
      <c r="P248" s="208"/>
      <c r="Q248" s="208"/>
      <c r="R248" s="208"/>
      <c r="S248" s="208"/>
      <c r="T248" s="208"/>
      <c r="U248" s="208"/>
      <c r="V248" s="208"/>
      <c r="W248" s="208"/>
      <c r="X248" s="208">
        <v>71.8</v>
      </c>
      <c r="Y248" s="714">
        <v>11</v>
      </c>
      <c r="Z248" s="135"/>
      <c r="AA248" s="394" t="str">
        <f t="shared" si="48"/>
        <v/>
      </c>
      <c r="AB248" s="248" t="str">
        <f t="shared" si="49"/>
        <v/>
      </c>
      <c r="AC248" s="135"/>
      <c r="AD248" s="135"/>
      <c r="AE248" s="135"/>
      <c r="AF248" s="135"/>
      <c r="AG248" s="135"/>
      <c r="AH248" s="135"/>
      <c r="AI248" s="135"/>
      <c r="AJ248" s="135"/>
      <c r="AK248" s="135"/>
      <c r="AL248" s="135"/>
      <c r="AM248" s="135"/>
      <c r="AN248" s="135"/>
      <c r="AO248" s="135"/>
      <c r="AP248" s="135"/>
      <c r="AQ248" s="135"/>
      <c r="AR248" s="135"/>
      <c r="AS248" s="135"/>
      <c r="AT248" s="135"/>
      <c r="AU248" s="135"/>
      <c r="AV248" s="135"/>
    </row>
    <row r="249" spans="1:48" s="57" customFormat="1" ht="10.35" customHeight="1" outlineLevel="1" thickBot="1">
      <c r="A249" s="135"/>
      <c r="B249" s="206">
        <f t="shared" si="47"/>
        <v>8</v>
      </c>
      <c r="C249" s="766" t="str">
        <f t="shared" si="41"/>
        <v>Energy price for energy used by booster</v>
      </c>
      <c r="D249" s="979">
        <v>12</v>
      </c>
      <c r="E249" s="978">
        <v>70.77</v>
      </c>
      <c r="F249" s="978">
        <v>72.02</v>
      </c>
      <c r="G249" s="978">
        <v>36.96</v>
      </c>
      <c r="H249" s="978">
        <v>58.75</v>
      </c>
      <c r="I249" s="978">
        <v>-0.05</v>
      </c>
      <c r="J249" s="978">
        <f t="shared" si="50"/>
        <v>47.855000000000004</v>
      </c>
      <c r="K249" s="208"/>
      <c r="L249" s="208"/>
      <c r="M249" s="208"/>
      <c r="N249" s="208"/>
      <c r="O249" s="208"/>
      <c r="P249" s="208"/>
      <c r="Q249" s="208"/>
      <c r="R249" s="208"/>
      <c r="S249" s="208"/>
      <c r="T249" s="208"/>
      <c r="U249" s="208"/>
      <c r="V249" s="208"/>
      <c r="W249" s="208"/>
      <c r="X249" s="208">
        <v>70.77</v>
      </c>
      <c r="Y249" s="714">
        <v>12</v>
      </c>
      <c r="Z249" s="135"/>
      <c r="AA249" s="394" t="str">
        <f t="shared" si="48"/>
        <v/>
      </c>
      <c r="AB249" s="248" t="str">
        <f t="shared" si="49"/>
        <v/>
      </c>
      <c r="AC249" s="135"/>
      <c r="AD249" s="135"/>
      <c r="AE249" s="135"/>
      <c r="AF249" s="135"/>
      <c r="AG249" s="135"/>
      <c r="AH249" s="135"/>
      <c r="AI249" s="135"/>
      <c r="AJ249" s="135"/>
      <c r="AK249" s="135"/>
      <c r="AL249" s="135"/>
      <c r="AM249" s="135"/>
      <c r="AN249" s="135"/>
      <c r="AO249" s="135"/>
      <c r="AP249" s="135"/>
      <c r="AQ249" s="135"/>
      <c r="AR249" s="135"/>
      <c r="AS249" s="135"/>
      <c r="AT249" s="135"/>
      <c r="AU249" s="135"/>
      <c r="AV249" s="135"/>
    </row>
    <row r="250" spans="1:48" s="57" customFormat="1" ht="10.35" customHeight="1" outlineLevel="1" thickBot="1">
      <c r="A250" s="135"/>
      <c r="B250" s="206">
        <f t="shared" si="47"/>
        <v>8</v>
      </c>
      <c r="C250" s="766" t="str">
        <f t="shared" si="41"/>
        <v>Energy price for energy used by booster</v>
      </c>
      <c r="D250" s="979">
        <v>13</v>
      </c>
      <c r="E250" s="978">
        <v>67.73</v>
      </c>
      <c r="F250" s="978">
        <v>69.349999999999994</v>
      </c>
      <c r="G250" s="978">
        <v>6.06</v>
      </c>
      <c r="H250" s="978">
        <v>44.34</v>
      </c>
      <c r="I250" s="978">
        <v>-0.1</v>
      </c>
      <c r="J250" s="978">
        <f t="shared" si="50"/>
        <v>25.200000000000003</v>
      </c>
      <c r="K250" s="208"/>
      <c r="L250" s="208"/>
      <c r="M250" s="208"/>
      <c r="N250" s="208"/>
      <c r="O250" s="208"/>
      <c r="P250" s="208"/>
      <c r="Q250" s="208"/>
      <c r="R250" s="208"/>
      <c r="S250" s="208"/>
      <c r="T250" s="208"/>
      <c r="U250" s="208"/>
      <c r="V250" s="208"/>
      <c r="W250" s="208"/>
      <c r="X250" s="208">
        <v>67.73</v>
      </c>
      <c r="Y250" s="714">
        <v>13</v>
      </c>
      <c r="Z250" s="135"/>
      <c r="AA250" s="394" t="str">
        <f t="shared" si="48"/>
        <v/>
      </c>
      <c r="AB250" s="248" t="str">
        <f t="shared" si="49"/>
        <v/>
      </c>
      <c r="AC250" s="135"/>
      <c r="AD250" s="135"/>
      <c r="AE250" s="135"/>
      <c r="AF250" s="135"/>
      <c r="AG250" s="135"/>
      <c r="AH250" s="135"/>
      <c r="AI250" s="135"/>
      <c r="AJ250" s="135"/>
      <c r="AK250" s="135"/>
      <c r="AL250" s="135"/>
      <c r="AM250" s="135"/>
      <c r="AN250" s="135"/>
      <c r="AO250" s="135"/>
      <c r="AP250" s="135"/>
      <c r="AQ250" s="135"/>
      <c r="AR250" s="135"/>
      <c r="AS250" s="135"/>
      <c r="AT250" s="135"/>
      <c r="AU250" s="135"/>
      <c r="AV250" s="135"/>
    </row>
    <row r="251" spans="1:48" s="57" customFormat="1" ht="10.35" customHeight="1" outlineLevel="1" thickBot="1">
      <c r="A251" s="135"/>
      <c r="B251" s="206">
        <f t="shared" si="47"/>
        <v>8</v>
      </c>
      <c r="C251" s="766" t="str">
        <f t="shared" si="41"/>
        <v>Energy price for energy used by booster</v>
      </c>
      <c r="D251" s="979">
        <v>14</v>
      </c>
      <c r="E251" s="978">
        <v>68.78</v>
      </c>
      <c r="F251" s="978">
        <v>69.290000000000006</v>
      </c>
      <c r="G251" s="978">
        <v>0.28000000000000003</v>
      </c>
      <c r="H251" s="978">
        <v>36.5</v>
      </c>
      <c r="I251" s="978">
        <v>-1.05</v>
      </c>
      <c r="J251" s="978">
        <f t="shared" si="50"/>
        <v>18.39</v>
      </c>
      <c r="K251" s="208"/>
      <c r="L251" s="208"/>
      <c r="M251" s="208"/>
      <c r="N251" s="208"/>
      <c r="O251" s="208"/>
      <c r="P251" s="208"/>
      <c r="Q251" s="208"/>
      <c r="R251" s="208"/>
      <c r="S251" s="208"/>
      <c r="T251" s="208"/>
      <c r="U251" s="208"/>
      <c r="V251" s="208"/>
      <c r="W251" s="208"/>
      <c r="X251" s="208">
        <v>68.78</v>
      </c>
      <c r="Y251" s="714">
        <v>14</v>
      </c>
      <c r="Z251" s="135"/>
      <c r="AA251" s="394" t="str">
        <f t="shared" si="48"/>
        <v/>
      </c>
      <c r="AB251" s="248" t="str">
        <f t="shared" si="49"/>
        <v/>
      </c>
      <c r="AC251" s="135"/>
      <c r="AD251" s="135"/>
      <c r="AE251" s="135"/>
      <c r="AF251" s="135"/>
      <c r="AG251" s="135"/>
      <c r="AH251" s="135"/>
      <c r="AI251" s="135"/>
      <c r="AJ251" s="135"/>
      <c r="AK251" s="135"/>
      <c r="AL251" s="135"/>
      <c r="AM251" s="135"/>
      <c r="AN251" s="135"/>
      <c r="AO251" s="135"/>
      <c r="AP251" s="135"/>
      <c r="AQ251" s="135"/>
      <c r="AR251" s="135"/>
      <c r="AS251" s="135"/>
      <c r="AT251" s="135"/>
      <c r="AU251" s="135"/>
      <c r="AV251" s="135"/>
    </row>
    <row r="252" spans="1:48" s="57" customFormat="1" ht="10.35" customHeight="1" outlineLevel="1" thickBot="1">
      <c r="A252" s="135"/>
      <c r="B252" s="206">
        <f t="shared" si="47"/>
        <v>8</v>
      </c>
      <c r="C252" s="766" t="str">
        <f t="shared" si="41"/>
        <v>Energy price for energy used by booster</v>
      </c>
      <c r="D252" s="979">
        <v>15</v>
      </c>
      <c r="E252" s="978">
        <v>73.39</v>
      </c>
      <c r="F252" s="978">
        <v>70.64</v>
      </c>
      <c r="G252" s="978">
        <v>-0.9</v>
      </c>
      <c r="H252" s="978">
        <v>36.200000000000003</v>
      </c>
      <c r="I252" s="978">
        <v>-2.21</v>
      </c>
      <c r="J252" s="978">
        <f t="shared" si="50"/>
        <v>17.650000000000002</v>
      </c>
      <c r="K252" s="208"/>
      <c r="L252" s="208"/>
      <c r="M252" s="208"/>
      <c r="N252" s="208"/>
      <c r="O252" s="208"/>
      <c r="P252" s="208"/>
      <c r="Q252" s="208"/>
      <c r="R252" s="208"/>
      <c r="S252" s="208"/>
      <c r="T252" s="208"/>
      <c r="U252" s="208"/>
      <c r="V252" s="208"/>
      <c r="W252" s="208"/>
      <c r="X252" s="208">
        <v>73.39</v>
      </c>
      <c r="Y252" s="714">
        <v>15</v>
      </c>
      <c r="Z252" s="135"/>
      <c r="AA252" s="394" t="str">
        <f t="shared" si="48"/>
        <v/>
      </c>
      <c r="AB252" s="248" t="str">
        <f t="shared" si="49"/>
        <v/>
      </c>
      <c r="AC252" s="135"/>
      <c r="AD252" s="135"/>
      <c r="AE252" s="135"/>
      <c r="AF252" s="135"/>
      <c r="AG252" s="135"/>
      <c r="AH252" s="135"/>
      <c r="AI252" s="135"/>
      <c r="AJ252" s="135"/>
      <c r="AK252" s="135"/>
      <c r="AL252" s="135"/>
      <c r="AM252" s="135"/>
      <c r="AN252" s="135"/>
      <c r="AO252" s="135"/>
      <c r="AP252" s="135"/>
      <c r="AQ252" s="135"/>
      <c r="AR252" s="135"/>
      <c r="AS252" s="135"/>
      <c r="AT252" s="135"/>
      <c r="AU252" s="135"/>
      <c r="AV252" s="135"/>
    </row>
    <row r="253" spans="1:48" s="57" customFormat="1" ht="10.35" customHeight="1" outlineLevel="1" thickBot="1">
      <c r="A253" s="135"/>
      <c r="B253" s="206">
        <f t="shared" si="47"/>
        <v>8</v>
      </c>
      <c r="C253" s="766" t="str">
        <f t="shared" si="41"/>
        <v>Energy price for energy used by booster</v>
      </c>
      <c r="D253" s="979">
        <v>16</v>
      </c>
      <c r="E253" s="978">
        <v>79.11</v>
      </c>
      <c r="F253" s="978">
        <v>72.260000000000005</v>
      </c>
      <c r="G253" s="978">
        <v>0.75</v>
      </c>
      <c r="H253" s="978">
        <v>42.54</v>
      </c>
      <c r="I253" s="978">
        <v>-2.0499999999999998</v>
      </c>
      <c r="J253" s="978">
        <f t="shared" si="50"/>
        <v>21.645</v>
      </c>
      <c r="K253" s="208"/>
      <c r="L253" s="208"/>
      <c r="M253" s="208"/>
      <c r="N253" s="208"/>
      <c r="O253" s="208"/>
      <c r="P253" s="208"/>
      <c r="Q253" s="208"/>
      <c r="R253" s="208"/>
      <c r="S253" s="208"/>
      <c r="T253" s="208"/>
      <c r="U253" s="208"/>
      <c r="V253" s="208"/>
      <c r="W253" s="208"/>
      <c r="X253" s="208">
        <v>79.11</v>
      </c>
      <c r="Y253" s="714">
        <v>16</v>
      </c>
      <c r="Z253" s="135"/>
      <c r="AA253" s="394" t="str">
        <f t="shared" si="48"/>
        <v/>
      </c>
      <c r="AB253" s="248" t="str">
        <f t="shared" si="49"/>
        <v/>
      </c>
      <c r="AC253" s="135"/>
      <c r="AD253" s="135"/>
      <c r="AE253" s="135"/>
      <c r="AF253" s="135"/>
      <c r="AG253" s="135"/>
      <c r="AH253" s="135"/>
      <c r="AI253" s="135"/>
      <c r="AJ253" s="135"/>
      <c r="AK253" s="135"/>
      <c r="AL253" s="135"/>
      <c r="AM253" s="135"/>
      <c r="AN253" s="135"/>
      <c r="AO253" s="135"/>
      <c r="AP253" s="135"/>
      <c r="AQ253" s="135"/>
      <c r="AR253" s="135"/>
      <c r="AS253" s="135"/>
      <c r="AT253" s="135"/>
      <c r="AU253" s="135"/>
      <c r="AV253" s="135"/>
    </row>
    <row r="254" spans="1:48" s="57" customFormat="1" ht="10.35" customHeight="1" outlineLevel="1" thickBot="1">
      <c r="A254" s="135"/>
      <c r="B254" s="206">
        <f t="shared" si="47"/>
        <v>8</v>
      </c>
      <c r="C254" s="766" t="str">
        <f t="shared" si="41"/>
        <v>Energy price for energy used by booster</v>
      </c>
      <c r="D254" s="979">
        <v>17</v>
      </c>
      <c r="E254" s="978">
        <v>87.8</v>
      </c>
      <c r="F254" s="978">
        <v>81.06</v>
      </c>
      <c r="G254" s="978">
        <v>6.01</v>
      </c>
      <c r="H254" s="978">
        <v>63.79</v>
      </c>
      <c r="I254" s="978">
        <v>-0.27</v>
      </c>
      <c r="J254" s="978">
        <f t="shared" si="50"/>
        <v>34.9</v>
      </c>
      <c r="K254" s="208"/>
      <c r="L254" s="208"/>
      <c r="M254" s="208"/>
      <c r="N254" s="208"/>
      <c r="O254" s="208"/>
      <c r="P254" s="208"/>
      <c r="Q254" s="208"/>
      <c r="R254" s="208"/>
      <c r="S254" s="208"/>
      <c r="T254" s="208"/>
      <c r="U254" s="208"/>
      <c r="V254" s="208"/>
      <c r="W254" s="208"/>
      <c r="X254" s="208">
        <v>87.8</v>
      </c>
      <c r="Y254" s="714">
        <v>17</v>
      </c>
      <c r="Z254" s="135"/>
      <c r="AA254" s="394" t="str">
        <f t="shared" si="48"/>
        <v/>
      </c>
      <c r="AB254" s="248" t="str">
        <f t="shared" si="49"/>
        <v/>
      </c>
      <c r="AC254" s="135"/>
      <c r="AD254" s="135"/>
      <c r="AE254" s="135"/>
      <c r="AF254" s="135"/>
      <c r="AG254" s="135"/>
      <c r="AH254" s="135"/>
      <c r="AI254" s="135"/>
      <c r="AJ254" s="135"/>
      <c r="AK254" s="135"/>
      <c r="AL254" s="135"/>
      <c r="AM254" s="135"/>
      <c r="AN254" s="135"/>
      <c r="AO254" s="135"/>
      <c r="AP254" s="135"/>
      <c r="AQ254" s="135"/>
      <c r="AR254" s="135"/>
      <c r="AS254" s="135"/>
      <c r="AT254" s="135"/>
      <c r="AU254" s="135"/>
      <c r="AV254" s="135"/>
    </row>
    <row r="255" spans="1:48" s="57" customFormat="1" ht="10.35" customHeight="1" outlineLevel="1" thickBot="1">
      <c r="A255" s="135"/>
      <c r="B255" s="206">
        <f t="shared" si="47"/>
        <v>8</v>
      </c>
      <c r="C255" s="766" t="str">
        <f t="shared" si="41"/>
        <v>Energy price for energy used by booster</v>
      </c>
      <c r="D255" s="979">
        <v>18</v>
      </c>
      <c r="E255" s="978">
        <v>94.93</v>
      </c>
      <c r="F255" s="978">
        <v>100</v>
      </c>
      <c r="G255" s="978">
        <v>58.22</v>
      </c>
      <c r="H255" s="978">
        <v>77.34</v>
      </c>
      <c r="I255" s="978">
        <v>22.61</v>
      </c>
      <c r="J255" s="978">
        <f t="shared" si="50"/>
        <v>67.78</v>
      </c>
      <c r="K255" s="208"/>
      <c r="L255" s="208"/>
      <c r="M255" s="208"/>
      <c r="N255" s="208"/>
      <c r="O255" s="208"/>
      <c r="P255" s="208"/>
      <c r="Q255" s="208"/>
      <c r="R255" s="208"/>
      <c r="S255" s="208"/>
      <c r="T255" s="208"/>
      <c r="U255" s="208"/>
      <c r="V255" s="208"/>
      <c r="W255" s="208"/>
      <c r="X255" s="208">
        <v>94.93</v>
      </c>
      <c r="Y255" s="714">
        <v>18</v>
      </c>
      <c r="Z255" s="135"/>
      <c r="AA255" s="394" t="str">
        <f t="shared" si="48"/>
        <v/>
      </c>
      <c r="AB255" s="248" t="str">
        <f t="shared" si="49"/>
        <v/>
      </c>
      <c r="AC255" s="135"/>
      <c r="AD255" s="135"/>
      <c r="AE255" s="135"/>
      <c r="AF255" s="135"/>
      <c r="AG255" s="135"/>
      <c r="AH255" s="135"/>
      <c r="AI255" s="135"/>
      <c r="AJ255" s="135"/>
      <c r="AK255" s="135"/>
      <c r="AL255" s="135"/>
      <c r="AM255" s="135"/>
      <c r="AN255" s="135"/>
      <c r="AO255" s="135"/>
      <c r="AP255" s="135"/>
      <c r="AQ255" s="135"/>
      <c r="AR255" s="135"/>
      <c r="AS255" s="135"/>
      <c r="AT255" s="135"/>
      <c r="AU255" s="135"/>
      <c r="AV255" s="135"/>
    </row>
    <row r="256" spans="1:48" s="57" customFormat="1" ht="10.35" customHeight="1" outlineLevel="1" thickBot="1">
      <c r="A256" s="135"/>
      <c r="B256" s="206">
        <f t="shared" si="47"/>
        <v>8</v>
      </c>
      <c r="C256" s="766" t="str">
        <f t="shared" si="41"/>
        <v>Energy price for energy used by booster</v>
      </c>
      <c r="D256" s="979">
        <v>19</v>
      </c>
      <c r="E256" s="978">
        <v>99.87</v>
      </c>
      <c r="F256" s="978">
        <v>119.58</v>
      </c>
      <c r="G256" s="978">
        <v>74.599999999999994</v>
      </c>
      <c r="H256" s="978">
        <v>91.61</v>
      </c>
      <c r="I256" s="978">
        <v>71.12</v>
      </c>
      <c r="J256" s="978">
        <f t="shared" si="50"/>
        <v>83.10499999999999</v>
      </c>
      <c r="K256" s="208"/>
      <c r="L256" s="208"/>
      <c r="M256" s="208"/>
      <c r="N256" s="208"/>
      <c r="O256" s="208"/>
      <c r="P256" s="208"/>
      <c r="Q256" s="208"/>
      <c r="R256" s="208"/>
      <c r="S256" s="208"/>
      <c r="T256" s="208"/>
      <c r="U256" s="208"/>
      <c r="V256" s="208"/>
      <c r="W256" s="208"/>
      <c r="X256" s="208">
        <v>99.87</v>
      </c>
      <c r="Y256" s="714">
        <v>19</v>
      </c>
      <c r="Z256" s="135"/>
      <c r="AA256" s="394" t="str">
        <f t="shared" si="48"/>
        <v/>
      </c>
      <c r="AB256" s="248" t="str">
        <f t="shared" si="49"/>
        <v/>
      </c>
      <c r="AC256" s="135"/>
      <c r="AD256" s="135"/>
      <c r="AE256" s="135"/>
      <c r="AF256" s="135"/>
      <c r="AG256" s="135"/>
      <c r="AH256" s="135"/>
      <c r="AI256" s="135"/>
      <c r="AJ256" s="135"/>
      <c r="AK256" s="135"/>
      <c r="AL256" s="135"/>
      <c r="AM256" s="135"/>
      <c r="AN256" s="135"/>
      <c r="AO256" s="135"/>
      <c r="AP256" s="135"/>
      <c r="AQ256" s="135"/>
      <c r="AR256" s="135"/>
      <c r="AS256" s="135"/>
      <c r="AT256" s="135"/>
      <c r="AU256" s="135"/>
      <c r="AV256" s="135"/>
    </row>
    <row r="257" spans="1:48" s="57" customFormat="1" ht="10.35" customHeight="1" outlineLevel="1" thickBot="1">
      <c r="A257" s="135"/>
      <c r="B257" s="206">
        <f t="shared" si="47"/>
        <v>8</v>
      </c>
      <c r="C257" s="766" t="str">
        <f t="shared" si="41"/>
        <v>Energy price for energy used by booster</v>
      </c>
      <c r="D257" s="979">
        <v>20</v>
      </c>
      <c r="E257" s="978">
        <v>91.57</v>
      </c>
      <c r="F257" s="978">
        <v>119.25</v>
      </c>
      <c r="G257" s="978">
        <v>89.36</v>
      </c>
      <c r="H257" s="978">
        <v>121.02</v>
      </c>
      <c r="I257" s="978">
        <v>99.5</v>
      </c>
      <c r="J257" s="978">
        <f t="shared" si="50"/>
        <v>105.19</v>
      </c>
      <c r="K257" s="208"/>
      <c r="L257" s="208"/>
      <c r="M257" s="208"/>
      <c r="N257" s="208"/>
      <c r="O257" s="208"/>
      <c r="P257" s="208"/>
      <c r="Q257" s="208"/>
      <c r="R257" s="208"/>
      <c r="S257" s="208"/>
      <c r="T257" s="208"/>
      <c r="U257" s="208"/>
      <c r="V257" s="208"/>
      <c r="W257" s="208"/>
      <c r="X257" s="208">
        <v>91.57</v>
      </c>
      <c r="Y257" s="714">
        <v>20</v>
      </c>
      <c r="Z257" s="135"/>
      <c r="AA257" s="394" t="str">
        <f t="shared" si="48"/>
        <v/>
      </c>
      <c r="AB257" s="248" t="str">
        <f t="shared" si="49"/>
        <v/>
      </c>
      <c r="AC257" s="135"/>
      <c r="AD257" s="135"/>
      <c r="AE257" s="135"/>
      <c r="AF257" s="135"/>
      <c r="AG257" s="135"/>
      <c r="AH257" s="135"/>
      <c r="AI257" s="135"/>
      <c r="AJ257" s="135"/>
      <c r="AK257" s="135"/>
      <c r="AL257" s="135"/>
      <c r="AM257" s="135"/>
      <c r="AN257" s="135"/>
      <c r="AO257" s="135"/>
      <c r="AP257" s="135"/>
      <c r="AQ257" s="135"/>
      <c r="AR257" s="135"/>
      <c r="AS257" s="135"/>
      <c r="AT257" s="135"/>
      <c r="AU257" s="135"/>
      <c r="AV257" s="135"/>
    </row>
    <row r="258" spans="1:48" s="57" customFormat="1" ht="10.35" customHeight="1" outlineLevel="1" thickBot="1">
      <c r="A258" s="135"/>
      <c r="B258" s="206">
        <f t="shared" si="47"/>
        <v>8</v>
      </c>
      <c r="C258" s="766" t="str">
        <f t="shared" si="41"/>
        <v>Energy price for energy used by booster</v>
      </c>
      <c r="D258" s="979">
        <v>21</v>
      </c>
      <c r="E258" s="978">
        <v>81.97</v>
      </c>
      <c r="F258" s="978">
        <v>93.4</v>
      </c>
      <c r="G258" s="978">
        <v>95.26</v>
      </c>
      <c r="H258" s="978">
        <v>190.46</v>
      </c>
      <c r="I258" s="978">
        <v>115.14</v>
      </c>
      <c r="J258" s="978">
        <f t="shared" si="50"/>
        <v>142.86000000000001</v>
      </c>
      <c r="K258" s="208"/>
      <c r="L258" s="208"/>
      <c r="M258" s="208"/>
      <c r="N258" s="208"/>
      <c r="O258" s="208"/>
      <c r="P258" s="208"/>
      <c r="Q258" s="208"/>
      <c r="R258" s="208"/>
      <c r="S258" s="208"/>
      <c r="T258" s="208"/>
      <c r="U258" s="208"/>
      <c r="V258" s="208"/>
      <c r="W258" s="208"/>
      <c r="X258" s="208">
        <v>81.97</v>
      </c>
      <c r="Y258" s="714">
        <v>21</v>
      </c>
      <c r="Z258" s="135"/>
      <c r="AA258" s="394" t="str">
        <f t="shared" si="48"/>
        <v/>
      </c>
      <c r="AB258" s="248" t="str">
        <f t="shared" si="49"/>
        <v/>
      </c>
      <c r="AC258" s="135"/>
      <c r="AD258" s="135"/>
      <c r="AE258" s="135"/>
      <c r="AF258" s="135"/>
      <c r="AG258" s="135"/>
      <c r="AH258" s="135"/>
      <c r="AI258" s="135"/>
      <c r="AJ258" s="135"/>
      <c r="AK258" s="135"/>
      <c r="AL258" s="135"/>
      <c r="AM258" s="135"/>
      <c r="AN258" s="135"/>
      <c r="AO258" s="135"/>
      <c r="AP258" s="135"/>
      <c r="AQ258" s="135"/>
      <c r="AR258" s="135"/>
      <c r="AS258" s="135"/>
      <c r="AT258" s="135"/>
      <c r="AU258" s="135"/>
      <c r="AV258" s="135"/>
    </row>
    <row r="259" spans="1:48" s="57" customFormat="1" ht="10.35" customHeight="1" outlineLevel="1" thickBot="1">
      <c r="A259" s="135"/>
      <c r="B259" s="206">
        <f t="shared" si="47"/>
        <v>8</v>
      </c>
      <c r="C259" s="766" t="str">
        <f t="shared" si="41"/>
        <v>Energy price for energy used by booster</v>
      </c>
      <c r="D259" s="979">
        <v>22</v>
      </c>
      <c r="E259" s="978">
        <v>75.739999999999995</v>
      </c>
      <c r="F259" s="978">
        <v>80.150000000000006</v>
      </c>
      <c r="G259" s="978">
        <v>91.07</v>
      </c>
      <c r="H259" s="978">
        <v>120</v>
      </c>
      <c r="I259" s="978">
        <v>115.44</v>
      </c>
      <c r="J259" s="978">
        <f t="shared" si="50"/>
        <v>105.535</v>
      </c>
      <c r="K259" s="208"/>
      <c r="L259" s="208"/>
      <c r="M259" s="208"/>
      <c r="N259" s="208"/>
      <c r="O259" s="208"/>
      <c r="P259" s="208"/>
      <c r="Q259" s="208"/>
      <c r="R259" s="208"/>
      <c r="S259" s="208"/>
      <c r="T259" s="208"/>
      <c r="U259" s="208"/>
      <c r="V259" s="208"/>
      <c r="W259" s="208"/>
      <c r="X259" s="208">
        <v>75.739999999999995</v>
      </c>
      <c r="Y259" s="714">
        <v>22</v>
      </c>
      <c r="Z259" s="135"/>
      <c r="AA259" s="394" t="str">
        <f t="shared" si="48"/>
        <v/>
      </c>
      <c r="AB259" s="248" t="str">
        <f t="shared" si="49"/>
        <v/>
      </c>
      <c r="AC259" s="135"/>
      <c r="AD259" s="135"/>
      <c r="AE259" s="135"/>
      <c r="AF259" s="135"/>
      <c r="AG259" s="135"/>
      <c r="AH259" s="135"/>
      <c r="AI259" s="135"/>
      <c r="AJ259" s="135"/>
      <c r="AK259" s="135"/>
      <c r="AL259" s="135"/>
      <c r="AM259" s="135"/>
      <c r="AN259" s="135"/>
      <c r="AO259" s="135"/>
      <c r="AP259" s="135"/>
      <c r="AQ259" s="135"/>
      <c r="AR259" s="135"/>
      <c r="AS259" s="135"/>
      <c r="AT259" s="135"/>
      <c r="AU259" s="135"/>
      <c r="AV259" s="135"/>
    </row>
    <row r="260" spans="1:48" s="57" customFormat="1" ht="10.35" customHeight="1" outlineLevel="1" thickBot="1">
      <c r="A260" s="135"/>
      <c r="B260" s="206">
        <f t="shared" si="47"/>
        <v>8</v>
      </c>
      <c r="C260" s="766" t="str">
        <f t="shared" si="41"/>
        <v>Energy price for energy used by booster</v>
      </c>
      <c r="D260" s="979">
        <v>23</v>
      </c>
      <c r="E260" s="978">
        <v>74.680000000000007</v>
      </c>
      <c r="F260" s="978">
        <v>77.98</v>
      </c>
      <c r="G260" s="978">
        <v>89.41</v>
      </c>
      <c r="H260" s="978">
        <v>106.86</v>
      </c>
      <c r="I260" s="978">
        <v>114.33</v>
      </c>
      <c r="J260" s="978">
        <f t="shared" si="50"/>
        <v>98.134999999999991</v>
      </c>
      <c r="K260" s="208"/>
      <c r="L260" s="208"/>
      <c r="M260" s="208"/>
      <c r="N260" s="208"/>
      <c r="O260" s="208"/>
      <c r="P260" s="208"/>
      <c r="Q260" s="208"/>
      <c r="R260" s="208"/>
      <c r="S260" s="208"/>
      <c r="T260" s="208"/>
      <c r="U260" s="208"/>
      <c r="V260" s="208"/>
      <c r="W260" s="208"/>
      <c r="X260" s="208">
        <v>74.680000000000007</v>
      </c>
      <c r="Y260" s="714">
        <v>23</v>
      </c>
      <c r="Z260" s="135"/>
      <c r="AA260" s="394" t="str">
        <f t="shared" si="48"/>
        <v/>
      </c>
      <c r="AB260" s="248" t="str">
        <f t="shared" si="49"/>
        <v/>
      </c>
      <c r="AC260" s="135"/>
      <c r="AD260" s="135"/>
      <c r="AE260" s="135"/>
      <c r="AF260" s="135"/>
      <c r="AG260" s="135"/>
      <c r="AH260" s="135"/>
      <c r="AI260" s="135"/>
      <c r="AJ260" s="135"/>
      <c r="AK260" s="135"/>
      <c r="AL260" s="135"/>
      <c r="AM260" s="135"/>
      <c r="AN260" s="135"/>
      <c r="AO260" s="135"/>
      <c r="AP260" s="135"/>
      <c r="AQ260" s="135"/>
      <c r="AR260" s="135"/>
      <c r="AS260" s="135"/>
      <c r="AT260" s="135"/>
      <c r="AU260" s="135"/>
      <c r="AV260" s="135"/>
    </row>
    <row r="261" spans="1:48" s="57" customFormat="1" ht="10.35" customHeight="1" outlineLevel="1" thickBot="1">
      <c r="A261" s="135"/>
      <c r="B261" s="206">
        <f t="shared" si="47"/>
        <v>8</v>
      </c>
      <c r="C261" s="970" t="str">
        <f t="shared" si="41"/>
        <v>Energy price for energy used by booster</v>
      </c>
      <c r="D261" s="981">
        <v>24</v>
      </c>
      <c r="E261" s="995">
        <v>69.13</v>
      </c>
      <c r="F261" s="995">
        <v>74.34</v>
      </c>
      <c r="G261" s="995">
        <v>88.46</v>
      </c>
      <c r="H261" s="995">
        <v>91.55</v>
      </c>
      <c r="I261" s="995">
        <v>99.79</v>
      </c>
      <c r="J261" s="995">
        <f t="shared" si="50"/>
        <v>90.004999999999995</v>
      </c>
      <c r="K261" s="208"/>
      <c r="L261" s="208"/>
      <c r="M261" s="208"/>
      <c r="N261" s="208"/>
      <c r="O261" s="208"/>
      <c r="P261" s="208"/>
      <c r="Q261" s="208"/>
      <c r="R261" s="208"/>
      <c r="S261" s="208"/>
      <c r="T261" s="208"/>
      <c r="U261" s="208"/>
      <c r="V261" s="208"/>
      <c r="W261" s="208"/>
      <c r="X261" s="208">
        <v>69.13</v>
      </c>
      <c r="Y261" s="948">
        <v>24</v>
      </c>
      <c r="Z261" s="135"/>
      <c r="AA261" s="394" t="str">
        <f t="shared" si="48"/>
        <v/>
      </c>
      <c r="AB261" s="248" t="str">
        <f t="shared" si="49"/>
        <v/>
      </c>
      <c r="AC261" s="135"/>
      <c r="AD261" s="135"/>
      <c r="AE261" s="135"/>
      <c r="AF261" s="135"/>
      <c r="AG261" s="135"/>
      <c r="AH261" s="135"/>
      <c r="AI261" s="135"/>
      <c r="AJ261" s="135"/>
      <c r="AK261" s="135"/>
      <c r="AL261" s="135"/>
      <c r="AM261" s="135"/>
      <c r="AN261" s="135"/>
      <c r="AO261" s="135"/>
      <c r="AP261" s="135"/>
      <c r="AQ261" s="135"/>
      <c r="AR261" s="135"/>
      <c r="AS261" s="135"/>
      <c r="AT261" s="135"/>
      <c r="AU261" s="135"/>
      <c r="AV261" s="135"/>
    </row>
    <row r="262" spans="1:48" s="57" customFormat="1" ht="11.25">
      <c r="A262" s="135"/>
      <c r="B262" s="206">
        <f t="shared" si="47"/>
        <v>8</v>
      </c>
      <c r="C262" s="537"/>
      <c r="D262" s="537" t="s">
        <v>349</v>
      </c>
      <c r="E262" s="213">
        <f t="shared" ref="E262:X262" si="51">SUM(E238:E261)/24</f>
        <v>73.662083333333328</v>
      </c>
      <c r="F262" s="213">
        <f t="shared" si="51"/>
        <v>82.834999999999994</v>
      </c>
      <c r="G262" s="213">
        <f t="shared" si="51"/>
        <v>55.150833333333338</v>
      </c>
      <c r="H262" s="213">
        <f t="shared" si="51"/>
        <v>85.90124999999999</v>
      </c>
      <c r="I262" s="213">
        <f t="shared" si="51"/>
        <v>50.047500000000007</v>
      </c>
      <c r="J262" s="996">
        <f t="shared" si="51"/>
        <v>70.526041666666686</v>
      </c>
      <c r="K262" s="213">
        <f t="shared" si="51"/>
        <v>0</v>
      </c>
      <c r="L262" s="213">
        <f t="shared" si="51"/>
        <v>0</v>
      </c>
      <c r="M262" s="213">
        <f t="shared" si="51"/>
        <v>0</v>
      </c>
      <c r="N262" s="213">
        <f t="shared" si="51"/>
        <v>0</v>
      </c>
      <c r="O262" s="213">
        <f t="shared" si="51"/>
        <v>0</v>
      </c>
      <c r="P262" s="213">
        <f t="shared" si="51"/>
        <v>0</v>
      </c>
      <c r="Q262" s="213">
        <f t="shared" si="51"/>
        <v>0</v>
      </c>
      <c r="R262" s="213">
        <f t="shared" si="51"/>
        <v>0</v>
      </c>
      <c r="S262" s="213">
        <f t="shared" si="51"/>
        <v>0</v>
      </c>
      <c r="T262" s="213">
        <f t="shared" si="51"/>
        <v>0</v>
      </c>
      <c r="U262" s="213">
        <f t="shared" si="51"/>
        <v>0</v>
      </c>
      <c r="V262" s="213">
        <f t="shared" si="51"/>
        <v>0</v>
      </c>
      <c r="W262" s="213">
        <f t="shared" si="51"/>
        <v>0</v>
      </c>
      <c r="X262" s="213">
        <f t="shared" si="51"/>
        <v>73.662083333333328</v>
      </c>
      <c r="Y262" s="723" t="s">
        <v>349</v>
      </c>
      <c r="Z262" s="135"/>
      <c r="AA262" s="135"/>
      <c r="AB262" s="135"/>
      <c r="AC262" s="135"/>
      <c r="AD262" s="135"/>
      <c r="AE262" s="135"/>
      <c r="AF262" s="135"/>
      <c r="AG262" s="135"/>
      <c r="AH262" s="135"/>
      <c r="AI262" s="135"/>
      <c r="AJ262" s="135"/>
      <c r="AK262" s="135"/>
      <c r="AL262" s="135"/>
      <c r="AM262" s="135"/>
      <c r="AN262" s="135"/>
      <c r="AO262" s="135"/>
      <c r="AP262" s="135"/>
      <c r="AQ262" s="135"/>
      <c r="AR262" s="135"/>
      <c r="AS262" s="135"/>
      <c r="AT262" s="135"/>
      <c r="AU262" s="135"/>
      <c r="AV262" s="135"/>
    </row>
    <row r="263" spans="1:48" s="57" customFormat="1" ht="11.25">
      <c r="A263" s="135"/>
      <c r="B263" s="206">
        <f t="shared" si="47"/>
        <v>8</v>
      </c>
      <c r="E263" s="8"/>
      <c r="F263" s="8"/>
      <c r="G263" s="8"/>
      <c r="H263" s="8"/>
      <c r="I263" s="8"/>
      <c r="J263" s="8"/>
      <c r="K263" s="8"/>
      <c r="L263" s="8"/>
      <c r="M263" s="8"/>
      <c r="N263" s="8"/>
      <c r="O263" s="8"/>
      <c r="P263" s="8"/>
      <c r="Q263" s="8"/>
      <c r="R263" s="8"/>
      <c r="S263" s="8"/>
      <c r="T263" s="8"/>
      <c r="U263" s="8"/>
      <c r="V263" s="8"/>
      <c r="W263" s="8"/>
      <c r="X263" s="8"/>
      <c r="Y263" s="8"/>
      <c r="Z263" s="135"/>
      <c r="AA263" s="135"/>
      <c r="AB263" s="135"/>
      <c r="AC263" s="135"/>
      <c r="AD263" s="135"/>
      <c r="AE263" s="135"/>
      <c r="AF263" s="135"/>
      <c r="AG263" s="135"/>
      <c r="AH263" s="135"/>
      <c r="AI263" s="135"/>
      <c r="AJ263" s="135"/>
      <c r="AK263" s="135"/>
      <c r="AL263" s="135"/>
      <c r="AM263" s="135"/>
      <c r="AN263" s="135"/>
      <c r="AO263" s="135"/>
      <c r="AP263" s="135"/>
      <c r="AQ263" s="135"/>
      <c r="AR263" s="135"/>
      <c r="AS263" s="135"/>
      <c r="AT263" s="135"/>
      <c r="AU263" s="135"/>
      <c r="AV263" s="135"/>
    </row>
    <row r="264" spans="1:48" s="57" customFormat="1" ht="25.35" customHeight="1">
      <c r="A264" s="1009" t="s">
        <v>73</v>
      </c>
      <c r="B264" s="206">
        <f>B258+1</f>
        <v>9</v>
      </c>
      <c r="C264" s="1004" t="str">
        <f>E264</f>
        <v xml:space="preserve">Data centre operator / waste heat provider: Electricity price for active cooling system </v>
      </c>
      <c r="D264" s="713" t="s">
        <v>345</v>
      </c>
      <c r="E264" s="1126" t="s">
        <v>367</v>
      </c>
      <c r="F264" s="1126"/>
      <c r="G264" s="1126"/>
      <c r="H264" s="1126"/>
      <c r="I264" s="1126"/>
      <c r="J264" s="1126"/>
      <c r="K264" s="1126"/>
      <c r="L264" s="1126"/>
      <c r="M264" s="1126"/>
      <c r="N264" s="1126"/>
      <c r="O264" s="1126"/>
      <c r="P264" s="1126"/>
      <c r="Q264" s="1126"/>
      <c r="R264" s="1126"/>
      <c r="S264" s="1126"/>
      <c r="T264" s="1126"/>
      <c r="U264" s="1126"/>
      <c r="V264" s="1126"/>
      <c r="W264" s="1126"/>
      <c r="X264" s="1126"/>
      <c r="Y264" s="1005" t="s">
        <v>345</v>
      </c>
      <c r="Z264" s="135"/>
      <c r="AA264" s="135"/>
      <c r="AB264" s="135"/>
      <c r="AC264" s="135"/>
      <c r="AD264" s="135"/>
      <c r="AE264" s="135"/>
      <c r="AF264" s="135"/>
      <c r="AG264" s="135"/>
      <c r="AH264" s="135"/>
      <c r="AI264" s="135"/>
      <c r="AJ264" s="135"/>
      <c r="AK264" s="135"/>
      <c r="AL264" s="135"/>
      <c r="AM264" s="135"/>
      <c r="AN264" s="135"/>
      <c r="AO264" s="135"/>
      <c r="AP264" s="135"/>
      <c r="AQ264" s="135"/>
      <c r="AR264" s="135"/>
      <c r="AS264" s="135"/>
      <c r="AT264" s="135"/>
      <c r="AU264" s="135"/>
      <c r="AV264" s="135"/>
    </row>
    <row r="265" spans="1:48" s="57" customFormat="1" ht="11.85" customHeight="1" outlineLevel="1">
      <c r="A265" s="135"/>
      <c r="B265" s="206">
        <f>B264</f>
        <v>9</v>
      </c>
      <c r="C265" s="782" t="str">
        <f t="shared" si="41"/>
        <v xml:space="preserve">Data centre operator / waste heat provider: Electricity price for active cooling system </v>
      </c>
      <c r="D265" s="728"/>
      <c r="E265" s="1114" t="s">
        <v>362</v>
      </c>
      <c r="F265" s="1114"/>
      <c r="G265" s="1114"/>
      <c r="H265" s="1114"/>
      <c r="I265" s="1114"/>
      <c r="J265" s="1114"/>
      <c r="K265" s="1114"/>
      <c r="L265" s="1114"/>
      <c r="M265" s="1114"/>
      <c r="N265" s="1114"/>
      <c r="O265" s="1114"/>
      <c r="P265" s="1114"/>
      <c r="Q265" s="1114"/>
      <c r="R265" s="1114"/>
      <c r="S265" s="1114"/>
      <c r="T265" s="1114"/>
      <c r="U265" s="1114"/>
      <c r="V265" s="1114"/>
      <c r="W265" s="1114"/>
      <c r="X265" s="1114"/>
      <c r="Y265" s="728"/>
      <c r="Z265" s="135"/>
      <c r="AA265" s="135"/>
      <c r="AB265" s="135"/>
      <c r="AC265" s="135"/>
      <c r="AD265" s="135"/>
      <c r="AE265" s="135"/>
      <c r="AF265" s="135"/>
      <c r="AG265" s="135"/>
      <c r="AH265" s="135"/>
      <c r="AI265" s="135"/>
      <c r="AJ265" s="135"/>
      <c r="AK265" s="135"/>
      <c r="AL265" s="135"/>
      <c r="AM265" s="135"/>
      <c r="AN265" s="135"/>
      <c r="AO265" s="135"/>
      <c r="AP265" s="135"/>
      <c r="AQ265" s="135"/>
      <c r="AR265" s="135"/>
      <c r="AS265" s="135"/>
      <c r="AT265" s="135"/>
      <c r="AU265" s="135"/>
      <c r="AV265" s="135"/>
    </row>
    <row r="266" spans="1:48" s="57" customFormat="1" ht="33" customHeight="1" outlineLevel="1">
      <c r="A266" s="135"/>
      <c r="B266" s="206">
        <f t="shared" ref="B266:B292" si="52">B265</f>
        <v>9</v>
      </c>
      <c r="C266" s="782" t="str">
        <f t="shared" si="41"/>
        <v xml:space="preserve">Data centre operator / waste heat provider: Electricity price for active cooling system </v>
      </c>
      <c r="D266" s="728"/>
      <c r="E266" s="1114" t="s">
        <v>368</v>
      </c>
      <c r="F266" s="1114"/>
      <c r="G266" s="1114"/>
      <c r="H266" s="1114"/>
      <c r="I266" s="1114"/>
      <c r="J266" s="1114"/>
      <c r="K266" s="1114"/>
      <c r="L266" s="1114"/>
      <c r="M266" s="1114"/>
      <c r="N266" s="1114"/>
      <c r="O266" s="1114"/>
      <c r="P266" s="1114"/>
      <c r="Q266" s="1114"/>
      <c r="R266" s="1114"/>
      <c r="S266" s="1114"/>
      <c r="T266" s="1114"/>
      <c r="U266" s="1114"/>
      <c r="V266" s="1114"/>
      <c r="W266" s="1114"/>
      <c r="X266" s="1114"/>
      <c r="Y266" s="728"/>
      <c r="Z266" s="135"/>
      <c r="AA266" s="135"/>
      <c r="AB266" s="135"/>
      <c r="AC266" s="135"/>
      <c r="AD266" s="135"/>
      <c r="AE266" s="135"/>
      <c r="AF266" s="135"/>
      <c r="AG266" s="135"/>
      <c r="AH266" s="135"/>
      <c r="AI266" s="135"/>
      <c r="AJ266" s="135"/>
      <c r="AK266" s="135"/>
      <c r="AL266" s="135"/>
      <c r="AM266" s="135"/>
      <c r="AN266" s="135"/>
      <c r="AO266" s="135"/>
      <c r="AP266" s="135"/>
      <c r="AQ266" s="135"/>
      <c r="AR266" s="135"/>
      <c r="AS266" s="135"/>
      <c r="AT266" s="135"/>
      <c r="AU266" s="135"/>
      <c r="AV266" s="135"/>
    </row>
    <row r="267" spans="1:48" s="57" customFormat="1" ht="10.35" customHeight="1" outlineLevel="1" thickBot="1">
      <c r="A267" s="135"/>
      <c r="B267" s="206">
        <f>B266</f>
        <v>9</v>
      </c>
      <c r="C267" s="990" t="str">
        <f t="shared" si="41"/>
        <v xml:space="preserve">Data centre operator / waste heat provider: Electricity price for active cooling system </v>
      </c>
      <c r="D267" s="991">
        <v>1</v>
      </c>
      <c r="E267" s="992">
        <f t="shared" ref="E267:J267" si="53">E238+10</f>
        <v>76</v>
      </c>
      <c r="F267" s="992">
        <f t="shared" si="53"/>
        <v>81</v>
      </c>
      <c r="G267" s="992">
        <f t="shared" si="53"/>
        <v>91.85</v>
      </c>
      <c r="H267" s="992">
        <f t="shared" si="53"/>
        <v>100.11</v>
      </c>
      <c r="I267" s="992">
        <f t="shared" si="53"/>
        <v>100.49</v>
      </c>
      <c r="J267" s="992">
        <f t="shared" si="53"/>
        <v>95.97999999999999</v>
      </c>
      <c r="K267" s="993"/>
      <c r="L267" s="993"/>
      <c r="M267" s="993"/>
      <c r="N267" s="993"/>
      <c r="O267" s="993"/>
      <c r="P267" s="993"/>
      <c r="Q267" s="993"/>
      <c r="R267" s="993"/>
      <c r="S267" s="993"/>
      <c r="T267" s="993"/>
      <c r="U267" s="993"/>
      <c r="V267" s="993"/>
      <c r="W267" s="993"/>
      <c r="X267" s="993">
        <v>100</v>
      </c>
      <c r="Y267" s="1006">
        <v>1</v>
      </c>
      <c r="Z267" s="135"/>
      <c r="AA267" s="371" t="str">
        <f t="shared" ref="AA267:AA290" si="54">AB267</f>
        <v/>
      </c>
      <c r="AB267" s="248" t="str">
        <f t="shared" ref="AB267:AB290" si="55">IF(IFERROR((1+X267+W267+V267+U267+T267+S267+R267+Q267+P267+O267+N267+M267+L267+K267+J267+I267+H267+G267+F267+E267)*1, "!!!!")="!!!!","Inputs contain non-numerical data. Please check your input data!","")</f>
        <v/>
      </c>
      <c r="AC267" s="135"/>
      <c r="AD267" s="135"/>
      <c r="AE267" s="135"/>
      <c r="AF267" s="135"/>
      <c r="AG267" s="135"/>
      <c r="AH267" s="135"/>
      <c r="AI267" s="135"/>
      <c r="AJ267" s="135"/>
      <c r="AK267" s="135"/>
      <c r="AL267" s="135"/>
      <c r="AM267" s="135"/>
      <c r="AN267" s="135"/>
      <c r="AO267" s="135"/>
      <c r="AP267" s="135"/>
      <c r="AQ267" s="135"/>
      <c r="AR267" s="135"/>
      <c r="AS267" s="135"/>
      <c r="AT267" s="135"/>
      <c r="AU267" s="135"/>
      <c r="AV267" s="135"/>
    </row>
    <row r="268" spans="1:48" s="57" customFormat="1" ht="10.35" customHeight="1" outlineLevel="1" thickBot="1">
      <c r="A268" s="135"/>
      <c r="B268" s="206">
        <f t="shared" si="52"/>
        <v>9</v>
      </c>
      <c r="C268" s="766" t="str">
        <f t="shared" si="41"/>
        <v xml:space="preserve">Data centre operator / waste heat provider: Electricity price for active cooling system </v>
      </c>
      <c r="D268" s="979">
        <v>2</v>
      </c>
      <c r="E268" s="978">
        <f t="shared" ref="E268:J268" si="56">E239+10</f>
        <v>73.45</v>
      </c>
      <c r="F268" s="978">
        <f t="shared" si="56"/>
        <v>80.7</v>
      </c>
      <c r="G268" s="978">
        <f t="shared" si="56"/>
        <v>80.59</v>
      </c>
      <c r="H268" s="978">
        <f t="shared" si="56"/>
        <v>90.45</v>
      </c>
      <c r="I268" s="978">
        <f t="shared" si="56"/>
        <v>89.25</v>
      </c>
      <c r="J268" s="978">
        <f t="shared" si="56"/>
        <v>85.52000000000001</v>
      </c>
      <c r="K268" s="208"/>
      <c r="L268" s="208"/>
      <c r="M268" s="208"/>
      <c r="N268" s="208"/>
      <c r="O268" s="208"/>
      <c r="P268" s="208"/>
      <c r="Q268" s="208"/>
      <c r="R268" s="208"/>
      <c r="S268" s="208"/>
      <c r="T268" s="208"/>
      <c r="U268" s="208"/>
      <c r="V268" s="208"/>
      <c r="W268" s="208"/>
      <c r="X268" s="208">
        <v>100</v>
      </c>
      <c r="Y268" s="714">
        <v>2</v>
      </c>
      <c r="Z268" s="135"/>
      <c r="AA268" s="394" t="str">
        <f t="shared" si="54"/>
        <v/>
      </c>
      <c r="AB268" s="248" t="str">
        <f t="shared" si="55"/>
        <v/>
      </c>
      <c r="AC268" s="135"/>
      <c r="AD268" s="135"/>
      <c r="AE268" s="135"/>
      <c r="AF268" s="135"/>
      <c r="AG268" s="135"/>
      <c r="AH268" s="135"/>
      <c r="AI268" s="135"/>
      <c r="AJ268" s="135"/>
      <c r="AK268" s="135"/>
      <c r="AL268" s="135"/>
      <c r="AM268" s="135"/>
      <c r="AN268" s="135"/>
      <c r="AO268" s="135"/>
      <c r="AP268" s="135"/>
      <c r="AQ268" s="135"/>
      <c r="AR268" s="135"/>
      <c r="AS268" s="135"/>
      <c r="AT268" s="135"/>
      <c r="AU268" s="135"/>
      <c r="AV268" s="135"/>
    </row>
    <row r="269" spans="1:48" s="57" customFormat="1" ht="10.35" customHeight="1" outlineLevel="1" thickBot="1">
      <c r="A269" s="135"/>
      <c r="B269" s="206">
        <f t="shared" si="52"/>
        <v>9</v>
      </c>
      <c r="C269" s="766" t="str">
        <f t="shared" si="41"/>
        <v xml:space="preserve">Data centre operator / waste heat provider: Electricity price for active cooling system </v>
      </c>
      <c r="D269" s="979">
        <v>3</v>
      </c>
      <c r="E269" s="978">
        <f t="shared" ref="E269:J269" si="57">E240+10</f>
        <v>73.539999999999992</v>
      </c>
      <c r="F269" s="978">
        <f t="shared" si="57"/>
        <v>80.459999999999994</v>
      </c>
      <c r="G269" s="978">
        <f t="shared" si="57"/>
        <v>79.53</v>
      </c>
      <c r="H269" s="978">
        <f t="shared" si="57"/>
        <v>89.91</v>
      </c>
      <c r="I269" s="978">
        <f t="shared" si="57"/>
        <v>81.239999999999995</v>
      </c>
      <c r="J269" s="978">
        <f t="shared" si="57"/>
        <v>84.72</v>
      </c>
      <c r="K269" s="208"/>
      <c r="L269" s="208"/>
      <c r="M269" s="208"/>
      <c r="N269" s="208"/>
      <c r="O269" s="208"/>
      <c r="P269" s="208"/>
      <c r="Q269" s="208"/>
      <c r="R269" s="208"/>
      <c r="S269" s="208"/>
      <c r="T269" s="208"/>
      <c r="U269" s="208"/>
      <c r="V269" s="208"/>
      <c r="W269" s="208"/>
      <c r="X269" s="208">
        <v>100</v>
      </c>
      <c r="Y269" s="714">
        <v>3</v>
      </c>
      <c r="Z269" s="135"/>
      <c r="AA269" s="394" t="str">
        <f t="shared" si="54"/>
        <v/>
      </c>
      <c r="AB269" s="248" t="str">
        <f t="shared" si="55"/>
        <v/>
      </c>
      <c r="AC269" s="135"/>
      <c r="AD269" s="135"/>
      <c r="AE269" s="135"/>
      <c r="AF269" s="135"/>
      <c r="AG269" s="135"/>
      <c r="AH269" s="135"/>
      <c r="AI269" s="135"/>
      <c r="AJ269" s="135"/>
      <c r="AK269" s="135"/>
      <c r="AL269" s="135"/>
      <c r="AM269" s="135"/>
      <c r="AN269" s="135"/>
      <c r="AO269" s="135"/>
      <c r="AP269" s="135"/>
      <c r="AQ269" s="135"/>
      <c r="AR269" s="135"/>
      <c r="AS269" s="135"/>
      <c r="AT269" s="135"/>
      <c r="AU269" s="135"/>
      <c r="AV269" s="135"/>
    </row>
    <row r="270" spans="1:48" s="57" customFormat="1" ht="10.35" customHeight="1" outlineLevel="1" thickBot="1">
      <c r="A270" s="135"/>
      <c r="B270" s="206">
        <f t="shared" si="52"/>
        <v>9</v>
      </c>
      <c r="C270" s="766" t="str">
        <f t="shared" si="41"/>
        <v xml:space="preserve">Data centre operator / waste heat provider: Electricity price for active cooling system </v>
      </c>
      <c r="D270" s="979">
        <v>4</v>
      </c>
      <c r="E270" s="978">
        <f t="shared" ref="E270:J270" si="58">E241+10</f>
        <v>71.819999999999993</v>
      </c>
      <c r="F270" s="978">
        <f t="shared" si="58"/>
        <v>79.739999999999995</v>
      </c>
      <c r="G270" s="978">
        <f t="shared" si="58"/>
        <v>74.400000000000006</v>
      </c>
      <c r="H270" s="978">
        <f t="shared" si="58"/>
        <v>89.29</v>
      </c>
      <c r="I270" s="978">
        <f t="shared" si="58"/>
        <v>80.67</v>
      </c>
      <c r="J270" s="978">
        <f t="shared" si="58"/>
        <v>81.844999999999999</v>
      </c>
      <c r="K270" s="208"/>
      <c r="L270" s="208"/>
      <c r="M270" s="208"/>
      <c r="N270" s="208"/>
      <c r="O270" s="208"/>
      <c r="P270" s="208"/>
      <c r="Q270" s="208"/>
      <c r="R270" s="208"/>
      <c r="S270" s="208"/>
      <c r="T270" s="208"/>
      <c r="U270" s="208"/>
      <c r="V270" s="208"/>
      <c r="W270" s="208"/>
      <c r="X270" s="208">
        <v>100</v>
      </c>
      <c r="Y270" s="714">
        <v>4</v>
      </c>
      <c r="Z270" s="135"/>
      <c r="AA270" s="394" t="str">
        <f t="shared" si="54"/>
        <v/>
      </c>
      <c r="AB270" s="248" t="str">
        <f t="shared" si="55"/>
        <v/>
      </c>
      <c r="AC270" s="135"/>
      <c r="AD270" s="135"/>
      <c r="AE270" s="135"/>
      <c r="AF270" s="135"/>
      <c r="AG270" s="135"/>
      <c r="AH270" s="135"/>
      <c r="AI270" s="135"/>
      <c r="AJ270" s="135"/>
      <c r="AK270" s="135"/>
      <c r="AL270" s="135"/>
      <c r="AM270" s="135"/>
      <c r="AN270" s="135"/>
      <c r="AO270" s="135"/>
      <c r="AP270" s="135"/>
      <c r="AQ270" s="135"/>
      <c r="AR270" s="135"/>
      <c r="AS270" s="135"/>
      <c r="AT270" s="135"/>
      <c r="AU270" s="135"/>
      <c r="AV270" s="135"/>
    </row>
    <row r="271" spans="1:48" s="57" customFormat="1" ht="10.35" customHeight="1" outlineLevel="1" thickBot="1">
      <c r="A271" s="135"/>
      <c r="B271" s="206">
        <f t="shared" si="52"/>
        <v>9</v>
      </c>
      <c r="C271" s="766" t="str">
        <f t="shared" si="41"/>
        <v xml:space="preserve">Data centre operator / waste heat provider: Electricity price for active cooling system </v>
      </c>
      <c r="D271" s="979">
        <v>5</v>
      </c>
      <c r="E271" s="978">
        <f t="shared" ref="E271:J271" si="59">E242+10</f>
        <v>71.849999999999994</v>
      </c>
      <c r="F271" s="978">
        <f t="shared" si="59"/>
        <v>80.459999999999994</v>
      </c>
      <c r="G271" s="978">
        <f t="shared" si="59"/>
        <v>73.88</v>
      </c>
      <c r="H271" s="978">
        <f t="shared" si="59"/>
        <v>93.38</v>
      </c>
      <c r="I271" s="978">
        <f t="shared" si="59"/>
        <v>76.94</v>
      </c>
      <c r="J271" s="978">
        <f t="shared" si="59"/>
        <v>83.63</v>
      </c>
      <c r="K271" s="208"/>
      <c r="L271" s="208"/>
      <c r="M271" s="208"/>
      <c r="N271" s="208"/>
      <c r="O271" s="208"/>
      <c r="P271" s="208"/>
      <c r="Q271" s="208"/>
      <c r="R271" s="208"/>
      <c r="S271" s="208"/>
      <c r="T271" s="208"/>
      <c r="U271" s="208"/>
      <c r="V271" s="208"/>
      <c r="W271" s="208"/>
      <c r="X271" s="208">
        <v>100</v>
      </c>
      <c r="Y271" s="714">
        <v>5</v>
      </c>
      <c r="Z271" s="135"/>
      <c r="AA271" s="394" t="str">
        <f t="shared" si="54"/>
        <v/>
      </c>
      <c r="AB271" s="248" t="str">
        <f t="shared" si="55"/>
        <v/>
      </c>
      <c r="AC271" s="135"/>
      <c r="AD271" s="135"/>
      <c r="AE271" s="135"/>
      <c r="AF271" s="135"/>
      <c r="AG271" s="135"/>
      <c r="AH271" s="135"/>
      <c r="AI271" s="135"/>
      <c r="AJ271" s="135"/>
      <c r="AK271" s="135"/>
      <c r="AL271" s="135"/>
      <c r="AM271" s="135"/>
      <c r="AN271" s="135"/>
      <c r="AO271" s="135"/>
      <c r="AP271" s="135"/>
      <c r="AQ271" s="135"/>
      <c r="AR271" s="135"/>
      <c r="AS271" s="135"/>
      <c r="AT271" s="135"/>
      <c r="AU271" s="135"/>
      <c r="AV271" s="135"/>
    </row>
    <row r="272" spans="1:48" s="57" customFormat="1" ht="10.35" customHeight="1" outlineLevel="1" thickBot="1">
      <c r="A272" s="135"/>
      <c r="B272" s="206">
        <f t="shared" si="52"/>
        <v>9</v>
      </c>
      <c r="C272" s="766" t="str">
        <f t="shared" si="41"/>
        <v xml:space="preserve">Data centre operator / waste heat provider: Electricity price for active cooling system </v>
      </c>
      <c r="D272" s="979">
        <v>6</v>
      </c>
      <c r="E272" s="978">
        <f t="shared" ref="E272:J272" si="60">E243+10</f>
        <v>71.75</v>
      </c>
      <c r="F272" s="978">
        <f t="shared" si="60"/>
        <v>83.91</v>
      </c>
      <c r="G272" s="978">
        <f t="shared" si="60"/>
        <v>73.62</v>
      </c>
      <c r="H272" s="978">
        <f t="shared" si="60"/>
        <v>101.38</v>
      </c>
      <c r="I272" s="978">
        <f t="shared" si="60"/>
        <v>72.09</v>
      </c>
      <c r="J272" s="978">
        <f t="shared" si="60"/>
        <v>87.5</v>
      </c>
      <c r="K272" s="208"/>
      <c r="L272" s="208"/>
      <c r="M272" s="208"/>
      <c r="N272" s="208"/>
      <c r="O272" s="208"/>
      <c r="P272" s="208"/>
      <c r="Q272" s="208"/>
      <c r="R272" s="208"/>
      <c r="S272" s="208"/>
      <c r="T272" s="208"/>
      <c r="U272" s="208"/>
      <c r="V272" s="208"/>
      <c r="W272" s="208"/>
      <c r="X272" s="208">
        <v>100</v>
      </c>
      <c r="Y272" s="714">
        <v>6</v>
      </c>
      <c r="Z272" s="135"/>
      <c r="AA272" s="394" t="str">
        <f t="shared" si="54"/>
        <v/>
      </c>
      <c r="AB272" s="248" t="str">
        <f t="shared" si="55"/>
        <v/>
      </c>
      <c r="AC272" s="135"/>
      <c r="AD272" s="135"/>
      <c r="AE272" s="135"/>
      <c r="AF272" s="135"/>
      <c r="AG272" s="135"/>
      <c r="AH272" s="135"/>
      <c r="AI272" s="135"/>
      <c r="AJ272" s="135"/>
      <c r="AK272" s="135"/>
      <c r="AL272" s="135"/>
      <c r="AM272" s="135"/>
      <c r="AN272" s="135"/>
      <c r="AO272" s="135"/>
      <c r="AP272" s="135"/>
      <c r="AQ272" s="135"/>
      <c r="AR272" s="135"/>
      <c r="AS272" s="135"/>
      <c r="AT272" s="135"/>
      <c r="AU272" s="135"/>
      <c r="AV272" s="135"/>
    </row>
    <row r="273" spans="1:48" s="57" customFormat="1" ht="10.35" customHeight="1" outlineLevel="1" thickBot="1">
      <c r="A273" s="135"/>
      <c r="B273" s="206">
        <f t="shared" si="52"/>
        <v>9</v>
      </c>
      <c r="C273" s="766" t="str">
        <f t="shared" si="41"/>
        <v xml:space="preserve">Data centre operator / waste heat provider: Electricity price for active cooling system </v>
      </c>
      <c r="D273" s="979">
        <v>7</v>
      </c>
      <c r="E273" s="978">
        <f t="shared" ref="E273:J273" si="61">E244+10</f>
        <v>72.59</v>
      </c>
      <c r="F273" s="978">
        <f t="shared" si="61"/>
        <v>93.98</v>
      </c>
      <c r="G273" s="978">
        <f t="shared" si="61"/>
        <v>74.430000000000007</v>
      </c>
      <c r="H273" s="978">
        <f t="shared" si="61"/>
        <v>125.6</v>
      </c>
      <c r="I273" s="978">
        <f t="shared" si="61"/>
        <v>67.900000000000006</v>
      </c>
      <c r="J273" s="978">
        <f t="shared" si="61"/>
        <v>100.015</v>
      </c>
      <c r="K273" s="208"/>
      <c r="L273" s="208"/>
      <c r="M273" s="208"/>
      <c r="N273" s="208"/>
      <c r="O273" s="208"/>
      <c r="P273" s="208"/>
      <c r="Q273" s="208"/>
      <c r="R273" s="208"/>
      <c r="S273" s="208"/>
      <c r="T273" s="208"/>
      <c r="U273" s="208"/>
      <c r="V273" s="208"/>
      <c r="W273" s="208"/>
      <c r="X273" s="208">
        <v>100</v>
      </c>
      <c r="Y273" s="714">
        <v>7</v>
      </c>
      <c r="Z273" s="135"/>
      <c r="AA273" s="394" t="str">
        <f t="shared" si="54"/>
        <v/>
      </c>
      <c r="AB273" s="248" t="str">
        <f t="shared" si="55"/>
        <v/>
      </c>
      <c r="AC273" s="135"/>
      <c r="AD273" s="135"/>
      <c r="AE273" s="135"/>
      <c r="AF273" s="135"/>
      <c r="AG273" s="135"/>
      <c r="AH273" s="135"/>
      <c r="AI273" s="135"/>
      <c r="AJ273" s="135"/>
      <c r="AK273" s="135"/>
      <c r="AL273" s="135"/>
      <c r="AM273" s="135"/>
      <c r="AN273" s="135"/>
      <c r="AO273" s="135"/>
      <c r="AP273" s="135"/>
      <c r="AQ273" s="135"/>
      <c r="AR273" s="135"/>
      <c r="AS273" s="135"/>
      <c r="AT273" s="135"/>
      <c r="AU273" s="135"/>
      <c r="AV273" s="135"/>
    </row>
    <row r="274" spans="1:48" s="57" customFormat="1" ht="10.35" customHeight="1" outlineLevel="1" thickBot="1">
      <c r="A274" s="135"/>
      <c r="B274" s="206">
        <f t="shared" si="52"/>
        <v>9</v>
      </c>
      <c r="C274" s="766" t="str">
        <f t="shared" ref="C274:C289" si="62">C273</f>
        <v xml:space="preserve">Data centre operator / waste heat provider: Electricity price for active cooling system </v>
      </c>
      <c r="D274" s="979">
        <v>8</v>
      </c>
      <c r="E274" s="978">
        <f t="shared" ref="E274:J274" si="63">E245+10</f>
        <v>76.900000000000006</v>
      </c>
      <c r="F274" s="978">
        <f t="shared" si="63"/>
        <v>116.64</v>
      </c>
      <c r="G274" s="978">
        <f t="shared" si="63"/>
        <v>70.53</v>
      </c>
      <c r="H274" s="978">
        <f t="shared" si="63"/>
        <v>120.72</v>
      </c>
      <c r="I274" s="978">
        <f t="shared" si="63"/>
        <v>56.35</v>
      </c>
      <c r="J274" s="978">
        <f t="shared" si="63"/>
        <v>95.625</v>
      </c>
      <c r="K274" s="208"/>
      <c r="L274" s="208"/>
      <c r="M274" s="208"/>
      <c r="N274" s="208"/>
      <c r="O274" s="208"/>
      <c r="P274" s="208"/>
      <c r="Q274" s="208"/>
      <c r="R274" s="208"/>
      <c r="S274" s="208"/>
      <c r="T274" s="208"/>
      <c r="U274" s="208"/>
      <c r="V274" s="208"/>
      <c r="W274" s="208"/>
      <c r="X274" s="208">
        <v>100</v>
      </c>
      <c r="Y274" s="714">
        <v>8</v>
      </c>
      <c r="Z274" s="135"/>
      <c r="AA274" s="394" t="str">
        <f t="shared" si="54"/>
        <v/>
      </c>
      <c r="AB274" s="248" t="str">
        <f t="shared" si="55"/>
        <v/>
      </c>
      <c r="AC274" s="135"/>
      <c r="AD274" s="135"/>
      <c r="AE274" s="135"/>
      <c r="AF274" s="135"/>
      <c r="AG274" s="135"/>
      <c r="AH274" s="135"/>
      <c r="AI274" s="135"/>
      <c r="AJ274" s="135"/>
      <c r="AK274" s="135"/>
      <c r="AL274" s="135"/>
      <c r="AM274" s="135"/>
      <c r="AN274" s="135"/>
      <c r="AO274" s="135"/>
      <c r="AP274" s="135"/>
      <c r="AQ274" s="135"/>
      <c r="AR274" s="135"/>
      <c r="AS274" s="135"/>
      <c r="AT274" s="135"/>
      <c r="AU274" s="135"/>
      <c r="AV274" s="135"/>
    </row>
    <row r="275" spans="1:48" s="57" customFormat="1" ht="10.35" customHeight="1" outlineLevel="1" thickBot="1">
      <c r="A275" s="135"/>
      <c r="B275" s="206">
        <f t="shared" si="52"/>
        <v>9</v>
      </c>
      <c r="C275" s="766" t="str">
        <f t="shared" si="62"/>
        <v xml:space="preserve">Data centre operator / waste heat provider: Electricity price for active cooling system </v>
      </c>
      <c r="D275" s="979">
        <v>9</v>
      </c>
      <c r="E275" s="978">
        <f t="shared" ref="E275:J275" si="64">E246+10</f>
        <v>84.82</v>
      </c>
      <c r="F275" s="978">
        <f t="shared" si="64"/>
        <v>118.7</v>
      </c>
      <c r="G275" s="978">
        <f t="shared" si="64"/>
        <v>70.88</v>
      </c>
      <c r="H275" s="978">
        <f t="shared" si="64"/>
        <v>108.4</v>
      </c>
      <c r="I275" s="978">
        <f t="shared" si="64"/>
        <v>29.77</v>
      </c>
      <c r="J275" s="978">
        <f t="shared" si="64"/>
        <v>89.64</v>
      </c>
      <c r="K275" s="208"/>
      <c r="L275" s="208"/>
      <c r="M275" s="208"/>
      <c r="N275" s="208"/>
      <c r="O275" s="208"/>
      <c r="P275" s="208"/>
      <c r="Q275" s="208"/>
      <c r="R275" s="208"/>
      <c r="S275" s="208"/>
      <c r="T275" s="208"/>
      <c r="U275" s="208"/>
      <c r="V275" s="208"/>
      <c r="W275" s="208"/>
      <c r="X275" s="208">
        <v>100</v>
      </c>
      <c r="Y275" s="714">
        <v>9</v>
      </c>
      <c r="Z275" s="135"/>
      <c r="AA275" s="394" t="str">
        <f t="shared" si="54"/>
        <v/>
      </c>
      <c r="AB275" s="248" t="str">
        <f t="shared" si="55"/>
        <v/>
      </c>
      <c r="AC275" s="135"/>
      <c r="AD275" s="135"/>
      <c r="AE275" s="135"/>
      <c r="AF275" s="135"/>
      <c r="AG275" s="135"/>
      <c r="AH275" s="135"/>
      <c r="AI275" s="135"/>
      <c r="AJ275" s="135"/>
      <c r="AK275" s="135"/>
      <c r="AL275" s="135"/>
      <c r="AM275" s="135"/>
      <c r="AN275" s="135"/>
      <c r="AO275" s="135"/>
      <c r="AP275" s="135"/>
      <c r="AQ275" s="135"/>
      <c r="AR275" s="135"/>
      <c r="AS275" s="135"/>
      <c r="AT275" s="135"/>
      <c r="AU275" s="135"/>
      <c r="AV275" s="135"/>
    </row>
    <row r="276" spans="1:48" s="57" customFormat="1" ht="10.35" customHeight="1" outlineLevel="1" thickBot="1">
      <c r="A276" s="135"/>
      <c r="B276" s="206">
        <f t="shared" si="52"/>
        <v>9</v>
      </c>
      <c r="C276" s="766" t="str">
        <f t="shared" si="62"/>
        <v xml:space="preserve">Data centre operator / waste heat provider: Electricity price for active cooling system </v>
      </c>
      <c r="D276" s="979">
        <v>10</v>
      </c>
      <c r="E276" s="978">
        <f t="shared" ref="E276:J276" si="65">E247+10</f>
        <v>87.9</v>
      </c>
      <c r="F276" s="978">
        <f t="shared" si="65"/>
        <v>97.21</v>
      </c>
      <c r="G276" s="978">
        <f t="shared" si="65"/>
        <v>65.38</v>
      </c>
      <c r="H276" s="978">
        <f t="shared" si="65"/>
        <v>91.43</v>
      </c>
      <c r="I276" s="978">
        <f t="shared" si="65"/>
        <v>14.24</v>
      </c>
      <c r="J276" s="978">
        <f t="shared" si="65"/>
        <v>78.405000000000001</v>
      </c>
      <c r="K276" s="208"/>
      <c r="L276" s="208"/>
      <c r="M276" s="208"/>
      <c r="N276" s="208"/>
      <c r="O276" s="208"/>
      <c r="P276" s="208"/>
      <c r="Q276" s="208"/>
      <c r="R276" s="208"/>
      <c r="S276" s="208"/>
      <c r="T276" s="208"/>
      <c r="U276" s="208"/>
      <c r="V276" s="208"/>
      <c r="W276" s="208"/>
      <c r="X276" s="208">
        <v>100</v>
      </c>
      <c r="Y276" s="714">
        <v>10</v>
      </c>
      <c r="Z276" s="135"/>
      <c r="AA276" s="394" t="str">
        <f t="shared" si="54"/>
        <v/>
      </c>
      <c r="AB276" s="248" t="str">
        <f t="shared" si="55"/>
        <v/>
      </c>
      <c r="AC276" s="135"/>
      <c r="AD276" s="135"/>
      <c r="AE276" s="135"/>
      <c r="AF276" s="135"/>
      <c r="AG276" s="135"/>
      <c r="AH276" s="135"/>
      <c r="AI276" s="135"/>
      <c r="AJ276" s="135"/>
      <c r="AK276" s="135"/>
      <c r="AL276" s="135"/>
      <c r="AM276" s="135"/>
      <c r="AN276" s="135"/>
      <c r="AO276" s="135"/>
      <c r="AP276" s="135"/>
      <c r="AQ276" s="135"/>
      <c r="AR276" s="135"/>
      <c r="AS276" s="135"/>
      <c r="AT276" s="135"/>
      <c r="AU276" s="135"/>
      <c r="AV276" s="135"/>
    </row>
    <row r="277" spans="1:48" s="57" customFormat="1" ht="10.35" customHeight="1" outlineLevel="1" thickBot="1">
      <c r="A277" s="135"/>
      <c r="B277" s="206">
        <f t="shared" si="52"/>
        <v>9</v>
      </c>
      <c r="C277" s="766" t="str">
        <f t="shared" si="62"/>
        <v xml:space="preserve">Data centre operator / waste heat provider: Electricity price for active cooling system </v>
      </c>
      <c r="D277" s="979">
        <v>11</v>
      </c>
      <c r="E277" s="978">
        <f t="shared" ref="E277:J277" si="66">E248+10</f>
        <v>81.8</v>
      </c>
      <c r="F277" s="978">
        <f t="shared" si="66"/>
        <v>85.92</v>
      </c>
      <c r="G277" s="978">
        <f t="shared" si="66"/>
        <v>42.99</v>
      </c>
      <c r="H277" s="978">
        <f t="shared" si="66"/>
        <v>80</v>
      </c>
      <c r="I277" s="978">
        <f t="shared" si="66"/>
        <v>10</v>
      </c>
      <c r="J277" s="978">
        <f t="shared" si="66"/>
        <v>61.495000000000005</v>
      </c>
      <c r="K277" s="208"/>
      <c r="L277" s="208"/>
      <c r="M277" s="208"/>
      <c r="N277" s="208"/>
      <c r="O277" s="208"/>
      <c r="P277" s="208"/>
      <c r="Q277" s="208"/>
      <c r="R277" s="208"/>
      <c r="S277" s="208"/>
      <c r="T277" s="208"/>
      <c r="U277" s="208"/>
      <c r="V277" s="208"/>
      <c r="W277" s="208"/>
      <c r="X277" s="208">
        <v>100</v>
      </c>
      <c r="Y277" s="714">
        <v>11</v>
      </c>
      <c r="Z277" s="135"/>
      <c r="AA277" s="394" t="str">
        <f t="shared" si="54"/>
        <v/>
      </c>
      <c r="AB277" s="248" t="str">
        <f t="shared" si="55"/>
        <v/>
      </c>
      <c r="AC277" s="135"/>
      <c r="AD277" s="135"/>
      <c r="AE277" s="135"/>
      <c r="AF277" s="135"/>
      <c r="AG277" s="135"/>
      <c r="AH277" s="135"/>
      <c r="AI277" s="135"/>
      <c r="AJ277" s="135"/>
      <c r="AK277" s="135"/>
      <c r="AL277" s="135"/>
      <c r="AM277" s="135"/>
      <c r="AN277" s="135"/>
      <c r="AO277" s="135"/>
      <c r="AP277" s="135"/>
      <c r="AQ277" s="135"/>
      <c r="AR277" s="135"/>
      <c r="AS277" s="135"/>
      <c r="AT277" s="135"/>
      <c r="AU277" s="135"/>
      <c r="AV277" s="135"/>
    </row>
    <row r="278" spans="1:48" s="57" customFormat="1" ht="10.35" customHeight="1" outlineLevel="1" thickBot="1">
      <c r="A278" s="135"/>
      <c r="B278" s="206">
        <f t="shared" si="52"/>
        <v>9</v>
      </c>
      <c r="C278" s="766" t="str">
        <f t="shared" si="62"/>
        <v xml:space="preserve">Data centre operator / waste heat provider: Electricity price for active cooling system </v>
      </c>
      <c r="D278" s="979">
        <v>12</v>
      </c>
      <c r="E278" s="978">
        <f t="shared" ref="E278:J278" si="67">E249+10</f>
        <v>80.77</v>
      </c>
      <c r="F278" s="978">
        <f t="shared" si="67"/>
        <v>82.02</v>
      </c>
      <c r="G278" s="978">
        <f t="shared" si="67"/>
        <v>46.96</v>
      </c>
      <c r="H278" s="978">
        <f t="shared" si="67"/>
        <v>68.75</v>
      </c>
      <c r="I278" s="978">
        <f t="shared" si="67"/>
        <v>9.9499999999999993</v>
      </c>
      <c r="J278" s="978">
        <f t="shared" si="67"/>
        <v>57.855000000000004</v>
      </c>
      <c r="K278" s="208"/>
      <c r="L278" s="208"/>
      <c r="M278" s="208"/>
      <c r="N278" s="208"/>
      <c r="O278" s="208"/>
      <c r="P278" s="208"/>
      <c r="Q278" s="208"/>
      <c r="R278" s="208"/>
      <c r="S278" s="208"/>
      <c r="T278" s="208"/>
      <c r="U278" s="208"/>
      <c r="V278" s="208"/>
      <c r="W278" s="208"/>
      <c r="X278" s="208">
        <v>100</v>
      </c>
      <c r="Y278" s="714">
        <v>12</v>
      </c>
      <c r="Z278" s="135"/>
      <c r="AA278" s="394" t="str">
        <f t="shared" si="54"/>
        <v/>
      </c>
      <c r="AB278" s="248" t="str">
        <f t="shared" si="55"/>
        <v/>
      </c>
      <c r="AC278" s="135"/>
      <c r="AD278" s="135"/>
      <c r="AE278" s="135"/>
      <c r="AF278" s="135"/>
      <c r="AG278" s="135"/>
      <c r="AH278" s="135"/>
      <c r="AI278" s="135"/>
      <c r="AJ278" s="135"/>
      <c r="AK278" s="135"/>
      <c r="AL278" s="135"/>
      <c r="AM278" s="135"/>
      <c r="AN278" s="135"/>
      <c r="AO278" s="135"/>
      <c r="AP278" s="135"/>
      <c r="AQ278" s="135"/>
      <c r="AR278" s="135"/>
      <c r="AS278" s="135"/>
      <c r="AT278" s="135"/>
      <c r="AU278" s="135"/>
      <c r="AV278" s="135"/>
    </row>
    <row r="279" spans="1:48" s="57" customFormat="1" ht="10.35" customHeight="1" outlineLevel="1" thickBot="1">
      <c r="A279" s="135"/>
      <c r="B279" s="206">
        <f t="shared" si="52"/>
        <v>9</v>
      </c>
      <c r="C279" s="766" t="str">
        <f t="shared" si="62"/>
        <v xml:space="preserve">Data centre operator / waste heat provider: Electricity price for active cooling system </v>
      </c>
      <c r="D279" s="979">
        <v>13</v>
      </c>
      <c r="E279" s="978">
        <f t="shared" ref="E279:J279" si="68">E250+10</f>
        <v>77.73</v>
      </c>
      <c r="F279" s="978">
        <f t="shared" si="68"/>
        <v>79.349999999999994</v>
      </c>
      <c r="G279" s="978">
        <f t="shared" si="68"/>
        <v>16.059999999999999</v>
      </c>
      <c r="H279" s="978">
        <f t="shared" si="68"/>
        <v>54.34</v>
      </c>
      <c r="I279" s="978">
        <f t="shared" si="68"/>
        <v>9.9</v>
      </c>
      <c r="J279" s="978">
        <f t="shared" si="68"/>
        <v>35.200000000000003</v>
      </c>
      <c r="K279" s="208"/>
      <c r="L279" s="208"/>
      <c r="M279" s="208"/>
      <c r="N279" s="208"/>
      <c r="O279" s="208"/>
      <c r="P279" s="208"/>
      <c r="Q279" s="208"/>
      <c r="R279" s="208"/>
      <c r="S279" s="208"/>
      <c r="T279" s="208"/>
      <c r="U279" s="208"/>
      <c r="V279" s="208"/>
      <c r="W279" s="208"/>
      <c r="X279" s="208">
        <v>100</v>
      </c>
      <c r="Y279" s="714">
        <v>13</v>
      </c>
      <c r="Z279" s="135"/>
      <c r="AA279" s="394" t="str">
        <f t="shared" si="54"/>
        <v/>
      </c>
      <c r="AB279" s="248" t="str">
        <f t="shared" si="55"/>
        <v/>
      </c>
      <c r="AC279" s="135"/>
      <c r="AD279" s="135"/>
      <c r="AE279" s="135"/>
      <c r="AF279" s="135"/>
      <c r="AG279" s="135"/>
      <c r="AH279" s="135"/>
      <c r="AI279" s="135"/>
      <c r="AJ279" s="135"/>
      <c r="AK279" s="135"/>
      <c r="AL279" s="135"/>
      <c r="AM279" s="135"/>
      <c r="AN279" s="135"/>
      <c r="AO279" s="135"/>
      <c r="AP279" s="135"/>
      <c r="AQ279" s="135"/>
      <c r="AR279" s="135"/>
      <c r="AS279" s="135"/>
      <c r="AT279" s="135"/>
      <c r="AU279" s="135"/>
      <c r="AV279" s="135"/>
    </row>
    <row r="280" spans="1:48" s="57" customFormat="1" ht="10.35" customHeight="1" outlineLevel="1" thickBot="1">
      <c r="A280" s="135"/>
      <c r="B280" s="206">
        <f t="shared" si="52"/>
        <v>9</v>
      </c>
      <c r="C280" s="766" t="str">
        <f t="shared" si="62"/>
        <v xml:space="preserve">Data centre operator / waste heat provider: Electricity price for active cooling system </v>
      </c>
      <c r="D280" s="979">
        <v>14</v>
      </c>
      <c r="E280" s="978">
        <f t="shared" ref="E280:J280" si="69">E251+10</f>
        <v>78.78</v>
      </c>
      <c r="F280" s="978">
        <f t="shared" si="69"/>
        <v>79.290000000000006</v>
      </c>
      <c r="G280" s="978">
        <f t="shared" si="69"/>
        <v>10.28</v>
      </c>
      <c r="H280" s="978">
        <f t="shared" si="69"/>
        <v>46.5</v>
      </c>
      <c r="I280" s="978">
        <f t="shared" si="69"/>
        <v>8.9499999999999993</v>
      </c>
      <c r="J280" s="978">
        <f t="shared" si="69"/>
        <v>28.39</v>
      </c>
      <c r="K280" s="208"/>
      <c r="L280" s="208"/>
      <c r="M280" s="208"/>
      <c r="N280" s="208"/>
      <c r="O280" s="208"/>
      <c r="P280" s="208"/>
      <c r="Q280" s="208"/>
      <c r="R280" s="208"/>
      <c r="S280" s="208"/>
      <c r="T280" s="208"/>
      <c r="U280" s="208"/>
      <c r="V280" s="208"/>
      <c r="W280" s="208"/>
      <c r="X280" s="208">
        <v>100</v>
      </c>
      <c r="Y280" s="714">
        <v>14</v>
      </c>
      <c r="Z280" s="135"/>
      <c r="AA280" s="394" t="str">
        <f t="shared" si="54"/>
        <v/>
      </c>
      <c r="AB280" s="248" t="str">
        <f t="shared" si="55"/>
        <v/>
      </c>
      <c r="AC280" s="135"/>
      <c r="AD280" s="135"/>
      <c r="AE280" s="135"/>
      <c r="AF280" s="135"/>
      <c r="AG280" s="135"/>
      <c r="AH280" s="135"/>
      <c r="AI280" s="135"/>
      <c r="AJ280" s="135"/>
      <c r="AK280" s="135"/>
      <c r="AL280" s="135"/>
      <c r="AM280" s="135"/>
      <c r="AN280" s="135"/>
      <c r="AO280" s="135"/>
      <c r="AP280" s="135"/>
      <c r="AQ280" s="135"/>
      <c r="AR280" s="135"/>
      <c r="AS280" s="135"/>
      <c r="AT280" s="135"/>
      <c r="AU280" s="135"/>
      <c r="AV280" s="135"/>
    </row>
    <row r="281" spans="1:48" s="57" customFormat="1" ht="10.35" customHeight="1" outlineLevel="1" thickBot="1">
      <c r="A281" s="135"/>
      <c r="B281" s="206">
        <f t="shared" si="52"/>
        <v>9</v>
      </c>
      <c r="C281" s="766" t="str">
        <f t="shared" si="62"/>
        <v xml:space="preserve">Data centre operator / waste heat provider: Electricity price for active cooling system </v>
      </c>
      <c r="D281" s="979">
        <v>15</v>
      </c>
      <c r="E281" s="978">
        <f t="shared" ref="E281:J281" si="70">E252+10</f>
        <v>83.39</v>
      </c>
      <c r="F281" s="978">
        <f t="shared" si="70"/>
        <v>80.64</v>
      </c>
      <c r="G281" s="978">
        <f t="shared" si="70"/>
        <v>9.1</v>
      </c>
      <c r="H281" s="978">
        <f t="shared" si="70"/>
        <v>46.2</v>
      </c>
      <c r="I281" s="978">
        <f t="shared" si="70"/>
        <v>7.79</v>
      </c>
      <c r="J281" s="978">
        <f t="shared" si="70"/>
        <v>27.650000000000002</v>
      </c>
      <c r="K281" s="208"/>
      <c r="L281" s="208"/>
      <c r="M281" s="208"/>
      <c r="N281" s="208"/>
      <c r="O281" s="208"/>
      <c r="P281" s="208"/>
      <c r="Q281" s="208"/>
      <c r="R281" s="208"/>
      <c r="S281" s="208"/>
      <c r="T281" s="208"/>
      <c r="U281" s="208"/>
      <c r="V281" s="208"/>
      <c r="W281" s="208"/>
      <c r="X281" s="208">
        <v>100</v>
      </c>
      <c r="Y281" s="714">
        <v>15</v>
      </c>
      <c r="Z281" s="135"/>
      <c r="AA281" s="394" t="str">
        <f t="shared" si="54"/>
        <v/>
      </c>
      <c r="AB281" s="248" t="str">
        <f t="shared" si="55"/>
        <v/>
      </c>
      <c r="AC281" s="135"/>
      <c r="AD281" s="135"/>
      <c r="AE281" s="135"/>
      <c r="AF281" s="135"/>
      <c r="AG281" s="135"/>
      <c r="AH281" s="135"/>
      <c r="AI281" s="135"/>
      <c r="AJ281" s="135"/>
      <c r="AK281" s="135"/>
      <c r="AL281" s="135"/>
      <c r="AM281" s="135"/>
      <c r="AN281" s="135"/>
      <c r="AO281" s="135"/>
      <c r="AP281" s="135"/>
      <c r="AQ281" s="135"/>
      <c r="AR281" s="135"/>
      <c r="AS281" s="135"/>
      <c r="AT281" s="135"/>
      <c r="AU281" s="135"/>
      <c r="AV281" s="135"/>
    </row>
    <row r="282" spans="1:48" s="57" customFormat="1" ht="10.35" customHeight="1" outlineLevel="1" thickBot="1">
      <c r="A282" s="135"/>
      <c r="B282" s="206">
        <f t="shared" si="52"/>
        <v>9</v>
      </c>
      <c r="C282" s="766" t="str">
        <f t="shared" si="62"/>
        <v xml:space="preserve">Data centre operator / waste heat provider: Electricity price for active cooling system </v>
      </c>
      <c r="D282" s="979">
        <v>16</v>
      </c>
      <c r="E282" s="978">
        <f t="shared" ref="E282:J282" si="71">E253+10</f>
        <v>89.11</v>
      </c>
      <c r="F282" s="978">
        <f t="shared" si="71"/>
        <v>82.26</v>
      </c>
      <c r="G282" s="978">
        <f t="shared" si="71"/>
        <v>10.75</v>
      </c>
      <c r="H282" s="978">
        <f t="shared" si="71"/>
        <v>52.54</v>
      </c>
      <c r="I282" s="978">
        <f t="shared" si="71"/>
        <v>7.95</v>
      </c>
      <c r="J282" s="978">
        <f t="shared" si="71"/>
        <v>31.645</v>
      </c>
      <c r="K282" s="208"/>
      <c r="L282" s="208"/>
      <c r="M282" s="208"/>
      <c r="N282" s="208"/>
      <c r="O282" s="208"/>
      <c r="P282" s="208"/>
      <c r="Q282" s="208"/>
      <c r="R282" s="208"/>
      <c r="S282" s="208"/>
      <c r="T282" s="208"/>
      <c r="U282" s="208"/>
      <c r="V282" s="208"/>
      <c r="W282" s="208"/>
      <c r="X282" s="208">
        <v>100</v>
      </c>
      <c r="Y282" s="714">
        <v>16</v>
      </c>
      <c r="Z282" s="135"/>
      <c r="AA282" s="394" t="str">
        <f t="shared" si="54"/>
        <v/>
      </c>
      <c r="AB282" s="248" t="str">
        <f t="shared" si="55"/>
        <v/>
      </c>
      <c r="AC282" s="135"/>
      <c r="AD282" s="135"/>
      <c r="AE282" s="135"/>
      <c r="AF282" s="135"/>
      <c r="AG282" s="135"/>
      <c r="AH282" s="135"/>
      <c r="AI282" s="135"/>
      <c r="AJ282" s="135"/>
      <c r="AK282" s="135"/>
      <c r="AL282" s="135"/>
      <c r="AM282" s="135"/>
      <c r="AN282" s="135"/>
      <c r="AO282" s="135"/>
      <c r="AP282" s="135"/>
      <c r="AQ282" s="135"/>
      <c r="AR282" s="135"/>
      <c r="AS282" s="135"/>
      <c r="AT282" s="135"/>
      <c r="AU282" s="135"/>
      <c r="AV282" s="135"/>
    </row>
    <row r="283" spans="1:48" s="57" customFormat="1" ht="10.35" customHeight="1" outlineLevel="1" thickBot="1">
      <c r="A283" s="135"/>
      <c r="B283" s="206">
        <f t="shared" si="52"/>
        <v>9</v>
      </c>
      <c r="C283" s="766" t="str">
        <f t="shared" si="62"/>
        <v xml:space="preserve">Data centre operator / waste heat provider: Electricity price for active cooling system </v>
      </c>
      <c r="D283" s="979">
        <v>17</v>
      </c>
      <c r="E283" s="978">
        <f t="shared" ref="E283:J283" si="72">E254+10</f>
        <v>97.8</v>
      </c>
      <c r="F283" s="978">
        <f t="shared" si="72"/>
        <v>91.06</v>
      </c>
      <c r="G283" s="978">
        <f t="shared" si="72"/>
        <v>16.009999999999998</v>
      </c>
      <c r="H283" s="978">
        <f t="shared" si="72"/>
        <v>73.789999999999992</v>
      </c>
      <c r="I283" s="978">
        <f t="shared" si="72"/>
        <v>9.73</v>
      </c>
      <c r="J283" s="978">
        <f t="shared" si="72"/>
        <v>44.9</v>
      </c>
      <c r="K283" s="208"/>
      <c r="L283" s="208"/>
      <c r="M283" s="208"/>
      <c r="N283" s="208"/>
      <c r="O283" s="208"/>
      <c r="P283" s="208"/>
      <c r="Q283" s="208"/>
      <c r="R283" s="208"/>
      <c r="S283" s="208"/>
      <c r="T283" s="208"/>
      <c r="U283" s="208"/>
      <c r="V283" s="208"/>
      <c r="W283" s="208"/>
      <c r="X283" s="208">
        <v>100</v>
      </c>
      <c r="Y283" s="714">
        <v>17</v>
      </c>
      <c r="Z283" s="135"/>
      <c r="AA283" s="394" t="str">
        <f t="shared" si="54"/>
        <v/>
      </c>
      <c r="AB283" s="248" t="str">
        <f t="shared" si="55"/>
        <v/>
      </c>
      <c r="AC283" s="135"/>
      <c r="AD283" s="135"/>
      <c r="AE283" s="135"/>
      <c r="AF283" s="135"/>
      <c r="AG283" s="135"/>
      <c r="AH283" s="135"/>
      <c r="AI283" s="135"/>
      <c r="AJ283" s="135"/>
      <c r="AK283" s="135"/>
      <c r="AL283" s="135"/>
      <c r="AM283" s="135"/>
      <c r="AN283" s="135"/>
      <c r="AO283" s="135"/>
      <c r="AP283" s="135"/>
      <c r="AQ283" s="135"/>
      <c r="AR283" s="135"/>
      <c r="AS283" s="135"/>
      <c r="AT283" s="135"/>
      <c r="AU283" s="135"/>
      <c r="AV283" s="135"/>
    </row>
    <row r="284" spans="1:48" s="57" customFormat="1" ht="10.35" customHeight="1" outlineLevel="1" thickBot="1">
      <c r="A284" s="135"/>
      <c r="B284" s="206">
        <f t="shared" si="52"/>
        <v>9</v>
      </c>
      <c r="C284" s="766" t="str">
        <f t="shared" si="62"/>
        <v xml:space="preserve">Data centre operator / waste heat provider: Electricity price for active cooling system </v>
      </c>
      <c r="D284" s="979">
        <v>18</v>
      </c>
      <c r="E284" s="978">
        <f t="shared" ref="E284:J284" si="73">E255+10</f>
        <v>104.93</v>
      </c>
      <c r="F284" s="978">
        <f t="shared" si="73"/>
        <v>110</v>
      </c>
      <c r="G284" s="978">
        <f t="shared" si="73"/>
        <v>68.22</v>
      </c>
      <c r="H284" s="978">
        <f t="shared" si="73"/>
        <v>87.34</v>
      </c>
      <c r="I284" s="978">
        <f t="shared" si="73"/>
        <v>32.61</v>
      </c>
      <c r="J284" s="978">
        <f t="shared" si="73"/>
        <v>77.78</v>
      </c>
      <c r="K284" s="208"/>
      <c r="L284" s="208"/>
      <c r="M284" s="208"/>
      <c r="N284" s="208"/>
      <c r="O284" s="208"/>
      <c r="P284" s="208"/>
      <c r="Q284" s="208"/>
      <c r="R284" s="208"/>
      <c r="S284" s="208"/>
      <c r="T284" s="208"/>
      <c r="U284" s="208"/>
      <c r="V284" s="208"/>
      <c r="W284" s="208"/>
      <c r="X284" s="208">
        <v>100</v>
      </c>
      <c r="Y284" s="714">
        <v>18</v>
      </c>
      <c r="Z284" s="135"/>
      <c r="AA284" s="394" t="str">
        <f t="shared" si="54"/>
        <v/>
      </c>
      <c r="AB284" s="248" t="str">
        <f t="shared" si="55"/>
        <v/>
      </c>
      <c r="AC284" s="135"/>
      <c r="AD284" s="135"/>
      <c r="AE284" s="135"/>
      <c r="AF284" s="135"/>
      <c r="AG284" s="135"/>
      <c r="AH284" s="135"/>
      <c r="AI284" s="135"/>
      <c r="AJ284" s="135"/>
      <c r="AK284" s="135"/>
      <c r="AL284" s="135"/>
      <c r="AM284" s="135"/>
      <c r="AN284" s="135"/>
      <c r="AO284" s="135"/>
      <c r="AP284" s="135"/>
      <c r="AQ284" s="135"/>
      <c r="AR284" s="135"/>
      <c r="AS284" s="135"/>
      <c r="AT284" s="135"/>
      <c r="AU284" s="135"/>
      <c r="AV284" s="135"/>
    </row>
    <row r="285" spans="1:48" s="57" customFormat="1" ht="10.35" customHeight="1" outlineLevel="1" thickBot="1">
      <c r="A285" s="135"/>
      <c r="B285" s="206">
        <f t="shared" si="52"/>
        <v>9</v>
      </c>
      <c r="C285" s="766" t="str">
        <f t="shared" si="62"/>
        <v xml:space="preserve">Data centre operator / waste heat provider: Electricity price for active cooling system </v>
      </c>
      <c r="D285" s="979">
        <v>19</v>
      </c>
      <c r="E285" s="978">
        <f t="shared" ref="E285:J285" si="74">E256+10</f>
        <v>109.87</v>
      </c>
      <c r="F285" s="978">
        <f t="shared" si="74"/>
        <v>129.57999999999998</v>
      </c>
      <c r="G285" s="978">
        <f t="shared" si="74"/>
        <v>84.6</v>
      </c>
      <c r="H285" s="978">
        <f t="shared" si="74"/>
        <v>101.61</v>
      </c>
      <c r="I285" s="978">
        <f t="shared" si="74"/>
        <v>81.12</v>
      </c>
      <c r="J285" s="978">
        <f t="shared" si="74"/>
        <v>93.10499999999999</v>
      </c>
      <c r="K285" s="208"/>
      <c r="L285" s="208"/>
      <c r="M285" s="208"/>
      <c r="N285" s="208"/>
      <c r="O285" s="208"/>
      <c r="P285" s="208"/>
      <c r="Q285" s="208"/>
      <c r="R285" s="208"/>
      <c r="S285" s="208"/>
      <c r="T285" s="208"/>
      <c r="U285" s="208"/>
      <c r="V285" s="208"/>
      <c r="W285" s="208"/>
      <c r="X285" s="208">
        <v>100</v>
      </c>
      <c r="Y285" s="714">
        <v>19</v>
      </c>
      <c r="Z285" s="135"/>
      <c r="AA285" s="394" t="str">
        <f t="shared" si="54"/>
        <v/>
      </c>
      <c r="AB285" s="248" t="str">
        <f t="shared" si="55"/>
        <v/>
      </c>
      <c r="AC285" s="135"/>
      <c r="AD285" s="135"/>
      <c r="AE285" s="135"/>
      <c r="AF285" s="135"/>
      <c r="AG285" s="135"/>
      <c r="AH285" s="135"/>
      <c r="AI285" s="135"/>
      <c r="AJ285" s="135"/>
      <c r="AK285" s="135"/>
      <c r="AL285" s="135"/>
      <c r="AM285" s="135"/>
      <c r="AN285" s="135"/>
      <c r="AO285" s="135"/>
      <c r="AP285" s="135"/>
      <c r="AQ285" s="135"/>
      <c r="AR285" s="135"/>
      <c r="AS285" s="135"/>
      <c r="AT285" s="135"/>
      <c r="AU285" s="135"/>
      <c r="AV285" s="135"/>
    </row>
    <row r="286" spans="1:48" s="57" customFormat="1" ht="10.35" customHeight="1" outlineLevel="1" thickBot="1">
      <c r="A286" s="135"/>
      <c r="B286" s="206">
        <f t="shared" si="52"/>
        <v>9</v>
      </c>
      <c r="C286" s="766" t="str">
        <f t="shared" si="62"/>
        <v xml:space="preserve">Data centre operator / waste heat provider: Electricity price for active cooling system </v>
      </c>
      <c r="D286" s="979">
        <v>20</v>
      </c>
      <c r="E286" s="978">
        <f t="shared" ref="E286:J286" si="75">E257+10</f>
        <v>101.57</v>
      </c>
      <c r="F286" s="978">
        <f t="shared" si="75"/>
        <v>129.25</v>
      </c>
      <c r="G286" s="978">
        <f t="shared" si="75"/>
        <v>99.36</v>
      </c>
      <c r="H286" s="978">
        <f t="shared" si="75"/>
        <v>131.01999999999998</v>
      </c>
      <c r="I286" s="978">
        <f t="shared" si="75"/>
        <v>109.5</v>
      </c>
      <c r="J286" s="978">
        <f t="shared" si="75"/>
        <v>115.19</v>
      </c>
      <c r="K286" s="208"/>
      <c r="L286" s="208"/>
      <c r="M286" s="208"/>
      <c r="N286" s="208"/>
      <c r="O286" s="208"/>
      <c r="P286" s="208"/>
      <c r="Q286" s="208"/>
      <c r="R286" s="208"/>
      <c r="S286" s="208"/>
      <c r="T286" s="208"/>
      <c r="U286" s="208"/>
      <c r="V286" s="208"/>
      <c r="W286" s="208"/>
      <c r="X286" s="208">
        <v>100</v>
      </c>
      <c r="Y286" s="714">
        <v>20</v>
      </c>
      <c r="Z286" s="135"/>
      <c r="AA286" s="394" t="str">
        <f t="shared" si="54"/>
        <v/>
      </c>
      <c r="AB286" s="248" t="str">
        <f t="shared" si="55"/>
        <v/>
      </c>
      <c r="AC286" s="135"/>
      <c r="AD286" s="135"/>
      <c r="AE286" s="135"/>
      <c r="AF286" s="135"/>
      <c r="AG286" s="135"/>
      <c r="AH286" s="135"/>
      <c r="AI286" s="135"/>
      <c r="AJ286" s="135"/>
      <c r="AK286" s="135"/>
      <c r="AL286" s="135"/>
      <c r="AM286" s="135"/>
      <c r="AN286" s="135"/>
      <c r="AO286" s="135"/>
      <c r="AP286" s="135"/>
      <c r="AQ286" s="135"/>
      <c r="AR286" s="135"/>
      <c r="AS286" s="135"/>
      <c r="AT286" s="135"/>
      <c r="AU286" s="135"/>
      <c r="AV286" s="135"/>
    </row>
    <row r="287" spans="1:48" s="57" customFormat="1" ht="10.35" customHeight="1" outlineLevel="1" thickBot="1">
      <c r="A287" s="135"/>
      <c r="B287" s="206">
        <f t="shared" si="52"/>
        <v>9</v>
      </c>
      <c r="C287" s="766" t="str">
        <f t="shared" si="62"/>
        <v xml:space="preserve">Data centre operator / waste heat provider: Electricity price for active cooling system </v>
      </c>
      <c r="D287" s="979">
        <v>21</v>
      </c>
      <c r="E287" s="978">
        <f t="shared" ref="E287:J287" si="76">E258+10</f>
        <v>91.97</v>
      </c>
      <c r="F287" s="978">
        <f t="shared" si="76"/>
        <v>103.4</v>
      </c>
      <c r="G287" s="978">
        <f t="shared" si="76"/>
        <v>105.26</v>
      </c>
      <c r="H287" s="978">
        <f t="shared" si="76"/>
        <v>200.46</v>
      </c>
      <c r="I287" s="978">
        <f t="shared" si="76"/>
        <v>125.14</v>
      </c>
      <c r="J287" s="978">
        <f t="shared" si="76"/>
        <v>152.86000000000001</v>
      </c>
      <c r="K287" s="208"/>
      <c r="L287" s="208"/>
      <c r="M287" s="208"/>
      <c r="N287" s="208"/>
      <c r="O287" s="208"/>
      <c r="P287" s="208"/>
      <c r="Q287" s="208"/>
      <c r="R287" s="208"/>
      <c r="S287" s="208"/>
      <c r="T287" s="208"/>
      <c r="U287" s="208"/>
      <c r="V287" s="208"/>
      <c r="W287" s="208"/>
      <c r="X287" s="208">
        <v>100</v>
      </c>
      <c r="Y287" s="714">
        <v>21</v>
      </c>
      <c r="Z287" s="135"/>
      <c r="AA287" s="394" t="str">
        <f t="shared" si="54"/>
        <v/>
      </c>
      <c r="AB287" s="248" t="str">
        <f t="shared" si="55"/>
        <v/>
      </c>
      <c r="AC287" s="135"/>
      <c r="AD287" s="135"/>
      <c r="AE287" s="135"/>
      <c r="AF287" s="135"/>
      <c r="AG287" s="135"/>
      <c r="AH287" s="135"/>
      <c r="AI287" s="135"/>
      <c r="AJ287" s="135"/>
      <c r="AK287" s="135"/>
      <c r="AL287" s="135"/>
      <c r="AM287" s="135"/>
      <c r="AN287" s="135"/>
      <c r="AO287" s="135"/>
      <c r="AP287" s="135"/>
      <c r="AQ287" s="135"/>
      <c r="AR287" s="135"/>
      <c r="AS287" s="135"/>
      <c r="AT287" s="135"/>
      <c r="AU287" s="135"/>
      <c r="AV287" s="135"/>
    </row>
    <row r="288" spans="1:48" s="57" customFormat="1" ht="10.35" customHeight="1" outlineLevel="1" thickBot="1">
      <c r="A288" s="135"/>
      <c r="B288" s="206">
        <f t="shared" si="52"/>
        <v>9</v>
      </c>
      <c r="C288" s="766" t="str">
        <f t="shared" si="62"/>
        <v xml:space="preserve">Data centre operator / waste heat provider: Electricity price for active cooling system </v>
      </c>
      <c r="D288" s="979">
        <v>22</v>
      </c>
      <c r="E288" s="978">
        <f t="shared" ref="E288:J288" si="77">E259+10</f>
        <v>85.74</v>
      </c>
      <c r="F288" s="978">
        <f t="shared" si="77"/>
        <v>90.15</v>
      </c>
      <c r="G288" s="978">
        <f t="shared" si="77"/>
        <v>101.07</v>
      </c>
      <c r="H288" s="978">
        <f t="shared" si="77"/>
        <v>130</v>
      </c>
      <c r="I288" s="978">
        <f t="shared" si="77"/>
        <v>125.44</v>
      </c>
      <c r="J288" s="978">
        <f t="shared" si="77"/>
        <v>115.535</v>
      </c>
      <c r="K288" s="208"/>
      <c r="L288" s="208"/>
      <c r="M288" s="208"/>
      <c r="N288" s="208"/>
      <c r="O288" s="208"/>
      <c r="P288" s="208"/>
      <c r="Q288" s="208"/>
      <c r="R288" s="208"/>
      <c r="S288" s="208"/>
      <c r="T288" s="208"/>
      <c r="U288" s="208"/>
      <c r="V288" s="208"/>
      <c r="W288" s="208"/>
      <c r="X288" s="208">
        <v>100</v>
      </c>
      <c r="Y288" s="714">
        <v>22</v>
      </c>
      <c r="Z288" s="135"/>
      <c r="AA288" s="394" t="str">
        <f t="shared" si="54"/>
        <v/>
      </c>
      <c r="AB288" s="248" t="str">
        <f t="shared" si="55"/>
        <v/>
      </c>
      <c r="AC288" s="135"/>
      <c r="AD288" s="135"/>
      <c r="AE288" s="135"/>
      <c r="AF288" s="135"/>
      <c r="AG288" s="135"/>
      <c r="AH288" s="135"/>
      <c r="AI288" s="135"/>
      <c r="AJ288" s="135"/>
      <c r="AK288" s="135"/>
      <c r="AL288" s="135"/>
      <c r="AM288" s="135"/>
      <c r="AN288" s="135"/>
      <c r="AO288" s="135"/>
      <c r="AP288" s="135"/>
      <c r="AQ288" s="135"/>
      <c r="AR288" s="135"/>
      <c r="AS288" s="135"/>
      <c r="AT288" s="135"/>
      <c r="AU288" s="135"/>
      <c r="AV288" s="135"/>
    </row>
    <row r="289" spans="1:48" s="57" customFormat="1" ht="10.35" customHeight="1" outlineLevel="1" thickBot="1">
      <c r="A289" s="135"/>
      <c r="B289" s="206">
        <f t="shared" si="52"/>
        <v>9</v>
      </c>
      <c r="C289" s="766" t="str">
        <f t="shared" si="62"/>
        <v xml:space="preserve">Data centre operator / waste heat provider: Electricity price for active cooling system </v>
      </c>
      <c r="D289" s="979">
        <v>23</v>
      </c>
      <c r="E289" s="978">
        <f t="shared" ref="E289:J289" si="78">E260+10</f>
        <v>84.68</v>
      </c>
      <c r="F289" s="978">
        <f t="shared" si="78"/>
        <v>87.98</v>
      </c>
      <c r="G289" s="978">
        <f t="shared" si="78"/>
        <v>99.41</v>
      </c>
      <c r="H289" s="978">
        <f t="shared" si="78"/>
        <v>116.86</v>
      </c>
      <c r="I289" s="978">
        <f t="shared" si="78"/>
        <v>124.33</v>
      </c>
      <c r="J289" s="978">
        <f t="shared" si="78"/>
        <v>108.13499999999999</v>
      </c>
      <c r="K289" s="208"/>
      <c r="L289" s="208"/>
      <c r="M289" s="208"/>
      <c r="N289" s="208"/>
      <c r="O289" s="208"/>
      <c r="P289" s="208"/>
      <c r="Q289" s="208"/>
      <c r="R289" s="208"/>
      <c r="S289" s="208"/>
      <c r="T289" s="208"/>
      <c r="U289" s="208"/>
      <c r="V289" s="208"/>
      <c r="W289" s="208"/>
      <c r="X289" s="208">
        <v>100</v>
      </c>
      <c r="Y289" s="714">
        <v>23</v>
      </c>
      <c r="Z289" s="135"/>
      <c r="AA289" s="394" t="str">
        <f t="shared" si="54"/>
        <v/>
      </c>
      <c r="AB289" s="248" t="str">
        <f t="shared" si="55"/>
        <v/>
      </c>
      <c r="AC289" s="135"/>
      <c r="AD289" s="135"/>
      <c r="AE289" s="135"/>
      <c r="AF289" s="135"/>
      <c r="AG289" s="135"/>
      <c r="AH289" s="135"/>
      <c r="AI289" s="135"/>
      <c r="AJ289" s="135"/>
      <c r="AK289" s="135"/>
      <c r="AL289" s="135"/>
      <c r="AM289" s="135"/>
      <c r="AN289" s="135"/>
      <c r="AO289" s="135"/>
      <c r="AP289" s="135"/>
      <c r="AQ289" s="135"/>
      <c r="AR289" s="135"/>
      <c r="AS289" s="135"/>
      <c r="AT289" s="135"/>
      <c r="AU289" s="135"/>
      <c r="AV289" s="135"/>
    </row>
    <row r="290" spans="1:48" s="57" customFormat="1" ht="10.35" customHeight="1" outlineLevel="1" thickBot="1">
      <c r="A290" s="135"/>
      <c r="B290" s="206">
        <f t="shared" si="52"/>
        <v>9</v>
      </c>
      <c r="C290" s="970" t="str">
        <f>C289</f>
        <v xml:space="preserve">Data centre operator / waste heat provider: Electricity price for active cooling system </v>
      </c>
      <c r="D290" s="981">
        <v>24</v>
      </c>
      <c r="E290" s="995">
        <f t="shared" ref="E290:J290" si="79">E261+10</f>
        <v>79.13</v>
      </c>
      <c r="F290" s="995">
        <f t="shared" si="79"/>
        <v>84.34</v>
      </c>
      <c r="G290" s="995">
        <f t="shared" si="79"/>
        <v>98.46</v>
      </c>
      <c r="H290" s="995">
        <f t="shared" si="79"/>
        <v>101.55</v>
      </c>
      <c r="I290" s="995">
        <f t="shared" si="79"/>
        <v>109.79</v>
      </c>
      <c r="J290" s="995">
        <f t="shared" si="79"/>
        <v>100.005</v>
      </c>
      <c r="K290" s="208"/>
      <c r="L290" s="208"/>
      <c r="M290" s="208"/>
      <c r="N290" s="208"/>
      <c r="O290" s="208"/>
      <c r="P290" s="208"/>
      <c r="Q290" s="208"/>
      <c r="R290" s="208"/>
      <c r="S290" s="208"/>
      <c r="T290" s="208"/>
      <c r="U290" s="208"/>
      <c r="V290" s="208"/>
      <c r="W290" s="208"/>
      <c r="X290" s="208">
        <v>100</v>
      </c>
      <c r="Y290" s="948">
        <v>24</v>
      </c>
      <c r="Z290" s="135"/>
      <c r="AA290" s="394" t="str">
        <f t="shared" si="54"/>
        <v/>
      </c>
      <c r="AB290" s="248" t="str">
        <f t="shared" si="55"/>
        <v/>
      </c>
      <c r="AC290" s="135"/>
      <c r="AD290" s="135"/>
      <c r="AE290" s="135"/>
      <c r="AF290" s="135"/>
      <c r="AG290" s="135"/>
      <c r="AH290" s="135"/>
      <c r="AI290" s="135"/>
      <c r="AJ290" s="135"/>
      <c r="AK290" s="135"/>
      <c r="AL290" s="135"/>
      <c r="AM290" s="135"/>
      <c r="AN290" s="135"/>
      <c r="AO290" s="135"/>
      <c r="AP290" s="135"/>
      <c r="AQ290" s="135"/>
      <c r="AR290" s="135"/>
      <c r="AS290" s="135"/>
      <c r="AT290" s="135"/>
      <c r="AU290" s="135"/>
      <c r="AV290" s="135"/>
    </row>
    <row r="291" spans="1:48" s="57" customFormat="1" ht="11.25">
      <c r="A291" s="135"/>
      <c r="B291" s="206">
        <f t="shared" si="52"/>
        <v>9</v>
      </c>
      <c r="C291" s="537"/>
      <c r="D291" s="537" t="s">
        <v>349</v>
      </c>
      <c r="E291" s="213">
        <f t="shared" ref="E291:X291" si="80">SUM(E267:E290)/24</f>
        <v>83.662083333333342</v>
      </c>
      <c r="F291" s="213">
        <f t="shared" si="80"/>
        <v>92.834999999999994</v>
      </c>
      <c r="G291" s="213">
        <f t="shared" si="80"/>
        <v>65.150833333333324</v>
      </c>
      <c r="H291" s="213">
        <f t="shared" si="80"/>
        <v>95.901250000000005</v>
      </c>
      <c r="I291" s="213">
        <f t="shared" si="80"/>
        <v>60.047500000000007</v>
      </c>
      <c r="J291" s="996">
        <f t="shared" si="80"/>
        <v>80.526041666666686</v>
      </c>
      <c r="K291" s="213">
        <f t="shared" si="80"/>
        <v>0</v>
      </c>
      <c r="L291" s="213">
        <f t="shared" si="80"/>
        <v>0</v>
      </c>
      <c r="M291" s="213">
        <f t="shared" si="80"/>
        <v>0</v>
      </c>
      <c r="N291" s="213">
        <f t="shared" si="80"/>
        <v>0</v>
      </c>
      <c r="O291" s="213">
        <f t="shared" si="80"/>
        <v>0</v>
      </c>
      <c r="P291" s="213">
        <f t="shared" si="80"/>
        <v>0</v>
      </c>
      <c r="Q291" s="213">
        <f t="shared" si="80"/>
        <v>0</v>
      </c>
      <c r="R291" s="213">
        <f t="shared" si="80"/>
        <v>0</v>
      </c>
      <c r="S291" s="213">
        <f t="shared" si="80"/>
        <v>0</v>
      </c>
      <c r="T291" s="213">
        <f t="shared" si="80"/>
        <v>0</v>
      </c>
      <c r="U291" s="213">
        <f t="shared" si="80"/>
        <v>0</v>
      </c>
      <c r="V291" s="213">
        <f t="shared" si="80"/>
        <v>0</v>
      </c>
      <c r="W291" s="213">
        <f t="shared" si="80"/>
        <v>0</v>
      </c>
      <c r="X291" s="213">
        <f t="shared" si="80"/>
        <v>100</v>
      </c>
      <c r="Y291" s="723" t="s">
        <v>349</v>
      </c>
      <c r="Z291" s="135"/>
      <c r="AC291" s="135"/>
      <c r="AD291" s="135"/>
      <c r="AE291" s="135"/>
      <c r="AF291" s="135"/>
      <c r="AG291" s="135"/>
      <c r="AH291" s="135"/>
      <c r="AI291" s="135"/>
      <c r="AJ291" s="135"/>
      <c r="AK291" s="135"/>
      <c r="AL291" s="135"/>
      <c r="AM291" s="135"/>
      <c r="AN291" s="135"/>
      <c r="AO291" s="135"/>
      <c r="AP291" s="135"/>
      <c r="AQ291" s="135"/>
      <c r="AR291" s="135"/>
      <c r="AS291" s="135"/>
      <c r="AT291" s="135"/>
      <c r="AU291" s="135"/>
      <c r="AV291" s="135"/>
    </row>
    <row r="292" spans="1:48" s="57" customFormat="1" ht="11.25">
      <c r="A292" s="135"/>
      <c r="B292" s="206">
        <f t="shared" si="52"/>
        <v>9</v>
      </c>
      <c r="E292" s="8"/>
      <c r="F292" s="8"/>
      <c r="G292" s="8"/>
      <c r="H292" s="8"/>
      <c r="I292" s="8"/>
      <c r="J292" s="8"/>
      <c r="K292" s="8"/>
      <c r="L292" s="8"/>
      <c r="M292" s="8"/>
      <c r="N292" s="8"/>
      <c r="O292" s="8"/>
      <c r="P292" s="8"/>
      <c r="Q292" s="8"/>
      <c r="R292" s="8"/>
      <c r="S292" s="8"/>
      <c r="T292" s="8"/>
      <c r="U292" s="8"/>
      <c r="V292" s="8"/>
      <c r="W292" s="8"/>
      <c r="X292" s="8"/>
      <c r="Y292" s="8"/>
      <c r="Z292" s="135"/>
      <c r="AC292" s="135"/>
      <c r="AD292" s="135"/>
      <c r="AE292" s="135"/>
      <c r="AF292" s="135"/>
      <c r="AG292" s="135"/>
      <c r="AH292" s="135"/>
      <c r="AI292" s="135"/>
      <c r="AJ292" s="135"/>
      <c r="AK292" s="135"/>
      <c r="AL292" s="135"/>
      <c r="AM292" s="135"/>
      <c r="AN292" s="135"/>
      <c r="AO292" s="135"/>
      <c r="AP292" s="135"/>
      <c r="AQ292" s="135"/>
      <c r="AR292" s="135"/>
      <c r="AS292" s="135"/>
      <c r="AT292" s="135"/>
      <c r="AU292" s="135"/>
      <c r="AV292" s="135"/>
    </row>
    <row r="293" spans="1:48" s="57" customFormat="1" ht="25.35" customHeight="1">
      <c r="A293" s="1009" t="s">
        <v>73</v>
      </c>
      <c r="B293" s="206">
        <f>B287+1</f>
        <v>10</v>
      </c>
      <c r="C293" s="731" t="str">
        <f>E293</f>
        <v>Data centre operator  / waste heat provider: Share of active cooling (if heat is not taken up by Contractor 1)</v>
      </c>
      <c r="D293" s="713" t="s">
        <v>345</v>
      </c>
      <c r="E293" s="1112" t="s">
        <v>369</v>
      </c>
      <c r="F293" s="1112"/>
      <c r="G293" s="1112"/>
      <c r="H293" s="1112"/>
      <c r="I293" s="1112"/>
      <c r="J293" s="1112"/>
      <c r="K293" s="1112"/>
      <c r="L293" s="1112"/>
      <c r="M293" s="1112"/>
      <c r="N293" s="1112"/>
      <c r="O293" s="1112"/>
      <c r="P293" s="1112"/>
      <c r="Q293" s="1112"/>
      <c r="R293" s="1112"/>
      <c r="S293" s="1112"/>
      <c r="T293" s="1112"/>
      <c r="U293" s="1112"/>
      <c r="V293" s="1112"/>
      <c r="W293" s="1112"/>
      <c r="X293" s="1112"/>
      <c r="Y293" s="983" t="s">
        <v>345</v>
      </c>
      <c r="Z293" s="135"/>
      <c r="AC293" s="135"/>
      <c r="AD293" s="135"/>
      <c r="AE293" s="135"/>
      <c r="AF293" s="135"/>
      <c r="AG293" s="135"/>
      <c r="AH293" s="135"/>
      <c r="AI293" s="135"/>
      <c r="AJ293" s="135"/>
      <c r="AK293" s="135"/>
      <c r="AL293" s="135"/>
      <c r="AM293" s="135"/>
      <c r="AN293" s="135"/>
      <c r="AO293" s="135"/>
      <c r="AP293" s="135"/>
      <c r="AQ293" s="135"/>
      <c r="AR293" s="135"/>
      <c r="AS293" s="135"/>
      <c r="AT293" s="135"/>
      <c r="AU293" s="135"/>
      <c r="AV293" s="135"/>
    </row>
    <row r="294" spans="1:48" s="57" customFormat="1" ht="11.85" customHeight="1" outlineLevel="1">
      <c r="A294" s="135"/>
      <c r="B294" s="206">
        <f>B293</f>
        <v>10</v>
      </c>
      <c r="C294" s="1008" t="str">
        <f t="shared" ref="C294:C302" si="81">C293</f>
        <v>Data centre operator  / waste heat provider: Share of active cooling (if heat is not taken up by Contractor 1)</v>
      </c>
      <c r="D294" s="998"/>
      <c r="E294" s="1122" t="s">
        <v>370</v>
      </c>
      <c r="F294" s="1122"/>
      <c r="G294" s="1122"/>
      <c r="H294" s="1122"/>
      <c r="I294" s="1122"/>
      <c r="J294" s="1122"/>
      <c r="K294" s="1122"/>
      <c r="L294" s="1122"/>
      <c r="M294" s="1122"/>
      <c r="N294" s="1122"/>
      <c r="O294" s="1122"/>
      <c r="P294" s="1122"/>
      <c r="Q294" s="1122"/>
      <c r="R294" s="1122"/>
      <c r="S294" s="1122"/>
      <c r="T294" s="1122"/>
      <c r="U294" s="1122"/>
      <c r="V294" s="1122"/>
      <c r="W294" s="1122"/>
      <c r="X294" s="1122"/>
      <c r="Y294" s="998"/>
      <c r="Z294" s="135"/>
      <c r="AC294" s="135"/>
      <c r="AD294" s="135"/>
      <c r="AE294" s="135"/>
      <c r="AF294" s="135"/>
      <c r="AG294" s="135"/>
      <c r="AH294" s="135"/>
      <c r="AI294" s="135"/>
      <c r="AJ294" s="135"/>
      <c r="AK294" s="135"/>
      <c r="AL294" s="135"/>
      <c r="AM294" s="135"/>
      <c r="AN294" s="135"/>
      <c r="AO294" s="135"/>
      <c r="AP294" s="135"/>
      <c r="AQ294" s="135"/>
      <c r="AR294" s="135"/>
      <c r="AS294" s="135"/>
      <c r="AT294" s="135"/>
      <c r="AU294" s="135"/>
      <c r="AV294" s="135"/>
    </row>
    <row r="295" spans="1:48" s="57" customFormat="1" ht="33.6" customHeight="1" outlineLevel="1">
      <c r="A295" s="135"/>
      <c r="B295" s="206">
        <f t="shared" ref="B295:B320" si="82">B294</f>
        <v>10</v>
      </c>
      <c r="C295" s="782" t="str">
        <f t="shared" si="81"/>
        <v>Data centre operator  / waste heat provider: Share of active cooling (if heat is not taken up by Contractor 1)</v>
      </c>
      <c r="D295" s="728"/>
      <c r="E295" s="1114" t="s">
        <v>371</v>
      </c>
      <c r="F295" s="1114"/>
      <c r="G295" s="1114"/>
      <c r="H295" s="1114"/>
      <c r="I295" s="1114"/>
      <c r="J295" s="1114"/>
      <c r="K295" s="1114"/>
      <c r="L295" s="1114"/>
      <c r="M295" s="1114"/>
      <c r="N295" s="1114"/>
      <c r="O295" s="1114"/>
      <c r="P295" s="1114"/>
      <c r="Q295" s="1114"/>
      <c r="R295" s="1114"/>
      <c r="S295" s="1114"/>
      <c r="T295" s="1114"/>
      <c r="U295" s="1114"/>
      <c r="V295" s="1114"/>
      <c r="W295" s="1114"/>
      <c r="X295" s="1114"/>
      <c r="Y295" s="728"/>
      <c r="Z295" s="135"/>
      <c r="AC295" s="135"/>
      <c r="AD295" s="135"/>
      <c r="AE295" s="135"/>
      <c r="AF295" s="135"/>
      <c r="AG295" s="135"/>
      <c r="AH295" s="135"/>
      <c r="AI295" s="135"/>
      <c r="AJ295" s="135"/>
      <c r="AK295" s="135"/>
      <c r="AL295" s="135"/>
      <c r="AM295" s="135"/>
      <c r="AN295" s="135"/>
      <c r="AO295" s="135"/>
      <c r="AP295" s="135"/>
      <c r="AQ295" s="135"/>
      <c r="AR295" s="135"/>
      <c r="AS295" s="135"/>
      <c r="AT295" s="135"/>
      <c r="AU295" s="135"/>
      <c r="AV295" s="135"/>
    </row>
    <row r="296" spans="1:48" s="57" customFormat="1" ht="10.35" customHeight="1" outlineLevel="1" thickBot="1">
      <c r="A296" s="135"/>
      <c r="B296" s="206">
        <f>B295</f>
        <v>10</v>
      </c>
      <c r="C296" s="990" t="str">
        <f t="shared" si="81"/>
        <v>Data centre operator  / waste heat provider: Share of active cooling (if heat is not taken up by Contractor 1)</v>
      </c>
      <c r="D296" s="991">
        <v>1</v>
      </c>
      <c r="E296" s="992">
        <v>0.2</v>
      </c>
      <c r="F296" s="992">
        <v>0.7</v>
      </c>
      <c r="G296" s="992">
        <v>0.7</v>
      </c>
      <c r="H296" s="992">
        <v>1</v>
      </c>
      <c r="I296" s="992">
        <v>1</v>
      </c>
      <c r="J296" s="992">
        <v>1</v>
      </c>
      <c r="K296" s="993"/>
      <c r="L296" s="993"/>
      <c r="M296" s="993"/>
      <c r="N296" s="993"/>
      <c r="O296" s="993"/>
      <c r="P296" s="993"/>
      <c r="Q296" s="993"/>
      <c r="R296" s="993"/>
      <c r="S296" s="993"/>
      <c r="T296" s="993"/>
      <c r="U296" s="993"/>
      <c r="V296" s="993"/>
      <c r="W296" s="993"/>
      <c r="X296" s="993">
        <v>1</v>
      </c>
      <c r="Y296" s="1006">
        <v>1</v>
      </c>
      <c r="Z296" s="135"/>
      <c r="AA296" s="371" t="str">
        <f t="shared" ref="AA296:AA319" si="83">AB296</f>
        <v/>
      </c>
      <c r="AB296" s="248" t="str">
        <f t="shared" ref="AB296:AB319" si="84">IF(IFERROR((1+X296+W296+V296+U296+T296+S296+R296+Q296+P296+O296+N296+M296+L296+K296+J296+I296+H296+G296+F296+E296)*1, "!!!!")="!!!!","Inputs contain non-numerical data. Please check your input data!","")</f>
        <v/>
      </c>
      <c r="AC296" s="135"/>
      <c r="AD296" s="135"/>
      <c r="AE296" s="135"/>
      <c r="AF296" s="135"/>
      <c r="AG296" s="135"/>
      <c r="AH296" s="135"/>
      <c r="AI296" s="135"/>
      <c r="AJ296" s="135"/>
      <c r="AK296" s="135"/>
      <c r="AL296" s="135"/>
      <c r="AM296" s="135"/>
      <c r="AN296" s="135"/>
      <c r="AO296" s="135"/>
      <c r="AP296" s="135"/>
      <c r="AQ296" s="135"/>
      <c r="AR296" s="135"/>
      <c r="AS296" s="135"/>
      <c r="AT296" s="135"/>
      <c r="AU296" s="135"/>
      <c r="AV296" s="135"/>
    </row>
    <row r="297" spans="1:48" s="57" customFormat="1" ht="10.35" customHeight="1" outlineLevel="1" thickBot="1">
      <c r="A297" s="135"/>
      <c r="B297" s="206">
        <f t="shared" si="82"/>
        <v>10</v>
      </c>
      <c r="C297" s="766" t="str">
        <f t="shared" si="81"/>
        <v>Data centre operator  / waste heat provider: Share of active cooling (if heat is not taken up by Contractor 1)</v>
      </c>
      <c r="D297" s="979">
        <v>2</v>
      </c>
      <c r="E297" s="978">
        <v>0.2</v>
      </c>
      <c r="F297" s="978">
        <v>0.7</v>
      </c>
      <c r="G297" s="978">
        <v>0.7</v>
      </c>
      <c r="H297" s="978">
        <v>1</v>
      </c>
      <c r="I297" s="978">
        <v>1</v>
      </c>
      <c r="J297" s="978">
        <v>1</v>
      </c>
      <c r="K297" s="208"/>
      <c r="L297" s="208"/>
      <c r="M297" s="208"/>
      <c r="N297" s="208"/>
      <c r="O297" s="208"/>
      <c r="P297" s="208"/>
      <c r="Q297" s="208"/>
      <c r="R297" s="208"/>
      <c r="S297" s="208"/>
      <c r="T297" s="208"/>
      <c r="U297" s="208"/>
      <c r="V297" s="208"/>
      <c r="W297" s="208"/>
      <c r="X297" s="208">
        <v>1</v>
      </c>
      <c r="Y297" s="714">
        <v>2</v>
      </c>
      <c r="Z297" s="135"/>
      <c r="AA297" s="394" t="str">
        <f t="shared" si="83"/>
        <v/>
      </c>
      <c r="AB297" s="248" t="str">
        <f t="shared" si="84"/>
        <v/>
      </c>
      <c r="AC297" s="135"/>
      <c r="AD297" s="135"/>
      <c r="AE297" s="135"/>
      <c r="AF297" s="135"/>
      <c r="AG297" s="135"/>
      <c r="AH297" s="135"/>
      <c r="AI297" s="135"/>
      <c r="AJ297" s="135"/>
      <c r="AK297" s="135"/>
      <c r="AL297" s="135"/>
      <c r="AM297" s="135"/>
      <c r="AN297" s="135"/>
      <c r="AO297" s="135"/>
      <c r="AP297" s="135"/>
      <c r="AQ297" s="135"/>
      <c r="AR297" s="135"/>
      <c r="AS297" s="135"/>
      <c r="AT297" s="135"/>
      <c r="AU297" s="135"/>
      <c r="AV297" s="135"/>
    </row>
    <row r="298" spans="1:48" s="57" customFormat="1" ht="10.35" customHeight="1" outlineLevel="1" thickBot="1">
      <c r="A298" s="135"/>
      <c r="B298" s="206">
        <f t="shared" si="82"/>
        <v>10</v>
      </c>
      <c r="C298" s="766" t="str">
        <f t="shared" si="81"/>
        <v>Data centre operator  / waste heat provider: Share of active cooling (if heat is not taken up by Contractor 1)</v>
      </c>
      <c r="D298" s="979">
        <v>3</v>
      </c>
      <c r="E298" s="978">
        <v>0.2</v>
      </c>
      <c r="F298" s="978">
        <v>0.7</v>
      </c>
      <c r="G298" s="978">
        <v>0.7</v>
      </c>
      <c r="H298" s="978">
        <v>1</v>
      </c>
      <c r="I298" s="978">
        <v>1</v>
      </c>
      <c r="J298" s="978">
        <v>1</v>
      </c>
      <c r="K298" s="208"/>
      <c r="L298" s="208"/>
      <c r="M298" s="208"/>
      <c r="N298" s="208"/>
      <c r="O298" s="208"/>
      <c r="P298" s="208"/>
      <c r="Q298" s="208"/>
      <c r="R298" s="208"/>
      <c r="S298" s="208"/>
      <c r="T298" s="208"/>
      <c r="U298" s="208"/>
      <c r="V298" s="208"/>
      <c r="W298" s="208"/>
      <c r="X298" s="208">
        <v>1</v>
      </c>
      <c r="Y298" s="714">
        <v>3</v>
      </c>
      <c r="Z298" s="135"/>
      <c r="AA298" s="394" t="str">
        <f t="shared" si="83"/>
        <v/>
      </c>
      <c r="AB298" s="248" t="str">
        <f t="shared" si="84"/>
        <v/>
      </c>
      <c r="AC298" s="135"/>
      <c r="AD298" s="135"/>
      <c r="AE298" s="135"/>
      <c r="AF298" s="135"/>
      <c r="AG298" s="135"/>
      <c r="AH298" s="135"/>
      <c r="AI298" s="135"/>
      <c r="AJ298" s="135"/>
      <c r="AK298" s="135"/>
      <c r="AL298" s="135"/>
      <c r="AM298" s="135"/>
      <c r="AN298" s="135"/>
      <c r="AO298" s="135"/>
      <c r="AP298" s="135"/>
      <c r="AQ298" s="135"/>
      <c r="AR298" s="135"/>
      <c r="AS298" s="135"/>
      <c r="AT298" s="135"/>
      <c r="AU298" s="135"/>
      <c r="AV298" s="135"/>
    </row>
    <row r="299" spans="1:48" s="57" customFormat="1" ht="10.35" customHeight="1" outlineLevel="1" thickBot="1">
      <c r="A299" s="135"/>
      <c r="B299" s="206">
        <f t="shared" si="82"/>
        <v>10</v>
      </c>
      <c r="C299" s="766" t="str">
        <f t="shared" si="81"/>
        <v>Data centre operator  / waste heat provider: Share of active cooling (if heat is not taken up by Contractor 1)</v>
      </c>
      <c r="D299" s="979">
        <v>4</v>
      </c>
      <c r="E299" s="978">
        <v>0.2</v>
      </c>
      <c r="F299" s="978">
        <v>0.7</v>
      </c>
      <c r="G299" s="978">
        <v>0.7</v>
      </c>
      <c r="H299" s="978">
        <v>1</v>
      </c>
      <c r="I299" s="978">
        <v>1</v>
      </c>
      <c r="J299" s="978">
        <v>1</v>
      </c>
      <c r="K299" s="208"/>
      <c r="L299" s="208"/>
      <c r="M299" s="208"/>
      <c r="N299" s="208"/>
      <c r="O299" s="208"/>
      <c r="P299" s="208"/>
      <c r="Q299" s="208"/>
      <c r="R299" s="208"/>
      <c r="S299" s="208"/>
      <c r="T299" s="208"/>
      <c r="U299" s="208"/>
      <c r="V299" s="208"/>
      <c r="W299" s="208"/>
      <c r="X299" s="208">
        <v>1</v>
      </c>
      <c r="Y299" s="714">
        <v>4</v>
      </c>
      <c r="Z299" s="135"/>
      <c r="AA299" s="394" t="str">
        <f t="shared" si="83"/>
        <v/>
      </c>
      <c r="AB299" s="248" t="str">
        <f t="shared" si="84"/>
        <v/>
      </c>
      <c r="AC299" s="135"/>
      <c r="AD299" s="135"/>
      <c r="AE299" s="135"/>
      <c r="AF299" s="135"/>
      <c r="AG299" s="135"/>
      <c r="AH299" s="135"/>
      <c r="AI299" s="135"/>
      <c r="AJ299" s="135"/>
      <c r="AK299" s="135"/>
      <c r="AL299" s="135"/>
      <c r="AM299" s="135"/>
      <c r="AN299" s="135"/>
      <c r="AO299" s="135"/>
      <c r="AP299" s="135"/>
      <c r="AQ299" s="135"/>
      <c r="AR299" s="135"/>
      <c r="AS299" s="135"/>
      <c r="AT299" s="135"/>
      <c r="AU299" s="135"/>
      <c r="AV299" s="135"/>
    </row>
    <row r="300" spans="1:48" s="57" customFormat="1" ht="10.35" customHeight="1" outlineLevel="1" thickBot="1">
      <c r="A300" s="135"/>
      <c r="B300" s="206">
        <f t="shared" si="82"/>
        <v>10</v>
      </c>
      <c r="C300" s="766" t="str">
        <f t="shared" si="81"/>
        <v>Data centre operator  / waste heat provider: Share of active cooling (if heat is not taken up by Contractor 1)</v>
      </c>
      <c r="D300" s="979">
        <v>5</v>
      </c>
      <c r="E300" s="978">
        <v>0.2</v>
      </c>
      <c r="F300" s="978">
        <v>0.7</v>
      </c>
      <c r="G300" s="978">
        <v>0.7</v>
      </c>
      <c r="H300" s="978">
        <v>1</v>
      </c>
      <c r="I300" s="978">
        <v>1</v>
      </c>
      <c r="J300" s="978">
        <v>1</v>
      </c>
      <c r="K300" s="208"/>
      <c r="L300" s="208"/>
      <c r="M300" s="208"/>
      <c r="N300" s="208"/>
      <c r="O300" s="208"/>
      <c r="P300" s="208"/>
      <c r="Q300" s="208"/>
      <c r="R300" s="208"/>
      <c r="S300" s="208"/>
      <c r="T300" s="208"/>
      <c r="U300" s="208"/>
      <c r="V300" s="208"/>
      <c r="W300" s="208"/>
      <c r="X300" s="208">
        <v>1</v>
      </c>
      <c r="Y300" s="714">
        <v>5</v>
      </c>
      <c r="Z300" s="135"/>
      <c r="AA300" s="394" t="str">
        <f t="shared" si="83"/>
        <v/>
      </c>
      <c r="AB300" s="248" t="str">
        <f t="shared" si="84"/>
        <v/>
      </c>
      <c r="AC300" s="135"/>
      <c r="AD300" s="135"/>
      <c r="AE300" s="135"/>
      <c r="AF300" s="135"/>
      <c r="AG300" s="135"/>
      <c r="AH300" s="135"/>
      <c r="AI300" s="135"/>
      <c r="AJ300" s="135"/>
      <c r="AK300" s="135"/>
      <c r="AL300" s="135"/>
      <c r="AM300" s="135"/>
      <c r="AN300" s="135"/>
      <c r="AO300" s="135"/>
      <c r="AP300" s="135"/>
      <c r="AQ300" s="135"/>
      <c r="AR300" s="135"/>
      <c r="AS300" s="135"/>
      <c r="AT300" s="135"/>
      <c r="AU300" s="135"/>
      <c r="AV300" s="135"/>
    </row>
    <row r="301" spans="1:48" s="57" customFormat="1" ht="10.35" customHeight="1" outlineLevel="1" thickBot="1">
      <c r="A301" s="135"/>
      <c r="B301" s="206">
        <f t="shared" si="82"/>
        <v>10</v>
      </c>
      <c r="C301" s="766" t="str">
        <f t="shared" si="81"/>
        <v>Data centre operator  / waste heat provider: Share of active cooling (if heat is not taken up by Contractor 1)</v>
      </c>
      <c r="D301" s="979">
        <v>6</v>
      </c>
      <c r="E301" s="978">
        <v>0.2</v>
      </c>
      <c r="F301" s="978">
        <v>0.7</v>
      </c>
      <c r="G301" s="978">
        <v>0.7</v>
      </c>
      <c r="H301" s="978">
        <v>1</v>
      </c>
      <c r="I301" s="978">
        <v>1</v>
      </c>
      <c r="J301" s="978">
        <v>1</v>
      </c>
      <c r="K301" s="208"/>
      <c r="L301" s="208"/>
      <c r="M301" s="208"/>
      <c r="N301" s="208"/>
      <c r="O301" s="208"/>
      <c r="P301" s="208"/>
      <c r="Q301" s="208"/>
      <c r="R301" s="208"/>
      <c r="S301" s="208"/>
      <c r="T301" s="208"/>
      <c r="U301" s="208"/>
      <c r="V301" s="208"/>
      <c r="W301" s="208"/>
      <c r="X301" s="208">
        <v>1</v>
      </c>
      <c r="Y301" s="714">
        <v>6</v>
      </c>
      <c r="Z301" s="135"/>
      <c r="AA301" s="394" t="str">
        <f t="shared" si="83"/>
        <v/>
      </c>
      <c r="AB301" s="248" t="str">
        <f t="shared" si="84"/>
        <v/>
      </c>
      <c r="AC301" s="135"/>
      <c r="AD301" s="135"/>
      <c r="AE301" s="135"/>
      <c r="AF301" s="135"/>
      <c r="AG301" s="135"/>
      <c r="AH301" s="135"/>
      <c r="AI301" s="135"/>
      <c r="AJ301" s="135"/>
      <c r="AK301" s="135"/>
      <c r="AL301" s="135"/>
      <c r="AM301" s="135"/>
      <c r="AN301" s="135"/>
      <c r="AO301" s="135"/>
      <c r="AP301" s="135"/>
      <c r="AQ301" s="135"/>
      <c r="AR301" s="135"/>
      <c r="AS301" s="135"/>
      <c r="AT301" s="135"/>
      <c r="AU301" s="135"/>
      <c r="AV301" s="135"/>
    </row>
    <row r="302" spans="1:48" s="57" customFormat="1" ht="10.35" customHeight="1" outlineLevel="1" thickBot="1">
      <c r="A302" s="135"/>
      <c r="B302" s="206">
        <f t="shared" si="82"/>
        <v>10</v>
      </c>
      <c r="C302" s="766" t="str">
        <f t="shared" si="81"/>
        <v>Data centre operator  / waste heat provider: Share of active cooling (if heat is not taken up by Contractor 1)</v>
      </c>
      <c r="D302" s="979">
        <v>7</v>
      </c>
      <c r="E302" s="978">
        <v>0.2</v>
      </c>
      <c r="F302" s="978">
        <v>0.7</v>
      </c>
      <c r="G302" s="978">
        <v>0.7</v>
      </c>
      <c r="H302" s="978">
        <v>1</v>
      </c>
      <c r="I302" s="978">
        <v>1</v>
      </c>
      <c r="J302" s="978">
        <v>1</v>
      </c>
      <c r="K302" s="208"/>
      <c r="L302" s="208"/>
      <c r="M302" s="208"/>
      <c r="N302" s="208"/>
      <c r="O302" s="208"/>
      <c r="P302" s="208"/>
      <c r="Q302" s="208"/>
      <c r="R302" s="208"/>
      <c r="S302" s="208"/>
      <c r="T302" s="208"/>
      <c r="U302" s="208"/>
      <c r="V302" s="208"/>
      <c r="W302" s="208"/>
      <c r="X302" s="208">
        <v>1</v>
      </c>
      <c r="Y302" s="714">
        <v>7</v>
      </c>
      <c r="Z302" s="135"/>
      <c r="AA302" s="394" t="str">
        <f t="shared" si="83"/>
        <v/>
      </c>
      <c r="AB302" s="248" t="str">
        <f t="shared" si="84"/>
        <v/>
      </c>
      <c r="AC302" s="135"/>
      <c r="AD302" s="135"/>
      <c r="AE302" s="135"/>
      <c r="AF302" s="135"/>
      <c r="AG302" s="135"/>
      <c r="AH302" s="135"/>
      <c r="AI302" s="135"/>
      <c r="AJ302" s="135"/>
      <c r="AK302" s="135"/>
      <c r="AL302" s="135"/>
      <c r="AM302" s="135"/>
      <c r="AN302" s="135"/>
      <c r="AO302" s="135"/>
      <c r="AP302" s="135"/>
      <c r="AQ302" s="135"/>
      <c r="AR302" s="135"/>
      <c r="AS302" s="135"/>
      <c r="AT302" s="135"/>
      <c r="AU302" s="135"/>
      <c r="AV302" s="135"/>
    </row>
    <row r="303" spans="1:48" s="57" customFormat="1" ht="10.35" customHeight="1" outlineLevel="1" thickBot="1">
      <c r="A303" s="135"/>
      <c r="B303" s="206">
        <f t="shared" si="82"/>
        <v>10</v>
      </c>
      <c r="C303" s="766" t="str">
        <f t="shared" ref="C303:C319" si="85">C302</f>
        <v>Data centre operator  / waste heat provider: Share of active cooling (if heat is not taken up by Contractor 1)</v>
      </c>
      <c r="D303" s="979">
        <v>8</v>
      </c>
      <c r="E303" s="978">
        <v>0.2</v>
      </c>
      <c r="F303" s="978">
        <v>0.7</v>
      </c>
      <c r="G303" s="978">
        <v>0.7</v>
      </c>
      <c r="H303" s="978">
        <v>1</v>
      </c>
      <c r="I303" s="978">
        <v>1</v>
      </c>
      <c r="J303" s="978">
        <v>1</v>
      </c>
      <c r="K303" s="208"/>
      <c r="L303" s="208"/>
      <c r="M303" s="208"/>
      <c r="N303" s="208"/>
      <c r="O303" s="208"/>
      <c r="P303" s="208"/>
      <c r="Q303" s="208"/>
      <c r="R303" s="208"/>
      <c r="S303" s="208"/>
      <c r="T303" s="208"/>
      <c r="U303" s="208"/>
      <c r="V303" s="208"/>
      <c r="W303" s="208"/>
      <c r="X303" s="208">
        <v>1</v>
      </c>
      <c r="Y303" s="714">
        <v>8</v>
      </c>
      <c r="Z303" s="135"/>
      <c r="AA303" s="394" t="str">
        <f t="shared" si="83"/>
        <v/>
      </c>
      <c r="AB303" s="248" t="str">
        <f t="shared" si="84"/>
        <v/>
      </c>
      <c r="AC303" s="135"/>
      <c r="AD303" s="135"/>
      <c r="AE303" s="135"/>
      <c r="AF303" s="135"/>
      <c r="AG303" s="135"/>
      <c r="AH303" s="135"/>
      <c r="AI303" s="135"/>
      <c r="AJ303" s="135"/>
      <c r="AK303" s="135"/>
      <c r="AL303" s="135"/>
      <c r="AM303" s="135"/>
      <c r="AN303" s="135"/>
      <c r="AO303" s="135"/>
      <c r="AP303" s="135"/>
      <c r="AQ303" s="135"/>
      <c r="AR303" s="135"/>
      <c r="AS303" s="135"/>
      <c r="AT303" s="135"/>
      <c r="AU303" s="135"/>
      <c r="AV303" s="135"/>
    </row>
    <row r="304" spans="1:48" s="57" customFormat="1" ht="10.35" customHeight="1" outlineLevel="1" thickBot="1">
      <c r="A304" s="135"/>
      <c r="B304" s="206">
        <f t="shared" si="82"/>
        <v>10</v>
      </c>
      <c r="C304" s="766" t="str">
        <f t="shared" si="85"/>
        <v>Data centre operator  / waste heat provider: Share of active cooling (if heat is not taken up by Contractor 1)</v>
      </c>
      <c r="D304" s="979">
        <v>9</v>
      </c>
      <c r="E304" s="978">
        <v>0.2</v>
      </c>
      <c r="F304" s="978">
        <v>0.7</v>
      </c>
      <c r="G304" s="978">
        <v>0.7</v>
      </c>
      <c r="H304" s="978">
        <v>1</v>
      </c>
      <c r="I304" s="978">
        <v>1</v>
      </c>
      <c r="J304" s="978">
        <v>1</v>
      </c>
      <c r="K304" s="208"/>
      <c r="L304" s="208"/>
      <c r="M304" s="208"/>
      <c r="N304" s="208"/>
      <c r="O304" s="208"/>
      <c r="P304" s="208"/>
      <c r="Q304" s="208"/>
      <c r="R304" s="208"/>
      <c r="S304" s="208"/>
      <c r="T304" s="208"/>
      <c r="U304" s="208"/>
      <c r="V304" s="208"/>
      <c r="W304" s="208"/>
      <c r="X304" s="208">
        <v>1</v>
      </c>
      <c r="Y304" s="714">
        <v>9</v>
      </c>
      <c r="Z304" s="135"/>
      <c r="AA304" s="394" t="str">
        <f t="shared" si="83"/>
        <v/>
      </c>
      <c r="AB304" s="248" t="str">
        <f t="shared" si="84"/>
        <v/>
      </c>
      <c r="AC304" s="135"/>
      <c r="AD304" s="135"/>
      <c r="AE304" s="135"/>
      <c r="AF304" s="135"/>
      <c r="AG304" s="135"/>
      <c r="AH304" s="135"/>
      <c r="AI304" s="135"/>
      <c r="AJ304" s="135"/>
      <c r="AK304" s="135"/>
      <c r="AL304" s="135"/>
      <c r="AM304" s="135"/>
      <c r="AN304" s="135"/>
      <c r="AO304" s="135"/>
      <c r="AP304" s="135"/>
      <c r="AQ304" s="135"/>
      <c r="AR304" s="135"/>
      <c r="AS304" s="135"/>
      <c r="AT304" s="135"/>
      <c r="AU304" s="135"/>
      <c r="AV304" s="135"/>
    </row>
    <row r="305" spans="1:48" s="57" customFormat="1" ht="10.35" customHeight="1" outlineLevel="1" thickBot="1">
      <c r="A305" s="135"/>
      <c r="B305" s="206">
        <f t="shared" si="82"/>
        <v>10</v>
      </c>
      <c r="C305" s="766" t="str">
        <f t="shared" si="85"/>
        <v>Data centre operator  / waste heat provider: Share of active cooling (if heat is not taken up by Contractor 1)</v>
      </c>
      <c r="D305" s="979">
        <v>10</v>
      </c>
      <c r="E305" s="978">
        <v>0.2</v>
      </c>
      <c r="F305" s="978">
        <v>0.85</v>
      </c>
      <c r="G305" s="978">
        <v>0.85</v>
      </c>
      <c r="H305" s="978">
        <v>1</v>
      </c>
      <c r="I305" s="978">
        <v>1</v>
      </c>
      <c r="J305" s="978">
        <v>1</v>
      </c>
      <c r="K305" s="208"/>
      <c r="L305" s="208"/>
      <c r="M305" s="208"/>
      <c r="N305" s="208"/>
      <c r="O305" s="208"/>
      <c r="P305" s="208"/>
      <c r="Q305" s="208"/>
      <c r="R305" s="208"/>
      <c r="S305" s="208"/>
      <c r="T305" s="208"/>
      <c r="U305" s="208"/>
      <c r="V305" s="208"/>
      <c r="W305" s="208"/>
      <c r="X305" s="208">
        <v>1</v>
      </c>
      <c r="Y305" s="714">
        <v>10</v>
      </c>
      <c r="Z305" s="135"/>
      <c r="AA305" s="394" t="str">
        <f t="shared" si="83"/>
        <v/>
      </c>
      <c r="AB305" s="248" t="str">
        <f t="shared" si="84"/>
        <v/>
      </c>
      <c r="AC305" s="135"/>
      <c r="AD305" s="135"/>
      <c r="AE305" s="135"/>
      <c r="AF305" s="135"/>
      <c r="AG305" s="135"/>
      <c r="AH305" s="135"/>
      <c r="AI305" s="135"/>
      <c r="AJ305" s="135"/>
      <c r="AK305" s="135"/>
      <c r="AL305" s="135"/>
      <c r="AM305" s="135"/>
      <c r="AN305" s="135"/>
      <c r="AO305" s="135"/>
      <c r="AP305" s="135"/>
      <c r="AQ305" s="135"/>
      <c r="AR305" s="135"/>
      <c r="AS305" s="135"/>
      <c r="AT305" s="135"/>
      <c r="AU305" s="135"/>
      <c r="AV305" s="135"/>
    </row>
    <row r="306" spans="1:48" s="57" customFormat="1" ht="10.35" customHeight="1" outlineLevel="1" thickBot="1">
      <c r="A306" s="135"/>
      <c r="B306" s="206">
        <f t="shared" si="82"/>
        <v>10</v>
      </c>
      <c r="C306" s="766" t="str">
        <f t="shared" si="85"/>
        <v>Data centre operator  / waste heat provider: Share of active cooling (if heat is not taken up by Contractor 1)</v>
      </c>
      <c r="D306" s="979">
        <v>11</v>
      </c>
      <c r="E306" s="978">
        <v>0.35</v>
      </c>
      <c r="F306" s="978">
        <v>0.85</v>
      </c>
      <c r="G306" s="978">
        <v>0.85</v>
      </c>
      <c r="H306" s="978">
        <v>1</v>
      </c>
      <c r="I306" s="978">
        <v>1</v>
      </c>
      <c r="J306" s="978">
        <v>1</v>
      </c>
      <c r="K306" s="208"/>
      <c r="L306" s="208"/>
      <c r="M306" s="208"/>
      <c r="N306" s="208"/>
      <c r="O306" s="208"/>
      <c r="P306" s="208"/>
      <c r="Q306" s="208"/>
      <c r="R306" s="208"/>
      <c r="S306" s="208"/>
      <c r="T306" s="208"/>
      <c r="U306" s="208"/>
      <c r="V306" s="208"/>
      <c r="W306" s="208"/>
      <c r="X306" s="208">
        <v>1</v>
      </c>
      <c r="Y306" s="714">
        <v>11</v>
      </c>
      <c r="Z306" s="135"/>
      <c r="AA306" s="394" t="str">
        <f t="shared" si="83"/>
        <v/>
      </c>
      <c r="AB306" s="248" t="str">
        <f t="shared" si="84"/>
        <v/>
      </c>
      <c r="AC306" s="135"/>
      <c r="AD306" s="135"/>
      <c r="AE306" s="135"/>
      <c r="AF306" s="135"/>
      <c r="AG306" s="135"/>
      <c r="AH306" s="135"/>
      <c r="AI306" s="135"/>
      <c r="AJ306" s="135"/>
      <c r="AK306" s="135"/>
      <c r="AL306" s="135"/>
      <c r="AM306" s="135"/>
      <c r="AN306" s="135"/>
      <c r="AO306" s="135"/>
      <c r="AP306" s="135"/>
      <c r="AQ306" s="135"/>
      <c r="AR306" s="135"/>
      <c r="AS306" s="135"/>
      <c r="AT306" s="135"/>
      <c r="AU306" s="135"/>
      <c r="AV306" s="135"/>
    </row>
    <row r="307" spans="1:48" s="57" customFormat="1" ht="10.35" customHeight="1" outlineLevel="1" thickBot="1">
      <c r="A307" s="135"/>
      <c r="B307" s="206">
        <f t="shared" si="82"/>
        <v>10</v>
      </c>
      <c r="C307" s="766" t="str">
        <f t="shared" si="85"/>
        <v>Data centre operator  / waste heat provider: Share of active cooling (if heat is not taken up by Contractor 1)</v>
      </c>
      <c r="D307" s="979">
        <v>12</v>
      </c>
      <c r="E307" s="978">
        <v>0.35</v>
      </c>
      <c r="F307" s="978">
        <v>0.85</v>
      </c>
      <c r="G307" s="978">
        <v>0.85</v>
      </c>
      <c r="H307" s="978">
        <v>1</v>
      </c>
      <c r="I307" s="978">
        <v>1</v>
      </c>
      <c r="J307" s="978">
        <v>1</v>
      </c>
      <c r="K307" s="208"/>
      <c r="L307" s="208"/>
      <c r="M307" s="208"/>
      <c r="N307" s="208"/>
      <c r="O307" s="208"/>
      <c r="P307" s="208"/>
      <c r="Q307" s="208"/>
      <c r="R307" s="208"/>
      <c r="S307" s="208"/>
      <c r="T307" s="208"/>
      <c r="U307" s="208"/>
      <c r="V307" s="208"/>
      <c r="W307" s="208"/>
      <c r="X307" s="208">
        <v>1</v>
      </c>
      <c r="Y307" s="714">
        <v>12</v>
      </c>
      <c r="Z307" s="135"/>
      <c r="AA307" s="394" t="str">
        <f t="shared" si="83"/>
        <v/>
      </c>
      <c r="AB307" s="248" t="str">
        <f t="shared" si="84"/>
        <v/>
      </c>
      <c r="AC307" s="135"/>
      <c r="AD307" s="135"/>
      <c r="AE307" s="135"/>
      <c r="AF307" s="135"/>
      <c r="AG307" s="135"/>
      <c r="AH307" s="135"/>
      <c r="AI307" s="135"/>
      <c r="AJ307" s="135"/>
      <c r="AK307" s="135"/>
      <c r="AL307" s="135"/>
      <c r="AM307" s="135"/>
      <c r="AN307" s="135"/>
      <c r="AO307" s="135"/>
      <c r="AP307" s="135"/>
      <c r="AQ307" s="135"/>
      <c r="AR307" s="135"/>
      <c r="AS307" s="135"/>
      <c r="AT307" s="135"/>
      <c r="AU307" s="135"/>
      <c r="AV307" s="135"/>
    </row>
    <row r="308" spans="1:48" s="57" customFormat="1" ht="10.35" customHeight="1" outlineLevel="1" thickBot="1">
      <c r="A308" s="135"/>
      <c r="B308" s="206">
        <f t="shared" si="82"/>
        <v>10</v>
      </c>
      <c r="C308" s="766" t="str">
        <f t="shared" si="85"/>
        <v>Data centre operator  / waste heat provider: Share of active cooling (if heat is not taken up by Contractor 1)</v>
      </c>
      <c r="D308" s="979">
        <v>13</v>
      </c>
      <c r="E308" s="978">
        <v>0.35</v>
      </c>
      <c r="F308" s="978">
        <v>0.85</v>
      </c>
      <c r="G308" s="978">
        <v>0.85</v>
      </c>
      <c r="H308" s="978">
        <v>1</v>
      </c>
      <c r="I308" s="978">
        <v>1</v>
      </c>
      <c r="J308" s="978">
        <v>1</v>
      </c>
      <c r="K308" s="208"/>
      <c r="L308" s="208"/>
      <c r="M308" s="208"/>
      <c r="N308" s="208"/>
      <c r="O308" s="208"/>
      <c r="P308" s="208"/>
      <c r="Q308" s="208"/>
      <c r="R308" s="208"/>
      <c r="S308" s="208"/>
      <c r="T308" s="208"/>
      <c r="U308" s="208"/>
      <c r="V308" s="208"/>
      <c r="W308" s="208"/>
      <c r="X308" s="208">
        <v>1</v>
      </c>
      <c r="Y308" s="714">
        <v>13</v>
      </c>
      <c r="Z308" s="135"/>
      <c r="AA308" s="394" t="str">
        <f t="shared" si="83"/>
        <v/>
      </c>
      <c r="AB308" s="248" t="str">
        <f t="shared" si="84"/>
        <v/>
      </c>
      <c r="AC308" s="135"/>
      <c r="AD308" s="135"/>
      <c r="AE308" s="135"/>
      <c r="AF308" s="135"/>
      <c r="AG308" s="135"/>
      <c r="AH308" s="135"/>
      <c r="AI308" s="135"/>
      <c r="AJ308" s="135"/>
      <c r="AK308" s="135"/>
      <c r="AL308" s="135"/>
      <c r="AM308" s="135"/>
      <c r="AN308" s="135"/>
      <c r="AO308" s="135"/>
      <c r="AP308" s="135"/>
      <c r="AQ308" s="135"/>
      <c r="AR308" s="135"/>
      <c r="AS308" s="135"/>
      <c r="AT308" s="135"/>
      <c r="AU308" s="135"/>
      <c r="AV308" s="135"/>
    </row>
    <row r="309" spans="1:48" s="57" customFormat="1" ht="10.35" customHeight="1" outlineLevel="1" thickBot="1">
      <c r="A309" s="135"/>
      <c r="B309" s="206">
        <f t="shared" si="82"/>
        <v>10</v>
      </c>
      <c r="C309" s="766" t="str">
        <f t="shared" si="85"/>
        <v>Data centre operator  / waste heat provider: Share of active cooling (if heat is not taken up by Contractor 1)</v>
      </c>
      <c r="D309" s="979">
        <v>14</v>
      </c>
      <c r="E309" s="978">
        <v>0.35</v>
      </c>
      <c r="F309" s="978">
        <v>0.85</v>
      </c>
      <c r="G309" s="978">
        <v>0.85</v>
      </c>
      <c r="H309" s="978">
        <v>1</v>
      </c>
      <c r="I309" s="978">
        <v>1</v>
      </c>
      <c r="J309" s="978">
        <v>1</v>
      </c>
      <c r="K309" s="208"/>
      <c r="L309" s="208"/>
      <c r="M309" s="208"/>
      <c r="N309" s="208"/>
      <c r="O309" s="208"/>
      <c r="P309" s="208"/>
      <c r="Q309" s="208"/>
      <c r="R309" s="208"/>
      <c r="S309" s="208"/>
      <c r="T309" s="208"/>
      <c r="U309" s="208"/>
      <c r="V309" s="208"/>
      <c r="W309" s="208"/>
      <c r="X309" s="208">
        <v>1</v>
      </c>
      <c r="Y309" s="714">
        <v>14</v>
      </c>
      <c r="Z309" s="135"/>
      <c r="AA309" s="394" t="str">
        <f t="shared" si="83"/>
        <v/>
      </c>
      <c r="AB309" s="248" t="str">
        <f t="shared" si="84"/>
        <v/>
      </c>
      <c r="AC309" s="135"/>
      <c r="AD309" s="135"/>
      <c r="AE309" s="135"/>
      <c r="AF309" s="135"/>
      <c r="AG309" s="135"/>
      <c r="AH309" s="135"/>
      <c r="AI309" s="135"/>
      <c r="AJ309" s="135"/>
      <c r="AK309" s="135"/>
      <c r="AL309" s="135"/>
      <c r="AM309" s="135"/>
      <c r="AN309" s="135"/>
      <c r="AO309" s="135"/>
      <c r="AP309" s="135"/>
      <c r="AQ309" s="135"/>
      <c r="AR309" s="135"/>
      <c r="AS309" s="135"/>
      <c r="AT309" s="135"/>
      <c r="AU309" s="135"/>
      <c r="AV309" s="135"/>
    </row>
    <row r="310" spans="1:48" s="57" customFormat="1" ht="10.35" customHeight="1" outlineLevel="1" thickBot="1">
      <c r="A310" s="135"/>
      <c r="B310" s="206">
        <f t="shared" si="82"/>
        <v>10</v>
      </c>
      <c r="C310" s="766" t="str">
        <f t="shared" si="85"/>
        <v>Data centre operator  / waste heat provider: Share of active cooling (if heat is not taken up by Contractor 1)</v>
      </c>
      <c r="D310" s="979">
        <v>15</v>
      </c>
      <c r="E310" s="978">
        <v>0.35</v>
      </c>
      <c r="F310" s="978">
        <v>0.85</v>
      </c>
      <c r="G310" s="978">
        <v>0.85</v>
      </c>
      <c r="H310" s="978">
        <v>1</v>
      </c>
      <c r="I310" s="978">
        <v>1</v>
      </c>
      <c r="J310" s="978">
        <v>1</v>
      </c>
      <c r="K310" s="208"/>
      <c r="L310" s="208"/>
      <c r="M310" s="208"/>
      <c r="N310" s="208"/>
      <c r="O310" s="208"/>
      <c r="P310" s="208"/>
      <c r="Q310" s="208"/>
      <c r="R310" s="208"/>
      <c r="S310" s="208"/>
      <c r="T310" s="208"/>
      <c r="U310" s="208"/>
      <c r="V310" s="208"/>
      <c r="W310" s="208"/>
      <c r="X310" s="208">
        <v>1</v>
      </c>
      <c r="Y310" s="714">
        <v>15</v>
      </c>
      <c r="Z310" s="135"/>
      <c r="AA310" s="394" t="str">
        <f t="shared" si="83"/>
        <v/>
      </c>
      <c r="AB310" s="248" t="str">
        <f t="shared" si="84"/>
        <v/>
      </c>
      <c r="AC310" s="135"/>
      <c r="AD310" s="135"/>
      <c r="AE310" s="135"/>
      <c r="AF310" s="135"/>
      <c r="AG310" s="135"/>
      <c r="AH310" s="135"/>
      <c r="AI310" s="135"/>
      <c r="AJ310" s="135"/>
      <c r="AK310" s="135"/>
      <c r="AL310" s="135"/>
      <c r="AM310" s="135"/>
      <c r="AN310" s="135"/>
      <c r="AO310" s="135"/>
      <c r="AP310" s="135"/>
      <c r="AQ310" s="135"/>
      <c r="AR310" s="135"/>
      <c r="AS310" s="135"/>
      <c r="AT310" s="135"/>
      <c r="AU310" s="135"/>
      <c r="AV310" s="135"/>
    </row>
    <row r="311" spans="1:48" s="57" customFormat="1" ht="10.35" customHeight="1" outlineLevel="1" thickBot="1">
      <c r="A311" s="135"/>
      <c r="B311" s="206">
        <f t="shared" si="82"/>
        <v>10</v>
      </c>
      <c r="C311" s="766" t="str">
        <f t="shared" si="85"/>
        <v>Data centre operator  / waste heat provider: Share of active cooling (if heat is not taken up by Contractor 1)</v>
      </c>
      <c r="D311" s="979">
        <v>16</v>
      </c>
      <c r="E311" s="978">
        <v>0.35</v>
      </c>
      <c r="F311" s="978">
        <v>0.85</v>
      </c>
      <c r="G311" s="978">
        <v>0.85</v>
      </c>
      <c r="H311" s="978">
        <v>1</v>
      </c>
      <c r="I311" s="978">
        <v>1</v>
      </c>
      <c r="J311" s="978">
        <v>1</v>
      </c>
      <c r="K311" s="208"/>
      <c r="L311" s="208"/>
      <c r="M311" s="208"/>
      <c r="N311" s="208"/>
      <c r="O311" s="208"/>
      <c r="P311" s="208"/>
      <c r="Q311" s="208"/>
      <c r="R311" s="208"/>
      <c r="S311" s="208"/>
      <c r="T311" s="208"/>
      <c r="U311" s="208"/>
      <c r="V311" s="208"/>
      <c r="W311" s="208"/>
      <c r="X311" s="208">
        <v>1</v>
      </c>
      <c r="Y311" s="714">
        <v>16</v>
      </c>
      <c r="Z311" s="135"/>
      <c r="AA311" s="394" t="str">
        <f t="shared" si="83"/>
        <v/>
      </c>
      <c r="AB311" s="248" t="str">
        <f t="shared" si="84"/>
        <v/>
      </c>
      <c r="AC311" s="135"/>
      <c r="AD311" s="135"/>
      <c r="AE311" s="135"/>
      <c r="AF311" s="135"/>
      <c r="AG311" s="135"/>
      <c r="AH311" s="135"/>
      <c r="AI311" s="135"/>
      <c r="AJ311" s="135"/>
      <c r="AK311" s="135"/>
      <c r="AL311" s="135"/>
      <c r="AM311" s="135"/>
      <c r="AN311" s="135"/>
      <c r="AO311" s="135"/>
      <c r="AP311" s="135"/>
      <c r="AQ311" s="135"/>
      <c r="AR311" s="135"/>
      <c r="AS311" s="135"/>
      <c r="AT311" s="135"/>
      <c r="AU311" s="135"/>
      <c r="AV311" s="135"/>
    </row>
    <row r="312" spans="1:48" s="57" customFormat="1" ht="10.35" customHeight="1" outlineLevel="1" thickBot="1">
      <c r="A312" s="135"/>
      <c r="B312" s="206">
        <f t="shared" si="82"/>
        <v>10</v>
      </c>
      <c r="C312" s="766" t="str">
        <f t="shared" si="85"/>
        <v>Data centre operator  / waste heat provider: Share of active cooling (if heat is not taken up by Contractor 1)</v>
      </c>
      <c r="D312" s="979">
        <v>17</v>
      </c>
      <c r="E312" s="978">
        <v>0.2</v>
      </c>
      <c r="F312" s="978">
        <v>0.85</v>
      </c>
      <c r="G312" s="978">
        <v>0.85</v>
      </c>
      <c r="H312" s="978">
        <v>1</v>
      </c>
      <c r="I312" s="978">
        <v>1</v>
      </c>
      <c r="J312" s="978">
        <v>1</v>
      </c>
      <c r="K312" s="208"/>
      <c r="L312" s="208"/>
      <c r="M312" s="208"/>
      <c r="N312" s="208"/>
      <c r="O312" s="208"/>
      <c r="P312" s="208"/>
      <c r="Q312" s="208"/>
      <c r="R312" s="208"/>
      <c r="S312" s="208"/>
      <c r="T312" s="208"/>
      <c r="U312" s="208"/>
      <c r="V312" s="208"/>
      <c r="W312" s="208"/>
      <c r="X312" s="208">
        <v>1</v>
      </c>
      <c r="Y312" s="714">
        <v>17</v>
      </c>
      <c r="Z312" s="135"/>
      <c r="AA312" s="394" t="str">
        <f t="shared" si="83"/>
        <v/>
      </c>
      <c r="AB312" s="248" t="str">
        <f t="shared" si="84"/>
        <v/>
      </c>
      <c r="AC312" s="135"/>
      <c r="AD312" s="135"/>
      <c r="AE312" s="135"/>
      <c r="AF312" s="135"/>
      <c r="AG312" s="135"/>
      <c r="AH312" s="135"/>
      <c r="AI312" s="135"/>
      <c r="AJ312" s="135"/>
      <c r="AK312" s="135"/>
      <c r="AL312" s="135"/>
      <c r="AM312" s="135"/>
      <c r="AN312" s="135"/>
      <c r="AO312" s="135"/>
      <c r="AP312" s="135"/>
      <c r="AQ312" s="135"/>
      <c r="AR312" s="135"/>
      <c r="AS312" s="135"/>
      <c r="AT312" s="135"/>
      <c r="AU312" s="135"/>
      <c r="AV312" s="135"/>
    </row>
    <row r="313" spans="1:48" s="57" customFormat="1" ht="10.35" customHeight="1" outlineLevel="1" thickBot="1">
      <c r="A313" s="135"/>
      <c r="B313" s="206">
        <f t="shared" si="82"/>
        <v>10</v>
      </c>
      <c r="C313" s="766" t="str">
        <f t="shared" si="85"/>
        <v>Data centre operator  / waste heat provider: Share of active cooling (if heat is not taken up by Contractor 1)</v>
      </c>
      <c r="D313" s="979">
        <v>18</v>
      </c>
      <c r="E313" s="978">
        <v>0.2</v>
      </c>
      <c r="F313" s="978">
        <v>0.75</v>
      </c>
      <c r="G313" s="978">
        <v>0.75</v>
      </c>
      <c r="H313" s="978">
        <v>1</v>
      </c>
      <c r="I313" s="978">
        <v>1</v>
      </c>
      <c r="J313" s="978">
        <v>1</v>
      </c>
      <c r="K313" s="208"/>
      <c r="L313" s="208"/>
      <c r="M313" s="208"/>
      <c r="N313" s="208"/>
      <c r="O313" s="208"/>
      <c r="P313" s="208"/>
      <c r="Q313" s="208"/>
      <c r="R313" s="208"/>
      <c r="S313" s="208"/>
      <c r="T313" s="208"/>
      <c r="U313" s="208"/>
      <c r="V313" s="208"/>
      <c r="W313" s="208"/>
      <c r="X313" s="208">
        <v>1</v>
      </c>
      <c r="Y313" s="714">
        <v>18</v>
      </c>
      <c r="Z313" s="135"/>
      <c r="AA313" s="394" t="str">
        <f t="shared" si="83"/>
        <v/>
      </c>
      <c r="AB313" s="248" t="str">
        <f t="shared" si="84"/>
        <v/>
      </c>
      <c r="AC313" s="135"/>
      <c r="AD313" s="135"/>
      <c r="AE313" s="135"/>
      <c r="AF313" s="135"/>
      <c r="AG313" s="135"/>
      <c r="AH313" s="135"/>
      <c r="AI313" s="135"/>
      <c r="AJ313" s="135"/>
      <c r="AK313" s="135"/>
      <c r="AL313" s="135"/>
      <c r="AM313" s="135"/>
      <c r="AN313" s="135"/>
      <c r="AO313" s="135"/>
      <c r="AP313" s="135"/>
      <c r="AQ313" s="135"/>
      <c r="AR313" s="135"/>
      <c r="AS313" s="135"/>
      <c r="AT313" s="135"/>
      <c r="AU313" s="135"/>
      <c r="AV313" s="135"/>
    </row>
    <row r="314" spans="1:48" s="57" customFormat="1" ht="10.35" customHeight="1" outlineLevel="1" thickBot="1">
      <c r="A314" s="135"/>
      <c r="B314" s="206">
        <f t="shared" si="82"/>
        <v>10</v>
      </c>
      <c r="C314" s="766" t="str">
        <f t="shared" si="85"/>
        <v>Data centre operator  / waste heat provider: Share of active cooling (if heat is not taken up by Contractor 1)</v>
      </c>
      <c r="D314" s="979">
        <v>19</v>
      </c>
      <c r="E314" s="978">
        <v>0.2</v>
      </c>
      <c r="F314" s="978">
        <v>0.75</v>
      </c>
      <c r="G314" s="978">
        <v>0.75</v>
      </c>
      <c r="H314" s="978">
        <v>1</v>
      </c>
      <c r="I314" s="978">
        <v>1</v>
      </c>
      <c r="J314" s="978">
        <v>1</v>
      </c>
      <c r="K314" s="208"/>
      <c r="L314" s="208"/>
      <c r="M314" s="208"/>
      <c r="N314" s="208"/>
      <c r="O314" s="208"/>
      <c r="P314" s="208"/>
      <c r="Q314" s="208"/>
      <c r="R314" s="208"/>
      <c r="S314" s="208"/>
      <c r="T314" s="208"/>
      <c r="U314" s="208"/>
      <c r="V314" s="208"/>
      <c r="W314" s="208"/>
      <c r="X314" s="208">
        <v>1</v>
      </c>
      <c r="Y314" s="714">
        <v>19</v>
      </c>
      <c r="Z314" s="135"/>
      <c r="AA314" s="394" t="str">
        <f t="shared" si="83"/>
        <v/>
      </c>
      <c r="AB314" s="248" t="str">
        <f t="shared" si="84"/>
        <v/>
      </c>
      <c r="AC314" s="135"/>
      <c r="AD314" s="135"/>
      <c r="AE314" s="135"/>
      <c r="AF314" s="135"/>
      <c r="AG314" s="135"/>
      <c r="AH314" s="135"/>
      <c r="AI314" s="135"/>
      <c r="AJ314" s="135"/>
      <c r="AK314" s="135"/>
      <c r="AL314" s="135"/>
      <c r="AM314" s="135"/>
      <c r="AN314" s="135"/>
      <c r="AO314" s="135"/>
      <c r="AP314" s="135"/>
      <c r="AQ314" s="135"/>
      <c r="AR314" s="135"/>
      <c r="AS314" s="135"/>
      <c r="AT314" s="135"/>
      <c r="AU314" s="135"/>
      <c r="AV314" s="135"/>
    </row>
    <row r="315" spans="1:48" s="57" customFormat="1" ht="10.35" customHeight="1" outlineLevel="1" thickBot="1">
      <c r="A315" s="135"/>
      <c r="B315" s="206">
        <f t="shared" si="82"/>
        <v>10</v>
      </c>
      <c r="C315" s="766" t="str">
        <f t="shared" si="85"/>
        <v>Data centre operator  / waste heat provider: Share of active cooling (if heat is not taken up by Contractor 1)</v>
      </c>
      <c r="D315" s="979">
        <v>20</v>
      </c>
      <c r="E315" s="978">
        <v>0.2</v>
      </c>
      <c r="F315" s="978">
        <v>0.75</v>
      </c>
      <c r="G315" s="978">
        <v>0.75</v>
      </c>
      <c r="H315" s="978">
        <v>1</v>
      </c>
      <c r="I315" s="978">
        <v>1</v>
      </c>
      <c r="J315" s="978">
        <v>1</v>
      </c>
      <c r="K315" s="208"/>
      <c r="L315" s="208"/>
      <c r="M315" s="208"/>
      <c r="N315" s="208"/>
      <c r="O315" s="208"/>
      <c r="P315" s="208"/>
      <c r="Q315" s="208"/>
      <c r="R315" s="208"/>
      <c r="S315" s="208"/>
      <c r="T315" s="208"/>
      <c r="U315" s="208"/>
      <c r="V315" s="208"/>
      <c r="W315" s="208"/>
      <c r="X315" s="208">
        <v>1</v>
      </c>
      <c r="Y315" s="714">
        <v>20</v>
      </c>
      <c r="Z315" s="135"/>
      <c r="AA315" s="394" t="str">
        <f t="shared" si="83"/>
        <v/>
      </c>
      <c r="AB315" s="248" t="str">
        <f t="shared" si="84"/>
        <v/>
      </c>
      <c r="AC315" s="135"/>
      <c r="AD315" s="135"/>
      <c r="AE315" s="135"/>
      <c r="AF315" s="135"/>
      <c r="AG315" s="135"/>
      <c r="AH315" s="135"/>
      <c r="AI315" s="135"/>
      <c r="AJ315" s="135"/>
      <c r="AK315" s="135"/>
      <c r="AL315" s="135"/>
      <c r="AM315" s="135"/>
      <c r="AN315" s="135"/>
      <c r="AO315" s="135"/>
      <c r="AP315" s="135"/>
      <c r="AQ315" s="135"/>
      <c r="AR315" s="135"/>
      <c r="AS315" s="135"/>
      <c r="AT315" s="135"/>
      <c r="AU315" s="135"/>
      <c r="AV315" s="135"/>
    </row>
    <row r="316" spans="1:48" s="57" customFormat="1" ht="10.35" customHeight="1" outlineLevel="1" thickBot="1">
      <c r="A316" s="135"/>
      <c r="B316" s="206">
        <f t="shared" si="82"/>
        <v>10</v>
      </c>
      <c r="C316" s="766" t="str">
        <f t="shared" si="85"/>
        <v>Data centre operator  / waste heat provider: Share of active cooling (if heat is not taken up by Contractor 1)</v>
      </c>
      <c r="D316" s="979">
        <v>21</v>
      </c>
      <c r="E316" s="978">
        <v>0.2</v>
      </c>
      <c r="F316" s="978">
        <v>0.75</v>
      </c>
      <c r="G316" s="978">
        <v>0.75</v>
      </c>
      <c r="H316" s="978">
        <v>1</v>
      </c>
      <c r="I316" s="978">
        <v>1</v>
      </c>
      <c r="J316" s="978">
        <v>1</v>
      </c>
      <c r="K316" s="208"/>
      <c r="L316" s="208"/>
      <c r="M316" s="208"/>
      <c r="N316" s="208"/>
      <c r="O316" s="208"/>
      <c r="P316" s="208"/>
      <c r="Q316" s="208"/>
      <c r="R316" s="208"/>
      <c r="S316" s="208"/>
      <c r="T316" s="208"/>
      <c r="U316" s="208"/>
      <c r="V316" s="208"/>
      <c r="W316" s="208"/>
      <c r="X316" s="208">
        <v>1</v>
      </c>
      <c r="Y316" s="714">
        <v>21</v>
      </c>
      <c r="Z316" s="135"/>
      <c r="AA316" s="394" t="str">
        <f t="shared" si="83"/>
        <v/>
      </c>
      <c r="AB316" s="248" t="str">
        <f t="shared" si="84"/>
        <v/>
      </c>
      <c r="AC316" s="135"/>
      <c r="AD316" s="135"/>
      <c r="AE316" s="135"/>
      <c r="AF316" s="135"/>
      <c r="AG316" s="135"/>
      <c r="AH316" s="135"/>
      <c r="AI316" s="135"/>
      <c r="AJ316" s="135"/>
      <c r="AK316" s="135"/>
      <c r="AL316" s="135"/>
      <c r="AM316" s="135"/>
      <c r="AN316" s="135"/>
      <c r="AO316" s="135"/>
      <c r="AP316" s="135"/>
      <c r="AQ316" s="135"/>
      <c r="AR316" s="135"/>
      <c r="AS316" s="135"/>
      <c r="AT316" s="135"/>
      <c r="AU316" s="135"/>
      <c r="AV316" s="135"/>
    </row>
    <row r="317" spans="1:48" s="57" customFormat="1" ht="10.35" customHeight="1" outlineLevel="1" thickBot="1">
      <c r="A317" s="135"/>
      <c r="B317" s="206">
        <f t="shared" si="82"/>
        <v>10</v>
      </c>
      <c r="C317" s="766" t="str">
        <f t="shared" si="85"/>
        <v>Data centre operator  / waste heat provider: Share of active cooling (if heat is not taken up by Contractor 1)</v>
      </c>
      <c r="D317" s="979">
        <v>22</v>
      </c>
      <c r="E317" s="978">
        <v>0.2</v>
      </c>
      <c r="F317" s="978">
        <v>0.75</v>
      </c>
      <c r="G317" s="978">
        <v>0.75</v>
      </c>
      <c r="H317" s="978">
        <v>1</v>
      </c>
      <c r="I317" s="978">
        <v>1</v>
      </c>
      <c r="J317" s="978">
        <v>1</v>
      </c>
      <c r="K317" s="208"/>
      <c r="L317" s="208"/>
      <c r="M317" s="208"/>
      <c r="N317" s="208"/>
      <c r="O317" s="208"/>
      <c r="P317" s="208"/>
      <c r="Q317" s="208"/>
      <c r="R317" s="208"/>
      <c r="S317" s="208"/>
      <c r="T317" s="208"/>
      <c r="U317" s="208"/>
      <c r="V317" s="208"/>
      <c r="W317" s="208"/>
      <c r="X317" s="208">
        <v>1</v>
      </c>
      <c r="Y317" s="714">
        <v>22</v>
      </c>
      <c r="Z317" s="135"/>
      <c r="AA317" s="394" t="str">
        <f t="shared" si="83"/>
        <v/>
      </c>
      <c r="AB317" s="248" t="str">
        <f t="shared" si="84"/>
        <v/>
      </c>
      <c r="AC317" s="135"/>
      <c r="AD317" s="135"/>
      <c r="AE317" s="135"/>
      <c r="AF317" s="135"/>
      <c r="AG317" s="135"/>
      <c r="AH317" s="135"/>
      <c r="AI317" s="135"/>
      <c r="AJ317" s="135"/>
      <c r="AK317" s="135"/>
      <c r="AL317" s="135"/>
      <c r="AM317" s="135"/>
      <c r="AN317" s="135"/>
      <c r="AO317" s="135"/>
      <c r="AP317" s="135"/>
      <c r="AQ317" s="135"/>
      <c r="AR317" s="135"/>
      <c r="AS317" s="135"/>
      <c r="AT317" s="135"/>
      <c r="AU317" s="135"/>
      <c r="AV317" s="135"/>
    </row>
    <row r="318" spans="1:48" s="57" customFormat="1" ht="10.35" customHeight="1" outlineLevel="1" thickBot="1">
      <c r="A318" s="135"/>
      <c r="B318" s="206">
        <f t="shared" si="82"/>
        <v>10</v>
      </c>
      <c r="C318" s="766" t="str">
        <f t="shared" si="85"/>
        <v>Data centre operator  / waste heat provider: Share of active cooling (if heat is not taken up by Contractor 1)</v>
      </c>
      <c r="D318" s="979">
        <v>23</v>
      </c>
      <c r="E318" s="978">
        <v>0.2</v>
      </c>
      <c r="F318" s="978">
        <v>0.75</v>
      </c>
      <c r="G318" s="978">
        <v>0.75</v>
      </c>
      <c r="H318" s="978">
        <v>1</v>
      </c>
      <c r="I318" s="978">
        <v>1</v>
      </c>
      <c r="J318" s="978">
        <v>1</v>
      </c>
      <c r="K318" s="208"/>
      <c r="L318" s="208"/>
      <c r="M318" s="208"/>
      <c r="N318" s="208"/>
      <c r="O318" s="208"/>
      <c r="P318" s="208"/>
      <c r="Q318" s="208"/>
      <c r="R318" s="208"/>
      <c r="S318" s="208"/>
      <c r="T318" s="208"/>
      <c r="U318" s="208"/>
      <c r="V318" s="208"/>
      <c r="W318" s="208"/>
      <c r="X318" s="208">
        <v>1</v>
      </c>
      <c r="Y318" s="714">
        <v>23</v>
      </c>
      <c r="Z318" s="135"/>
      <c r="AA318" s="394" t="str">
        <f t="shared" si="83"/>
        <v/>
      </c>
      <c r="AB318" s="248" t="str">
        <f t="shared" si="84"/>
        <v/>
      </c>
      <c r="AC318" s="135"/>
      <c r="AD318" s="135"/>
      <c r="AE318" s="135"/>
      <c r="AF318" s="135"/>
      <c r="AG318" s="135"/>
      <c r="AH318" s="135"/>
      <c r="AI318" s="135"/>
      <c r="AJ318" s="135"/>
      <c r="AK318" s="135"/>
      <c r="AL318" s="135"/>
      <c r="AM318" s="135"/>
      <c r="AN318" s="135"/>
      <c r="AO318" s="135"/>
      <c r="AP318" s="135"/>
      <c r="AQ318" s="135"/>
      <c r="AR318" s="135"/>
      <c r="AS318" s="135"/>
      <c r="AT318" s="135"/>
      <c r="AU318" s="135"/>
      <c r="AV318" s="135"/>
    </row>
    <row r="319" spans="1:48" s="57" customFormat="1" ht="10.35" customHeight="1" outlineLevel="1" thickBot="1">
      <c r="A319" s="135"/>
      <c r="B319" s="206">
        <f t="shared" si="82"/>
        <v>10</v>
      </c>
      <c r="C319" s="970" t="str">
        <f t="shared" si="85"/>
        <v>Data centre operator  / waste heat provider: Share of active cooling (if heat is not taken up by Contractor 1)</v>
      </c>
      <c r="D319" s="981">
        <v>24</v>
      </c>
      <c r="E319" s="995">
        <v>0.2</v>
      </c>
      <c r="F319" s="995">
        <v>0.75</v>
      </c>
      <c r="G319" s="995">
        <v>0.75</v>
      </c>
      <c r="H319" s="995">
        <v>1</v>
      </c>
      <c r="I319" s="995">
        <v>1</v>
      </c>
      <c r="J319" s="995">
        <v>1</v>
      </c>
      <c r="K319" s="208"/>
      <c r="L319" s="208"/>
      <c r="M319" s="208"/>
      <c r="N319" s="208"/>
      <c r="O319" s="208"/>
      <c r="P319" s="208"/>
      <c r="Q319" s="208"/>
      <c r="R319" s="208"/>
      <c r="S319" s="208"/>
      <c r="T319" s="208"/>
      <c r="U319" s="208"/>
      <c r="V319" s="208"/>
      <c r="W319" s="208"/>
      <c r="X319" s="208">
        <v>1</v>
      </c>
      <c r="Y319" s="948">
        <v>24</v>
      </c>
      <c r="Z319" s="135"/>
      <c r="AA319" s="394" t="str">
        <f t="shared" si="83"/>
        <v/>
      </c>
      <c r="AB319" s="248" t="str">
        <f t="shared" si="84"/>
        <v/>
      </c>
      <c r="AC319" s="135"/>
      <c r="AD319" s="135"/>
      <c r="AE319" s="135"/>
      <c r="AF319" s="135"/>
      <c r="AG319" s="135"/>
      <c r="AH319" s="135"/>
      <c r="AI319" s="135"/>
      <c r="AJ319" s="135"/>
      <c r="AK319" s="135"/>
      <c r="AL319" s="135"/>
      <c r="AM319" s="135"/>
      <c r="AN319" s="135"/>
      <c r="AO319" s="135"/>
      <c r="AP319" s="135"/>
      <c r="AQ319" s="135"/>
      <c r="AR319" s="135"/>
      <c r="AS319" s="135"/>
      <c r="AT319" s="135"/>
      <c r="AU319" s="135"/>
      <c r="AV319" s="135"/>
    </row>
    <row r="320" spans="1:48">
      <c r="A320" s="196"/>
      <c r="B320" s="206">
        <f t="shared" si="82"/>
        <v>10</v>
      </c>
      <c r="C320" s="537" t="s">
        <v>372</v>
      </c>
      <c r="D320" s="537" t="s">
        <v>349</v>
      </c>
      <c r="E320" s="213">
        <f>SUM(E296:E319)/24</f>
        <v>0.23750000000000004</v>
      </c>
      <c r="F320" s="213">
        <f t="shared" ref="F320:X320" si="86">SUM(F296:F319)/24</f>
        <v>0.76458333333333328</v>
      </c>
      <c r="G320" s="213">
        <f t="shared" si="86"/>
        <v>0.76458333333333328</v>
      </c>
      <c r="H320" s="213">
        <f t="shared" si="86"/>
        <v>1</v>
      </c>
      <c r="I320" s="213">
        <f t="shared" si="86"/>
        <v>1</v>
      </c>
      <c r="J320" s="996">
        <f t="shared" si="86"/>
        <v>1</v>
      </c>
      <c r="K320" s="213">
        <f t="shared" si="86"/>
        <v>0</v>
      </c>
      <c r="L320" s="213">
        <f t="shared" si="86"/>
        <v>0</v>
      </c>
      <c r="M320" s="213">
        <f t="shared" si="86"/>
        <v>0</v>
      </c>
      <c r="N320" s="213">
        <f t="shared" si="86"/>
        <v>0</v>
      </c>
      <c r="O320" s="213">
        <f t="shared" si="86"/>
        <v>0</v>
      </c>
      <c r="P320" s="213">
        <f t="shared" si="86"/>
        <v>0</v>
      </c>
      <c r="Q320" s="213">
        <f t="shared" si="86"/>
        <v>0</v>
      </c>
      <c r="R320" s="213">
        <f t="shared" si="86"/>
        <v>0</v>
      </c>
      <c r="S320" s="213">
        <f t="shared" si="86"/>
        <v>0</v>
      </c>
      <c r="T320" s="213">
        <f t="shared" si="86"/>
        <v>0</v>
      </c>
      <c r="U320" s="213">
        <f t="shared" si="86"/>
        <v>0</v>
      </c>
      <c r="V320" s="213">
        <f t="shared" si="86"/>
        <v>0</v>
      </c>
      <c r="W320" s="213">
        <f t="shared" si="86"/>
        <v>0</v>
      </c>
      <c r="X320" s="213">
        <f t="shared" si="86"/>
        <v>1</v>
      </c>
      <c r="Y320" s="723" t="s">
        <v>349</v>
      </c>
      <c r="Z320" s="196"/>
      <c r="AA320" s="6"/>
      <c r="AB320" s="369"/>
    </row>
    <row r="321" spans="1:43" ht="15.75" thickBot="1">
      <c r="A321" s="196"/>
      <c r="B321" s="204"/>
      <c r="C321" s="521"/>
      <c r="D321" s="521"/>
      <c r="E321" s="927" t="str">
        <f t="shared" ref="E321:X321" si="87">E14</f>
        <v>Winter day</v>
      </c>
      <c r="F321" s="662" t="str">
        <f t="shared" si="87"/>
        <v>Spring / fall weekday</v>
      </c>
      <c r="G321" s="662" t="str">
        <f t="shared" si="87"/>
        <v>Spring / fall weekend</v>
      </c>
      <c r="H321" s="662" t="str">
        <f t="shared" si="87"/>
        <v>Summer weekday</v>
      </c>
      <c r="I321" s="662" t="str">
        <f t="shared" si="87"/>
        <v>Summer weekend</v>
      </c>
      <c r="J321" s="928" t="str">
        <f t="shared" si="87"/>
        <v>Maintenance of HP</v>
      </c>
      <c r="K321" s="520">
        <f t="shared" si="87"/>
        <v>7</v>
      </c>
      <c r="L321" s="520">
        <f t="shared" si="87"/>
        <v>8</v>
      </c>
      <c r="M321" s="520">
        <f t="shared" si="87"/>
        <v>9</v>
      </c>
      <c r="N321" s="520">
        <f t="shared" si="87"/>
        <v>10</v>
      </c>
      <c r="O321" s="520">
        <f t="shared" si="87"/>
        <v>11</v>
      </c>
      <c r="P321" s="520">
        <f t="shared" si="87"/>
        <v>12</v>
      </c>
      <c r="Q321" s="520">
        <f t="shared" si="87"/>
        <v>13</v>
      </c>
      <c r="R321" s="520">
        <f t="shared" si="87"/>
        <v>14</v>
      </c>
      <c r="S321" s="520">
        <f t="shared" si="87"/>
        <v>15</v>
      </c>
      <c r="T321" s="520">
        <f t="shared" si="87"/>
        <v>16</v>
      </c>
      <c r="U321" s="520">
        <f t="shared" si="87"/>
        <v>17</v>
      </c>
      <c r="V321" s="520">
        <f t="shared" si="87"/>
        <v>18</v>
      </c>
      <c r="W321" s="520">
        <f t="shared" si="87"/>
        <v>19</v>
      </c>
      <c r="X321" s="520" t="str">
        <f t="shared" si="87"/>
        <v>20</v>
      </c>
      <c r="Y321" s="521"/>
      <c r="Z321" s="196"/>
      <c r="AA321" s="6"/>
      <c r="AB321" s="369"/>
    </row>
    <row r="322" spans="1:43">
      <c r="A322" s="196"/>
      <c r="B322" s="521"/>
      <c r="C322" s="521"/>
      <c r="D322" s="521"/>
      <c r="E322" s="521"/>
      <c r="F322" s="196"/>
      <c r="G322" s="196"/>
      <c r="H322" s="196"/>
      <c r="I322" s="196"/>
      <c r="J322" s="196"/>
      <c r="K322" s="196"/>
      <c r="L322" s="196"/>
      <c r="M322" s="196"/>
      <c r="N322" s="196"/>
      <c r="O322" s="196"/>
      <c r="P322" s="196"/>
      <c r="Q322" s="196"/>
      <c r="R322" s="196"/>
      <c r="S322" s="196"/>
      <c r="T322" s="196"/>
      <c r="U322" s="196"/>
      <c r="V322" s="196"/>
      <c r="W322" s="196"/>
      <c r="X322" s="196"/>
      <c r="Y322" s="521"/>
      <c r="Z322" s="196"/>
      <c r="AA322" s="6"/>
      <c r="AB322" s="369"/>
    </row>
    <row r="323" spans="1:43">
      <c r="A323" s="196"/>
      <c r="B323" s="521"/>
      <c r="C323" s="521"/>
      <c r="D323" s="521"/>
      <c r="E323" s="521"/>
      <c r="F323" s="196"/>
      <c r="G323" s="196"/>
      <c r="H323" s="196"/>
      <c r="I323" s="196"/>
      <c r="J323" s="196"/>
      <c r="K323" s="196"/>
      <c r="L323" s="196"/>
      <c r="M323" s="196"/>
      <c r="N323" s="196"/>
      <c r="O323" s="196"/>
      <c r="P323" s="196"/>
      <c r="Q323" s="196"/>
      <c r="R323" s="196"/>
      <c r="S323" s="196"/>
      <c r="T323" s="196"/>
      <c r="U323" s="196"/>
      <c r="V323" s="196"/>
      <c r="W323" s="196"/>
      <c r="X323" s="196"/>
      <c r="Y323" s="521"/>
      <c r="Z323" s="196"/>
      <c r="AA323" s="6"/>
      <c r="AB323" s="369"/>
    </row>
    <row r="324" spans="1:43">
      <c r="A324" s="196"/>
      <c r="B324" s="521"/>
      <c r="C324" s="521"/>
      <c r="D324" s="521"/>
      <c r="E324" s="521"/>
      <c r="F324" s="196"/>
      <c r="G324" s="196"/>
      <c r="H324" s="196"/>
      <c r="I324" s="196"/>
      <c r="J324" s="196"/>
      <c r="K324" s="196"/>
      <c r="L324" s="196"/>
      <c r="M324" s="196"/>
      <c r="N324" s="196"/>
      <c r="O324" s="196"/>
      <c r="P324" s="196"/>
      <c r="Q324" s="196"/>
      <c r="R324" s="196"/>
      <c r="S324" s="196"/>
      <c r="T324" s="196"/>
      <c r="U324" s="196"/>
      <c r="V324" s="196"/>
      <c r="W324" s="196"/>
      <c r="X324" s="196"/>
      <c r="Y324" s="521"/>
      <c r="Z324" s="196"/>
      <c r="AA324" s="6"/>
      <c r="AB324" s="369"/>
    </row>
    <row r="325" spans="1:43">
      <c r="A325" s="196"/>
      <c r="B325" s="521"/>
      <c r="C325" s="521"/>
      <c r="D325" s="521"/>
      <c r="E325" s="521"/>
      <c r="F325" s="196"/>
      <c r="G325" s="196"/>
      <c r="H325" s="196"/>
      <c r="I325" s="196"/>
      <c r="J325" s="196"/>
      <c r="K325" s="196"/>
      <c r="L325" s="196"/>
      <c r="M325" s="196"/>
      <c r="N325" s="196"/>
      <c r="O325" s="196"/>
      <c r="P325" s="196"/>
      <c r="Q325" s="196"/>
      <c r="R325" s="196"/>
      <c r="S325" s="196"/>
      <c r="T325" s="196"/>
      <c r="U325" s="196"/>
      <c r="V325" s="196"/>
      <c r="W325" s="196"/>
      <c r="X325" s="196"/>
      <c r="Y325" s="521"/>
      <c r="Z325" s="196"/>
      <c r="AA325" s="6"/>
      <c r="AB325" s="369"/>
    </row>
    <row r="326" spans="1:43">
      <c r="A326" s="196"/>
      <c r="B326" s="521"/>
      <c r="C326" s="521"/>
      <c r="D326" s="521"/>
      <c r="E326" s="521"/>
      <c r="F326" s="196"/>
      <c r="G326" s="196"/>
      <c r="H326" s="196"/>
      <c r="I326" s="196"/>
      <c r="J326" s="196"/>
      <c r="K326" s="196"/>
      <c r="L326" s="196"/>
      <c r="M326" s="196"/>
      <c r="N326" s="196"/>
      <c r="O326" s="196"/>
      <c r="P326" s="196"/>
      <c r="Q326" s="196"/>
      <c r="R326" s="196"/>
      <c r="S326" s="196"/>
      <c r="T326" s="196"/>
      <c r="U326" s="196"/>
      <c r="V326" s="196"/>
      <c r="W326" s="196"/>
      <c r="X326" s="196"/>
      <c r="Y326" s="521"/>
      <c r="Z326" s="196"/>
      <c r="AA326" s="6"/>
      <c r="AB326" s="369"/>
    </row>
    <row r="327" spans="1:43">
      <c r="A327" s="196"/>
      <c r="B327" s="521"/>
      <c r="C327" s="521"/>
      <c r="D327" s="521"/>
      <c r="E327" s="521"/>
      <c r="F327" s="196"/>
      <c r="G327" s="196"/>
      <c r="H327" s="196"/>
      <c r="I327" s="196"/>
      <c r="J327" s="196"/>
      <c r="K327" s="196"/>
      <c r="L327" s="196"/>
      <c r="M327" s="196"/>
      <c r="N327" s="196"/>
      <c r="O327" s="196"/>
      <c r="P327" s="196"/>
      <c r="Q327" s="196"/>
      <c r="R327" s="196"/>
      <c r="S327" s="196"/>
      <c r="T327" s="196"/>
      <c r="U327" s="196"/>
      <c r="V327" s="196"/>
      <c r="W327" s="196"/>
      <c r="X327" s="196"/>
      <c r="Y327" s="521"/>
      <c r="Z327" s="196"/>
      <c r="AA327" s="6"/>
      <c r="AB327" s="369"/>
    </row>
    <row r="328" spans="1:43">
      <c r="A328" s="196"/>
      <c r="B328" s="521"/>
      <c r="C328" s="521"/>
      <c r="D328" s="521"/>
      <c r="E328" s="521"/>
      <c r="F328" s="196"/>
      <c r="G328" s="196"/>
      <c r="H328" s="196"/>
      <c r="I328" s="196"/>
      <c r="J328" s="196"/>
      <c r="K328" s="196"/>
      <c r="L328" s="196"/>
      <c r="M328" s="196"/>
      <c r="N328" s="196"/>
      <c r="O328" s="196"/>
      <c r="P328" s="196"/>
      <c r="Q328" s="196"/>
      <c r="R328" s="196"/>
      <c r="S328" s="196"/>
      <c r="T328" s="196"/>
      <c r="U328" s="196"/>
      <c r="V328" s="196"/>
      <c r="W328" s="196"/>
      <c r="X328" s="196"/>
      <c r="Y328" s="521"/>
      <c r="Z328" s="196"/>
      <c r="AA328" s="6"/>
      <c r="AB328" s="369"/>
    </row>
    <row r="329" spans="1:43">
      <c r="A329" s="196"/>
      <c r="B329" s="521"/>
      <c r="C329" s="521"/>
      <c r="D329" s="521"/>
      <c r="E329" s="521"/>
      <c r="F329" s="196"/>
      <c r="G329" s="196"/>
      <c r="H329" s="196"/>
      <c r="I329" s="196"/>
      <c r="J329" s="196"/>
      <c r="K329" s="196"/>
      <c r="L329" s="196"/>
      <c r="M329" s="196"/>
      <c r="N329" s="196"/>
      <c r="O329" s="196"/>
      <c r="P329" s="196"/>
      <c r="Q329" s="196"/>
      <c r="R329" s="196"/>
      <c r="S329" s="196"/>
      <c r="T329" s="196"/>
      <c r="U329" s="196"/>
      <c r="V329" s="196"/>
      <c r="W329" s="196"/>
      <c r="X329" s="196"/>
      <c r="Y329" s="521"/>
      <c r="Z329" s="196"/>
    </row>
    <row r="330" spans="1:43">
      <c r="A330" s="196"/>
      <c r="B330" s="521"/>
      <c r="C330" s="521"/>
      <c r="D330" s="521"/>
      <c r="E330" s="521"/>
      <c r="F330" s="196"/>
      <c r="G330" s="196"/>
      <c r="H330" s="196"/>
      <c r="I330" s="196"/>
      <c r="J330" s="196"/>
      <c r="K330" s="196"/>
      <c r="L330" s="196"/>
      <c r="M330" s="196"/>
      <c r="N330" s="196"/>
      <c r="O330" s="196"/>
      <c r="P330" s="196"/>
      <c r="Q330" s="196"/>
      <c r="R330" s="196"/>
      <c r="S330" s="196"/>
      <c r="T330" s="196"/>
      <c r="U330" s="196"/>
      <c r="V330" s="196"/>
      <c r="W330" s="196"/>
      <c r="X330" s="196"/>
      <c r="Y330" s="521"/>
    </row>
    <row r="331" spans="1:43" s="196" customFormat="1">
      <c r="B331" s="521"/>
      <c r="C331" s="521"/>
      <c r="D331" s="521"/>
      <c r="E331" s="521"/>
      <c r="Y331" s="521"/>
      <c r="AA331" s="6"/>
      <c r="AB331" s="369"/>
      <c r="AC331" s="521"/>
      <c r="AD331" s="521"/>
      <c r="AE331" s="521"/>
      <c r="AH331" s="521"/>
      <c r="AI331" s="521"/>
      <c r="AJ331" s="521"/>
      <c r="AK331" s="521"/>
      <c r="AN331" s="521"/>
      <c r="AO331" s="521"/>
      <c r="AP331" s="521"/>
      <c r="AQ331" s="521"/>
    </row>
    <row r="332" spans="1:43" s="196" customFormat="1">
      <c r="B332" s="521"/>
      <c r="C332" s="521"/>
      <c r="D332" s="521"/>
      <c r="E332" s="521"/>
      <c r="Y332" s="521"/>
      <c r="AA332" s="6"/>
      <c r="AB332" s="369"/>
      <c r="AC332" s="521"/>
      <c r="AD332" s="521"/>
      <c r="AE332" s="521"/>
      <c r="AH332" s="521"/>
      <c r="AI332" s="521"/>
      <c r="AJ332" s="521"/>
      <c r="AK332" s="521"/>
      <c r="AN332" s="521"/>
      <c r="AO332" s="521"/>
      <c r="AP332" s="521"/>
      <c r="AQ332" s="521"/>
    </row>
    <row r="333" spans="1:43" s="196" customFormat="1">
      <c r="B333" s="521"/>
      <c r="C333" s="521"/>
      <c r="D333" s="521"/>
      <c r="E333" s="521"/>
      <c r="Y333" s="521"/>
      <c r="AA333" s="6"/>
      <c r="AB333" s="369"/>
      <c r="AC333" s="521"/>
      <c r="AD333" s="521"/>
      <c r="AE333" s="521"/>
      <c r="AH333" s="521"/>
      <c r="AI333" s="521"/>
      <c r="AJ333" s="521"/>
      <c r="AK333" s="521"/>
      <c r="AN333" s="521"/>
      <c r="AO333" s="521"/>
      <c r="AP333" s="521"/>
      <c r="AQ333" s="521"/>
    </row>
    <row r="334" spans="1:43" s="196" customFormat="1">
      <c r="B334" s="521"/>
      <c r="C334" s="521"/>
      <c r="D334" s="521"/>
      <c r="E334" s="521"/>
      <c r="Y334" s="521"/>
      <c r="AA334" s="6"/>
      <c r="AB334" s="369"/>
      <c r="AC334" s="521"/>
      <c r="AD334" s="521"/>
      <c r="AE334" s="521"/>
      <c r="AH334" s="521"/>
      <c r="AI334" s="521"/>
      <c r="AJ334" s="521"/>
      <c r="AK334" s="521"/>
      <c r="AN334" s="521"/>
      <c r="AO334" s="521"/>
      <c r="AP334" s="521"/>
      <c r="AQ334" s="521"/>
    </row>
    <row r="335" spans="1:43" s="196" customFormat="1">
      <c r="B335" s="521"/>
      <c r="C335" s="521"/>
      <c r="D335" s="521"/>
      <c r="E335" s="521"/>
      <c r="Y335" s="521"/>
      <c r="AA335" s="6"/>
      <c r="AB335" s="369"/>
      <c r="AC335" s="521"/>
      <c r="AD335" s="521"/>
      <c r="AE335" s="521"/>
      <c r="AH335" s="521"/>
      <c r="AI335" s="521"/>
      <c r="AJ335" s="521"/>
      <c r="AK335" s="521"/>
      <c r="AN335" s="521"/>
      <c r="AO335" s="521"/>
      <c r="AP335" s="521"/>
      <c r="AQ335" s="521"/>
    </row>
    <row r="336" spans="1:43" s="196" customFormat="1">
      <c r="B336" s="521"/>
      <c r="C336" s="521"/>
      <c r="D336" s="521"/>
      <c r="E336" s="521"/>
      <c r="Y336" s="521"/>
      <c r="AA336" s="6"/>
      <c r="AB336" s="369"/>
      <c r="AC336" s="521"/>
      <c r="AD336" s="521"/>
      <c r="AE336" s="521"/>
      <c r="AH336" s="521"/>
      <c r="AI336" s="521"/>
      <c r="AJ336" s="521"/>
      <c r="AK336" s="521"/>
      <c r="AN336" s="521"/>
      <c r="AO336" s="521"/>
      <c r="AP336" s="521"/>
      <c r="AQ336" s="521"/>
    </row>
    <row r="337" spans="2:43" s="196" customFormat="1">
      <c r="B337" s="521"/>
      <c r="C337" s="521"/>
      <c r="D337" s="521"/>
      <c r="E337" s="521"/>
      <c r="Y337" s="521"/>
      <c r="AA337" s="6"/>
      <c r="AB337" s="369"/>
      <c r="AC337" s="521"/>
      <c r="AD337" s="521"/>
      <c r="AE337" s="521"/>
      <c r="AH337" s="521"/>
      <c r="AI337" s="521"/>
      <c r="AJ337" s="521"/>
      <c r="AK337" s="521"/>
      <c r="AN337" s="521"/>
      <c r="AO337" s="521"/>
      <c r="AP337" s="521"/>
      <c r="AQ337" s="521"/>
    </row>
    <row r="338" spans="2:43" s="196" customFormat="1">
      <c r="B338" s="521"/>
      <c r="C338" s="521"/>
      <c r="D338" s="521"/>
      <c r="E338" s="521"/>
      <c r="Y338" s="521"/>
      <c r="AA338" s="6"/>
      <c r="AB338" s="369"/>
      <c r="AC338" s="521"/>
      <c r="AD338" s="521"/>
      <c r="AE338" s="521"/>
      <c r="AH338" s="521"/>
      <c r="AI338" s="521"/>
      <c r="AJ338" s="521"/>
      <c r="AK338" s="521"/>
      <c r="AN338" s="521"/>
      <c r="AO338" s="521"/>
      <c r="AP338" s="521"/>
      <c r="AQ338" s="521"/>
    </row>
    <row r="339" spans="2:43" s="196" customFormat="1">
      <c r="B339" s="521"/>
      <c r="C339" s="521"/>
      <c r="D339" s="521"/>
      <c r="E339" s="521"/>
      <c r="Y339" s="521"/>
      <c r="AA339" s="6"/>
      <c r="AB339" s="369"/>
      <c r="AC339" s="521"/>
      <c r="AD339" s="521"/>
      <c r="AE339" s="521"/>
      <c r="AH339" s="521"/>
      <c r="AI339" s="521"/>
      <c r="AJ339" s="521"/>
      <c r="AK339" s="521"/>
      <c r="AN339" s="521"/>
      <c r="AO339" s="521"/>
      <c r="AP339" s="521"/>
      <c r="AQ339" s="521"/>
    </row>
    <row r="340" spans="2:43" s="196" customFormat="1">
      <c r="B340" s="521"/>
      <c r="C340" s="521"/>
      <c r="D340" s="521"/>
      <c r="E340" s="521"/>
      <c r="Y340" s="521"/>
      <c r="AA340" s="6"/>
      <c r="AB340" s="369"/>
      <c r="AC340" s="521"/>
      <c r="AD340" s="521"/>
      <c r="AE340" s="521"/>
      <c r="AH340" s="521"/>
      <c r="AI340" s="521"/>
      <c r="AJ340" s="521"/>
      <c r="AK340" s="521"/>
      <c r="AN340" s="521"/>
      <c r="AO340" s="521"/>
      <c r="AP340" s="521"/>
      <c r="AQ340" s="521"/>
    </row>
    <row r="341" spans="2:43" s="196" customFormat="1">
      <c r="B341" s="521"/>
      <c r="C341" s="521"/>
      <c r="D341" s="521"/>
      <c r="E341" s="521"/>
      <c r="Y341" s="521"/>
      <c r="AA341" s="6"/>
      <c r="AB341" s="369"/>
      <c r="AC341" s="521"/>
      <c r="AD341" s="521"/>
      <c r="AE341" s="521"/>
      <c r="AH341" s="521"/>
      <c r="AI341" s="521"/>
      <c r="AJ341" s="521"/>
      <c r="AK341" s="521"/>
      <c r="AN341" s="521"/>
      <c r="AO341" s="521"/>
      <c r="AP341" s="521"/>
      <c r="AQ341" s="521"/>
    </row>
    <row r="342" spans="2:43" s="196" customFormat="1">
      <c r="B342" s="521"/>
      <c r="C342" s="521"/>
      <c r="D342" s="521"/>
      <c r="E342" s="521"/>
      <c r="Y342" s="521"/>
      <c r="AA342" s="6"/>
      <c r="AB342" s="369"/>
      <c r="AC342" s="521"/>
      <c r="AD342" s="521"/>
      <c r="AE342" s="521"/>
      <c r="AH342" s="521"/>
      <c r="AI342" s="521"/>
      <c r="AJ342" s="521"/>
      <c r="AK342" s="521"/>
      <c r="AN342" s="521"/>
      <c r="AO342" s="521"/>
      <c r="AP342" s="521"/>
      <c r="AQ342" s="521"/>
    </row>
    <row r="343" spans="2:43" s="196" customFormat="1">
      <c r="B343" s="521"/>
      <c r="C343" s="521"/>
      <c r="D343" s="521"/>
      <c r="E343" s="521"/>
      <c r="Y343" s="521"/>
      <c r="AA343" s="6"/>
      <c r="AB343" s="369"/>
      <c r="AC343" s="521"/>
      <c r="AD343" s="521"/>
      <c r="AE343" s="521"/>
      <c r="AH343" s="521"/>
      <c r="AI343" s="521"/>
      <c r="AJ343" s="521"/>
      <c r="AK343" s="521"/>
      <c r="AN343" s="521"/>
      <c r="AO343" s="521"/>
      <c r="AP343" s="521"/>
      <c r="AQ343" s="521"/>
    </row>
    <row r="344" spans="2:43" s="196" customFormat="1">
      <c r="B344" s="521"/>
      <c r="C344" s="521"/>
      <c r="D344" s="521"/>
      <c r="E344" s="521"/>
      <c r="Y344" s="521"/>
      <c r="AA344" s="6"/>
      <c r="AB344" s="369"/>
      <c r="AC344" s="521"/>
      <c r="AD344" s="521"/>
      <c r="AE344" s="521"/>
      <c r="AH344" s="521"/>
      <c r="AI344" s="521"/>
      <c r="AJ344" s="521"/>
      <c r="AK344" s="521"/>
      <c r="AN344" s="521"/>
      <c r="AO344" s="521"/>
      <c r="AP344" s="521"/>
      <c r="AQ344" s="521"/>
    </row>
    <row r="345" spans="2:43" s="196" customFormat="1">
      <c r="B345" s="521"/>
      <c r="C345" s="521"/>
      <c r="D345" s="521"/>
      <c r="E345" s="521"/>
      <c r="Y345" s="521"/>
      <c r="AA345" s="6"/>
      <c r="AB345" s="369"/>
      <c r="AC345" s="521"/>
      <c r="AD345" s="521"/>
      <c r="AE345" s="521"/>
      <c r="AH345" s="521"/>
      <c r="AI345" s="521"/>
      <c r="AJ345" s="521"/>
      <c r="AK345" s="521"/>
      <c r="AN345" s="521"/>
      <c r="AO345" s="521"/>
      <c r="AP345" s="521"/>
      <c r="AQ345" s="521"/>
    </row>
    <row r="346" spans="2:43" s="196" customFormat="1">
      <c r="B346" s="521"/>
      <c r="C346" s="521"/>
      <c r="D346" s="521"/>
      <c r="E346" s="521"/>
      <c r="Y346" s="521"/>
      <c r="AA346" s="6"/>
      <c r="AB346" s="369"/>
      <c r="AC346" s="521"/>
      <c r="AD346" s="521"/>
      <c r="AE346" s="521"/>
      <c r="AH346" s="521"/>
      <c r="AI346" s="521"/>
      <c r="AJ346" s="521"/>
      <c r="AK346" s="521"/>
      <c r="AN346" s="521"/>
      <c r="AO346" s="521"/>
      <c r="AP346" s="521"/>
      <c r="AQ346" s="521"/>
    </row>
    <row r="347" spans="2:43" s="196" customFormat="1">
      <c r="B347" s="521"/>
      <c r="C347" s="521"/>
      <c r="D347" s="521"/>
      <c r="E347" s="521"/>
      <c r="Y347" s="521"/>
      <c r="AA347" s="6"/>
      <c r="AB347" s="369"/>
      <c r="AC347" s="521"/>
      <c r="AD347" s="521"/>
      <c r="AE347" s="521"/>
      <c r="AH347" s="521"/>
      <c r="AI347" s="521"/>
      <c r="AJ347" s="521"/>
      <c r="AK347" s="521"/>
      <c r="AN347" s="521"/>
      <c r="AO347" s="521"/>
      <c r="AP347" s="521"/>
      <c r="AQ347" s="521"/>
    </row>
    <row r="348" spans="2:43" s="196" customFormat="1">
      <c r="B348" s="521"/>
      <c r="C348" s="521"/>
      <c r="D348" s="521"/>
      <c r="E348" s="521"/>
      <c r="Y348" s="521"/>
      <c r="AA348" s="6"/>
      <c r="AB348" s="369"/>
      <c r="AC348" s="521"/>
      <c r="AD348" s="521"/>
      <c r="AE348" s="521"/>
      <c r="AH348" s="521"/>
      <c r="AI348" s="521"/>
      <c r="AJ348" s="521"/>
      <c r="AK348" s="521"/>
      <c r="AN348" s="521"/>
      <c r="AO348" s="521"/>
      <c r="AP348" s="521"/>
      <c r="AQ348" s="521"/>
    </row>
    <row r="349" spans="2:43" s="196" customFormat="1">
      <c r="B349" s="521"/>
      <c r="C349" s="521"/>
      <c r="D349" s="521"/>
      <c r="E349" s="521"/>
      <c r="Y349" s="521"/>
      <c r="AA349" s="6"/>
      <c r="AB349" s="369"/>
      <c r="AC349" s="521"/>
      <c r="AD349" s="521"/>
      <c r="AE349" s="521"/>
      <c r="AH349" s="521"/>
      <c r="AI349" s="521"/>
      <c r="AJ349" s="521"/>
      <c r="AK349" s="521"/>
      <c r="AN349" s="521"/>
      <c r="AO349" s="521"/>
      <c r="AP349" s="521"/>
      <c r="AQ349" s="521"/>
    </row>
    <row r="350" spans="2:43" s="196" customFormat="1">
      <c r="B350" s="521"/>
      <c r="C350" s="521"/>
      <c r="D350" s="521"/>
      <c r="E350" s="521"/>
      <c r="Y350" s="521"/>
      <c r="AA350" s="6"/>
      <c r="AB350" s="369"/>
      <c r="AC350" s="521"/>
      <c r="AD350" s="521"/>
      <c r="AE350" s="521"/>
      <c r="AH350" s="521"/>
      <c r="AI350" s="521"/>
      <c r="AJ350" s="521"/>
      <c r="AK350" s="521"/>
      <c r="AN350" s="521"/>
      <c r="AO350" s="521"/>
      <c r="AP350" s="521"/>
      <c r="AQ350" s="521"/>
    </row>
    <row r="351" spans="2:43" s="196" customFormat="1">
      <c r="B351" s="521"/>
      <c r="C351" s="521"/>
      <c r="D351" s="521"/>
      <c r="E351" s="521"/>
      <c r="Y351" s="521"/>
      <c r="AA351" s="6"/>
      <c r="AB351" s="369"/>
      <c r="AC351" s="521"/>
      <c r="AD351" s="521"/>
      <c r="AE351" s="521"/>
      <c r="AH351" s="521"/>
      <c r="AI351" s="521"/>
      <c r="AJ351" s="521"/>
      <c r="AK351" s="521"/>
      <c r="AN351" s="521"/>
      <c r="AO351" s="521"/>
      <c r="AP351" s="521"/>
      <c r="AQ351" s="521"/>
    </row>
    <row r="352" spans="2:43" s="196" customFormat="1">
      <c r="B352" s="521"/>
      <c r="C352" s="521"/>
      <c r="D352" s="521"/>
      <c r="E352" s="521"/>
      <c r="Y352" s="521"/>
      <c r="AA352" s="6"/>
      <c r="AB352" s="369"/>
      <c r="AC352" s="521"/>
      <c r="AD352" s="521"/>
      <c r="AE352" s="521"/>
      <c r="AH352" s="521"/>
      <c r="AI352" s="521"/>
      <c r="AJ352" s="521"/>
      <c r="AK352" s="521"/>
      <c r="AN352" s="521"/>
      <c r="AO352" s="521"/>
      <c r="AP352" s="521"/>
      <c r="AQ352" s="521"/>
    </row>
    <row r="353" spans="2:43" s="196" customFormat="1">
      <c r="B353" s="521"/>
      <c r="C353" s="521"/>
      <c r="D353" s="521"/>
      <c r="E353" s="521"/>
      <c r="Y353" s="521"/>
      <c r="AA353" s="6"/>
      <c r="AB353" s="369"/>
      <c r="AC353" s="521"/>
      <c r="AD353" s="521"/>
      <c r="AE353" s="521"/>
      <c r="AH353" s="521"/>
      <c r="AI353" s="521"/>
      <c r="AJ353" s="521"/>
      <c r="AK353" s="521"/>
      <c r="AN353" s="521"/>
      <c r="AO353" s="521"/>
      <c r="AP353" s="521"/>
      <c r="AQ353" s="521"/>
    </row>
    <row r="354" spans="2:43" s="196" customFormat="1">
      <c r="B354" s="521"/>
      <c r="C354" s="521"/>
      <c r="D354" s="521"/>
      <c r="E354" s="521"/>
      <c r="Y354" s="521"/>
      <c r="AA354" s="6"/>
      <c r="AB354" s="369"/>
      <c r="AC354" s="521"/>
      <c r="AD354" s="521"/>
      <c r="AE354" s="521"/>
      <c r="AH354" s="521"/>
      <c r="AI354" s="521"/>
      <c r="AJ354" s="521"/>
      <c r="AK354" s="521"/>
      <c r="AN354" s="521"/>
      <c r="AO354" s="521"/>
      <c r="AP354" s="521"/>
      <c r="AQ354" s="521"/>
    </row>
    <row r="355" spans="2:43" s="196" customFormat="1">
      <c r="B355" s="521"/>
      <c r="C355" s="521"/>
      <c r="D355" s="521"/>
      <c r="E355" s="521"/>
      <c r="Y355" s="521"/>
      <c r="AA355" s="6"/>
      <c r="AB355" s="369"/>
      <c r="AC355" s="521"/>
      <c r="AD355" s="521"/>
      <c r="AE355" s="521"/>
      <c r="AH355" s="521"/>
      <c r="AI355" s="521"/>
      <c r="AJ355" s="521"/>
      <c r="AK355" s="521"/>
      <c r="AN355" s="521"/>
      <c r="AO355" s="521"/>
      <c r="AP355" s="521"/>
      <c r="AQ355" s="521"/>
    </row>
    <row r="356" spans="2:43" s="196" customFormat="1">
      <c r="B356" s="521"/>
      <c r="C356" s="521"/>
      <c r="D356" s="521"/>
      <c r="E356" s="521"/>
      <c r="Y356" s="521"/>
      <c r="AA356" s="6"/>
      <c r="AB356" s="369"/>
      <c r="AC356" s="521"/>
      <c r="AD356" s="521"/>
      <c r="AE356" s="521"/>
      <c r="AH356" s="521"/>
      <c r="AI356" s="521"/>
      <c r="AJ356" s="521"/>
      <c r="AK356" s="521"/>
      <c r="AN356" s="521"/>
      <c r="AO356" s="521"/>
      <c r="AP356" s="521"/>
      <c r="AQ356" s="521"/>
    </row>
    <row r="357" spans="2:43" s="196" customFormat="1">
      <c r="B357" s="521"/>
      <c r="C357" s="521"/>
      <c r="D357" s="521"/>
      <c r="E357" s="521"/>
      <c r="Y357" s="521"/>
      <c r="AA357" s="6"/>
      <c r="AB357" s="369"/>
      <c r="AC357" s="521"/>
      <c r="AD357" s="521"/>
      <c r="AE357" s="521"/>
      <c r="AH357" s="521"/>
      <c r="AI357" s="521"/>
      <c r="AJ357" s="521"/>
      <c r="AK357" s="521"/>
      <c r="AN357" s="521"/>
      <c r="AO357" s="521"/>
      <c r="AP357" s="521"/>
      <c r="AQ357" s="521"/>
    </row>
    <row r="358" spans="2:43" s="196" customFormat="1">
      <c r="B358" s="521"/>
      <c r="C358" s="521"/>
      <c r="D358" s="521"/>
      <c r="E358" s="521"/>
      <c r="Y358" s="521"/>
      <c r="AA358" s="6"/>
      <c r="AB358" s="369"/>
      <c r="AC358" s="521"/>
      <c r="AD358" s="521"/>
      <c r="AE358" s="521"/>
      <c r="AH358" s="521"/>
      <c r="AI358" s="521"/>
      <c r="AJ358" s="521"/>
      <c r="AK358" s="521"/>
      <c r="AN358" s="521"/>
      <c r="AO358" s="521"/>
      <c r="AP358" s="521"/>
      <c r="AQ358" s="521"/>
    </row>
    <row r="359" spans="2:43" s="196" customFormat="1">
      <c r="B359" s="521"/>
      <c r="C359" s="521"/>
      <c r="D359" s="521"/>
      <c r="E359" s="521"/>
      <c r="Y359" s="521"/>
      <c r="AA359" s="6"/>
      <c r="AB359" s="369"/>
      <c r="AC359" s="521"/>
      <c r="AD359" s="521"/>
      <c r="AE359" s="521"/>
      <c r="AH359" s="521"/>
      <c r="AI359" s="521"/>
      <c r="AJ359" s="521"/>
      <c r="AK359" s="521"/>
      <c r="AN359" s="521"/>
      <c r="AO359" s="521"/>
      <c r="AP359" s="521"/>
      <c r="AQ359" s="521"/>
    </row>
    <row r="360" spans="2:43" s="196" customFormat="1">
      <c r="B360" s="521"/>
      <c r="C360" s="521"/>
      <c r="D360" s="521"/>
      <c r="E360" s="521"/>
      <c r="Y360" s="521"/>
      <c r="AA360" s="6"/>
      <c r="AB360" s="369"/>
      <c r="AC360" s="521"/>
      <c r="AD360" s="521"/>
      <c r="AE360" s="521"/>
      <c r="AH360" s="521"/>
      <c r="AI360" s="521"/>
      <c r="AJ360" s="521"/>
      <c r="AK360" s="521"/>
      <c r="AN360" s="521"/>
      <c r="AO360" s="521"/>
      <c r="AP360" s="521"/>
      <c r="AQ360" s="521"/>
    </row>
    <row r="361" spans="2:43" s="196" customFormat="1">
      <c r="B361" s="521"/>
      <c r="C361" s="521"/>
      <c r="D361" s="521"/>
      <c r="E361" s="521"/>
      <c r="Y361" s="521"/>
      <c r="AA361" s="6"/>
      <c r="AB361" s="369"/>
      <c r="AC361" s="521"/>
      <c r="AD361" s="521"/>
      <c r="AE361" s="521"/>
      <c r="AH361" s="521"/>
      <c r="AI361" s="521"/>
      <c r="AJ361" s="521"/>
      <c r="AK361" s="521"/>
      <c r="AN361" s="521"/>
      <c r="AO361" s="521"/>
      <c r="AP361" s="521"/>
      <c r="AQ361" s="521"/>
    </row>
    <row r="362" spans="2:43" s="196" customFormat="1">
      <c r="B362" s="521"/>
      <c r="C362" s="521"/>
      <c r="D362" s="521"/>
      <c r="E362" s="521"/>
      <c r="Y362" s="521"/>
      <c r="AA362" s="6"/>
      <c r="AB362" s="369"/>
      <c r="AC362" s="521"/>
      <c r="AD362" s="521"/>
      <c r="AE362" s="521"/>
      <c r="AH362" s="521"/>
      <c r="AI362" s="521"/>
      <c r="AJ362" s="521"/>
      <c r="AK362" s="521"/>
      <c r="AN362" s="521"/>
      <c r="AO362" s="521"/>
      <c r="AP362" s="521"/>
      <c r="AQ362" s="521"/>
    </row>
    <row r="363" spans="2:43" s="196" customFormat="1">
      <c r="B363" s="521"/>
      <c r="C363" s="521"/>
      <c r="D363" s="521"/>
      <c r="E363" s="521"/>
      <c r="Y363" s="521"/>
      <c r="AA363" s="6"/>
      <c r="AB363" s="369"/>
      <c r="AC363" s="521"/>
      <c r="AD363" s="521"/>
      <c r="AE363" s="521"/>
      <c r="AH363" s="521"/>
      <c r="AI363" s="521"/>
      <c r="AJ363" s="521"/>
      <c r="AK363" s="521"/>
      <c r="AN363" s="521"/>
      <c r="AO363" s="521"/>
      <c r="AP363" s="521"/>
      <c r="AQ363" s="521"/>
    </row>
    <row r="364" spans="2:43" s="196" customFormat="1">
      <c r="B364" s="521"/>
      <c r="C364" s="521"/>
      <c r="D364" s="521"/>
      <c r="E364" s="521"/>
      <c r="Y364" s="521"/>
      <c r="AA364" s="6"/>
      <c r="AB364" s="369"/>
      <c r="AC364" s="521"/>
      <c r="AD364" s="521"/>
      <c r="AE364" s="521"/>
      <c r="AH364" s="521"/>
      <c r="AI364" s="521"/>
      <c r="AJ364" s="521"/>
      <c r="AK364" s="521"/>
      <c r="AN364" s="521"/>
      <c r="AO364" s="521"/>
      <c r="AP364" s="521"/>
      <c r="AQ364" s="521"/>
    </row>
    <row r="365" spans="2:43" s="196" customFormat="1">
      <c r="B365" s="521"/>
      <c r="C365" s="521"/>
      <c r="D365" s="521"/>
      <c r="E365" s="521"/>
      <c r="Y365" s="521"/>
      <c r="AA365" s="6"/>
      <c r="AB365" s="369"/>
      <c r="AC365" s="521"/>
      <c r="AD365" s="521"/>
      <c r="AE365" s="521"/>
      <c r="AH365" s="521"/>
      <c r="AI365" s="521"/>
      <c r="AJ365" s="521"/>
      <c r="AK365" s="521"/>
      <c r="AN365" s="521"/>
      <c r="AO365" s="521"/>
      <c r="AP365" s="521"/>
      <c r="AQ365" s="521"/>
    </row>
    <row r="366" spans="2:43" s="196" customFormat="1">
      <c r="B366" s="521"/>
      <c r="C366" s="521"/>
      <c r="D366" s="521"/>
      <c r="E366" s="521"/>
      <c r="Y366" s="521"/>
      <c r="AA366" s="6"/>
      <c r="AB366" s="369"/>
      <c r="AC366" s="521"/>
      <c r="AD366" s="521"/>
      <c r="AE366" s="521"/>
      <c r="AH366" s="521"/>
      <c r="AI366" s="521"/>
      <c r="AJ366" s="521"/>
      <c r="AK366" s="521"/>
      <c r="AN366" s="521"/>
      <c r="AO366" s="521"/>
      <c r="AP366" s="521"/>
      <c r="AQ366" s="521"/>
    </row>
    <row r="367" spans="2:43" s="196" customFormat="1">
      <c r="B367" s="521"/>
      <c r="C367" s="521"/>
      <c r="D367" s="521"/>
      <c r="E367" s="521"/>
      <c r="Y367" s="521"/>
      <c r="AA367" s="6"/>
      <c r="AB367" s="369"/>
      <c r="AC367" s="521"/>
      <c r="AD367" s="521"/>
      <c r="AE367" s="521"/>
      <c r="AH367" s="521"/>
      <c r="AI367" s="521"/>
      <c r="AJ367" s="521"/>
      <c r="AK367" s="521"/>
      <c r="AN367" s="521"/>
      <c r="AO367" s="521"/>
      <c r="AP367" s="521"/>
      <c r="AQ367" s="521"/>
    </row>
    <row r="368" spans="2:43" s="196" customFormat="1">
      <c r="B368" s="521"/>
      <c r="C368" s="521"/>
      <c r="D368" s="521"/>
      <c r="E368" s="521"/>
      <c r="Y368" s="521"/>
      <c r="AA368" s="6"/>
      <c r="AB368" s="369"/>
      <c r="AC368" s="521"/>
      <c r="AD368" s="521"/>
      <c r="AE368" s="521"/>
      <c r="AH368" s="521"/>
      <c r="AI368" s="521"/>
      <c r="AJ368" s="521"/>
      <c r="AK368" s="521"/>
      <c r="AN368" s="521"/>
      <c r="AO368" s="521"/>
      <c r="AP368" s="521"/>
      <c r="AQ368" s="521"/>
    </row>
    <row r="369" spans="2:43" s="196" customFormat="1">
      <c r="B369" s="521"/>
      <c r="C369" s="521"/>
      <c r="D369" s="521"/>
      <c r="E369" s="521"/>
      <c r="Y369" s="521"/>
      <c r="AA369" s="6"/>
      <c r="AB369" s="369"/>
      <c r="AC369" s="521"/>
      <c r="AD369" s="521"/>
      <c r="AE369" s="521"/>
      <c r="AH369" s="521"/>
      <c r="AI369" s="521"/>
      <c r="AJ369" s="521"/>
      <c r="AK369" s="521"/>
      <c r="AN369" s="521"/>
      <c r="AO369" s="521"/>
      <c r="AP369" s="521"/>
      <c r="AQ369" s="521"/>
    </row>
    <row r="370" spans="2:43" s="196" customFormat="1">
      <c r="B370" s="521"/>
      <c r="C370" s="521"/>
      <c r="D370" s="521"/>
      <c r="E370" s="521"/>
      <c r="Y370" s="521"/>
      <c r="AA370" s="6"/>
      <c r="AB370" s="369"/>
      <c r="AC370" s="521"/>
      <c r="AD370" s="521"/>
      <c r="AE370" s="521"/>
      <c r="AH370" s="521"/>
      <c r="AI370" s="521"/>
      <c r="AJ370" s="521"/>
      <c r="AK370" s="521"/>
      <c r="AN370" s="521"/>
      <c r="AO370" s="521"/>
      <c r="AP370" s="521"/>
      <c r="AQ370" s="521"/>
    </row>
    <row r="371" spans="2:43" s="196" customFormat="1">
      <c r="B371" s="521"/>
      <c r="C371" s="521"/>
      <c r="D371" s="521"/>
      <c r="E371" s="521"/>
      <c r="Y371" s="521"/>
      <c r="AA371" s="6"/>
      <c r="AB371" s="369"/>
      <c r="AC371" s="521"/>
      <c r="AD371" s="521"/>
      <c r="AE371" s="521"/>
      <c r="AH371" s="521"/>
      <c r="AI371" s="521"/>
      <c r="AJ371" s="521"/>
      <c r="AK371" s="521"/>
      <c r="AN371" s="521"/>
      <c r="AO371" s="521"/>
      <c r="AP371" s="521"/>
      <c r="AQ371" s="521"/>
    </row>
    <row r="372" spans="2:43" s="196" customFormat="1">
      <c r="B372" s="521"/>
      <c r="C372" s="521"/>
      <c r="D372" s="521"/>
      <c r="E372" s="521"/>
      <c r="Y372" s="521"/>
      <c r="AA372" s="6"/>
      <c r="AB372" s="369"/>
      <c r="AC372" s="521"/>
      <c r="AD372" s="521"/>
      <c r="AE372" s="521"/>
      <c r="AH372" s="521"/>
      <c r="AI372" s="521"/>
      <c r="AJ372" s="521"/>
      <c r="AK372" s="521"/>
      <c r="AN372" s="521"/>
      <c r="AO372" s="521"/>
      <c r="AP372" s="521"/>
      <c r="AQ372" s="521"/>
    </row>
    <row r="373" spans="2:43" s="196" customFormat="1">
      <c r="B373" s="521"/>
      <c r="C373" s="521"/>
      <c r="D373" s="521"/>
      <c r="E373" s="521"/>
      <c r="Y373" s="521"/>
      <c r="AA373" s="6"/>
      <c r="AB373" s="369"/>
      <c r="AC373" s="521"/>
      <c r="AD373" s="521"/>
      <c r="AE373" s="521"/>
      <c r="AH373" s="521"/>
      <c r="AI373" s="521"/>
      <c r="AJ373" s="521"/>
      <c r="AK373" s="521"/>
      <c r="AN373" s="521"/>
      <c r="AO373" s="521"/>
      <c r="AP373" s="521"/>
      <c r="AQ373" s="521"/>
    </row>
    <row r="374" spans="2:43" s="196" customFormat="1">
      <c r="B374" s="521"/>
      <c r="C374" s="521"/>
      <c r="D374" s="521"/>
      <c r="E374" s="521"/>
      <c r="Y374" s="521"/>
      <c r="AA374" s="6"/>
      <c r="AB374" s="369"/>
      <c r="AC374" s="521"/>
      <c r="AD374" s="521"/>
      <c r="AE374" s="521"/>
      <c r="AH374" s="521"/>
      <c r="AI374" s="521"/>
      <c r="AJ374" s="521"/>
      <c r="AK374" s="521"/>
      <c r="AN374" s="521"/>
      <c r="AO374" s="521"/>
      <c r="AP374" s="521"/>
      <c r="AQ374" s="521"/>
    </row>
    <row r="375" spans="2:43" s="196" customFormat="1">
      <c r="B375" s="521"/>
      <c r="C375" s="521"/>
      <c r="D375" s="521"/>
      <c r="E375" s="521"/>
      <c r="Y375" s="521"/>
      <c r="AA375" s="6"/>
      <c r="AB375" s="369"/>
      <c r="AC375" s="521"/>
      <c r="AD375" s="521"/>
      <c r="AE375" s="521"/>
      <c r="AH375" s="521"/>
      <c r="AI375" s="521"/>
      <c r="AJ375" s="521"/>
      <c r="AK375" s="521"/>
      <c r="AN375" s="521"/>
      <c r="AO375" s="521"/>
      <c r="AP375" s="521"/>
      <c r="AQ375" s="521"/>
    </row>
    <row r="376" spans="2:43" s="196" customFormat="1">
      <c r="B376" s="521"/>
      <c r="C376" s="521"/>
      <c r="D376" s="521"/>
      <c r="E376" s="521"/>
      <c r="Y376" s="521"/>
      <c r="AA376" s="6"/>
      <c r="AB376" s="369"/>
      <c r="AC376" s="521"/>
      <c r="AD376" s="521"/>
      <c r="AE376" s="521"/>
      <c r="AH376" s="521"/>
      <c r="AI376" s="521"/>
      <c r="AJ376" s="521"/>
      <c r="AK376" s="521"/>
      <c r="AN376" s="521"/>
      <c r="AO376" s="521"/>
      <c r="AP376" s="521"/>
      <c r="AQ376" s="521"/>
    </row>
    <row r="377" spans="2:43" s="196" customFormat="1">
      <c r="B377" s="521"/>
      <c r="C377" s="521"/>
      <c r="D377" s="521"/>
      <c r="E377" s="521"/>
      <c r="Y377" s="521"/>
      <c r="AA377" s="6"/>
      <c r="AB377" s="369"/>
      <c r="AC377" s="521"/>
      <c r="AD377" s="521"/>
      <c r="AE377" s="521"/>
      <c r="AH377" s="521"/>
      <c r="AI377" s="521"/>
      <c r="AJ377" s="521"/>
      <c r="AK377" s="521"/>
      <c r="AN377" s="521"/>
      <c r="AO377" s="521"/>
      <c r="AP377" s="521"/>
      <c r="AQ377" s="521"/>
    </row>
    <row r="378" spans="2:43" s="196" customFormat="1">
      <c r="B378" s="521"/>
      <c r="C378" s="521"/>
      <c r="D378" s="521"/>
      <c r="E378" s="521"/>
      <c r="Y378" s="521"/>
      <c r="AA378" s="6"/>
      <c r="AB378" s="369"/>
      <c r="AC378" s="521"/>
      <c r="AD378" s="521"/>
      <c r="AE378" s="521"/>
      <c r="AH378" s="521"/>
      <c r="AI378" s="521"/>
      <c r="AJ378" s="521"/>
      <c r="AK378" s="521"/>
      <c r="AN378" s="521"/>
      <c r="AO378" s="521"/>
      <c r="AP378" s="521"/>
      <c r="AQ378" s="521"/>
    </row>
    <row r="379" spans="2:43" s="196" customFormat="1">
      <c r="B379" s="521"/>
      <c r="C379" s="521"/>
      <c r="D379" s="521"/>
      <c r="E379" s="521"/>
      <c r="Y379" s="521"/>
      <c r="AA379" s="6"/>
      <c r="AB379" s="369"/>
      <c r="AC379" s="521"/>
      <c r="AD379" s="521"/>
      <c r="AE379" s="521"/>
      <c r="AH379" s="521"/>
      <c r="AI379" s="521"/>
      <c r="AJ379" s="521"/>
      <c r="AK379" s="521"/>
      <c r="AN379" s="521"/>
      <c r="AO379" s="521"/>
      <c r="AP379" s="521"/>
      <c r="AQ379" s="521"/>
    </row>
    <row r="380" spans="2:43" s="196" customFormat="1">
      <c r="B380" s="521"/>
      <c r="C380" s="521"/>
      <c r="D380" s="521"/>
      <c r="E380" s="521"/>
      <c r="Y380" s="521"/>
      <c r="AA380" s="6"/>
      <c r="AB380" s="369"/>
      <c r="AC380" s="521"/>
      <c r="AD380" s="521"/>
      <c r="AE380" s="521"/>
      <c r="AH380" s="521"/>
      <c r="AI380" s="521"/>
      <c r="AJ380" s="521"/>
      <c r="AK380" s="521"/>
      <c r="AN380" s="521"/>
      <c r="AO380" s="521"/>
      <c r="AP380" s="521"/>
      <c r="AQ380" s="521"/>
    </row>
    <row r="381" spans="2:43" s="196" customFormat="1">
      <c r="B381" s="521"/>
      <c r="C381" s="521"/>
      <c r="D381" s="521"/>
      <c r="E381" s="521"/>
      <c r="Y381" s="521"/>
      <c r="AA381" s="6"/>
      <c r="AB381" s="369"/>
      <c r="AC381" s="521"/>
      <c r="AD381" s="521"/>
      <c r="AE381" s="521"/>
      <c r="AH381" s="521"/>
      <c r="AI381" s="521"/>
      <c r="AJ381" s="521"/>
      <c r="AK381" s="521"/>
      <c r="AN381" s="521"/>
      <c r="AO381" s="521"/>
      <c r="AP381" s="521"/>
      <c r="AQ381" s="521"/>
    </row>
    <row r="382" spans="2:43" s="196" customFormat="1">
      <c r="B382" s="521"/>
      <c r="C382" s="521"/>
      <c r="D382" s="521"/>
      <c r="E382" s="521"/>
      <c r="Y382" s="521"/>
      <c r="AA382" s="6"/>
      <c r="AB382" s="369"/>
      <c r="AC382" s="521"/>
      <c r="AD382" s="521"/>
      <c r="AE382" s="521"/>
      <c r="AH382" s="521"/>
      <c r="AI382" s="521"/>
      <c r="AJ382" s="521"/>
      <c r="AK382" s="521"/>
      <c r="AN382" s="521"/>
      <c r="AO382" s="521"/>
      <c r="AP382" s="521"/>
      <c r="AQ382" s="521"/>
    </row>
    <row r="383" spans="2:43" s="196" customFormat="1">
      <c r="B383" s="521"/>
      <c r="C383" s="521"/>
      <c r="D383" s="521"/>
      <c r="E383" s="521"/>
      <c r="Y383" s="521"/>
      <c r="AA383" s="6"/>
      <c r="AB383" s="369"/>
      <c r="AC383" s="521"/>
      <c r="AD383" s="521"/>
      <c r="AE383" s="521"/>
      <c r="AH383" s="521"/>
      <c r="AI383" s="521"/>
      <c r="AJ383" s="521"/>
      <c r="AK383" s="521"/>
      <c r="AN383" s="521"/>
      <c r="AO383" s="521"/>
      <c r="AP383" s="521"/>
      <c r="AQ383" s="521"/>
    </row>
    <row r="384" spans="2:43" s="196" customFormat="1">
      <c r="B384" s="521"/>
      <c r="C384" s="521"/>
      <c r="D384" s="521"/>
      <c r="E384" s="521"/>
      <c r="Y384" s="521"/>
      <c r="AA384" s="6"/>
      <c r="AB384" s="369"/>
      <c r="AC384" s="521"/>
      <c r="AD384" s="521"/>
      <c r="AE384" s="521"/>
      <c r="AH384" s="521"/>
      <c r="AI384" s="521"/>
      <c r="AJ384" s="521"/>
      <c r="AK384" s="521"/>
      <c r="AN384" s="521"/>
      <c r="AO384" s="521"/>
      <c r="AP384" s="521"/>
      <c r="AQ384" s="521"/>
    </row>
    <row r="385" spans="2:43" s="196" customFormat="1">
      <c r="B385" s="521"/>
      <c r="C385" s="521"/>
      <c r="D385" s="521"/>
      <c r="E385" s="521"/>
      <c r="Y385" s="521"/>
      <c r="AA385" s="6"/>
      <c r="AB385" s="369"/>
      <c r="AC385" s="521"/>
      <c r="AD385" s="521"/>
      <c r="AE385" s="521"/>
      <c r="AH385" s="521"/>
      <c r="AI385" s="521"/>
      <c r="AJ385" s="521"/>
      <c r="AK385" s="521"/>
      <c r="AN385" s="521"/>
      <c r="AO385" s="521"/>
      <c r="AP385" s="521"/>
      <c r="AQ385" s="521"/>
    </row>
    <row r="386" spans="2:43" s="196" customFormat="1">
      <c r="B386" s="521"/>
      <c r="C386" s="521"/>
      <c r="D386" s="521"/>
      <c r="E386" s="521"/>
      <c r="Y386" s="521"/>
      <c r="AA386" s="6"/>
      <c r="AB386" s="369"/>
      <c r="AC386" s="521"/>
      <c r="AD386" s="521"/>
      <c r="AE386" s="521"/>
      <c r="AH386" s="521"/>
      <c r="AI386" s="521"/>
      <c r="AJ386" s="521"/>
      <c r="AK386" s="521"/>
      <c r="AN386" s="521"/>
      <c r="AO386" s="521"/>
      <c r="AP386" s="521"/>
      <c r="AQ386" s="521"/>
    </row>
    <row r="387" spans="2:43" s="196" customFormat="1">
      <c r="B387" s="521"/>
      <c r="C387" s="521"/>
      <c r="D387" s="521"/>
      <c r="E387" s="521"/>
      <c r="Y387" s="521"/>
      <c r="AA387" s="6"/>
      <c r="AB387" s="369"/>
      <c r="AC387" s="521"/>
      <c r="AD387" s="521"/>
      <c r="AE387" s="521"/>
      <c r="AH387" s="521"/>
      <c r="AI387" s="521"/>
      <c r="AJ387" s="521"/>
      <c r="AK387" s="521"/>
      <c r="AN387" s="521"/>
      <c r="AO387" s="521"/>
      <c r="AP387" s="521"/>
      <c r="AQ387" s="521"/>
    </row>
    <row r="388" spans="2:43" s="196" customFormat="1">
      <c r="B388" s="521"/>
      <c r="C388" s="521"/>
      <c r="D388" s="521"/>
      <c r="E388" s="521"/>
      <c r="Y388" s="521"/>
      <c r="AA388" s="6"/>
      <c r="AB388" s="369"/>
      <c r="AC388" s="521"/>
      <c r="AD388" s="521"/>
      <c r="AE388" s="521"/>
      <c r="AH388" s="521"/>
      <c r="AI388" s="521"/>
      <c r="AJ388" s="521"/>
      <c r="AK388" s="521"/>
      <c r="AN388" s="521"/>
      <c r="AO388" s="521"/>
      <c r="AP388" s="521"/>
      <c r="AQ388" s="521"/>
    </row>
    <row r="389" spans="2:43" s="196" customFormat="1">
      <c r="B389" s="521"/>
      <c r="C389" s="521"/>
      <c r="D389" s="521"/>
      <c r="E389" s="521"/>
      <c r="Y389" s="521"/>
      <c r="AA389" s="6"/>
      <c r="AB389" s="369"/>
      <c r="AC389" s="521"/>
      <c r="AD389" s="521"/>
      <c r="AE389" s="521"/>
      <c r="AH389" s="521"/>
      <c r="AI389" s="521"/>
      <c r="AJ389" s="521"/>
      <c r="AK389" s="521"/>
      <c r="AN389" s="521"/>
      <c r="AO389" s="521"/>
      <c r="AP389" s="521"/>
      <c r="AQ389" s="521"/>
    </row>
    <row r="390" spans="2:43" s="196" customFormat="1">
      <c r="B390" s="521"/>
      <c r="C390" s="521"/>
      <c r="D390" s="521"/>
      <c r="E390" s="521"/>
      <c r="Y390" s="521"/>
      <c r="AA390" s="6"/>
      <c r="AB390" s="369"/>
      <c r="AC390" s="521"/>
      <c r="AD390" s="521"/>
      <c r="AE390" s="521"/>
      <c r="AH390" s="521"/>
      <c r="AI390" s="521"/>
      <c r="AJ390" s="521"/>
      <c r="AK390" s="521"/>
      <c r="AN390" s="521"/>
      <c r="AO390" s="521"/>
      <c r="AP390" s="521"/>
      <c r="AQ390" s="521"/>
    </row>
    <row r="391" spans="2:43" s="196" customFormat="1">
      <c r="B391" s="521"/>
      <c r="C391" s="521"/>
      <c r="D391" s="521"/>
      <c r="E391" s="521"/>
      <c r="Y391" s="521"/>
      <c r="AA391" s="6"/>
      <c r="AB391" s="369"/>
      <c r="AC391" s="521"/>
      <c r="AD391" s="521"/>
      <c r="AE391" s="521"/>
      <c r="AH391" s="521"/>
      <c r="AI391" s="521"/>
      <c r="AJ391" s="521"/>
      <c r="AK391" s="521"/>
      <c r="AN391" s="521"/>
      <c r="AO391" s="521"/>
      <c r="AP391" s="521"/>
      <c r="AQ391" s="521"/>
    </row>
    <row r="392" spans="2:43" s="196" customFormat="1">
      <c r="B392" s="521"/>
      <c r="C392" s="521"/>
      <c r="D392" s="521"/>
      <c r="E392" s="521"/>
      <c r="Y392" s="521"/>
      <c r="AA392" s="6"/>
      <c r="AB392" s="369"/>
      <c r="AC392" s="521"/>
      <c r="AD392" s="521"/>
      <c r="AE392" s="521"/>
      <c r="AH392" s="521"/>
      <c r="AI392" s="521"/>
      <c r="AJ392" s="521"/>
      <c r="AK392" s="521"/>
      <c r="AN392" s="521"/>
      <c r="AO392" s="521"/>
      <c r="AP392" s="521"/>
      <c r="AQ392" s="521"/>
    </row>
    <row r="393" spans="2:43" s="196" customFormat="1">
      <c r="B393" s="521"/>
      <c r="C393" s="521"/>
      <c r="D393" s="521"/>
      <c r="E393" s="521"/>
      <c r="Y393" s="521"/>
      <c r="AA393" s="6"/>
      <c r="AB393" s="369"/>
      <c r="AC393" s="521"/>
      <c r="AD393" s="521"/>
      <c r="AE393" s="521"/>
      <c r="AH393" s="521"/>
      <c r="AI393" s="521"/>
      <c r="AJ393" s="521"/>
      <c r="AK393" s="521"/>
      <c r="AN393" s="521"/>
      <c r="AO393" s="521"/>
      <c r="AP393" s="521"/>
      <c r="AQ393" s="521"/>
    </row>
    <row r="394" spans="2:43" s="196" customFormat="1">
      <c r="B394" s="521"/>
      <c r="C394" s="521"/>
      <c r="D394" s="521"/>
      <c r="E394" s="521"/>
      <c r="Y394" s="521"/>
      <c r="AA394" s="6"/>
      <c r="AB394" s="369"/>
      <c r="AC394" s="521"/>
      <c r="AD394" s="521"/>
      <c r="AE394" s="521"/>
      <c r="AH394" s="521"/>
      <c r="AI394" s="521"/>
      <c r="AJ394" s="521"/>
      <c r="AK394" s="521"/>
      <c r="AN394" s="521"/>
      <c r="AO394" s="521"/>
      <c r="AP394" s="521"/>
      <c r="AQ394" s="521"/>
    </row>
    <row r="395" spans="2:43" s="196" customFormat="1">
      <c r="B395" s="521"/>
      <c r="C395" s="521"/>
      <c r="D395" s="521"/>
      <c r="E395" s="521"/>
      <c r="Y395" s="521"/>
      <c r="AA395" s="6"/>
      <c r="AB395" s="369"/>
      <c r="AC395" s="521"/>
      <c r="AD395" s="521"/>
      <c r="AE395" s="521"/>
      <c r="AH395" s="521"/>
      <c r="AI395" s="521"/>
      <c r="AJ395" s="521"/>
      <c r="AK395" s="521"/>
      <c r="AN395" s="521"/>
      <c r="AO395" s="521"/>
      <c r="AP395" s="521"/>
      <c r="AQ395" s="521"/>
    </row>
    <row r="396" spans="2:43" s="196" customFormat="1">
      <c r="B396" s="521"/>
      <c r="C396" s="521"/>
      <c r="D396" s="521"/>
      <c r="E396" s="521"/>
      <c r="Y396" s="521"/>
      <c r="AA396" s="6"/>
      <c r="AB396" s="369"/>
      <c r="AC396" s="521"/>
      <c r="AD396" s="521"/>
      <c r="AE396" s="521"/>
      <c r="AH396" s="521"/>
      <c r="AI396" s="521"/>
      <c r="AJ396" s="521"/>
      <c r="AK396" s="521"/>
      <c r="AN396" s="521"/>
      <c r="AO396" s="521"/>
      <c r="AP396" s="521"/>
      <c r="AQ396" s="521"/>
    </row>
    <row r="397" spans="2:43" s="196" customFormat="1">
      <c r="B397" s="521"/>
      <c r="C397" s="521"/>
      <c r="D397" s="521"/>
      <c r="E397" s="521"/>
      <c r="Y397" s="521"/>
      <c r="AA397" s="6"/>
      <c r="AB397" s="369"/>
      <c r="AC397" s="521"/>
      <c r="AD397" s="521"/>
      <c r="AE397" s="521"/>
      <c r="AH397" s="521"/>
      <c r="AI397" s="521"/>
      <c r="AJ397" s="521"/>
      <c r="AK397" s="521"/>
      <c r="AN397" s="521"/>
      <c r="AO397" s="521"/>
      <c r="AP397" s="521"/>
      <c r="AQ397" s="521"/>
    </row>
    <row r="398" spans="2:43" s="196" customFormat="1">
      <c r="B398" s="521"/>
      <c r="C398" s="521"/>
      <c r="D398" s="521"/>
      <c r="E398" s="521"/>
      <c r="Y398" s="521"/>
      <c r="AA398" s="6"/>
      <c r="AB398" s="369"/>
      <c r="AC398" s="521"/>
      <c r="AD398" s="521"/>
      <c r="AE398" s="521"/>
      <c r="AH398" s="521"/>
      <c r="AI398" s="521"/>
      <c r="AJ398" s="521"/>
      <c r="AK398" s="521"/>
      <c r="AN398" s="521"/>
      <c r="AO398" s="521"/>
      <c r="AP398" s="521"/>
      <c r="AQ398" s="521"/>
    </row>
    <row r="399" spans="2:43" s="196" customFormat="1">
      <c r="B399" s="521"/>
      <c r="C399" s="521"/>
      <c r="D399" s="521"/>
      <c r="E399" s="521"/>
      <c r="Y399" s="521"/>
      <c r="AA399" s="6"/>
      <c r="AB399" s="369"/>
      <c r="AC399" s="521"/>
      <c r="AD399" s="521"/>
      <c r="AE399" s="521"/>
      <c r="AH399" s="521"/>
      <c r="AI399" s="521"/>
      <c r="AJ399" s="521"/>
      <c r="AK399" s="521"/>
      <c r="AN399" s="521"/>
      <c r="AO399" s="521"/>
      <c r="AP399" s="521"/>
      <c r="AQ399" s="521"/>
    </row>
    <row r="400" spans="2:43" s="196" customFormat="1">
      <c r="B400" s="521"/>
      <c r="C400" s="521"/>
      <c r="D400" s="521"/>
      <c r="E400" s="521"/>
      <c r="Y400" s="521"/>
      <c r="AA400" s="6"/>
      <c r="AB400" s="369"/>
      <c r="AC400" s="521"/>
      <c r="AD400" s="521"/>
      <c r="AE400" s="521"/>
      <c r="AH400" s="521"/>
      <c r="AI400" s="521"/>
      <c r="AJ400" s="521"/>
      <c r="AK400" s="521"/>
      <c r="AN400" s="521"/>
      <c r="AO400" s="521"/>
      <c r="AP400" s="521"/>
      <c r="AQ400" s="521"/>
    </row>
    <row r="401" spans="2:43" s="196" customFormat="1">
      <c r="B401" s="521"/>
      <c r="C401" s="521"/>
      <c r="D401" s="521"/>
      <c r="E401" s="521"/>
      <c r="Y401" s="521"/>
      <c r="AA401" s="6"/>
      <c r="AB401" s="369"/>
      <c r="AC401" s="521"/>
      <c r="AD401" s="521"/>
      <c r="AE401" s="521"/>
      <c r="AH401" s="521"/>
      <c r="AI401" s="521"/>
      <c r="AJ401" s="521"/>
      <c r="AK401" s="521"/>
      <c r="AN401" s="521"/>
      <c r="AO401" s="521"/>
      <c r="AP401" s="521"/>
      <c r="AQ401" s="521"/>
    </row>
    <row r="402" spans="2:43" s="196" customFormat="1">
      <c r="B402" s="521"/>
      <c r="C402" s="521"/>
      <c r="D402" s="521"/>
      <c r="E402" s="521"/>
      <c r="Y402" s="521"/>
      <c r="AA402" s="6"/>
      <c r="AB402" s="369"/>
      <c r="AC402" s="521"/>
      <c r="AD402" s="521"/>
      <c r="AE402" s="521"/>
      <c r="AH402" s="521"/>
      <c r="AI402" s="521"/>
      <c r="AJ402" s="521"/>
      <c r="AK402" s="521"/>
      <c r="AN402" s="521"/>
      <c r="AO402" s="521"/>
      <c r="AP402" s="521"/>
      <c r="AQ402" s="521"/>
    </row>
    <row r="403" spans="2:43" s="196" customFormat="1">
      <c r="B403" s="521"/>
      <c r="C403" s="521"/>
      <c r="D403" s="521"/>
      <c r="E403" s="521"/>
      <c r="Y403" s="521"/>
      <c r="AA403" s="6"/>
      <c r="AB403" s="369"/>
      <c r="AC403" s="521"/>
      <c r="AD403" s="521"/>
      <c r="AE403" s="521"/>
      <c r="AH403" s="521"/>
      <c r="AI403" s="521"/>
      <c r="AJ403" s="521"/>
      <c r="AK403" s="521"/>
      <c r="AN403" s="521"/>
      <c r="AO403" s="521"/>
      <c r="AP403" s="521"/>
      <c r="AQ403" s="521"/>
    </row>
    <row r="404" spans="2:43" s="196" customFormat="1">
      <c r="B404" s="521"/>
      <c r="C404" s="521"/>
      <c r="D404" s="521"/>
      <c r="E404" s="521"/>
      <c r="Y404" s="521"/>
      <c r="AA404" s="6"/>
      <c r="AB404" s="369"/>
      <c r="AC404" s="521"/>
      <c r="AD404" s="521"/>
      <c r="AE404" s="521"/>
      <c r="AH404" s="521"/>
      <c r="AI404" s="521"/>
      <c r="AJ404" s="521"/>
      <c r="AK404" s="521"/>
      <c r="AN404" s="521"/>
      <c r="AO404" s="521"/>
      <c r="AP404" s="521"/>
      <c r="AQ404" s="521"/>
    </row>
    <row r="405" spans="2:43" s="196" customFormat="1">
      <c r="B405" s="521"/>
      <c r="C405" s="521"/>
      <c r="D405" s="521"/>
      <c r="E405" s="521"/>
      <c r="Y405" s="521"/>
      <c r="AA405" s="6"/>
      <c r="AB405" s="369"/>
      <c r="AC405" s="521"/>
      <c r="AD405" s="521"/>
      <c r="AE405" s="521"/>
      <c r="AH405" s="521"/>
      <c r="AI405" s="521"/>
      <c r="AJ405" s="521"/>
      <c r="AK405" s="521"/>
      <c r="AN405" s="521"/>
      <c r="AO405" s="521"/>
      <c r="AP405" s="521"/>
      <c r="AQ405" s="521"/>
    </row>
    <row r="406" spans="2:43" s="196" customFormat="1">
      <c r="B406" s="521"/>
      <c r="C406" s="521"/>
      <c r="D406" s="521"/>
      <c r="E406" s="521"/>
      <c r="Y406" s="521"/>
      <c r="AA406" s="6"/>
      <c r="AB406" s="369"/>
      <c r="AC406" s="521"/>
      <c r="AD406" s="521"/>
      <c r="AE406" s="521"/>
      <c r="AH406" s="521"/>
      <c r="AI406" s="521"/>
      <c r="AJ406" s="521"/>
      <c r="AK406" s="521"/>
      <c r="AN406" s="521"/>
      <c r="AO406" s="521"/>
      <c r="AP406" s="521"/>
      <c r="AQ406" s="521"/>
    </row>
    <row r="407" spans="2:43" s="196" customFormat="1">
      <c r="B407" s="521"/>
      <c r="C407" s="521"/>
      <c r="D407" s="521"/>
      <c r="E407" s="521"/>
      <c r="Y407" s="521"/>
      <c r="AA407" s="6"/>
      <c r="AB407" s="369"/>
      <c r="AC407" s="521"/>
      <c r="AD407" s="521"/>
      <c r="AE407" s="521"/>
      <c r="AH407" s="521"/>
      <c r="AI407" s="521"/>
      <c r="AJ407" s="521"/>
      <c r="AK407" s="521"/>
      <c r="AN407" s="521"/>
      <c r="AO407" s="521"/>
      <c r="AP407" s="521"/>
      <c r="AQ407" s="521"/>
    </row>
    <row r="408" spans="2:43" s="196" customFormat="1">
      <c r="B408" s="521"/>
      <c r="C408" s="521"/>
      <c r="D408" s="521"/>
      <c r="E408" s="521"/>
      <c r="Y408" s="521"/>
      <c r="AA408" s="6"/>
      <c r="AB408" s="369"/>
      <c r="AC408" s="521"/>
      <c r="AD408" s="521"/>
      <c r="AE408" s="521"/>
      <c r="AH408" s="521"/>
      <c r="AI408" s="521"/>
      <c r="AJ408" s="521"/>
      <c r="AK408" s="521"/>
      <c r="AN408" s="521"/>
      <c r="AO408" s="521"/>
      <c r="AP408" s="521"/>
      <c r="AQ408" s="521"/>
    </row>
    <row r="409" spans="2:43" s="196" customFormat="1">
      <c r="B409" s="521"/>
      <c r="C409" s="521"/>
      <c r="D409" s="521"/>
      <c r="E409" s="521"/>
      <c r="Y409" s="521"/>
      <c r="AA409" s="6"/>
      <c r="AB409" s="369"/>
      <c r="AC409" s="521"/>
      <c r="AD409" s="521"/>
      <c r="AE409" s="521"/>
      <c r="AH409" s="521"/>
      <c r="AI409" s="521"/>
      <c r="AJ409" s="521"/>
      <c r="AK409" s="521"/>
      <c r="AN409" s="521"/>
      <c r="AO409" s="521"/>
      <c r="AP409" s="521"/>
      <c r="AQ409" s="521"/>
    </row>
    <row r="410" spans="2:43" s="196" customFormat="1">
      <c r="B410" s="521"/>
      <c r="C410" s="521"/>
      <c r="D410" s="521"/>
      <c r="E410" s="521"/>
      <c r="Y410" s="521"/>
      <c r="AA410" s="6"/>
      <c r="AB410" s="369"/>
      <c r="AC410" s="521"/>
      <c r="AD410" s="521"/>
      <c r="AE410" s="521"/>
      <c r="AH410" s="521"/>
      <c r="AI410" s="521"/>
      <c r="AJ410" s="521"/>
      <c r="AK410" s="521"/>
      <c r="AN410" s="521"/>
      <c r="AO410" s="521"/>
      <c r="AP410" s="521"/>
      <c r="AQ410" s="521"/>
    </row>
    <row r="411" spans="2:43" s="196" customFormat="1">
      <c r="B411" s="521"/>
      <c r="C411" s="521"/>
      <c r="D411" s="521"/>
      <c r="E411" s="521"/>
      <c r="Y411" s="521"/>
      <c r="AA411" s="6"/>
      <c r="AB411" s="369"/>
      <c r="AC411" s="521"/>
      <c r="AD411" s="521"/>
      <c r="AE411" s="521"/>
      <c r="AH411" s="521"/>
      <c r="AI411" s="521"/>
      <c r="AJ411" s="521"/>
      <c r="AK411" s="521"/>
      <c r="AN411" s="521"/>
      <c r="AO411" s="521"/>
      <c r="AP411" s="521"/>
      <c r="AQ411" s="521"/>
    </row>
    <row r="412" spans="2:43" s="196" customFormat="1">
      <c r="B412" s="521"/>
      <c r="C412" s="521"/>
      <c r="D412" s="521"/>
      <c r="E412" s="521"/>
      <c r="Y412" s="521"/>
      <c r="AA412" s="6"/>
      <c r="AB412" s="369"/>
      <c r="AC412" s="521"/>
      <c r="AD412" s="521"/>
      <c r="AE412" s="521"/>
      <c r="AH412" s="521"/>
      <c r="AI412" s="521"/>
      <c r="AJ412" s="521"/>
      <c r="AK412" s="521"/>
      <c r="AN412" s="521"/>
      <c r="AO412" s="521"/>
      <c r="AP412" s="521"/>
      <c r="AQ412" s="521"/>
    </row>
    <row r="413" spans="2:43" s="196" customFormat="1">
      <c r="B413" s="521"/>
      <c r="C413" s="521"/>
      <c r="D413" s="521"/>
      <c r="E413" s="521"/>
      <c r="Y413" s="521"/>
      <c r="AA413" s="6"/>
      <c r="AB413" s="369"/>
      <c r="AC413" s="521"/>
      <c r="AD413" s="521"/>
      <c r="AE413" s="521"/>
      <c r="AH413" s="521"/>
      <c r="AI413" s="521"/>
      <c r="AJ413" s="521"/>
      <c r="AK413" s="521"/>
      <c r="AN413" s="521"/>
      <c r="AO413" s="521"/>
      <c r="AP413" s="521"/>
      <c r="AQ413" s="521"/>
    </row>
    <row r="414" spans="2:43" s="196" customFormat="1">
      <c r="B414" s="521"/>
      <c r="C414" s="521"/>
      <c r="D414" s="521"/>
      <c r="E414" s="521"/>
      <c r="Y414" s="521"/>
      <c r="AA414" s="6"/>
      <c r="AB414" s="369"/>
      <c r="AC414" s="521"/>
      <c r="AD414" s="521"/>
      <c r="AE414" s="521"/>
      <c r="AH414" s="521"/>
      <c r="AI414" s="521"/>
      <c r="AJ414" s="521"/>
      <c r="AK414" s="521"/>
      <c r="AN414" s="521"/>
      <c r="AO414" s="521"/>
      <c r="AP414" s="521"/>
      <c r="AQ414" s="521"/>
    </row>
    <row r="415" spans="2:43" s="196" customFormat="1">
      <c r="B415" s="521"/>
      <c r="C415" s="521"/>
      <c r="D415" s="521"/>
      <c r="E415" s="521"/>
      <c r="Y415" s="521"/>
      <c r="AA415" s="6"/>
      <c r="AB415" s="369"/>
      <c r="AC415" s="521"/>
      <c r="AD415" s="521"/>
      <c r="AE415" s="521"/>
      <c r="AH415" s="521"/>
      <c r="AI415" s="521"/>
      <c r="AJ415" s="521"/>
      <c r="AK415" s="521"/>
      <c r="AN415" s="521"/>
      <c r="AO415" s="521"/>
      <c r="AP415" s="521"/>
      <c r="AQ415" s="521"/>
    </row>
    <row r="416" spans="2:43" s="196" customFormat="1">
      <c r="B416" s="521"/>
      <c r="C416" s="521"/>
      <c r="D416" s="521"/>
      <c r="E416" s="521"/>
      <c r="Y416" s="521"/>
      <c r="AA416" s="6"/>
      <c r="AB416" s="369"/>
      <c r="AC416" s="521"/>
      <c r="AD416" s="521"/>
      <c r="AE416" s="521"/>
      <c r="AH416" s="521"/>
      <c r="AI416" s="521"/>
      <c r="AJ416" s="521"/>
      <c r="AK416" s="521"/>
      <c r="AN416" s="521"/>
      <c r="AO416" s="521"/>
      <c r="AP416" s="521"/>
      <c r="AQ416" s="521"/>
    </row>
    <row r="417" spans="2:43" s="196" customFormat="1">
      <c r="B417" s="521"/>
      <c r="C417" s="521"/>
      <c r="D417" s="521"/>
      <c r="E417" s="521"/>
      <c r="Y417" s="521"/>
      <c r="AA417" s="6"/>
      <c r="AB417" s="369"/>
      <c r="AC417" s="521"/>
      <c r="AD417" s="521"/>
      <c r="AE417" s="521"/>
      <c r="AH417" s="521"/>
      <c r="AI417" s="521"/>
      <c r="AJ417" s="521"/>
      <c r="AK417" s="521"/>
      <c r="AN417" s="521"/>
      <c r="AO417" s="521"/>
      <c r="AP417" s="521"/>
      <c r="AQ417" s="521"/>
    </row>
    <row r="418" spans="2:43" s="196" customFormat="1">
      <c r="B418" s="521"/>
      <c r="C418" s="521"/>
      <c r="D418" s="521"/>
      <c r="E418" s="521"/>
      <c r="Y418" s="521"/>
      <c r="AA418" s="6"/>
      <c r="AB418" s="369"/>
      <c r="AC418" s="521"/>
      <c r="AD418" s="521"/>
      <c r="AE418" s="521"/>
      <c r="AH418" s="521"/>
      <c r="AI418" s="521"/>
      <c r="AJ418" s="521"/>
      <c r="AK418" s="521"/>
      <c r="AN418" s="521"/>
      <c r="AO418" s="521"/>
      <c r="AP418" s="521"/>
      <c r="AQ418" s="521"/>
    </row>
    <row r="419" spans="2:43" s="196" customFormat="1">
      <c r="B419" s="521"/>
      <c r="C419" s="521"/>
      <c r="D419" s="521"/>
      <c r="E419" s="521"/>
      <c r="Y419" s="521"/>
      <c r="AA419" s="6"/>
      <c r="AB419" s="369"/>
      <c r="AC419" s="521"/>
      <c r="AD419" s="521"/>
      <c r="AE419" s="521"/>
      <c r="AH419" s="521"/>
      <c r="AI419" s="521"/>
      <c r="AJ419" s="521"/>
      <c r="AK419" s="521"/>
      <c r="AN419" s="521"/>
      <c r="AO419" s="521"/>
      <c r="AP419" s="521"/>
      <c r="AQ419" s="521"/>
    </row>
    <row r="420" spans="2:43" s="196" customFormat="1">
      <c r="B420" s="521"/>
      <c r="C420" s="521"/>
      <c r="D420" s="521"/>
      <c r="E420" s="521"/>
      <c r="Y420" s="521"/>
      <c r="AA420" s="6"/>
      <c r="AB420" s="369"/>
      <c r="AC420" s="521"/>
      <c r="AD420" s="521"/>
      <c r="AE420" s="521"/>
      <c r="AH420" s="521"/>
      <c r="AI420" s="521"/>
      <c r="AJ420" s="521"/>
      <c r="AK420" s="521"/>
      <c r="AN420" s="521"/>
      <c r="AO420" s="521"/>
      <c r="AP420" s="521"/>
      <c r="AQ420" s="521"/>
    </row>
    <row r="421" spans="2:43" s="196" customFormat="1">
      <c r="B421" s="521"/>
      <c r="C421" s="521"/>
      <c r="D421" s="521"/>
      <c r="E421" s="521"/>
      <c r="Y421" s="521"/>
      <c r="AA421" s="6"/>
      <c r="AB421" s="369"/>
      <c r="AC421" s="521"/>
      <c r="AD421" s="521"/>
      <c r="AE421" s="521"/>
      <c r="AH421" s="521"/>
      <c r="AI421" s="521"/>
      <c r="AJ421" s="521"/>
      <c r="AK421" s="521"/>
      <c r="AN421" s="521"/>
      <c r="AO421" s="521"/>
      <c r="AP421" s="521"/>
      <c r="AQ421" s="521"/>
    </row>
    <row r="422" spans="2:43" s="196" customFormat="1">
      <c r="B422" s="521"/>
      <c r="C422" s="521"/>
      <c r="D422" s="521"/>
      <c r="E422" s="521"/>
      <c r="Y422" s="521"/>
      <c r="AA422" s="6"/>
      <c r="AB422" s="369"/>
      <c r="AC422" s="521"/>
      <c r="AD422" s="521"/>
      <c r="AE422" s="521"/>
      <c r="AH422" s="521"/>
      <c r="AI422" s="521"/>
      <c r="AJ422" s="521"/>
      <c r="AK422" s="521"/>
      <c r="AN422" s="521"/>
      <c r="AO422" s="521"/>
      <c r="AP422" s="521"/>
      <c r="AQ422" s="521"/>
    </row>
    <row r="423" spans="2:43" s="196" customFormat="1">
      <c r="B423" s="521"/>
      <c r="C423" s="521"/>
      <c r="D423" s="521"/>
      <c r="E423" s="521"/>
      <c r="Y423" s="521"/>
      <c r="AA423" s="6"/>
      <c r="AB423" s="369"/>
      <c r="AC423" s="521"/>
      <c r="AD423" s="521"/>
      <c r="AE423" s="521"/>
      <c r="AH423" s="521"/>
      <c r="AI423" s="521"/>
      <c r="AJ423" s="521"/>
      <c r="AK423" s="521"/>
      <c r="AN423" s="521"/>
      <c r="AO423" s="521"/>
      <c r="AP423" s="521"/>
      <c r="AQ423" s="521"/>
    </row>
    <row r="424" spans="2:43" s="196" customFormat="1">
      <c r="B424" s="521"/>
      <c r="C424" s="521"/>
      <c r="D424" s="521"/>
      <c r="E424" s="521"/>
      <c r="Y424" s="521"/>
      <c r="AA424" s="6"/>
      <c r="AB424" s="369"/>
      <c r="AC424" s="521"/>
      <c r="AD424" s="521"/>
      <c r="AE424" s="521"/>
      <c r="AH424" s="521"/>
      <c r="AI424" s="521"/>
      <c r="AJ424" s="521"/>
      <c r="AK424" s="521"/>
      <c r="AN424" s="521"/>
      <c r="AO424" s="521"/>
      <c r="AP424" s="521"/>
      <c r="AQ424" s="521"/>
    </row>
    <row r="425" spans="2:43" s="196" customFormat="1">
      <c r="B425" s="521"/>
      <c r="C425" s="521"/>
      <c r="D425" s="521"/>
      <c r="E425" s="521"/>
      <c r="Y425" s="521"/>
      <c r="AA425" s="6"/>
      <c r="AB425" s="369"/>
      <c r="AC425" s="521"/>
      <c r="AD425" s="521"/>
      <c r="AE425" s="521"/>
      <c r="AH425" s="521"/>
      <c r="AI425" s="521"/>
      <c r="AJ425" s="521"/>
      <c r="AK425" s="521"/>
      <c r="AN425" s="521"/>
      <c r="AO425" s="521"/>
      <c r="AP425" s="521"/>
      <c r="AQ425" s="521"/>
    </row>
    <row r="426" spans="2:43" s="196" customFormat="1">
      <c r="B426" s="521"/>
      <c r="C426" s="521"/>
      <c r="D426" s="521"/>
      <c r="E426" s="521"/>
      <c r="Y426" s="521"/>
      <c r="AA426" s="6"/>
      <c r="AB426" s="369"/>
      <c r="AC426" s="521"/>
      <c r="AD426" s="521"/>
      <c r="AE426" s="521"/>
      <c r="AH426" s="521"/>
      <c r="AI426" s="521"/>
      <c r="AJ426" s="521"/>
      <c r="AK426" s="521"/>
      <c r="AN426" s="521"/>
      <c r="AO426" s="521"/>
      <c r="AP426" s="521"/>
      <c r="AQ426" s="521"/>
    </row>
    <row r="427" spans="2:43" s="196" customFormat="1">
      <c r="B427" s="521"/>
      <c r="C427" s="521"/>
      <c r="D427" s="521"/>
      <c r="E427" s="521"/>
      <c r="Y427" s="521"/>
      <c r="AA427" s="6"/>
      <c r="AB427" s="369"/>
      <c r="AC427" s="521"/>
      <c r="AD427" s="521"/>
      <c r="AE427" s="521"/>
      <c r="AH427" s="521"/>
      <c r="AI427" s="521"/>
      <c r="AJ427" s="521"/>
      <c r="AK427" s="521"/>
      <c r="AN427" s="521"/>
      <c r="AO427" s="521"/>
      <c r="AP427" s="521"/>
      <c r="AQ427" s="521"/>
    </row>
    <row r="428" spans="2:43" s="196" customFormat="1">
      <c r="B428" s="521"/>
      <c r="C428" s="521"/>
      <c r="D428" s="521"/>
      <c r="E428" s="521"/>
      <c r="Y428" s="521"/>
      <c r="AA428" s="6"/>
      <c r="AB428" s="369"/>
      <c r="AC428" s="521"/>
      <c r="AD428" s="521"/>
      <c r="AE428" s="521"/>
      <c r="AH428" s="521"/>
      <c r="AI428" s="521"/>
      <c r="AJ428" s="521"/>
      <c r="AK428" s="521"/>
      <c r="AN428" s="521"/>
      <c r="AO428" s="521"/>
      <c r="AP428" s="521"/>
      <c r="AQ428" s="521"/>
    </row>
    <row r="429" spans="2:43" s="196" customFormat="1">
      <c r="B429" s="521"/>
      <c r="C429" s="521"/>
      <c r="D429" s="521"/>
      <c r="E429" s="521"/>
      <c r="Y429" s="521"/>
      <c r="AA429" s="6"/>
      <c r="AB429" s="369"/>
      <c r="AC429" s="521"/>
      <c r="AD429" s="521"/>
      <c r="AE429" s="521"/>
      <c r="AH429" s="521"/>
      <c r="AI429" s="521"/>
      <c r="AJ429" s="521"/>
      <c r="AK429" s="521"/>
      <c r="AN429" s="521"/>
      <c r="AO429" s="521"/>
      <c r="AP429" s="521"/>
      <c r="AQ429" s="521"/>
    </row>
    <row r="430" spans="2:43" s="196" customFormat="1">
      <c r="B430" s="521"/>
      <c r="C430" s="521"/>
      <c r="D430" s="521"/>
      <c r="E430" s="521"/>
      <c r="Y430" s="521"/>
      <c r="AA430" s="6"/>
      <c r="AB430" s="369"/>
      <c r="AC430" s="521"/>
      <c r="AD430" s="521"/>
      <c r="AE430" s="521"/>
      <c r="AH430" s="521"/>
      <c r="AI430" s="521"/>
      <c r="AJ430" s="521"/>
      <c r="AK430" s="521"/>
      <c r="AN430" s="521"/>
      <c r="AO430" s="521"/>
      <c r="AP430" s="521"/>
      <c r="AQ430" s="521"/>
    </row>
    <row r="431" spans="2:43" s="196" customFormat="1">
      <c r="B431" s="521"/>
      <c r="C431" s="521"/>
      <c r="D431" s="521"/>
      <c r="E431" s="521"/>
      <c r="Y431" s="521"/>
      <c r="AA431" s="6"/>
      <c r="AB431" s="369"/>
      <c r="AC431" s="521"/>
      <c r="AD431" s="521"/>
      <c r="AE431" s="521"/>
      <c r="AH431" s="521"/>
      <c r="AI431" s="521"/>
      <c r="AJ431" s="521"/>
      <c r="AK431" s="521"/>
      <c r="AN431" s="521"/>
      <c r="AO431" s="521"/>
      <c r="AP431" s="521"/>
      <c r="AQ431" s="521"/>
    </row>
    <row r="432" spans="2:43" s="196" customFormat="1">
      <c r="B432" s="521"/>
      <c r="C432" s="521"/>
      <c r="D432" s="521"/>
      <c r="E432" s="521"/>
      <c r="Y432" s="521"/>
      <c r="AA432" s="6"/>
      <c r="AB432" s="369"/>
      <c r="AC432" s="521"/>
      <c r="AD432" s="521"/>
      <c r="AE432" s="521"/>
      <c r="AH432" s="521"/>
      <c r="AI432" s="521"/>
      <c r="AJ432" s="521"/>
      <c r="AK432" s="521"/>
      <c r="AN432" s="521"/>
      <c r="AO432" s="521"/>
      <c r="AP432" s="521"/>
      <c r="AQ432" s="521"/>
    </row>
    <row r="433" spans="2:43" s="196" customFormat="1">
      <c r="B433" s="521"/>
      <c r="C433" s="521"/>
      <c r="D433" s="521"/>
      <c r="E433" s="521"/>
      <c r="Y433" s="521"/>
      <c r="AA433" s="6"/>
      <c r="AB433" s="369"/>
      <c r="AC433" s="521"/>
      <c r="AD433" s="521"/>
      <c r="AE433" s="521"/>
      <c r="AH433" s="521"/>
      <c r="AI433" s="521"/>
      <c r="AJ433" s="521"/>
      <c r="AK433" s="521"/>
      <c r="AN433" s="521"/>
      <c r="AO433" s="521"/>
      <c r="AP433" s="521"/>
      <c r="AQ433" s="521"/>
    </row>
    <row r="434" spans="2:43" s="196" customFormat="1">
      <c r="B434" s="521"/>
      <c r="C434" s="521"/>
      <c r="D434" s="521"/>
      <c r="E434" s="521"/>
      <c r="Y434" s="521"/>
      <c r="AA434" s="6"/>
      <c r="AB434" s="369"/>
      <c r="AC434" s="521"/>
      <c r="AD434" s="521"/>
      <c r="AE434" s="521"/>
      <c r="AH434" s="521"/>
      <c r="AI434" s="521"/>
      <c r="AJ434" s="521"/>
      <c r="AK434" s="521"/>
      <c r="AN434" s="521"/>
      <c r="AO434" s="521"/>
      <c r="AP434" s="521"/>
      <c r="AQ434" s="521"/>
    </row>
    <row r="435" spans="2:43" s="196" customFormat="1">
      <c r="B435" s="521"/>
      <c r="C435" s="521"/>
      <c r="D435" s="521"/>
      <c r="E435" s="521"/>
      <c r="Y435" s="521"/>
      <c r="AA435" s="6"/>
      <c r="AB435" s="369"/>
      <c r="AC435" s="521"/>
      <c r="AD435" s="521"/>
      <c r="AE435" s="521"/>
      <c r="AH435" s="521"/>
      <c r="AI435" s="521"/>
      <c r="AJ435" s="521"/>
      <c r="AK435" s="521"/>
      <c r="AN435" s="521"/>
      <c r="AO435" s="521"/>
      <c r="AP435" s="521"/>
      <c r="AQ435" s="521"/>
    </row>
    <row r="436" spans="2:43" s="196" customFormat="1">
      <c r="B436" s="521"/>
      <c r="C436" s="521"/>
      <c r="D436" s="521"/>
      <c r="E436" s="521"/>
      <c r="Y436" s="521"/>
      <c r="AA436" s="6"/>
      <c r="AB436" s="369"/>
      <c r="AC436" s="521"/>
      <c r="AD436" s="521"/>
      <c r="AE436" s="521"/>
      <c r="AH436" s="521"/>
      <c r="AI436" s="521"/>
      <c r="AJ436" s="521"/>
      <c r="AK436" s="521"/>
      <c r="AN436" s="521"/>
      <c r="AO436" s="521"/>
      <c r="AP436" s="521"/>
      <c r="AQ436" s="521"/>
    </row>
    <row r="437" spans="2:43" s="196" customFormat="1">
      <c r="B437" s="521"/>
      <c r="C437" s="521"/>
      <c r="D437" s="521"/>
      <c r="E437" s="521"/>
      <c r="Y437" s="521"/>
      <c r="AA437" s="6"/>
      <c r="AB437" s="369"/>
      <c r="AC437" s="521"/>
      <c r="AD437" s="521"/>
      <c r="AE437" s="521"/>
      <c r="AH437" s="521"/>
      <c r="AI437" s="521"/>
      <c r="AJ437" s="521"/>
      <c r="AK437" s="521"/>
      <c r="AN437" s="521"/>
      <c r="AO437" s="521"/>
      <c r="AP437" s="521"/>
      <c r="AQ437" s="521"/>
    </row>
    <row r="438" spans="2:43" s="196" customFormat="1">
      <c r="B438" s="521"/>
      <c r="C438" s="521"/>
      <c r="D438" s="521"/>
      <c r="E438" s="521"/>
      <c r="Y438" s="521"/>
      <c r="AA438" s="6"/>
      <c r="AB438" s="369"/>
      <c r="AC438" s="521"/>
      <c r="AD438" s="521"/>
      <c r="AE438" s="521"/>
      <c r="AH438" s="521"/>
      <c r="AI438" s="521"/>
      <c r="AJ438" s="521"/>
      <c r="AK438" s="521"/>
      <c r="AN438" s="521"/>
      <c r="AO438" s="521"/>
      <c r="AP438" s="521"/>
      <c r="AQ438" s="521"/>
    </row>
    <row r="439" spans="2:43" s="196" customFormat="1">
      <c r="B439" s="521"/>
      <c r="C439" s="521"/>
      <c r="D439" s="521"/>
      <c r="E439" s="521"/>
      <c r="Y439" s="521"/>
      <c r="AA439" s="6"/>
      <c r="AB439" s="369"/>
      <c r="AC439" s="521"/>
      <c r="AD439" s="521"/>
      <c r="AE439" s="521"/>
      <c r="AH439" s="521"/>
      <c r="AI439" s="521"/>
      <c r="AJ439" s="521"/>
      <c r="AK439" s="521"/>
      <c r="AN439" s="521"/>
      <c r="AO439" s="521"/>
      <c r="AP439" s="521"/>
      <c r="AQ439" s="521"/>
    </row>
    <row r="440" spans="2:43" s="196" customFormat="1">
      <c r="B440" s="521"/>
      <c r="C440" s="521"/>
      <c r="D440" s="521"/>
      <c r="E440" s="521"/>
      <c r="Y440" s="521"/>
      <c r="AA440" s="6"/>
      <c r="AB440" s="369"/>
      <c r="AC440" s="521"/>
      <c r="AD440" s="521"/>
      <c r="AE440" s="521"/>
      <c r="AH440" s="521"/>
      <c r="AI440" s="521"/>
      <c r="AJ440" s="521"/>
      <c r="AK440" s="521"/>
      <c r="AN440" s="521"/>
      <c r="AO440" s="521"/>
      <c r="AP440" s="521"/>
      <c r="AQ440" s="521"/>
    </row>
    <row r="441" spans="2:43" s="196" customFormat="1">
      <c r="B441" s="521"/>
      <c r="C441" s="521"/>
      <c r="D441" s="521"/>
      <c r="E441" s="521"/>
      <c r="Y441" s="521"/>
      <c r="AA441" s="6"/>
      <c r="AB441" s="369"/>
      <c r="AC441" s="521"/>
      <c r="AD441" s="521"/>
      <c r="AE441" s="521"/>
      <c r="AH441" s="521"/>
      <c r="AI441" s="521"/>
      <c r="AJ441" s="521"/>
      <c r="AK441" s="521"/>
      <c r="AN441" s="521"/>
      <c r="AO441" s="521"/>
      <c r="AP441" s="521"/>
      <c r="AQ441" s="521"/>
    </row>
    <row r="442" spans="2:43" s="196" customFormat="1">
      <c r="B442" s="521"/>
      <c r="C442" s="521"/>
      <c r="D442" s="521"/>
      <c r="E442" s="521"/>
      <c r="Y442" s="521"/>
      <c r="AA442" s="6"/>
      <c r="AB442" s="369"/>
      <c r="AC442" s="521"/>
      <c r="AD442" s="521"/>
      <c r="AE442" s="521"/>
      <c r="AH442" s="521"/>
      <c r="AI442" s="521"/>
      <c r="AJ442" s="521"/>
      <c r="AK442" s="521"/>
      <c r="AN442" s="521"/>
      <c r="AO442" s="521"/>
      <c r="AP442" s="521"/>
      <c r="AQ442" s="521"/>
    </row>
    <row r="443" spans="2:43" s="196" customFormat="1">
      <c r="B443" s="521"/>
      <c r="C443" s="521"/>
      <c r="D443" s="521"/>
      <c r="E443" s="521"/>
      <c r="Y443" s="521"/>
      <c r="AA443" s="6"/>
      <c r="AB443" s="369"/>
      <c r="AC443" s="521"/>
      <c r="AD443" s="521"/>
      <c r="AE443" s="521"/>
      <c r="AH443" s="521"/>
      <c r="AI443" s="521"/>
      <c r="AJ443" s="521"/>
      <c r="AK443" s="521"/>
      <c r="AN443" s="521"/>
      <c r="AO443" s="521"/>
      <c r="AP443" s="521"/>
      <c r="AQ443" s="521"/>
    </row>
    <row r="444" spans="2:43" s="196" customFormat="1">
      <c r="B444" s="521"/>
      <c r="C444" s="521"/>
      <c r="D444" s="521"/>
      <c r="E444" s="521"/>
      <c r="Y444" s="521"/>
      <c r="AA444" s="6"/>
      <c r="AB444" s="369"/>
      <c r="AC444" s="521"/>
      <c r="AD444" s="521"/>
      <c r="AE444" s="521"/>
      <c r="AH444" s="521"/>
      <c r="AI444" s="521"/>
      <c r="AJ444" s="521"/>
      <c r="AK444" s="521"/>
      <c r="AN444" s="521"/>
      <c r="AO444" s="521"/>
      <c r="AP444" s="521"/>
      <c r="AQ444" s="521"/>
    </row>
    <row r="445" spans="2:43" s="196" customFormat="1">
      <c r="B445" s="521"/>
      <c r="C445" s="521"/>
      <c r="D445" s="521"/>
      <c r="E445" s="521"/>
      <c r="Y445" s="521"/>
      <c r="AA445" s="6"/>
      <c r="AB445" s="369"/>
      <c r="AC445" s="521"/>
      <c r="AD445" s="521"/>
      <c r="AE445" s="521"/>
      <c r="AH445" s="521"/>
      <c r="AI445" s="521"/>
      <c r="AJ445" s="521"/>
      <c r="AK445" s="521"/>
      <c r="AN445" s="521"/>
      <c r="AO445" s="521"/>
      <c r="AP445" s="521"/>
      <c r="AQ445" s="521"/>
    </row>
    <row r="446" spans="2:43" s="196" customFormat="1">
      <c r="B446" s="521"/>
      <c r="C446" s="521"/>
      <c r="D446" s="521"/>
      <c r="E446" s="521"/>
      <c r="Y446" s="521"/>
      <c r="AA446" s="6"/>
      <c r="AB446" s="369"/>
      <c r="AC446" s="521"/>
      <c r="AD446" s="521"/>
      <c r="AE446" s="521"/>
      <c r="AH446" s="521"/>
      <c r="AI446" s="521"/>
      <c r="AJ446" s="521"/>
      <c r="AK446" s="521"/>
      <c r="AN446" s="521"/>
      <c r="AO446" s="521"/>
      <c r="AP446" s="521"/>
      <c r="AQ446" s="521"/>
    </row>
    <row r="447" spans="2:43" s="196" customFormat="1">
      <c r="B447" s="521"/>
      <c r="C447" s="521"/>
      <c r="D447" s="521"/>
      <c r="E447" s="521"/>
      <c r="Y447" s="521"/>
      <c r="AA447" s="6"/>
      <c r="AB447" s="369"/>
      <c r="AC447" s="521"/>
      <c r="AD447" s="521"/>
      <c r="AE447" s="521"/>
      <c r="AH447" s="521"/>
      <c r="AI447" s="521"/>
      <c r="AJ447" s="521"/>
      <c r="AK447" s="521"/>
      <c r="AN447" s="521"/>
      <c r="AO447" s="521"/>
      <c r="AP447" s="521"/>
      <c r="AQ447" s="521"/>
    </row>
    <row r="448" spans="2:43" s="196" customFormat="1">
      <c r="B448" s="521"/>
      <c r="C448" s="521"/>
      <c r="D448" s="521"/>
      <c r="E448" s="521"/>
      <c r="Y448" s="521"/>
      <c r="AA448" s="6"/>
      <c r="AB448" s="369"/>
      <c r="AC448" s="521"/>
      <c r="AD448" s="521"/>
      <c r="AE448" s="521"/>
      <c r="AH448" s="521"/>
      <c r="AI448" s="521"/>
      <c r="AJ448" s="521"/>
      <c r="AK448" s="521"/>
      <c r="AN448" s="521"/>
      <c r="AO448" s="521"/>
      <c r="AP448" s="521"/>
      <c r="AQ448" s="521"/>
    </row>
    <row r="449" spans="2:43" s="196" customFormat="1">
      <c r="B449" s="521"/>
      <c r="C449" s="521"/>
      <c r="D449" s="521"/>
      <c r="E449" s="521"/>
      <c r="Y449" s="521"/>
      <c r="AA449" s="6"/>
      <c r="AB449" s="369"/>
      <c r="AC449" s="521"/>
      <c r="AD449" s="521"/>
      <c r="AE449" s="521"/>
      <c r="AH449" s="521"/>
      <c r="AI449" s="521"/>
      <c r="AJ449" s="521"/>
      <c r="AK449" s="521"/>
      <c r="AN449" s="521"/>
      <c r="AO449" s="521"/>
      <c r="AP449" s="521"/>
      <c r="AQ449" s="521"/>
    </row>
    <row r="450" spans="2:43" s="196" customFormat="1">
      <c r="B450" s="521"/>
      <c r="C450" s="521"/>
      <c r="D450" s="521"/>
      <c r="E450" s="521"/>
      <c r="Y450" s="521"/>
      <c r="AA450" s="6"/>
      <c r="AB450" s="369"/>
      <c r="AC450" s="521"/>
      <c r="AD450" s="521"/>
      <c r="AE450" s="521"/>
      <c r="AH450" s="521"/>
      <c r="AI450" s="521"/>
      <c r="AJ450" s="521"/>
      <c r="AK450" s="521"/>
      <c r="AN450" s="521"/>
      <c r="AO450" s="521"/>
      <c r="AP450" s="521"/>
      <c r="AQ450" s="521"/>
    </row>
    <row r="451" spans="2:43" s="196" customFormat="1">
      <c r="B451" s="521"/>
      <c r="C451" s="521"/>
      <c r="D451" s="521"/>
      <c r="E451" s="521"/>
      <c r="Y451" s="521"/>
      <c r="AA451" s="6"/>
      <c r="AB451" s="369"/>
      <c r="AC451" s="521"/>
      <c r="AD451" s="521"/>
      <c r="AE451" s="521"/>
      <c r="AH451" s="521"/>
      <c r="AI451" s="521"/>
      <c r="AJ451" s="521"/>
      <c r="AK451" s="521"/>
      <c r="AN451" s="521"/>
      <c r="AO451" s="521"/>
      <c r="AP451" s="521"/>
      <c r="AQ451" s="521"/>
    </row>
    <row r="452" spans="2:43" s="196" customFormat="1">
      <c r="B452" s="521"/>
      <c r="C452" s="521"/>
      <c r="D452" s="521"/>
      <c r="E452" s="521"/>
      <c r="Y452" s="521"/>
      <c r="AA452" s="6"/>
      <c r="AB452" s="369"/>
      <c r="AC452" s="521"/>
      <c r="AD452" s="521"/>
      <c r="AE452" s="521"/>
      <c r="AH452" s="521"/>
      <c r="AI452" s="521"/>
      <c r="AJ452" s="521"/>
      <c r="AK452" s="521"/>
      <c r="AN452" s="521"/>
      <c r="AO452" s="521"/>
      <c r="AP452" s="521"/>
      <c r="AQ452" s="521"/>
    </row>
    <row r="453" spans="2:43" s="196" customFormat="1">
      <c r="B453" s="521"/>
      <c r="C453" s="521"/>
      <c r="D453" s="521"/>
      <c r="E453" s="521"/>
      <c r="Y453" s="521"/>
      <c r="AA453" s="6"/>
      <c r="AB453" s="369"/>
      <c r="AC453" s="521"/>
      <c r="AD453" s="521"/>
      <c r="AE453" s="521"/>
      <c r="AH453" s="521"/>
      <c r="AI453" s="521"/>
      <c r="AJ453" s="521"/>
      <c r="AK453" s="521"/>
      <c r="AN453" s="521"/>
      <c r="AO453" s="521"/>
      <c r="AP453" s="521"/>
      <c r="AQ453" s="521"/>
    </row>
    <row r="454" spans="2:43" s="196" customFormat="1">
      <c r="B454" s="521"/>
      <c r="C454" s="521"/>
      <c r="D454" s="521"/>
      <c r="E454" s="521"/>
      <c r="Y454" s="521"/>
      <c r="AA454" s="6"/>
      <c r="AB454" s="369"/>
      <c r="AC454" s="521"/>
      <c r="AD454" s="521"/>
      <c r="AE454" s="521"/>
      <c r="AH454" s="521"/>
      <c r="AI454" s="521"/>
      <c r="AJ454" s="521"/>
      <c r="AK454" s="521"/>
      <c r="AN454" s="521"/>
      <c r="AO454" s="521"/>
      <c r="AP454" s="521"/>
      <c r="AQ454" s="521"/>
    </row>
    <row r="455" spans="2:43" s="196" customFormat="1">
      <c r="B455" s="521"/>
      <c r="C455" s="521"/>
      <c r="D455" s="521"/>
      <c r="E455" s="521"/>
      <c r="Y455" s="521"/>
      <c r="AA455" s="6"/>
      <c r="AB455" s="369"/>
      <c r="AC455" s="521"/>
      <c r="AD455" s="521"/>
      <c r="AE455" s="521"/>
      <c r="AH455" s="521"/>
      <c r="AI455" s="521"/>
      <c r="AJ455" s="521"/>
      <c r="AK455" s="521"/>
      <c r="AN455" s="521"/>
      <c r="AO455" s="521"/>
      <c r="AP455" s="521"/>
      <c r="AQ455" s="521"/>
    </row>
    <row r="456" spans="2:43" s="196" customFormat="1">
      <c r="B456" s="521"/>
      <c r="C456" s="521"/>
      <c r="D456" s="521"/>
      <c r="E456" s="521"/>
      <c r="Y456" s="521"/>
      <c r="AA456" s="6"/>
      <c r="AB456" s="369"/>
      <c r="AC456" s="521"/>
      <c r="AD456" s="521"/>
      <c r="AE456" s="521"/>
      <c r="AH456" s="521"/>
      <c r="AI456" s="521"/>
      <c r="AJ456" s="521"/>
      <c r="AK456" s="521"/>
      <c r="AN456" s="521"/>
      <c r="AO456" s="521"/>
      <c r="AP456" s="521"/>
      <c r="AQ456" s="521"/>
    </row>
    <row r="457" spans="2:43" s="196" customFormat="1">
      <c r="B457" s="521"/>
      <c r="C457" s="521"/>
      <c r="D457" s="521"/>
      <c r="E457" s="521"/>
      <c r="Y457" s="521"/>
      <c r="AA457" s="6"/>
      <c r="AB457" s="369"/>
      <c r="AC457" s="521"/>
      <c r="AD457" s="521"/>
      <c r="AE457" s="521"/>
      <c r="AH457" s="521"/>
      <c r="AI457" s="521"/>
      <c r="AJ457" s="521"/>
      <c r="AK457" s="521"/>
      <c r="AN457" s="521"/>
      <c r="AO457" s="521"/>
      <c r="AP457" s="521"/>
      <c r="AQ457" s="521"/>
    </row>
    <row r="458" spans="2:43" s="196" customFormat="1">
      <c r="B458" s="521"/>
      <c r="C458" s="521"/>
      <c r="D458" s="521"/>
      <c r="E458" s="521"/>
      <c r="Y458" s="521"/>
      <c r="AA458" s="6"/>
      <c r="AB458" s="369"/>
      <c r="AC458" s="521"/>
      <c r="AD458" s="521"/>
      <c r="AE458" s="521"/>
      <c r="AH458" s="521"/>
      <c r="AI458" s="521"/>
      <c r="AJ458" s="521"/>
      <c r="AK458" s="521"/>
      <c r="AN458" s="521"/>
      <c r="AO458" s="521"/>
      <c r="AP458" s="521"/>
      <c r="AQ458" s="521"/>
    </row>
    <row r="459" spans="2:43" s="196" customFormat="1">
      <c r="B459" s="521"/>
      <c r="C459" s="521"/>
      <c r="D459" s="521"/>
      <c r="E459" s="521"/>
      <c r="Y459" s="521"/>
      <c r="AA459" s="6"/>
      <c r="AB459" s="369"/>
      <c r="AC459" s="521"/>
      <c r="AD459" s="521"/>
      <c r="AE459" s="521"/>
      <c r="AH459" s="521"/>
      <c r="AI459" s="521"/>
      <c r="AJ459" s="521"/>
      <c r="AK459" s="521"/>
      <c r="AN459" s="521"/>
      <c r="AO459" s="521"/>
      <c r="AP459" s="521"/>
      <c r="AQ459" s="521"/>
    </row>
    <row r="460" spans="2:43" s="196" customFormat="1">
      <c r="B460" s="521"/>
      <c r="C460" s="521"/>
      <c r="D460" s="521"/>
      <c r="E460" s="521"/>
      <c r="Y460" s="521"/>
      <c r="AA460" s="6"/>
      <c r="AB460" s="369"/>
      <c r="AC460" s="521"/>
      <c r="AD460" s="521"/>
      <c r="AE460" s="521"/>
      <c r="AH460" s="521"/>
      <c r="AI460" s="521"/>
      <c r="AJ460" s="521"/>
      <c r="AK460" s="521"/>
      <c r="AN460" s="521"/>
      <c r="AO460" s="521"/>
      <c r="AP460" s="521"/>
      <c r="AQ460" s="521"/>
    </row>
    <row r="461" spans="2:43" s="196" customFormat="1">
      <c r="B461" s="521"/>
      <c r="C461" s="521"/>
      <c r="D461" s="521"/>
      <c r="E461" s="521"/>
      <c r="Y461" s="521"/>
      <c r="AA461" s="6"/>
      <c r="AB461" s="369"/>
      <c r="AC461" s="521"/>
      <c r="AD461" s="521"/>
      <c r="AE461" s="521"/>
      <c r="AH461" s="521"/>
      <c r="AI461" s="521"/>
      <c r="AJ461" s="521"/>
      <c r="AK461" s="521"/>
      <c r="AN461" s="521"/>
      <c r="AO461" s="521"/>
      <c r="AP461" s="521"/>
      <c r="AQ461" s="521"/>
    </row>
    <row r="462" spans="2:43" s="196" customFormat="1">
      <c r="B462" s="521"/>
      <c r="C462" s="521"/>
      <c r="D462" s="521"/>
      <c r="E462" s="521"/>
      <c r="Y462" s="521"/>
      <c r="AA462" s="6"/>
      <c r="AB462" s="369"/>
      <c r="AC462" s="521"/>
      <c r="AD462" s="521"/>
      <c r="AE462" s="521"/>
      <c r="AH462" s="521"/>
      <c r="AI462" s="521"/>
      <c r="AJ462" s="521"/>
      <c r="AK462" s="521"/>
      <c r="AN462" s="521"/>
      <c r="AO462" s="521"/>
      <c r="AP462" s="521"/>
      <c r="AQ462" s="521"/>
    </row>
    <row r="463" spans="2:43" s="196" customFormat="1">
      <c r="B463" s="521"/>
      <c r="C463" s="521"/>
      <c r="D463" s="521"/>
      <c r="E463" s="521"/>
      <c r="Y463" s="521"/>
      <c r="AA463" s="6"/>
      <c r="AB463" s="369"/>
      <c r="AC463" s="521"/>
      <c r="AD463" s="521"/>
      <c r="AE463" s="521"/>
      <c r="AH463" s="521"/>
      <c r="AI463" s="521"/>
      <c r="AJ463" s="521"/>
      <c r="AK463" s="521"/>
      <c r="AN463" s="521"/>
      <c r="AO463" s="521"/>
      <c r="AP463" s="521"/>
      <c r="AQ463" s="521"/>
    </row>
    <row r="464" spans="2:43" s="196" customFormat="1">
      <c r="B464" s="521"/>
      <c r="C464" s="521"/>
      <c r="D464" s="521"/>
      <c r="E464" s="521"/>
      <c r="Y464" s="521"/>
      <c r="AA464" s="6"/>
      <c r="AB464" s="369"/>
      <c r="AC464" s="521"/>
      <c r="AD464" s="521"/>
      <c r="AE464" s="521"/>
      <c r="AH464" s="521"/>
      <c r="AI464" s="521"/>
      <c r="AJ464" s="521"/>
      <c r="AK464" s="521"/>
      <c r="AN464" s="521"/>
      <c r="AO464" s="521"/>
      <c r="AP464" s="521"/>
      <c r="AQ464" s="521"/>
    </row>
    <row r="465" spans="2:43" s="196" customFormat="1">
      <c r="B465" s="521"/>
      <c r="C465" s="521"/>
      <c r="D465" s="521"/>
      <c r="E465" s="521"/>
      <c r="Y465" s="521"/>
      <c r="AA465" s="6"/>
      <c r="AB465" s="369"/>
      <c r="AC465" s="521"/>
      <c r="AD465" s="521"/>
      <c r="AE465" s="521"/>
      <c r="AH465" s="521"/>
      <c r="AI465" s="521"/>
      <c r="AJ465" s="521"/>
      <c r="AK465" s="521"/>
      <c r="AN465" s="521"/>
      <c r="AO465" s="521"/>
      <c r="AP465" s="521"/>
      <c r="AQ465" s="521"/>
    </row>
    <row r="466" spans="2:43" s="196" customFormat="1">
      <c r="B466" s="521"/>
      <c r="C466" s="521"/>
      <c r="D466" s="521"/>
      <c r="E466" s="521"/>
      <c r="Y466" s="521"/>
      <c r="AA466" s="6"/>
      <c r="AB466" s="369"/>
      <c r="AC466" s="521"/>
      <c r="AD466" s="521"/>
      <c r="AE466" s="521"/>
      <c r="AH466" s="521"/>
      <c r="AI466" s="521"/>
      <c r="AJ466" s="521"/>
      <c r="AK466" s="521"/>
      <c r="AN466" s="521"/>
      <c r="AO466" s="521"/>
      <c r="AP466" s="521"/>
      <c r="AQ466" s="521"/>
    </row>
    <row r="467" spans="2:43" s="196" customFormat="1">
      <c r="B467" s="521"/>
      <c r="C467" s="521"/>
      <c r="D467" s="521"/>
      <c r="E467" s="521"/>
      <c r="Y467" s="521"/>
      <c r="AA467" s="6"/>
      <c r="AB467" s="369"/>
      <c r="AC467" s="521"/>
      <c r="AD467" s="521"/>
      <c r="AE467" s="521"/>
      <c r="AH467" s="521"/>
      <c r="AI467" s="521"/>
      <c r="AJ467" s="521"/>
      <c r="AK467" s="521"/>
      <c r="AN467" s="521"/>
      <c r="AO467" s="521"/>
      <c r="AP467" s="521"/>
      <c r="AQ467" s="521"/>
    </row>
    <row r="468" spans="2:43" s="196" customFormat="1">
      <c r="B468" s="521"/>
      <c r="C468" s="521"/>
      <c r="D468" s="521"/>
      <c r="E468" s="521"/>
      <c r="Y468" s="521"/>
      <c r="AA468" s="6"/>
      <c r="AB468" s="369"/>
      <c r="AC468" s="521"/>
      <c r="AD468" s="521"/>
      <c r="AE468" s="521"/>
      <c r="AH468" s="521"/>
      <c r="AI468" s="521"/>
      <c r="AJ468" s="521"/>
      <c r="AK468" s="521"/>
      <c r="AN468" s="521"/>
      <c r="AO468" s="521"/>
      <c r="AP468" s="521"/>
      <c r="AQ468" s="521"/>
    </row>
    <row r="469" spans="2:43" s="196" customFormat="1">
      <c r="B469" s="521"/>
      <c r="C469" s="521"/>
      <c r="D469" s="521"/>
      <c r="E469" s="521"/>
      <c r="Y469" s="521"/>
      <c r="AA469" s="6"/>
      <c r="AB469" s="369"/>
      <c r="AC469" s="521"/>
      <c r="AD469" s="521"/>
      <c r="AE469" s="521"/>
      <c r="AH469" s="521"/>
      <c r="AI469" s="521"/>
      <c r="AJ469" s="521"/>
      <c r="AK469" s="521"/>
      <c r="AN469" s="521"/>
      <c r="AO469" s="521"/>
      <c r="AP469" s="521"/>
      <c r="AQ469" s="521"/>
    </row>
    <row r="470" spans="2:43" s="196" customFormat="1">
      <c r="B470" s="521"/>
      <c r="C470" s="521"/>
      <c r="D470" s="521"/>
      <c r="E470" s="521"/>
      <c r="Y470" s="521"/>
      <c r="AA470" s="6"/>
      <c r="AB470" s="369"/>
      <c r="AC470" s="521"/>
      <c r="AD470" s="521"/>
      <c r="AE470" s="521"/>
      <c r="AH470" s="521"/>
      <c r="AI470" s="521"/>
      <c r="AJ470" s="521"/>
      <c r="AK470" s="521"/>
      <c r="AN470" s="521"/>
      <c r="AO470" s="521"/>
      <c r="AP470" s="521"/>
      <c r="AQ470" s="521"/>
    </row>
    <row r="471" spans="2:43" s="196" customFormat="1">
      <c r="B471" s="521"/>
      <c r="C471" s="521"/>
      <c r="D471" s="521"/>
      <c r="E471" s="521"/>
      <c r="Y471" s="521"/>
      <c r="AA471" s="6"/>
      <c r="AB471" s="369"/>
      <c r="AC471" s="521"/>
      <c r="AD471" s="521"/>
      <c r="AE471" s="521"/>
      <c r="AH471" s="521"/>
      <c r="AI471" s="521"/>
      <c r="AJ471" s="521"/>
      <c r="AK471" s="521"/>
      <c r="AN471" s="521"/>
      <c r="AO471" s="521"/>
      <c r="AP471" s="521"/>
      <c r="AQ471" s="521"/>
    </row>
    <row r="472" spans="2:43" s="196" customFormat="1">
      <c r="B472" s="521"/>
      <c r="C472" s="521"/>
      <c r="D472" s="521"/>
      <c r="E472" s="521"/>
      <c r="Y472" s="521"/>
      <c r="AA472" s="6"/>
      <c r="AB472" s="369"/>
      <c r="AC472" s="521"/>
      <c r="AD472" s="521"/>
      <c r="AE472" s="521"/>
      <c r="AH472" s="521"/>
      <c r="AI472" s="521"/>
      <c r="AJ472" s="521"/>
      <c r="AK472" s="521"/>
      <c r="AN472" s="521"/>
      <c r="AO472" s="521"/>
      <c r="AP472" s="521"/>
      <c r="AQ472" s="521"/>
    </row>
    <row r="473" spans="2:43" s="196" customFormat="1">
      <c r="B473" s="521"/>
      <c r="C473" s="521"/>
      <c r="D473" s="521"/>
      <c r="E473" s="521"/>
      <c r="Y473" s="521"/>
      <c r="AA473" s="6"/>
      <c r="AB473" s="369"/>
      <c r="AC473" s="521"/>
      <c r="AD473" s="521"/>
      <c r="AE473" s="521"/>
      <c r="AH473" s="521"/>
      <c r="AI473" s="521"/>
      <c r="AJ473" s="521"/>
      <c r="AK473" s="521"/>
      <c r="AN473" s="521"/>
      <c r="AO473" s="521"/>
      <c r="AP473" s="521"/>
      <c r="AQ473" s="521"/>
    </row>
    <row r="474" spans="2:43" s="196" customFormat="1">
      <c r="B474" s="521"/>
      <c r="C474" s="521"/>
      <c r="D474" s="521"/>
      <c r="E474" s="521"/>
      <c r="Y474" s="521"/>
      <c r="AA474" s="6"/>
      <c r="AB474" s="369"/>
      <c r="AC474" s="521"/>
      <c r="AD474" s="521"/>
      <c r="AE474" s="521"/>
      <c r="AH474" s="521"/>
      <c r="AI474" s="521"/>
      <c r="AJ474" s="521"/>
      <c r="AK474" s="521"/>
      <c r="AN474" s="521"/>
      <c r="AO474" s="521"/>
      <c r="AP474" s="521"/>
      <c r="AQ474" s="521"/>
    </row>
    <row r="475" spans="2:43" s="196" customFormat="1">
      <c r="B475" s="521"/>
      <c r="C475" s="521"/>
      <c r="D475" s="521"/>
      <c r="E475" s="521"/>
      <c r="Y475" s="521"/>
      <c r="AA475" s="6"/>
      <c r="AB475" s="369"/>
      <c r="AC475" s="521"/>
      <c r="AD475" s="521"/>
      <c r="AE475" s="521"/>
      <c r="AH475" s="521"/>
      <c r="AI475" s="521"/>
      <c r="AJ475" s="521"/>
      <c r="AK475" s="521"/>
      <c r="AN475" s="521"/>
      <c r="AO475" s="521"/>
      <c r="AP475" s="521"/>
      <c r="AQ475" s="521"/>
    </row>
    <row r="476" spans="2:43" s="196" customFormat="1">
      <c r="B476" s="521"/>
      <c r="C476" s="521"/>
      <c r="D476" s="521"/>
      <c r="E476" s="521"/>
      <c r="Y476" s="521"/>
      <c r="AA476" s="6"/>
      <c r="AB476" s="369"/>
      <c r="AC476" s="521"/>
      <c r="AD476" s="521"/>
      <c r="AE476" s="521"/>
      <c r="AH476" s="521"/>
      <c r="AI476" s="521"/>
      <c r="AJ476" s="521"/>
      <c r="AK476" s="521"/>
      <c r="AN476" s="521"/>
      <c r="AO476" s="521"/>
      <c r="AP476" s="521"/>
      <c r="AQ476" s="521"/>
    </row>
    <row r="477" spans="2:43" s="196" customFormat="1">
      <c r="B477" s="521"/>
      <c r="C477" s="521"/>
      <c r="D477" s="521"/>
      <c r="E477" s="521"/>
      <c r="Y477" s="521"/>
      <c r="AA477" s="6"/>
      <c r="AB477" s="369"/>
      <c r="AC477" s="521"/>
      <c r="AD477" s="521"/>
      <c r="AE477" s="521"/>
      <c r="AH477" s="521"/>
      <c r="AI477" s="521"/>
      <c r="AJ477" s="521"/>
      <c r="AK477" s="521"/>
      <c r="AN477" s="521"/>
      <c r="AO477" s="521"/>
      <c r="AP477" s="521"/>
      <c r="AQ477" s="521"/>
    </row>
    <row r="478" spans="2:43" s="196" customFormat="1">
      <c r="B478" s="521"/>
      <c r="C478" s="521"/>
      <c r="D478" s="521"/>
      <c r="E478" s="521"/>
      <c r="Y478" s="521"/>
      <c r="AA478" s="6"/>
      <c r="AB478" s="369"/>
      <c r="AC478" s="521"/>
      <c r="AD478" s="521"/>
      <c r="AE478" s="521"/>
      <c r="AH478" s="521"/>
      <c r="AI478" s="521"/>
      <c r="AJ478" s="521"/>
      <c r="AK478" s="521"/>
      <c r="AN478" s="521"/>
      <c r="AO478" s="521"/>
      <c r="AP478" s="521"/>
      <c r="AQ478" s="521"/>
    </row>
    <row r="479" spans="2:43" s="196" customFormat="1">
      <c r="B479" s="521"/>
      <c r="C479" s="521"/>
      <c r="D479" s="521"/>
      <c r="E479" s="521"/>
      <c r="Y479" s="521"/>
      <c r="AA479" s="6"/>
      <c r="AB479" s="369"/>
      <c r="AC479" s="521"/>
      <c r="AD479" s="521"/>
      <c r="AE479" s="521"/>
      <c r="AH479" s="521"/>
      <c r="AI479" s="521"/>
      <c r="AJ479" s="521"/>
      <c r="AK479" s="521"/>
      <c r="AN479" s="521"/>
      <c r="AO479" s="521"/>
      <c r="AP479" s="521"/>
      <c r="AQ479" s="521"/>
    </row>
    <row r="480" spans="2:43" s="196" customFormat="1">
      <c r="B480" s="521"/>
      <c r="C480" s="521"/>
      <c r="D480" s="521"/>
      <c r="E480" s="521"/>
      <c r="Y480" s="521"/>
      <c r="AA480" s="6"/>
      <c r="AB480" s="369"/>
      <c r="AC480" s="521"/>
      <c r="AD480" s="521"/>
      <c r="AE480" s="521"/>
      <c r="AH480" s="521"/>
      <c r="AI480" s="521"/>
      <c r="AJ480" s="521"/>
      <c r="AK480" s="521"/>
      <c r="AN480" s="521"/>
      <c r="AO480" s="521"/>
      <c r="AP480" s="521"/>
      <c r="AQ480" s="521"/>
    </row>
    <row r="481" spans="2:43" s="196" customFormat="1">
      <c r="B481" s="521"/>
      <c r="C481" s="521"/>
      <c r="D481" s="521"/>
      <c r="E481" s="521"/>
      <c r="Y481" s="521"/>
      <c r="AA481" s="6"/>
      <c r="AB481" s="369"/>
      <c r="AC481" s="521"/>
      <c r="AD481" s="521"/>
      <c r="AE481" s="521"/>
      <c r="AH481" s="521"/>
      <c r="AI481" s="521"/>
      <c r="AJ481" s="521"/>
      <c r="AK481" s="521"/>
      <c r="AN481" s="521"/>
      <c r="AO481" s="521"/>
      <c r="AP481" s="521"/>
      <c r="AQ481" s="521"/>
    </row>
    <row r="482" spans="2:43" s="196" customFormat="1">
      <c r="B482" s="521"/>
      <c r="C482" s="521"/>
      <c r="D482" s="521"/>
      <c r="E482" s="521"/>
      <c r="Y482" s="521"/>
      <c r="AA482" s="6"/>
      <c r="AB482" s="369"/>
      <c r="AC482" s="521"/>
      <c r="AD482" s="521"/>
      <c r="AE482" s="521"/>
      <c r="AH482" s="521"/>
      <c r="AI482" s="521"/>
      <c r="AJ482" s="521"/>
      <c r="AK482" s="521"/>
      <c r="AN482" s="521"/>
      <c r="AO482" s="521"/>
      <c r="AP482" s="521"/>
      <c r="AQ482" s="521"/>
    </row>
    <row r="483" spans="2:43" s="196" customFormat="1">
      <c r="B483" s="521"/>
      <c r="C483" s="521"/>
      <c r="D483" s="521"/>
      <c r="E483" s="521"/>
      <c r="Y483" s="521"/>
      <c r="AA483" s="6"/>
      <c r="AB483" s="369"/>
      <c r="AC483" s="521"/>
      <c r="AD483" s="521"/>
      <c r="AE483" s="521"/>
      <c r="AH483" s="521"/>
      <c r="AI483" s="521"/>
      <c r="AJ483" s="521"/>
      <c r="AK483" s="521"/>
      <c r="AN483" s="521"/>
      <c r="AO483" s="521"/>
      <c r="AP483" s="521"/>
      <c r="AQ483" s="521"/>
    </row>
    <row r="484" spans="2:43" s="196" customFormat="1">
      <c r="B484" s="521"/>
      <c r="C484" s="521"/>
      <c r="D484" s="521"/>
      <c r="E484" s="521"/>
      <c r="Y484" s="521"/>
      <c r="AA484" s="6"/>
      <c r="AB484" s="369"/>
      <c r="AC484" s="521"/>
      <c r="AD484" s="521"/>
      <c r="AE484" s="521"/>
      <c r="AH484" s="521"/>
      <c r="AI484" s="521"/>
      <c r="AJ484" s="521"/>
      <c r="AK484" s="521"/>
      <c r="AN484" s="521"/>
      <c r="AO484" s="521"/>
      <c r="AP484" s="521"/>
      <c r="AQ484" s="521"/>
    </row>
    <row r="485" spans="2:43" s="196" customFormat="1">
      <c r="B485" s="521"/>
      <c r="C485" s="521"/>
      <c r="D485" s="521"/>
      <c r="E485" s="521"/>
      <c r="Y485" s="521"/>
      <c r="AA485" s="6"/>
      <c r="AB485" s="369"/>
      <c r="AC485" s="521"/>
      <c r="AD485" s="521"/>
      <c r="AE485" s="521"/>
      <c r="AH485" s="521"/>
      <c r="AI485" s="521"/>
      <c r="AJ485" s="521"/>
      <c r="AK485" s="521"/>
      <c r="AN485" s="521"/>
      <c r="AO485" s="521"/>
      <c r="AP485" s="521"/>
      <c r="AQ485" s="521"/>
    </row>
    <row r="486" spans="2:43" s="196" customFormat="1">
      <c r="B486" s="521"/>
      <c r="C486" s="521"/>
      <c r="D486" s="521"/>
      <c r="E486" s="521"/>
      <c r="Y486" s="521"/>
      <c r="AA486" s="6"/>
      <c r="AB486" s="369"/>
      <c r="AC486" s="521"/>
      <c r="AD486" s="521"/>
      <c r="AE486" s="521"/>
      <c r="AH486" s="521"/>
      <c r="AI486" s="521"/>
      <c r="AJ486" s="521"/>
      <c r="AK486" s="521"/>
      <c r="AN486" s="521"/>
      <c r="AO486" s="521"/>
      <c r="AP486" s="521"/>
      <c r="AQ486" s="521"/>
    </row>
    <row r="487" spans="2:43" s="196" customFormat="1">
      <c r="B487" s="521"/>
      <c r="C487" s="521"/>
      <c r="D487" s="521"/>
      <c r="E487" s="521"/>
      <c r="Y487" s="521"/>
      <c r="AA487" s="6"/>
      <c r="AB487" s="369"/>
      <c r="AC487" s="521"/>
      <c r="AD487" s="521"/>
      <c r="AE487" s="521"/>
      <c r="AH487" s="521"/>
      <c r="AI487" s="521"/>
      <c r="AJ487" s="521"/>
      <c r="AK487" s="521"/>
      <c r="AN487" s="521"/>
      <c r="AO487" s="521"/>
      <c r="AP487" s="521"/>
      <c r="AQ487" s="521"/>
    </row>
    <row r="488" spans="2:43" s="196" customFormat="1">
      <c r="B488" s="521"/>
      <c r="C488" s="521"/>
      <c r="D488" s="521"/>
      <c r="E488" s="521"/>
      <c r="Y488" s="521"/>
      <c r="AA488" s="6"/>
      <c r="AB488" s="369"/>
      <c r="AC488" s="521"/>
      <c r="AD488" s="521"/>
      <c r="AE488" s="521"/>
      <c r="AH488" s="521"/>
      <c r="AI488" s="521"/>
      <c r="AJ488" s="521"/>
      <c r="AK488" s="521"/>
      <c r="AN488" s="521"/>
      <c r="AO488" s="521"/>
      <c r="AP488" s="521"/>
      <c r="AQ488" s="521"/>
    </row>
    <row r="489" spans="2:43" s="196" customFormat="1">
      <c r="B489" s="521"/>
      <c r="C489" s="521"/>
      <c r="D489" s="521"/>
      <c r="E489" s="521"/>
      <c r="Y489" s="521"/>
      <c r="AA489" s="6"/>
      <c r="AB489" s="369"/>
      <c r="AC489" s="521"/>
      <c r="AD489" s="521"/>
      <c r="AE489" s="521"/>
      <c r="AH489" s="521"/>
      <c r="AI489" s="521"/>
      <c r="AJ489" s="521"/>
      <c r="AK489" s="521"/>
      <c r="AN489" s="521"/>
      <c r="AO489" s="521"/>
      <c r="AP489" s="521"/>
      <c r="AQ489" s="521"/>
    </row>
    <row r="490" spans="2:43" s="196" customFormat="1">
      <c r="B490" s="521"/>
      <c r="C490" s="521"/>
      <c r="D490" s="521"/>
      <c r="E490" s="521"/>
      <c r="Y490" s="521"/>
      <c r="AA490" s="6"/>
      <c r="AB490" s="369"/>
      <c r="AC490" s="521"/>
      <c r="AD490" s="521"/>
      <c r="AE490" s="521"/>
      <c r="AH490" s="521"/>
      <c r="AI490" s="521"/>
      <c r="AJ490" s="521"/>
      <c r="AK490" s="521"/>
      <c r="AN490" s="521"/>
      <c r="AO490" s="521"/>
      <c r="AP490" s="521"/>
      <c r="AQ490" s="521"/>
    </row>
    <row r="491" spans="2:43" s="196" customFormat="1">
      <c r="B491" s="521"/>
      <c r="C491" s="521"/>
      <c r="D491" s="521"/>
      <c r="E491" s="521"/>
      <c r="Y491" s="521"/>
      <c r="AA491" s="6"/>
      <c r="AB491" s="369"/>
      <c r="AC491" s="521"/>
      <c r="AD491" s="521"/>
      <c r="AE491" s="521"/>
      <c r="AH491" s="521"/>
      <c r="AI491" s="521"/>
      <c r="AJ491" s="521"/>
      <c r="AK491" s="521"/>
      <c r="AN491" s="521"/>
      <c r="AO491" s="521"/>
      <c r="AP491" s="521"/>
      <c r="AQ491" s="521"/>
    </row>
    <row r="492" spans="2:43" s="196" customFormat="1">
      <c r="B492" s="521"/>
      <c r="C492" s="521"/>
      <c r="D492" s="521"/>
      <c r="E492" s="521"/>
      <c r="Y492" s="521"/>
      <c r="AA492" s="6"/>
      <c r="AB492" s="369"/>
      <c r="AC492" s="521"/>
      <c r="AD492" s="521"/>
      <c r="AE492" s="521"/>
      <c r="AH492" s="521"/>
      <c r="AI492" s="521"/>
      <c r="AJ492" s="521"/>
      <c r="AK492" s="521"/>
      <c r="AN492" s="521"/>
      <c r="AO492" s="521"/>
      <c r="AP492" s="521"/>
      <c r="AQ492" s="521"/>
    </row>
    <row r="493" spans="2:43" s="196" customFormat="1">
      <c r="B493" s="521"/>
      <c r="C493" s="521"/>
      <c r="D493" s="521"/>
      <c r="E493" s="521"/>
      <c r="Y493" s="521"/>
      <c r="AA493" s="6"/>
      <c r="AB493" s="369"/>
      <c r="AC493" s="521"/>
      <c r="AD493" s="521"/>
      <c r="AE493" s="521"/>
      <c r="AH493" s="521"/>
      <c r="AI493" s="521"/>
      <c r="AJ493" s="521"/>
      <c r="AK493" s="521"/>
      <c r="AN493" s="521"/>
      <c r="AO493" s="521"/>
      <c r="AP493" s="521"/>
      <c r="AQ493" s="521"/>
    </row>
    <row r="494" spans="2:43" s="196" customFormat="1">
      <c r="B494" s="521"/>
      <c r="C494" s="521"/>
      <c r="D494" s="521"/>
      <c r="E494" s="521"/>
      <c r="Y494" s="521"/>
      <c r="AA494" s="6"/>
      <c r="AB494" s="369"/>
      <c r="AC494" s="521"/>
      <c r="AD494" s="521"/>
      <c r="AE494" s="521"/>
      <c r="AH494" s="521"/>
      <c r="AI494" s="521"/>
      <c r="AJ494" s="521"/>
      <c r="AK494" s="521"/>
      <c r="AN494" s="521"/>
      <c r="AO494" s="521"/>
      <c r="AP494" s="521"/>
      <c r="AQ494" s="521"/>
    </row>
    <row r="495" spans="2:43" s="196" customFormat="1">
      <c r="B495" s="521"/>
      <c r="C495" s="521"/>
      <c r="D495" s="521"/>
      <c r="E495" s="521"/>
      <c r="Y495" s="521"/>
      <c r="AA495" s="6"/>
      <c r="AB495" s="369"/>
      <c r="AC495" s="521"/>
      <c r="AD495" s="521"/>
      <c r="AE495" s="521"/>
      <c r="AH495" s="521"/>
      <c r="AI495" s="521"/>
      <c r="AJ495" s="521"/>
      <c r="AK495" s="521"/>
      <c r="AN495" s="521"/>
      <c r="AO495" s="521"/>
      <c r="AP495" s="521"/>
      <c r="AQ495" s="521"/>
    </row>
    <row r="496" spans="2:43" s="196" customFormat="1">
      <c r="B496" s="521"/>
      <c r="C496" s="521"/>
      <c r="D496" s="521"/>
      <c r="E496" s="521"/>
      <c r="Y496" s="521"/>
      <c r="AA496" s="6"/>
      <c r="AB496" s="369"/>
      <c r="AC496" s="521"/>
      <c r="AD496" s="521"/>
      <c r="AE496" s="521"/>
      <c r="AH496" s="521"/>
      <c r="AI496" s="521"/>
      <c r="AJ496" s="521"/>
      <c r="AK496" s="521"/>
      <c r="AN496" s="521"/>
      <c r="AO496" s="521"/>
      <c r="AP496" s="521"/>
      <c r="AQ496" s="521"/>
    </row>
    <row r="497" spans="2:43" s="196" customFormat="1">
      <c r="B497" s="521"/>
      <c r="C497" s="521"/>
      <c r="D497" s="521"/>
      <c r="E497" s="521"/>
      <c r="Y497" s="521"/>
      <c r="AA497" s="6"/>
      <c r="AB497" s="369"/>
      <c r="AC497" s="521"/>
      <c r="AD497" s="521"/>
      <c r="AE497" s="521"/>
      <c r="AH497" s="521"/>
      <c r="AI497" s="521"/>
      <c r="AJ497" s="521"/>
      <c r="AK497" s="521"/>
      <c r="AN497" s="521"/>
      <c r="AO497" s="521"/>
      <c r="AP497" s="521"/>
      <c r="AQ497" s="521"/>
    </row>
    <row r="498" spans="2:43" s="196" customFormat="1">
      <c r="B498" s="521"/>
      <c r="C498" s="521"/>
      <c r="D498" s="521"/>
      <c r="E498" s="521"/>
      <c r="Y498" s="521"/>
      <c r="AA498" s="6"/>
      <c r="AB498" s="369"/>
      <c r="AC498" s="521"/>
      <c r="AD498" s="521"/>
      <c r="AE498" s="521"/>
      <c r="AH498" s="521"/>
      <c r="AI498" s="521"/>
      <c r="AJ498" s="521"/>
      <c r="AK498" s="521"/>
      <c r="AN498" s="521"/>
      <c r="AO498" s="521"/>
      <c r="AP498" s="521"/>
      <c r="AQ498" s="521"/>
    </row>
    <row r="499" spans="2:43" s="196" customFormat="1">
      <c r="B499" s="521"/>
      <c r="C499" s="521"/>
      <c r="D499" s="521"/>
      <c r="E499" s="521"/>
      <c r="Y499" s="521"/>
      <c r="AA499" s="6"/>
      <c r="AB499" s="369"/>
      <c r="AC499" s="521"/>
      <c r="AD499" s="521"/>
      <c r="AE499" s="521"/>
      <c r="AH499" s="521"/>
      <c r="AI499" s="521"/>
      <c r="AJ499" s="521"/>
      <c r="AK499" s="521"/>
      <c r="AN499" s="521"/>
      <c r="AO499" s="521"/>
      <c r="AP499" s="521"/>
      <c r="AQ499" s="521"/>
    </row>
    <row r="500" spans="2:43" s="196" customFormat="1">
      <c r="B500" s="521"/>
      <c r="C500" s="521"/>
      <c r="D500" s="521"/>
      <c r="E500" s="521"/>
      <c r="Y500" s="521"/>
      <c r="AA500" s="6"/>
      <c r="AB500" s="369"/>
      <c r="AC500" s="521"/>
      <c r="AD500" s="521"/>
      <c r="AE500" s="521"/>
      <c r="AH500" s="521"/>
      <c r="AI500" s="521"/>
      <c r="AJ500" s="521"/>
      <c r="AK500" s="521"/>
      <c r="AN500" s="521"/>
      <c r="AO500" s="521"/>
      <c r="AP500" s="521"/>
      <c r="AQ500" s="521"/>
    </row>
    <row r="501" spans="2:43" s="196" customFormat="1">
      <c r="B501" s="521"/>
      <c r="C501" s="521"/>
      <c r="D501" s="521"/>
      <c r="E501" s="521"/>
      <c r="Y501" s="521"/>
      <c r="AA501" s="6"/>
      <c r="AB501" s="369"/>
      <c r="AC501" s="521"/>
      <c r="AD501" s="521"/>
      <c r="AE501" s="521"/>
      <c r="AH501" s="521"/>
      <c r="AI501" s="521"/>
      <c r="AJ501" s="521"/>
      <c r="AK501" s="521"/>
      <c r="AN501" s="521"/>
      <c r="AO501" s="521"/>
      <c r="AP501" s="521"/>
      <c r="AQ501" s="521"/>
    </row>
    <row r="502" spans="2:43" s="196" customFormat="1">
      <c r="B502" s="521"/>
      <c r="C502" s="521"/>
      <c r="D502" s="521"/>
      <c r="E502" s="521"/>
      <c r="Y502" s="521"/>
      <c r="AA502" s="6"/>
      <c r="AB502" s="369"/>
      <c r="AC502" s="521"/>
      <c r="AD502" s="521"/>
      <c r="AE502" s="521"/>
      <c r="AH502" s="521"/>
      <c r="AI502" s="521"/>
      <c r="AJ502" s="521"/>
      <c r="AK502" s="521"/>
      <c r="AN502" s="521"/>
      <c r="AO502" s="521"/>
      <c r="AP502" s="521"/>
      <c r="AQ502" s="521"/>
    </row>
    <row r="503" spans="2:43" s="196" customFormat="1">
      <c r="B503" s="521"/>
      <c r="C503" s="521"/>
      <c r="D503" s="521"/>
      <c r="E503" s="521"/>
      <c r="Y503" s="521"/>
      <c r="AA503" s="6"/>
      <c r="AB503" s="369"/>
      <c r="AC503" s="521"/>
      <c r="AD503" s="521"/>
      <c r="AE503" s="521"/>
      <c r="AH503" s="521"/>
      <c r="AI503" s="521"/>
      <c r="AJ503" s="521"/>
      <c r="AK503" s="521"/>
      <c r="AN503" s="521"/>
      <c r="AO503" s="521"/>
      <c r="AP503" s="521"/>
      <c r="AQ503" s="521"/>
    </row>
    <row r="504" spans="2:43" s="196" customFormat="1">
      <c r="B504" s="521"/>
      <c r="C504" s="521"/>
      <c r="D504" s="521"/>
      <c r="E504" s="521"/>
      <c r="Y504" s="521"/>
      <c r="AA504" s="6"/>
      <c r="AB504" s="369"/>
      <c r="AC504" s="521"/>
      <c r="AD504" s="521"/>
      <c r="AE504" s="521"/>
      <c r="AH504" s="521"/>
      <c r="AI504" s="521"/>
      <c r="AJ504" s="521"/>
      <c r="AK504" s="521"/>
      <c r="AN504" s="521"/>
      <c r="AO504" s="521"/>
      <c r="AP504" s="521"/>
      <c r="AQ504" s="521"/>
    </row>
    <row r="505" spans="2:43" s="196" customFormat="1">
      <c r="B505" s="521"/>
      <c r="C505" s="521"/>
      <c r="D505" s="521"/>
      <c r="E505" s="521"/>
      <c r="Y505" s="521"/>
      <c r="AA505" s="6"/>
      <c r="AB505" s="369"/>
      <c r="AC505" s="521"/>
      <c r="AD505" s="521"/>
      <c r="AE505" s="521"/>
      <c r="AH505" s="521"/>
      <c r="AI505" s="521"/>
      <c r="AJ505" s="521"/>
      <c r="AK505" s="521"/>
      <c r="AN505" s="521"/>
      <c r="AO505" s="521"/>
      <c r="AP505" s="521"/>
      <c r="AQ505" s="521"/>
    </row>
    <row r="506" spans="2:43" s="196" customFormat="1">
      <c r="B506" s="521"/>
      <c r="C506" s="521"/>
      <c r="D506" s="521"/>
      <c r="E506" s="521"/>
      <c r="Y506" s="521"/>
      <c r="AA506" s="6"/>
      <c r="AB506" s="369"/>
      <c r="AC506" s="521"/>
      <c r="AD506" s="521"/>
      <c r="AE506" s="521"/>
      <c r="AH506" s="521"/>
      <c r="AI506" s="521"/>
      <c r="AJ506" s="521"/>
      <c r="AK506" s="521"/>
      <c r="AN506" s="521"/>
      <c r="AO506" s="521"/>
      <c r="AP506" s="521"/>
      <c r="AQ506" s="521"/>
    </row>
    <row r="507" spans="2:43" s="196" customFormat="1">
      <c r="B507" s="521"/>
      <c r="C507" s="521"/>
      <c r="D507" s="521"/>
      <c r="E507" s="521"/>
      <c r="Y507" s="521"/>
      <c r="AA507" s="6"/>
      <c r="AB507" s="369"/>
      <c r="AC507" s="521"/>
      <c r="AD507" s="521"/>
      <c r="AE507" s="521"/>
      <c r="AH507" s="521"/>
      <c r="AI507" s="521"/>
      <c r="AJ507" s="521"/>
      <c r="AK507" s="521"/>
      <c r="AN507" s="521"/>
      <c r="AO507" s="521"/>
      <c r="AP507" s="521"/>
      <c r="AQ507" s="521"/>
    </row>
    <row r="508" spans="2:43" s="196" customFormat="1">
      <c r="B508" s="521"/>
      <c r="C508" s="521"/>
      <c r="D508" s="521"/>
      <c r="E508" s="521"/>
      <c r="Y508" s="521"/>
      <c r="AA508" s="6"/>
      <c r="AB508" s="369"/>
      <c r="AC508" s="521"/>
      <c r="AD508" s="521"/>
      <c r="AE508" s="521"/>
      <c r="AH508" s="521"/>
      <c r="AI508" s="521"/>
      <c r="AJ508" s="521"/>
      <c r="AK508" s="521"/>
      <c r="AN508" s="521"/>
      <c r="AO508" s="521"/>
      <c r="AP508" s="521"/>
      <c r="AQ508" s="521"/>
    </row>
    <row r="509" spans="2:43" s="196" customFormat="1">
      <c r="B509" s="521"/>
      <c r="C509" s="521"/>
      <c r="D509" s="521"/>
      <c r="E509" s="521"/>
      <c r="Y509" s="521"/>
      <c r="AA509" s="6"/>
      <c r="AB509" s="369"/>
      <c r="AC509" s="521"/>
      <c r="AD509" s="521"/>
      <c r="AE509" s="521"/>
      <c r="AH509" s="521"/>
      <c r="AI509" s="521"/>
      <c r="AJ509" s="521"/>
      <c r="AK509" s="521"/>
      <c r="AN509" s="521"/>
      <c r="AO509" s="521"/>
      <c r="AP509" s="521"/>
      <c r="AQ509" s="521"/>
    </row>
    <row r="510" spans="2:43" s="196" customFormat="1">
      <c r="B510" s="521"/>
      <c r="C510" s="521"/>
      <c r="D510" s="521"/>
      <c r="E510" s="521"/>
      <c r="Y510" s="521"/>
      <c r="AA510" s="6"/>
      <c r="AB510" s="369"/>
      <c r="AC510" s="521"/>
      <c r="AD510" s="521"/>
      <c r="AE510" s="521"/>
      <c r="AH510" s="521"/>
      <c r="AI510" s="521"/>
      <c r="AJ510" s="521"/>
      <c r="AK510" s="521"/>
      <c r="AN510" s="521"/>
      <c r="AO510" s="521"/>
      <c r="AP510" s="521"/>
      <c r="AQ510" s="521"/>
    </row>
    <row r="511" spans="2:43" s="196" customFormat="1">
      <c r="B511" s="521"/>
      <c r="C511" s="521"/>
      <c r="D511" s="521"/>
      <c r="E511" s="521"/>
      <c r="Y511" s="521"/>
      <c r="AA511" s="6"/>
      <c r="AB511" s="369"/>
      <c r="AC511" s="521"/>
      <c r="AD511" s="521"/>
      <c r="AE511" s="521"/>
      <c r="AH511" s="521"/>
      <c r="AI511" s="521"/>
      <c r="AJ511" s="521"/>
      <c r="AK511" s="521"/>
      <c r="AN511" s="521"/>
      <c r="AO511" s="521"/>
      <c r="AP511" s="521"/>
      <c r="AQ511" s="521"/>
    </row>
    <row r="512" spans="2:43" s="196" customFormat="1">
      <c r="B512" s="521"/>
      <c r="C512" s="521"/>
      <c r="D512" s="521"/>
      <c r="E512" s="521"/>
      <c r="Y512" s="521"/>
      <c r="AA512" s="6"/>
      <c r="AB512" s="369"/>
      <c r="AC512" s="521"/>
      <c r="AD512" s="521"/>
      <c r="AE512" s="521"/>
      <c r="AH512" s="521"/>
      <c r="AI512" s="521"/>
      <c r="AJ512" s="521"/>
      <c r="AK512" s="521"/>
      <c r="AN512" s="521"/>
      <c r="AO512" s="521"/>
      <c r="AP512" s="521"/>
      <c r="AQ512" s="521"/>
    </row>
    <row r="513" spans="2:43" s="196" customFormat="1">
      <c r="B513" s="521"/>
      <c r="C513" s="521"/>
      <c r="D513" s="521"/>
      <c r="E513" s="521"/>
      <c r="Y513" s="521"/>
      <c r="AA513" s="6"/>
      <c r="AB513" s="369"/>
      <c r="AC513" s="521"/>
      <c r="AD513" s="521"/>
      <c r="AE513" s="521"/>
      <c r="AH513" s="521"/>
      <c r="AI513" s="521"/>
      <c r="AJ513" s="521"/>
      <c r="AK513" s="521"/>
      <c r="AN513" s="521"/>
      <c r="AO513" s="521"/>
      <c r="AP513" s="521"/>
      <c r="AQ513" s="521"/>
    </row>
    <row r="514" spans="2:43" s="196" customFormat="1">
      <c r="B514" s="521"/>
      <c r="C514" s="521"/>
      <c r="D514" s="521"/>
      <c r="E514" s="521"/>
      <c r="Y514" s="521"/>
      <c r="AA514" s="6"/>
      <c r="AB514" s="369"/>
      <c r="AC514" s="521"/>
      <c r="AD514" s="521"/>
      <c r="AE514" s="521"/>
      <c r="AH514" s="521"/>
      <c r="AI514" s="521"/>
      <c r="AJ514" s="521"/>
      <c r="AK514" s="521"/>
      <c r="AN514" s="521"/>
      <c r="AO514" s="521"/>
      <c r="AP514" s="521"/>
      <c r="AQ514" s="521"/>
    </row>
    <row r="515" spans="2:43" s="196" customFormat="1">
      <c r="B515" s="521"/>
      <c r="C515" s="521"/>
      <c r="D515" s="521"/>
      <c r="E515" s="521"/>
      <c r="Y515" s="521"/>
      <c r="AA515" s="6"/>
      <c r="AB515" s="369"/>
      <c r="AC515" s="521"/>
      <c r="AD515" s="521"/>
      <c r="AE515" s="521"/>
      <c r="AH515" s="521"/>
      <c r="AI515" s="521"/>
      <c r="AJ515" s="521"/>
      <c r="AK515" s="521"/>
      <c r="AN515" s="521"/>
      <c r="AO515" s="521"/>
      <c r="AP515" s="521"/>
      <c r="AQ515" s="521"/>
    </row>
    <row r="516" spans="2:43" s="196" customFormat="1">
      <c r="B516" s="521"/>
      <c r="C516" s="521"/>
      <c r="D516" s="521"/>
      <c r="E516" s="521"/>
      <c r="Y516" s="521"/>
      <c r="AA516" s="6"/>
      <c r="AB516" s="369"/>
      <c r="AC516" s="521"/>
      <c r="AD516" s="521"/>
      <c r="AE516" s="521"/>
      <c r="AH516" s="521"/>
      <c r="AI516" s="521"/>
      <c r="AJ516" s="521"/>
      <c r="AK516" s="521"/>
      <c r="AN516" s="521"/>
      <c r="AO516" s="521"/>
      <c r="AP516" s="521"/>
      <c r="AQ516" s="521"/>
    </row>
    <row r="517" spans="2:43" s="196" customFormat="1">
      <c r="B517" s="521"/>
      <c r="C517" s="521"/>
      <c r="D517" s="521"/>
      <c r="E517" s="521"/>
      <c r="Y517" s="521"/>
      <c r="AA517" s="6"/>
      <c r="AB517" s="369"/>
      <c r="AC517" s="521"/>
      <c r="AD517" s="521"/>
      <c r="AE517" s="521"/>
      <c r="AH517" s="521"/>
      <c r="AI517" s="521"/>
      <c r="AJ517" s="521"/>
      <c r="AK517" s="521"/>
      <c r="AN517" s="521"/>
      <c r="AO517" s="521"/>
      <c r="AP517" s="521"/>
      <c r="AQ517" s="521"/>
    </row>
    <row r="518" spans="2:43" s="196" customFormat="1">
      <c r="B518" s="521"/>
      <c r="C518" s="521"/>
      <c r="D518" s="521"/>
      <c r="E518" s="521"/>
      <c r="Y518" s="521"/>
      <c r="AA518" s="6"/>
      <c r="AB518" s="369"/>
      <c r="AC518" s="521"/>
      <c r="AD518" s="521"/>
      <c r="AE518" s="521"/>
      <c r="AH518" s="521"/>
      <c r="AI518" s="521"/>
      <c r="AJ518" s="521"/>
      <c r="AK518" s="521"/>
      <c r="AN518" s="521"/>
      <c r="AO518" s="521"/>
      <c r="AP518" s="521"/>
      <c r="AQ518" s="521"/>
    </row>
    <row r="519" spans="2:43" s="196" customFormat="1">
      <c r="B519" s="521"/>
      <c r="C519" s="521"/>
      <c r="D519" s="521"/>
      <c r="E519" s="521"/>
      <c r="Y519" s="521"/>
      <c r="AA519" s="6"/>
      <c r="AB519" s="369"/>
      <c r="AC519" s="521"/>
      <c r="AD519" s="521"/>
      <c r="AE519" s="521"/>
      <c r="AH519" s="521"/>
      <c r="AI519" s="521"/>
      <c r="AJ519" s="521"/>
      <c r="AK519" s="521"/>
      <c r="AN519" s="521"/>
      <c r="AO519" s="521"/>
      <c r="AP519" s="521"/>
      <c r="AQ519" s="521"/>
    </row>
    <row r="520" spans="2:43" s="196" customFormat="1">
      <c r="B520" s="521"/>
      <c r="C520" s="521"/>
      <c r="D520" s="521"/>
      <c r="E520" s="521"/>
      <c r="Y520" s="521"/>
      <c r="AA520" s="6"/>
      <c r="AB520" s="369"/>
      <c r="AC520" s="521"/>
      <c r="AD520" s="521"/>
      <c r="AE520" s="521"/>
      <c r="AH520" s="521"/>
      <c r="AI520" s="521"/>
      <c r="AJ520" s="521"/>
      <c r="AK520" s="521"/>
      <c r="AN520" s="521"/>
      <c r="AO520" s="521"/>
      <c r="AP520" s="521"/>
      <c r="AQ520" s="521"/>
    </row>
    <row r="521" spans="2:43" s="196" customFormat="1">
      <c r="B521" s="521"/>
      <c r="C521" s="521"/>
      <c r="D521" s="521"/>
      <c r="E521" s="521"/>
      <c r="Y521" s="521"/>
      <c r="AA521" s="6"/>
      <c r="AB521" s="369"/>
      <c r="AC521" s="521"/>
      <c r="AD521" s="521"/>
      <c r="AE521" s="521"/>
      <c r="AH521" s="521"/>
      <c r="AI521" s="521"/>
      <c r="AJ521" s="521"/>
      <c r="AK521" s="521"/>
      <c r="AN521" s="521"/>
      <c r="AO521" s="521"/>
      <c r="AP521" s="521"/>
      <c r="AQ521" s="521"/>
    </row>
    <row r="522" spans="2:43" s="196" customFormat="1">
      <c r="B522" s="521"/>
      <c r="C522" s="521"/>
      <c r="D522" s="521"/>
      <c r="E522" s="521"/>
      <c r="Y522" s="521"/>
      <c r="AA522" s="6"/>
      <c r="AB522" s="369"/>
      <c r="AC522" s="521"/>
      <c r="AD522" s="521"/>
      <c r="AE522" s="521"/>
      <c r="AH522" s="521"/>
      <c r="AI522" s="521"/>
      <c r="AJ522" s="521"/>
      <c r="AK522" s="521"/>
      <c r="AN522" s="521"/>
      <c r="AO522" s="521"/>
      <c r="AP522" s="521"/>
      <c r="AQ522" s="521"/>
    </row>
    <row r="523" spans="2:43" s="196" customFormat="1">
      <c r="B523" s="521"/>
      <c r="C523" s="521"/>
      <c r="D523" s="521"/>
      <c r="E523" s="521"/>
      <c r="Y523" s="521"/>
      <c r="AA523" s="6"/>
      <c r="AB523" s="369"/>
      <c r="AC523" s="521"/>
      <c r="AD523" s="521"/>
      <c r="AE523" s="521"/>
      <c r="AH523" s="521"/>
      <c r="AI523" s="521"/>
      <c r="AJ523" s="521"/>
      <c r="AK523" s="521"/>
      <c r="AN523" s="521"/>
      <c r="AO523" s="521"/>
      <c r="AP523" s="521"/>
      <c r="AQ523" s="521"/>
    </row>
    <row r="524" spans="2:43" s="196" customFormat="1">
      <c r="B524" s="521"/>
      <c r="C524" s="521"/>
      <c r="D524" s="521"/>
      <c r="E524" s="521"/>
      <c r="Y524" s="521"/>
      <c r="AA524" s="6"/>
      <c r="AB524" s="369"/>
      <c r="AC524" s="521"/>
      <c r="AD524" s="521"/>
      <c r="AE524" s="521"/>
      <c r="AH524" s="521"/>
      <c r="AI524" s="521"/>
      <c r="AJ524" s="521"/>
      <c r="AK524" s="521"/>
      <c r="AN524" s="521"/>
      <c r="AO524" s="521"/>
      <c r="AP524" s="521"/>
      <c r="AQ524" s="521"/>
    </row>
    <row r="525" spans="2:43" s="196" customFormat="1">
      <c r="B525" s="521"/>
      <c r="C525" s="521"/>
      <c r="D525" s="521"/>
      <c r="E525" s="521"/>
      <c r="Y525" s="521"/>
      <c r="AA525" s="6"/>
      <c r="AB525" s="369"/>
      <c r="AC525" s="521"/>
      <c r="AD525" s="521"/>
      <c r="AE525" s="521"/>
      <c r="AH525" s="521"/>
      <c r="AI525" s="521"/>
      <c r="AJ525" s="521"/>
      <c r="AK525" s="521"/>
      <c r="AN525" s="521"/>
      <c r="AO525" s="521"/>
      <c r="AP525" s="521"/>
      <c r="AQ525" s="521"/>
    </row>
    <row r="526" spans="2:43" s="196" customFormat="1">
      <c r="B526" s="521"/>
      <c r="C526" s="521"/>
      <c r="D526" s="521"/>
      <c r="E526" s="521"/>
      <c r="Y526" s="521"/>
      <c r="AA526" s="6"/>
      <c r="AB526" s="369"/>
      <c r="AC526" s="521"/>
      <c r="AD526" s="521"/>
      <c r="AE526" s="521"/>
      <c r="AH526" s="521"/>
      <c r="AI526" s="521"/>
      <c r="AJ526" s="521"/>
      <c r="AK526" s="521"/>
      <c r="AN526" s="521"/>
      <c r="AO526" s="521"/>
      <c r="AP526" s="521"/>
      <c r="AQ526" s="521"/>
    </row>
    <row r="527" spans="2:43" s="196" customFormat="1">
      <c r="B527" s="521"/>
      <c r="C527" s="521"/>
      <c r="D527" s="521"/>
      <c r="E527" s="521"/>
      <c r="Y527" s="521"/>
      <c r="AA527" s="6"/>
      <c r="AB527" s="369"/>
      <c r="AC527" s="521"/>
      <c r="AD527" s="521"/>
      <c r="AE527" s="521"/>
      <c r="AH527" s="521"/>
      <c r="AI527" s="521"/>
      <c r="AJ527" s="521"/>
      <c r="AK527" s="521"/>
      <c r="AN527" s="521"/>
      <c r="AO527" s="521"/>
      <c r="AP527" s="521"/>
      <c r="AQ527" s="521"/>
    </row>
    <row r="528" spans="2:43" s="196" customFormat="1">
      <c r="B528" s="521"/>
      <c r="C528" s="521"/>
      <c r="D528" s="521"/>
      <c r="E528" s="521"/>
      <c r="Y528" s="521"/>
      <c r="AA528" s="6"/>
      <c r="AB528" s="369"/>
      <c r="AC528" s="521"/>
      <c r="AD528" s="521"/>
      <c r="AE528" s="521"/>
      <c r="AH528" s="521"/>
      <c r="AI528" s="521"/>
      <c r="AJ528" s="521"/>
      <c r="AK528" s="521"/>
      <c r="AN528" s="521"/>
      <c r="AO528" s="521"/>
      <c r="AP528" s="521"/>
      <c r="AQ528" s="521"/>
    </row>
    <row r="529" spans="2:43" s="196" customFormat="1">
      <c r="B529" s="521"/>
      <c r="C529" s="521"/>
      <c r="D529" s="521"/>
      <c r="E529" s="521"/>
      <c r="Y529" s="521"/>
      <c r="AA529" s="6"/>
      <c r="AB529" s="369"/>
      <c r="AC529" s="521"/>
      <c r="AD529" s="521"/>
      <c r="AE529" s="521"/>
      <c r="AH529" s="521"/>
      <c r="AI529" s="521"/>
      <c r="AJ529" s="521"/>
      <c r="AK529" s="521"/>
      <c r="AN529" s="521"/>
      <c r="AO529" s="521"/>
      <c r="AP529" s="521"/>
      <c r="AQ529" s="521"/>
    </row>
    <row r="530" spans="2:43" s="196" customFormat="1">
      <c r="B530" s="521"/>
      <c r="C530" s="521"/>
      <c r="D530" s="521"/>
      <c r="E530" s="521"/>
      <c r="Y530" s="521"/>
      <c r="AA530" s="6"/>
      <c r="AB530" s="369"/>
      <c r="AC530" s="521"/>
      <c r="AD530" s="521"/>
      <c r="AE530" s="521"/>
      <c r="AH530" s="521"/>
      <c r="AI530" s="521"/>
      <c r="AJ530" s="521"/>
      <c r="AK530" s="521"/>
      <c r="AN530" s="521"/>
      <c r="AO530" s="521"/>
      <c r="AP530" s="521"/>
      <c r="AQ530" s="521"/>
    </row>
    <row r="531" spans="2:43" s="196" customFormat="1">
      <c r="B531" s="521"/>
      <c r="C531" s="521"/>
      <c r="D531" s="521"/>
      <c r="E531" s="521"/>
      <c r="Y531" s="521"/>
      <c r="AA531" s="6"/>
      <c r="AB531" s="369"/>
      <c r="AC531" s="521"/>
      <c r="AD531" s="521"/>
      <c r="AE531" s="521"/>
      <c r="AH531" s="521"/>
      <c r="AI531" s="521"/>
      <c r="AJ531" s="521"/>
      <c r="AK531" s="521"/>
      <c r="AN531" s="521"/>
      <c r="AO531" s="521"/>
      <c r="AP531" s="521"/>
      <c r="AQ531" s="521"/>
    </row>
    <row r="532" spans="2:43" s="196" customFormat="1">
      <c r="B532" s="521"/>
      <c r="C532" s="521"/>
      <c r="D532" s="521"/>
      <c r="E532" s="521"/>
      <c r="Y532" s="521"/>
      <c r="AA532" s="6"/>
      <c r="AB532" s="369"/>
      <c r="AC532" s="521"/>
      <c r="AD532" s="521"/>
      <c r="AE532" s="521"/>
      <c r="AH532" s="521"/>
      <c r="AI532" s="521"/>
      <c r="AJ532" s="521"/>
      <c r="AK532" s="521"/>
      <c r="AN532" s="521"/>
      <c r="AO532" s="521"/>
      <c r="AP532" s="521"/>
      <c r="AQ532" s="521"/>
    </row>
    <row r="533" spans="2:43" s="196" customFormat="1">
      <c r="B533" s="521"/>
      <c r="C533" s="521"/>
      <c r="D533" s="521"/>
      <c r="E533" s="521"/>
      <c r="Y533" s="521"/>
      <c r="AA533" s="6"/>
      <c r="AB533" s="369"/>
      <c r="AC533" s="521"/>
      <c r="AD533" s="521"/>
      <c r="AE533" s="521"/>
      <c r="AH533" s="521"/>
      <c r="AI533" s="521"/>
      <c r="AJ533" s="521"/>
      <c r="AK533" s="521"/>
      <c r="AN533" s="521"/>
      <c r="AO533" s="521"/>
      <c r="AP533" s="521"/>
      <c r="AQ533" s="521"/>
    </row>
    <row r="534" spans="2:43" s="196" customFormat="1">
      <c r="B534" s="521"/>
      <c r="C534" s="521"/>
      <c r="D534" s="521"/>
      <c r="E534" s="521"/>
      <c r="Y534" s="521"/>
      <c r="AA534" s="6"/>
      <c r="AB534" s="369"/>
      <c r="AC534" s="521"/>
      <c r="AD534" s="521"/>
      <c r="AE534" s="521"/>
      <c r="AH534" s="521"/>
      <c r="AI534" s="521"/>
      <c r="AJ534" s="521"/>
      <c r="AK534" s="521"/>
      <c r="AN534" s="521"/>
      <c r="AO534" s="521"/>
      <c r="AP534" s="521"/>
      <c r="AQ534" s="521"/>
    </row>
    <row r="535" spans="2:43" s="196" customFormat="1">
      <c r="B535" s="521"/>
      <c r="C535" s="521"/>
      <c r="D535" s="521"/>
      <c r="E535" s="521"/>
      <c r="Y535" s="521"/>
      <c r="AA535" s="6"/>
      <c r="AB535" s="369"/>
      <c r="AC535" s="521"/>
      <c r="AD535" s="521"/>
      <c r="AE535" s="521"/>
      <c r="AH535" s="521"/>
      <c r="AI535" s="521"/>
      <c r="AJ535" s="521"/>
      <c r="AK535" s="521"/>
      <c r="AN535" s="521"/>
      <c r="AO535" s="521"/>
      <c r="AP535" s="521"/>
      <c r="AQ535" s="521"/>
    </row>
    <row r="536" spans="2:43" s="196" customFormat="1">
      <c r="B536" s="521"/>
      <c r="C536" s="521"/>
      <c r="D536" s="521"/>
      <c r="E536" s="521"/>
      <c r="Y536" s="521"/>
      <c r="AA536" s="6"/>
      <c r="AB536" s="369"/>
      <c r="AC536" s="521"/>
      <c r="AD536" s="521"/>
      <c r="AE536" s="521"/>
      <c r="AH536" s="521"/>
      <c r="AI536" s="521"/>
      <c r="AJ536" s="521"/>
      <c r="AK536" s="521"/>
      <c r="AN536" s="521"/>
      <c r="AO536" s="521"/>
      <c r="AP536" s="521"/>
      <c r="AQ536" s="521"/>
    </row>
    <row r="537" spans="2:43" s="196" customFormat="1">
      <c r="B537" s="521"/>
      <c r="C537" s="521"/>
      <c r="D537" s="521"/>
      <c r="E537" s="521"/>
      <c r="Y537" s="521"/>
      <c r="AA537" s="6"/>
      <c r="AB537" s="369"/>
      <c r="AC537" s="521"/>
      <c r="AD537" s="521"/>
      <c r="AE537" s="521"/>
      <c r="AH537" s="521"/>
      <c r="AI537" s="521"/>
      <c r="AJ537" s="521"/>
      <c r="AK537" s="521"/>
      <c r="AN537" s="521"/>
      <c r="AO537" s="521"/>
      <c r="AP537" s="521"/>
      <c r="AQ537" s="521"/>
    </row>
    <row r="538" spans="2:43" s="196" customFormat="1">
      <c r="B538" s="521"/>
      <c r="C538" s="521"/>
      <c r="D538" s="521"/>
      <c r="E538" s="521"/>
      <c r="Y538" s="521"/>
      <c r="AA538" s="6"/>
      <c r="AB538" s="369"/>
      <c r="AC538" s="521"/>
      <c r="AD538" s="521"/>
      <c r="AE538" s="521"/>
      <c r="AH538" s="521"/>
      <c r="AI538" s="521"/>
      <c r="AJ538" s="521"/>
      <c r="AK538" s="521"/>
      <c r="AN538" s="521"/>
      <c r="AO538" s="521"/>
      <c r="AP538" s="521"/>
      <c r="AQ538" s="521"/>
    </row>
    <row r="539" spans="2:43" s="196" customFormat="1">
      <c r="B539" s="521"/>
      <c r="C539" s="521"/>
      <c r="D539" s="521"/>
      <c r="E539" s="521"/>
      <c r="Y539" s="521"/>
      <c r="AA539" s="6"/>
      <c r="AB539" s="369"/>
      <c r="AC539" s="521"/>
      <c r="AD539" s="521"/>
      <c r="AE539" s="521"/>
      <c r="AH539" s="521"/>
      <c r="AI539" s="521"/>
      <c r="AJ539" s="521"/>
      <c r="AK539" s="521"/>
      <c r="AN539" s="521"/>
      <c r="AO539" s="521"/>
      <c r="AP539" s="521"/>
      <c r="AQ539" s="521"/>
    </row>
    <row r="540" spans="2:43" s="196" customFormat="1">
      <c r="B540" s="521"/>
      <c r="C540" s="521"/>
      <c r="D540" s="521"/>
      <c r="E540" s="521"/>
      <c r="Y540" s="521"/>
      <c r="AA540" s="6"/>
      <c r="AB540" s="369"/>
      <c r="AC540" s="521"/>
      <c r="AD540" s="521"/>
      <c r="AE540" s="521"/>
      <c r="AH540" s="521"/>
      <c r="AI540" s="521"/>
      <c r="AJ540" s="521"/>
      <c r="AK540" s="521"/>
      <c r="AN540" s="521"/>
      <c r="AO540" s="521"/>
      <c r="AP540" s="521"/>
      <c r="AQ540" s="521"/>
    </row>
    <row r="541" spans="2:43" s="196" customFormat="1">
      <c r="B541" s="521"/>
      <c r="C541" s="521"/>
      <c r="D541" s="521"/>
      <c r="E541" s="521"/>
      <c r="Y541" s="521"/>
      <c r="AA541" s="6"/>
      <c r="AB541" s="369"/>
      <c r="AC541" s="521"/>
      <c r="AD541" s="521"/>
      <c r="AE541" s="521"/>
      <c r="AH541" s="521"/>
      <c r="AI541" s="521"/>
      <c r="AJ541" s="521"/>
      <c r="AK541" s="521"/>
      <c r="AN541" s="521"/>
      <c r="AO541" s="521"/>
      <c r="AP541" s="521"/>
      <c r="AQ541" s="521"/>
    </row>
    <row r="542" spans="2:43" s="196" customFormat="1">
      <c r="B542" s="521"/>
      <c r="C542" s="521"/>
      <c r="D542" s="521"/>
      <c r="E542" s="521"/>
      <c r="Y542" s="521"/>
      <c r="AA542" s="6"/>
      <c r="AB542" s="369"/>
      <c r="AC542" s="521"/>
      <c r="AD542" s="521"/>
      <c r="AE542" s="521"/>
      <c r="AH542" s="521"/>
      <c r="AI542" s="521"/>
      <c r="AJ542" s="521"/>
      <c r="AK542" s="521"/>
      <c r="AN542" s="521"/>
      <c r="AO542" s="521"/>
      <c r="AP542" s="521"/>
      <c r="AQ542" s="521"/>
    </row>
    <row r="543" spans="2:43" s="196" customFormat="1">
      <c r="B543" s="521"/>
      <c r="C543" s="521"/>
      <c r="D543" s="521"/>
      <c r="E543" s="521"/>
      <c r="Y543" s="521"/>
      <c r="AA543" s="6"/>
      <c r="AB543" s="369"/>
      <c r="AC543" s="521"/>
      <c r="AD543" s="521"/>
      <c r="AE543" s="521"/>
      <c r="AH543" s="521"/>
      <c r="AI543" s="521"/>
      <c r="AJ543" s="521"/>
      <c r="AK543" s="521"/>
      <c r="AN543" s="521"/>
      <c r="AO543" s="521"/>
      <c r="AP543" s="521"/>
      <c r="AQ543" s="521"/>
    </row>
    <row r="544" spans="2:43" s="196" customFormat="1">
      <c r="B544" s="521"/>
      <c r="C544" s="521"/>
      <c r="D544" s="521"/>
      <c r="E544" s="521"/>
      <c r="Y544" s="521"/>
      <c r="AA544" s="6"/>
      <c r="AB544" s="369"/>
      <c r="AC544" s="521"/>
      <c r="AD544" s="521"/>
      <c r="AE544" s="521"/>
      <c r="AH544" s="521"/>
      <c r="AI544" s="521"/>
      <c r="AJ544" s="521"/>
      <c r="AK544" s="521"/>
      <c r="AN544" s="521"/>
      <c r="AO544" s="521"/>
      <c r="AP544" s="521"/>
      <c r="AQ544" s="521"/>
    </row>
    <row r="545" spans="2:43" s="196" customFormat="1">
      <c r="B545" s="521"/>
      <c r="C545" s="521"/>
      <c r="D545" s="521"/>
      <c r="E545" s="521"/>
      <c r="Y545" s="521"/>
      <c r="AA545" s="6"/>
      <c r="AB545" s="369"/>
      <c r="AC545" s="521"/>
      <c r="AD545" s="521"/>
      <c r="AE545" s="521"/>
      <c r="AH545" s="521"/>
      <c r="AI545" s="521"/>
      <c r="AJ545" s="521"/>
      <c r="AK545" s="521"/>
      <c r="AN545" s="521"/>
      <c r="AO545" s="521"/>
      <c r="AP545" s="521"/>
      <c r="AQ545" s="521"/>
    </row>
    <row r="546" spans="2:43" s="196" customFormat="1">
      <c r="B546" s="521"/>
      <c r="C546" s="521"/>
      <c r="D546" s="521"/>
      <c r="E546" s="521"/>
      <c r="Y546" s="521"/>
      <c r="AA546" s="6"/>
      <c r="AB546" s="369"/>
      <c r="AC546" s="521"/>
      <c r="AD546" s="521"/>
      <c r="AE546" s="521"/>
      <c r="AH546" s="521"/>
      <c r="AI546" s="521"/>
      <c r="AJ546" s="521"/>
      <c r="AK546" s="521"/>
      <c r="AN546" s="521"/>
      <c r="AO546" s="521"/>
      <c r="AP546" s="521"/>
      <c r="AQ546" s="521"/>
    </row>
    <row r="547" spans="2:43" s="196" customFormat="1">
      <c r="B547" s="521"/>
      <c r="C547" s="521"/>
      <c r="D547" s="521"/>
      <c r="E547" s="521"/>
      <c r="Y547" s="521"/>
      <c r="AA547" s="6"/>
      <c r="AB547" s="369"/>
      <c r="AC547" s="521"/>
      <c r="AD547" s="521"/>
      <c r="AE547" s="521"/>
      <c r="AH547" s="521"/>
      <c r="AI547" s="521"/>
      <c r="AJ547" s="521"/>
      <c r="AK547" s="521"/>
      <c r="AN547" s="521"/>
      <c r="AO547" s="521"/>
      <c r="AP547" s="521"/>
      <c r="AQ547" s="521"/>
    </row>
    <row r="548" spans="2:43" s="196" customFormat="1">
      <c r="B548" s="521"/>
      <c r="C548" s="521"/>
      <c r="D548" s="521"/>
      <c r="E548" s="521"/>
      <c r="Y548" s="521"/>
      <c r="AA548" s="6"/>
      <c r="AB548" s="369"/>
      <c r="AC548" s="521"/>
      <c r="AD548" s="521"/>
      <c r="AE548" s="521"/>
      <c r="AH548" s="521"/>
      <c r="AI548" s="521"/>
      <c r="AJ548" s="521"/>
      <c r="AK548" s="521"/>
      <c r="AN548" s="521"/>
      <c r="AO548" s="521"/>
      <c r="AP548" s="521"/>
      <c r="AQ548" s="521"/>
    </row>
    <row r="549" spans="2:43" s="196" customFormat="1">
      <c r="B549" s="521"/>
      <c r="C549" s="521"/>
      <c r="D549" s="521"/>
      <c r="E549" s="521"/>
      <c r="Y549" s="521"/>
      <c r="AA549" s="6"/>
      <c r="AB549" s="369"/>
      <c r="AC549" s="521"/>
      <c r="AD549" s="521"/>
      <c r="AE549" s="521"/>
      <c r="AH549" s="521"/>
      <c r="AI549" s="521"/>
      <c r="AJ549" s="521"/>
      <c r="AK549" s="521"/>
      <c r="AN549" s="521"/>
      <c r="AO549" s="521"/>
      <c r="AP549" s="521"/>
      <c r="AQ549" s="521"/>
    </row>
    <row r="550" spans="2:43" s="196" customFormat="1">
      <c r="B550" s="521"/>
      <c r="C550" s="521"/>
      <c r="D550" s="521"/>
      <c r="E550" s="521"/>
      <c r="Y550" s="521"/>
      <c r="AA550" s="6"/>
      <c r="AB550" s="369"/>
      <c r="AC550" s="521"/>
      <c r="AD550" s="521"/>
      <c r="AE550" s="521"/>
      <c r="AH550" s="521"/>
      <c r="AI550" s="521"/>
      <c r="AJ550" s="521"/>
      <c r="AK550" s="521"/>
      <c r="AN550" s="521"/>
      <c r="AO550" s="521"/>
      <c r="AP550" s="521"/>
      <c r="AQ550" s="521"/>
    </row>
    <row r="551" spans="2:43" s="196" customFormat="1">
      <c r="B551" s="521"/>
      <c r="C551" s="521"/>
      <c r="D551" s="521"/>
      <c r="E551" s="521"/>
      <c r="Y551" s="521"/>
      <c r="AA551" s="6"/>
      <c r="AB551" s="369"/>
      <c r="AC551" s="521"/>
      <c r="AD551" s="521"/>
      <c r="AE551" s="521"/>
      <c r="AH551" s="521"/>
      <c r="AI551" s="521"/>
      <c r="AJ551" s="521"/>
      <c r="AK551" s="521"/>
      <c r="AN551" s="521"/>
      <c r="AO551" s="521"/>
      <c r="AP551" s="521"/>
      <c r="AQ551" s="521"/>
    </row>
    <row r="552" spans="2:43" s="196" customFormat="1">
      <c r="B552" s="521"/>
      <c r="C552" s="521"/>
      <c r="D552" s="521"/>
      <c r="E552" s="521"/>
      <c r="Y552" s="521"/>
      <c r="AA552" s="6"/>
      <c r="AB552" s="369"/>
      <c r="AC552" s="521"/>
      <c r="AD552" s="521"/>
      <c r="AE552" s="521"/>
      <c r="AH552" s="521"/>
      <c r="AI552" s="521"/>
      <c r="AJ552" s="521"/>
      <c r="AK552" s="521"/>
      <c r="AN552" s="521"/>
      <c r="AO552" s="521"/>
      <c r="AP552" s="521"/>
      <c r="AQ552" s="521"/>
    </row>
    <row r="553" spans="2:43" s="196" customFormat="1">
      <c r="B553" s="521"/>
      <c r="C553" s="521"/>
      <c r="D553" s="521"/>
      <c r="E553" s="521"/>
      <c r="Y553" s="521"/>
      <c r="AA553" s="6"/>
      <c r="AB553" s="369"/>
      <c r="AC553" s="521"/>
      <c r="AD553" s="521"/>
      <c r="AE553" s="521"/>
      <c r="AH553" s="521"/>
      <c r="AI553" s="521"/>
      <c r="AJ553" s="521"/>
      <c r="AK553" s="521"/>
      <c r="AN553" s="521"/>
      <c r="AO553" s="521"/>
      <c r="AP553" s="521"/>
      <c r="AQ553" s="521"/>
    </row>
    <row r="554" spans="2:43" s="196" customFormat="1">
      <c r="B554" s="521"/>
      <c r="C554" s="521"/>
      <c r="D554" s="521"/>
      <c r="E554" s="521"/>
      <c r="Y554" s="521"/>
      <c r="AA554" s="6"/>
      <c r="AB554" s="369"/>
      <c r="AC554" s="521"/>
      <c r="AD554" s="521"/>
      <c r="AE554" s="521"/>
      <c r="AH554" s="521"/>
      <c r="AI554" s="521"/>
      <c r="AJ554" s="521"/>
      <c r="AK554" s="521"/>
      <c r="AN554" s="521"/>
      <c r="AO554" s="521"/>
      <c r="AP554" s="521"/>
      <c r="AQ554" s="521"/>
    </row>
    <row r="555" spans="2:43" s="196" customFormat="1">
      <c r="B555" s="521"/>
      <c r="C555" s="521"/>
      <c r="D555" s="521"/>
      <c r="E555" s="521"/>
      <c r="Y555" s="521"/>
      <c r="AA555" s="6"/>
      <c r="AB555" s="369"/>
      <c r="AC555" s="521"/>
      <c r="AD555" s="521"/>
      <c r="AE555" s="521"/>
      <c r="AH555" s="521"/>
      <c r="AI555" s="521"/>
      <c r="AJ555" s="521"/>
      <c r="AK555" s="521"/>
      <c r="AN555" s="521"/>
      <c r="AO555" s="521"/>
      <c r="AP555" s="521"/>
      <c r="AQ555" s="521"/>
    </row>
    <row r="556" spans="2:43" s="196" customFormat="1">
      <c r="B556" s="521"/>
      <c r="C556" s="521"/>
      <c r="D556" s="521"/>
      <c r="E556" s="521"/>
      <c r="Y556" s="521"/>
      <c r="AA556" s="6"/>
      <c r="AB556" s="369"/>
      <c r="AC556" s="521"/>
      <c r="AD556" s="521"/>
      <c r="AE556" s="521"/>
      <c r="AH556" s="521"/>
      <c r="AI556" s="521"/>
      <c r="AJ556" s="521"/>
      <c r="AK556" s="521"/>
      <c r="AN556" s="521"/>
      <c r="AO556" s="521"/>
      <c r="AP556" s="521"/>
      <c r="AQ556" s="521"/>
    </row>
    <row r="557" spans="2:43" s="196" customFormat="1">
      <c r="B557" s="521"/>
      <c r="C557" s="521"/>
      <c r="D557" s="521"/>
      <c r="E557" s="521"/>
      <c r="Y557" s="521"/>
      <c r="AA557" s="6"/>
      <c r="AB557" s="369"/>
      <c r="AC557" s="521"/>
      <c r="AD557" s="521"/>
      <c r="AE557" s="521"/>
      <c r="AH557" s="521"/>
      <c r="AI557" s="521"/>
      <c r="AJ557" s="521"/>
      <c r="AK557" s="521"/>
      <c r="AN557" s="521"/>
      <c r="AO557" s="521"/>
      <c r="AP557" s="521"/>
      <c r="AQ557" s="521"/>
    </row>
    <row r="558" spans="2:43" s="196" customFormat="1">
      <c r="B558" s="521"/>
      <c r="C558" s="521"/>
      <c r="D558" s="521"/>
      <c r="E558" s="521"/>
      <c r="Y558" s="521"/>
      <c r="AA558" s="6"/>
      <c r="AB558" s="369"/>
      <c r="AC558" s="521"/>
      <c r="AD558" s="521"/>
      <c r="AE558" s="521"/>
      <c r="AH558" s="521"/>
      <c r="AI558" s="521"/>
      <c r="AJ558" s="521"/>
      <c r="AK558" s="521"/>
      <c r="AN558" s="521"/>
      <c r="AO558" s="521"/>
      <c r="AP558" s="521"/>
      <c r="AQ558" s="521"/>
    </row>
    <row r="559" spans="2:43" s="196" customFormat="1">
      <c r="B559" s="521"/>
      <c r="C559" s="521"/>
      <c r="D559" s="521"/>
      <c r="E559" s="521"/>
      <c r="Y559" s="521"/>
      <c r="AA559" s="6"/>
      <c r="AB559" s="369"/>
      <c r="AC559" s="521"/>
      <c r="AD559" s="521"/>
      <c r="AE559" s="521"/>
      <c r="AH559" s="521"/>
      <c r="AI559" s="521"/>
      <c r="AJ559" s="521"/>
      <c r="AK559" s="521"/>
      <c r="AN559" s="521"/>
      <c r="AO559" s="521"/>
      <c r="AP559" s="521"/>
      <c r="AQ559" s="521"/>
    </row>
    <row r="560" spans="2:43" s="196" customFormat="1">
      <c r="B560" s="521"/>
      <c r="C560" s="521"/>
      <c r="D560" s="521"/>
      <c r="E560" s="521"/>
      <c r="Y560" s="521"/>
      <c r="AA560" s="6"/>
      <c r="AB560" s="369"/>
      <c r="AC560" s="521"/>
      <c r="AD560" s="521"/>
      <c r="AE560" s="521"/>
      <c r="AH560" s="521"/>
      <c r="AI560" s="521"/>
      <c r="AJ560" s="521"/>
      <c r="AK560" s="521"/>
      <c r="AN560" s="521"/>
      <c r="AO560" s="521"/>
      <c r="AP560" s="521"/>
      <c r="AQ560" s="521"/>
    </row>
    <row r="561" spans="2:43" s="196" customFormat="1">
      <c r="B561" s="521"/>
      <c r="C561" s="521"/>
      <c r="D561" s="521"/>
      <c r="E561" s="521"/>
      <c r="Y561" s="521"/>
      <c r="AA561" s="6"/>
      <c r="AB561" s="369"/>
      <c r="AC561" s="521"/>
      <c r="AD561" s="521"/>
      <c r="AE561" s="521"/>
      <c r="AH561" s="521"/>
      <c r="AI561" s="521"/>
      <c r="AJ561" s="521"/>
      <c r="AK561" s="521"/>
      <c r="AN561" s="521"/>
      <c r="AO561" s="521"/>
      <c r="AP561" s="521"/>
      <c r="AQ561" s="521"/>
    </row>
    <row r="562" spans="2:43" s="196" customFormat="1">
      <c r="B562" s="521"/>
      <c r="C562" s="521"/>
      <c r="D562" s="521"/>
      <c r="E562" s="521"/>
      <c r="Y562" s="521"/>
      <c r="AA562" s="6"/>
      <c r="AB562" s="369"/>
      <c r="AC562" s="521"/>
      <c r="AD562" s="521"/>
      <c r="AE562" s="521"/>
      <c r="AH562" s="521"/>
      <c r="AI562" s="521"/>
      <c r="AJ562" s="521"/>
      <c r="AK562" s="521"/>
      <c r="AN562" s="521"/>
      <c r="AO562" s="521"/>
      <c r="AP562" s="521"/>
      <c r="AQ562" s="521"/>
    </row>
    <row r="563" spans="2:43" s="196" customFormat="1">
      <c r="B563" s="521"/>
      <c r="C563" s="521"/>
      <c r="D563" s="521"/>
      <c r="E563" s="521"/>
      <c r="Y563" s="521"/>
      <c r="AA563" s="6"/>
      <c r="AB563" s="369"/>
      <c r="AC563" s="521"/>
      <c r="AD563" s="521"/>
      <c r="AE563" s="521"/>
      <c r="AH563" s="521"/>
      <c r="AI563" s="521"/>
      <c r="AJ563" s="521"/>
      <c r="AK563" s="521"/>
      <c r="AN563" s="521"/>
      <c r="AO563" s="521"/>
      <c r="AP563" s="521"/>
      <c r="AQ563" s="521"/>
    </row>
    <row r="564" spans="2:43" s="196" customFormat="1">
      <c r="B564" s="521"/>
      <c r="C564" s="521"/>
      <c r="D564" s="521"/>
      <c r="E564" s="521"/>
      <c r="Y564" s="521"/>
      <c r="AA564" s="6"/>
      <c r="AB564" s="369"/>
      <c r="AC564" s="521"/>
      <c r="AD564" s="521"/>
      <c r="AE564" s="521"/>
      <c r="AH564" s="521"/>
      <c r="AI564" s="521"/>
      <c r="AJ564" s="521"/>
      <c r="AK564" s="521"/>
      <c r="AN564" s="521"/>
      <c r="AO564" s="521"/>
      <c r="AP564" s="521"/>
      <c r="AQ564" s="521"/>
    </row>
    <row r="565" spans="2:43" s="196" customFormat="1">
      <c r="B565" s="521"/>
      <c r="C565" s="521"/>
      <c r="D565" s="521"/>
      <c r="E565" s="521"/>
      <c r="Y565" s="521"/>
      <c r="AA565" s="6"/>
      <c r="AB565" s="369"/>
      <c r="AC565" s="521"/>
      <c r="AD565" s="521"/>
      <c r="AE565" s="521"/>
      <c r="AH565" s="521"/>
      <c r="AI565" s="521"/>
      <c r="AJ565" s="521"/>
      <c r="AK565" s="521"/>
      <c r="AN565" s="521"/>
      <c r="AO565" s="521"/>
      <c r="AP565" s="521"/>
      <c r="AQ565" s="521"/>
    </row>
    <row r="566" spans="2:43" s="196" customFormat="1">
      <c r="B566" s="521"/>
      <c r="C566" s="521"/>
      <c r="D566" s="521"/>
      <c r="E566" s="521"/>
      <c r="Y566" s="521"/>
      <c r="AA566" s="6"/>
      <c r="AB566" s="369"/>
      <c r="AC566" s="521"/>
      <c r="AD566" s="521"/>
      <c r="AE566" s="521"/>
      <c r="AH566" s="521"/>
      <c r="AI566" s="521"/>
      <c r="AJ566" s="521"/>
      <c r="AK566" s="521"/>
      <c r="AN566" s="521"/>
      <c r="AO566" s="521"/>
      <c r="AP566" s="521"/>
      <c r="AQ566" s="521"/>
    </row>
    <row r="567" spans="2:43" s="196" customFormat="1">
      <c r="B567" s="521"/>
      <c r="C567" s="521"/>
      <c r="D567" s="521"/>
      <c r="E567" s="521"/>
      <c r="Y567" s="521"/>
      <c r="AA567" s="6"/>
      <c r="AB567" s="369"/>
      <c r="AC567" s="521"/>
      <c r="AD567" s="521"/>
      <c r="AE567" s="521"/>
      <c r="AH567" s="521"/>
      <c r="AI567" s="521"/>
      <c r="AJ567" s="521"/>
      <c r="AK567" s="521"/>
      <c r="AN567" s="521"/>
      <c r="AO567" s="521"/>
      <c r="AP567" s="521"/>
      <c r="AQ567" s="521"/>
    </row>
    <row r="568" spans="2:43" s="196" customFormat="1">
      <c r="B568" s="521"/>
      <c r="C568" s="521"/>
      <c r="D568" s="521"/>
      <c r="E568" s="521"/>
      <c r="Y568" s="521"/>
      <c r="AA568" s="6"/>
      <c r="AB568" s="369"/>
      <c r="AC568" s="521"/>
      <c r="AD568" s="521"/>
      <c r="AE568" s="521"/>
      <c r="AH568" s="521"/>
      <c r="AI568" s="521"/>
      <c r="AJ568" s="521"/>
      <c r="AK568" s="521"/>
      <c r="AN568" s="521"/>
      <c r="AO568" s="521"/>
      <c r="AP568" s="521"/>
      <c r="AQ568" s="521"/>
    </row>
    <row r="569" spans="2:43" s="196" customFormat="1">
      <c r="B569" s="521"/>
      <c r="C569" s="521"/>
      <c r="D569" s="521"/>
      <c r="E569" s="521"/>
      <c r="Y569" s="521"/>
      <c r="AA569" s="6"/>
      <c r="AB569" s="369"/>
      <c r="AC569" s="521"/>
      <c r="AD569" s="521"/>
      <c r="AE569" s="521"/>
      <c r="AH569" s="521"/>
      <c r="AI569" s="521"/>
      <c r="AJ569" s="521"/>
      <c r="AK569" s="521"/>
      <c r="AN569" s="521"/>
      <c r="AO569" s="521"/>
      <c r="AP569" s="521"/>
      <c r="AQ569" s="521"/>
    </row>
    <row r="570" spans="2:43" s="196" customFormat="1">
      <c r="B570" s="521"/>
      <c r="C570" s="521"/>
      <c r="D570" s="521"/>
      <c r="E570" s="521"/>
      <c r="Y570" s="521"/>
      <c r="AA570" s="6"/>
      <c r="AB570" s="369"/>
      <c r="AC570" s="521"/>
      <c r="AD570" s="521"/>
      <c r="AE570" s="521"/>
      <c r="AH570" s="521"/>
      <c r="AI570" s="521"/>
      <c r="AJ570" s="521"/>
      <c r="AK570" s="521"/>
      <c r="AN570" s="521"/>
      <c r="AO570" s="521"/>
      <c r="AP570" s="521"/>
      <c r="AQ570" s="521"/>
    </row>
    <row r="571" spans="2:43" s="196" customFormat="1">
      <c r="B571" s="521"/>
      <c r="C571" s="521"/>
      <c r="D571" s="521"/>
      <c r="E571" s="521"/>
      <c r="Y571" s="521"/>
      <c r="AA571" s="6"/>
      <c r="AB571" s="369"/>
      <c r="AC571" s="521"/>
      <c r="AD571" s="521"/>
      <c r="AE571" s="521"/>
      <c r="AH571" s="521"/>
      <c r="AI571" s="521"/>
      <c r="AJ571" s="521"/>
      <c r="AK571" s="521"/>
      <c r="AN571" s="521"/>
      <c r="AO571" s="521"/>
      <c r="AP571" s="521"/>
      <c r="AQ571" s="521"/>
    </row>
    <row r="572" spans="2:43" s="196" customFormat="1">
      <c r="B572" s="521"/>
      <c r="C572" s="521"/>
      <c r="D572" s="521"/>
      <c r="E572" s="521"/>
      <c r="Y572" s="521"/>
      <c r="AA572" s="6"/>
      <c r="AB572" s="369"/>
      <c r="AC572" s="521"/>
      <c r="AD572" s="521"/>
      <c r="AE572" s="521"/>
      <c r="AH572" s="521"/>
      <c r="AI572" s="521"/>
      <c r="AJ572" s="521"/>
      <c r="AK572" s="521"/>
      <c r="AN572" s="521"/>
      <c r="AO572" s="521"/>
      <c r="AP572" s="521"/>
      <c r="AQ572" s="521"/>
    </row>
    <row r="573" spans="2:43" s="196" customFormat="1">
      <c r="B573" s="521"/>
      <c r="C573" s="521"/>
      <c r="D573" s="521"/>
      <c r="E573" s="521"/>
      <c r="Y573" s="521"/>
      <c r="AA573" s="6"/>
      <c r="AB573" s="369"/>
      <c r="AC573" s="521"/>
      <c r="AD573" s="521"/>
      <c r="AE573" s="521"/>
      <c r="AH573" s="521"/>
      <c r="AI573" s="521"/>
      <c r="AJ573" s="521"/>
      <c r="AK573" s="521"/>
      <c r="AN573" s="521"/>
      <c r="AO573" s="521"/>
      <c r="AP573" s="521"/>
      <c r="AQ573" s="521"/>
    </row>
    <row r="574" spans="2:43" s="196" customFormat="1">
      <c r="B574" s="521"/>
      <c r="C574" s="521"/>
      <c r="D574" s="521"/>
      <c r="E574" s="521"/>
      <c r="Y574" s="521"/>
      <c r="AA574" s="6"/>
      <c r="AB574" s="369"/>
      <c r="AC574" s="521"/>
      <c r="AD574" s="521"/>
      <c r="AE574" s="521"/>
      <c r="AH574" s="521"/>
      <c r="AI574" s="521"/>
      <c r="AJ574" s="521"/>
      <c r="AK574" s="521"/>
      <c r="AN574" s="521"/>
      <c r="AO574" s="521"/>
      <c r="AP574" s="521"/>
      <c r="AQ574" s="521"/>
    </row>
    <row r="575" spans="2:43" s="196" customFormat="1">
      <c r="B575" s="521"/>
      <c r="C575" s="521"/>
      <c r="D575" s="521"/>
      <c r="E575" s="521"/>
      <c r="Y575" s="521"/>
      <c r="AA575" s="6"/>
      <c r="AB575" s="369"/>
      <c r="AC575" s="521"/>
      <c r="AD575" s="521"/>
      <c r="AE575" s="521"/>
      <c r="AH575" s="521"/>
      <c r="AI575" s="521"/>
      <c r="AJ575" s="521"/>
      <c r="AK575" s="521"/>
      <c r="AN575" s="521"/>
      <c r="AO575" s="521"/>
      <c r="AP575" s="521"/>
      <c r="AQ575" s="521"/>
    </row>
    <row r="576" spans="2:43" s="196" customFormat="1">
      <c r="B576" s="521"/>
      <c r="C576" s="521"/>
      <c r="D576" s="521"/>
      <c r="E576" s="521"/>
      <c r="Y576" s="521"/>
      <c r="AA576" s="6"/>
      <c r="AB576" s="369"/>
      <c r="AC576" s="521"/>
      <c r="AD576" s="521"/>
      <c r="AE576" s="521"/>
      <c r="AH576" s="521"/>
      <c r="AI576" s="521"/>
      <c r="AJ576" s="521"/>
      <c r="AK576" s="521"/>
      <c r="AN576" s="521"/>
      <c r="AO576" s="521"/>
      <c r="AP576" s="521"/>
      <c r="AQ576" s="521"/>
    </row>
    <row r="577" spans="2:43" s="196" customFormat="1">
      <c r="B577" s="521"/>
      <c r="C577" s="521"/>
      <c r="D577" s="521"/>
      <c r="E577" s="521"/>
      <c r="Y577" s="521"/>
      <c r="AA577" s="6"/>
      <c r="AB577" s="369"/>
      <c r="AC577" s="521"/>
      <c r="AD577" s="521"/>
      <c r="AE577" s="521"/>
      <c r="AH577" s="521"/>
      <c r="AI577" s="521"/>
      <c r="AJ577" s="521"/>
      <c r="AK577" s="521"/>
      <c r="AN577" s="521"/>
      <c r="AO577" s="521"/>
      <c r="AP577" s="521"/>
      <c r="AQ577" s="521"/>
    </row>
    <row r="578" spans="2:43" s="196" customFormat="1">
      <c r="B578" s="521"/>
      <c r="C578" s="521"/>
      <c r="D578" s="521"/>
      <c r="E578" s="521"/>
      <c r="Y578" s="521"/>
      <c r="AA578" s="6"/>
      <c r="AB578" s="369"/>
      <c r="AC578" s="521"/>
      <c r="AD578" s="521"/>
      <c r="AE578" s="521"/>
      <c r="AH578" s="521"/>
      <c r="AI578" s="521"/>
      <c r="AJ578" s="521"/>
      <c r="AK578" s="521"/>
      <c r="AN578" s="521"/>
      <c r="AO578" s="521"/>
      <c r="AP578" s="521"/>
      <c r="AQ578" s="521"/>
    </row>
    <row r="579" spans="2:43" s="196" customFormat="1">
      <c r="B579" s="521"/>
      <c r="C579" s="521"/>
      <c r="D579" s="521"/>
      <c r="E579" s="521"/>
      <c r="Y579" s="521"/>
      <c r="AA579" s="6"/>
      <c r="AB579" s="369"/>
      <c r="AC579" s="521"/>
      <c r="AD579" s="521"/>
      <c r="AE579" s="521"/>
      <c r="AH579" s="521"/>
      <c r="AI579" s="521"/>
      <c r="AJ579" s="521"/>
      <c r="AK579" s="521"/>
      <c r="AN579" s="521"/>
      <c r="AO579" s="521"/>
      <c r="AP579" s="521"/>
      <c r="AQ579" s="521"/>
    </row>
    <row r="580" spans="2:43" s="196" customFormat="1">
      <c r="B580" s="521"/>
      <c r="C580" s="521"/>
      <c r="D580" s="521"/>
      <c r="E580" s="521"/>
      <c r="Y580" s="521"/>
      <c r="AA580" s="6"/>
      <c r="AB580" s="369"/>
      <c r="AC580" s="521"/>
      <c r="AD580" s="521"/>
      <c r="AE580" s="521"/>
      <c r="AH580" s="521"/>
      <c r="AI580" s="521"/>
      <c r="AJ580" s="521"/>
      <c r="AK580" s="521"/>
      <c r="AN580" s="521"/>
      <c r="AO580" s="521"/>
      <c r="AP580" s="521"/>
      <c r="AQ580" s="521"/>
    </row>
    <row r="581" spans="2:43" s="196" customFormat="1">
      <c r="B581" s="521"/>
      <c r="C581" s="521"/>
      <c r="D581" s="521"/>
      <c r="E581" s="521"/>
      <c r="Y581" s="521"/>
      <c r="AA581" s="6"/>
      <c r="AB581" s="369"/>
      <c r="AC581" s="521"/>
      <c r="AD581" s="521"/>
      <c r="AE581" s="521"/>
      <c r="AH581" s="521"/>
      <c r="AI581" s="521"/>
      <c r="AJ581" s="521"/>
      <c r="AK581" s="521"/>
      <c r="AN581" s="521"/>
      <c r="AO581" s="521"/>
      <c r="AP581" s="521"/>
      <c r="AQ581" s="521"/>
    </row>
    <row r="582" spans="2:43" s="196" customFormat="1">
      <c r="B582" s="521"/>
      <c r="C582" s="521"/>
      <c r="D582" s="521"/>
      <c r="E582" s="521"/>
      <c r="Y582" s="521"/>
      <c r="AA582" s="6"/>
      <c r="AB582" s="369"/>
      <c r="AC582" s="521"/>
      <c r="AD582" s="521"/>
      <c r="AE582" s="521"/>
      <c r="AH582" s="521"/>
      <c r="AI582" s="521"/>
      <c r="AJ582" s="521"/>
      <c r="AK582" s="521"/>
      <c r="AN582" s="521"/>
      <c r="AO582" s="521"/>
      <c r="AP582" s="521"/>
      <c r="AQ582" s="521"/>
    </row>
    <row r="583" spans="2:43" s="196" customFormat="1">
      <c r="B583" s="521"/>
      <c r="C583" s="521"/>
      <c r="D583" s="521"/>
      <c r="E583" s="521"/>
      <c r="Y583" s="521"/>
      <c r="AA583" s="6"/>
      <c r="AB583" s="369"/>
      <c r="AC583" s="521"/>
      <c r="AD583" s="521"/>
      <c r="AE583" s="521"/>
      <c r="AH583" s="521"/>
      <c r="AI583" s="521"/>
      <c r="AJ583" s="521"/>
      <c r="AK583" s="521"/>
      <c r="AN583" s="521"/>
      <c r="AO583" s="521"/>
      <c r="AP583" s="521"/>
      <c r="AQ583" s="521"/>
    </row>
    <row r="584" spans="2:43" s="196" customFormat="1">
      <c r="B584" s="521"/>
      <c r="C584" s="521"/>
      <c r="D584" s="521"/>
      <c r="E584" s="521"/>
      <c r="Y584" s="521"/>
      <c r="AA584" s="6"/>
      <c r="AB584" s="369"/>
      <c r="AC584" s="521"/>
      <c r="AD584" s="521"/>
      <c r="AE584" s="521"/>
      <c r="AH584" s="521"/>
      <c r="AI584" s="521"/>
      <c r="AJ584" s="521"/>
      <c r="AK584" s="521"/>
      <c r="AN584" s="521"/>
      <c r="AO584" s="521"/>
      <c r="AP584" s="521"/>
      <c r="AQ584" s="521"/>
    </row>
    <row r="585" spans="2:43" s="196" customFormat="1">
      <c r="B585" s="521"/>
      <c r="C585" s="521"/>
      <c r="D585" s="521"/>
      <c r="E585" s="521"/>
      <c r="Y585" s="521"/>
      <c r="AA585" s="6"/>
      <c r="AB585" s="369"/>
      <c r="AC585" s="521"/>
      <c r="AD585" s="521"/>
      <c r="AE585" s="521"/>
      <c r="AH585" s="521"/>
      <c r="AI585" s="521"/>
      <c r="AJ585" s="521"/>
      <c r="AK585" s="521"/>
      <c r="AN585" s="521"/>
      <c r="AO585" s="521"/>
      <c r="AP585" s="521"/>
      <c r="AQ585" s="521"/>
    </row>
    <row r="586" spans="2:43" s="196" customFormat="1">
      <c r="B586" s="521"/>
      <c r="C586" s="521"/>
      <c r="D586" s="521"/>
      <c r="E586" s="521"/>
      <c r="Y586" s="521"/>
      <c r="AA586" s="6"/>
      <c r="AB586" s="369"/>
      <c r="AC586" s="521"/>
      <c r="AD586" s="521"/>
      <c r="AE586" s="521"/>
      <c r="AH586" s="521"/>
      <c r="AI586" s="521"/>
      <c r="AJ586" s="521"/>
      <c r="AK586" s="521"/>
      <c r="AN586" s="521"/>
      <c r="AO586" s="521"/>
      <c r="AP586" s="521"/>
      <c r="AQ586" s="521"/>
    </row>
    <row r="587" spans="2:43" s="196" customFormat="1">
      <c r="B587" s="521"/>
      <c r="C587" s="521"/>
      <c r="D587" s="521"/>
      <c r="E587" s="521"/>
      <c r="Y587" s="521"/>
      <c r="AA587" s="6"/>
      <c r="AB587" s="369"/>
      <c r="AC587" s="521"/>
      <c r="AD587" s="521"/>
      <c r="AE587" s="521"/>
      <c r="AH587" s="521"/>
      <c r="AI587" s="521"/>
      <c r="AJ587" s="521"/>
      <c r="AK587" s="521"/>
      <c r="AN587" s="521"/>
      <c r="AO587" s="521"/>
      <c r="AP587" s="521"/>
      <c r="AQ587" s="521"/>
    </row>
    <row r="588" spans="2:43" s="196" customFormat="1">
      <c r="B588" s="521"/>
      <c r="C588" s="521"/>
      <c r="D588" s="521"/>
      <c r="E588" s="521"/>
      <c r="Y588" s="521"/>
      <c r="AA588" s="6"/>
      <c r="AB588" s="369"/>
      <c r="AC588" s="521"/>
      <c r="AD588" s="521"/>
      <c r="AE588" s="521"/>
      <c r="AH588" s="521"/>
      <c r="AI588" s="521"/>
      <c r="AJ588" s="521"/>
      <c r="AK588" s="521"/>
      <c r="AN588" s="521"/>
      <c r="AO588" s="521"/>
      <c r="AP588" s="521"/>
      <c r="AQ588" s="521"/>
    </row>
    <row r="589" spans="2:43" s="196" customFormat="1">
      <c r="B589" s="521"/>
      <c r="C589" s="521"/>
      <c r="D589" s="521"/>
      <c r="E589" s="521"/>
      <c r="Y589" s="521"/>
      <c r="AA589" s="6"/>
      <c r="AB589" s="369"/>
      <c r="AC589" s="521"/>
      <c r="AD589" s="521"/>
      <c r="AE589" s="521"/>
      <c r="AH589" s="521"/>
      <c r="AI589" s="521"/>
      <c r="AJ589" s="521"/>
      <c r="AK589" s="521"/>
      <c r="AN589" s="521"/>
      <c r="AO589" s="521"/>
      <c r="AP589" s="521"/>
      <c r="AQ589" s="521"/>
    </row>
    <row r="590" spans="2:43" s="196" customFormat="1">
      <c r="B590" s="521"/>
      <c r="C590" s="521"/>
      <c r="D590" s="521"/>
      <c r="E590" s="521"/>
      <c r="Y590" s="521"/>
      <c r="AA590" s="6"/>
      <c r="AB590" s="369"/>
      <c r="AC590" s="521"/>
      <c r="AD590" s="521"/>
      <c r="AE590" s="521"/>
      <c r="AH590" s="521"/>
      <c r="AI590" s="521"/>
      <c r="AJ590" s="521"/>
      <c r="AK590" s="521"/>
      <c r="AN590" s="521"/>
      <c r="AO590" s="521"/>
      <c r="AP590" s="521"/>
      <c r="AQ590" s="521"/>
    </row>
    <row r="591" spans="2:43" s="196" customFormat="1">
      <c r="B591" s="521"/>
      <c r="C591" s="521"/>
      <c r="D591" s="521"/>
      <c r="E591" s="521"/>
      <c r="Y591" s="521"/>
      <c r="AA591" s="6"/>
      <c r="AB591" s="369"/>
      <c r="AC591" s="521"/>
      <c r="AD591" s="521"/>
      <c r="AE591" s="521"/>
      <c r="AH591" s="521"/>
      <c r="AI591" s="521"/>
      <c r="AJ591" s="521"/>
      <c r="AK591" s="521"/>
      <c r="AN591" s="521"/>
      <c r="AO591" s="521"/>
      <c r="AP591" s="521"/>
      <c r="AQ591" s="521"/>
    </row>
    <row r="592" spans="2:43" s="196" customFormat="1">
      <c r="B592" s="521"/>
      <c r="C592" s="521"/>
      <c r="D592" s="521"/>
      <c r="E592" s="521"/>
      <c r="Y592" s="521"/>
      <c r="AA592" s="6"/>
      <c r="AB592" s="369"/>
      <c r="AC592" s="521"/>
      <c r="AD592" s="521"/>
      <c r="AE592" s="521"/>
      <c r="AH592" s="521"/>
      <c r="AI592" s="521"/>
      <c r="AJ592" s="521"/>
      <c r="AK592" s="521"/>
      <c r="AN592" s="521"/>
      <c r="AO592" s="521"/>
      <c r="AP592" s="521"/>
      <c r="AQ592" s="521"/>
    </row>
    <row r="593" spans="2:43" s="196" customFormat="1">
      <c r="B593" s="521"/>
      <c r="C593" s="521"/>
      <c r="D593" s="521"/>
      <c r="E593" s="521"/>
      <c r="Y593" s="521"/>
      <c r="AA593" s="6"/>
      <c r="AB593" s="369"/>
      <c r="AC593" s="521"/>
      <c r="AD593" s="521"/>
      <c r="AE593" s="521"/>
      <c r="AH593" s="521"/>
      <c r="AI593" s="521"/>
      <c r="AJ593" s="521"/>
      <c r="AK593" s="521"/>
      <c r="AN593" s="521"/>
      <c r="AO593" s="521"/>
      <c r="AP593" s="521"/>
      <c r="AQ593" s="521"/>
    </row>
    <row r="594" spans="2:43" s="196" customFormat="1">
      <c r="B594" s="521"/>
      <c r="C594" s="521"/>
      <c r="D594" s="521"/>
      <c r="E594" s="521"/>
      <c r="Y594" s="521"/>
      <c r="AA594" s="6"/>
      <c r="AB594" s="369"/>
      <c r="AC594" s="521"/>
      <c r="AD594" s="521"/>
      <c r="AE594" s="521"/>
      <c r="AH594" s="521"/>
      <c r="AI594" s="521"/>
      <c r="AJ594" s="521"/>
      <c r="AK594" s="521"/>
      <c r="AN594" s="521"/>
      <c r="AO594" s="521"/>
      <c r="AP594" s="521"/>
      <c r="AQ594" s="521"/>
    </row>
    <row r="595" spans="2:43" s="196" customFormat="1">
      <c r="B595" s="521"/>
      <c r="C595" s="521"/>
      <c r="D595" s="521"/>
      <c r="E595" s="521"/>
      <c r="Y595" s="521"/>
      <c r="AA595" s="6"/>
      <c r="AB595" s="369"/>
      <c r="AC595" s="521"/>
      <c r="AD595" s="521"/>
      <c r="AE595" s="521"/>
      <c r="AH595" s="521"/>
      <c r="AI595" s="521"/>
      <c r="AJ595" s="521"/>
      <c r="AK595" s="521"/>
      <c r="AN595" s="521"/>
      <c r="AO595" s="521"/>
      <c r="AP595" s="521"/>
      <c r="AQ595" s="521"/>
    </row>
    <row r="596" spans="2:43" s="196" customFormat="1">
      <c r="B596" s="521"/>
      <c r="C596" s="521"/>
      <c r="D596" s="521"/>
      <c r="E596" s="521"/>
      <c r="Y596" s="521"/>
      <c r="AA596" s="6"/>
      <c r="AB596" s="369"/>
      <c r="AC596" s="521"/>
      <c r="AD596" s="521"/>
      <c r="AE596" s="521"/>
      <c r="AH596" s="521"/>
      <c r="AI596" s="521"/>
      <c r="AJ596" s="521"/>
      <c r="AK596" s="521"/>
      <c r="AN596" s="521"/>
      <c r="AO596" s="521"/>
      <c r="AP596" s="521"/>
      <c r="AQ596" s="521"/>
    </row>
    <row r="597" spans="2:43" s="196" customFormat="1">
      <c r="B597" s="521"/>
      <c r="C597" s="521"/>
      <c r="D597" s="521"/>
      <c r="E597" s="521"/>
      <c r="Y597" s="521"/>
      <c r="AA597" s="6"/>
      <c r="AB597" s="369"/>
      <c r="AC597" s="521"/>
      <c r="AD597" s="521"/>
      <c r="AE597" s="521"/>
      <c r="AH597" s="521"/>
      <c r="AI597" s="521"/>
      <c r="AJ597" s="521"/>
      <c r="AK597" s="521"/>
      <c r="AN597" s="521"/>
      <c r="AO597" s="521"/>
      <c r="AP597" s="521"/>
      <c r="AQ597" s="521"/>
    </row>
    <row r="598" spans="2:43" s="196" customFormat="1">
      <c r="B598" s="521"/>
      <c r="C598" s="521"/>
      <c r="D598" s="521"/>
      <c r="E598" s="521"/>
      <c r="Y598" s="521"/>
      <c r="AA598" s="6"/>
      <c r="AB598" s="369"/>
      <c r="AC598" s="521"/>
      <c r="AD598" s="521"/>
      <c r="AE598" s="521"/>
      <c r="AH598" s="521"/>
      <c r="AI598" s="521"/>
      <c r="AJ598" s="521"/>
      <c r="AK598" s="521"/>
      <c r="AN598" s="521"/>
      <c r="AO598" s="521"/>
      <c r="AP598" s="521"/>
      <c r="AQ598" s="521"/>
    </row>
    <row r="599" spans="2:43" s="196" customFormat="1">
      <c r="B599" s="521"/>
      <c r="C599" s="521"/>
      <c r="D599" s="521"/>
      <c r="E599" s="521"/>
      <c r="Y599" s="521"/>
      <c r="AA599" s="6"/>
      <c r="AB599" s="369"/>
      <c r="AC599" s="521"/>
      <c r="AD599" s="521"/>
      <c r="AE599" s="521"/>
      <c r="AH599" s="521"/>
      <c r="AI599" s="521"/>
      <c r="AJ599" s="521"/>
      <c r="AK599" s="521"/>
      <c r="AN599" s="521"/>
      <c r="AO599" s="521"/>
      <c r="AP599" s="521"/>
      <c r="AQ599" s="521"/>
    </row>
    <row r="600" spans="2:43" s="196" customFormat="1">
      <c r="B600" s="521"/>
      <c r="C600" s="521"/>
      <c r="D600" s="521"/>
      <c r="E600" s="521"/>
      <c r="Y600" s="521"/>
      <c r="AA600" s="6"/>
      <c r="AB600" s="369"/>
      <c r="AC600" s="521"/>
      <c r="AD600" s="521"/>
      <c r="AE600" s="521"/>
      <c r="AH600" s="521"/>
      <c r="AI600" s="521"/>
      <c r="AJ600" s="521"/>
      <c r="AK600" s="521"/>
      <c r="AN600" s="521"/>
      <c r="AO600" s="521"/>
      <c r="AP600" s="521"/>
      <c r="AQ600" s="521"/>
    </row>
    <row r="601" spans="2:43" s="196" customFormat="1">
      <c r="B601" s="521"/>
      <c r="C601" s="521"/>
      <c r="D601" s="521"/>
      <c r="E601" s="521"/>
      <c r="Y601" s="521"/>
      <c r="AA601" s="6"/>
      <c r="AB601" s="369"/>
      <c r="AC601" s="521"/>
      <c r="AD601" s="521"/>
      <c r="AE601" s="521"/>
      <c r="AH601" s="521"/>
      <c r="AI601" s="521"/>
      <c r="AJ601" s="521"/>
      <c r="AK601" s="521"/>
      <c r="AN601" s="521"/>
      <c r="AO601" s="521"/>
      <c r="AP601" s="521"/>
      <c r="AQ601" s="521"/>
    </row>
    <row r="602" spans="2:43" s="196" customFormat="1">
      <c r="B602" s="521"/>
      <c r="C602" s="521"/>
      <c r="D602" s="521"/>
      <c r="E602" s="521"/>
      <c r="Y602" s="521"/>
      <c r="AA602" s="6"/>
      <c r="AB602" s="369"/>
      <c r="AC602" s="521"/>
      <c r="AD602" s="521"/>
      <c r="AE602" s="521"/>
      <c r="AH602" s="521"/>
      <c r="AI602" s="521"/>
      <c r="AJ602" s="521"/>
      <c r="AK602" s="521"/>
      <c r="AN602" s="521"/>
      <c r="AO602" s="521"/>
      <c r="AP602" s="521"/>
      <c r="AQ602" s="521"/>
    </row>
    <row r="603" spans="2:43" s="196" customFormat="1">
      <c r="B603" s="521"/>
      <c r="C603" s="521"/>
      <c r="D603" s="521"/>
      <c r="E603" s="521"/>
      <c r="Y603" s="521"/>
      <c r="AA603" s="6"/>
      <c r="AB603" s="369"/>
      <c r="AC603" s="521"/>
      <c r="AD603" s="521"/>
      <c r="AE603" s="521"/>
      <c r="AH603" s="521"/>
      <c r="AI603" s="521"/>
      <c r="AJ603" s="521"/>
      <c r="AK603" s="521"/>
      <c r="AN603" s="521"/>
      <c r="AO603" s="521"/>
      <c r="AP603" s="521"/>
      <c r="AQ603" s="521"/>
    </row>
    <row r="604" spans="2:43" s="196" customFormat="1">
      <c r="B604" s="521"/>
      <c r="C604" s="521"/>
      <c r="D604" s="521"/>
      <c r="E604" s="521"/>
      <c r="Y604" s="521"/>
      <c r="AA604" s="6"/>
      <c r="AB604" s="369"/>
      <c r="AC604" s="521"/>
      <c r="AD604" s="521"/>
      <c r="AE604" s="521"/>
      <c r="AH604" s="521"/>
      <c r="AI604" s="521"/>
      <c r="AJ604" s="521"/>
      <c r="AK604" s="521"/>
      <c r="AN604" s="521"/>
      <c r="AO604" s="521"/>
      <c r="AP604" s="521"/>
      <c r="AQ604" s="521"/>
    </row>
    <row r="605" spans="2:43" s="196" customFormat="1">
      <c r="B605" s="521"/>
      <c r="C605" s="521"/>
      <c r="D605" s="521"/>
      <c r="E605" s="521"/>
      <c r="Y605" s="521"/>
      <c r="AA605" s="6"/>
      <c r="AB605" s="369"/>
      <c r="AC605" s="521"/>
      <c r="AD605" s="521"/>
      <c r="AE605" s="521"/>
      <c r="AH605" s="521"/>
      <c r="AI605" s="521"/>
      <c r="AJ605" s="521"/>
      <c r="AK605" s="521"/>
      <c r="AN605" s="521"/>
      <c r="AO605" s="521"/>
      <c r="AP605" s="521"/>
      <c r="AQ605" s="521"/>
    </row>
    <row r="606" spans="2:43" s="196" customFormat="1">
      <c r="B606" s="521"/>
      <c r="C606" s="521"/>
      <c r="D606" s="521"/>
      <c r="E606" s="521"/>
      <c r="Y606" s="521"/>
      <c r="AA606" s="6"/>
      <c r="AB606" s="369"/>
      <c r="AC606" s="521"/>
      <c r="AD606" s="521"/>
      <c r="AE606" s="521"/>
      <c r="AH606" s="521"/>
      <c r="AI606" s="521"/>
      <c r="AJ606" s="521"/>
      <c r="AK606" s="521"/>
      <c r="AN606" s="521"/>
      <c r="AO606" s="521"/>
      <c r="AP606" s="521"/>
      <c r="AQ606" s="521"/>
    </row>
    <row r="607" spans="2:43" s="196" customFormat="1">
      <c r="B607" s="521"/>
      <c r="C607" s="521"/>
      <c r="D607" s="521"/>
      <c r="E607" s="521"/>
      <c r="Y607" s="521"/>
      <c r="AA607" s="6"/>
      <c r="AB607" s="369"/>
      <c r="AC607" s="521"/>
      <c r="AD607" s="521"/>
      <c r="AE607" s="521"/>
      <c r="AH607" s="521"/>
      <c r="AI607" s="521"/>
      <c r="AJ607" s="521"/>
      <c r="AK607" s="521"/>
      <c r="AN607" s="521"/>
      <c r="AO607" s="521"/>
      <c r="AP607" s="521"/>
      <c r="AQ607" s="521"/>
    </row>
    <row r="608" spans="2:43" s="196" customFormat="1">
      <c r="B608" s="521"/>
      <c r="C608" s="521"/>
      <c r="D608" s="521"/>
      <c r="E608" s="521"/>
      <c r="Y608" s="521"/>
      <c r="AA608" s="6"/>
      <c r="AB608" s="369"/>
      <c r="AC608" s="521"/>
      <c r="AD608" s="521"/>
      <c r="AE608" s="521"/>
      <c r="AH608" s="521"/>
      <c r="AI608" s="521"/>
      <c r="AJ608" s="521"/>
      <c r="AK608" s="521"/>
      <c r="AN608" s="521"/>
      <c r="AO608" s="521"/>
      <c r="AP608" s="521"/>
      <c r="AQ608" s="521"/>
    </row>
    <row r="609" spans="2:43" s="196" customFormat="1">
      <c r="B609" s="521"/>
      <c r="C609" s="521"/>
      <c r="D609" s="521"/>
      <c r="E609" s="521"/>
      <c r="Y609" s="521"/>
      <c r="AA609" s="6"/>
      <c r="AB609" s="369"/>
      <c r="AC609" s="521"/>
      <c r="AD609" s="521"/>
      <c r="AE609" s="521"/>
      <c r="AH609" s="521"/>
      <c r="AI609" s="521"/>
      <c r="AJ609" s="521"/>
      <c r="AK609" s="521"/>
      <c r="AN609" s="521"/>
      <c r="AO609" s="521"/>
      <c r="AP609" s="521"/>
      <c r="AQ609" s="521"/>
    </row>
    <row r="610" spans="2:43" s="196" customFormat="1">
      <c r="B610" s="521"/>
      <c r="C610" s="521"/>
      <c r="D610" s="521"/>
      <c r="E610" s="521"/>
      <c r="Y610" s="521"/>
      <c r="AA610" s="6"/>
      <c r="AB610" s="369"/>
      <c r="AC610" s="521"/>
      <c r="AD610" s="521"/>
      <c r="AE610" s="521"/>
      <c r="AH610" s="521"/>
      <c r="AI610" s="521"/>
      <c r="AJ610" s="521"/>
      <c r="AK610" s="521"/>
      <c r="AN610" s="521"/>
      <c r="AO610" s="521"/>
      <c r="AP610" s="521"/>
      <c r="AQ610" s="521"/>
    </row>
    <row r="611" spans="2:43" s="196" customFormat="1">
      <c r="B611" s="521"/>
      <c r="C611" s="521"/>
      <c r="D611" s="521"/>
      <c r="E611" s="521"/>
      <c r="Y611" s="521"/>
      <c r="AA611" s="6"/>
      <c r="AB611" s="369"/>
      <c r="AC611" s="521"/>
      <c r="AD611" s="521"/>
      <c r="AE611" s="521"/>
      <c r="AH611" s="521"/>
      <c r="AI611" s="521"/>
      <c r="AJ611" s="521"/>
      <c r="AK611" s="521"/>
      <c r="AN611" s="521"/>
      <c r="AO611" s="521"/>
      <c r="AP611" s="521"/>
      <c r="AQ611" s="521"/>
    </row>
    <row r="612" spans="2:43" s="196" customFormat="1">
      <c r="B612" s="521"/>
      <c r="C612" s="521"/>
      <c r="D612" s="521"/>
      <c r="E612" s="521"/>
      <c r="Y612" s="521"/>
      <c r="AA612" s="6"/>
      <c r="AB612" s="369"/>
      <c r="AC612" s="521"/>
      <c r="AD612" s="521"/>
      <c r="AE612" s="521"/>
      <c r="AH612" s="521"/>
      <c r="AI612" s="521"/>
      <c r="AJ612" s="521"/>
      <c r="AK612" s="521"/>
      <c r="AN612" s="521"/>
      <c r="AO612" s="521"/>
      <c r="AP612" s="521"/>
      <c r="AQ612" s="521"/>
    </row>
    <row r="613" spans="2:43" s="196" customFormat="1">
      <c r="B613" s="521"/>
      <c r="C613" s="521"/>
      <c r="D613" s="521"/>
      <c r="E613" s="521"/>
      <c r="Y613" s="521"/>
      <c r="AA613" s="6"/>
      <c r="AB613" s="369"/>
      <c r="AC613" s="521"/>
      <c r="AD613" s="521"/>
      <c r="AE613" s="521"/>
      <c r="AH613" s="521"/>
      <c r="AI613" s="521"/>
      <c r="AJ613" s="521"/>
      <c r="AK613" s="521"/>
      <c r="AN613" s="521"/>
      <c r="AO613" s="521"/>
      <c r="AP613" s="521"/>
      <c r="AQ613" s="521"/>
    </row>
    <row r="614" spans="2:43" s="196" customFormat="1">
      <c r="B614" s="521"/>
      <c r="C614" s="521"/>
      <c r="D614" s="521"/>
      <c r="E614" s="521"/>
      <c r="Y614" s="521"/>
      <c r="AA614" s="6"/>
      <c r="AB614" s="369"/>
      <c r="AC614" s="521"/>
      <c r="AD614" s="521"/>
      <c r="AE614" s="521"/>
      <c r="AH614" s="521"/>
      <c r="AI614" s="521"/>
      <c r="AJ614" s="521"/>
      <c r="AK614" s="521"/>
      <c r="AN614" s="521"/>
      <c r="AO614" s="521"/>
      <c r="AP614" s="521"/>
      <c r="AQ614" s="521"/>
    </row>
    <row r="615" spans="2:43" s="196" customFormat="1">
      <c r="B615" s="521"/>
      <c r="C615" s="521"/>
      <c r="D615" s="521"/>
      <c r="E615" s="521"/>
      <c r="Y615" s="521"/>
      <c r="AA615" s="6"/>
      <c r="AB615" s="369"/>
      <c r="AC615" s="521"/>
      <c r="AD615" s="521"/>
      <c r="AE615" s="521"/>
      <c r="AH615" s="521"/>
      <c r="AI615" s="521"/>
      <c r="AJ615" s="521"/>
      <c r="AK615" s="521"/>
      <c r="AN615" s="521"/>
      <c r="AO615" s="521"/>
      <c r="AP615" s="521"/>
      <c r="AQ615" s="521"/>
    </row>
    <row r="616" spans="2:43" s="196" customFormat="1">
      <c r="B616" s="521"/>
      <c r="C616" s="521"/>
      <c r="D616" s="521"/>
      <c r="E616" s="521"/>
      <c r="Y616" s="521"/>
      <c r="AA616" s="6"/>
      <c r="AB616" s="369"/>
      <c r="AC616" s="521"/>
      <c r="AD616" s="521"/>
      <c r="AE616" s="521"/>
      <c r="AH616" s="521"/>
      <c r="AI616" s="521"/>
      <c r="AJ616" s="521"/>
      <c r="AK616" s="521"/>
      <c r="AN616" s="521"/>
      <c r="AO616" s="521"/>
      <c r="AP616" s="521"/>
      <c r="AQ616" s="521"/>
    </row>
    <row r="617" spans="2:43" s="196" customFormat="1">
      <c r="B617" s="521"/>
      <c r="C617" s="521"/>
      <c r="D617" s="521"/>
      <c r="E617" s="521"/>
      <c r="Y617" s="521"/>
      <c r="AA617" s="6"/>
      <c r="AB617" s="369"/>
      <c r="AC617" s="521"/>
      <c r="AD617" s="521"/>
      <c r="AE617" s="521"/>
      <c r="AH617" s="521"/>
      <c r="AI617" s="521"/>
      <c r="AJ617" s="521"/>
      <c r="AK617" s="521"/>
      <c r="AN617" s="521"/>
      <c r="AO617" s="521"/>
      <c r="AP617" s="521"/>
      <c r="AQ617" s="521"/>
    </row>
    <row r="618" spans="2:43" s="196" customFormat="1">
      <c r="B618" s="521"/>
      <c r="C618" s="521"/>
      <c r="D618" s="521"/>
      <c r="E618" s="521"/>
      <c r="Y618" s="521"/>
      <c r="AA618" s="6"/>
      <c r="AB618" s="369"/>
      <c r="AC618" s="521"/>
      <c r="AD618" s="521"/>
      <c r="AE618" s="521"/>
      <c r="AH618" s="521"/>
      <c r="AI618" s="521"/>
      <c r="AJ618" s="521"/>
      <c r="AK618" s="521"/>
      <c r="AN618" s="521"/>
      <c r="AO618" s="521"/>
      <c r="AP618" s="521"/>
      <c r="AQ618" s="521"/>
    </row>
    <row r="619" spans="2:43" s="196" customFormat="1">
      <c r="B619" s="521"/>
      <c r="C619" s="521"/>
      <c r="D619" s="521"/>
      <c r="E619" s="521"/>
      <c r="Y619" s="521"/>
      <c r="AA619" s="6"/>
      <c r="AB619" s="369"/>
      <c r="AC619" s="521"/>
      <c r="AD619" s="521"/>
      <c r="AE619" s="521"/>
      <c r="AH619" s="521"/>
      <c r="AI619" s="521"/>
      <c r="AJ619" s="521"/>
      <c r="AK619" s="521"/>
      <c r="AN619" s="521"/>
      <c r="AO619" s="521"/>
      <c r="AP619" s="521"/>
      <c r="AQ619" s="521"/>
    </row>
    <row r="620" spans="2:43" s="196" customFormat="1">
      <c r="B620" s="521"/>
      <c r="C620" s="521"/>
      <c r="D620" s="521"/>
      <c r="E620" s="521"/>
      <c r="Y620" s="521"/>
      <c r="AA620" s="6"/>
      <c r="AB620" s="369"/>
      <c r="AC620" s="521"/>
      <c r="AD620" s="521"/>
      <c r="AE620" s="521"/>
      <c r="AH620" s="521"/>
      <c r="AI620" s="521"/>
      <c r="AJ620" s="521"/>
      <c r="AK620" s="521"/>
      <c r="AN620" s="521"/>
      <c r="AO620" s="521"/>
      <c r="AP620" s="521"/>
      <c r="AQ620" s="521"/>
    </row>
    <row r="621" spans="2:43" s="196" customFormat="1">
      <c r="B621" s="521"/>
      <c r="C621" s="521"/>
      <c r="D621" s="521"/>
      <c r="E621" s="521"/>
      <c r="Y621" s="521"/>
      <c r="AA621" s="6"/>
      <c r="AB621" s="369"/>
      <c r="AC621" s="521"/>
      <c r="AD621" s="521"/>
      <c r="AE621" s="521"/>
      <c r="AH621" s="521"/>
      <c r="AI621" s="521"/>
      <c r="AJ621" s="521"/>
      <c r="AK621" s="521"/>
      <c r="AN621" s="521"/>
      <c r="AO621" s="521"/>
      <c r="AP621" s="521"/>
      <c r="AQ621" s="521"/>
    </row>
    <row r="622" spans="2:43" s="196" customFormat="1">
      <c r="B622" s="521"/>
      <c r="C622" s="521"/>
      <c r="D622" s="521"/>
      <c r="E622" s="521"/>
      <c r="Y622" s="521"/>
      <c r="AA622" s="6"/>
      <c r="AB622" s="369"/>
      <c r="AC622" s="521"/>
      <c r="AD622" s="521"/>
      <c r="AE622" s="521"/>
      <c r="AH622" s="521"/>
      <c r="AI622" s="521"/>
      <c r="AJ622" s="521"/>
      <c r="AK622" s="521"/>
      <c r="AN622" s="521"/>
      <c r="AO622" s="521"/>
      <c r="AP622" s="521"/>
      <c r="AQ622" s="521"/>
    </row>
    <row r="623" spans="2:43" s="196" customFormat="1">
      <c r="B623" s="521"/>
      <c r="C623" s="521"/>
      <c r="D623" s="521"/>
      <c r="E623" s="521"/>
      <c r="Y623" s="521"/>
      <c r="AA623" s="6"/>
      <c r="AB623" s="369"/>
      <c r="AC623" s="521"/>
      <c r="AD623" s="521"/>
      <c r="AE623" s="521"/>
      <c r="AH623" s="521"/>
      <c r="AI623" s="521"/>
      <c r="AJ623" s="521"/>
      <c r="AK623" s="521"/>
      <c r="AN623" s="521"/>
      <c r="AO623" s="521"/>
      <c r="AP623" s="521"/>
      <c r="AQ623" s="521"/>
    </row>
    <row r="624" spans="2:43" s="196" customFormat="1">
      <c r="B624" s="521"/>
      <c r="C624" s="521"/>
      <c r="D624" s="521"/>
      <c r="E624" s="521"/>
      <c r="Y624" s="521"/>
      <c r="AA624" s="6"/>
      <c r="AB624" s="369"/>
      <c r="AC624" s="521"/>
      <c r="AD624" s="521"/>
      <c r="AE624" s="521"/>
      <c r="AH624" s="521"/>
      <c r="AI624" s="521"/>
      <c r="AJ624" s="521"/>
      <c r="AK624" s="521"/>
      <c r="AN624" s="521"/>
      <c r="AO624" s="521"/>
      <c r="AP624" s="521"/>
      <c r="AQ624" s="521"/>
    </row>
    <row r="625" spans="2:43" s="196" customFormat="1">
      <c r="B625" s="521"/>
      <c r="C625" s="521"/>
      <c r="D625" s="521"/>
      <c r="E625" s="521"/>
      <c r="Y625" s="521"/>
      <c r="AA625" s="6"/>
      <c r="AB625" s="369"/>
      <c r="AC625" s="521"/>
      <c r="AD625" s="521"/>
      <c r="AE625" s="521"/>
      <c r="AH625" s="521"/>
      <c r="AI625" s="521"/>
      <c r="AJ625" s="521"/>
      <c r="AK625" s="521"/>
      <c r="AN625" s="521"/>
      <c r="AO625" s="521"/>
      <c r="AP625" s="521"/>
      <c r="AQ625" s="521"/>
    </row>
    <row r="626" spans="2:43" s="196" customFormat="1">
      <c r="B626" s="521"/>
      <c r="C626" s="521"/>
      <c r="D626" s="521"/>
      <c r="E626" s="521"/>
      <c r="Y626" s="521"/>
      <c r="AA626" s="6"/>
      <c r="AB626" s="369"/>
      <c r="AC626" s="521"/>
      <c r="AD626" s="521"/>
      <c r="AE626" s="521"/>
      <c r="AH626" s="521"/>
      <c r="AI626" s="521"/>
      <c r="AJ626" s="521"/>
      <c r="AK626" s="521"/>
      <c r="AN626" s="521"/>
      <c r="AO626" s="521"/>
      <c r="AP626" s="521"/>
      <c r="AQ626" s="521"/>
    </row>
    <row r="627" spans="2:43" s="196" customFormat="1">
      <c r="B627" s="521"/>
      <c r="C627" s="521"/>
      <c r="D627" s="521"/>
      <c r="E627" s="521"/>
      <c r="Y627" s="521"/>
      <c r="AA627" s="6"/>
      <c r="AB627" s="369"/>
      <c r="AC627" s="521"/>
      <c r="AD627" s="521"/>
      <c r="AE627" s="521"/>
      <c r="AH627" s="521"/>
      <c r="AI627" s="521"/>
      <c r="AJ627" s="521"/>
      <c r="AK627" s="521"/>
      <c r="AN627" s="521"/>
      <c r="AO627" s="521"/>
      <c r="AP627" s="521"/>
      <c r="AQ627" s="521"/>
    </row>
    <row r="628" spans="2:43" s="196" customFormat="1">
      <c r="B628" s="521"/>
      <c r="C628" s="521"/>
      <c r="D628" s="521"/>
      <c r="E628" s="521"/>
      <c r="Y628" s="521"/>
      <c r="AA628" s="6"/>
      <c r="AB628" s="369"/>
      <c r="AC628" s="521"/>
      <c r="AD628" s="521"/>
      <c r="AE628" s="521"/>
      <c r="AH628" s="521"/>
      <c r="AI628" s="521"/>
      <c r="AJ628" s="521"/>
      <c r="AK628" s="521"/>
      <c r="AN628" s="521"/>
      <c r="AO628" s="521"/>
      <c r="AP628" s="521"/>
      <c r="AQ628" s="521"/>
    </row>
    <row r="629" spans="2:43" s="196" customFormat="1">
      <c r="B629" s="521"/>
      <c r="C629" s="521"/>
      <c r="D629" s="521"/>
      <c r="E629" s="521"/>
      <c r="Y629" s="521"/>
      <c r="AA629" s="6"/>
      <c r="AB629" s="369"/>
      <c r="AC629" s="521"/>
      <c r="AD629" s="521"/>
      <c r="AE629" s="521"/>
      <c r="AH629" s="521"/>
      <c r="AI629" s="521"/>
      <c r="AJ629" s="521"/>
      <c r="AK629" s="521"/>
      <c r="AN629" s="521"/>
      <c r="AO629" s="521"/>
      <c r="AP629" s="521"/>
      <c r="AQ629" s="521"/>
    </row>
    <row r="630" spans="2:43" s="196" customFormat="1">
      <c r="B630" s="521"/>
      <c r="C630" s="521"/>
      <c r="D630" s="521"/>
      <c r="E630" s="521"/>
      <c r="Y630" s="521"/>
      <c r="AA630" s="6"/>
      <c r="AB630" s="369"/>
      <c r="AC630" s="521"/>
      <c r="AD630" s="521"/>
      <c r="AE630" s="521"/>
      <c r="AH630" s="521"/>
      <c r="AI630" s="521"/>
      <c r="AJ630" s="521"/>
      <c r="AK630" s="521"/>
      <c r="AN630" s="521"/>
      <c r="AO630" s="521"/>
      <c r="AP630" s="521"/>
      <c r="AQ630" s="521"/>
    </row>
    <row r="631" spans="2:43" s="196" customFormat="1">
      <c r="B631" s="521"/>
      <c r="C631" s="521"/>
      <c r="D631" s="521"/>
      <c r="E631" s="521"/>
      <c r="Y631" s="521"/>
      <c r="AA631" s="6"/>
      <c r="AB631" s="369"/>
      <c r="AC631" s="521"/>
      <c r="AD631" s="521"/>
      <c r="AE631" s="521"/>
      <c r="AH631" s="521"/>
      <c r="AI631" s="521"/>
      <c r="AJ631" s="521"/>
      <c r="AK631" s="521"/>
      <c r="AN631" s="521"/>
      <c r="AO631" s="521"/>
      <c r="AP631" s="521"/>
      <c r="AQ631" s="521"/>
    </row>
    <row r="632" spans="2:43" s="196" customFormat="1">
      <c r="B632" s="521"/>
      <c r="C632" s="521"/>
      <c r="D632" s="521"/>
      <c r="E632" s="521"/>
      <c r="Y632" s="521"/>
      <c r="AA632" s="6"/>
      <c r="AB632" s="369"/>
      <c r="AC632" s="521"/>
      <c r="AD632" s="521"/>
      <c r="AE632" s="521"/>
      <c r="AH632" s="521"/>
      <c r="AI632" s="521"/>
      <c r="AJ632" s="521"/>
      <c r="AK632" s="521"/>
      <c r="AN632" s="521"/>
      <c r="AO632" s="521"/>
      <c r="AP632" s="521"/>
      <c r="AQ632" s="521"/>
    </row>
    <row r="633" spans="2:43" s="196" customFormat="1">
      <c r="B633" s="521"/>
      <c r="C633" s="521"/>
      <c r="D633" s="521"/>
      <c r="E633" s="521"/>
      <c r="Y633" s="521"/>
      <c r="AA633" s="6"/>
      <c r="AB633" s="369"/>
      <c r="AC633" s="521"/>
      <c r="AD633" s="521"/>
      <c r="AE633" s="521"/>
      <c r="AH633" s="521"/>
      <c r="AI633" s="521"/>
      <c r="AJ633" s="521"/>
      <c r="AK633" s="521"/>
      <c r="AN633" s="521"/>
      <c r="AO633" s="521"/>
      <c r="AP633" s="521"/>
      <c r="AQ633" s="521"/>
    </row>
    <row r="634" spans="2:43" s="196" customFormat="1">
      <c r="B634" s="521"/>
      <c r="C634" s="521"/>
      <c r="D634" s="521"/>
      <c r="E634" s="521"/>
      <c r="Y634" s="521"/>
      <c r="AA634" s="6"/>
      <c r="AB634" s="369"/>
      <c r="AC634" s="521"/>
      <c r="AD634" s="521"/>
      <c r="AE634" s="521"/>
      <c r="AH634" s="521"/>
      <c r="AI634" s="521"/>
      <c r="AJ634" s="521"/>
      <c r="AK634" s="521"/>
      <c r="AN634" s="521"/>
      <c r="AO634" s="521"/>
      <c r="AP634" s="521"/>
      <c r="AQ634" s="521"/>
    </row>
    <row r="635" spans="2:43" s="196" customFormat="1">
      <c r="B635" s="521"/>
      <c r="C635" s="521"/>
      <c r="D635" s="521"/>
      <c r="E635" s="521"/>
      <c r="Y635" s="521"/>
      <c r="AA635" s="6"/>
      <c r="AB635" s="369"/>
      <c r="AC635" s="521"/>
      <c r="AD635" s="521"/>
      <c r="AE635" s="521"/>
      <c r="AH635" s="521"/>
      <c r="AI635" s="521"/>
      <c r="AJ635" s="521"/>
      <c r="AK635" s="521"/>
      <c r="AN635" s="521"/>
      <c r="AO635" s="521"/>
      <c r="AP635" s="521"/>
      <c r="AQ635" s="521"/>
    </row>
    <row r="636" spans="2:43" s="196" customFormat="1">
      <c r="B636" s="521"/>
      <c r="C636" s="521"/>
      <c r="D636" s="521"/>
      <c r="E636" s="521"/>
      <c r="Y636" s="521"/>
      <c r="AA636" s="6"/>
      <c r="AB636" s="369"/>
      <c r="AC636" s="521"/>
      <c r="AD636" s="521"/>
      <c r="AE636" s="521"/>
      <c r="AH636" s="521"/>
      <c r="AI636" s="521"/>
      <c r="AJ636" s="521"/>
      <c r="AK636" s="521"/>
      <c r="AN636" s="521"/>
      <c r="AO636" s="521"/>
      <c r="AP636" s="521"/>
      <c r="AQ636" s="521"/>
    </row>
    <row r="637" spans="2:43" s="196" customFormat="1">
      <c r="B637" s="521"/>
      <c r="C637" s="521"/>
      <c r="D637" s="521"/>
      <c r="E637" s="521"/>
      <c r="Y637" s="521"/>
      <c r="AA637" s="6"/>
      <c r="AB637" s="369"/>
      <c r="AC637" s="521"/>
      <c r="AD637" s="521"/>
      <c r="AE637" s="521"/>
      <c r="AH637" s="521"/>
      <c r="AI637" s="521"/>
      <c r="AJ637" s="521"/>
      <c r="AK637" s="521"/>
      <c r="AN637" s="521"/>
      <c r="AO637" s="521"/>
      <c r="AP637" s="521"/>
      <c r="AQ637" s="521"/>
    </row>
    <row r="638" spans="2:43" s="196" customFormat="1">
      <c r="B638" s="521"/>
      <c r="C638" s="521"/>
      <c r="D638" s="521"/>
      <c r="E638" s="521"/>
      <c r="Y638" s="521"/>
      <c r="AA638" s="6"/>
      <c r="AB638" s="369"/>
      <c r="AC638" s="521"/>
      <c r="AD638" s="521"/>
      <c r="AE638" s="521"/>
      <c r="AH638" s="521"/>
      <c r="AI638" s="521"/>
      <c r="AJ638" s="521"/>
      <c r="AK638" s="521"/>
      <c r="AN638" s="521"/>
      <c r="AO638" s="521"/>
      <c r="AP638" s="521"/>
      <c r="AQ638" s="521"/>
    </row>
    <row r="639" spans="2:43" s="196" customFormat="1">
      <c r="B639" s="521"/>
      <c r="C639" s="521"/>
      <c r="D639" s="521"/>
      <c r="E639" s="521"/>
      <c r="Y639" s="521"/>
      <c r="AA639" s="6"/>
      <c r="AB639" s="369"/>
      <c r="AC639" s="521"/>
      <c r="AD639" s="521"/>
      <c r="AE639" s="521"/>
      <c r="AH639" s="521"/>
      <c r="AI639" s="521"/>
      <c r="AJ639" s="521"/>
      <c r="AK639" s="521"/>
      <c r="AN639" s="521"/>
      <c r="AO639" s="521"/>
      <c r="AP639" s="521"/>
      <c r="AQ639" s="521"/>
    </row>
    <row r="640" spans="2:43" s="196" customFormat="1">
      <c r="B640" s="521"/>
      <c r="C640" s="521"/>
      <c r="D640" s="521"/>
      <c r="E640" s="521"/>
      <c r="Y640" s="521"/>
      <c r="AA640" s="6"/>
      <c r="AB640" s="369"/>
      <c r="AC640" s="521"/>
      <c r="AD640" s="521"/>
      <c r="AE640" s="521"/>
      <c r="AH640" s="521"/>
      <c r="AI640" s="521"/>
      <c r="AJ640" s="521"/>
      <c r="AK640" s="521"/>
      <c r="AN640" s="521"/>
      <c r="AO640" s="521"/>
      <c r="AP640" s="521"/>
      <c r="AQ640" s="521"/>
    </row>
    <row r="641" spans="2:43" s="196" customFormat="1">
      <c r="B641" s="521"/>
      <c r="C641" s="521"/>
      <c r="D641" s="521"/>
      <c r="E641" s="521"/>
      <c r="Y641" s="521"/>
      <c r="AA641" s="6"/>
      <c r="AB641" s="369"/>
      <c r="AC641" s="521"/>
      <c r="AD641" s="521"/>
      <c r="AE641" s="521"/>
      <c r="AH641" s="521"/>
      <c r="AI641" s="521"/>
      <c r="AJ641" s="521"/>
      <c r="AK641" s="521"/>
      <c r="AN641" s="521"/>
      <c r="AO641" s="521"/>
      <c r="AP641" s="521"/>
      <c r="AQ641" s="521"/>
    </row>
    <row r="642" spans="2:43" s="196" customFormat="1">
      <c r="B642" s="521"/>
      <c r="C642" s="521"/>
      <c r="D642" s="521"/>
      <c r="E642" s="521"/>
      <c r="Y642" s="521"/>
      <c r="AA642" s="6"/>
      <c r="AB642" s="369"/>
      <c r="AC642" s="521"/>
      <c r="AD642" s="521"/>
      <c r="AE642" s="521"/>
      <c r="AH642" s="521"/>
      <c r="AI642" s="521"/>
      <c r="AJ642" s="521"/>
      <c r="AK642" s="521"/>
      <c r="AN642" s="521"/>
      <c r="AO642" s="521"/>
      <c r="AP642" s="521"/>
      <c r="AQ642" s="521"/>
    </row>
    <row r="643" spans="2:43" s="196" customFormat="1">
      <c r="B643" s="521"/>
      <c r="C643" s="521"/>
      <c r="D643" s="521"/>
      <c r="E643" s="521"/>
      <c r="Y643" s="521"/>
      <c r="AA643" s="6"/>
      <c r="AB643" s="369"/>
      <c r="AC643" s="521"/>
      <c r="AD643" s="521"/>
      <c r="AE643" s="521"/>
      <c r="AH643" s="521"/>
      <c r="AI643" s="521"/>
      <c r="AJ643" s="521"/>
      <c r="AK643" s="521"/>
      <c r="AN643" s="521"/>
      <c r="AO643" s="521"/>
      <c r="AP643" s="521"/>
      <c r="AQ643" s="521"/>
    </row>
    <row r="644" spans="2:43" s="196" customFormat="1">
      <c r="B644" s="521"/>
      <c r="C644" s="521"/>
      <c r="D644" s="521"/>
      <c r="E644" s="521"/>
      <c r="Y644" s="521"/>
      <c r="AA644" s="6"/>
      <c r="AB644" s="369"/>
      <c r="AC644" s="521"/>
      <c r="AD644" s="521"/>
      <c r="AE644" s="521"/>
      <c r="AH644" s="521"/>
      <c r="AI644" s="521"/>
      <c r="AJ644" s="521"/>
      <c r="AK644" s="521"/>
      <c r="AN644" s="521"/>
      <c r="AO644" s="521"/>
      <c r="AP644" s="521"/>
      <c r="AQ644" s="521"/>
    </row>
    <row r="645" spans="2:43" s="196" customFormat="1">
      <c r="B645" s="521"/>
      <c r="C645" s="521"/>
      <c r="D645" s="521"/>
      <c r="E645" s="521"/>
      <c r="Y645" s="521"/>
      <c r="AA645" s="6"/>
      <c r="AB645" s="369"/>
      <c r="AC645" s="521"/>
      <c r="AD645" s="521"/>
      <c r="AE645" s="521"/>
      <c r="AH645" s="521"/>
      <c r="AI645" s="521"/>
      <c r="AJ645" s="521"/>
      <c r="AK645" s="521"/>
      <c r="AN645" s="521"/>
      <c r="AO645" s="521"/>
      <c r="AP645" s="521"/>
      <c r="AQ645" s="521"/>
    </row>
    <row r="646" spans="2:43" s="196" customFormat="1">
      <c r="B646" s="521"/>
      <c r="C646" s="521"/>
      <c r="D646" s="521"/>
      <c r="E646" s="521"/>
      <c r="Y646" s="521"/>
      <c r="AA646" s="6"/>
      <c r="AB646" s="369"/>
      <c r="AC646" s="521"/>
      <c r="AD646" s="521"/>
      <c r="AE646" s="521"/>
      <c r="AH646" s="521"/>
      <c r="AI646" s="521"/>
      <c r="AJ646" s="521"/>
      <c r="AK646" s="521"/>
      <c r="AN646" s="521"/>
      <c r="AO646" s="521"/>
      <c r="AP646" s="521"/>
      <c r="AQ646" s="521"/>
    </row>
    <row r="647" spans="2:43" s="196" customFormat="1">
      <c r="B647" s="521"/>
      <c r="C647" s="521"/>
      <c r="D647" s="521"/>
      <c r="E647" s="521"/>
      <c r="Y647" s="521"/>
      <c r="AA647" s="6"/>
      <c r="AB647" s="369"/>
      <c r="AC647" s="521"/>
      <c r="AD647" s="521"/>
      <c r="AE647" s="521"/>
      <c r="AH647" s="521"/>
      <c r="AI647" s="521"/>
      <c r="AJ647" s="521"/>
      <c r="AK647" s="521"/>
      <c r="AN647" s="521"/>
      <c r="AO647" s="521"/>
      <c r="AP647" s="521"/>
      <c r="AQ647" s="521"/>
    </row>
    <row r="648" spans="2:43" s="196" customFormat="1">
      <c r="B648" s="521"/>
      <c r="C648" s="521"/>
      <c r="D648" s="521"/>
      <c r="E648" s="521"/>
      <c r="Y648" s="521"/>
      <c r="AA648" s="6"/>
      <c r="AB648" s="369"/>
      <c r="AC648" s="521"/>
      <c r="AD648" s="521"/>
      <c r="AE648" s="521"/>
      <c r="AH648" s="521"/>
      <c r="AI648" s="521"/>
      <c r="AJ648" s="521"/>
      <c r="AK648" s="521"/>
      <c r="AN648" s="521"/>
      <c r="AO648" s="521"/>
      <c r="AP648" s="521"/>
      <c r="AQ648" s="521"/>
    </row>
    <row r="649" spans="2:43" s="196" customFormat="1">
      <c r="B649" s="521"/>
      <c r="C649" s="521"/>
      <c r="D649" s="521"/>
      <c r="E649" s="521"/>
      <c r="Y649" s="521"/>
      <c r="AA649" s="6"/>
      <c r="AB649" s="369"/>
      <c r="AC649" s="521"/>
      <c r="AD649" s="521"/>
      <c r="AE649" s="521"/>
      <c r="AH649" s="521"/>
      <c r="AI649" s="521"/>
      <c r="AJ649" s="521"/>
      <c r="AK649" s="521"/>
      <c r="AN649" s="521"/>
      <c r="AO649" s="521"/>
      <c r="AP649" s="521"/>
      <c r="AQ649" s="521"/>
    </row>
    <row r="650" spans="2:43" s="196" customFormat="1">
      <c r="B650" s="521"/>
      <c r="C650" s="521"/>
      <c r="D650" s="521"/>
      <c r="E650" s="521"/>
      <c r="Y650" s="521"/>
      <c r="AA650" s="6"/>
      <c r="AB650" s="369"/>
      <c r="AC650" s="521"/>
      <c r="AD650" s="521"/>
      <c r="AE650" s="521"/>
      <c r="AH650" s="521"/>
      <c r="AI650" s="521"/>
      <c r="AJ650" s="521"/>
      <c r="AK650" s="521"/>
      <c r="AN650" s="521"/>
      <c r="AO650" s="521"/>
      <c r="AP650" s="521"/>
      <c r="AQ650" s="521"/>
    </row>
    <row r="651" spans="2:43" s="196" customFormat="1">
      <c r="B651" s="521"/>
      <c r="C651" s="521"/>
      <c r="D651" s="521"/>
      <c r="E651" s="521"/>
      <c r="Y651" s="521"/>
      <c r="AA651" s="6"/>
      <c r="AB651" s="369"/>
      <c r="AC651" s="521"/>
      <c r="AD651" s="521"/>
      <c r="AE651" s="521"/>
      <c r="AH651" s="521"/>
      <c r="AI651" s="521"/>
      <c r="AJ651" s="521"/>
      <c r="AK651" s="521"/>
      <c r="AN651" s="521"/>
      <c r="AO651" s="521"/>
      <c r="AP651" s="521"/>
      <c r="AQ651" s="521"/>
    </row>
    <row r="652" spans="2:43" s="196" customFormat="1">
      <c r="B652" s="521"/>
      <c r="C652" s="521"/>
      <c r="D652" s="521"/>
      <c r="E652" s="521"/>
      <c r="Y652" s="521"/>
      <c r="AA652" s="6"/>
      <c r="AB652" s="369"/>
      <c r="AC652" s="521"/>
      <c r="AD652" s="521"/>
      <c r="AE652" s="521"/>
      <c r="AH652" s="521"/>
      <c r="AI652" s="521"/>
      <c r="AJ652" s="521"/>
      <c r="AK652" s="521"/>
      <c r="AN652" s="521"/>
      <c r="AO652" s="521"/>
      <c r="AP652" s="521"/>
      <c r="AQ652" s="521"/>
    </row>
    <row r="653" spans="2:43" s="196" customFormat="1">
      <c r="B653" s="521"/>
      <c r="C653" s="521"/>
      <c r="D653" s="521"/>
      <c r="E653" s="521"/>
      <c r="Y653" s="521"/>
      <c r="AA653" s="6"/>
      <c r="AB653" s="369"/>
      <c r="AC653" s="521"/>
      <c r="AD653" s="521"/>
      <c r="AE653" s="521"/>
      <c r="AH653" s="521"/>
      <c r="AI653" s="521"/>
      <c r="AJ653" s="521"/>
      <c r="AK653" s="521"/>
      <c r="AN653" s="521"/>
      <c r="AO653" s="521"/>
      <c r="AP653" s="521"/>
      <c r="AQ653" s="521"/>
    </row>
    <row r="654" spans="2:43" s="196" customFormat="1">
      <c r="B654" s="521"/>
      <c r="C654" s="521"/>
      <c r="D654" s="521"/>
      <c r="E654" s="521"/>
      <c r="Y654" s="521"/>
      <c r="AA654" s="6"/>
      <c r="AB654" s="369"/>
      <c r="AC654" s="521"/>
      <c r="AD654" s="521"/>
      <c r="AE654" s="521"/>
      <c r="AH654" s="521"/>
      <c r="AI654" s="521"/>
      <c r="AJ654" s="521"/>
      <c r="AK654" s="521"/>
      <c r="AN654" s="521"/>
      <c r="AO654" s="521"/>
      <c r="AP654" s="521"/>
      <c r="AQ654" s="521"/>
    </row>
    <row r="655" spans="2:43" s="196" customFormat="1">
      <c r="B655" s="521"/>
      <c r="C655" s="521"/>
      <c r="D655" s="521"/>
      <c r="E655" s="521"/>
      <c r="Y655" s="521"/>
      <c r="AA655" s="6"/>
      <c r="AB655" s="369"/>
      <c r="AC655" s="521"/>
      <c r="AD655" s="521"/>
      <c r="AE655" s="521"/>
      <c r="AH655" s="521"/>
      <c r="AI655" s="521"/>
      <c r="AJ655" s="521"/>
      <c r="AK655" s="521"/>
      <c r="AN655" s="521"/>
      <c r="AO655" s="521"/>
      <c r="AP655" s="521"/>
      <c r="AQ655" s="521"/>
    </row>
    <row r="656" spans="2:43" s="196" customFormat="1">
      <c r="B656" s="521"/>
      <c r="C656" s="521"/>
      <c r="D656" s="521"/>
      <c r="E656" s="521"/>
      <c r="Y656" s="521"/>
      <c r="AA656" s="6"/>
      <c r="AB656" s="369"/>
      <c r="AC656" s="521"/>
      <c r="AD656" s="521"/>
      <c r="AE656" s="521"/>
      <c r="AH656" s="521"/>
      <c r="AI656" s="521"/>
      <c r="AJ656" s="521"/>
      <c r="AK656" s="521"/>
      <c r="AN656" s="521"/>
      <c r="AO656" s="521"/>
      <c r="AP656" s="521"/>
      <c r="AQ656" s="521"/>
    </row>
    <row r="657" spans="2:43" s="196" customFormat="1">
      <c r="B657" s="521"/>
      <c r="C657" s="521"/>
      <c r="D657" s="521"/>
      <c r="E657" s="521"/>
      <c r="Y657" s="521"/>
      <c r="AA657" s="6"/>
      <c r="AB657" s="369"/>
      <c r="AC657" s="521"/>
      <c r="AD657" s="521"/>
      <c r="AE657" s="521"/>
      <c r="AH657" s="521"/>
      <c r="AI657" s="521"/>
      <c r="AJ657" s="521"/>
      <c r="AK657" s="521"/>
      <c r="AN657" s="521"/>
      <c r="AO657" s="521"/>
      <c r="AP657" s="521"/>
      <c r="AQ657" s="521"/>
    </row>
    <row r="658" spans="2:43" s="196" customFormat="1">
      <c r="B658" s="521"/>
      <c r="C658" s="521"/>
      <c r="D658" s="521"/>
      <c r="E658" s="521"/>
      <c r="Y658" s="521"/>
      <c r="AA658" s="6"/>
      <c r="AB658" s="369"/>
      <c r="AC658" s="521"/>
      <c r="AD658" s="521"/>
      <c r="AE658" s="521"/>
      <c r="AH658" s="521"/>
      <c r="AI658" s="521"/>
      <c r="AJ658" s="521"/>
      <c r="AK658" s="521"/>
      <c r="AN658" s="521"/>
      <c r="AO658" s="521"/>
      <c r="AP658" s="521"/>
      <c r="AQ658" s="521"/>
    </row>
    <row r="659" spans="2:43" s="196" customFormat="1">
      <c r="B659" s="521"/>
      <c r="C659" s="521"/>
      <c r="D659" s="521"/>
      <c r="E659" s="521"/>
      <c r="Y659" s="521"/>
      <c r="AA659" s="6"/>
      <c r="AB659" s="369"/>
      <c r="AC659" s="521"/>
      <c r="AD659" s="521"/>
      <c r="AE659" s="521"/>
      <c r="AH659" s="521"/>
      <c r="AI659" s="521"/>
      <c r="AJ659" s="521"/>
      <c r="AK659" s="521"/>
      <c r="AN659" s="521"/>
      <c r="AO659" s="521"/>
      <c r="AP659" s="521"/>
      <c r="AQ659" s="521"/>
    </row>
    <row r="660" spans="2:43" s="196" customFormat="1">
      <c r="B660" s="521"/>
      <c r="C660" s="521"/>
      <c r="D660" s="521"/>
      <c r="E660" s="521"/>
      <c r="Y660" s="521"/>
      <c r="AA660" s="6"/>
      <c r="AB660" s="369"/>
      <c r="AC660" s="521"/>
      <c r="AD660" s="521"/>
      <c r="AE660" s="521"/>
      <c r="AH660" s="521"/>
      <c r="AI660" s="521"/>
      <c r="AJ660" s="521"/>
      <c r="AK660" s="521"/>
      <c r="AN660" s="521"/>
      <c r="AO660" s="521"/>
      <c r="AP660" s="521"/>
      <c r="AQ660" s="521"/>
    </row>
    <row r="661" spans="2:43" s="196" customFormat="1">
      <c r="B661" s="521"/>
      <c r="C661" s="521"/>
      <c r="D661" s="521"/>
      <c r="E661" s="521"/>
      <c r="Y661" s="521"/>
      <c r="AA661" s="6"/>
      <c r="AB661" s="369"/>
      <c r="AC661" s="521"/>
      <c r="AD661" s="521"/>
      <c r="AE661" s="521"/>
      <c r="AH661" s="521"/>
      <c r="AI661" s="521"/>
      <c r="AJ661" s="521"/>
      <c r="AK661" s="521"/>
      <c r="AN661" s="521"/>
      <c r="AO661" s="521"/>
      <c r="AP661" s="521"/>
      <c r="AQ661" s="521"/>
    </row>
    <row r="662" spans="2:43" s="196" customFormat="1">
      <c r="B662" s="521"/>
      <c r="C662" s="521"/>
      <c r="D662" s="521"/>
      <c r="E662" s="521"/>
      <c r="Y662" s="521"/>
      <c r="AA662" s="6"/>
      <c r="AB662" s="369"/>
      <c r="AC662" s="521"/>
      <c r="AD662" s="521"/>
      <c r="AE662" s="521"/>
      <c r="AH662" s="521"/>
      <c r="AI662" s="521"/>
      <c r="AJ662" s="521"/>
      <c r="AK662" s="521"/>
      <c r="AN662" s="521"/>
      <c r="AO662" s="521"/>
      <c r="AP662" s="521"/>
      <c r="AQ662" s="521"/>
    </row>
    <row r="663" spans="2:43" s="196" customFormat="1">
      <c r="B663" s="521"/>
      <c r="C663" s="521"/>
      <c r="D663" s="521"/>
      <c r="E663" s="521"/>
      <c r="Y663" s="521"/>
      <c r="AA663" s="6"/>
      <c r="AB663" s="369"/>
      <c r="AC663" s="521"/>
      <c r="AD663" s="521"/>
      <c r="AE663" s="521"/>
      <c r="AH663" s="521"/>
      <c r="AI663" s="521"/>
      <c r="AJ663" s="521"/>
      <c r="AK663" s="521"/>
      <c r="AN663" s="521"/>
      <c r="AO663" s="521"/>
      <c r="AP663" s="521"/>
      <c r="AQ663" s="521"/>
    </row>
    <row r="664" spans="2:43" s="196" customFormat="1">
      <c r="B664" s="521"/>
      <c r="C664" s="521"/>
      <c r="D664" s="521"/>
      <c r="E664" s="521"/>
      <c r="Y664" s="521"/>
      <c r="AA664" s="6"/>
      <c r="AB664" s="369"/>
      <c r="AC664" s="521"/>
      <c r="AD664" s="521"/>
      <c r="AE664" s="521"/>
      <c r="AH664" s="521"/>
      <c r="AI664" s="521"/>
      <c r="AJ664" s="521"/>
      <c r="AK664" s="521"/>
      <c r="AN664" s="521"/>
      <c r="AO664" s="521"/>
      <c r="AP664" s="521"/>
      <c r="AQ664" s="521"/>
    </row>
    <row r="665" spans="2:43" s="196" customFormat="1">
      <c r="B665" s="521"/>
      <c r="C665" s="521"/>
      <c r="D665" s="521"/>
      <c r="E665" s="521"/>
      <c r="Y665" s="521"/>
      <c r="AA665" s="6"/>
      <c r="AB665" s="369"/>
      <c r="AC665" s="521"/>
      <c r="AD665" s="521"/>
      <c r="AE665" s="521"/>
      <c r="AH665" s="521"/>
      <c r="AI665" s="521"/>
      <c r="AJ665" s="521"/>
      <c r="AK665" s="521"/>
      <c r="AN665" s="521"/>
      <c r="AO665" s="521"/>
      <c r="AP665" s="521"/>
      <c r="AQ665" s="521"/>
    </row>
    <row r="666" spans="2:43" s="196" customFormat="1">
      <c r="B666" s="521"/>
      <c r="C666" s="521"/>
      <c r="D666" s="521"/>
      <c r="E666" s="521"/>
      <c r="Y666" s="521"/>
      <c r="AA666" s="6"/>
      <c r="AB666" s="369"/>
      <c r="AC666" s="521"/>
      <c r="AD666" s="521"/>
      <c r="AE666" s="521"/>
      <c r="AH666" s="521"/>
      <c r="AI666" s="521"/>
      <c r="AJ666" s="521"/>
      <c r="AK666" s="521"/>
      <c r="AN666" s="521"/>
      <c r="AO666" s="521"/>
      <c r="AP666" s="521"/>
      <c r="AQ666" s="521"/>
    </row>
    <row r="667" spans="2:43" s="196" customFormat="1">
      <c r="B667" s="521"/>
      <c r="C667" s="521"/>
      <c r="D667" s="521"/>
      <c r="E667" s="521"/>
      <c r="Y667" s="521"/>
      <c r="AA667" s="6"/>
      <c r="AB667" s="369"/>
      <c r="AC667" s="521"/>
      <c r="AD667" s="521"/>
      <c r="AE667" s="521"/>
      <c r="AH667" s="521"/>
      <c r="AI667" s="521"/>
      <c r="AJ667" s="521"/>
      <c r="AK667" s="521"/>
      <c r="AN667" s="521"/>
      <c r="AO667" s="521"/>
      <c r="AP667" s="521"/>
      <c r="AQ667" s="521"/>
    </row>
    <row r="668" spans="2:43" s="196" customFormat="1">
      <c r="B668" s="521"/>
      <c r="C668" s="521"/>
      <c r="D668" s="521"/>
      <c r="E668" s="521"/>
      <c r="Y668" s="521"/>
      <c r="AA668" s="6"/>
      <c r="AB668" s="369"/>
      <c r="AC668" s="521"/>
      <c r="AD668" s="521"/>
      <c r="AE668" s="521"/>
      <c r="AH668" s="521"/>
      <c r="AI668" s="521"/>
      <c r="AJ668" s="521"/>
      <c r="AK668" s="521"/>
      <c r="AN668" s="521"/>
      <c r="AO668" s="521"/>
      <c r="AP668" s="521"/>
      <c r="AQ668" s="521"/>
    </row>
    <row r="669" spans="2:43" s="196" customFormat="1">
      <c r="B669" s="521"/>
      <c r="C669" s="521"/>
      <c r="D669" s="521"/>
      <c r="E669" s="521"/>
      <c r="Y669" s="521"/>
      <c r="AA669" s="6"/>
      <c r="AB669" s="369"/>
      <c r="AC669" s="521"/>
      <c r="AD669" s="521"/>
      <c r="AE669" s="521"/>
      <c r="AH669" s="521"/>
      <c r="AI669" s="521"/>
      <c r="AJ669" s="521"/>
      <c r="AK669" s="521"/>
      <c r="AN669" s="521"/>
      <c r="AO669" s="521"/>
      <c r="AP669" s="521"/>
      <c r="AQ669" s="521"/>
    </row>
    <row r="670" spans="2:43" s="196" customFormat="1">
      <c r="B670" s="521"/>
      <c r="C670" s="521"/>
      <c r="D670" s="521"/>
      <c r="E670" s="521"/>
      <c r="Y670" s="521"/>
      <c r="AA670" s="6"/>
      <c r="AB670" s="369"/>
      <c r="AC670" s="521"/>
      <c r="AD670" s="521"/>
      <c r="AE670" s="521"/>
      <c r="AH670" s="521"/>
      <c r="AI670" s="521"/>
      <c r="AJ670" s="521"/>
      <c r="AK670" s="521"/>
      <c r="AN670" s="521"/>
      <c r="AO670" s="521"/>
      <c r="AP670" s="521"/>
      <c r="AQ670" s="521"/>
    </row>
    <row r="671" spans="2:43" s="196" customFormat="1">
      <c r="B671" s="521"/>
      <c r="C671" s="521"/>
      <c r="D671" s="521"/>
      <c r="E671" s="521"/>
      <c r="Y671" s="521"/>
      <c r="AA671" s="6"/>
      <c r="AB671" s="369"/>
      <c r="AC671" s="521"/>
      <c r="AD671" s="521"/>
      <c r="AE671" s="521"/>
      <c r="AH671" s="521"/>
      <c r="AI671" s="521"/>
      <c r="AJ671" s="521"/>
      <c r="AK671" s="521"/>
      <c r="AN671" s="521"/>
      <c r="AO671" s="521"/>
      <c r="AP671" s="521"/>
      <c r="AQ671" s="521"/>
    </row>
    <row r="672" spans="2:43" s="196" customFormat="1">
      <c r="B672" s="521"/>
      <c r="C672" s="521"/>
      <c r="D672" s="521"/>
      <c r="E672" s="521"/>
      <c r="Y672" s="521"/>
      <c r="AA672" s="6"/>
      <c r="AB672" s="369"/>
      <c r="AC672" s="521"/>
      <c r="AD672" s="521"/>
      <c r="AE672" s="521"/>
      <c r="AH672" s="521"/>
      <c r="AI672" s="521"/>
      <c r="AJ672" s="521"/>
      <c r="AK672" s="521"/>
      <c r="AN672" s="521"/>
      <c r="AO672" s="521"/>
      <c r="AP672" s="521"/>
      <c r="AQ672" s="521"/>
    </row>
    <row r="673" spans="2:43" s="196" customFormat="1">
      <c r="B673" s="521"/>
      <c r="C673" s="521"/>
      <c r="D673" s="521"/>
      <c r="E673" s="521"/>
      <c r="Y673" s="521"/>
      <c r="AA673" s="6"/>
      <c r="AB673" s="369"/>
      <c r="AC673" s="521"/>
      <c r="AD673" s="521"/>
      <c r="AE673" s="521"/>
      <c r="AH673" s="521"/>
      <c r="AI673" s="521"/>
      <c r="AJ673" s="521"/>
      <c r="AK673" s="521"/>
      <c r="AN673" s="521"/>
      <c r="AO673" s="521"/>
      <c r="AP673" s="521"/>
      <c r="AQ673" s="521"/>
    </row>
    <row r="674" spans="2:43" s="196" customFormat="1">
      <c r="B674" s="521"/>
      <c r="C674" s="521"/>
      <c r="D674" s="521"/>
      <c r="E674" s="521"/>
      <c r="Y674" s="521"/>
      <c r="AA674" s="6"/>
      <c r="AB674" s="369"/>
      <c r="AC674" s="521"/>
      <c r="AD674" s="521"/>
      <c r="AE674" s="521"/>
      <c r="AH674" s="521"/>
      <c r="AI674" s="521"/>
      <c r="AJ674" s="521"/>
      <c r="AK674" s="521"/>
      <c r="AN674" s="521"/>
      <c r="AO674" s="521"/>
      <c r="AP674" s="521"/>
      <c r="AQ674" s="521"/>
    </row>
    <row r="675" spans="2:43" s="196" customFormat="1">
      <c r="B675" s="521"/>
      <c r="C675" s="521"/>
      <c r="D675" s="521"/>
      <c r="E675" s="521"/>
      <c r="Y675" s="521"/>
      <c r="AA675" s="6"/>
      <c r="AB675" s="369"/>
      <c r="AC675" s="521"/>
      <c r="AD675" s="521"/>
      <c r="AE675" s="521"/>
      <c r="AH675" s="521"/>
      <c r="AI675" s="521"/>
      <c r="AJ675" s="521"/>
      <c r="AK675" s="521"/>
      <c r="AN675" s="521"/>
      <c r="AO675" s="521"/>
      <c r="AP675" s="521"/>
      <c r="AQ675" s="521"/>
    </row>
    <row r="676" spans="2:43" s="196" customFormat="1">
      <c r="B676" s="521"/>
      <c r="C676" s="521"/>
      <c r="D676" s="521"/>
      <c r="E676" s="521"/>
      <c r="Y676" s="521"/>
      <c r="AA676" s="6"/>
      <c r="AB676" s="369"/>
      <c r="AC676" s="521"/>
      <c r="AD676" s="521"/>
      <c r="AE676" s="521"/>
      <c r="AH676" s="521"/>
      <c r="AI676" s="521"/>
      <c r="AJ676" s="521"/>
      <c r="AK676" s="521"/>
      <c r="AN676" s="521"/>
      <c r="AO676" s="521"/>
      <c r="AP676" s="521"/>
      <c r="AQ676" s="521"/>
    </row>
    <row r="677" spans="2:43" s="196" customFormat="1">
      <c r="B677" s="521"/>
      <c r="C677" s="521"/>
      <c r="D677" s="521"/>
      <c r="E677" s="521"/>
      <c r="Y677" s="521"/>
      <c r="AA677" s="6"/>
      <c r="AB677" s="369"/>
      <c r="AC677" s="521"/>
      <c r="AD677" s="521"/>
      <c r="AE677" s="521"/>
      <c r="AH677" s="521"/>
      <c r="AI677" s="521"/>
      <c r="AJ677" s="521"/>
      <c r="AK677" s="521"/>
      <c r="AN677" s="521"/>
      <c r="AO677" s="521"/>
      <c r="AP677" s="521"/>
      <c r="AQ677" s="521"/>
    </row>
    <row r="678" spans="2:43" s="196" customFormat="1">
      <c r="B678" s="521"/>
      <c r="C678" s="521"/>
      <c r="D678" s="521"/>
      <c r="E678" s="521"/>
      <c r="Y678" s="521"/>
      <c r="AA678" s="6"/>
      <c r="AB678" s="369"/>
      <c r="AC678" s="521"/>
      <c r="AD678" s="521"/>
      <c r="AE678" s="521"/>
      <c r="AH678" s="521"/>
      <c r="AI678" s="521"/>
      <c r="AJ678" s="521"/>
      <c r="AK678" s="521"/>
      <c r="AN678" s="521"/>
      <c r="AO678" s="521"/>
      <c r="AP678" s="521"/>
      <c r="AQ678" s="521"/>
    </row>
    <row r="679" spans="2:43" s="196" customFormat="1">
      <c r="B679" s="521"/>
      <c r="C679" s="521"/>
      <c r="D679" s="521"/>
      <c r="E679" s="521"/>
      <c r="Y679" s="521"/>
      <c r="AA679" s="6"/>
      <c r="AB679" s="369"/>
      <c r="AC679" s="521"/>
      <c r="AD679" s="521"/>
      <c r="AE679" s="521"/>
      <c r="AH679" s="521"/>
      <c r="AI679" s="521"/>
      <c r="AJ679" s="521"/>
      <c r="AK679" s="521"/>
      <c r="AN679" s="521"/>
      <c r="AO679" s="521"/>
      <c r="AP679" s="521"/>
      <c r="AQ679" s="521"/>
    </row>
    <row r="680" spans="2:43" s="196" customFormat="1">
      <c r="B680" s="521"/>
      <c r="C680" s="521"/>
      <c r="D680" s="521"/>
      <c r="E680" s="521"/>
      <c r="Y680" s="521"/>
      <c r="AA680" s="6"/>
      <c r="AB680" s="369"/>
      <c r="AC680" s="521"/>
      <c r="AD680" s="521"/>
      <c r="AE680" s="521"/>
      <c r="AH680" s="521"/>
      <c r="AI680" s="521"/>
      <c r="AJ680" s="521"/>
      <c r="AK680" s="521"/>
      <c r="AN680" s="521"/>
      <c r="AO680" s="521"/>
      <c r="AP680" s="521"/>
      <c r="AQ680" s="521"/>
    </row>
    <row r="681" spans="2:43" s="196" customFormat="1">
      <c r="B681" s="521"/>
      <c r="C681" s="521"/>
      <c r="D681" s="521"/>
      <c r="E681" s="521"/>
      <c r="Y681" s="521"/>
      <c r="AA681" s="6"/>
      <c r="AB681" s="369"/>
      <c r="AC681" s="521"/>
      <c r="AD681" s="521"/>
      <c r="AE681" s="521"/>
      <c r="AH681" s="521"/>
      <c r="AI681" s="521"/>
      <c r="AJ681" s="521"/>
      <c r="AK681" s="521"/>
      <c r="AN681" s="521"/>
      <c r="AO681" s="521"/>
      <c r="AP681" s="521"/>
      <c r="AQ681" s="521"/>
    </row>
    <row r="682" spans="2:43" s="196" customFormat="1">
      <c r="B682" s="521"/>
      <c r="C682" s="521"/>
      <c r="D682" s="521"/>
      <c r="E682" s="521"/>
      <c r="Y682" s="521"/>
      <c r="AA682" s="6"/>
      <c r="AB682" s="369"/>
      <c r="AC682" s="521"/>
      <c r="AD682" s="521"/>
      <c r="AE682" s="521"/>
      <c r="AH682" s="521"/>
      <c r="AI682" s="521"/>
      <c r="AJ682" s="521"/>
      <c r="AK682" s="521"/>
      <c r="AN682" s="521"/>
      <c r="AO682" s="521"/>
      <c r="AP682" s="521"/>
      <c r="AQ682" s="521"/>
    </row>
    <row r="683" spans="2:43" s="196" customFormat="1">
      <c r="B683" s="521"/>
      <c r="C683" s="521"/>
      <c r="D683" s="521"/>
      <c r="E683" s="521"/>
      <c r="Y683" s="521"/>
      <c r="AA683" s="6"/>
      <c r="AB683" s="369"/>
      <c r="AC683" s="521"/>
      <c r="AD683" s="521"/>
      <c r="AE683" s="521"/>
      <c r="AH683" s="521"/>
      <c r="AI683" s="521"/>
      <c r="AJ683" s="521"/>
      <c r="AK683" s="521"/>
      <c r="AN683" s="521"/>
      <c r="AO683" s="521"/>
      <c r="AP683" s="521"/>
      <c r="AQ683" s="521"/>
    </row>
    <row r="684" spans="2:43" s="196" customFormat="1">
      <c r="B684" s="521"/>
      <c r="C684" s="521"/>
      <c r="D684" s="521"/>
      <c r="E684" s="521"/>
      <c r="Y684" s="521"/>
      <c r="AA684" s="6"/>
      <c r="AB684" s="369"/>
      <c r="AC684" s="521"/>
      <c r="AD684" s="521"/>
      <c r="AE684" s="521"/>
      <c r="AH684" s="521"/>
      <c r="AI684" s="521"/>
      <c r="AJ684" s="521"/>
      <c r="AK684" s="521"/>
      <c r="AN684" s="521"/>
      <c r="AO684" s="521"/>
      <c r="AP684" s="521"/>
      <c r="AQ684" s="521"/>
    </row>
    <row r="685" spans="2:43" s="196" customFormat="1">
      <c r="B685" s="521"/>
      <c r="C685" s="521"/>
      <c r="D685" s="521"/>
      <c r="E685" s="521"/>
      <c r="Y685" s="521"/>
      <c r="AA685" s="6"/>
      <c r="AB685" s="369"/>
      <c r="AC685" s="521"/>
      <c r="AD685" s="521"/>
      <c r="AE685" s="521"/>
      <c r="AH685" s="521"/>
      <c r="AI685" s="521"/>
      <c r="AJ685" s="521"/>
      <c r="AK685" s="521"/>
      <c r="AN685" s="521"/>
      <c r="AO685" s="521"/>
      <c r="AP685" s="521"/>
      <c r="AQ685" s="521"/>
    </row>
    <row r="686" spans="2:43" s="196" customFormat="1">
      <c r="B686" s="521"/>
      <c r="C686" s="521"/>
      <c r="D686" s="521"/>
      <c r="E686" s="521"/>
      <c r="Y686" s="521"/>
      <c r="AA686" s="6"/>
      <c r="AB686" s="369"/>
      <c r="AC686" s="521"/>
      <c r="AD686" s="521"/>
      <c r="AE686" s="521"/>
      <c r="AH686" s="521"/>
      <c r="AI686" s="521"/>
      <c r="AJ686" s="521"/>
      <c r="AK686" s="521"/>
      <c r="AN686" s="521"/>
      <c r="AO686" s="521"/>
      <c r="AP686" s="521"/>
      <c r="AQ686" s="521"/>
    </row>
    <row r="687" spans="2:43" s="196" customFormat="1">
      <c r="B687" s="521"/>
      <c r="C687" s="521"/>
      <c r="D687" s="521"/>
      <c r="E687" s="521"/>
      <c r="Y687" s="521"/>
      <c r="AA687" s="6"/>
      <c r="AB687" s="369"/>
      <c r="AC687" s="521"/>
      <c r="AD687" s="521"/>
      <c r="AE687" s="521"/>
      <c r="AH687" s="521"/>
      <c r="AI687" s="521"/>
      <c r="AJ687" s="521"/>
      <c r="AK687" s="521"/>
      <c r="AN687" s="521"/>
      <c r="AO687" s="521"/>
      <c r="AP687" s="521"/>
      <c r="AQ687" s="521"/>
    </row>
    <row r="688" spans="2:43" s="196" customFormat="1">
      <c r="B688" s="521"/>
      <c r="C688" s="521"/>
      <c r="D688" s="521"/>
      <c r="E688" s="521"/>
      <c r="Y688" s="521"/>
      <c r="AA688" s="6"/>
      <c r="AB688" s="369"/>
      <c r="AC688" s="521"/>
      <c r="AD688" s="521"/>
      <c r="AE688" s="521"/>
      <c r="AH688" s="521"/>
      <c r="AI688" s="521"/>
      <c r="AJ688" s="521"/>
      <c r="AK688" s="521"/>
      <c r="AN688" s="521"/>
      <c r="AO688" s="521"/>
      <c r="AP688" s="521"/>
      <c r="AQ688" s="521"/>
    </row>
    <row r="689" spans="2:43" s="196" customFormat="1">
      <c r="B689" s="521"/>
      <c r="C689" s="521"/>
      <c r="D689" s="521"/>
      <c r="E689" s="521"/>
      <c r="Y689" s="521"/>
      <c r="AA689" s="6"/>
      <c r="AB689" s="369"/>
      <c r="AC689" s="521"/>
      <c r="AD689" s="521"/>
      <c r="AE689" s="521"/>
      <c r="AH689" s="521"/>
      <c r="AI689" s="521"/>
      <c r="AJ689" s="521"/>
      <c r="AK689" s="521"/>
      <c r="AN689" s="521"/>
      <c r="AO689" s="521"/>
      <c r="AP689" s="521"/>
      <c r="AQ689" s="521"/>
    </row>
    <row r="690" spans="2:43" s="196" customFormat="1">
      <c r="B690" s="521"/>
      <c r="C690" s="521"/>
      <c r="D690" s="521"/>
      <c r="E690" s="521"/>
      <c r="Y690" s="521"/>
      <c r="AA690" s="6"/>
      <c r="AB690" s="369"/>
      <c r="AC690" s="521"/>
      <c r="AD690" s="521"/>
      <c r="AE690" s="521"/>
      <c r="AH690" s="521"/>
      <c r="AI690" s="521"/>
      <c r="AJ690" s="521"/>
      <c r="AK690" s="521"/>
      <c r="AN690" s="521"/>
      <c r="AO690" s="521"/>
      <c r="AP690" s="521"/>
      <c r="AQ690" s="521"/>
    </row>
    <row r="691" spans="2:43" s="196" customFormat="1">
      <c r="B691" s="521"/>
      <c r="C691" s="521"/>
      <c r="D691" s="521"/>
      <c r="E691" s="521"/>
      <c r="Y691" s="521"/>
      <c r="AA691" s="6"/>
      <c r="AB691" s="369"/>
      <c r="AC691" s="521"/>
      <c r="AD691" s="521"/>
      <c r="AE691" s="521"/>
      <c r="AH691" s="521"/>
      <c r="AI691" s="521"/>
      <c r="AJ691" s="521"/>
      <c r="AK691" s="521"/>
      <c r="AN691" s="521"/>
      <c r="AO691" s="521"/>
      <c r="AP691" s="521"/>
      <c r="AQ691" s="521"/>
    </row>
    <row r="692" spans="2:43" s="196" customFormat="1">
      <c r="B692" s="521"/>
      <c r="C692" s="521"/>
      <c r="D692" s="521"/>
      <c r="E692" s="521"/>
      <c r="Y692" s="521"/>
      <c r="AA692" s="6"/>
      <c r="AB692" s="369"/>
      <c r="AC692" s="521"/>
      <c r="AD692" s="521"/>
      <c r="AE692" s="521"/>
      <c r="AH692" s="521"/>
      <c r="AI692" s="521"/>
      <c r="AJ692" s="521"/>
      <c r="AK692" s="521"/>
      <c r="AN692" s="521"/>
      <c r="AO692" s="521"/>
      <c r="AP692" s="521"/>
      <c r="AQ692" s="521"/>
    </row>
    <row r="693" spans="2:43" s="196" customFormat="1">
      <c r="B693" s="521"/>
      <c r="C693" s="521"/>
      <c r="D693" s="521"/>
      <c r="E693" s="521"/>
      <c r="Y693" s="521"/>
      <c r="AA693" s="6"/>
      <c r="AB693" s="369"/>
      <c r="AC693" s="521"/>
      <c r="AD693" s="521"/>
      <c r="AE693" s="521"/>
      <c r="AH693" s="521"/>
      <c r="AI693" s="521"/>
      <c r="AJ693" s="521"/>
      <c r="AK693" s="521"/>
      <c r="AN693" s="521"/>
      <c r="AO693" s="521"/>
      <c r="AP693" s="521"/>
      <c r="AQ693" s="521"/>
    </row>
    <row r="694" spans="2:43" s="196" customFormat="1">
      <c r="B694" s="521"/>
      <c r="C694" s="521"/>
      <c r="D694" s="521"/>
      <c r="E694" s="521"/>
      <c r="Y694" s="521"/>
      <c r="AA694" s="6"/>
      <c r="AB694" s="369"/>
      <c r="AC694" s="521"/>
      <c r="AD694" s="521"/>
      <c r="AE694" s="521"/>
      <c r="AH694" s="521"/>
      <c r="AI694" s="521"/>
      <c r="AJ694" s="521"/>
      <c r="AK694" s="521"/>
      <c r="AN694" s="521"/>
      <c r="AO694" s="521"/>
      <c r="AP694" s="521"/>
      <c r="AQ694" s="521"/>
    </row>
    <row r="695" spans="2:43" s="196" customFormat="1">
      <c r="B695" s="521"/>
      <c r="C695" s="521"/>
      <c r="D695" s="521"/>
      <c r="E695" s="521"/>
      <c r="Y695" s="521"/>
      <c r="AA695" s="6"/>
      <c r="AB695" s="369"/>
      <c r="AC695" s="521"/>
      <c r="AD695" s="521"/>
      <c r="AE695" s="521"/>
      <c r="AH695" s="521"/>
      <c r="AI695" s="521"/>
      <c r="AJ695" s="521"/>
      <c r="AK695" s="521"/>
      <c r="AN695" s="521"/>
      <c r="AO695" s="521"/>
      <c r="AP695" s="521"/>
      <c r="AQ695" s="521"/>
    </row>
    <row r="696" spans="2:43" s="196" customFormat="1">
      <c r="B696" s="521"/>
      <c r="C696" s="521"/>
      <c r="D696" s="521"/>
      <c r="E696" s="521"/>
      <c r="Y696" s="521"/>
      <c r="AA696" s="6"/>
      <c r="AB696" s="369"/>
      <c r="AC696" s="521"/>
      <c r="AD696" s="521"/>
      <c r="AE696" s="521"/>
      <c r="AH696" s="521"/>
      <c r="AI696" s="521"/>
      <c r="AJ696" s="521"/>
      <c r="AK696" s="521"/>
      <c r="AN696" s="521"/>
      <c r="AO696" s="521"/>
      <c r="AP696" s="521"/>
      <c r="AQ696" s="521"/>
    </row>
    <row r="697" spans="2:43" s="196" customFormat="1">
      <c r="B697" s="521"/>
      <c r="C697" s="521"/>
      <c r="D697" s="521"/>
      <c r="E697" s="521"/>
      <c r="Y697" s="521"/>
      <c r="AA697" s="6"/>
      <c r="AB697" s="369"/>
      <c r="AC697" s="521"/>
      <c r="AD697" s="521"/>
      <c r="AE697" s="521"/>
      <c r="AH697" s="521"/>
      <c r="AI697" s="521"/>
      <c r="AJ697" s="521"/>
      <c r="AK697" s="521"/>
      <c r="AN697" s="521"/>
      <c r="AO697" s="521"/>
      <c r="AP697" s="521"/>
      <c r="AQ697" s="521"/>
    </row>
    <row r="698" spans="2:43" s="196" customFormat="1">
      <c r="B698" s="521"/>
      <c r="C698" s="521"/>
      <c r="D698" s="521"/>
      <c r="E698" s="521"/>
      <c r="Y698" s="521"/>
      <c r="AA698" s="6"/>
      <c r="AB698" s="369"/>
      <c r="AC698" s="521"/>
      <c r="AD698" s="521"/>
      <c r="AE698" s="521"/>
      <c r="AH698" s="521"/>
      <c r="AI698" s="521"/>
      <c r="AJ698" s="521"/>
      <c r="AK698" s="521"/>
      <c r="AN698" s="521"/>
      <c r="AO698" s="521"/>
      <c r="AP698" s="521"/>
      <c r="AQ698" s="521"/>
    </row>
    <row r="699" spans="2:43" s="196" customFormat="1">
      <c r="B699" s="521"/>
      <c r="C699" s="521"/>
      <c r="D699" s="521"/>
      <c r="E699" s="521"/>
      <c r="Y699" s="521"/>
      <c r="AA699" s="6"/>
      <c r="AB699" s="369"/>
      <c r="AC699" s="521"/>
      <c r="AD699" s="521"/>
      <c r="AE699" s="521"/>
      <c r="AH699" s="521"/>
      <c r="AI699" s="521"/>
      <c r="AJ699" s="521"/>
      <c r="AK699" s="521"/>
      <c r="AN699" s="521"/>
      <c r="AO699" s="521"/>
      <c r="AP699" s="521"/>
      <c r="AQ699" s="521"/>
    </row>
    <row r="700" spans="2:43" s="196" customFormat="1">
      <c r="B700" s="521"/>
      <c r="C700" s="521"/>
      <c r="D700" s="521"/>
      <c r="E700" s="521"/>
      <c r="Y700" s="521"/>
      <c r="AA700" s="6"/>
      <c r="AB700" s="369"/>
      <c r="AC700" s="521"/>
      <c r="AD700" s="521"/>
      <c r="AE700" s="521"/>
      <c r="AH700" s="521"/>
      <c r="AI700" s="521"/>
      <c r="AJ700" s="521"/>
      <c r="AK700" s="521"/>
      <c r="AN700" s="521"/>
      <c r="AO700" s="521"/>
      <c r="AP700" s="521"/>
      <c r="AQ700" s="521"/>
    </row>
    <row r="701" spans="2:43" s="196" customFormat="1">
      <c r="B701" s="521"/>
      <c r="C701" s="521"/>
      <c r="D701" s="521"/>
      <c r="E701" s="521"/>
      <c r="Y701" s="521"/>
      <c r="AA701" s="6"/>
      <c r="AB701" s="369"/>
      <c r="AC701" s="521"/>
      <c r="AD701" s="521"/>
      <c r="AE701" s="521"/>
      <c r="AH701" s="521"/>
      <c r="AI701" s="521"/>
      <c r="AJ701" s="521"/>
      <c r="AK701" s="521"/>
      <c r="AN701" s="521"/>
      <c r="AO701" s="521"/>
      <c r="AP701" s="521"/>
      <c r="AQ701" s="521"/>
    </row>
    <row r="702" spans="2:43" s="196" customFormat="1">
      <c r="B702" s="521"/>
      <c r="C702" s="521"/>
      <c r="D702" s="521"/>
      <c r="E702" s="521"/>
      <c r="Y702" s="521"/>
      <c r="AA702" s="6"/>
      <c r="AB702" s="369"/>
      <c r="AC702" s="521"/>
      <c r="AD702" s="521"/>
      <c r="AE702" s="521"/>
      <c r="AH702" s="521"/>
      <c r="AI702" s="521"/>
      <c r="AJ702" s="521"/>
      <c r="AK702" s="521"/>
      <c r="AN702" s="521"/>
      <c r="AO702" s="521"/>
      <c r="AP702" s="521"/>
      <c r="AQ702" s="521"/>
    </row>
    <row r="703" spans="2:43" s="196" customFormat="1">
      <c r="B703" s="521"/>
      <c r="C703" s="521"/>
      <c r="D703" s="521"/>
      <c r="E703" s="521"/>
      <c r="Y703" s="521"/>
      <c r="AA703" s="6"/>
      <c r="AB703" s="369"/>
      <c r="AC703" s="521"/>
      <c r="AD703" s="521"/>
      <c r="AE703" s="521"/>
      <c r="AH703" s="521"/>
      <c r="AI703" s="521"/>
      <c r="AJ703" s="521"/>
      <c r="AK703" s="521"/>
      <c r="AN703" s="521"/>
      <c r="AO703" s="521"/>
      <c r="AP703" s="521"/>
      <c r="AQ703" s="521"/>
    </row>
    <row r="704" spans="2:43" s="196" customFormat="1">
      <c r="B704" s="521"/>
      <c r="C704" s="521"/>
      <c r="D704" s="521"/>
      <c r="E704" s="521"/>
      <c r="Y704" s="521"/>
      <c r="AA704" s="6"/>
      <c r="AB704" s="369"/>
      <c r="AC704" s="521"/>
      <c r="AD704" s="521"/>
      <c r="AE704" s="521"/>
      <c r="AH704" s="521"/>
      <c r="AI704" s="521"/>
      <c r="AJ704" s="521"/>
      <c r="AK704" s="521"/>
      <c r="AN704" s="521"/>
      <c r="AO704" s="521"/>
      <c r="AP704" s="521"/>
      <c r="AQ704" s="521"/>
    </row>
    <row r="705" spans="2:43" s="196" customFormat="1">
      <c r="B705" s="521"/>
      <c r="C705" s="521"/>
      <c r="D705" s="521"/>
      <c r="E705" s="521"/>
      <c r="Y705" s="521"/>
      <c r="AA705" s="6"/>
      <c r="AB705" s="369"/>
      <c r="AC705" s="521"/>
      <c r="AD705" s="521"/>
      <c r="AE705" s="521"/>
      <c r="AH705" s="521"/>
      <c r="AI705" s="521"/>
      <c r="AJ705" s="521"/>
      <c r="AK705" s="521"/>
      <c r="AN705" s="521"/>
      <c r="AO705" s="521"/>
      <c r="AP705" s="521"/>
      <c r="AQ705" s="521"/>
    </row>
    <row r="706" spans="2:43" s="196" customFormat="1">
      <c r="B706" s="521"/>
      <c r="C706" s="521"/>
      <c r="D706" s="521"/>
      <c r="E706" s="521"/>
      <c r="Y706" s="521"/>
      <c r="AA706" s="6"/>
      <c r="AB706" s="369"/>
      <c r="AC706" s="521"/>
      <c r="AD706" s="521"/>
      <c r="AE706" s="521"/>
      <c r="AH706" s="521"/>
      <c r="AI706" s="521"/>
      <c r="AJ706" s="521"/>
      <c r="AK706" s="521"/>
      <c r="AN706" s="521"/>
      <c r="AO706" s="521"/>
      <c r="AP706" s="521"/>
      <c r="AQ706" s="521"/>
    </row>
    <row r="707" spans="2:43" s="196" customFormat="1">
      <c r="B707" s="521"/>
      <c r="C707" s="521"/>
      <c r="D707" s="521"/>
      <c r="E707" s="521"/>
      <c r="Y707" s="521"/>
      <c r="AA707" s="6"/>
      <c r="AB707" s="369"/>
      <c r="AC707" s="521"/>
      <c r="AD707" s="521"/>
      <c r="AE707" s="521"/>
      <c r="AH707" s="521"/>
      <c r="AI707" s="521"/>
      <c r="AJ707" s="521"/>
      <c r="AK707" s="521"/>
      <c r="AN707" s="521"/>
      <c r="AO707" s="521"/>
      <c r="AP707" s="521"/>
      <c r="AQ707" s="521"/>
    </row>
    <row r="708" spans="2:43" s="196" customFormat="1">
      <c r="B708" s="521"/>
      <c r="C708" s="521"/>
      <c r="D708" s="521"/>
      <c r="E708" s="521"/>
      <c r="Y708" s="521"/>
      <c r="AA708" s="6"/>
      <c r="AB708" s="369"/>
      <c r="AC708" s="521"/>
      <c r="AD708" s="521"/>
      <c r="AE708" s="521"/>
      <c r="AH708" s="521"/>
      <c r="AI708" s="521"/>
      <c r="AJ708" s="521"/>
      <c r="AK708" s="521"/>
      <c r="AN708" s="521"/>
      <c r="AO708" s="521"/>
      <c r="AP708" s="521"/>
      <c r="AQ708" s="521"/>
    </row>
    <row r="709" spans="2:43" s="196" customFormat="1">
      <c r="B709" s="521"/>
      <c r="C709" s="521"/>
      <c r="D709" s="521"/>
      <c r="E709" s="521"/>
      <c r="Y709" s="521"/>
      <c r="AA709" s="6"/>
      <c r="AB709" s="369"/>
      <c r="AC709" s="521"/>
      <c r="AD709" s="521"/>
      <c r="AE709" s="521"/>
      <c r="AH709" s="521"/>
      <c r="AI709" s="521"/>
      <c r="AJ709" s="521"/>
      <c r="AK709" s="521"/>
      <c r="AN709" s="521"/>
      <c r="AO709" s="521"/>
      <c r="AP709" s="521"/>
      <c r="AQ709" s="521"/>
    </row>
    <row r="710" spans="2:43" s="196" customFormat="1">
      <c r="B710" s="521"/>
      <c r="C710" s="521"/>
      <c r="D710" s="521"/>
      <c r="E710" s="521"/>
      <c r="Y710" s="521"/>
      <c r="AA710" s="6"/>
      <c r="AB710" s="369"/>
      <c r="AC710" s="521"/>
      <c r="AD710" s="521"/>
      <c r="AE710" s="521"/>
      <c r="AH710" s="521"/>
      <c r="AI710" s="521"/>
      <c r="AJ710" s="521"/>
      <c r="AK710" s="521"/>
      <c r="AN710" s="521"/>
      <c r="AO710" s="521"/>
      <c r="AP710" s="521"/>
      <c r="AQ710" s="521"/>
    </row>
    <row r="711" spans="2:43" s="196" customFormat="1">
      <c r="B711" s="521"/>
      <c r="C711" s="521"/>
      <c r="D711" s="521"/>
      <c r="E711" s="521"/>
      <c r="Y711" s="521"/>
      <c r="AA711" s="6"/>
      <c r="AB711" s="369"/>
      <c r="AC711" s="521"/>
      <c r="AD711" s="521"/>
      <c r="AE711" s="521"/>
      <c r="AH711" s="521"/>
      <c r="AI711" s="521"/>
      <c r="AJ711" s="521"/>
      <c r="AK711" s="521"/>
      <c r="AN711" s="521"/>
      <c r="AO711" s="521"/>
      <c r="AP711" s="521"/>
      <c r="AQ711" s="521"/>
    </row>
    <row r="712" spans="2:43" s="196" customFormat="1">
      <c r="B712" s="521"/>
      <c r="C712" s="521"/>
      <c r="D712" s="521"/>
      <c r="E712" s="521"/>
      <c r="Y712" s="521"/>
      <c r="AA712" s="6"/>
      <c r="AB712" s="369"/>
      <c r="AC712" s="521"/>
      <c r="AD712" s="521"/>
      <c r="AE712" s="521"/>
      <c r="AH712" s="521"/>
      <c r="AI712" s="521"/>
      <c r="AJ712" s="521"/>
      <c r="AK712" s="521"/>
      <c r="AN712" s="521"/>
      <c r="AO712" s="521"/>
      <c r="AP712" s="521"/>
      <c r="AQ712" s="521"/>
    </row>
    <row r="713" spans="2:43" s="196" customFormat="1">
      <c r="B713" s="521"/>
      <c r="C713" s="521"/>
      <c r="D713" s="521"/>
      <c r="E713" s="521"/>
      <c r="Y713" s="521"/>
      <c r="AA713" s="6"/>
      <c r="AB713" s="369"/>
      <c r="AC713" s="521"/>
      <c r="AD713" s="521"/>
      <c r="AE713" s="521"/>
      <c r="AH713" s="521"/>
      <c r="AI713" s="521"/>
      <c r="AJ713" s="521"/>
      <c r="AK713" s="521"/>
      <c r="AN713" s="521"/>
      <c r="AO713" s="521"/>
      <c r="AP713" s="521"/>
      <c r="AQ713" s="521"/>
    </row>
    <row r="714" spans="2:43" s="196" customFormat="1">
      <c r="B714" s="521"/>
      <c r="C714" s="521"/>
      <c r="D714" s="521"/>
      <c r="E714" s="521"/>
      <c r="Y714" s="521"/>
      <c r="AA714" s="6"/>
      <c r="AB714" s="369"/>
      <c r="AC714" s="521"/>
      <c r="AD714" s="521"/>
      <c r="AE714" s="521"/>
      <c r="AH714" s="521"/>
      <c r="AI714" s="521"/>
      <c r="AJ714" s="521"/>
      <c r="AK714" s="521"/>
      <c r="AN714" s="521"/>
      <c r="AO714" s="521"/>
      <c r="AP714" s="521"/>
      <c r="AQ714" s="521"/>
    </row>
    <row r="715" spans="2:43" s="196" customFormat="1">
      <c r="B715" s="521"/>
      <c r="C715" s="521"/>
      <c r="D715" s="521"/>
      <c r="E715" s="521"/>
      <c r="Y715" s="521"/>
      <c r="AA715" s="6"/>
      <c r="AB715" s="369"/>
      <c r="AC715" s="521"/>
      <c r="AD715" s="521"/>
      <c r="AE715" s="521"/>
      <c r="AH715" s="521"/>
      <c r="AI715" s="521"/>
      <c r="AJ715" s="521"/>
      <c r="AK715" s="521"/>
      <c r="AN715" s="521"/>
      <c r="AO715" s="521"/>
      <c r="AP715" s="521"/>
      <c r="AQ715" s="521"/>
    </row>
    <row r="716" spans="2:43" s="196" customFormat="1">
      <c r="B716" s="521"/>
      <c r="C716" s="521"/>
      <c r="D716" s="521"/>
      <c r="E716" s="521"/>
      <c r="Y716" s="521"/>
      <c r="AA716" s="6"/>
      <c r="AB716" s="369"/>
      <c r="AC716" s="521"/>
      <c r="AD716" s="521"/>
      <c r="AE716" s="521"/>
      <c r="AH716" s="521"/>
      <c r="AI716" s="521"/>
      <c r="AJ716" s="521"/>
      <c r="AK716" s="521"/>
      <c r="AN716" s="521"/>
      <c r="AO716" s="521"/>
      <c r="AP716" s="521"/>
      <c r="AQ716" s="521"/>
    </row>
    <row r="717" spans="2:43" s="196" customFormat="1">
      <c r="B717" s="521"/>
      <c r="C717" s="521"/>
      <c r="D717" s="521"/>
      <c r="E717" s="521"/>
      <c r="Y717" s="521"/>
      <c r="AA717" s="6"/>
      <c r="AB717" s="369"/>
      <c r="AC717" s="521"/>
      <c r="AD717" s="521"/>
      <c r="AE717" s="521"/>
      <c r="AH717" s="521"/>
      <c r="AI717" s="521"/>
      <c r="AJ717" s="521"/>
      <c r="AK717" s="521"/>
      <c r="AN717" s="521"/>
      <c r="AO717" s="521"/>
      <c r="AP717" s="521"/>
      <c r="AQ717" s="521"/>
    </row>
    <row r="718" spans="2:43" s="196" customFormat="1">
      <c r="B718" s="521"/>
      <c r="C718" s="521"/>
      <c r="D718" s="521"/>
      <c r="E718" s="521"/>
      <c r="Y718" s="521"/>
      <c r="AA718" s="6"/>
      <c r="AB718" s="369"/>
      <c r="AC718" s="521"/>
      <c r="AD718" s="521"/>
      <c r="AE718" s="521"/>
      <c r="AH718" s="521"/>
      <c r="AI718" s="521"/>
      <c r="AJ718" s="521"/>
      <c r="AK718" s="521"/>
      <c r="AN718" s="521"/>
      <c r="AO718" s="521"/>
      <c r="AP718" s="521"/>
      <c r="AQ718" s="521"/>
    </row>
    <row r="719" spans="2:43" s="196" customFormat="1">
      <c r="B719" s="521"/>
      <c r="C719" s="521"/>
      <c r="D719" s="521"/>
      <c r="E719" s="521"/>
      <c r="Y719" s="521"/>
      <c r="AA719" s="6"/>
      <c r="AB719" s="369"/>
      <c r="AC719" s="521"/>
      <c r="AD719" s="521"/>
      <c r="AE719" s="521"/>
      <c r="AH719" s="521"/>
      <c r="AI719" s="521"/>
      <c r="AJ719" s="521"/>
      <c r="AK719" s="521"/>
      <c r="AN719" s="521"/>
      <c r="AO719" s="521"/>
      <c r="AP719" s="521"/>
      <c r="AQ719" s="521"/>
    </row>
    <row r="720" spans="2:43" s="196" customFormat="1">
      <c r="B720" s="521"/>
      <c r="C720" s="521"/>
      <c r="D720" s="521"/>
      <c r="E720" s="521"/>
      <c r="Y720" s="521"/>
      <c r="AA720" s="6"/>
      <c r="AB720" s="369"/>
      <c r="AC720" s="521"/>
      <c r="AD720" s="521"/>
      <c r="AE720" s="521"/>
      <c r="AH720" s="521"/>
      <c r="AI720" s="521"/>
      <c r="AJ720" s="521"/>
      <c r="AK720" s="521"/>
      <c r="AN720" s="521"/>
      <c r="AO720" s="521"/>
      <c r="AP720" s="521"/>
      <c r="AQ720" s="521"/>
    </row>
    <row r="721" spans="2:43" s="196" customFormat="1">
      <c r="B721" s="521"/>
      <c r="C721" s="521"/>
      <c r="D721" s="521"/>
      <c r="E721" s="521"/>
      <c r="Y721" s="521"/>
      <c r="AA721" s="6"/>
      <c r="AB721" s="369"/>
      <c r="AC721" s="521"/>
      <c r="AD721" s="521"/>
      <c r="AE721" s="521"/>
      <c r="AH721" s="521"/>
      <c r="AI721" s="521"/>
      <c r="AJ721" s="521"/>
      <c r="AK721" s="521"/>
      <c r="AN721" s="521"/>
      <c r="AO721" s="521"/>
      <c r="AP721" s="521"/>
      <c r="AQ721" s="521"/>
    </row>
    <row r="722" spans="2:43" s="196" customFormat="1">
      <c r="B722" s="521"/>
      <c r="C722" s="521"/>
      <c r="D722" s="521"/>
      <c r="E722" s="521"/>
      <c r="Y722" s="521"/>
      <c r="AA722" s="6"/>
      <c r="AB722" s="369"/>
      <c r="AC722" s="521"/>
      <c r="AD722" s="521"/>
      <c r="AE722" s="521"/>
      <c r="AH722" s="521"/>
      <c r="AI722" s="521"/>
      <c r="AJ722" s="521"/>
      <c r="AK722" s="521"/>
      <c r="AN722" s="521"/>
      <c r="AO722" s="521"/>
      <c r="AP722" s="521"/>
      <c r="AQ722" s="521"/>
    </row>
    <row r="723" spans="2:43" s="196" customFormat="1">
      <c r="B723" s="521"/>
      <c r="C723" s="521"/>
      <c r="D723" s="521"/>
      <c r="E723" s="521"/>
      <c r="Y723" s="521"/>
      <c r="AA723" s="6"/>
      <c r="AB723" s="369"/>
      <c r="AC723" s="521"/>
      <c r="AD723" s="521"/>
      <c r="AE723" s="521"/>
      <c r="AH723" s="521"/>
      <c r="AI723" s="521"/>
      <c r="AJ723" s="521"/>
      <c r="AK723" s="521"/>
      <c r="AN723" s="521"/>
      <c r="AO723" s="521"/>
      <c r="AP723" s="521"/>
      <c r="AQ723" s="521"/>
    </row>
    <row r="724" spans="2:43" s="196" customFormat="1">
      <c r="B724" s="521"/>
      <c r="C724" s="521"/>
      <c r="D724" s="521"/>
      <c r="E724" s="521"/>
      <c r="Y724" s="521"/>
      <c r="AA724" s="6"/>
      <c r="AB724" s="369"/>
      <c r="AC724" s="521"/>
      <c r="AD724" s="521"/>
      <c r="AE724" s="521"/>
      <c r="AH724" s="521"/>
      <c r="AI724" s="521"/>
      <c r="AJ724" s="521"/>
      <c r="AK724" s="521"/>
      <c r="AN724" s="521"/>
      <c r="AO724" s="521"/>
      <c r="AP724" s="521"/>
      <c r="AQ724" s="521"/>
    </row>
    <row r="725" spans="2:43" s="196" customFormat="1">
      <c r="B725" s="521"/>
      <c r="C725" s="521"/>
      <c r="D725" s="521"/>
      <c r="E725" s="521"/>
      <c r="Y725" s="521"/>
      <c r="AA725" s="6"/>
      <c r="AB725" s="369"/>
      <c r="AC725" s="521"/>
      <c r="AD725" s="521"/>
      <c r="AE725" s="521"/>
      <c r="AH725" s="521"/>
      <c r="AI725" s="521"/>
      <c r="AJ725" s="521"/>
      <c r="AK725" s="521"/>
      <c r="AN725" s="521"/>
      <c r="AO725" s="521"/>
      <c r="AP725" s="521"/>
      <c r="AQ725" s="521"/>
    </row>
    <row r="726" spans="2:43" s="196" customFormat="1">
      <c r="B726" s="521"/>
      <c r="C726" s="521"/>
      <c r="D726" s="521"/>
      <c r="E726" s="521"/>
      <c r="Y726" s="521"/>
      <c r="AA726" s="6"/>
      <c r="AB726" s="369"/>
      <c r="AC726" s="521"/>
      <c r="AD726" s="521"/>
      <c r="AE726" s="521"/>
      <c r="AH726" s="521"/>
      <c r="AI726" s="521"/>
      <c r="AJ726" s="521"/>
      <c r="AK726" s="521"/>
      <c r="AN726" s="521"/>
      <c r="AO726" s="521"/>
      <c r="AP726" s="521"/>
      <c r="AQ726" s="521"/>
    </row>
    <row r="727" spans="2:43" s="196" customFormat="1">
      <c r="B727" s="521"/>
      <c r="C727" s="521"/>
      <c r="D727" s="521"/>
      <c r="E727" s="521"/>
      <c r="Y727" s="521"/>
      <c r="AA727" s="6"/>
      <c r="AB727" s="369"/>
      <c r="AC727" s="521"/>
      <c r="AD727" s="521"/>
      <c r="AE727" s="521"/>
      <c r="AH727" s="521"/>
      <c r="AI727" s="521"/>
      <c r="AJ727" s="521"/>
      <c r="AK727" s="521"/>
      <c r="AN727" s="521"/>
      <c r="AO727" s="521"/>
      <c r="AP727" s="521"/>
      <c r="AQ727" s="521"/>
    </row>
    <row r="728" spans="2:43" s="196" customFormat="1">
      <c r="B728" s="521"/>
      <c r="C728" s="521"/>
      <c r="D728" s="521"/>
      <c r="E728" s="521"/>
      <c r="Y728" s="521"/>
      <c r="AA728" s="6"/>
      <c r="AB728" s="369"/>
      <c r="AC728" s="521"/>
      <c r="AD728" s="521"/>
      <c r="AE728" s="521"/>
      <c r="AH728" s="521"/>
      <c r="AI728" s="521"/>
      <c r="AJ728" s="521"/>
      <c r="AK728" s="521"/>
      <c r="AN728" s="521"/>
      <c r="AO728" s="521"/>
      <c r="AP728" s="521"/>
      <c r="AQ728" s="521"/>
    </row>
    <row r="729" spans="2:43" s="196" customFormat="1">
      <c r="B729" s="521"/>
      <c r="C729" s="521"/>
      <c r="D729" s="521"/>
      <c r="E729" s="521"/>
      <c r="Y729" s="521"/>
      <c r="AA729" s="6"/>
      <c r="AB729" s="369"/>
      <c r="AC729" s="521"/>
      <c r="AD729" s="521"/>
      <c r="AE729" s="521"/>
      <c r="AH729" s="521"/>
      <c r="AI729" s="521"/>
      <c r="AJ729" s="521"/>
      <c r="AK729" s="521"/>
      <c r="AN729" s="521"/>
      <c r="AO729" s="521"/>
      <c r="AP729" s="521"/>
      <c r="AQ729" s="521"/>
    </row>
    <row r="730" spans="2:43" s="196" customFormat="1">
      <c r="B730" s="521"/>
      <c r="C730" s="521"/>
      <c r="D730" s="521"/>
      <c r="E730" s="521"/>
      <c r="Y730" s="521"/>
      <c r="AA730" s="6"/>
      <c r="AB730" s="369"/>
      <c r="AC730" s="521"/>
      <c r="AD730" s="521"/>
      <c r="AE730" s="521"/>
      <c r="AH730" s="521"/>
      <c r="AI730" s="521"/>
      <c r="AJ730" s="521"/>
      <c r="AK730" s="521"/>
      <c r="AN730" s="521"/>
      <c r="AO730" s="521"/>
      <c r="AP730" s="521"/>
      <c r="AQ730" s="521"/>
    </row>
    <row r="731" spans="2:43" s="196" customFormat="1">
      <c r="B731" s="521"/>
      <c r="C731" s="521"/>
      <c r="D731" s="521"/>
      <c r="E731" s="521"/>
      <c r="Y731" s="521"/>
      <c r="AA731" s="6"/>
      <c r="AB731" s="369"/>
      <c r="AC731" s="521"/>
      <c r="AD731" s="521"/>
      <c r="AE731" s="521"/>
      <c r="AH731" s="521"/>
      <c r="AI731" s="521"/>
      <c r="AJ731" s="521"/>
      <c r="AK731" s="521"/>
      <c r="AN731" s="521"/>
      <c r="AO731" s="521"/>
      <c r="AP731" s="521"/>
      <c r="AQ731" s="521"/>
    </row>
    <row r="732" spans="2:43" s="196" customFormat="1">
      <c r="B732" s="521"/>
      <c r="C732" s="521"/>
      <c r="D732" s="521"/>
      <c r="E732" s="521"/>
      <c r="Y732" s="521"/>
      <c r="AA732" s="6"/>
      <c r="AB732" s="369"/>
      <c r="AC732" s="521"/>
      <c r="AD732" s="521"/>
      <c r="AE732" s="521"/>
      <c r="AH732" s="521"/>
      <c r="AI732" s="521"/>
      <c r="AJ732" s="521"/>
      <c r="AK732" s="521"/>
      <c r="AN732" s="521"/>
      <c r="AO732" s="521"/>
      <c r="AP732" s="521"/>
      <c r="AQ732" s="521"/>
    </row>
    <row r="733" spans="2:43" s="196" customFormat="1">
      <c r="B733" s="521"/>
      <c r="C733" s="521"/>
      <c r="D733" s="521"/>
      <c r="E733" s="521"/>
      <c r="Y733" s="521"/>
      <c r="AA733" s="6"/>
      <c r="AB733" s="369"/>
      <c r="AC733" s="521"/>
      <c r="AD733" s="521"/>
      <c r="AE733" s="521"/>
      <c r="AH733" s="521"/>
      <c r="AI733" s="521"/>
      <c r="AJ733" s="521"/>
      <c r="AK733" s="521"/>
      <c r="AN733" s="521"/>
      <c r="AO733" s="521"/>
      <c r="AP733" s="521"/>
      <c r="AQ733" s="521"/>
    </row>
    <row r="734" spans="2:43" s="196" customFormat="1">
      <c r="B734" s="521"/>
      <c r="C734" s="521"/>
      <c r="D734" s="521"/>
      <c r="E734" s="521"/>
      <c r="Y734" s="521"/>
      <c r="AA734" s="6"/>
      <c r="AB734" s="369"/>
      <c r="AC734" s="521"/>
      <c r="AD734" s="521"/>
      <c r="AE734" s="521"/>
      <c r="AH734" s="521"/>
      <c r="AI734" s="521"/>
      <c r="AJ734" s="521"/>
      <c r="AK734" s="521"/>
      <c r="AN734" s="521"/>
      <c r="AO734" s="521"/>
      <c r="AP734" s="521"/>
      <c r="AQ734" s="521"/>
    </row>
    <row r="735" spans="2:43" s="196" customFormat="1">
      <c r="B735" s="521"/>
      <c r="C735" s="521"/>
      <c r="D735" s="521"/>
      <c r="E735" s="521"/>
      <c r="Y735" s="521"/>
      <c r="AA735" s="6"/>
      <c r="AB735" s="369"/>
      <c r="AC735" s="521"/>
      <c r="AD735" s="521"/>
      <c r="AE735" s="521"/>
      <c r="AH735" s="521"/>
      <c r="AI735" s="521"/>
      <c r="AJ735" s="521"/>
      <c r="AK735" s="521"/>
      <c r="AN735" s="521"/>
      <c r="AO735" s="521"/>
      <c r="AP735" s="521"/>
      <c r="AQ735" s="521"/>
    </row>
    <row r="736" spans="2:43" s="196" customFormat="1">
      <c r="B736" s="521"/>
      <c r="C736" s="521"/>
      <c r="D736" s="521"/>
      <c r="E736" s="521"/>
      <c r="Y736" s="521"/>
      <c r="AA736" s="6"/>
      <c r="AB736" s="369"/>
      <c r="AC736" s="521"/>
      <c r="AD736" s="521"/>
      <c r="AE736" s="521"/>
      <c r="AH736" s="521"/>
      <c r="AI736" s="521"/>
      <c r="AJ736" s="521"/>
      <c r="AK736" s="521"/>
      <c r="AN736" s="521"/>
      <c r="AO736" s="521"/>
      <c r="AP736" s="521"/>
      <c r="AQ736" s="521"/>
    </row>
    <row r="737" spans="2:43" s="196" customFormat="1">
      <c r="B737" s="521"/>
      <c r="C737" s="521"/>
      <c r="D737" s="521"/>
      <c r="E737" s="521"/>
      <c r="Y737" s="521"/>
      <c r="AA737" s="6"/>
      <c r="AB737" s="369"/>
      <c r="AC737" s="521"/>
      <c r="AD737" s="521"/>
      <c r="AE737" s="521"/>
      <c r="AH737" s="521"/>
      <c r="AI737" s="521"/>
      <c r="AJ737" s="521"/>
      <c r="AK737" s="521"/>
      <c r="AN737" s="521"/>
      <c r="AO737" s="521"/>
      <c r="AP737" s="521"/>
      <c r="AQ737" s="521"/>
    </row>
    <row r="738" spans="2:43" s="196" customFormat="1">
      <c r="B738" s="521"/>
      <c r="C738" s="521"/>
      <c r="D738" s="521"/>
      <c r="E738" s="521"/>
      <c r="Y738" s="521"/>
      <c r="AA738" s="6"/>
      <c r="AB738" s="369"/>
      <c r="AC738" s="521"/>
      <c r="AD738" s="521"/>
      <c r="AE738" s="521"/>
      <c r="AH738" s="521"/>
      <c r="AI738" s="521"/>
      <c r="AJ738" s="521"/>
      <c r="AK738" s="521"/>
      <c r="AN738" s="521"/>
      <c r="AO738" s="521"/>
      <c r="AP738" s="521"/>
      <c r="AQ738" s="521"/>
    </row>
    <row r="739" spans="2:43" s="196" customFormat="1">
      <c r="B739" s="521"/>
      <c r="C739" s="521"/>
      <c r="D739" s="521"/>
      <c r="E739" s="521"/>
      <c r="Y739" s="521"/>
      <c r="AA739" s="6"/>
      <c r="AB739" s="369"/>
      <c r="AC739" s="521"/>
      <c r="AD739" s="521"/>
      <c r="AE739" s="521"/>
      <c r="AH739" s="521"/>
      <c r="AI739" s="521"/>
      <c r="AJ739" s="521"/>
      <c r="AK739" s="521"/>
      <c r="AN739" s="521"/>
      <c r="AO739" s="521"/>
      <c r="AP739" s="521"/>
      <c r="AQ739" s="521"/>
    </row>
    <row r="740" spans="2:43" s="196" customFormat="1">
      <c r="B740" s="521"/>
      <c r="C740" s="521"/>
      <c r="D740" s="521"/>
      <c r="E740" s="521"/>
      <c r="Y740" s="521"/>
      <c r="AA740" s="6"/>
      <c r="AB740" s="369"/>
      <c r="AC740" s="521"/>
      <c r="AD740" s="521"/>
      <c r="AE740" s="521"/>
      <c r="AH740" s="521"/>
      <c r="AI740" s="521"/>
      <c r="AJ740" s="521"/>
      <c r="AK740" s="521"/>
      <c r="AN740" s="521"/>
      <c r="AO740" s="521"/>
      <c r="AP740" s="521"/>
      <c r="AQ740" s="521"/>
    </row>
    <row r="741" spans="2:43" s="196" customFormat="1">
      <c r="B741" s="521"/>
      <c r="C741" s="521"/>
      <c r="D741" s="521"/>
      <c r="E741" s="521"/>
      <c r="Y741" s="521"/>
      <c r="AA741" s="6"/>
      <c r="AB741" s="369"/>
      <c r="AC741" s="521"/>
      <c r="AD741" s="521"/>
      <c r="AE741" s="521"/>
      <c r="AH741" s="521"/>
      <c r="AI741" s="521"/>
      <c r="AJ741" s="521"/>
      <c r="AK741" s="521"/>
      <c r="AN741" s="521"/>
      <c r="AO741" s="521"/>
      <c r="AP741" s="521"/>
      <c r="AQ741" s="521"/>
    </row>
    <row r="742" spans="2:43" s="196" customFormat="1">
      <c r="B742" s="521"/>
      <c r="C742" s="521"/>
      <c r="D742" s="521"/>
      <c r="E742" s="521"/>
      <c r="Y742" s="521"/>
      <c r="AA742" s="6"/>
      <c r="AB742" s="369"/>
      <c r="AC742" s="521"/>
      <c r="AD742" s="521"/>
      <c r="AE742" s="521"/>
      <c r="AH742" s="521"/>
      <c r="AI742" s="521"/>
      <c r="AJ742" s="521"/>
      <c r="AK742" s="521"/>
      <c r="AN742" s="521"/>
      <c r="AO742" s="521"/>
      <c r="AP742" s="521"/>
      <c r="AQ742" s="521"/>
    </row>
    <row r="743" spans="2:43" s="196" customFormat="1">
      <c r="B743" s="521"/>
      <c r="C743" s="521"/>
      <c r="D743" s="521"/>
      <c r="E743" s="521"/>
      <c r="Y743" s="521"/>
      <c r="AA743" s="6"/>
      <c r="AB743" s="369"/>
      <c r="AC743" s="521"/>
      <c r="AD743" s="521"/>
      <c r="AE743" s="521"/>
      <c r="AH743" s="521"/>
      <c r="AI743" s="521"/>
      <c r="AJ743" s="521"/>
      <c r="AK743" s="521"/>
      <c r="AN743" s="521"/>
      <c r="AO743" s="521"/>
      <c r="AP743" s="521"/>
      <c r="AQ743" s="521"/>
    </row>
    <row r="744" spans="2:43" s="196" customFormat="1">
      <c r="B744" s="521"/>
      <c r="C744" s="521"/>
      <c r="D744" s="521"/>
      <c r="E744" s="521"/>
      <c r="Y744" s="521"/>
      <c r="AA744" s="6"/>
      <c r="AB744" s="369"/>
      <c r="AC744" s="521"/>
      <c r="AD744" s="521"/>
      <c r="AE744" s="521"/>
      <c r="AH744" s="521"/>
      <c r="AI744" s="521"/>
      <c r="AJ744" s="521"/>
      <c r="AK744" s="521"/>
      <c r="AN744" s="521"/>
      <c r="AO744" s="521"/>
      <c r="AP744" s="521"/>
      <c r="AQ744" s="521"/>
    </row>
    <row r="745" spans="2:43" s="196" customFormat="1">
      <c r="B745" s="521"/>
      <c r="C745" s="521"/>
      <c r="D745" s="521"/>
      <c r="E745" s="521"/>
      <c r="Y745" s="521"/>
      <c r="AA745" s="6"/>
      <c r="AB745" s="369"/>
      <c r="AC745" s="521"/>
      <c r="AD745" s="521"/>
      <c r="AE745" s="521"/>
      <c r="AH745" s="521"/>
      <c r="AI745" s="521"/>
      <c r="AJ745" s="521"/>
      <c r="AK745" s="521"/>
      <c r="AN745" s="521"/>
      <c r="AO745" s="521"/>
      <c r="AP745" s="521"/>
      <c r="AQ745" s="521"/>
    </row>
    <row r="746" spans="2:43" s="196" customFormat="1">
      <c r="B746" s="521"/>
      <c r="C746" s="521"/>
      <c r="D746" s="521"/>
      <c r="E746" s="521"/>
      <c r="Y746" s="521"/>
      <c r="AA746" s="6"/>
      <c r="AB746" s="369"/>
      <c r="AC746" s="521"/>
      <c r="AD746" s="521"/>
      <c r="AE746" s="521"/>
      <c r="AH746" s="521"/>
      <c r="AI746" s="521"/>
      <c r="AJ746" s="521"/>
      <c r="AK746" s="521"/>
      <c r="AN746" s="521"/>
      <c r="AO746" s="521"/>
      <c r="AP746" s="521"/>
      <c r="AQ746" s="521"/>
    </row>
    <row r="747" spans="2:43" s="196" customFormat="1">
      <c r="B747" s="521"/>
      <c r="C747" s="521"/>
      <c r="D747" s="521"/>
      <c r="E747" s="521"/>
      <c r="Y747" s="521"/>
      <c r="AA747" s="6"/>
      <c r="AB747" s="369"/>
      <c r="AC747" s="521"/>
      <c r="AD747" s="521"/>
      <c r="AE747" s="521"/>
      <c r="AH747" s="521"/>
      <c r="AI747" s="521"/>
      <c r="AJ747" s="521"/>
      <c r="AK747" s="521"/>
      <c r="AN747" s="521"/>
      <c r="AO747" s="521"/>
      <c r="AP747" s="521"/>
      <c r="AQ747" s="521"/>
    </row>
    <row r="748" spans="2:43" s="196" customFormat="1">
      <c r="B748" s="521"/>
      <c r="C748" s="521"/>
      <c r="D748" s="521"/>
      <c r="E748" s="521"/>
      <c r="Y748" s="521"/>
      <c r="AA748" s="6"/>
      <c r="AB748" s="369"/>
      <c r="AC748" s="521"/>
      <c r="AD748" s="521"/>
      <c r="AE748" s="521"/>
      <c r="AH748" s="521"/>
      <c r="AI748" s="521"/>
      <c r="AJ748" s="521"/>
      <c r="AK748" s="521"/>
      <c r="AN748" s="521"/>
      <c r="AO748" s="521"/>
      <c r="AP748" s="521"/>
      <c r="AQ748" s="521"/>
    </row>
    <row r="749" spans="2:43" s="196" customFormat="1">
      <c r="B749" s="521"/>
      <c r="C749" s="521"/>
      <c r="D749" s="521"/>
      <c r="E749" s="521"/>
      <c r="Y749" s="521"/>
      <c r="AA749" s="6"/>
      <c r="AB749" s="369"/>
      <c r="AC749" s="521"/>
      <c r="AD749" s="521"/>
      <c r="AE749" s="521"/>
      <c r="AH749" s="521"/>
      <c r="AI749" s="521"/>
      <c r="AJ749" s="521"/>
      <c r="AK749" s="521"/>
      <c r="AN749" s="521"/>
      <c r="AO749" s="521"/>
      <c r="AP749" s="521"/>
      <c r="AQ749" s="521"/>
    </row>
    <row r="750" spans="2:43" s="196" customFormat="1">
      <c r="B750" s="521"/>
      <c r="C750" s="521"/>
      <c r="D750" s="521"/>
      <c r="E750" s="521"/>
      <c r="Y750" s="521"/>
      <c r="AA750" s="6"/>
      <c r="AB750" s="369"/>
      <c r="AC750" s="521"/>
      <c r="AD750" s="521"/>
      <c r="AE750" s="521"/>
      <c r="AH750" s="521"/>
      <c r="AI750" s="521"/>
      <c r="AJ750" s="521"/>
      <c r="AK750" s="521"/>
      <c r="AN750" s="521"/>
      <c r="AO750" s="521"/>
      <c r="AP750" s="521"/>
      <c r="AQ750" s="521"/>
    </row>
    <row r="751" spans="2:43" s="196" customFormat="1">
      <c r="B751" s="521"/>
      <c r="C751" s="521"/>
      <c r="D751" s="521"/>
      <c r="E751" s="521"/>
      <c r="Y751" s="521"/>
      <c r="AA751" s="6"/>
      <c r="AB751" s="369"/>
      <c r="AC751" s="521"/>
      <c r="AD751" s="521"/>
      <c r="AE751" s="521"/>
      <c r="AH751" s="521"/>
      <c r="AI751" s="521"/>
      <c r="AJ751" s="521"/>
      <c r="AK751" s="521"/>
      <c r="AN751" s="521"/>
      <c r="AO751" s="521"/>
      <c r="AP751" s="521"/>
      <c r="AQ751" s="521"/>
    </row>
    <row r="752" spans="2:43" s="196" customFormat="1">
      <c r="B752" s="521"/>
      <c r="C752" s="521"/>
      <c r="D752" s="521"/>
      <c r="E752" s="521"/>
      <c r="Y752" s="521"/>
      <c r="AA752" s="6"/>
      <c r="AB752" s="369"/>
      <c r="AC752" s="521"/>
      <c r="AD752" s="521"/>
      <c r="AE752" s="521"/>
      <c r="AH752" s="521"/>
      <c r="AI752" s="521"/>
      <c r="AJ752" s="521"/>
      <c r="AK752" s="521"/>
      <c r="AN752" s="521"/>
      <c r="AO752" s="521"/>
      <c r="AP752" s="521"/>
      <c r="AQ752" s="521"/>
    </row>
    <row r="753" spans="2:43" s="196" customFormat="1">
      <c r="B753" s="521"/>
      <c r="C753" s="521"/>
      <c r="D753" s="521"/>
      <c r="E753" s="521"/>
      <c r="Y753" s="521"/>
      <c r="AA753" s="6"/>
      <c r="AB753" s="369"/>
      <c r="AC753" s="521"/>
      <c r="AD753" s="521"/>
      <c r="AE753" s="521"/>
      <c r="AH753" s="521"/>
      <c r="AI753" s="521"/>
      <c r="AJ753" s="521"/>
      <c r="AK753" s="521"/>
      <c r="AN753" s="521"/>
      <c r="AO753" s="521"/>
      <c r="AP753" s="521"/>
      <c r="AQ753" s="521"/>
    </row>
    <row r="754" spans="2:43" s="196" customFormat="1">
      <c r="B754" s="521"/>
      <c r="C754" s="521"/>
      <c r="D754" s="521"/>
      <c r="E754" s="521"/>
      <c r="Y754" s="521"/>
      <c r="AA754" s="6"/>
      <c r="AB754" s="369"/>
      <c r="AC754" s="521"/>
      <c r="AD754" s="521"/>
      <c r="AE754" s="521"/>
      <c r="AH754" s="521"/>
      <c r="AI754" s="521"/>
      <c r="AJ754" s="521"/>
      <c r="AK754" s="521"/>
      <c r="AN754" s="521"/>
      <c r="AO754" s="521"/>
      <c r="AP754" s="521"/>
      <c r="AQ754" s="521"/>
    </row>
    <row r="755" spans="2:43" s="196" customFormat="1">
      <c r="B755" s="521"/>
      <c r="C755" s="521"/>
      <c r="D755" s="521"/>
      <c r="E755" s="521"/>
      <c r="Y755" s="521"/>
      <c r="AA755" s="6"/>
      <c r="AB755" s="369"/>
      <c r="AC755" s="521"/>
      <c r="AD755" s="521"/>
      <c r="AE755" s="521"/>
      <c r="AH755" s="521"/>
      <c r="AI755" s="521"/>
      <c r="AJ755" s="521"/>
      <c r="AK755" s="521"/>
      <c r="AN755" s="521"/>
      <c r="AO755" s="521"/>
      <c r="AP755" s="521"/>
      <c r="AQ755" s="521"/>
    </row>
    <row r="756" spans="2:43" s="196" customFormat="1">
      <c r="B756" s="521"/>
      <c r="C756" s="521"/>
      <c r="D756" s="521"/>
      <c r="E756" s="521"/>
      <c r="Y756" s="521"/>
      <c r="AA756" s="6"/>
      <c r="AB756" s="369"/>
      <c r="AC756" s="521"/>
      <c r="AD756" s="521"/>
      <c r="AE756" s="521"/>
      <c r="AH756" s="521"/>
      <c r="AI756" s="521"/>
      <c r="AJ756" s="521"/>
      <c r="AK756" s="521"/>
      <c r="AN756" s="521"/>
      <c r="AO756" s="521"/>
      <c r="AP756" s="521"/>
      <c r="AQ756" s="521"/>
    </row>
    <row r="757" spans="2:43" s="196" customFormat="1">
      <c r="B757" s="521"/>
      <c r="C757" s="521"/>
      <c r="D757" s="521"/>
      <c r="E757" s="521"/>
      <c r="Y757" s="521"/>
      <c r="AA757" s="6"/>
      <c r="AB757" s="369"/>
      <c r="AC757" s="521"/>
      <c r="AD757" s="521"/>
      <c r="AE757" s="521"/>
      <c r="AH757" s="521"/>
      <c r="AI757" s="521"/>
      <c r="AJ757" s="521"/>
      <c r="AK757" s="521"/>
      <c r="AN757" s="521"/>
      <c r="AO757" s="521"/>
      <c r="AP757" s="521"/>
      <c r="AQ757" s="521"/>
    </row>
    <row r="758" spans="2:43" s="196" customFormat="1">
      <c r="B758" s="521"/>
      <c r="C758" s="521"/>
      <c r="D758" s="521"/>
      <c r="E758" s="521"/>
      <c r="Y758" s="521"/>
      <c r="AA758" s="6"/>
      <c r="AB758" s="369"/>
      <c r="AC758" s="521"/>
      <c r="AD758" s="521"/>
      <c r="AE758" s="521"/>
      <c r="AH758" s="521"/>
      <c r="AI758" s="521"/>
      <c r="AJ758" s="521"/>
      <c r="AK758" s="521"/>
      <c r="AN758" s="521"/>
      <c r="AO758" s="521"/>
      <c r="AP758" s="521"/>
      <c r="AQ758" s="521"/>
    </row>
    <row r="759" spans="2:43" s="196" customFormat="1">
      <c r="B759" s="521"/>
      <c r="C759" s="521"/>
      <c r="D759" s="521"/>
      <c r="E759" s="521"/>
      <c r="Y759" s="521"/>
      <c r="AA759" s="6"/>
      <c r="AB759" s="369"/>
      <c r="AC759" s="521"/>
      <c r="AD759" s="521"/>
      <c r="AE759" s="521"/>
      <c r="AH759" s="521"/>
      <c r="AI759" s="521"/>
      <c r="AJ759" s="521"/>
      <c r="AK759" s="521"/>
      <c r="AN759" s="521"/>
      <c r="AO759" s="521"/>
      <c r="AP759" s="521"/>
      <c r="AQ759" s="521"/>
    </row>
    <row r="760" spans="2:43" s="196" customFormat="1">
      <c r="B760" s="521"/>
      <c r="C760" s="521"/>
      <c r="D760" s="521"/>
      <c r="E760" s="521"/>
      <c r="Y760" s="521"/>
      <c r="AA760" s="6"/>
      <c r="AB760" s="369"/>
      <c r="AC760" s="521"/>
      <c r="AD760" s="521"/>
      <c r="AE760" s="521"/>
      <c r="AH760" s="521"/>
      <c r="AI760" s="521"/>
      <c r="AJ760" s="521"/>
      <c r="AK760" s="521"/>
      <c r="AN760" s="521"/>
      <c r="AO760" s="521"/>
      <c r="AP760" s="521"/>
      <c r="AQ760" s="521"/>
    </row>
    <row r="761" spans="2:43" s="196" customFormat="1">
      <c r="B761" s="521"/>
      <c r="C761" s="521"/>
      <c r="D761" s="521"/>
      <c r="E761" s="521"/>
      <c r="Y761" s="521"/>
      <c r="AA761" s="6"/>
      <c r="AB761" s="369"/>
      <c r="AC761" s="521"/>
      <c r="AD761" s="521"/>
      <c r="AE761" s="521"/>
      <c r="AH761" s="521"/>
      <c r="AI761" s="521"/>
      <c r="AJ761" s="521"/>
      <c r="AK761" s="521"/>
      <c r="AN761" s="521"/>
      <c r="AO761" s="521"/>
      <c r="AP761" s="521"/>
      <c r="AQ761" s="521"/>
    </row>
    <row r="762" spans="2:43" s="196" customFormat="1">
      <c r="B762" s="521"/>
      <c r="C762" s="521"/>
      <c r="D762" s="521"/>
      <c r="E762" s="521"/>
      <c r="Y762" s="521"/>
      <c r="AA762" s="6"/>
      <c r="AB762" s="369"/>
      <c r="AC762" s="521"/>
      <c r="AD762" s="521"/>
      <c r="AE762" s="521"/>
      <c r="AH762" s="521"/>
      <c r="AI762" s="521"/>
      <c r="AJ762" s="521"/>
      <c r="AK762" s="521"/>
      <c r="AN762" s="521"/>
      <c r="AO762" s="521"/>
      <c r="AP762" s="521"/>
      <c r="AQ762" s="521"/>
    </row>
    <row r="763" spans="2:43" s="196" customFormat="1">
      <c r="B763" s="521"/>
      <c r="C763" s="521"/>
      <c r="D763" s="521"/>
      <c r="E763" s="521"/>
      <c r="Y763" s="521"/>
      <c r="AA763" s="6"/>
      <c r="AB763" s="369"/>
      <c r="AC763" s="521"/>
      <c r="AD763" s="521"/>
      <c r="AE763" s="521"/>
      <c r="AH763" s="521"/>
      <c r="AI763" s="521"/>
      <c r="AJ763" s="521"/>
      <c r="AK763" s="521"/>
      <c r="AN763" s="521"/>
      <c r="AO763" s="521"/>
      <c r="AP763" s="521"/>
      <c r="AQ763" s="521"/>
    </row>
    <row r="764" spans="2:43" s="196" customFormat="1">
      <c r="B764" s="521"/>
      <c r="C764" s="521"/>
      <c r="D764" s="521"/>
      <c r="E764" s="521"/>
      <c r="Y764" s="521"/>
      <c r="AA764" s="6"/>
      <c r="AB764" s="369"/>
      <c r="AC764" s="521"/>
      <c r="AD764" s="521"/>
      <c r="AE764" s="521"/>
      <c r="AH764" s="521"/>
      <c r="AI764" s="521"/>
      <c r="AJ764" s="521"/>
      <c r="AK764" s="521"/>
      <c r="AN764" s="521"/>
      <c r="AO764" s="521"/>
      <c r="AP764" s="521"/>
      <c r="AQ764" s="521"/>
    </row>
    <row r="765" spans="2:43" s="196" customFormat="1">
      <c r="B765" s="521"/>
      <c r="C765" s="521"/>
      <c r="D765" s="521"/>
      <c r="E765" s="521"/>
      <c r="Y765" s="521"/>
      <c r="AA765" s="6"/>
      <c r="AB765" s="369"/>
      <c r="AC765" s="521"/>
      <c r="AD765" s="521"/>
      <c r="AE765" s="521"/>
      <c r="AH765" s="521"/>
      <c r="AI765" s="521"/>
      <c r="AJ765" s="521"/>
      <c r="AK765" s="521"/>
      <c r="AN765" s="521"/>
      <c r="AO765" s="521"/>
      <c r="AP765" s="521"/>
      <c r="AQ765" s="521"/>
    </row>
    <row r="766" spans="2:43" s="196" customFormat="1">
      <c r="B766" s="521"/>
      <c r="C766" s="521"/>
      <c r="D766" s="521"/>
      <c r="E766" s="521"/>
      <c r="Y766" s="521"/>
      <c r="AA766" s="6"/>
      <c r="AB766" s="369"/>
      <c r="AC766" s="521"/>
      <c r="AD766" s="521"/>
      <c r="AE766" s="521"/>
      <c r="AH766" s="521"/>
      <c r="AI766" s="521"/>
      <c r="AJ766" s="521"/>
      <c r="AK766" s="521"/>
      <c r="AN766" s="521"/>
      <c r="AO766" s="521"/>
      <c r="AP766" s="521"/>
      <c r="AQ766" s="521"/>
    </row>
    <row r="767" spans="2:43" s="196" customFormat="1">
      <c r="B767" s="521"/>
      <c r="C767" s="521"/>
      <c r="D767" s="521"/>
      <c r="E767" s="521"/>
      <c r="Y767" s="521"/>
      <c r="AA767" s="6"/>
      <c r="AB767" s="369"/>
      <c r="AC767" s="521"/>
      <c r="AD767" s="521"/>
      <c r="AE767" s="521"/>
      <c r="AH767" s="521"/>
      <c r="AI767" s="521"/>
      <c r="AJ767" s="521"/>
      <c r="AK767" s="521"/>
      <c r="AN767" s="521"/>
      <c r="AO767" s="521"/>
      <c r="AP767" s="521"/>
      <c r="AQ767" s="521"/>
    </row>
    <row r="768" spans="2:43" s="196" customFormat="1">
      <c r="B768" s="521"/>
      <c r="C768" s="521"/>
      <c r="D768" s="521"/>
      <c r="E768" s="521"/>
      <c r="Y768" s="521"/>
      <c r="AA768" s="6"/>
      <c r="AB768" s="369"/>
      <c r="AC768" s="521"/>
      <c r="AD768" s="521"/>
      <c r="AE768" s="521"/>
      <c r="AH768" s="521"/>
      <c r="AI768" s="521"/>
      <c r="AJ768" s="521"/>
      <c r="AK768" s="521"/>
      <c r="AN768" s="521"/>
      <c r="AO768" s="521"/>
      <c r="AP768" s="521"/>
      <c r="AQ768" s="521"/>
    </row>
    <row r="769" spans="2:43" s="196" customFormat="1">
      <c r="B769" s="521"/>
      <c r="C769" s="521"/>
      <c r="D769" s="521"/>
      <c r="E769" s="521"/>
      <c r="Y769" s="521"/>
      <c r="AA769" s="6"/>
      <c r="AB769" s="369"/>
      <c r="AC769" s="521"/>
      <c r="AD769" s="521"/>
      <c r="AE769" s="521"/>
      <c r="AH769" s="521"/>
      <c r="AI769" s="521"/>
      <c r="AJ769" s="521"/>
      <c r="AK769" s="521"/>
      <c r="AN769" s="521"/>
      <c r="AO769" s="521"/>
      <c r="AP769" s="521"/>
      <c r="AQ769" s="521"/>
    </row>
    <row r="770" spans="2:43" s="196" customFormat="1">
      <c r="B770" s="521"/>
      <c r="C770" s="521"/>
      <c r="D770" s="521"/>
      <c r="E770" s="521"/>
      <c r="Y770" s="521"/>
      <c r="AA770" s="6"/>
      <c r="AB770" s="369"/>
      <c r="AC770" s="521"/>
      <c r="AD770" s="521"/>
      <c r="AE770" s="521"/>
      <c r="AH770" s="521"/>
      <c r="AI770" s="521"/>
      <c r="AJ770" s="521"/>
      <c r="AK770" s="521"/>
      <c r="AN770" s="521"/>
      <c r="AO770" s="521"/>
      <c r="AP770" s="521"/>
      <c r="AQ770" s="521"/>
    </row>
    <row r="771" spans="2:43" s="196" customFormat="1">
      <c r="B771" s="521"/>
      <c r="C771" s="521"/>
      <c r="D771" s="521"/>
      <c r="E771" s="521"/>
      <c r="Y771" s="521"/>
      <c r="AA771" s="6"/>
      <c r="AB771" s="369"/>
      <c r="AC771" s="521"/>
      <c r="AD771" s="521"/>
      <c r="AE771" s="521"/>
      <c r="AH771" s="521"/>
      <c r="AI771" s="521"/>
      <c r="AJ771" s="521"/>
      <c r="AK771" s="521"/>
      <c r="AN771" s="521"/>
      <c r="AO771" s="521"/>
      <c r="AP771" s="521"/>
      <c r="AQ771" s="521"/>
    </row>
    <row r="772" spans="2:43" s="196" customFormat="1">
      <c r="B772" s="521"/>
      <c r="C772" s="521"/>
      <c r="D772" s="521"/>
      <c r="E772" s="521"/>
      <c r="Y772" s="521"/>
      <c r="AA772" s="6"/>
      <c r="AB772" s="369"/>
      <c r="AC772" s="521"/>
      <c r="AD772" s="521"/>
      <c r="AE772" s="521"/>
      <c r="AH772" s="521"/>
      <c r="AI772" s="521"/>
      <c r="AJ772" s="521"/>
      <c r="AK772" s="521"/>
      <c r="AN772" s="521"/>
      <c r="AO772" s="521"/>
      <c r="AP772" s="521"/>
      <c r="AQ772" s="521"/>
    </row>
    <row r="773" spans="2:43" s="196" customFormat="1">
      <c r="B773" s="521"/>
      <c r="C773" s="521"/>
      <c r="D773" s="521"/>
      <c r="E773" s="521"/>
      <c r="Y773" s="521"/>
      <c r="AA773" s="6"/>
      <c r="AB773" s="369"/>
      <c r="AC773" s="521"/>
      <c r="AD773" s="521"/>
      <c r="AE773" s="521"/>
      <c r="AH773" s="521"/>
      <c r="AI773" s="521"/>
      <c r="AJ773" s="521"/>
      <c r="AK773" s="521"/>
      <c r="AN773" s="521"/>
      <c r="AO773" s="521"/>
      <c r="AP773" s="521"/>
      <c r="AQ773" s="521"/>
    </row>
    <row r="774" spans="2:43" s="196" customFormat="1">
      <c r="B774" s="521"/>
      <c r="C774" s="521"/>
      <c r="D774" s="521"/>
      <c r="E774" s="521"/>
      <c r="Y774" s="521"/>
      <c r="AA774" s="6"/>
      <c r="AB774" s="369"/>
      <c r="AC774" s="521"/>
      <c r="AD774" s="521"/>
      <c r="AE774" s="521"/>
      <c r="AH774" s="521"/>
      <c r="AI774" s="521"/>
      <c r="AJ774" s="521"/>
      <c r="AK774" s="521"/>
      <c r="AN774" s="521"/>
      <c r="AO774" s="521"/>
      <c r="AP774" s="521"/>
      <c r="AQ774" s="521"/>
    </row>
    <row r="775" spans="2:43" s="196" customFormat="1">
      <c r="B775" s="521"/>
      <c r="C775" s="521"/>
      <c r="D775" s="521"/>
      <c r="E775" s="521"/>
      <c r="Y775" s="521"/>
      <c r="AA775" s="6"/>
      <c r="AB775" s="369"/>
      <c r="AC775" s="521"/>
      <c r="AD775" s="521"/>
      <c r="AE775" s="521"/>
      <c r="AH775" s="521"/>
      <c r="AI775" s="521"/>
      <c r="AJ775" s="521"/>
      <c r="AK775" s="521"/>
      <c r="AN775" s="521"/>
      <c r="AO775" s="521"/>
      <c r="AP775" s="521"/>
      <c r="AQ775" s="521"/>
    </row>
    <row r="776" spans="2:43" s="196" customFormat="1">
      <c r="B776" s="521"/>
      <c r="C776" s="521"/>
      <c r="D776" s="521"/>
      <c r="E776" s="521"/>
      <c r="Y776" s="521"/>
      <c r="AA776" s="6"/>
      <c r="AB776" s="369"/>
      <c r="AC776" s="521"/>
      <c r="AD776" s="521"/>
      <c r="AE776" s="521"/>
      <c r="AH776" s="521"/>
      <c r="AI776" s="521"/>
      <c r="AJ776" s="521"/>
      <c r="AK776" s="521"/>
      <c r="AN776" s="521"/>
      <c r="AO776" s="521"/>
      <c r="AP776" s="521"/>
      <c r="AQ776" s="521"/>
    </row>
    <row r="777" spans="2:43" s="196" customFormat="1">
      <c r="B777" s="521"/>
      <c r="C777" s="521"/>
      <c r="D777" s="521"/>
      <c r="E777" s="521"/>
      <c r="Y777" s="521"/>
      <c r="AA777" s="6"/>
      <c r="AB777" s="369"/>
      <c r="AC777" s="521"/>
      <c r="AD777" s="521"/>
      <c r="AE777" s="521"/>
      <c r="AH777" s="521"/>
      <c r="AI777" s="521"/>
      <c r="AJ777" s="521"/>
      <c r="AK777" s="521"/>
      <c r="AN777" s="521"/>
      <c r="AO777" s="521"/>
      <c r="AP777" s="521"/>
      <c r="AQ777" s="521"/>
    </row>
    <row r="778" spans="2:43" s="196" customFormat="1">
      <c r="B778" s="521"/>
      <c r="C778" s="521"/>
      <c r="D778" s="521"/>
      <c r="E778" s="521"/>
      <c r="Y778" s="521"/>
      <c r="AA778" s="6"/>
      <c r="AB778" s="369"/>
      <c r="AC778" s="521"/>
      <c r="AD778" s="521"/>
      <c r="AE778" s="521"/>
      <c r="AH778" s="521"/>
      <c r="AI778" s="521"/>
      <c r="AJ778" s="521"/>
      <c r="AK778" s="521"/>
      <c r="AN778" s="521"/>
      <c r="AO778" s="521"/>
      <c r="AP778" s="521"/>
      <c r="AQ778" s="521"/>
    </row>
    <row r="779" spans="2:43" s="196" customFormat="1">
      <c r="B779" s="521"/>
      <c r="C779" s="521"/>
      <c r="D779" s="521"/>
      <c r="E779" s="521"/>
      <c r="Y779" s="521"/>
      <c r="AA779" s="6"/>
      <c r="AB779" s="369"/>
      <c r="AC779" s="521"/>
      <c r="AD779" s="521"/>
      <c r="AE779" s="521"/>
      <c r="AH779" s="521"/>
      <c r="AI779" s="521"/>
      <c r="AJ779" s="521"/>
      <c r="AK779" s="521"/>
      <c r="AN779" s="521"/>
      <c r="AO779" s="521"/>
      <c r="AP779" s="521"/>
      <c r="AQ779" s="521"/>
    </row>
    <row r="780" spans="2:43" s="196" customFormat="1">
      <c r="B780" s="521"/>
      <c r="C780" s="521"/>
      <c r="D780" s="521"/>
      <c r="E780" s="521"/>
      <c r="Y780" s="521"/>
      <c r="AA780" s="6"/>
      <c r="AB780" s="369"/>
      <c r="AC780" s="521"/>
      <c r="AD780" s="521"/>
      <c r="AE780" s="521"/>
      <c r="AH780" s="521"/>
      <c r="AI780" s="521"/>
      <c r="AJ780" s="521"/>
      <c r="AK780" s="521"/>
      <c r="AN780" s="521"/>
      <c r="AO780" s="521"/>
      <c r="AP780" s="521"/>
      <c r="AQ780" s="521"/>
    </row>
    <row r="781" spans="2:43" s="196" customFormat="1">
      <c r="B781" s="521"/>
      <c r="C781" s="521"/>
      <c r="D781" s="521"/>
      <c r="E781" s="521"/>
      <c r="Y781" s="521"/>
      <c r="AA781" s="6"/>
      <c r="AB781" s="369"/>
      <c r="AC781" s="521"/>
      <c r="AD781" s="521"/>
      <c r="AE781" s="521"/>
      <c r="AH781" s="521"/>
      <c r="AI781" s="521"/>
      <c r="AJ781" s="521"/>
      <c r="AK781" s="521"/>
      <c r="AN781" s="521"/>
      <c r="AO781" s="521"/>
      <c r="AP781" s="521"/>
      <c r="AQ781" s="521"/>
    </row>
    <row r="782" spans="2:43" s="196" customFormat="1">
      <c r="B782" s="521"/>
      <c r="C782" s="521"/>
      <c r="D782" s="521"/>
      <c r="E782" s="521"/>
      <c r="Y782" s="521"/>
      <c r="AA782" s="6"/>
      <c r="AB782" s="369"/>
      <c r="AC782" s="521"/>
      <c r="AD782" s="521"/>
      <c r="AE782" s="521"/>
      <c r="AH782" s="521"/>
      <c r="AI782" s="521"/>
      <c r="AJ782" s="521"/>
      <c r="AK782" s="521"/>
      <c r="AN782" s="521"/>
      <c r="AO782" s="521"/>
      <c r="AP782" s="521"/>
      <c r="AQ782" s="521"/>
    </row>
    <row r="783" spans="2:43" s="196" customFormat="1">
      <c r="B783" s="521"/>
      <c r="C783" s="521"/>
      <c r="D783" s="521"/>
      <c r="E783" s="521"/>
      <c r="Y783" s="521"/>
      <c r="AA783" s="6"/>
      <c r="AB783" s="369"/>
      <c r="AC783" s="521"/>
      <c r="AD783" s="521"/>
      <c r="AE783" s="521"/>
      <c r="AH783" s="521"/>
      <c r="AI783" s="521"/>
      <c r="AJ783" s="521"/>
      <c r="AK783" s="521"/>
      <c r="AN783" s="521"/>
      <c r="AO783" s="521"/>
      <c r="AP783" s="521"/>
      <c r="AQ783" s="521"/>
    </row>
    <row r="784" spans="2:43" s="196" customFormat="1">
      <c r="B784" s="521"/>
      <c r="C784" s="521"/>
      <c r="D784" s="521"/>
      <c r="E784" s="521"/>
      <c r="Y784" s="521"/>
      <c r="AA784" s="6"/>
      <c r="AB784" s="369"/>
      <c r="AC784" s="521"/>
      <c r="AD784" s="521"/>
      <c r="AE784" s="521"/>
      <c r="AH784" s="521"/>
      <c r="AI784" s="521"/>
      <c r="AJ784" s="521"/>
      <c r="AK784" s="521"/>
      <c r="AN784" s="521"/>
      <c r="AO784" s="521"/>
      <c r="AP784" s="521"/>
      <c r="AQ784" s="521"/>
    </row>
    <row r="785" spans="2:43" s="196" customFormat="1">
      <c r="B785" s="521"/>
      <c r="C785" s="521"/>
      <c r="D785" s="521"/>
      <c r="E785" s="521"/>
      <c r="Y785" s="521"/>
      <c r="AA785" s="6"/>
      <c r="AB785" s="369"/>
      <c r="AC785" s="521"/>
      <c r="AD785" s="521"/>
      <c r="AE785" s="521"/>
      <c r="AH785" s="521"/>
      <c r="AI785" s="521"/>
      <c r="AJ785" s="521"/>
      <c r="AK785" s="521"/>
      <c r="AN785" s="521"/>
      <c r="AO785" s="521"/>
      <c r="AP785" s="521"/>
      <c r="AQ785" s="521"/>
    </row>
    <row r="786" spans="2:43" s="196" customFormat="1">
      <c r="B786" s="521"/>
      <c r="C786" s="521"/>
      <c r="D786" s="521"/>
      <c r="E786" s="521"/>
      <c r="Y786" s="521"/>
      <c r="AA786" s="6"/>
      <c r="AB786" s="369"/>
      <c r="AC786" s="521"/>
      <c r="AD786" s="521"/>
      <c r="AE786" s="521"/>
      <c r="AH786" s="521"/>
      <c r="AI786" s="521"/>
      <c r="AJ786" s="521"/>
      <c r="AK786" s="521"/>
      <c r="AN786" s="521"/>
      <c r="AO786" s="521"/>
      <c r="AP786" s="521"/>
      <c r="AQ786" s="521"/>
    </row>
    <row r="787" spans="2:43" s="196" customFormat="1">
      <c r="B787" s="521"/>
      <c r="C787" s="521"/>
      <c r="D787" s="521"/>
      <c r="E787" s="521"/>
      <c r="Y787" s="521"/>
      <c r="AA787" s="6"/>
      <c r="AB787" s="369"/>
      <c r="AC787" s="521"/>
      <c r="AD787" s="521"/>
      <c r="AE787" s="521"/>
      <c r="AH787" s="521"/>
      <c r="AI787" s="521"/>
      <c r="AJ787" s="521"/>
      <c r="AK787" s="521"/>
      <c r="AN787" s="521"/>
      <c r="AO787" s="521"/>
      <c r="AP787" s="521"/>
      <c r="AQ787" s="521"/>
    </row>
    <row r="788" spans="2:43" s="196" customFormat="1">
      <c r="B788" s="521"/>
      <c r="C788" s="521"/>
      <c r="D788" s="521"/>
      <c r="E788" s="521"/>
      <c r="Y788" s="521"/>
      <c r="AA788" s="6"/>
      <c r="AB788" s="369"/>
      <c r="AC788" s="521"/>
      <c r="AD788" s="521"/>
      <c r="AE788" s="521"/>
      <c r="AH788" s="521"/>
      <c r="AI788" s="521"/>
      <c r="AJ788" s="521"/>
      <c r="AK788" s="521"/>
      <c r="AN788" s="521"/>
      <c r="AO788" s="521"/>
      <c r="AP788" s="521"/>
      <c r="AQ788" s="521"/>
    </row>
    <row r="789" spans="2:43" s="196" customFormat="1">
      <c r="B789" s="521"/>
      <c r="C789" s="521"/>
      <c r="D789" s="521"/>
      <c r="E789" s="521"/>
      <c r="Y789" s="521"/>
      <c r="AA789" s="6"/>
      <c r="AB789" s="369"/>
      <c r="AC789" s="521"/>
      <c r="AD789" s="521"/>
      <c r="AE789" s="521"/>
      <c r="AH789" s="521"/>
      <c r="AI789" s="521"/>
      <c r="AJ789" s="521"/>
      <c r="AK789" s="521"/>
      <c r="AN789" s="521"/>
      <c r="AO789" s="521"/>
      <c r="AP789" s="521"/>
      <c r="AQ789" s="521"/>
    </row>
    <row r="790" spans="2:43" s="196" customFormat="1">
      <c r="B790" s="521"/>
      <c r="C790" s="521"/>
      <c r="D790" s="521"/>
      <c r="E790" s="521"/>
      <c r="Y790" s="521"/>
      <c r="AA790" s="6"/>
      <c r="AB790" s="369"/>
      <c r="AC790" s="521"/>
      <c r="AD790" s="521"/>
      <c r="AE790" s="521"/>
      <c r="AH790" s="521"/>
      <c r="AI790" s="521"/>
      <c r="AJ790" s="521"/>
      <c r="AK790" s="521"/>
      <c r="AN790" s="521"/>
      <c r="AO790" s="521"/>
      <c r="AP790" s="521"/>
      <c r="AQ790" s="521"/>
    </row>
    <row r="791" spans="2:43" s="196" customFormat="1">
      <c r="B791" s="521"/>
      <c r="C791" s="521"/>
      <c r="D791" s="521"/>
      <c r="E791" s="521"/>
      <c r="Y791" s="521"/>
      <c r="AA791" s="6"/>
      <c r="AB791" s="369"/>
      <c r="AC791" s="521"/>
      <c r="AD791" s="521"/>
      <c r="AE791" s="521"/>
      <c r="AH791" s="521"/>
      <c r="AI791" s="521"/>
      <c r="AJ791" s="521"/>
      <c r="AK791" s="521"/>
      <c r="AN791" s="521"/>
      <c r="AO791" s="521"/>
      <c r="AP791" s="521"/>
      <c r="AQ791" s="521"/>
    </row>
    <row r="792" spans="2:43" s="196" customFormat="1">
      <c r="B792" s="521"/>
      <c r="C792" s="521"/>
      <c r="D792" s="521"/>
      <c r="E792" s="521"/>
      <c r="Y792" s="521"/>
      <c r="AA792" s="6"/>
      <c r="AB792" s="369"/>
      <c r="AC792" s="521"/>
      <c r="AD792" s="521"/>
      <c r="AE792" s="521"/>
      <c r="AH792" s="521"/>
      <c r="AI792" s="521"/>
      <c r="AJ792" s="521"/>
      <c r="AK792" s="521"/>
      <c r="AN792" s="521"/>
      <c r="AO792" s="521"/>
      <c r="AP792" s="521"/>
      <c r="AQ792" s="521"/>
    </row>
    <row r="793" spans="2:43" s="196" customFormat="1">
      <c r="B793" s="521"/>
      <c r="C793" s="521"/>
      <c r="D793" s="521"/>
      <c r="E793" s="521"/>
      <c r="Y793" s="521"/>
      <c r="AA793" s="6"/>
      <c r="AB793" s="369"/>
      <c r="AC793" s="521"/>
      <c r="AD793" s="521"/>
      <c r="AE793" s="521"/>
      <c r="AH793" s="521"/>
      <c r="AI793" s="521"/>
      <c r="AJ793" s="521"/>
      <c r="AK793" s="521"/>
      <c r="AN793" s="521"/>
      <c r="AO793" s="521"/>
      <c r="AP793" s="521"/>
      <c r="AQ793" s="521"/>
    </row>
    <row r="794" spans="2:43" s="196" customFormat="1">
      <c r="B794" s="521"/>
      <c r="C794" s="521"/>
      <c r="D794" s="521"/>
      <c r="E794" s="521"/>
      <c r="Y794" s="521"/>
      <c r="AA794" s="6"/>
      <c r="AB794" s="369"/>
      <c r="AC794" s="521"/>
      <c r="AD794" s="521"/>
      <c r="AE794" s="521"/>
      <c r="AH794" s="521"/>
      <c r="AI794" s="521"/>
      <c r="AJ794" s="521"/>
      <c r="AK794" s="521"/>
      <c r="AN794" s="521"/>
      <c r="AO794" s="521"/>
      <c r="AP794" s="521"/>
      <c r="AQ794" s="521"/>
    </row>
    <row r="795" spans="2:43" s="196" customFormat="1">
      <c r="B795" s="521"/>
      <c r="C795" s="521"/>
      <c r="D795" s="521"/>
      <c r="E795" s="521"/>
      <c r="Y795" s="521"/>
      <c r="AA795" s="6"/>
      <c r="AB795" s="369"/>
      <c r="AC795" s="521"/>
      <c r="AD795" s="521"/>
      <c r="AE795" s="521"/>
      <c r="AH795" s="521"/>
      <c r="AI795" s="521"/>
      <c r="AJ795" s="521"/>
      <c r="AK795" s="521"/>
      <c r="AN795" s="521"/>
      <c r="AO795" s="521"/>
      <c r="AP795" s="521"/>
      <c r="AQ795" s="521"/>
    </row>
    <row r="796" spans="2:43" s="196" customFormat="1">
      <c r="B796" s="521"/>
      <c r="C796" s="521"/>
      <c r="D796" s="521"/>
      <c r="E796" s="521"/>
      <c r="Y796" s="521"/>
      <c r="AA796" s="6"/>
      <c r="AB796" s="369"/>
      <c r="AC796" s="521"/>
      <c r="AD796" s="521"/>
      <c r="AE796" s="521"/>
      <c r="AH796" s="521"/>
      <c r="AI796" s="521"/>
      <c r="AJ796" s="521"/>
      <c r="AK796" s="521"/>
      <c r="AN796" s="521"/>
      <c r="AO796" s="521"/>
      <c r="AP796" s="521"/>
      <c r="AQ796" s="521"/>
    </row>
    <row r="797" spans="2:43" s="196" customFormat="1">
      <c r="B797" s="521"/>
      <c r="C797" s="521"/>
      <c r="D797" s="521"/>
      <c r="E797" s="521"/>
      <c r="Y797" s="521"/>
      <c r="AA797" s="6"/>
      <c r="AB797" s="369"/>
      <c r="AC797" s="521"/>
      <c r="AD797" s="521"/>
      <c r="AE797" s="521"/>
      <c r="AH797" s="521"/>
      <c r="AI797" s="521"/>
      <c r="AJ797" s="521"/>
      <c r="AK797" s="521"/>
      <c r="AN797" s="521"/>
      <c r="AO797" s="521"/>
      <c r="AP797" s="521"/>
      <c r="AQ797" s="521"/>
    </row>
    <row r="798" spans="2:43" s="196" customFormat="1">
      <c r="B798" s="521"/>
      <c r="C798" s="521"/>
      <c r="D798" s="521"/>
      <c r="E798" s="521"/>
      <c r="Y798" s="521"/>
      <c r="AA798" s="6"/>
      <c r="AB798" s="369"/>
      <c r="AC798" s="521"/>
      <c r="AD798" s="521"/>
      <c r="AE798" s="521"/>
      <c r="AH798" s="521"/>
      <c r="AI798" s="521"/>
      <c r="AJ798" s="521"/>
      <c r="AK798" s="521"/>
      <c r="AN798" s="521"/>
      <c r="AO798" s="521"/>
      <c r="AP798" s="521"/>
      <c r="AQ798" s="521"/>
    </row>
    <row r="799" spans="2:43" s="196" customFormat="1">
      <c r="B799" s="521"/>
      <c r="C799" s="521"/>
      <c r="D799" s="521"/>
      <c r="E799" s="521"/>
      <c r="Y799" s="521"/>
      <c r="AA799" s="6"/>
      <c r="AB799" s="369"/>
      <c r="AC799" s="521"/>
      <c r="AD799" s="521"/>
      <c r="AE799" s="521"/>
      <c r="AH799" s="521"/>
      <c r="AI799" s="521"/>
      <c r="AJ799" s="521"/>
      <c r="AK799" s="521"/>
      <c r="AN799" s="521"/>
      <c r="AO799" s="521"/>
      <c r="AP799" s="521"/>
      <c r="AQ799" s="521"/>
    </row>
    <row r="800" spans="2:43" s="196" customFormat="1">
      <c r="B800" s="521"/>
      <c r="C800" s="521"/>
      <c r="D800" s="521"/>
      <c r="E800" s="521"/>
      <c r="Y800" s="521"/>
      <c r="AA800" s="6"/>
      <c r="AB800" s="369"/>
      <c r="AC800" s="521"/>
      <c r="AD800" s="521"/>
      <c r="AE800" s="521"/>
      <c r="AH800" s="521"/>
      <c r="AI800" s="521"/>
      <c r="AJ800" s="521"/>
      <c r="AK800" s="521"/>
      <c r="AN800" s="521"/>
      <c r="AO800" s="521"/>
      <c r="AP800" s="521"/>
      <c r="AQ800" s="521"/>
    </row>
    <row r="801" spans="2:43" s="196" customFormat="1">
      <c r="B801" s="521"/>
      <c r="C801" s="521"/>
      <c r="D801" s="521"/>
      <c r="E801" s="521"/>
      <c r="Y801" s="521"/>
      <c r="AA801" s="6"/>
      <c r="AB801" s="369"/>
      <c r="AC801" s="521"/>
      <c r="AD801" s="521"/>
      <c r="AE801" s="521"/>
      <c r="AH801" s="521"/>
      <c r="AI801" s="521"/>
      <c r="AJ801" s="521"/>
      <c r="AK801" s="521"/>
      <c r="AN801" s="521"/>
      <c r="AO801" s="521"/>
      <c r="AP801" s="521"/>
      <c r="AQ801" s="521"/>
    </row>
    <row r="802" spans="2:43" s="196" customFormat="1">
      <c r="B802" s="521"/>
      <c r="C802" s="521"/>
      <c r="D802" s="521"/>
      <c r="E802" s="521"/>
      <c r="Y802" s="521"/>
      <c r="AA802" s="6"/>
      <c r="AB802" s="369"/>
      <c r="AC802" s="521"/>
      <c r="AD802" s="521"/>
      <c r="AE802" s="521"/>
      <c r="AH802" s="521"/>
      <c r="AI802" s="521"/>
      <c r="AJ802" s="521"/>
      <c r="AK802" s="521"/>
      <c r="AN802" s="521"/>
      <c r="AO802" s="521"/>
      <c r="AP802" s="521"/>
      <c r="AQ802" s="521"/>
    </row>
    <row r="803" spans="2:43" s="196" customFormat="1">
      <c r="B803" s="521"/>
      <c r="C803" s="521"/>
      <c r="D803" s="521"/>
      <c r="E803" s="521"/>
      <c r="Y803" s="521"/>
      <c r="AA803" s="6"/>
      <c r="AB803" s="369"/>
      <c r="AC803" s="521"/>
      <c r="AD803" s="521"/>
      <c r="AE803" s="521"/>
      <c r="AH803" s="521"/>
      <c r="AI803" s="521"/>
      <c r="AJ803" s="521"/>
      <c r="AK803" s="521"/>
      <c r="AN803" s="521"/>
      <c r="AO803" s="521"/>
      <c r="AP803" s="521"/>
      <c r="AQ803" s="521"/>
    </row>
    <row r="804" spans="2:43" s="196" customFormat="1">
      <c r="B804" s="521"/>
      <c r="C804" s="521"/>
      <c r="D804" s="521"/>
      <c r="E804" s="521"/>
      <c r="Y804" s="521"/>
      <c r="AA804" s="6"/>
      <c r="AB804" s="369"/>
      <c r="AC804" s="521"/>
      <c r="AD804" s="521"/>
      <c r="AE804" s="521"/>
      <c r="AH804" s="521"/>
      <c r="AI804" s="521"/>
      <c r="AJ804" s="521"/>
      <c r="AK804" s="521"/>
      <c r="AN804" s="521"/>
      <c r="AO804" s="521"/>
      <c r="AP804" s="521"/>
      <c r="AQ804" s="521"/>
    </row>
    <row r="805" spans="2:43" s="196" customFormat="1">
      <c r="B805" s="521"/>
      <c r="C805" s="521"/>
      <c r="D805" s="521"/>
      <c r="E805" s="521"/>
      <c r="Y805" s="521"/>
      <c r="AA805" s="6"/>
      <c r="AB805" s="369"/>
      <c r="AC805" s="521"/>
      <c r="AD805" s="521"/>
      <c r="AE805" s="521"/>
      <c r="AH805" s="521"/>
      <c r="AI805" s="521"/>
      <c r="AJ805" s="521"/>
      <c r="AK805" s="521"/>
      <c r="AN805" s="521"/>
      <c r="AO805" s="521"/>
      <c r="AP805" s="521"/>
      <c r="AQ805" s="521"/>
    </row>
    <row r="806" spans="2:43" s="196" customFormat="1">
      <c r="B806" s="521"/>
      <c r="C806" s="521"/>
      <c r="D806" s="521"/>
      <c r="E806" s="521"/>
      <c r="Y806" s="521"/>
      <c r="AA806" s="6"/>
      <c r="AB806" s="369"/>
      <c r="AC806" s="521"/>
      <c r="AD806" s="521"/>
      <c r="AE806" s="521"/>
      <c r="AH806" s="521"/>
      <c r="AI806" s="521"/>
      <c r="AJ806" s="521"/>
      <c r="AK806" s="521"/>
      <c r="AN806" s="521"/>
      <c r="AO806" s="521"/>
      <c r="AP806" s="521"/>
      <c r="AQ806" s="521"/>
    </row>
    <row r="807" spans="2:43" s="196" customFormat="1">
      <c r="B807" s="521"/>
      <c r="C807" s="521"/>
      <c r="D807" s="521"/>
      <c r="E807" s="521"/>
      <c r="Y807" s="521"/>
      <c r="AA807" s="6"/>
      <c r="AB807" s="369"/>
      <c r="AC807" s="521"/>
      <c r="AD807" s="521"/>
      <c r="AE807" s="521"/>
      <c r="AH807" s="521"/>
      <c r="AI807" s="521"/>
      <c r="AJ807" s="521"/>
      <c r="AK807" s="521"/>
      <c r="AN807" s="521"/>
      <c r="AO807" s="521"/>
      <c r="AP807" s="521"/>
      <c r="AQ807" s="521"/>
    </row>
    <row r="808" spans="2:43" s="196" customFormat="1">
      <c r="B808" s="521"/>
      <c r="C808" s="521"/>
      <c r="D808" s="521"/>
      <c r="E808" s="521"/>
      <c r="Y808" s="521"/>
      <c r="AA808" s="6"/>
      <c r="AB808" s="369"/>
      <c r="AC808" s="521"/>
      <c r="AD808" s="521"/>
      <c r="AE808" s="521"/>
      <c r="AH808" s="521"/>
      <c r="AI808" s="521"/>
      <c r="AJ808" s="521"/>
      <c r="AK808" s="521"/>
      <c r="AN808" s="521"/>
      <c r="AO808" s="521"/>
      <c r="AP808" s="521"/>
      <c r="AQ808" s="521"/>
    </row>
    <row r="809" spans="2:43" s="196" customFormat="1">
      <c r="B809" s="521"/>
      <c r="C809" s="521"/>
      <c r="D809" s="521"/>
      <c r="E809" s="521"/>
      <c r="Y809" s="521"/>
      <c r="AA809" s="6"/>
      <c r="AB809" s="369"/>
      <c r="AC809" s="521"/>
      <c r="AD809" s="521"/>
      <c r="AE809" s="521"/>
      <c r="AH809" s="521"/>
      <c r="AI809" s="521"/>
      <c r="AJ809" s="521"/>
      <c r="AK809" s="521"/>
      <c r="AN809" s="521"/>
      <c r="AO809" s="521"/>
      <c r="AP809" s="521"/>
      <c r="AQ809" s="521"/>
    </row>
    <row r="810" spans="2:43" s="196" customFormat="1">
      <c r="B810" s="521"/>
      <c r="C810" s="521"/>
      <c r="D810" s="521"/>
      <c r="E810" s="521"/>
      <c r="Y810" s="521"/>
      <c r="AA810" s="6"/>
      <c r="AB810" s="369"/>
      <c r="AC810" s="521"/>
      <c r="AD810" s="521"/>
      <c r="AE810" s="521"/>
      <c r="AH810" s="521"/>
      <c r="AI810" s="521"/>
      <c r="AJ810" s="521"/>
      <c r="AK810" s="521"/>
      <c r="AN810" s="521"/>
      <c r="AO810" s="521"/>
      <c r="AP810" s="521"/>
      <c r="AQ810" s="521"/>
    </row>
    <row r="811" spans="2:43" s="196" customFormat="1">
      <c r="B811" s="521"/>
      <c r="C811" s="521"/>
      <c r="D811" s="521"/>
      <c r="E811" s="521"/>
      <c r="Y811" s="521"/>
      <c r="AA811" s="6"/>
      <c r="AB811" s="369"/>
      <c r="AC811" s="521"/>
      <c r="AD811" s="521"/>
      <c r="AE811" s="521"/>
      <c r="AH811" s="521"/>
      <c r="AI811" s="521"/>
      <c r="AJ811" s="521"/>
      <c r="AK811" s="521"/>
      <c r="AN811" s="521"/>
      <c r="AO811" s="521"/>
      <c r="AP811" s="521"/>
      <c r="AQ811" s="521"/>
    </row>
    <row r="812" spans="2:43" s="196" customFormat="1">
      <c r="B812" s="521"/>
      <c r="C812" s="521"/>
      <c r="D812" s="521"/>
      <c r="E812" s="521"/>
      <c r="Y812" s="521"/>
      <c r="AA812" s="6"/>
      <c r="AB812" s="369"/>
      <c r="AC812" s="521"/>
      <c r="AD812" s="521"/>
      <c r="AE812" s="521"/>
      <c r="AH812" s="521"/>
      <c r="AI812" s="521"/>
      <c r="AJ812" s="521"/>
      <c r="AK812" s="521"/>
      <c r="AN812" s="521"/>
      <c r="AO812" s="521"/>
      <c r="AP812" s="521"/>
      <c r="AQ812" s="521"/>
    </row>
    <row r="813" spans="2:43" s="196" customFormat="1">
      <c r="B813" s="521"/>
      <c r="C813" s="521"/>
      <c r="D813" s="521"/>
      <c r="E813" s="521"/>
      <c r="Y813" s="521"/>
      <c r="AA813" s="6"/>
      <c r="AB813" s="369"/>
      <c r="AC813" s="521"/>
      <c r="AD813" s="521"/>
      <c r="AE813" s="521"/>
      <c r="AH813" s="521"/>
      <c r="AI813" s="521"/>
      <c r="AJ813" s="521"/>
      <c r="AK813" s="521"/>
      <c r="AN813" s="521"/>
      <c r="AO813" s="521"/>
      <c r="AP813" s="521"/>
      <c r="AQ813" s="521"/>
    </row>
    <row r="814" spans="2:43" s="196" customFormat="1">
      <c r="B814" s="521"/>
      <c r="C814" s="521"/>
      <c r="D814" s="521"/>
      <c r="E814" s="521"/>
      <c r="Y814" s="521"/>
      <c r="AA814" s="6"/>
      <c r="AB814" s="369"/>
      <c r="AC814" s="521"/>
      <c r="AD814" s="521"/>
      <c r="AE814" s="521"/>
      <c r="AH814" s="521"/>
      <c r="AI814" s="521"/>
      <c r="AJ814" s="521"/>
      <c r="AK814" s="521"/>
      <c r="AN814" s="521"/>
      <c r="AO814" s="521"/>
      <c r="AP814" s="521"/>
      <c r="AQ814" s="521"/>
    </row>
    <row r="815" spans="2:43" s="196" customFormat="1">
      <c r="B815" s="521"/>
      <c r="C815" s="521"/>
      <c r="D815" s="521"/>
      <c r="E815" s="521"/>
      <c r="Y815" s="521"/>
      <c r="AA815" s="6"/>
      <c r="AB815" s="369"/>
      <c r="AC815" s="521"/>
      <c r="AD815" s="521"/>
      <c r="AE815" s="521"/>
      <c r="AH815" s="521"/>
      <c r="AI815" s="521"/>
      <c r="AJ815" s="521"/>
      <c r="AK815" s="521"/>
      <c r="AN815" s="521"/>
      <c r="AO815" s="521"/>
      <c r="AP815" s="521"/>
      <c r="AQ815" s="521"/>
    </row>
    <row r="816" spans="2:43" s="196" customFormat="1">
      <c r="B816" s="521"/>
      <c r="C816" s="521"/>
      <c r="D816" s="521"/>
      <c r="E816" s="521"/>
      <c r="Y816" s="521"/>
      <c r="AA816" s="6"/>
      <c r="AB816" s="369"/>
      <c r="AC816" s="521"/>
      <c r="AD816" s="521"/>
      <c r="AE816" s="521"/>
      <c r="AH816" s="521"/>
      <c r="AI816" s="521"/>
      <c r="AJ816" s="521"/>
      <c r="AK816" s="521"/>
      <c r="AN816" s="521"/>
      <c r="AO816" s="521"/>
      <c r="AP816" s="521"/>
      <c r="AQ816" s="521"/>
    </row>
    <row r="817" spans="2:43" s="196" customFormat="1">
      <c r="B817" s="521"/>
      <c r="C817" s="521"/>
      <c r="D817" s="521"/>
      <c r="E817" s="521"/>
      <c r="Y817" s="521"/>
      <c r="AA817" s="6"/>
      <c r="AB817" s="369"/>
      <c r="AC817" s="521"/>
      <c r="AD817" s="521"/>
      <c r="AE817" s="521"/>
      <c r="AH817" s="521"/>
      <c r="AI817" s="521"/>
      <c r="AJ817" s="521"/>
      <c r="AK817" s="521"/>
      <c r="AN817" s="521"/>
      <c r="AO817" s="521"/>
      <c r="AP817" s="521"/>
      <c r="AQ817" s="521"/>
    </row>
    <row r="818" spans="2:43" s="196" customFormat="1">
      <c r="B818" s="521"/>
      <c r="C818" s="521"/>
      <c r="D818" s="521"/>
      <c r="E818" s="521"/>
      <c r="Y818" s="521"/>
      <c r="AA818" s="6"/>
      <c r="AB818" s="369"/>
      <c r="AC818" s="521"/>
      <c r="AD818" s="521"/>
      <c r="AE818" s="521"/>
      <c r="AH818" s="521"/>
      <c r="AI818" s="521"/>
      <c r="AJ818" s="521"/>
      <c r="AK818" s="521"/>
      <c r="AN818" s="521"/>
      <c r="AO818" s="521"/>
      <c r="AP818" s="521"/>
      <c r="AQ818" s="521"/>
    </row>
    <row r="819" spans="2:43" s="196" customFormat="1">
      <c r="B819" s="521"/>
      <c r="C819" s="521"/>
      <c r="D819" s="521"/>
      <c r="E819" s="521"/>
      <c r="Y819" s="521"/>
      <c r="AA819" s="6"/>
      <c r="AB819" s="369"/>
      <c r="AC819" s="521"/>
      <c r="AD819" s="521"/>
      <c r="AE819" s="521"/>
      <c r="AH819" s="521"/>
      <c r="AI819" s="521"/>
      <c r="AJ819" s="521"/>
      <c r="AK819" s="521"/>
      <c r="AN819" s="521"/>
      <c r="AO819" s="521"/>
      <c r="AP819" s="521"/>
      <c r="AQ819" s="521"/>
    </row>
    <row r="820" spans="2:43" s="196" customFormat="1">
      <c r="B820" s="521"/>
      <c r="C820" s="521"/>
      <c r="D820" s="521"/>
      <c r="E820" s="521"/>
      <c r="Y820" s="521"/>
      <c r="AA820" s="6"/>
      <c r="AB820" s="369"/>
      <c r="AC820" s="521"/>
      <c r="AD820" s="521"/>
      <c r="AE820" s="521"/>
      <c r="AH820" s="521"/>
      <c r="AI820" s="521"/>
      <c r="AJ820" s="521"/>
      <c r="AK820" s="521"/>
      <c r="AN820" s="521"/>
      <c r="AO820" s="521"/>
      <c r="AP820" s="521"/>
      <c r="AQ820" s="521"/>
    </row>
    <row r="821" spans="2:43" s="196" customFormat="1">
      <c r="B821" s="521"/>
      <c r="C821" s="521"/>
      <c r="D821" s="521"/>
      <c r="E821" s="521"/>
      <c r="Y821" s="521"/>
      <c r="AA821" s="6"/>
      <c r="AB821" s="369"/>
      <c r="AC821" s="521"/>
      <c r="AD821" s="521"/>
      <c r="AE821" s="521"/>
      <c r="AH821" s="521"/>
      <c r="AI821" s="521"/>
      <c r="AJ821" s="521"/>
      <c r="AK821" s="521"/>
      <c r="AN821" s="521"/>
      <c r="AO821" s="521"/>
      <c r="AP821" s="521"/>
      <c r="AQ821" s="521"/>
    </row>
    <row r="822" spans="2:43" s="196" customFormat="1">
      <c r="B822" s="521"/>
      <c r="C822" s="521"/>
      <c r="D822" s="521"/>
      <c r="E822" s="521"/>
      <c r="Y822" s="521"/>
      <c r="AA822" s="6"/>
      <c r="AB822" s="369"/>
      <c r="AC822" s="521"/>
      <c r="AD822" s="521"/>
      <c r="AE822" s="521"/>
      <c r="AH822" s="521"/>
      <c r="AI822" s="521"/>
      <c r="AJ822" s="521"/>
      <c r="AK822" s="521"/>
      <c r="AN822" s="521"/>
      <c r="AO822" s="521"/>
      <c r="AP822" s="521"/>
      <c r="AQ822" s="521"/>
    </row>
    <row r="823" spans="2:43" s="196" customFormat="1">
      <c r="B823" s="521"/>
      <c r="C823" s="521"/>
      <c r="D823" s="521"/>
      <c r="E823" s="521"/>
      <c r="Y823" s="521"/>
      <c r="AA823" s="6"/>
      <c r="AB823" s="369"/>
      <c r="AC823" s="521"/>
      <c r="AD823" s="521"/>
      <c r="AE823" s="521"/>
      <c r="AH823" s="521"/>
      <c r="AI823" s="521"/>
      <c r="AJ823" s="521"/>
      <c r="AK823" s="521"/>
      <c r="AN823" s="521"/>
      <c r="AO823" s="521"/>
      <c r="AP823" s="521"/>
      <c r="AQ823" s="521"/>
    </row>
    <row r="824" spans="2:43" s="196" customFormat="1">
      <c r="B824" s="521"/>
      <c r="C824" s="521"/>
      <c r="D824" s="521"/>
      <c r="E824" s="521"/>
      <c r="Y824" s="521"/>
      <c r="AA824" s="6"/>
      <c r="AB824" s="369"/>
      <c r="AC824" s="521"/>
      <c r="AD824" s="521"/>
      <c r="AE824" s="521"/>
      <c r="AH824" s="521"/>
      <c r="AI824" s="521"/>
      <c r="AJ824" s="521"/>
      <c r="AK824" s="521"/>
      <c r="AN824" s="521"/>
      <c r="AO824" s="521"/>
      <c r="AP824" s="521"/>
      <c r="AQ824" s="521"/>
    </row>
    <row r="825" spans="2:43" s="196" customFormat="1">
      <c r="B825" s="521"/>
      <c r="C825" s="521"/>
      <c r="D825" s="521"/>
      <c r="E825" s="521"/>
      <c r="Y825" s="521"/>
      <c r="AA825" s="6"/>
      <c r="AB825" s="369"/>
      <c r="AC825" s="521"/>
      <c r="AD825" s="521"/>
      <c r="AE825" s="521"/>
      <c r="AH825" s="521"/>
      <c r="AI825" s="521"/>
      <c r="AJ825" s="521"/>
      <c r="AK825" s="521"/>
      <c r="AN825" s="521"/>
      <c r="AO825" s="521"/>
      <c r="AP825" s="521"/>
      <c r="AQ825" s="521"/>
    </row>
    <row r="826" spans="2:43" s="196" customFormat="1">
      <c r="B826" s="521"/>
      <c r="C826" s="521"/>
      <c r="D826" s="521"/>
      <c r="E826" s="521"/>
      <c r="Y826" s="521"/>
      <c r="AA826" s="6"/>
      <c r="AB826" s="369"/>
      <c r="AC826" s="521"/>
      <c r="AD826" s="521"/>
      <c r="AE826" s="521"/>
      <c r="AH826" s="521"/>
      <c r="AI826" s="521"/>
      <c r="AJ826" s="521"/>
      <c r="AK826" s="521"/>
      <c r="AN826" s="521"/>
      <c r="AO826" s="521"/>
      <c r="AP826" s="521"/>
      <c r="AQ826" s="521"/>
    </row>
    <row r="827" spans="2:43" s="196" customFormat="1">
      <c r="B827" s="521"/>
      <c r="C827" s="521"/>
      <c r="D827" s="521"/>
      <c r="E827" s="521"/>
      <c r="Y827" s="521"/>
      <c r="AA827" s="6"/>
      <c r="AB827" s="369"/>
      <c r="AC827" s="521"/>
      <c r="AD827" s="521"/>
      <c r="AE827" s="521"/>
      <c r="AH827" s="521"/>
      <c r="AI827" s="521"/>
      <c r="AJ827" s="521"/>
      <c r="AK827" s="521"/>
      <c r="AN827" s="521"/>
      <c r="AO827" s="521"/>
      <c r="AP827" s="521"/>
      <c r="AQ827" s="521"/>
    </row>
    <row r="828" spans="2:43" s="196" customFormat="1">
      <c r="B828" s="521"/>
      <c r="C828" s="521"/>
      <c r="D828" s="521"/>
      <c r="E828" s="521"/>
      <c r="Y828" s="521"/>
      <c r="AA828" s="6"/>
      <c r="AB828" s="369"/>
      <c r="AC828" s="521"/>
      <c r="AD828" s="521"/>
      <c r="AE828" s="521"/>
      <c r="AH828" s="521"/>
      <c r="AI828" s="521"/>
      <c r="AJ828" s="521"/>
      <c r="AK828" s="521"/>
      <c r="AN828" s="521"/>
      <c r="AO828" s="521"/>
      <c r="AP828" s="521"/>
      <c r="AQ828" s="521"/>
    </row>
    <row r="829" spans="2:43" s="196" customFormat="1">
      <c r="B829" s="521"/>
      <c r="C829" s="521"/>
      <c r="D829" s="521"/>
      <c r="E829" s="521"/>
      <c r="Y829" s="521"/>
      <c r="AA829" s="6"/>
      <c r="AB829" s="369"/>
      <c r="AC829" s="521"/>
      <c r="AD829" s="521"/>
      <c r="AE829" s="521"/>
      <c r="AH829" s="521"/>
      <c r="AI829" s="521"/>
      <c r="AJ829" s="521"/>
      <c r="AK829" s="521"/>
      <c r="AN829" s="521"/>
      <c r="AO829" s="521"/>
      <c r="AP829" s="521"/>
      <c r="AQ829" s="521"/>
    </row>
    <row r="830" spans="2:43" s="196" customFormat="1">
      <c r="B830" s="521"/>
      <c r="C830" s="521"/>
      <c r="D830" s="521"/>
      <c r="E830" s="521"/>
      <c r="Y830" s="521"/>
      <c r="AA830" s="6"/>
      <c r="AB830" s="369"/>
      <c r="AC830" s="521"/>
      <c r="AD830" s="521"/>
      <c r="AE830" s="521"/>
      <c r="AH830" s="521"/>
      <c r="AI830" s="521"/>
      <c r="AJ830" s="521"/>
      <c r="AK830" s="521"/>
      <c r="AN830" s="521"/>
      <c r="AO830" s="521"/>
      <c r="AP830" s="521"/>
      <c r="AQ830" s="521"/>
    </row>
    <row r="831" spans="2:43" s="196" customFormat="1">
      <c r="B831" s="521"/>
      <c r="C831" s="521"/>
      <c r="D831" s="521"/>
      <c r="E831" s="521"/>
      <c r="Y831" s="521"/>
      <c r="AA831" s="6"/>
      <c r="AB831" s="369"/>
      <c r="AC831" s="521"/>
      <c r="AD831" s="521"/>
      <c r="AE831" s="521"/>
      <c r="AH831" s="521"/>
      <c r="AI831" s="521"/>
      <c r="AJ831" s="521"/>
      <c r="AK831" s="521"/>
      <c r="AN831" s="521"/>
      <c r="AO831" s="521"/>
      <c r="AP831" s="521"/>
      <c r="AQ831" s="521"/>
    </row>
    <row r="832" spans="2:43" s="196" customFormat="1">
      <c r="B832" s="521"/>
      <c r="C832" s="521"/>
      <c r="D832" s="521"/>
      <c r="E832" s="521"/>
      <c r="Y832" s="521"/>
      <c r="AA832" s="6"/>
      <c r="AB832" s="369"/>
      <c r="AC832" s="521"/>
      <c r="AD832" s="521"/>
      <c r="AE832" s="521"/>
      <c r="AH832" s="521"/>
      <c r="AI832" s="521"/>
      <c r="AJ832" s="521"/>
      <c r="AK832" s="521"/>
      <c r="AN832" s="521"/>
      <c r="AO832" s="521"/>
      <c r="AP832" s="521"/>
      <c r="AQ832" s="521"/>
    </row>
    <row r="833" spans="2:43" s="196" customFormat="1">
      <c r="B833" s="521"/>
      <c r="C833" s="521"/>
      <c r="D833" s="521"/>
      <c r="E833" s="521"/>
      <c r="Y833" s="521"/>
      <c r="AA833" s="6"/>
      <c r="AB833" s="369"/>
      <c r="AC833" s="521"/>
      <c r="AD833" s="521"/>
      <c r="AE833" s="521"/>
      <c r="AH833" s="521"/>
      <c r="AI833" s="521"/>
      <c r="AJ833" s="521"/>
      <c r="AK833" s="521"/>
      <c r="AN833" s="521"/>
      <c r="AO833" s="521"/>
      <c r="AP833" s="521"/>
      <c r="AQ833" s="521"/>
    </row>
    <row r="834" spans="2:43" s="196" customFormat="1">
      <c r="B834" s="521"/>
      <c r="C834" s="521"/>
      <c r="D834" s="521"/>
      <c r="E834" s="521"/>
      <c r="Y834" s="521"/>
      <c r="AA834" s="6"/>
      <c r="AB834" s="369"/>
      <c r="AC834" s="521"/>
      <c r="AD834" s="521"/>
      <c r="AE834" s="521"/>
      <c r="AH834" s="521"/>
      <c r="AI834" s="521"/>
      <c r="AJ834" s="521"/>
      <c r="AK834" s="521"/>
      <c r="AN834" s="521"/>
      <c r="AO834" s="521"/>
      <c r="AP834" s="521"/>
      <c r="AQ834" s="521"/>
    </row>
    <row r="835" spans="2:43" s="196" customFormat="1">
      <c r="B835" s="521"/>
      <c r="C835" s="521"/>
      <c r="D835" s="521"/>
      <c r="E835" s="521"/>
      <c r="Y835" s="521"/>
      <c r="AA835" s="6"/>
      <c r="AB835" s="369"/>
      <c r="AC835" s="521"/>
      <c r="AD835" s="521"/>
      <c r="AE835" s="521"/>
      <c r="AH835" s="521"/>
      <c r="AI835" s="521"/>
      <c r="AJ835" s="521"/>
      <c r="AK835" s="521"/>
      <c r="AN835" s="521"/>
      <c r="AO835" s="521"/>
      <c r="AP835" s="521"/>
      <c r="AQ835" s="521"/>
    </row>
    <row r="836" spans="2:43" s="196" customFormat="1">
      <c r="B836" s="521"/>
      <c r="C836" s="521"/>
      <c r="D836" s="521"/>
      <c r="E836" s="521"/>
      <c r="Y836" s="521"/>
      <c r="AA836" s="6"/>
      <c r="AB836" s="369"/>
      <c r="AC836" s="521"/>
      <c r="AD836" s="521"/>
      <c r="AE836" s="521"/>
      <c r="AH836" s="521"/>
      <c r="AI836" s="521"/>
      <c r="AJ836" s="521"/>
      <c r="AK836" s="521"/>
      <c r="AN836" s="521"/>
      <c r="AO836" s="521"/>
      <c r="AP836" s="521"/>
      <c r="AQ836" s="521"/>
    </row>
    <row r="837" spans="2:43" s="196" customFormat="1">
      <c r="B837" s="521"/>
      <c r="C837" s="521"/>
      <c r="D837" s="521"/>
      <c r="E837" s="521"/>
      <c r="Y837" s="521"/>
      <c r="AA837" s="6"/>
      <c r="AB837" s="369"/>
      <c r="AC837" s="521"/>
      <c r="AD837" s="521"/>
      <c r="AE837" s="521"/>
      <c r="AH837" s="521"/>
      <c r="AI837" s="521"/>
      <c r="AJ837" s="521"/>
      <c r="AK837" s="521"/>
      <c r="AN837" s="521"/>
      <c r="AO837" s="521"/>
      <c r="AP837" s="521"/>
      <c r="AQ837" s="521"/>
    </row>
    <row r="838" spans="2:43" s="196" customFormat="1">
      <c r="B838" s="521"/>
      <c r="C838" s="521"/>
      <c r="D838" s="521"/>
      <c r="E838" s="521"/>
      <c r="Y838" s="521"/>
      <c r="AA838" s="6"/>
      <c r="AB838" s="369"/>
      <c r="AC838" s="521"/>
      <c r="AD838" s="521"/>
      <c r="AE838" s="521"/>
      <c r="AH838" s="521"/>
      <c r="AI838" s="521"/>
      <c r="AJ838" s="521"/>
      <c r="AK838" s="521"/>
      <c r="AN838" s="521"/>
      <c r="AO838" s="521"/>
      <c r="AP838" s="521"/>
      <c r="AQ838" s="521"/>
    </row>
    <row r="839" spans="2:43" s="196" customFormat="1">
      <c r="B839" s="521"/>
      <c r="C839" s="521"/>
      <c r="D839" s="521"/>
      <c r="E839" s="521"/>
      <c r="Y839" s="521"/>
      <c r="AA839" s="6"/>
      <c r="AB839" s="369"/>
      <c r="AC839" s="521"/>
      <c r="AD839" s="521"/>
      <c r="AE839" s="521"/>
      <c r="AH839" s="521"/>
      <c r="AI839" s="521"/>
      <c r="AJ839" s="521"/>
      <c r="AK839" s="521"/>
      <c r="AN839" s="521"/>
      <c r="AO839" s="521"/>
      <c r="AP839" s="521"/>
      <c r="AQ839" s="521"/>
    </row>
    <row r="840" spans="2:43" s="196" customFormat="1">
      <c r="B840" s="521"/>
      <c r="C840" s="521"/>
      <c r="D840" s="521"/>
      <c r="E840" s="521"/>
      <c r="Y840" s="521"/>
      <c r="AA840" s="6"/>
      <c r="AB840" s="369"/>
      <c r="AC840" s="521"/>
      <c r="AD840" s="521"/>
      <c r="AE840" s="521"/>
      <c r="AH840" s="521"/>
      <c r="AI840" s="521"/>
      <c r="AJ840" s="521"/>
      <c r="AK840" s="521"/>
      <c r="AN840" s="521"/>
      <c r="AO840" s="521"/>
      <c r="AP840" s="521"/>
      <c r="AQ840" s="521"/>
    </row>
    <row r="841" spans="2:43" s="196" customFormat="1">
      <c r="B841" s="521"/>
      <c r="C841" s="521"/>
      <c r="D841" s="521"/>
      <c r="E841" s="521"/>
      <c r="Y841" s="521"/>
      <c r="AA841" s="6"/>
      <c r="AB841" s="369"/>
      <c r="AC841" s="521"/>
      <c r="AD841" s="521"/>
      <c r="AE841" s="521"/>
      <c r="AH841" s="521"/>
      <c r="AI841" s="521"/>
      <c r="AJ841" s="521"/>
      <c r="AK841" s="521"/>
      <c r="AN841" s="521"/>
      <c r="AO841" s="521"/>
      <c r="AP841" s="521"/>
      <c r="AQ841" s="521"/>
    </row>
    <row r="842" spans="2:43" s="196" customFormat="1">
      <c r="B842" s="521"/>
      <c r="C842" s="521"/>
      <c r="D842" s="521"/>
      <c r="E842" s="521"/>
      <c r="Y842" s="521"/>
      <c r="AA842" s="6"/>
      <c r="AB842" s="369"/>
      <c r="AC842" s="521"/>
      <c r="AD842" s="521"/>
      <c r="AE842" s="521"/>
      <c r="AH842" s="521"/>
      <c r="AI842" s="521"/>
      <c r="AJ842" s="521"/>
      <c r="AK842" s="521"/>
      <c r="AN842" s="521"/>
      <c r="AO842" s="521"/>
      <c r="AP842" s="521"/>
      <c r="AQ842" s="521"/>
    </row>
    <row r="843" spans="2:43" s="196" customFormat="1">
      <c r="B843" s="521"/>
      <c r="C843" s="521"/>
      <c r="D843" s="521"/>
      <c r="E843" s="521"/>
      <c r="Y843" s="521"/>
      <c r="AA843" s="6"/>
      <c r="AB843" s="369"/>
      <c r="AC843" s="521"/>
      <c r="AD843" s="521"/>
      <c r="AE843" s="521"/>
      <c r="AH843" s="521"/>
      <c r="AI843" s="521"/>
      <c r="AJ843" s="521"/>
      <c r="AK843" s="521"/>
      <c r="AN843" s="521"/>
      <c r="AO843" s="521"/>
      <c r="AP843" s="521"/>
      <c r="AQ843" s="521"/>
    </row>
    <row r="844" spans="2:43" s="196" customFormat="1">
      <c r="B844" s="521"/>
      <c r="C844" s="521"/>
      <c r="D844" s="521"/>
      <c r="E844" s="521"/>
      <c r="Y844" s="521"/>
      <c r="AA844" s="6"/>
      <c r="AB844" s="369"/>
      <c r="AC844" s="521"/>
      <c r="AD844" s="521"/>
      <c r="AE844" s="521"/>
      <c r="AH844" s="521"/>
      <c r="AI844" s="521"/>
      <c r="AJ844" s="521"/>
      <c r="AK844" s="521"/>
      <c r="AN844" s="521"/>
      <c r="AO844" s="521"/>
      <c r="AP844" s="521"/>
      <c r="AQ844" s="521"/>
    </row>
    <row r="845" spans="2:43" s="196" customFormat="1">
      <c r="B845" s="521"/>
      <c r="C845" s="521"/>
      <c r="D845" s="521"/>
      <c r="E845" s="521"/>
      <c r="Y845" s="521"/>
      <c r="AA845" s="6"/>
      <c r="AB845" s="369"/>
      <c r="AC845" s="521"/>
      <c r="AD845" s="521"/>
      <c r="AE845" s="521"/>
      <c r="AH845" s="521"/>
      <c r="AI845" s="521"/>
      <c r="AJ845" s="521"/>
      <c r="AK845" s="521"/>
      <c r="AN845" s="521"/>
      <c r="AO845" s="521"/>
      <c r="AP845" s="521"/>
      <c r="AQ845" s="521"/>
    </row>
    <row r="846" spans="2:43" s="196" customFormat="1">
      <c r="B846" s="521"/>
      <c r="C846" s="521"/>
      <c r="D846" s="521"/>
      <c r="E846" s="521"/>
      <c r="Y846" s="521"/>
      <c r="AA846" s="6"/>
      <c r="AB846" s="369"/>
      <c r="AC846" s="521"/>
      <c r="AD846" s="521"/>
      <c r="AE846" s="521"/>
      <c r="AH846" s="521"/>
      <c r="AI846" s="521"/>
      <c r="AJ846" s="521"/>
      <c r="AK846" s="521"/>
      <c r="AN846" s="521"/>
      <c r="AO846" s="521"/>
      <c r="AP846" s="521"/>
      <c r="AQ846" s="521"/>
    </row>
    <row r="847" spans="2:43" s="196" customFormat="1">
      <c r="B847" s="521"/>
      <c r="C847" s="521"/>
      <c r="D847" s="521"/>
      <c r="E847" s="521"/>
      <c r="Y847" s="521"/>
      <c r="AA847" s="6"/>
      <c r="AB847" s="369"/>
      <c r="AC847" s="521"/>
      <c r="AD847" s="521"/>
      <c r="AE847" s="521"/>
      <c r="AH847" s="521"/>
      <c r="AI847" s="521"/>
      <c r="AJ847" s="521"/>
      <c r="AK847" s="521"/>
      <c r="AN847" s="521"/>
      <c r="AO847" s="521"/>
      <c r="AP847" s="521"/>
      <c r="AQ847" s="521"/>
    </row>
    <row r="848" spans="2:43" s="196" customFormat="1">
      <c r="B848" s="521"/>
      <c r="C848" s="521"/>
      <c r="D848" s="521"/>
      <c r="E848" s="521"/>
      <c r="Y848" s="521"/>
      <c r="AA848" s="6"/>
      <c r="AB848" s="369"/>
      <c r="AC848" s="521"/>
      <c r="AD848" s="521"/>
      <c r="AE848" s="521"/>
      <c r="AH848" s="521"/>
      <c r="AI848" s="521"/>
      <c r="AJ848" s="521"/>
      <c r="AK848" s="521"/>
      <c r="AN848" s="521"/>
      <c r="AO848" s="521"/>
      <c r="AP848" s="521"/>
      <c r="AQ848" s="521"/>
    </row>
    <row r="849" spans="2:43" s="196" customFormat="1">
      <c r="B849" s="521"/>
      <c r="C849" s="521"/>
      <c r="D849" s="521"/>
      <c r="E849" s="521"/>
      <c r="Y849" s="521"/>
      <c r="AA849" s="6"/>
      <c r="AB849" s="369"/>
      <c r="AC849" s="521"/>
      <c r="AD849" s="521"/>
      <c r="AE849" s="521"/>
      <c r="AH849" s="521"/>
      <c r="AI849" s="521"/>
      <c r="AJ849" s="521"/>
      <c r="AK849" s="521"/>
      <c r="AN849" s="521"/>
      <c r="AO849" s="521"/>
      <c r="AP849" s="521"/>
      <c r="AQ849" s="521"/>
    </row>
    <row r="850" spans="2:43" s="196" customFormat="1">
      <c r="B850" s="521"/>
      <c r="C850" s="521"/>
      <c r="D850" s="521"/>
      <c r="E850" s="521"/>
      <c r="Y850" s="521"/>
      <c r="AA850" s="6"/>
      <c r="AB850" s="369"/>
      <c r="AC850" s="521"/>
      <c r="AD850" s="521"/>
      <c r="AE850" s="521"/>
      <c r="AH850" s="521"/>
      <c r="AI850" s="521"/>
      <c r="AJ850" s="521"/>
      <c r="AK850" s="521"/>
      <c r="AN850" s="521"/>
      <c r="AO850" s="521"/>
      <c r="AP850" s="521"/>
      <c r="AQ850" s="521"/>
    </row>
    <row r="851" spans="2:43" s="196" customFormat="1">
      <c r="B851" s="521"/>
      <c r="C851" s="521"/>
      <c r="D851" s="521"/>
      <c r="E851" s="521"/>
      <c r="Y851" s="521"/>
      <c r="AA851" s="6"/>
      <c r="AB851" s="369"/>
      <c r="AC851" s="521"/>
      <c r="AD851" s="521"/>
      <c r="AE851" s="521"/>
      <c r="AH851" s="521"/>
      <c r="AI851" s="521"/>
      <c r="AJ851" s="521"/>
      <c r="AK851" s="521"/>
      <c r="AN851" s="521"/>
      <c r="AO851" s="521"/>
      <c r="AP851" s="521"/>
      <c r="AQ851" s="521"/>
    </row>
    <row r="852" spans="2:43" s="196" customFormat="1">
      <c r="B852" s="521"/>
      <c r="C852" s="521"/>
      <c r="D852" s="521"/>
      <c r="E852" s="521"/>
      <c r="Y852" s="521"/>
      <c r="AA852" s="6"/>
      <c r="AB852" s="369"/>
      <c r="AC852" s="521"/>
      <c r="AD852" s="521"/>
      <c r="AE852" s="521"/>
      <c r="AH852" s="521"/>
      <c r="AI852" s="521"/>
      <c r="AJ852" s="521"/>
      <c r="AK852" s="521"/>
      <c r="AN852" s="521"/>
      <c r="AO852" s="521"/>
      <c r="AP852" s="521"/>
      <c r="AQ852" s="521"/>
    </row>
    <row r="853" spans="2:43" s="196" customFormat="1">
      <c r="B853" s="521"/>
      <c r="C853" s="521"/>
      <c r="D853" s="521"/>
      <c r="E853" s="521"/>
      <c r="Y853" s="521"/>
      <c r="AA853" s="6"/>
      <c r="AB853" s="369"/>
      <c r="AC853" s="521"/>
      <c r="AD853" s="521"/>
      <c r="AE853" s="521"/>
      <c r="AH853" s="521"/>
      <c r="AI853" s="521"/>
      <c r="AJ853" s="521"/>
      <c r="AK853" s="521"/>
      <c r="AN853" s="521"/>
      <c r="AO853" s="521"/>
      <c r="AP853" s="521"/>
      <c r="AQ853" s="521"/>
    </row>
    <row r="854" spans="2:43" s="196" customFormat="1">
      <c r="B854" s="521"/>
      <c r="C854" s="521"/>
      <c r="D854" s="521"/>
      <c r="E854" s="521"/>
      <c r="Y854" s="521"/>
      <c r="AA854" s="6"/>
      <c r="AB854" s="369"/>
      <c r="AC854" s="521"/>
      <c r="AD854" s="521"/>
      <c r="AE854" s="521"/>
      <c r="AH854" s="521"/>
      <c r="AI854" s="521"/>
      <c r="AJ854" s="521"/>
      <c r="AK854" s="521"/>
      <c r="AN854" s="521"/>
      <c r="AO854" s="521"/>
      <c r="AP854" s="521"/>
      <c r="AQ854" s="521"/>
    </row>
    <row r="855" spans="2:43" s="196" customFormat="1">
      <c r="B855" s="521"/>
      <c r="C855" s="521"/>
      <c r="D855" s="521"/>
      <c r="E855" s="521"/>
      <c r="Y855" s="521"/>
      <c r="AA855" s="6"/>
      <c r="AB855" s="369"/>
      <c r="AC855" s="521"/>
      <c r="AD855" s="521"/>
      <c r="AE855" s="521"/>
      <c r="AH855" s="521"/>
      <c r="AI855" s="521"/>
      <c r="AJ855" s="521"/>
      <c r="AK855" s="521"/>
      <c r="AN855" s="521"/>
      <c r="AO855" s="521"/>
      <c r="AP855" s="521"/>
      <c r="AQ855" s="521"/>
    </row>
    <row r="856" spans="2:43" s="196" customFormat="1">
      <c r="B856" s="521"/>
      <c r="C856" s="521"/>
      <c r="D856" s="521"/>
      <c r="E856" s="521"/>
      <c r="Y856" s="521"/>
      <c r="AA856" s="6"/>
      <c r="AB856" s="369"/>
      <c r="AC856" s="521"/>
      <c r="AD856" s="521"/>
      <c r="AE856" s="521"/>
      <c r="AH856" s="521"/>
      <c r="AI856" s="521"/>
      <c r="AJ856" s="521"/>
      <c r="AK856" s="521"/>
      <c r="AN856" s="521"/>
      <c r="AO856" s="521"/>
      <c r="AP856" s="521"/>
      <c r="AQ856" s="521"/>
    </row>
    <row r="857" spans="2:43" s="196" customFormat="1">
      <c r="B857" s="521"/>
      <c r="C857" s="521"/>
      <c r="D857" s="521"/>
      <c r="E857" s="521"/>
      <c r="Y857" s="521"/>
      <c r="AA857" s="6"/>
      <c r="AB857" s="369"/>
      <c r="AC857" s="521"/>
      <c r="AD857" s="521"/>
      <c r="AE857" s="521"/>
      <c r="AH857" s="521"/>
      <c r="AI857" s="521"/>
      <c r="AJ857" s="521"/>
      <c r="AK857" s="521"/>
      <c r="AN857" s="521"/>
      <c r="AO857" s="521"/>
      <c r="AP857" s="521"/>
      <c r="AQ857" s="521"/>
    </row>
    <row r="858" spans="2:43" s="196" customFormat="1">
      <c r="B858" s="521"/>
      <c r="C858" s="521"/>
      <c r="D858" s="521"/>
      <c r="E858" s="521"/>
      <c r="Y858" s="521"/>
      <c r="AA858" s="6"/>
      <c r="AB858" s="369"/>
      <c r="AC858" s="521"/>
      <c r="AD858" s="521"/>
      <c r="AE858" s="521"/>
      <c r="AH858" s="521"/>
      <c r="AI858" s="521"/>
      <c r="AJ858" s="521"/>
      <c r="AK858" s="521"/>
      <c r="AN858" s="521"/>
      <c r="AO858" s="521"/>
      <c r="AP858" s="521"/>
      <c r="AQ858" s="521"/>
    </row>
    <row r="859" spans="2:43" s="196" customFormat="1">
      <c r="B859" s="521"/>
      <c r="C859" s="521"/>
      <c r="D859" s="521"/>
      <c r="E859" s="521"/>
      <c r="Y859" s="521"/>
      <c r="AA859" s="6"/>
      <c r="AB859" s="369"/>
      <c r="AC859" s="521"/>
      <c r="AD859" s="521"/>
      <c r="AE859" s="521"/>
      <c r="AH859" s="521"/>
      <c r="AI859" s="521"/>
      <c r="AJ859" s="521"/>
      <c r="AK859" s="521"/>
      <c r="AN859" s="521"/>
      <c r="AO859" s="521"/>
      <c r="AP859" s="521"/>
      <c r="AQ859" s="521"/>
    </row>
    <row r="860" spans="2:43" s="196" customFormat="1">
      <c r="B860" s="521"/>
      <c r="C860" s="521"/>
      <c r="D860" s="521"/>
      <c r="E860" s="521"/>
      <c r="Y860" s="521"/>
      <c r="AA860" s="6"/>
      <c r="AB860" s="369"/>
      <c r="AC860" s="521"/>
      <c r="AD860" s="521"/>
      <c r="AE860" s="521"/>
      <c r="AH860" s="521"/>
      <c r="AI860" s="521"/>
      <c r="AJ860" s="521"/>
      <c r="AK860" s="521"/>
      <c r="AN860" s="521"/>
      <c r="AO860" s="521"/>
      <c r="AP860" s="521"/>
      <c r="AQ860" s="521"/>
    </row>
    <row r="861" spans="2:43" s="196" customFormat="1">
      <c r="B861" s="521"/>
      <c r="C861" s="521"/>
      <c r="D861" s="521"/>
      <c r="E861" s="521"/>
      <c r="Y861" s="521"/>
      <c r="AA861" s="6"/>
      <c r="AB861" s="369"/>
      <c r="AC861" s="521"/>
      <c r="AD861" s="521"/>
      <c r="AE861" s="521"/>
      <c r="AH861" s="521"/>
      <c r="AI861" s="521"/>
      <c r="AJ861" s="521"/>
      <c r="AK861" s="521"/>
      <c r="AN861" s="521"/>
      <c r="AO861" s="521"/>
      <c r="AP861" s="521"/>
      <c r="AQ861" s="521"/>
    </row>
    <row r="862" spans="2:43" s="196" customFormat="1">
      <c r="B862" s="521"/>
      <c r="C862" s="521"/>
      <c r="D862" s="521"/>
      <c r="E862" s="521"/>
      <c r="Y862" s="521"/>
      <c r="AA862" s="6"/>
      <c r="AB862" s="369"/>
      <c r="AC862" s="521"/>
      <c r="AD862" s="521"/>
      <c r="AE862" s="521"/>
      <c r="AH862" s="521"/>
      <c r="AI862" s="521"/>
      <c r="AJ862" s="521"/>
      <c r="AK862" s="521"/>
      <c r="AN862" s="521"/>
      <c r="AO862" s="521"/>
      <c r="AP862" s="521"/>
      <c r="AQ862" s="521"/>
    </row>
    <row r="863" spans="2:43" s="196" customFormat="1">
      <c r="B863" s="521"/>
      <c r="C863" s="521"/>
      <c r="D863" s="521"/>
      <c r="E863" s="521"/>
      <c r="Y863" s="521"/>
      <c r="AA863" s="6"/>
      <c r="AB863" s="369"/>
      <c r="AC863" s="521"/>
      <c r="AD863" s="521"/>
      <c r="AE863" s="521"/>
      <c r="AH863" s="521"/>
      <c r="AI863" s="521"/>
      <c r="AJ863" s="521"/>
      <c r="AK863" s="521"/>
      <c r="AN863" s="521"/>
      <c r="AO863" s="521"/>
      <c r="AP863" s="521"/>
      <c r="AQ863" s="521"/>
    </row>
    <row r="864" spans="2:43" s="196" customFormat="1">
      <c r="B864" s="521"/>
      <c r="C864" s="521"/>
      <c r="D864" s="521"/>
      <c r="E864" s="521"/>
      <c r="Y864" s="521"/>
      <c r="AA864" s="6"/>
      <c r="AB864" s="369"/>
      <c r="AC864" s="521"/>
      <c r="AD864" s="521"/>
      <c r="AE864" s="521"/>
      <c r="AH864" s="521"/>
      <c r="AI864" s="521"/>
      <c r="AJ864" s="521"/>
      <c r="AK864" s="521"/>
      <c r="AN864" s="521"/>
      <c r="AO864" s="521"/>
      <c r="AP864" s="521"/>
      <c r="AQ864" s="521"/>
    </row>
    <row r="865" spans="2:43" s="196" customFormat="1">
      <c r="B865" s="521"/>
      <c r="C865" s="521"/>
      <c r="D865" s="521"/>
      <c r="E865" s="521"/>
      <c r="Y865" s="521"/>
      <c r="AA865" s="6"/>
      <c r="AB865" s="369"/>
      <c r="AC865" s="521"/>
      <c r="AD865" s="521"/>
      <c r="AE865" s="521"/>
      <c r="AH865" s="521"/>
      <c r="AI865" s="521"/>
      <c r="AJ865" s="521"/>
      <c r="AK865" s="521"/>
      <c r="AN865" s="521"/>
      <c r="AO865" s="521"/>
      <c r="AP865" s="521"/>
      <c r="AQ865" s="521"/>
    </row>
  </sheetData>
  <autoFilter ref="B31:D261" xr:uid="{00000000-0001-0000-0400-000000000000}"/>
  <mergeCells count="30">
    <mergeCell ref="E294:X294"/>
    <mergeCell ref="E295:X295"/>
    <mergeCell ref="C16:C23"/>
    <mergeCell ref="E264:X264"/>
    <mergeCell ref="E265:X265"/>
    <mergeCell ref="E266:X266"/>
    <mergeCell ref="E293:X293"/>
    <mergeCell ref="E235:X235"/>
    <mergeCell ref="E236:X236"/>
    <mergeCell ref="E121:X121"/>
    <mergeCell ref="E149:X149"/>
    <mergeCell ref="E150:X150"/>
    <mergeCell ref="E207:X207"/>
    <mergeCell ref="E120:X120"/>
    <mergeCell ref="E61:X61"/>
    <mergeCell ref="E62:X62"/>
    <mergeCell ref="B3:B11"/>
    <mergeCell ref="E237:X237"/>
    <mergeCell ref="E208:X208"/>
    <mergeCell ref="E177:X177"/>
    <mergeCell ref="E178:X178"/>
    <mergeCell ref="E179:X179"/>
    <mergeCell ref="E206:X206"/>
    <mergeCell ref="E63:X63"/>
    <mergeCell ref="E92:X92"/>
    <mergeCell ref="C10:W10"/>
    <mergeCell ref="E32:X32"/>
    <mergeCell ref="E34:X34"/>
    <mergeCell ref="E90:X90"/>
    <mergeCell ref="E91:X91"/>
  </mergeCells>
  <conditionalFormatting sqref="A11">
    <cfRule type="expression" dxfId="41" priority="13">
      <formula>B$38=FALSE</formula>
    </cfRule>
  </conditionalFormatting>
  <conditionalFormatting sqref="AA27">
    <cfRule type="expression" dxfId="40" priority="11">
      <formula>AB27&lt;&gt;""</formula>
    </cfRule>
  </conditionalFormatting>
  <conditionalFormatting sqref="AA35:AA58">
    <cfRule type="expression" dxfId="39" priority="10">
      <formula>AB35&lt;&gt;""</formula>
    </cfRule>
  </conditionalFormatting>
  <conditionalFormatting sqref="AA64:AA87">
    <cfRule type="expression" dxfId="38" priority="9">
      <formula>AB64&lt;&gt;""</formula>
    </cfRule>
  </conditionalFormatting>
  <conditionalFormatting sqref="AA93:AA116">
    <cfRule type="expression" dxfId="37" priority="8">
      <formula>AB93&lt;&gt;""</formula>
    </cfRule>
  </conditionalFormatting>
  <conditionalFormatting sqref="AA122:AA145">
    <cfRule type="expression" dxfId="36" priority="7">
      <formula>AB122&lt;&gt;""</formula>
    </cfRule>
  </conditionalFormatting>
  <conditionalFormatting sqref="AA151:AA174">
    <cfRule type="expression" dxfId="35" priority="6">
      <formula>AB151&lt;&gt;""</formula>
    </cfRule>
  </conditionalFormatting>
  <conditionalFormatting sqref="AA180:AA203">
    <cfRule type="expression" dxfId="34" priority="5">
      <formula>AB180&lt;&gt;""</formula>
    </cfRule>
  </conditionalFormatting>
  <conditionalFormatting sqref="AA209:AA232">
    <cfRule type="expression" dxfId="33" priority="4">
      <formula>AB209&lt;&gt;""</formula>
    </cfRule>
  </conditionalFormatting>
  <conditionalFormatting sqref="AA238:AA261">
    <cfRule type="expression" dxfId="32" priority="3">
      <formula>AB238&lt;&gt;""</formula>
    </cfRule>
  </conditionalFormatting>
  <conditionalFormatting sqref="AA267:AA290">
    <cfRule type="expression" dxfId="31" priority="2">
      <formula>AB267&lt;&gt;""</formula>
    </cfRule>
  </conditionalFormatting>
  <conditionalFormatting sqref="AA296:AA319">
    <cfRule type="expression" dxfId="30" priority="1">
      <formula>AB296&lt;&gt;""</formula>
    </cfRule>
  </conditionalFormatting>
  <hyperlinks>
    <hyperlink ref="A1" location="Content!A1" display="Go to Content" xr:uid="{DF4D8BD0-10EF-4F93-94AD-957E2776246E}"/>
    <hyperlink ref="A7" location="Content!A1" display="Go to Content" xr:uid="{C46F4BE6-3C45-48D6-8F43-0B3C94DE7E0F}"/>
    <hyperlink ref="A7:E7" location="Content!A1" display="Go to Content" xr:uid="{CA7558EE-35E6-4851-BFCD-6904D3C632E4}"/>
    <hyperlink ref="A14" location="'Additional Information'!B130" display="Link to additional information / German translation" xr:uid="{43DAA7AE-772C-4AF1-841F-4B0EC4B69285}"/>
    <hyperlink ref="A15" location="'Additional Information'!B131" display="Link to additional information / German translation" xr:uid="{14614C1F-8BEE-4DFB-A8B5-EE64CAD7E653}"/>
    <hyperlink ref="A16" location="'Additional Information'!B132" display="Link to additional information / German translation" xr:uid="{6911E5FE-7081-4669-827D-CD6E6649D5C1}"/>
    <hyperlink ref="A27" location="'Additional Information'!B133" display="Link to additional information / German translation" xr:uid="{FAB3FB1F-9D94-47FB-AFA4-339F46A7C11E}"/>
    <hyperlink ref="A33" location="'Additional Information'!B134" display="Link to additional information / German translation" xr:uid="{DD6E855E-A94C-4094-BD73-37719C9D7F1E}"/>
    <hyperlink ref="A61" location="'Additional Information'!B135" display="Link to additional information / German translation" xr:uid="{639C0080-E5A7-4EE1-9B6B-360E53E5444C}"/>
    <hyperlink ref="A89" location="'Additional Information'!B136" display="Link to additional information / German translation" xr:uid="{0E0F1462-EBAB-4C1F-9B88-408FDD7A4904}"/>
    <hyperlink ref="A119" location="'Additional Information'!B137" display="Link to additional information / German translation" xr:uid="{0C37DCB6-6379-42CA-96D3-F747A1858A69}"/>
    <hyperlink ref="A148" location="'Additional Information'!B138" display="Link to additional information / German translation" xr:uid="{1CEDC9FA-A3FF-4BCA-853F-C9BD4D362E7D}"/>
    <hyperlink ref="A177" location="'Additional Information'!B139" display="Link to additional information / German translation" xr:uid="{99108F7B-4455-4E3A-BE01-E8F7F1669B8D}"/>
    <hyperlink ref="A206" location="'Additional Information'!B140" display="Link to additional information / German translation" xr:uid="{BA7AE2EF-8D1A-4B6E-8611-D94AFA85178E}"/>
    <hyperlink ref="A235" location="'Additional Information'!B141" display="Link to additional information / German translation" xr:uid="{9B1A6171-F04C-4FC7-BFD1-EF818FE0E754}"/>
    <hyperlink ref="A264" location="'Additional Information'!B142" display="Link to additional information / German translation" xr:uid="{9236C4DB-E137-4500-AABE-90F14AE3DDF4}"/>
    <hyperlink ref="A293" location="'Additional Information'!B143" display="Link to additional information / German translation" xr:uid="{5F093030-AF68-44ED-8B3D-04492D10DDEF}"/>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FAA13-B683-45E3-AA06-393B55E77706}">
  <sheetPr codeName="Tabelle7">
    <tabColor theme="9" tint="0.79998168889431442"/>
    <outlinePr summaryBelow="0" summaryRight="0"/>
  </sheetPr>
  <dimension ref="A1:BV41"/>
  <sheetViews>
    <sheetView topLeftCell="A31" zoomScale="145" zoomScaleNormal="145" workbookViewId="0">
      <selection activeCell="F38" sqref="F38:F41"/>
    </sheetView>
  </sheetViews>
  <sheetFormatPr baseColWidth="10" defaultColWidth="11.140625" defaultRowHeight="15" outlineLevelRow="1" outlineLevelCol="1"/>
  <cols>
    <col min="1" max="1" width="4" style="143" customWidth="1"/>
    <col min="2" max="2" width="8.42578125" style="665" customWidth="1"/>
    <col min="3" max="3" width="17.5703125" style="143" customWidth="1"/>
    <col min="4" max="4" width="22.42578125" style="665" customWidth="1"/>
    <col min="5" max="5" width="3" style="665" customWidth="1"/>
    <col min="6" max="6" width="18.42578125" style="665" customWidth="1" collapsed="1"/>
    <col min="7" max="9" width="15.5703125" style="143" hidden="1" customWidth="1" outlineLevel="1"/>
    <col min="10" max="10" width="17.42578125" style="143" hidden="1" customWidth="1" outlineLevel="1"/>
    <col min="11" max="13" width="15.5703125" style="143" hidden="1" customWidth="1" outlineLevel="1"/>
    <col min="14" max="14" width="16.5703125" style="143" hidden="1" customWidth="1" outlineLevel="1"/>
    <col min="15" max="21" width="15.5703125" style="143" hidden="1" customWidth="1" outlineLevel="1"/>
    <col min="22" max="22" width="2.5703125" style="196" customWidth="1" collapsed="1"/>
    <col min="23" max="23" width="19.42578125" style="143" hidden="1" customWidth="1" outlineLevel="1"/>
    <col min="24" max="28" width="15.5703125" style="143" hidden="1" customWidth="1" outlineLevel="1"/>
    <col min="29" max="30" width="13.5703125" style="143" hidden="1" customWidth="1" outlineLevel="1"/>
    <col min="31" max="31" width="17.42578125" style="143" hidden="1" customWidth="1" outlineLevel="1"/>
    <col min="32" max="32" width="19.42578125" style="143" hidden="1" customWidth="1" outlineLevel="1"/>
    <col min="33" max="34" width="13.5703125" style="196" customWidth="1"/>
    <col min="35" max="35" width="13.5703125" style="196" customWidth="1" collapsed="1"/>
    <col min="36" max="39" width="16.140625" style="196" hidden="1" customWidth="1" outlineLevel="1"/>
    <col min="40" max="41" width="15.5703125" style="196" hidden="1" customWidth="1" outlineLevel="1"/>
    <col min="42" max="55" width="13.5703125" style="196" customWidth="1"/>
    <col min="56" max="56" width="60.5703125" style="196" bestFit="1" customWidth="1"/>
    <col min="57" max="57" width="20.140625" style="196" bestFit="1" customWidth="1"/>
    <col min="58" max="59" width="20.140625" style="196" customWidth="1"/>
    <col min="60" max="62" width="11.140625" style="196"/>
    <col min="63" max="63" width="12" style="196" bestFit="1" customWidth="1"/>
    <col min="64" max="64" width="11.140625" style="196"/>
    <col min="65" max="65" width="20.5703125" style="196" customWidth="1"/>
    <col min="66" max="74" width="11.140625" style="196"/>
    <col min="75" max="16384" width="11.140625" style="143"/>
  </cols>
  <sheetData>
    <row r="1" spans="1:74" s="44" customFormat="1">
      <c r="A1" s="1130" t="s">
        <v>57</v>
      </c>
      <c r="B1" s="1130"/>
      <c r="C1" s="1130"/>
      <c r="D1" s="1130"/>
      <c r="E1" s="144"/>
      <c r="F1" s="521"/>
    </row>
    <row r="2" spans="1:74" s="44" customFormat="1" ht="15" customHeight="1">
      <c r="B2" s="521"/>
      <c r="D2" s="666"/>
      <c r="E2" s="521"/>
      <c r="F2" s="521"/>
    </row>
    <row r="3" spans="1:74" s="44" customFormat="1" ht="15" customHeight="1" thickBot="1">
      <c r="A3" s="1058" t="s">
        <v>58</v>
      </c>
      <c r="B3" s="1053" t="s">
        <v>46</v>
      </c>
      <c r="C3" s="1053"/>
      <c r="D3" s="1053"/>
      <c r="E3" s="1053"/>
      <c r="F3" s="521"/>
    </row>
    <row r="4" spans="1:74" s="44" customFormat="1" ht="15" customHeight="1" thickTop="1">
      <c r="A4" s="1058"/>
      <c r="B4" s="1054" t="s">
        <v>47</v>
      </c>
      <c r="C4" s="1054"/>
      <c r="D4" s="1054"/>
      <c r="E4" s="1054"/>
      <c r="F4" s="521"/>
    </row>
    <row r="5" spans="1:74" s="44" customFormat="1" ht="15" customHeight="1">
      <c r="A5" s="1058"/>
      <c r="B5" s="1055" t="s">
        <v>48</v>
      </c>
      <c r="C5" s="1055"/>
      <c r="D5" s="1055"/>
      <c r="E5" s="1055"/>
      <c r="F5" s="521"/>
    </row>
    <row r="6" spans="1:74" s="44" customFormat="1" ht="15" customHeight="1">
      <c r="A6" s="1058"/>
      <c r="B6" s="1056" t="s">
        <v>49</v>
      </c>
      <c r="C6" s="1056"/>
      <c r="D6" s="1131" t="s">
        <v>49</v>
      </c>
      <c r="E6" s="1131"/>
      <c r="F6" s="521"/>
    </row>
    <row r="7" spans="1:74" s="44" customFormat="1">
      <c r="A7" s="1058"/>
      <c r="B7" s="1048" t="s">
        <v>57</v>
      </c>
      <c r="C7" s="1048"/>
      <c r="D7" s="1048"/>
      <c r="E7" s="1048"/>
      <c r="F7" s="521"/>
    </row>
    <row r="8" spans="1:74" s="44" customFormat="1" ht="15" customHeight="1">
      <c r="A8" s="1058"/>
      <c r="B8" s="1093" t="s">
        <v>51</v>
      </c>
      <c r="C8" s="1093"/>
      <c r="D8" s="1093"/>
      <c r="E8" s="1093"/>
      <c r="F8" s="521"/>
    </row>
    <row r="9" spans="1:74" s="44" customFormat="1" ht="15" customHeight="1">
      <c r="A9" s="1058"/>
      <c r="B9" s="521"/>
      <c r="D9" s="521"/>
      <c r="E9" s="521"/>
      <c r="F9" s="521"/>
    </row>
    <row r="10" spans="1:74" s="44" customFormat="1" ht="15" customHeight="1">
      <c r="A10" s="1058"/>
      <c r="B10" s="1049" t="s">
        <v>53</v>
      </c>
      <c r="C10" s="1049"/>
      <c r="D10" s="1049"/>
      <c r="E10" s="1049"/>
      <c r="F10" s="521"/>
    </row>
    <row r="11" spans="1:74" s="44" customFormat="1" ht="15" customHeight="1">
      <c r="A11" s="1058"/>
      <c r="B11" s="1050" t="s">
        <v>54</v>
      </c>
      <c r="C11" s="1050"/>
      <c r="D11" s="1050"/>
      <c r="E11" s="1050"/>
      <c r="F11" s="521"/>
    </row>
    <row r="12" spans="1:74" s="56" customFormat="1" ht="23.1" customHeight="1">
      <c r="B12" s="230"/>
      <c r="C12" s="652"/>
      <c r="D12" s="204"/>
      <c r="E12" s="204"/>
      <c r="F12" s="667"/>
      <c r="G12" s="1132" t="s">
        <v>342</v>
      </c>
      <c r="H12" s="1132"/>
      <c r="I12" s="1132"/>
      <c r="J12" s="1132"/>
      <c r="K12" s="1132"/>
      <c r="L12" s="1132"/>
      <c r="M12" s="1132"/>
      <c r="N12" s="1132"/>
      <c r="O12" s="1132"/>
      <c r="P12" s="1132"/>
      <c r="Q12" s="1132"/>
      <c r="R12" s="1132"/>
      <c r="S12" s="1132"/>
      <c r="T12" s="1132"/>
      <c r="U12" s="1132"/>
      <c r="W12" s="1133" t="s">
        <v>373</v>
      </c>
      <c r="X12" s="1133"/>
      <c r="Y12" s="1133"/>
      <c r="Z12" s="1133"/>
      <c r="AA12" s="1133"/>
      <c r="AB12" s="1133"/>
      <c r="AC12" s="1133"/>
      <c r="AD12" s="1133"/>
      <c r="AE12" s="1133"/>
      <c r="AF12" s="1133"/>
      <c r="AG12" s="194"/>
      <c r="AH12" s="194"/>
      <c r="AI12" s="47"/>
      <c r="AJ12" s="1134" t="s">
        <v>374</v>
      </c>
      <c r="AK12" s="1134"/>
      <c r="AL12" s="1134"/>
      <c r="AM12" s="1134"/>
      <c r="AN12" s="1134"/>
      <c r="AO12" s="1134"/>
    </row>
    <row r="13" spans="1:74" s="131" customFormat="1" ht="50.45" customHeight="1">
      <c r="A13" s="129"/>
      <c r="B13" s="662" t="s">
        <v>375</v>
      </c>
      <c r="C13" s="651" t="s">
        <v>306</v>
      </c>
      <c r="D13" s="161" t="s">
        <v>376</v>
      </c>
      <c r="E13" s="129"/>
      <c r="F13" s="161" t="s">
        <v>377</v>
      </c>
      <c r="G13" s="651" t="s">
        <v>378</v>
      </c>
      <c r="H13" s="651" t="s">
        <v>379</v>
      </c>
      <c r="I13" s="651" t="s">
        <v>380</v>
      </c>
      <c r="J13" s="651" t="s">
        <v>381</v>
      </c>
      <c r="K13" s="651" t="s">
        <v>382</v>
      </c>
      <c r="L13" s="651" t="s">
        <v>383</v>
      </c>
      <c r="M13" s="651" t="s">
        <v>384</v>
      </c>
      <c r="N13" s="651" t="s">
        <v>385</v>
      </c>
      <c r="O13" s="651" t="s">
        <v>386</v>
      </c>
      <c r="P13" s="651" t="s">
        <v>387</v>
      </c>
      <c r="Q13" s="651" t="s">
        <v>388</v>
      </c>
      <c r="R13" s="651" t="s">
        <v>389</v>
      </c>
      <c r="S13" s="651" t="s">
        <v>390</v>
      </c>
      <c r="T13" s="651" t="s">
        <v>391</v>
      </c>
      <c r="U13" s="651" t="s">
        <v>392</v>
      </c>
      <c r="V13" s="129"/>
      <c r="W13" s="654" t="s">
        <v>393</v>
      </c>
      <c r="X13" s="654" t="s">
        <v>394</v>
      </c>
      <c r="Y13" s="654" t="s">
        <v>395</v>
      </c>
      <c r="Z13" s="654" t="s">
        <v>396</v>
      </c>
      <c r="AA13" s="654" t="s">
        <v>397</v>
      </c>
      <c r="AB13" s="654" t="s">
        <v>398</v>
      </c>
      <c r="AC13" s="654" t="s">
        <v>399</v>
      </c>
      <c r="AD13" s="654" t="s">
        <v>400</v>
      </c>
      <c r="AE13" s="654" t="s">
        <v>401</v>
      </c>
      <c r="AF13" s="654" t="s">
        <v>402</v>
      </c>
      <c r="AG13" s="129"/>
      <c r="AH13" s="129"/>
      <c r="AI13" s="132"/>
      <c r="AJ13" s="654" t="s">
        <v>403</v>
      </c>
      <c r="AK13" s="654" t="s">
        <v>404</v>
      </c>
      <c r="AL13" s="654" t="s">
        <v>405</v>
      </c>
      <c r="AM13" s="654" t="s">
        <v>406</v>
      </c>
      <c r="AN13" s="654" t="s">
        <v>407</v>
      </c>
      <c r="AO13" s="654" t="s">
        <v>408</v>
      </c>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129"/>
      <c r="BR13" s="129"/>
      <c r="BS13" s="129"/>
      <c r="BT13" s="129"/>
      <c r="BU13" s="129"/>
      <c r="BV13" s="129"/>
    </row>
    <row r="14" spans="1:74" s="619" customFormat="1" ht="15" customHeight="1">
      <c r="A14" s="202"/>
      <c r="B14" s="650" t="s">
        <v>101</v>
      </c>
      <c r="C14" s="646"/>
      <c r="D14" s="650" t="s">
        <v>106</v>
      </c>
      <c r="E14" s="52"/>
      <c r="F14" s="926" t="s">
        <v>409</v>
      </c>
      <c r="G14" s="650" t="s">
        <v>83</v>
      </c>
      <c r="H14" s="650" t="s">
        <v>83</v>
      </c>
      <c r="I14" s="650" t="s">
        <v>83</v>
      </c>
      <c r="J14" s="650" t="s">
        <v>83</v>
      </c>
      <c r="K14" s="650" t="s">
        <v>83</v>
      </c>
      <c r="L14" s="650" t="s">
        <v>83</v>
      </c>
      <c r="M14" s="650" t="s">
        <v>410</v>
      </c>
      <c r="N14" s="650" t="s">
        <v>410</v>
      </c>
      <c r="O14" s="650" t="s">
        <v>411</v>
      </c>
      <c r="P14" s="650" t="s">
        <v>411</v>
      </c>
      <c r="Q14" s="650" t="s">
        <v>412</v>
      </c>
      <c r="R14" s="650" t="s">
        <v>413</v>
      </c>
      <c r="S14" s="650" t="s">
        <v>411</v>
      </c>
      <c r="T14" s="650" t="s">
        <v>413</v>
      </c>
      <c r="U14" s="650" t="s">
        <v>413</v>
      </c>
      <c r="V14" s="52"/>
      <c r="W14" s="655" t="s">
        <v>414</v>
      </c>
      <c r="X14" s="655" t="s">
        <v>414</v>
      </c>
      <c r="Y14" s="655" t="s">
        <v>414</v>
      </c>
      <c r="Z14" s="655" t="s">
        <v>414</v>
      </c>
      <c r="AA14" s="655" t="s">
        <v>414</v>
      </c>
      <c r="AB14" s="655" t="s">
        <v>414</v>
      </c>
      <c r="AC14" s="655" t="s">
        <v>414</v>
      </c>
      <c r="AD14" s="655" t="s">
        <v>414</v>
      </c>
      <c r="AE14" s="655" t="s">
        <v>414</v>
      </c>
      <c r="AF14" s="655" t="s">
        <v>414</v>
      </c>
      <c r="AG14" s="52"/>
      <c r="AH14" s="52"/>
      <c r="AI14" s="204"/>
      <c r="AJ14" s="657" t="s">
        <v>414</v>
      </c>
      <c r="AK14" s="657" t="s">
        <v>414</v>
      </c>
      <c r="AL14" s="657" t="s">
        <v>414</v>
      </c>
      <c r="AM14" s="657" t="s">
        <v>414</v>
      </c>
      <c r="AN14" s="657" t="s">
        <v>414</v>
      </c>
      <c r="AO14" s="657" t="s">
        <v>414</v>
      </c>
      <c r="AP14" s="202"/>
      <c r="AQ14" s="202"/>
      <c r="AR14" s="202"/>
      <c r="AS14" s="202"/>
      <c r="AT14" s="202"/>
      <c r="AU14" s="202"/>
      <c r="AV14" s="202"/>
      <c r="AW14" s="202"/>
      <c r="AX14" s="202"/>
      <c r="AY14" s="202"/>
      <c r="AZ14" s="202"/>
      <c r="BA14" s="202"/>
      <c r="BB14" s="202"/>
      <c r="BC14" s="202"/>
      <c r="BD14" s="202"/>
      <c r="BE14" s="202"/>
      <c r="BF14" s="202"/>
      <c r="BG14" s="202"/>
      <c r="BH14" s="202"/>
      <c r="BI14" s="202"/>
      <c r="BJ14" s="202"/>
      <c r="BK14" s="202"/>
      <c r="BL14" s="202"/>
      <c r="BM14" s="202"/>
      <c r="BN14" s="202"/>
      <c r="BO14" s="202"/>
      <c r="BP14" s="202"/>
      <c r="BQ14" s="202"/>
      <c r="BR14" s="202"/>
      <c r="BS14" s="202"/>
      <c r="BT14" s="202"/>
      <c r="BU14" s="202"/>
      <c r="BV14" s="202"/>
    </row>
    <row r="15" spans="1:74" s="133" customFormat="1" ht="82.35" customHeight="1">
      <c r="A15" s="52"/>
      <c r="B15" s="650"/>
      <c r="C15" s="650" t="s">
        <v>415</v>
      </c>
      <c r="D15" s="650" t="s">
        <v>416</v>
      </c>
      <c r="E15" s="52"/>
      <c r="F15" s="923" t="s">
        <v>417</v>
      </c>
      <c r="G15" s="8" t="s">
        <v>418</v>
      </c>
      <c r="H15" s="8" t="s">
        <v>419</v>
      </c>
      <c r="I15" s="8" t="s">
        <v>420</v>
      </c>
      <c r="J15" s="8" t="s">
        <v>421</v>
      </c>
      <c r="K15" s="8" t="s">
        <v>422</v>
      </c>
      <c r="L15" s="8" t="s">
        <v>423</v>
      </c>
      <c r="M15" s="8" t="s">
        <v>424</v>
      </c>
      <c r="N15" s="8" t="s">
        <v>425</v>
      </c>
      <c r="O15" s="8" t="s">
        <v>426</v>
      </c>
      <c r="P15" s="8" t="s">
        <v>427</v>
      </c>
      <c r="Q15" s="8" t="s">
        <v>428</v>
      </c>
      <c r="R15" s="8" t="s">
        <v>429</v>
      </c>
      <c r="S15" s="8" t="s">
        <v>430</v>
      </c>
      <c r="T15" s="924" t="s">
        <v>431</v>
      </c>
      <c r="U15" s="925" t="s">
        <v>432</v>
      </c>
      <c r="V15" s="52"/>
      <c r="W15" s="8" t="s">
        <v>433</v>
      </c>
      <c r="X15" s="8" t="s">
        <v>434</v>
      </c>
      <c r="Y15" s="8" t="s">
        <v>435</v>
      </c>
      <c r="Z15" s="8" t="s">
        <v>436</v>
      </c>
      <c r="AA15" s="8" t="s">
        <v>437</v>
      </c>
      <c r="AB15" s="8" t="s">
        <v>438</v>
      </c>
      <c r="AC15" s="134" t="s">
        <v>439</v>
      </c>
      <c r="AD15" s="8" t="s">
        <v>440</v>
      </c>
      <c r="AE15" s="8" t="s">
        <v>441</v>
      </c>
      <c r="AF15" s="8" t="s">
        <v>442</v>
      </c>
      <c r="AG15" s="52"/>
      <c r="AH15" s="52"/>
      <c r="AI15" s="47"/>
      <c r="AJ15" s="658" t="s">
        <v>443</v>
      </c>
      <c r="AK15" s="658" t="s">
        <v>444</v>
      </c>
      <c r="AL15" s="658" t="s">
        <v>445</v>
      </c>
      <c r="AM15" s="658" t="s">
        <v>446</v>
      </c>
      <c r="AN15" s="658" t="s">
        <v>447</v>
      </c>
      <c r="AO15" s="658" t="s">
        <v>448</v>
      </c>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row>
    <row r="16" spans="1:74" s="57" customFormat="1" ht="13.35" customHeight="1">
      <c r="A16" s="135"/>
      <c r="B16" s="650">
        <f>'Definition of Typical Day'!$E13</f>
        <v>1</v>
      </c>
      <c r="C16" s="646" t="str">
        <f>'Definition of Typical Day'!$E14</f>
        <v>Winter day</v>
      </c>
      <c r="D16" s="668">
        <v>25</v>
      </c>
      <c r="E16" s="52"/>
      <c r="F16" s="669">
        <f t="shared" ref="F16:F35" si="0">365*$D16/SUM($D$16:$D$35)</f>
        <v>94.608605495075167</v>
      </c>
      <c r="G16" s="660">
        <f ca="1">SUMIFS('Calculation of Typical Day'!I$21:I$500,'Calculation of Typical Day'!$A$21:$A$500,$B16)/24</f>
        <v>40</v>
      </c>
      <c r="H16" s="660">
        <f ca="1">SUMIFS('Calculation of Typical Day'!J$21:J$500,'Calculation of Typical Day'!$A$21:$A$500,$B16)/24</f>
        <v>37</v>
      </c>
      <c r="I16" s="660">
        <f ca="1">SUMIFS('Calculation of Typical Day'!M$21:M$500,'Calculation of Typical Day'!$A$21:$A$500,$B16)/24</f>
        <v>82.430555555555543</v>
      </c>
      <c r="J16" s="660">
        <f ca="1">SUMIFS('Calculation of Typical Day'!O$21:O$500,'Calculation of Typical Day'!$A$21:$A$500,$B16)/24</f>
        <v>85.430555555555543</v>
      </c>
      <c r="K16" s="660">
        <f ca="1">SUMIFS('Calculation of Typical Day'!P$21:P$500,'Calculation of Typical Day'!$A$21:$A$500,$B16)/24</f>
        <v>45</v>
      </c>
      <c r="L16" s="660">
        <f ca="1">SUMIFS('Calculation of Typical Day'!Q$21:Q$500,'Calculation of Typical Day'!$A$21:$A$500,$B16)/24</f>
        <v>48</v>
      </c>
      <c r="M16" s="660">
        <f ca="1">SUMIF('Calculation of Typical Day'!$A$21:$A$500,"="&amp;$B16,'Calculation of Typical Day'!$BZ$21:$BZ$500)</f>
        <v>24</v>
      </c>
      <c r="N16" s="660">
        <f ca="1">SUMIF('Calculation of Typical Day'!$A$21:$A$500,"="&amp;$B16,'Calculation of Typical Day'!$CA$21:$CA$500)</f>
        <v>22.787400371361681</v>
      </c>
      <c r="O16" s="659">
        <f ca="1">SUMIFS('Calculation of Typical Day'!H$21:H$500,'Calculation of Typical Day'!$A$21:$A$500,$B16)</f>
        <v>48</v>
      </c>
      <c r="P16" s="659">
        <f ca="1">SUMIFS('Calculation of Typical Day'!AJ$21:AJ$500,'Calculation of Typical Day'!$A$21:$A$500,$B16,'Calculation of Typical Day'!$BY$21:BY$500, 1)</f>
        <v>48</v>
      </c>
      <c r="Q16" s="659">
        <f ca="1">SUMIFS('Calculation of Typical Day'!AK$21:AK$500,'Calculation of Typical Day'!$A$21:$A$500,$B16,'Calculation of Typical Day'!$BY$21:BY$500, 1)</f>
        <v>20.362201114085039</v>
      </c>
      <c r="R16" s="659">
        <f ca="1">SUMIFS('Calculation of Typical Day'!$AL$21:$AL$500,'Calculation of Typical Day'!$A$21:$A$500,$B16,'Calculation of Typical Day'!$BY$21:BY$500, 1)</f>
        <v>0.50683297632979996</v>
      </c>
      <c r="S16" s="922">
        <f ca="1">SUMIFS('Calculation of Typical Day'!$AH$21:$AH$500,'Calculation of Typical Day'!$A$21:$A$500,$B16,'Calculation of Typical Day'!$BY$21:BY$500, 1)</f>
        <v>68.175326103045023</v>
      </c>
      <c r="T16" s="922">
        <f ca="1">SUMIFS('Calculation of Typical Day'!AM$21:AM$500,'Calculation of Typical Day'!$A$21:$A$500,$B16,'Calculation of Typical Day'!$BY$21:$BY$500, 1)</f>
        <v>1.5199999999999989</v>
      </c>
      <c r="U16" s="922">
        <f ca="1">SUMIFS('Calculation of Typical Day'!AN$21:AN$500,'Calculation of Typical Day'!$A$21:$A$500,$B16)</f>
        <v>0</v>
      </c>
      <c r="V16" s="135"/>
      <c r="W16" s="191">
        <f ca="1">SUMIFS('Calculation of Typical Day'!AX$21:AX$500,'Calculation of Typical Day'!$A$21:$A$500,$B16,'Calculation of Typical Day'!$BY$21:$BY$500, 1)</f>
        <v>0</v>
      </c>
      <c r="X16" s="190">
        <f ca="1">SUMIFS('Calculation of Typical Day'!BF$21:BF$500,'Calculation of Typical Day'!$A$21:$A$500,$B16,'Calculation of Typical Day'!$BY$21:$BY$500, 1)</f>
        <v>1722.2343134726941</v>
      </c>
      <c r="Y16" s="190">
        <f ca="1">SUMIFS('Calculation of Typical Day'!BG$21:BG$500,'Calculation of Typical Day'!$A$21:$A$500,$B16,'Calculation of Typical Day'!$BY$21:$BY$500, 1)</f>
        <v>185.93270755375912</v>
      </c>
      <c r="Z16" s="190">
        <f ca="1">SUMIFS('Calculation of Typical Day'!BH$21:BH$500,'Calculation of Typical Day'!$A$21:$A$500,$B16,'Calculation of Typical Day'!$BY$21:$BY$500, 1)</f>
        <v>38.838610976152566</v>
      </c>
      <c r="AA16" s="190">
        <f ca="1">SUMIFS('Calculation of Typical Day'!BQ$21:BQ$500,'Calculation of Typical Day'!$A$21:$A$500,$B16,'Calculation of Typical Day'!$BY$21:$BY$500, 1)</f>
        <v>0</v>
      </c>
      <c r="AB16" s="190">
        <f ca="1">SUMIFS('Calculation of Typical Day'!BR$21:BR$500,'Calculation of Typical Day'!$A$21:$A$500,$B16,'Calculation of Typical Day'!$BY$21:$BY$500, 1)</f>
        <v>0</v>
      </c>
      <c r="AC16" s="190">
        <f ca="1">SUMIFS('Calculation of Typical Day'!BT$21:BT$500,'Calculation of Typical Day'!$A$21:$A$500,$B16,'Calculation of Typical Day'!$BY$21:$BY$500, 1)</f>
        <v>1947.005632002606</v>
      </c>
      <c r="AD16" s="190">
        <f ca="1">SUMIFS('Calculation of Typical Day'!BL$21:BL$500,'Calculation of Typical Day'!$A$21:$A$500,$B16,'Calculation of Typical Day'!$BY$21:$BY$500, 1)</f>
        <v>0</v>
      </c>
      <c r="AE16" s="190">
        <f ca="1">SUMIFS('Calculation of Typical Day'!CB$21:CB$500,'Calculation of Typical Day'!$A$21:$A$500,$B16,'Calculation of Typical Day'!$BY$21:$BY$500, 1)</f>
        <v>4431.3961966979259</v>
      </c>
      <c r="AF16" s="675">
        <f ca="1">SUMIFS('Calculation of Typical Day'!AW$21:AW$500,'Calculation of Typical Day'!$A$21:$A$500,$B16)</f>
        <v>96</v>
      </c>
      <c r="AG16" s="135"/>
      <c r="AH16" s="135"/>
      <c r="AI16" s="47"/>
      <c r="AJ16" s="659">
        <f ca="1">SUMIFS('Calculation of Typical Day'!BI$21:BI$500,'Calculation of Typical Day'!$A$21:$A$500,$B16,'Calculation of Typical Day'!$BY$21:$BY$500, 1)</f>
        <v>126.75066666666669</v>
      </c>
      <c r="AK16" s="659">
        <f ca="1">SUMIFS('Calculation of Typical Day'!BJ$21:BJ$500,'Calculation of Typical Day'!$A$21:$A$500,$B16)</f>
        <v>0</v>
      </c>
      <c r="AL16" s="660">
        <f ca="1">SUMIFS('Calculation of Typical Day'!AQ$21:AQ$500,'Calculation of Typical Day'!$A$21:$A$500,$B16)</f>
        <v>0</v>
      </c>
      <c r="AM16" s="659">
        <f ca="1">SUMIFS('Calculation of Typical Day'!AR$21:AR$500,'Calculation of Typical Day'!$A$21:$A$500,$B16,'Calculation of Typical Day'!$BY$21:$BY$500, 1)</f>
        <v>96</v>
      </c>
      <c r="AN16" s="659">
        <f ca="1">W16</f>
        <v>0</v>
      </c>
      <c r="AO16" s="659">
        <f ca="1">AF16</f>
        <v>96</v>
      </c>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row>
    <row r="17" spans="1:74" s="57" customFormat="1" ht="13.35" customHeight="1">
      <c r="A17" s="135"/>
      <c r="B17" s="618">
        <f>'Definition of Typical Day'!$F$13</f>
        <v>2</v>
      </c>
      <c r="C17" s="8" t="str">
        <f>'Definition of Typical Day'!$F$14</f>
        <v>Spring / fall weekday</v>
      </c>
      <c r="D17" s="670">
        <v>33.5</v>
      </c>
      <c r="E17" s="52"/>
      <c r="F17" s="669">
        <f t="shared" si="0"/>
        <v>126.77553136340072</v>
      </c>
      <c r="G17" s="660">
        <f ca="1">SUMIFS('Calculation of Typical Day'!I$21:I$500,'Calculation of Typical Day'!$A$21:$A$500,$B17)/24</f>
        <v>40</v>
      </c>
      <c r="H17" s="660">
        <f ca="1">SUMIFS('Calculation of Typical Day'!J$21:J$500,'Calculation of Typical Day'!$A$21:$A$500,$B17)/24</f>
        <v>37</v>
      </c>
      <c r="I17" s="660">
        <f ca="1">SUMIFS('Calculation of Typical Day'!M$21:M$500,'Calculation of Typical Day'!$A$21:$A$500,$B17)/24</f>
        <v>83.124999999999986</v>
      </c>
      <c r="J17" s="660">
        <f ca="1">SUMIFS('Calculation of Typical Day'!O$21:O$500,'Calculation of Typical Day'!$A$21:$A$500,$B17)/24</f>
        <v>86.124999999999986</v>
      </c>
      <c r="K17" s="660">
        <f ca="1">SUMIFS('Calculation of Typical Day'!P$21:P$500,'Calculation of Typical Day'!$A$21:$A$500,$B17)/24</f>
        <v>45</v>
      </c>
      <c r="L17" s="660">
        <f ca="1">SUMIFS('Calculation of Typical Day'!Q$21:Q$500,'Calculation of Typical Day'!$A$21:$A$500,$B17)/24</f>
        <v>48</v>
      </c>
      <c r="M17" s="660">
        <f ca="1">SUMIF('Calculation of Typical Day'!$A$21:$A$500,"="&amp;$B17,'Calculation of Typical Day'!$BZ$21:$BZ$500)</f>
        <v>24</v>
      </c>
      <c r="N17" s="660">
        <f ca="1">SUMIF('Calculation of Typical Day'!$A$21:$A$500,"="&amp;$B17,'Calculation of Typical Day'!$CA$21:$CA$500)</f>
        <v>22.851497790964626</v>
      </c>
      <c r="O17" s="659">
        <f ca="1">SUMIFS('Calculation of Typical Day'!H$21:H$500,'Calculation of Typical Day'!$A$21:$A$500,$B17)</f>
        <v>48</v>
      </c>
      <c r="P17" s="659">
        <f ca="1">SUMIFS('Calculation of Typical Day'!AJ$21:AJ$500,'Calculation of Typical Day'!$A$21:$A$500,$B17,'Calculation of Typical Day'!$BY$21:BY$500, 1)</f>
        <v>48</v>
      </c>
      <c r="Q17" s="659">
        <f ca="1">SUMIFS('Calculation of Typical Day'!AK$21:AK$500,'Calculation of Typical Day'!$A$21:$A$500,$B17,'Calculation of Typical Day'!$BY$21:BY$500, 1)</f>
        <v>20.554493372893887</v>
      </c>
      <c r="R17" s="659">
        <f ca="1">SUMIFS('Calculation of Typical Day'!$AL$21:$AL$500,'Calculation of Typical Day'!$A$21:$A$500,$B17,'Calculation of Typical Day'!$BY$21:BY$500, 1)</f>
        <v>0</v>
      </c>
      <c r="S17" s="659">
        <f ca="1">SUMIFS('Calculation of Typical Day'!$AH$21:$AH$500,'Calculation of Typical Day'!$A$21:$A$500,$B17,'Calculation of Typical Day'!$BY$21:BY$500, 1)</f>
        <v>67.868948439164953</v>
      </c>
      <c r="T17" s="659">
        <f ca="1">SUMIFS('Calculation of Typical Day'!AM$21:AM$500,'Calculation of Typical Day'!$A$21:$A$500,$B17,'Calculation of Typical Day'!$BY$21:$BY$500, 1)</f>
        <v>4.8933333333333335</v>
      </c>
      <c r="U17" s="659">
        <f ca="1">SUMIFS('Calculation of Typical Day'!AN$21:AN$500,'Calculation of Typical Day'!$A$21:$A$500,$B17)</f>
        <v>-4.1448326252672507E-17</v>
      </c>
      <c r="V17" s="135"/>
      <c r="W17" s="191">
        <f ca="1">SUMIFS('Calculation of Typical Day'!AX$21:AX$500,'Calculation of Typical Day'!$A$21:$A$500,$B17,'Calculation of Typical Day'!$BY$21:$BY$500, 1)</f>
        <v>0</v>
      </c>
      <c r="X17" s="193">
        <f ca="1">SUMIFS('Calculation of Typical Day'!BF$21:BF$500,'Calculation of Typical Day'!$A$21:$A$500,$B17,'Calculation of Typical Day'!$BY$21:$BY$500, 1)</f>
        <v>1927.4057502459948</v>
      </c>
      <c r="Y17" s="193">
        <f ca="1">SUMIFS('Calculation of Typical Day'!BG$21:BG$500,'Calculation of Typical Day'!$A$21:$A$500,$B17,'Calculation of Typical Day'!$BY$21:$BY$500, 1)</f>
        <v>97.347380589509328</v>
      </c>
      <c r="Z17" s="193">
        <f ca="1">SUMIFS('Calculation of Typical Day'!BH$21:BH$500,'Calculation of Typical Day'!$A$21:$A$500,$B17,'Calculation of Typical Day'!$BY$21:$BY$500, 1)</f>
        <v>0</v>
      </c>
      <c r="AA17" s="193">
        <f ca="1">SUMIFS('Calculation of Typical Day'!BQ$21:BQ$500,'Calculation of Typical Day'!$A$21:$A$500,$B17,'Calculation of Typical Day'!$BY$21:$BY$500, 1)</f>
        <v>0</v>
      </c>
      <c r="AB17" s="193">
        <f ca="1">SUMIFS('Calculation of Typical Day'!BR$21:BR$500,'Calculation of Typical Day'!$A$21:$A$500,$B17,'Calculation of Typical Day'!$BY$21:$BY$500, 1)</f>
        <v>0</v>
      </c>
      <c r="AC17" s="193">
        <f ca="1">SUMIFS('Calculation of Typical Day'!BT$21:BT$500,'Calculation of Typical Day'!$A$21:$A$500,$B17,'Calculation of Typical Day'!$BY$21:$BY$500, 1)</f>
        <v>2024.7531308355042</v>
      </c>
      <c r="AD17" s="193">
        <f ca="1">SUMIFS('Calculation of Typical Day'!BL$21:BL$500,'Calculation of Typical Day'!$A$21:$A$500,$B17,'Calculation of Typical Day'!$BY$21:$BY$500, 1)</f>
        <v>0</v>
      </c>
      <c r="AE17" s="193">
        <f ca="1">SUMIFS('Calculation of Typical Day'!CB$21:CB$500,'Calculation of Typical Day'!$A$21:$A$500,$B17,'Calculation of Typical Day'!$BY$21:$BY$500, 1)</f>
        <v>4072.1369063498969</v>
      </c>
      <c r="AF17" s="653">
        <f ca="1">SUMIFS('Calculation of Typical Day'!AW$21:AW$500,'Calculation of Typical Day'!$A$21:$A$500,$B17)</f>
        <v>96</v>
      </c>
      <c r="AG17" s="135"/>
      <c r="AH17" s="135"/>
      <c r="AI17" s="47"/>
      <c r="AJ17" s="659">
        <f ca="1">SUMIFS('Calculation of Typical Day'!BI$21:BI$500,'Calculation of Typical Day'!$A$21:$A$500,$B17,'Calculation of Typical Day'!$BY$21:$BY$500, 1)</f>
        <v>452.80680000000001</v>
      </c>
      <c r="AK17" s="659">
        <f ca="1">SUMIFS('Calculation of Typical Day'!BJ$21:BJ$500,'Calculation of Typical Day'!$A$21:$A$500,$B17)</f>
        <v>-4.9199163261922263E-15</v>
      </c>
      <c r="AL17" s="660">
        <f ca="1">SUMIFS('Calculation of Typical Day'!AQ$21:AQ$500,'Calculation of Typical Day'!$A$21:$A$500,$B17)</f>
        <v>0</v>
      </c>
      <c r="AM17" s="659">
        <f ca="1">SUMIFS('Calculation of Typical Day'!AR$21:AR$500,'Calculation of Typical Day'!$A$21:$A$500,$B17,'Calculation of Typical Day'!$BY$21:$BY$500, 1)</f>
        <v>96</v>
      </c>
      <c r="AN17" s="659">
        <f t="shared" ref="AN17:AN35" ca="1" si="1">W17</f>
        <v>0</v>
      </c>
      <c r="AO17" s="659">
        <f t="shared" ref="AO17:AO35" ca="1" si="2">AF17</f>
        <v>96</v>
      </c>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row>
    <row r="18" spans="1:74" s="57" customFormat="1" ht="13.35" customHeight="1">
      <c r="A18" s="135"/>
      <c r="B18" s="650">
        <f>'Definition of Typical Day'!$G$13</f>
        <v>3</v>
      </c>
      <c r="C18" s="646" t="str">
        <f>'Definition of Typical Day'!$G$14</f>
        <v>Spring / fall weekend</v>
      </c>
      <c r="D18" s="668">
        <f>D17*2/5</f>
        <v>13.4</v>
      </c>
      <c r="E18" s="52"/>
      <c r="F18" s="669">
        <f t="shared" si="0"/>
        <v>50.710212545360292</v>
      </c>
      <c r="G18" s="660">
        <f ca="1">SUMIFS('Calculation of Typical Day'!I$21:I$500,'Calculation of Typical Day'!$A$21:$A$500,$B18)/24</f>
        <v>40</v>
      </c>
      <c r="H18" s="660">
        <f ca="1">SUMIFS('Calculation of Typical Day'!J$21:J$500,'Calculation of Typical Day'!$A$21:$A$500,$B18)/24</f>
        <v>37</v>
      </c>
      <c r="I18" s="660">
        <f ca="1">SUMIFS('Calculation of Typical Day'!M$21:M$500,'Calculation of Typical Day'!$A$21:$A$500,$B18)/24</f>
        <v>83.124999999999986</v>
      </c>
      <c r="J18" s="660">
        <f ca="1">SUMIFS('Calculation of Typical Day'!O$21:O$500,'Calculation of Typical Day'!$A$21:$A$500,$B18)/24</f>
        <v>86.124999999999986</v>
      </c>
      <c r="K18" s="660">
        <f ca="1">SUMIFS('Calculation of Typical Day'!P$21:P$500,'Calculation of Typical Day'!$A$21:$A$500,$B18)/24</f>
        <v>45</v>
      </c>
      <c r="L18" s="660">
        <f ca="1">SUMIFS('Calculation of Typical Day'!Q$21:Q$500,'Calculation of Typical Day'!$A$21:$A$500,$B18)/24</f>
        <v>48</v>
      </c>
      <c r="M18" s="660">
        <f ca="1">SUMIF('Calculation of Typical Day'!$A$21:$A$500,"="&amp;$B18,'Calculation of Typical Day'!$BZ$21:$BZ$500)</f>
        <v>24</v>
      </c>
      <c r="N18" s="660">
        <f ca="1">SUMIF('Calculation of Typical Day'!$A$21:$A$500,"="&amp;$B18,'Calculation of Typical Day'!$CA$21:$CA$500)</f>
        <v>22.851497790964626</v>
      </c>
      <c r="O18" s="659">
        <f ca="1">SUMIFS('Calculation of Typical Day'!H$21:H$500,'Calculation of Typical Day'!$A$21:$A$500,$B18)</f>
        <v>48</v>
      </c>
      <c r="P18" s="659">
        <f ca="1">SUMIFS('Calculation of Typical Day'!AJ$21:AJ$500,'Calculation of Typical Day'!$A$21:$A$500,$B18,'Calculation of Typical Day'!$BY$21:BY$500, 1)</f>
        <v>48</v>
      </c>
      <c r="Q18" s="659">
        <f ca="1">SUMIFS('Calculation of Typical Day'!AK$21:AK$500,'Calculation of Typical Day'!$A$21:$A$500,$B18,'Calculation of Typical Day'!$BY$21:BY$500, 1)</f>
        <v>20.554493372893887</v>
      </c>
      <c r="R18" s="659">
        <f ca="1">SUMIFS('Calculation of Typical Day'!$AL$21:$AL$500,'Calculation of Typical Day'!$A$21:$A$500,$B18,'Calculation of Typical Day'!$BY$21:BY$500, 1)</f>
        <v>0</v>
      </c>
      <c r="S18" s="659">
        <f ca="1">SUMIFS('Calculation of Typical Day'!$AH$21:$AH$500,'Calculation of Typical Day'!$A$21:$A$500,$B18,'Calculation of Typical Day'!$BY$21:BY$500, 1)</f>
        <v>67.868948439164953</v>
      </c>
      <c r="T18" s="659">
        <f ca="1">SUMIFS('Calculation of Typical Day'!AM$21:AM$500,'Calculation of Typical Day'!$A$21:$A$500,$B18,'Calculation of Typical Day'!$BY$21:$BY$500, 1)</f>
        <v>4.8933333333333335</v>
      </c>
      <c r="U18" s="659">
        <f ca="1">SUMIFS('Calculation of Typical Day'!AN$21:AN$500,'Calculation of Typical Day'!$A$21:$A$500,$B18)</f>
        <v>-4.1448326252672507E-17</v>
      </c>
      <c r="V18" s="135"/>
      <c r="W18" s="190">
        <f ca="1">SUMIFS('Calculation of Typical Day'!AX$21:AX$500,'Calculation of Typical Day'!$A$21:$A$500,$B18,'Calculation of Typical Day'!$BY$21:$BY$500, 1)</f>
        <v>0</v>
      </c>
      <c r="X18" s="190">
        <f ca="1">SUMIFS('Calculation of Typical Day'!BF$21:BF$500,'Calculation of Typical Day'!$A$21:$A$500,$B18,'Calculation of Typical Day'!$BY$21:$BY$500, 1)</f>
        <v>1381.3092347779952</v>
      </c>
      <c r="Y18" s="190">
        <f ca="1">SUMIFS('Calculation of Typical Day'!BG$21:BG$500,'Calculation of Typical Day'!$A$21:$A$500,$B18,'Calculation of Typical Day'!$BY$21:$BY$500, 1)</f>
        <v>97.347380589509328</v>
      </c>
      <c r="Z18" s="190">
        <f ca="1">SUMIFS('Calculation of Typical Day'!BH$21:BH$500,'Calculation of Typical Day'!$A$21:$A$500,$B18,'Calculation of Typical Day'!$BY$21:$BY$500, 1)</f>
        <v>0</v>
      </c>
      <c r="AA18" s="190">
        <f ca="1">SUMIFS('Calculation of Typical Day'!BQ$21:BQ$500,'Calculation of Typical Day'!$A$21:$A$500,$B18,'Calculation of Typical Day'!$BY$21:$BY$500, 1)</f>
        <v>0</v>
      </c>
      <c r="AB18" s="190">
        <f ca="1">SUMIFS('Calculation of Typical Day'!BR$21:BR$500,'Calculation of Typical Day'!$A$21:$A$500,$B18,'Calculation of Typical Day'!$BY$21:$BY$500, 1)</f>
        <v>0</v>
      </c>
      <c r="AC18" s="190">
        <f ca="1">SUMIFS('Calculation of Typical Day'!BT$21:BT$500,'Calculation of Typical Day'!$A$21:$A$500,$B18,'Calculation of Typical Day'!$BY$21:$BY$500, 1)</f>
        <v>1478.6566153675044</v>
      </c>
      <c r="AD18" s="190">
        <f ca="1">SUMIFS('Calculation of Typical Day'!BL$21:BL$500,'Calculation of Typical Day'!$A$21:$A$500,$B18,'Calculation of Typical Day'!$BY$21:$BY$500, 1)</f>
        <v>0</v>
      </c>
      <c r="AE18" s="190">
        <f ca="1">SUMIFS('Calculation of Typical Day'!CB$21:CB$500,'Calculation of Typical Day'!$A$21:$A$500,$B18,'Calculation of Typical Day'!$BY$21:$BY$500, 1)</f>
        <v>4072.1369063498969</v>
      </c>
      <c r="AF18" s="653">
        <f ca="1">SUMIFS('Calculation of Typical Day'!AW$21:AW$500,'Calculation of Typical Day'!$A$21:$A$500,$B18)</f>
        <v>96</v>
      </c>
      <c r="AG18" s="135"/>
      <c r="AH18" s="135"/>
      <c r="AI18" s="47"/>
      <c r="AJ18" s="659">
        <f ca="1">SUMIFS('Calculation of Typical Day'!BI$21:BI$500,'Calculation of Typical Day'!$A$21:$A$500,$B18,'Calculation of Typical Day'!$BY$21:$BY$500, 1)</f>
        <v>309.32866666666661</v>
      </c>
      <c r="AK18" s="659">
        <f ca="1">SUMIFS('Calculation of Typical Day'!BJ$21:BJ$500,'Calculation of Typical Day'!$A$21:$A$500,$B18)</f>
        <v>-2.937857364789427E-15</v>
      </c>
      <c r="AL18" s="660">
        <f ca="1">SUMIFS('Calculation of Typical Day'!AQ$21:AQ$500,'Calculation of Typical Day'!$A$21:$A$500,$B18)</f>
        <v>0</v>
      </c>
      <c r="AM18" s="659">
        <f ca="1">SUMIFS('Calculation of Typical Day'!AR$21:AR$500,'Calculation of Typical Day'!$A$21:$A$500,$B18,'Calculation of Typical Day'!$BY$21:$BY$500, 1)</f>
        <v>96</v>
      </c>
      <c r="AN18" s="659">
        <f t="shared" ca="1" si="1"/>
        <v>0</v>
      </c>
      <c r="AO18" s="659">
        <f t="shared" ca="1" si="2"/>
        <v>96</v>
      </c>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row>
    <row r="19" spans="1:74" s="57" customFormat="1" ht="13.35" customHeight="1">
      <c r="A19" s="135"/>
      <c r="B19" s="618">
        <f>'Definition of Typical Day'!$H$13</f>
        <v>4</v>
      </c>
      <c r="C19" s="8" t="str">
        <f>'Definition of Typical Day'!$H$14</f>
        <v>Summer weekday</v>
      </c>
      <c r="D19" s="670">
        <v>17</v>
      </c>
      <c r="E19" s="52"/>
      <c r="F19" s="669">
        <f t="shared" si="0"/>
        <v>64.333851736651113</v>
      </c>
      <c r="G19" s="660">
        <f ca="1">SUMIFS('Calculation of Typical Day'!I$21:I$500,'Calculation of Typical Day'!$A$21:$A$500,$B19)/24</f>
        <v>40</v>
      </c>
      <c r="H19" s="660">
        <f ca="1">SUMIFS('Calculation of Typical Day'!J$21:J$500,'Calculation of Typical Day'!$A$21:$A$500,$B19)/24</f>
        <v>37</v>
      </c>
      <c r="I19" s="660">
        <f ca="1">SUMIFS('Calculation of Typical Day'!M$21:M$500,'Calculation of Typical Day'!$A$21:$A$500,$B19)/24</f>
        <v>60</v>
      </c>
      <c r="J19" s="660">
        <f ca="1">SUMIFS('Calculation of Typical Day'!O$21:O$500,'Calculation of Typical Day'!$A$21:$A$500,$B19)/24</f>
        <v>63</v>
      </c>
      <c r="K19" s="660">
        <f ca="1">SUMIFS('Calculation of Typical Day'!P$21:P$500,'Calculation of Typical Day'!$A$21:$A$500,$B19)/24</f>
        <v>45</v>
      </c>
      <c r="L19" s="660">
        <f ca="1">SUMIFS('Calculation of Typical Day'!Q$21:Q$500,'Calculation of Typical Day'!$A$21:$A$500,$B19)/24</f>
        <v>48</v>
      </c>
      <c r="M19" s="660">
        <f ca="1">SUMIF('Calculation of Typical Day'!$A$21:$A$500,"="&amp;$B19,'Calculation of Typical Day'!$BZ$21:$BZ$500)</f>
        <v>23</v>
      </c>
      <c r="N19" s="660">
        <f ca="1">SUMIF('Calculation of Typical Day'!$A$21:$A$500,"="&amp;$B19,'Calculation of Typical Day'!$CA$21:$CA$500)</f>
        <v>16.2634559672906</v>
      </c>
      <c r="O19" s="659">
        <f ca="1">SUMIFS('Calculation of Typical Day'!H$21:H$500,'Calculation of Typical Day'!$A$21:$A$500,$B19)</f>
        <v>48</v>
      </c>
      <c r="P19" s="659">
        <f ca="1">SUMIFS('Calculation of Typical Day'!AJ$21:AJ$500,'Calculation of Typical Day'!$A$21:$A$500,$B19,'Calculation of Typical Day'!$BY$21:BY$500, 1)</f>
        <v>36.413308566034196</v>
      </c>
      <c r="Q19" s="659">
        <f ca="1">SUMIFS('Calculation of Typical Day'!AK$21:AK$500,'Calculation of Typical Day'!$A$21:$A$500,$B19,'Calculation of Typical Day'!$BY$21:BY$500, 1)</f>
        <v>12.37705933583759</v>
      </c>
      <c r="R19" s="659">
        <f ca="1">SUMIFS('Calculation of Typical Day'!$AL$21:$AL$500,'Calculation of Typical Day'!$A$21:$A$500,$B19,'Calculation of Typical Day'!$BY$21:BY$500, 1)</f>
        <v>0</v>
      </c>
      <c r="S19" s="659">
        <f ca="1">SUMIFS('Calculation of Typical Day'!$AH$21:$AH$500,'Calculation of Typical Day'!$A$21:$A$500,$B19,'Calculation of Typical Day'!$BY$21:BY$500, 1)</f>
        <v>48.302464222853054</v>
      </c>
      <c r="T19" s="659">
        <f ca="1">SUMIFS('Calculation of Typical Day'!AM$21:AM$500,'Calculation of Typical Day'!$A$21:$A$500,$B19,'Calculation of Typical Day'!$BY$21:$BY$500, 1)</f>
        <v>4.8551078088045596</v>
      </c>
      <c r="U19" s="659">
        <f ca="1">SUMIFS('Calculation of Typical Day'!AN$21:AN$500,'Calculation of Typical Day'!$A$21:$A$500,$B19)</f>
        <v>1.544892191195441</v>
      </c>
      <c r="V19" s="135"/>
      <c r="W19" s="193">
        <f ca="1">SUMIFS('Calculation of Typical Day'!AX$21:AX$500,'Calculation of Typical Day'!$A$21:$A$500,$B19,'Calculation of Typical Day'!$BY$21:$BY$500, 1)</f>
        <v>0</v>
      </c>
      <c r="X19" s="190">
        <f ca="1">SUMIFS('Calculation of Typical Day'!BF$21:BF$500,'Calculation of Typical Day'!$A$21:$A$500,$B19,'Calculation of Typical Day'!$BY$21:$BY$500, 1)</f>
        <v>1143.0860056263537</v>
      </c>
      <c r="Y19" s="190">
        <f ca="1">SUMIFS('Calculation of Typical Day'!BG$21:BG$500,'Calculation of Typical Day'!$A$21:$A$500,$B19,'Calculation of Typical Day'!$BY$21:$BY$500, 1)</f>
        <v>58.548441482246169</v>
      </c>
      <c r="Z19" s="190">
        <f ca="1">SUMIFS('Calculation of Typical Day'!BH$21:BH$500,'Calculation of Typical Day'!$A$21:$A$500,$B19,'Calculation of Typical Day'!$BY$21:$BY$500, 1)</f>
        <v>0</v>
      </c>
      <c r="AA19" s="190">
        <f ca="1">SUMIFS('Calculation of Typical Day'!BQ$21:BQ$500,'Calculation of Typical Day'!$A$21:$A$500,$B19,'Calculation of Typical Day'!$BY$21:$BY$500, 1)</f>
        <v>0</v>
      </c>
      <c r="AB19" s="190">
        <f ca="1">SUMIFS('Calculation of Typical Day'!BR$21:BR$500,'Calculation of Typical Day'!$A$21:$A$500,$B19,'Calculation of Typical Day'!$BY$21:$BY$500, 1)</f>
        <v>0</v>
      </c>
      <c r="AC19" s="190">
        <f ca="1">SUMIFS('Calculation of Typical Day'!BT$21:BT$500,'Calculation of Typical Day'!$A$21:$A$500,$B19,'Calculation of Typical Day'!$BY$21:$BY$500, 1)</f>
        <v>1201.6344471085999</v>
      </c>
      <c r="AD19" s="190">
        <f ca="1">SUMIFS('Calculation of Typical Day'!BL$21:BL$500,'Calculation of Typical Day'!$A$21:$A$500,$B19,'Calculation of Typical Day'!$BY$21:$BY$500, 1)</f>
        <v>0</v>
      </c>
      <c r="AE19" s="190">
        <f ca="1">SUMIFS('Calculation of Typical Day'!CB$21:CB$500,'Calculation of Typical Day'!$A$21:$A$500,$B19,'Calculation of Typical Day'!$BY$21:$BY$500, 1)</f>
        <v>1932.0985689141216</v>
      </c>
      <c r="AF19" s="653">
        <f ca="1">SUMIFS('Calculation of Typical Day'!AW$21:AW$500,'Calculation of Typical Day'!$A$21:$A$500,$B19)</f>
        <v>96</v>
      </c>
      <c r="AG19" s="135"/>
      <c r="AH19" s="135"/>
      <c r="AI19" s="47"/>
      <c r="AJ19" s="659">
        <f ca="1">SUMIFS('Calculation of Typical Day'!BI$21:BI$500,'Calculation of Typical Day'!$A$21:$A$500,$B19,'Calculation of Typical Day'!$BY$21:$BY$500, 1)</f>
        <v>443.53942933155975</v>
      </c>
      <c r="AK19" s="659">
        <f ca="1">SUMIFS('Calculation of Typical Day'!BJ$21:BJ$500,'Calculation of Typical Day'!$A$21:$A$500,$B19)</f>
        <v>170.2285706684402</v>
      </c>
      <c r="AL19" s="660">
        <f ca="1">SUMIFS('Calculation of Typical Day'!AQ$21:AQ$500,'Calculation of Typical Day'!$A$21:$A$500,$B19)</f>
        <v>0</v>
      </c>
      <c r="AM19" s="659">
        <f ca="1">SUMIFS('Calculation of Typical Day'!AR$21:AR$500,'Calculation of Typical Day'!$A$21:$A$500,$B19,'Calculation of Typical Day'!$BY$21:$BY$500, 1)</f>
        <v>72.826617132068392</v>
      </c>
      <c r="AN19" s="659">
        <f t="shared" ca="1" si="1"/>
        <v>0</v>
      </c>
      <c r="AO19" s="659">
        <f t="shared" ca="1" si="2"/>
        <v>96</v>
      </c>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row>
    <row r="20" spans="1:74" s="57" customFormat="1" ht="13.35" customHeight="1">
      <c r="A20" s="135"/>
      <c r="B20" s="650">
        <f>'Definition of Typical Day'!$I$13</f>
        <v>5</v>
      </c>
      <c r="C20" s="646" t="str">
        <f>'Definition of Typical Day'!$I$14</f>
        <v>Summer weekend</v>
      </c>
      <c r="D20" s="668">
        <f>D19*2/5</f>
        <v>6.8</v>
      </c>
      <c r="E20" s="52"/>
      <c r="F20" s="669">
        <f t="shared" si="0"/>
        <v>25.733540694660444</v>
      </c>
      <c r="G20" s="660">
        <f ca="1">SUMIFS('Calculation of Typical Day'!I$21:I$500,'Calculation of Typical Day'!$A$21:$A$500,$B20)/24</f>
        <v>40</v>
      </c>
      <c r="H20" s="660">
        <f ca="1">SUMIFS('Calculation of Typical Day'!J$21:J$500,'Calculation of Typical Day'!$A$21:$A$500,$B20)/24</f>
        <v>37</v>
      </c>
      <c r="I20" s="660">
        <f ca="1">SUMIFS('Calculation of Typical Day'!M$21:M$500,'Calculation of Typical Day'!$A$21:$A$500,$B20)/24</f>
        <v>60</v>
      </c>
      <c r="J20" s="660">
        <f ca="1">SUMIFS('Calculation of Typical Day'!O$21:O$500,'Calculation of Typical Day'!$A$21:$A$500,$B20)/24</f>
        <v>63</v>
      </c>
      <c r="K20" s="660">
        <f ca="1">SUMIFS('Calculation of Typical Day'!P$21:P$500,'Calculation of Typical Day'!$A$21:$A$500,$B20)/24</f>
        <v>45</v>
      </c>
      <c r="L20" s="660">
        <f ca="1">SUMIFS('Calculation of Typical Day'!Q$21:Q$500,'Calculation of Typical Day'!$A$21:$A$500,$B20)/24</f>
        <v>48</v>
      </c>
      <c r="M20" s="660">
        <f ca="1">SUMIF('Calculation of Typical Day'!$A$21:$A$500,"="&amp;$B20,'Calculation of Typical Day'!$BZ$21:$BZ$500)</f>
        <v>24</v>
      </c>
      <c r="N20" s="660">
        <f ca="1">SUMIF('Calculation of Typical Day'!$A$21:$A$500,"="&amp;$B20,'Calculation of Typical Day'!$CA$21:$CA$500)</f>
        <v>16.970562748477146</v>
      </c>
      <c r="O20" s="659">
        <f ca="1">SUMIFS('Calculation of Typical Day'!H$21:H$500,'Calculation of Typical Day'!$A$21:$A$500,$B20)</f>
        <v>48</v>
      </c>
      <c r="P20" s="659">
        <f ca="1">SUMIFS('Calculation of Typical Day'!AJ$21:AJ$500,'Calculation of Typical Day'!$A$21:$A$500,$B20,'Calculation of Typical Day'!$BY$21:BY$500, 1)</f>
        <v>37.996495894992208</v>
      </c>
      <c r="Q20" s="659">
        <f ca="1">SUMIFS('Calculation of Typical Day'!AK$21:AK$500,'Calculation of Typical Day'!$A$21:$A$500,$B20,'Calculation of Typical Day'!$BY$21:BY$500, 1)</f>
        <v>12.915192350439224</v>
      </c>
      <c r="R20" s="659">
        <f ca="1">SUMIFS('Calculation of Typical Day'!$AL$21:$AL$500,'Calculation of Typical Day'!$A$21:$A$500,$B20,'Calculation of Typical Day'!$BY$21:BY$500, 1)</f>
        <v>0</v>
      </c>
      <c r="S20" s="659">
        <f ca="1">SUMIFS('Calculation of Typical Day'!$AH$21:$AH$500,'Calculation of Typical Day'!$A$21:$A$500,$B20,'Calculation of Typical Day'!$BY$21:BY$500, 1)</f>
        <v>50.402571362977099</v>
      </c>
      <c r="T20" s="659">
        <f ca="1">SUMIFS('Calculation of Typical Day'!AM$21:AM$500,'Calculation of Typical Day'!$A$21:$A$500,$B20,'Calculation of Typical Day'!$BY$21:$BY$500, 1)</f>
        <v>5.0661994526656278</v>
      </c>
      <c r="U20" s="659">
        <f ca="1">SUMIFS('Calculation of Typical Day'!AN$21:AN$500,'Calculation of Typical Day'!$A$21:$A$500,$B20)</f>
        <v>1.3338005473343733</v>
      </c>
      <c r="V20" s="135"/>
      <c r="W20" s="190">
        <f ca="1">SUMIFS('Calculation of Typical Day'!AX$21:AX$500,'Calculation of Typical Day'!$A$21:$A$500,$B20,'Calculation of Typical Day'!$BY$21:$BY$500, 1)</f>
        <v>0</v>
      </c>
      <c r="X20" s="192">
        <f ca="1">SUMIFS('Calculation of Typical Day'!BF$21:BF$500,'Calculation of Typical Day'!$A$21:$A$500,$B20,'Calculation of Typical Day'!$BY$21:$BY$500, 1)</f>
        <v>788.44020501343846</v>
      </c>
      <c r="Y20" s="192">
        <f ca="1">SUMIFS('Calculation of Typical Day'!BG$21:BG$500,'Calculation of Typical Day'!$A$21:$A$500,$B20,'Calculation of Typical Day'!$BY$21:$BY$500, 1)</f>
        <v>61.094025894517742</v>
      </c>
      <c r="Z20" s="192">
        <f ca="1">SUMIFS('Calculation of Typical Day'!BH$21:BH$500,'Calculation of Typical Day'!$A$21:$A$500,$B20,'Calculation of Typical Day'!$BY$21:$BY$500, 1)</f>
        <v>0</v>
      </c>
      <c r="AA20" s="192">
        <f ca="1">SUMIFS('Calculation of Typical Day'!BQ$21:BQ$500,'Calculation of Typical Day'!$A$21:$A$500,$B20,'Calculation of Typical Day'!$BY$21:$BY$500, 1)</f>
        <v>0</v>
      </c>
      <c r="AB20" s="192">
        <f ca="1">SUMIFS('Calculation of Typical Day'!BR$21:BR$500,'Calculation of Typical Day'!$A$21:$A$500,$B20,'Calculation of Typical Day'!$BY$21:$BY$500, 1)</f>
        <v>0</v>
      </c>
      <c r="AC20" s="192">
        <f ca="1">SUMIFS('Calculation of Typical Day'!BT$21:BT$500,'Calculation of Typical Day'!$A$21:$A$500,$B20,'Calculation of Typical Day'!$BY$21:$BY$500, 1)</f>
        <v>849.5342309079565</v>
      </c>
      <c r="AD20" s="192">
        <f ca="1">SUMIFS('Calculation of Typical Day'!BL$21:BL$500,'Calculation of Typical Day'!$A$21:$A$500,$B20,'Calculation of Typical Day'!$BY$21:$BY$500, 1)</f>
        <v>0</v>
      </c>
      <c r="AE20" s="192">
        <f ca="1">SUMIFS('Calculation of Typical Day'!CB$21:CB$500,'Calculation of Typical Day'!$A$21:$A$500,$B20,'Calculation of Typical Day'!$BY$21:$BY$500, 1)</f>
        <v>2772.1414249637414</v>
      </c>
      <c r="AF20" s="653">
        <f ca="1">SUMIFS('Calculation of Typical Day'!AW$21:AW$500,'Calculation of Typical Day'!$A$21:$A$500,$B20)</f>
        <v>96</v>
      </c>
      <c r="AG20" s="135"/>
      <c r="AH20" s="135"/>
      <c r="AI20" s="47"/>
      <c r="AJ20" s="659">
        <f ca="1">SUMIFS('Calculation of Typical Day'!BI$21:BI$500,'Calculation of Typical Day'!$A$21:$A$500,$B20,'Calculation of Typical Day'!$BY$21:$BY$500, 1)</f>
        <v>304.21261163393928</v>
      </c>
      <c r="AK20" s="659">
        <f ca="1">SUMIFS('Calculation of Typical Day'!BJ$21:BJ$500,'Calculation of Typical Day'!$A$21:$A$500,$B20)</f>
        <v>80.091388366060755</v>
      </c>
      <c r="AL20" s="660">
        <f ca="1">SUMIFS('Calculation of Typical Day'!AQ$21:AQ$500,'Calculation of Typical Day'!$A$21:$A$500,$B20)</f>
        <v>0</v>
      </c>
      <c r="AM20" s="659">
        <f ca="1">SUMIFS('Calculation of Typical Day'!AR$21:AR$500,'Calculation of Typical Day'!$A$21:$A$500,$B20,'Calculation of Typical Day'!$BY$21:$BY$500, 1)</f>
        <v>75.992991789984416</v>
      </c>
      <c r="AN20" s="659">
        <f t="shared" ca="1" si="1"/>
        <v>0</v>
      </c>
      <c r="AO20" s="659">
        <f t="shared" ca="1" si="2"/>
        <v>96</v>
      </c>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c r="BU20" s="135"/>
      <c r="BV20" s="135"/>
    </row>
    <row r="21" spans="1:74" s="57" customFormat="1" ht="13.35" customHeight="1">
      <c r="A21" s="135"/>
      <c r="B21" s="650">
        <f>'Definition of Typical Day'!$J$13</f>
        <v>6</v>
      </c>
      <c r="C21" s="646" t="str">
        <f>'Definition of Typical Day'!$J$14</f>
        <v>Maintenance of HP</v>
      </c>
      <c r="D21" s="668">
        <v>0.75</v>
      </c>
      <c r="E21" s="52"/>
      <c r="F21" s="669">
        <f t="shared" si="0"/>
        <v>2.8382581648522551</v>
      </c>
      <c r="G21" s="660">
        <f ca="1">SUMIFS('Calculation of Typical Day'!I$21:I$500,'Calculation of Typical Day'!$A$21:$A$500,$B21)/24</f>
        <v>40</v>
      </c>
      <c r="H21" s="660">
        <f ca="1">SUMIFS('Calculation of Typical Day'!J$21:J$500,'Calculation of Typical Day'!$A$21:$A$500,$B21)/24</f>
        <v>37</v>
      </c>
      <c r="I21" s="660">
        <f ca="1">SUMIFS('Calculation of Typical Day'!M$21:M$500,'Calculation of Typical Day'!$A$21:$A$500,$B21)/24</f>
        <v>71.562499999999986</v>
      </c>
      <c r="J21" s="660">
        <f ca="1">SUMIFS('Calculation of Typical Day'!O$21:O$500,'Calculation of Typical Day'!$A$21:$A$500,$B21)/24</f>
        <v>74.562499999999986</v>
      </c>
      <c r="K21" s="660">
        <f ca="1">SUMIFS('Calculation of Typical Day'!P$21:P$500,'Calculation of Typical Day'!$A$21:$A$500,$B21)/24</f>
        <v>45</v>
      </c>
      <c r="L21" s="660">
        <f ca="1">SUMIFS('Calculation of Typical Day'!Q$21:Q$500,'Calculation of Typical Day'!$A$21:$A$500,$B21)/24</f>
        <v>48</v>
      </c>
      <c r="M21" s="660">
        <f ca="1">SUMIF('Calculation of Typical Day'!$A$21:$A$500,"="&amp;$B21,'Calculation of Typical Day'!$BZ$21:$BZ$500)</f>
        <v>0</v>
      </c>
      <c r="N21" s="660">
        <f ca="1">SUMIF('Calculation of Typical Day'!$A$21:$A$500,"="&amp;$B21,'Calculation of Typical Day'!$CA$21:$CA$500)</f>
        <v>0</v>
      </c>
      <c r="O21" s="659">
        <f ca="1">SUMIFS('Calculation of Typical Day'!H$21:H$500,'Calculation of Typical Day'!$A$21:$A$500,$B21)</f>
        <v>0</v>
      </c>
      <c r="P21" s="659">
        <f ca="1">SUMIFS('Calculation of Typical Day'!AJ$21:AJ$500,'Calculation of Typical Day'!$A$21:$A$500,$B21,'Calculation of Typical Day'!$BY$21:BY$500, 1)</f>
        <v>0</v>
      </c>
      <c r="Q21" s="659">
        <f ca="1">SUMIFS('Calculation of Typical Day'!AK$21:AK$500,'Calculation of Typical Day'!$A$21:$A$500,$B21,'Calculation of Typical Day'!$BY$21:BY$500, 1)</f>
        <v>0</v>
      </c>
      <c r="R21" s="659">
        <f ca="1">SUMIFS('Calculation of Typical Day'!$AL$21:$AL$500,'Calculation of Typical Day'!$A$21:$A$500,$B21,'Calculation of Typical Day'!$BY$21:BY$500, 1)</f>
        <v>0</v>
      </c>
      <c r="S21" s="659">
        <f ca="1">SUMIFS('Calculation of Typical Day'!$AH$21:$AH$500,'Calculation of Typical Day'!$A$21:$A$500,$B21,'Calculation of Typical Day'!$BY$21:BY$500, 1)</f>
        <v>0</v>
      </c>
      <c r="T21" s="659">
        <f ca="1">SUMIFS('Calculation of Typical Day'!AM$21:AM$500,'Calculation of Typical Day'!$A$21:$A$500,$B21,'Calculation of Typical Day'!$BY$21:$BY$500, 1)</f>
        <v>0</v>
      </c>
      <c r="U21" s="659">
        <f ca="1">SUMIFS('Calculation of Typical Day'!AN$21:AN$500,'Calculation of Typical Day'!$A$21:$A$500,$B21)</f>
        <v>0</v>
      </c>
      <c r="V21" s="197"/>
      <c r="W21" s="193">
        <f ca="1">SUMIFS('Calculation of Typical Day'!AX$21:AX$500,'Calculation of Typical Day'!$A$21:$A$500,$B21,'Calculation of Typical Day'!$BY$21:$BY$500, 1)</f>
        <v>0</v>
      </c>
      <c r="X21" s="193">
        <f ca="1">SUMIFS('Calculation of Typical Day'!BF$21:BF$500,'Calculation of Typical Day'!$A$21:$A$500,$B21,'Calculation of Typical Day'!$BY$21:$BY$500, 1)</f>
        <v>0</v>
      </c>
      <c r="Y21" s="190">
        <f ca="1">SUMIFS('Calculation of Typical Day'!BG$21:BG$500,'Calculation of Typical Day'!$A$21:$A$500,$B21,'Calculation of Typical Day'!$BY$21:$BY$500, 1)</f>
        <v>0</v>
      </c>
      <c r="Z21" s="190">
        <f ca="1">SUMIFS('Calculation of Typical Day'!BH$21:BH$500,'Calculation of Typical Day'!$A$21:$A$500,$B21,'Calculation of Typical Day'!$BY$21:$BY$500, 1)</f>
        <v>0</v>
      </c>
      <c r="AA21" s="190">
        <f ca="1">SUMIFS('Calculation of Typical Day'!BQ$21:BQ$500,'Calculation of Typical Day'!$A$21:$A$500,$B21,'Calculation of Typical Day'!$BY$21:$BY$500, 1)</f>
        <v>0</v>
      </c>
      <c r="AB21" s="190">
        <f ca="1">SUMIFS('Calculation of Typical Day'!BR$21:BR$500,'Calculation of Typical Day'!$A$21:$A$500,$B21,'Calculation of Typical Day'!$BY$21:$BY$500, 1)</f>
        <v>0</v>
      </c>
      <c r="AC21" s="190">
        <f ca="1">SUMIFS('Calculation of Typical Day'!BT$21:BT$500,'Calculation of Typical Day'!$A$21:$A$500,$B21,'Calculation of Typical Day'!$BY$21:$BY$500, 1)</f>
        <v>0</v>
      </c>
      <c r="AD21" s="190">
        <f ca="1">SUMIFS('Calculation of Typical Day'!BL$21:BL$500,'Calculation of Typical Day'!$A$21:$A$500,$B21,'Calculation of Typical Day'!$BY$21:$BY$500, 1)</f>
        <v>0</v>
      </c>
      <c r="AE21" s="190">
        <f ca="1">SUMIFS('Calculation of Typical Day'!CB$21:CB$500,'Calculation of Typical Day'!$A$21:$A$500,$B21,'Calculation of Typical Day'!$BY$21:$BY$500, 1)</f>
        <v>0</v>
      </c>
      <c r="AF21" s="653">
        <f ca="1">SUMIFS('Calculation of Typical Day'!AW$21:AW$500,'Calculation of Typical Day'!$A$21:$A$500,$B21)</f>
        <v>0</v>
      </c>
      <c r="AG21" s="135"/>
      <c r="AH21" s="135"/>
      <c r="AI21" s="47"/>
      <c r="AJ21" s="659">
        <f ca="1">SUMIFS('Calculation of Typical Day'!BI$21:BI$500,'Calculation of Typical Day'!$A$21:$A$500,$B21,'Calculation of Typical Day'!$BY$21:$BY$500, 1)</f>
        <v>0</v>
      </c>
      <c r="AK21" s="659">
        <f ca="1">SUMIFS('Calculation of Typical Day'!BJ$21:BJ$500,'Calculation of Typical Day'!$A$21:$A$500,$B21)</f>
        <v>0</v>
      </c>
      <c r="AL21" s="660">
        <f ca="1">SUMIFS('Calculation of Typical Day'!AQ$21:AQ$500,'Calculation of Typical Day'!$A$21:$A$500,$B21)</f>
        <v>0</v>
      </c>
      <c r="AM21" s="659">
        <f ca="1">SUMIFS('Calculation of Typical Day'!AR$21:AR$500,'Calculation of Typical Day'!$A$21:$A$500,$B21,'Calculation of Typical Day'!$BY$21:$BY$500, 1)</f>
        <v>0</v>
      </c>
      <c r="AN21" s="659">
        <f t="shared" ca="1" si="1"/>
        <v>0</v>
      </c>
      <c r="AO21" s="659">
        <f t="shared" ca="1" si="2"/>
        <v>0</v>
      </c>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row>
    <row r="22" spans="1:74" s="57" customFormat="1" ht="13.35" customHeight="1">
      <c r="A22" s="135"/>
      <c r="B22" s="650">
        <f>'Definition of Typical Day'!$K$13</f>
        <v>7</v>
      </c>
      <c r="C22" s="646">
        <f>'Definition of Typical Day'!$K$14</f>
        <v>7</v>
      </c>
      <c r="D22" s="671">
        <v>0</v>
      </c>
      <c r="E22" s="52"/>
      <c r="F22" s="669">
        <f t="shared" si="0"/>
        <v>0</v>
      </c>
      <c r="G22" s="660">
        <f ca="1">SUMIFS('Calculation of Typical Day'!I$21:I$500,'Calculation of Typical Day'!$A$21:$A$500,$B22)/24</f>
        <v>0</v>
      </c>
      <c r="H22" s="660">
        <f ca="1">SUMIFS('Calculation of Typical Day'!J$21:J$500,'Calculation of Typical Day'!$A$21:$A$500,$B22)/24</f>
        <v>0</v>
      </c>
      <c r="I22" s="660">
        <f ca="1">SUMIFS('Calculation of Typical Day'!M$21:M$500,'Calculation of Typical Day'!$A$21:$A$500,$B22)/24</f>
        <v>0</v>
      </c>
      <c r="J22" s="660">
        <f ca="1">SUMIFS('Calculation of Typical Day'!O$21:O$500,'Calculation of Typical Day'!$A$21:$A$500,$B22)/24</f>
        <v>3</v>
      </c>
      <c r="K22" s="660">
        <f ca="1">SUMIFS('Calculation of Typical Day'!P$21:P$500,'Calculation of Typical Day'!$A$21:$A$500,$B22)/24</f>
        <v>0</v>
      </c>
      <c r="L22" s="660">
        <f ca="1">SUMIFS('Calculation of Typical Day'!Q$21:Q$500,'Calculation of Typical Day'!$A$21:$A$500,$B22)/24</f>
        <v>3</v>
      </c>
      <c r="M22" s="660">
        <f ca="1">SUMIF('Calculation of Typical Day'!$A$21:$A$500,"="&amp;$B22,'Calculation of Typical Day'!$BZ$21:$BZ$500)</f>
        <v>0</v>
      </c>
      <c r="N22" s="660">
        <f ca="1">SUMIF('Calculation of Typical Day'!$A$21:$A$500,"="&amp;$B22,'Calculation of Typical Day'!$CA$21:$CA$500)</f>
        <v>0</v>
      </c>
      <c r="O22" s="659">
        <f ca="1">SUMIFS('Calculation of Typical Day'!H$21:H$500,'Calculation of Typical Day'!$A$21:$A$500,$B22)</f>
        <v>0</v>
      </c>
      <c r="P22" s="659">
        <f ca="1">SUMIFS('Calculation of Typical Day'!AJ$21:AJ$500,'Calculation of Typical Day'!$A$21:$A$500,$B22,'Calculation of Typical Day'!$BY$21:BY$500, 1)</f>
        <v>0</v>
      </c>
      <c r="Q22" s="659">
        <f ca="1">SUMIFS('Calculation of Typical Day'!AK$21:AK$500,'Calculation of Typical Day'!$A$21:$A$500,$B22,'Calculation of Typical Day'!$BY$21:BY$500, 1)</f>
        <v>0</v>
      </c>
      <c r="R22" s="659">
        <f ca="1">SUMIFS('Calculation of Typical Day'!$AL$21:$AL$500,'Calculation of Typical Day'!$A$21:$A$500,$B22,'Calculation of Typical Day'!$BY$21:BY$500, 1)</f>
        <v>0</v>
      </c>
      <c r="S22" s="659">
        <f ca="1">SUMIFS('Calculation of Typical Day'!$AH$21:$AH$500,'Calculation of Typical Day'!$A$21:$A$500,$B22,'Calculation of Typical Day'!$BY$21:BY$500, 1)</f>
        <v>0</v>
      </c>
      <c r="T22" s="659">
        <f ca="1">SUMIFS('Calculation of Typical Day'!AM$21:AM$500,'Calculation of Typical Day'!$A$21:$A$500,$B22,'Calculation of Typical Day'!$BY$21:$BY$500, 1)</f>
        <v>0</v>
      </c>
      <c r="U22" s="659">
        <f ca="1">SUMIFS('Calculation of Typical Day'!AN$21:AN$500,'Calculation of Typical Day'!$A$21:$A$500,$B22)</f>
        <v>0</v>
      </c>
      <c r="V22" s="135"/>
      <c r="W22" s="190">
        <f ca="1">SUMIFS('Calculation of Typical Day'!AX$21:AX$500,'Calculation of Typical Day'!$A$21:$A$500,$B22,'Calculation of Typical Day'!$BY$21:$BY$500, 1)</f>
        <v>0</v>
      </c>
      <c r="X22" s="191">
        <f ca="1">SUMIFS('Calculation of Typical Day'!BF$21:BF$500,'Calculation of Typical Day'!$A$21:$A$500,$B22,'Calculation of Typical Day'!$BY$21:$BY$500, 1)</f>
        <v>0</v>
      </c>
      <c r="Y22" s="193">
        <f ca="1">SUMIFS('Calculation of Typical Day'!BG$21:BG$500,'Calculation of Typical Day'!$A$21:$A$500,$B22,'Calculation of Typical Day'!$BY$21:$BY$500, 1)</f>
        <v>0</v>
      </c>
      <c r="Z22" s="193">
        <f ca="1">SUMIFS('Calculation of Typical Day'!BH$21:BH$500,'Calculation of Typical Day'!$A$21:$A$500,$B22,'Calculation of Typical Day'!$BY$21:$BY$500, 1)</f>
        <v>0</v>
      </c>
      <c r="AA22" s="193">
        <f ca="1">SUMIFS('Calculation of Typical Day'!BQ$21:BQ$500,'Calculation of Typical Day'!$A$21:$A$500,$B22,'Calculation of Typical Day'!$BY$21:$BY$500, 1)</f>
        <v>0</v>
      </c>
      <c r="AB22" s="193">
        <f ca="1">SUMIFS('Calculation of Typical Day'!BR$21:BR$500,'Calculation of Typical Day'!$A$21:$A$500,$B22,'Calculation of Typical Day'!$BY$21:$BY$500, 1)</f>
        <v>0</v>
      </c>
      <c r="AC22" s="193">
        <f ca="1">SUMIFS('Calculation of Typical Day'!BT$21:BT$500,'Calculation of Typical Day'!$A$21:$A$500,$B22,'Calculation of Typical Day'!$BY$21:$BY$500, 1)</f>
        <v>0</v>
      </c>
      <c r="AD22" s="193">
        <f ca="1">SUMIFS('Calculation of Typical Day'!BL$21:BL$500,'Calculation of Typical Day'!$A$21:$A$500,$B22,'Calculation of Typical Day'!$BY$21:$BY$500, 1)</f>
        <v>0</v>
      </c>
      <c r="AE22" s="193">
        <f ca="1">SUMIFS('Calculation of Typical Day'!CB$21:CB$500,'Calculation of Typical Day'!$A$21:$A$500,$B22,'Calculation of Typical Day'!$BY$21:$BY$500, 1)</f>
        <v>0</v>
      </c>
      <c r="AF22" s="674">
        <f ca="1">SUMIFS('Calculation of Typical Day'!AW$21:AW$500,'Calculation of Typical Day'!$A$21:$A$500,$B22)</f>
        <v>0</v>
      </c>
      <c r="AG22" s="135"/>
      <c r="AH22" s="135"/>
      <c r="AI22" s="47"/>
      <c r="AJ22" s="659">
        <f ca="1">SUMIFS('Calculation of Typical Day'!BI$21:BI$500,'Calculation of Typical Day'!$A$21:$A$500,$B22,'Calculation of Typical Day'!$BY$21:$BY$500, 1)</f>
        <v>0</v>
      </c>
      <c r="AK22" s="659">
        <f ca="1">SUMIFS('Calculation of Typical Day'!BJ$21:BJ$500,'Calculation of Typical Day'!$A$21:$A$500,$B22)</f>
        <v>0</v>
      </c>
      <c r="AL22" s="660">
        <f ca="1">SUMIFS('Calculation of Typical Day'!AQ$21:AQ$500,'Calculation of Typical Day'!$A$21:$A$500,$B22)</f>
        <v>0</v>
      </c>
      <c r="AM22" s="659">
        <f ca="1">SUMIFS('Calculation of Typical Day'!AR$21:AR$500,'Calculation of Typical Day'!$A$21:$A$500,$B22,'Calculation of Typical Day'!$BY$21:$BY$500, 1)</f>
        <v>0</v>
      </c>
      <c r="AN22" s="659">
        <f t="shared" ca="1" si="1"/>
        <v>0</v>
      </c>
      <c r="AO22" s="659">
        <f t="shared" ca="1" si="2"/>
        <v>0</v>
      </c>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row>
    <row r="23" spans="1:74" s="57" customFormat="1" ht="13.35" customHeight="1">
      <c r="A23" s="135"/>
      <c r="B23" s="650">
        <f>'Definition of Typical Day'!$L$13</f>
        <v>8</v>
      </c>
      <c r="C23" s="646">
        <f>'Definition of Typical Day'!$L$14</f>
        <v>8</v>
      </c>
      <c r="D23" s="671">
        <v>0</v>
      </c>
      <c r="E23" s="52"/>
      <c r="F23" s="669">
        <f t="shared" si="0"/>
        <v>0</v>
      </c>
      <c r="G23" s="660">
        <f ca="1">SUMIFS('Calculation of Typical Day'!I$21:I$500,'Calculation of Typical Day'!$A$21:$A$500,$B23)/24</f>
        <v>0</v>
      </c>
      <c r="H23" s="660">
        <f ca="1">SUMIFS('Calculation of Typical Day'!J$21:J$500,'Calculation of Typical Day'!$A$21:$A$500,$B23)/24</f>
        <v>0</v>
      </c>
      <c r="I23" s="660">
        <f ca="1">SUMIFS('Calculation of Typical Day'!M$21:M$500,'Calculation of Typical Day'!$A$21:$A$500,$B23)/24</f>
        <v>0</v>
      </c>
      <c r="J23" s="660">
        <f ca="1">SUMIFS('Calculation of Typical Day'!O$21:O$500,'Calculation of Typical Day'!$A$21:$A$500,$B23)/24</f>
        <v>3</v>
      </c>
      <c r="K23" s="660">
        <f ca="1">SUMIFS('Calculation of Typical Day'!P$21:P$500,'Calculation of Typical Day'!$A$21:$A$500,$B23)/24</f>
        <v>0</v>
      </c>
      <c r="L23" s="660">
        <f ca="1">SUMIFS('Calculation of Typical Day'!Q$21:Q$500,'Calculation of Typical Day'!$A$21:$A$500,$B23)/24</f>
        <v>3</v>
      </c>
      <c r="M23" s="660">
        <f ca="1">SUMIF('Calculation of Typical Day'!$A$21:$A$500,"="&amp;$B23,'Calculation of Typical Day'!$BZ$21:$BZ$500)</f>
        <v>0</v>
      </c>
      <c r="N23" s="660">
        <f ca="1">SUMIF('Calculation of Typical Day'!$A$21:$A$500,"="&amp;$B23,'Calculation of Typical Day'!$CA$21:$CA$500)</f>
        <v>0</v>
      </c>
      <c r="O23" s="659">
        <f ca="1">SUMIFS('Calculation of Typical Day'!H$21:H$500,'Calculation of Typical Day'!$A$21:$A$500,$B23)</f>
        <v>0</v>
      </c>
      <c r="P23" s="659">
        <f ca="1">SUMIFS('Calculation of Typical Day'!AJ$21:AJ$500,'Calculation of Typical Day'!$A$21:$A$500,$B23,'Calculation of Typical Day'!$BY$21:BY$500, 1)</f>
        <v>0</v>
      </c>
      <c r="Q23" s="659">
        <f ca="1">SUMIFS('Calculation of Typical Day'!AK$21:AK$500,'Calculation of Typical Day'!$A$21:$A$500,$B23,'Calculation of Typical Day'!$BY$21:BY$500, 1)</f>
        <v>0</v>
      </c>
      <c r="R23" s="659">
        <f ca="1">SUMIFS('Calculation of Typical Day'!$AL$21:$AL$500,'Calculation of Typical Day'!$A$21:$A$500,$B23,'Calculation of Typical Day'!$BY$21:BY$500, 1)</f>
        <v>0</v>
      </c>
      <c r="S23" s="659">
        <f ca="1">SUMIFS('Calculation of Typical Day'!$AH$21:$AH$500,'Calculation of Typical Day'!$A$21:$A$500,$B23,'Calculation of Typical Day'!$BY$21:BY$500, 1)</f>
        <v>0</v>
      </c>
      <c r="T23" s="659">
        <f ca="1">SUMIFS('Calculation of Typical Day'!AM$21:AM$500,'Calculation of Typical Day'!$A$21:$A$500,$B23,'Calculation of Typical Day'!$BY$21:$BY$500, 1)</f>
        <v>0</v>
      </c>
      <c r="U23" s="659">
        <f ca="1">SUMIFS('Calculation of Typical Day'!AN$21:AN$500,'Calculation of Typical Day'!$A$21:$A$500,$B23)</f>
        <v>0</v>
      </c>
      <c r="V23" s="135"/>
      <c r="W23" s="192">
        <f ca="1">SUMIFS('Calculation of Typical Day'!AX$21:AX$500,'Calculation of Typical Day'!$A$21:$A$500,$B23,'Calculation of Typical Day'!$BY$21:$BY$500, 1)</f>
        <v>0</v>
      </c>
      <c r="X23" s="190">
        <f ca="1">SUMIFS('Calculation of Typical Day'!BF$21:BF$500,'Calculation of Typical Day'!$A$21:$A$500,$B23,'Calculation of Typical Day'!$BY$21:$BY$500, 1)</f>
        <v>0</v>
      </c>
      <c r="Y23" s="190">
        <f ca="1">SUMIFS('Calculation of Typical Day'!BG$21:BG$500,'Calculation of Typical Day'!$A$21:$A$500,$B23,'Calculation of Typical Day'!$BY$21:$BY$500, 1)</f>
        <v>0</v>
      </c>
      <c r="Z23" s="190">
        <f ca="1">SUMIFS('Calculation of Typical Day'!BH$21:BH$500,'Calculation of Typical Day'!$A$21:$A$500,$B23,'Calculation of Typical Day'!$BY$21:$BY$500, 1)</f>
        <v>0</v>
      </c>
      <c r="AA23" s="190">
        <f ca="1">SUMIFS('Calculation of Typical Day'!BQ$21:BQ$500,'Calculation of Typical Day'!$A$21:$A$500,$B23,'Calculation of Typical Day'!$BY$21:$BY$500, 1)</f>
        <v>0</v>
      </c>
      <c r="AB23" s="190">
        <f ca="1">SUMIFS('Calculation of Typical Day'!BR$21:BR$500,'Calculation of Typical Day'!$A$21:$A$500,$B23,'Calculation of Typical Day'!$BY$21:$BY$500, 1)</f>
        <v>0</v>
      </c>
      <c r="AC23" s="190">
        <f ca="1">SUMIFS('Calculation of Typical Day'!BT$21:BT$500,'Calculation of Typical Day'!$A$21:$A$500,$B23,'Calculation of Typical Day'!$BY$21:$BY$500, 1)</f>
        <v>0</v>
      </c>
      <c r="AD23" s="190">
        <f ca="1">SUMIFS('Calculation of Typical Day'!BL$21:BL$500,'Calculation of Typical Day'!$A$21:$A$500,$B23,'Calculation of Typical Day'!$BY$21:$BY$500, 1)</f>
        <v>0</v>
      </c>
      <c r="AE23" s="190">
        <f ca="1">SUMIFS('Calculation of Typical Day'!CB$21:CB$500,'Calculation of Typical Day'!$A$21:$A$500,$B23,'Calculation of Typical Day'!$BY$21:$BY$500, 1)</f>
        <v>0</v>
      </c>
      <c r="AF23" s="674">
        <f ca="1">SUMIFS('Calculation of Typical Day'!AW$21:AW$500,'Calculation of Typical Day'!$A$21:$A$500,$B23)</f>
        <v>0</v>
      </c>
      <c r="AG23" s="135"/>
      <c r="AH23" s="135"/>
      <c r="AI23" s="47"/>
      <c r="AJ23" s="659">
        <f ca="1">SUMIFS('Calculation of Typical Day'!BI$21:BI$500,'Calculation of Typical Day'!$A$21:$A$500,$B23,'Calculation of Typical Day'!$BY$21:$BY$500, 1)</f>
        <v>0</v>
      </c>
      <c r="AK23" s="659">
        <f ca="1">SUMIFS('Calculation of Typical Day'!BJ$21:BJ$500,'Calculation of Typical Day'!$A$21:$A$500,$B23)</f>
        <v>0</v>
      </c>
      <c r="AL23" s="660">
        <f ca="1">SUMIFS('Calculation of Typical Day'!AQ$21:AQ$500,'Calculation of Typical Day'!$A$21:$A$500,$B23)</f>
        <v>0</v>
      </c>
      <c r="AM23" s="659">
        <f ca="1">SUMIFS('Calculation of Typical Day'!AR$21:AR$500,'Calculation of Typical Day'!$A$21:$A$500,$B23,'Calculation of Typical Day'!$BY$21:$BY$500, 1)</f>
        <v>0</v>
      </c>
      <c r="AN23" s="659">
        <f t="shared" ca="1" si="1"/>
        <v>0</v>
      </c>
      <c r="AO23" s="659">
        <f t="shared" ca="1" si="2"/>
        <v>0</v>
      </c>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c r="BS23" s="135"/>
      <c r="BT23" s="135"/>
      <c r="BU23" s="135"/>
      <c r="BV23" s="135"/>
    </row>
    <row r="24" spans="1:74" s="57" customFormat="1" ht="13.35" customHeight="1">
      <c r="A24" s="135"/>
      <c r="B24" s="650">
        <f>'Definition of Typical Day'!$M$13</f>
        <v>9</v>
      </c>
      <c r="C24" s="646">
        <f>'Definition of Typical Day'!$M$14</f>
        <v>9</v>
      </c>
      <c r="D24" s="671">
        <v>0</v>
      </c>
      <c r="E24" s="52"/>
      <c r="F24" s="669">
        <f t="shared" si="0"/>
        <v>0</v>
      </c>
      <c r="G24" s="660">
        <f ca="1">SUMIFS('Calculation of Typical Day'!I$21:I$500,'Calculation of Typical Day'!$A$21:$A$500,$B24)/24</f>
        <v>0</v>
      </c>
      <c r="H24" s="660">
        <f ca="1">SUMIFS('Calculation of Typical Day'!J$21:J$500,'Calculation of Typical Day'!$A$21:$A$500,$B24)/24</f>
        <v>0</v>
      </c>
      <c r="I24" s="660">
        <f ca="1">SUMIFS('Calculation of Typical Day'!M$21:M$500,'Calculation of Typical Day'!$A$21:$A$500,$B24)/24</f>
        <v>0</v>
      </c>
      <c r="J24" s="660">
        <f ca="1">SUMIFS('Calculation of Typical Day'!O$21:O$500,'Calculation of Typical Day'!$A$21:$A$500,$B24)/24</f>
        <v>3</v>
      </c>
      <c r="K24" s="660">
        <f ca="1">SUMIFS('Calculation of Typical Day'!P$21:P$500,'Calculation of Typical Day'!$A$21:$A$500,$B24)/24</f>
        <v>0</v>
      </c>
      <c r="L24" s="660">
        <f ca="1">SUMIFS('Calculation of Typical Day'!Q$21:Q$500,'Calculation of Typical Day'!$A$21:$A$500,$B24)/24</f>
        <v>3</v>
      </c>
      <c r="M24" s="660">
        <f ca="1">SUMIF('Calculation of Typical Day'!$A$21:$A$500,"="&amp;$B24,'Calculation of Typical Day'!$BZ$21:$BZ$500)</f>
        <v>0</v>
      </c>
      <c r="N24" s="660">
        <f ca="1">SUMIF('Calculation of Typical Day'!$A$21:$A$500,"="&amp;$B24,'Calculation of Typical Day'!$CA$21:$CA$500)</f>
        <v>0</v>
      </c>
      <c r="O24" s="659">
        <f ca="1">SUMIFS('Calculation of Typical Day'!H$21:H$500,'Calculation of Typical Day'!$A$21:$A$500,$B24)</f>
        <v>0</v>
      </c>
      <c r="P24" s="659">
        <f ca="1">SUMIFS('Calculation of Typical Day'!AJ$21:AJ$500,'Calculation of Typical Day'!$A$21:$A$500,$B24,'Calculation of Typical Day'!$BY$21:BY$500, 1)</f>
        <v>0</v>
      </c>
      <c r="Q24" s="659">
        <f ca="1">SUMIFS('Calculation of Typical Day'!AK$21:AK$500,'Calculation of Typical Day'!$A$21:$A$500,$B24,'Calculation of Typical Day'!$BY$21:BY$500, 1)</f>
        <v>0</v>
      </c>
      <c r="R24" s="659">
        <f ca="1">SUMIFS('Calculation of Typical Day'!$AL$21:$AL$500,'Calculation of Typical Day'!$A$21:$A$500,$B24,'Calculation of Typical Day'!$BY$21:BY$500, 1)</f>
        <v>0</v>
      </c>
      <c r="S24" s="659">
        <f ca="1">SUMIFS('Calculation of Typical Day'!$AH$21:$AH$500,'Calculation of Typical Day'!$A$21:$A$500,$B24,'Calculation of Typical Day'!$BY$21:BY$500, 1)</f>
        <v>0</v>
      </c>
      <c r="T24" s="659">
        <f ca="1">SUMIFS('Calculation of Typical Day'!AM$21:AM$500,'Calculation of Typical Day'!$A$21:$A$500,$B24,'Calculation of Typical Day'!$BY$21:$BY$500, 1)</f>
        <v>0</v>
      </c>
      <c r="U24" s="659">
        <f ca="1">SUMIFS('Calculation of Typical Day'!AN$21:AN$500,'Calculation of Typical Day'!$A$21:$A$500,$B24)</f>
        <v>0</v>
      </c>
      <c r="V24" s="135"/>
      <c r="W24" s="190">
        <f ca="1">SUMIFS('Calculation of Typical Day'!AX$21:AX$500,'Calculation of Typical Day'!$A$21:$A$500,$B24,'Calculation of Typical Day'!$BY$21:$BY$500, 1)</f>
        <v>0</v>
      </c>
      <c r="X24" s="190">
        <f ca="1">SUMIFS('Calculation of Typical Day'!BF$21:BF$500,'Calculation of Typical Day'!$A$21:$A$500,$B24,'Calculation of Typical Day'!$BY$21:$BY$500, 1)</f>
        <v>0</v>
      </c>
      <c r="Y24" s="190">
        <f ca="1">SUMIFS('Calculation of Typical Day'!BG$21:BG$500,'Calculation of Typical Day'!$A$21:$A$500,$B24,'Calculation of Typical Day'!$BY$21:$BY$500, 1)</f>
        <v>0</v>
      </c>
      <c r="Z24" s="190">
        <f ca="1">SUMIFS('Calculation of Typical Day'!BH$21:BH$500,'Calculation of Typical Day'!$A$21:$A$500,$B24,'Calculation of Typical Day'!$BY$21:$BY$500, 1)</f>
        <v>0</v>
      </c>
      <c r="AA24" s="190">
        <f ca="1">SUMIFS('Calculation of Typical Day'!BQ$21:BQ$500,'Calculation of Typical Day'!$A$21:$A$500,$B24,'Calculation of Typical Day'!$BY$21:$BY$500, 1)</f>
        <v>0</v>
      </c>
      <c r="AB24" s="190">
        <f ca="1">SUMIFS('Calculation of Typical Day'!BR$21:BR$500,'Calculation of Typical Day'!$A$21:$A$500,$B24,'Calculation of Typical Day'!$BY$21:$BY$500, 1)</f>
        <v>0</v>
      </c>
      <c r="AC24" s="190">
        <f ca="1">SUMIFS('Calculation of Typical Day'!BT$21:BT$500,'Calculation of Typical Day'!$A$21:$A$500,$B24,'Calculation of Typical Day'!$BY$21:$BY$500, 1)</f>
        <v>0</v>
      </c>
      <c r="AD24" s="190">
        <f ca="1">SUMIFS('Calculation of Typical Day'!BL$21:BL$500,'Calculation of Typical Day'!$A$21:$A$500,$B24,'Calculation of Typical Day'!$BY$21:$BY$500, 1)</f>
        <v>0</v>
      </c>
      <c r="AE24" s="190">
        <f ca="1">SUMIFS('Calculation of Typical Day'!CB$21:CB$500,'Calculation of Typical Day'!$A$21:$A$500,$B24,'Calculation of Typical Day'!$BY$21:$BY$500, 1)</f>
        <v>0</v>
      </c>
      <c r="AF24" s="653">
        <f ca="1">SUMIFS('Calculation of Typical Day'!AW$21:AW$500,'Calculation of Typical Day'!$A$21:$A$500,$B24)</f>
        <v>0</v>
      </c>
      <c r="AG24" s="135"/>
      <c r="AH24" s="135"/>
      <c r="AI24" s="47"/>
      <c r="AJ24" s="659">
        <f ca="1">SUMIFS('Calculation of Typical Day'!BI$21:BI$500,'Calculation of Typical Day'!$A$21:$A$500,$B24,'Calculation of Typical Day'!$BY$21:$BY$500, 1)</f>
        <v>0</v>
      </c>
      <c r="AK24" s="659">
        <f ca="1">SUMIFS('Calculation of Typical Day'!BJ$21:BJ$500,'Calculation of Typical Day'!$A$21:$A$500,$B24)</f>
        <v>0</v>
      </c>
      <c r="AL24" s="660">
        <f ca="1">SUMIFS('Calculation of Typical Day'!AQ$21:AQ$500,'Calculation of Typical Day'!$A$21:$A$500,$B24)</f>
        <v>0</v>
      </c>
      <c r="AM24" s="659">
        <f ca="1">SUMIFS('Calculation of Typical Day'!AR$21:AR$500,'Calculation of Typical Day'!$A$21:$A$500,$B24,'Calculation of Typical Day'!$BY$21:$BY$500, 1)</f>
        <v>0</v>
      </c>
      <c r="AN24" s="659">
        <f t="shared" ca="1" si="1"/>
        <v>0</v>
      </c>
      <c r="AO24" s="659">
        <f t="shared" ca="1" si="2"/>
        <v>0</v>
      </c>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35"/>
      <c r="BR24" s="135"/>
      <c r="BS24" s="135"/>
      <c r="BT24" s="135"/>
      <c r="BU24" s="135"/>
      <c r="BV24" s="135"/>
    </row>
    <row r="25" spans="1:74" s="57" customFormat="1" ht="13.35" customHeight="1">
      <c r="A25" s="135"/>
      <c r="B25" s="650">
        <f>'Definition of Typical Day'!$N$13</f>
        <v>10</v>
      </c>
      <c r="C25" s="646">
        <f>'Definition of Typical Day'!$N$14</f>
        <v>10</v>
      </c>
      <c r="D25" s="671">
        <v>0</v>
      </c>
      <c r="E25" s="52"/>
      <c r="F25" s="669">
        <f t="shared" si="0"/>
        <v>0</v>
      </c>
      <c r="G25" s="660">
        <f ca="1">SUMIFS('Calculation of Typical Day'!I$21:I$500,'Calculation of Typical Day'!$A$21:$A$500,$B25)/24</f>
        <v>0</v>
      </c>
      <c r="H25" s="660">
        <f ca="1">SUMIFS('Calculation of Typical Day'!J$21:J$500,'Calculation of Typical Day'!$A$21:$A$500,$B25)/24</f>
        <v>0</v>
      </c>
      <c r="I25" s="660">
        <f ca="1">SUMIFS('Calculation of Typical Day'!M$21:M$500,'Calculation of Typical Day'!$A$21:$A$500,$B25)/24</f>
        <v>0</v>
      </c>
      <c r="J25" s="660">
        <f ca="1">SUMIFS('Calculation of Typical Day'!O$21:O$500,'Calculation of Typical Day'!$A$21:$A$500,$B25)/24</f>
        <v>3</v>
      </c>
      <c r="K25" s="660">
        <f ca="1">SUMIFS('Calculation of Typical Day'!P$21:P$500,'Calculation of Typical Day'!$A$21:$A$500,$B25)/24</f>
        <v>0</v>
      </c>
      <c r="L25" s="660">
        <f ca="1">SUMIFS('Calculation of Typical Day'!Q$21:Q$500,'Calculation of Typical Day'!$A$21:$A$500,$B25)/24</f>
        <v>3</v>
      </c>
      <c r="M25" s="660">
        <f ca="1">SUMIF('Calculation of Typical Day'!$A$21:$A$500,"="&amp;$B25,'Calculation of Typical Day'!$BZ$21:$BZ$500)</f>
        <v>0</v>
      </c>
      <c r="N25" s="660">
        <f ca="1">SUMIF('Calculation of Typical Day'!$A$21:$A$500,"="&amp;$B25,'Calculation of Typical Day'!$CA$21:$CA$500)</f>
        <v>0</v>
      </c>
      <c r="O25" s="659">
        <f ca="1">SUMIFS('Calculation of Typical Day'!H$21:H$500,'Calculation of Typical Day'!$A$21:$A$500,$B25)</f>
        <v>0</v>
      </c>
      <c r="P25" s="659">
        <f ca="1">SUMIFS('Calculation of Typical Day'!AJ$21:AJ$500,'Calculation of Typical Day'!$A$21:$A$500,$B25,'Calculation of Typical Day'!$BY$21:BY$500, 1)</f>
        <v>0</v>
      </c>
      <c r="Q25" s="659">
        <f ca="1">SUMIFS('Calculation of Typical Day'!AK$21:AK$500,'Calculation of Typical Day'!$A$21:$A$500,$B25,'Calculation of Typical Day'!$BY$21:BY$500, 1)</f>
        <v>0</v>
      </c>
      <c r="R25" s="659">
        <f ca="1">SUMIFS('Calculation of Typical Day'!$AL$21:$AL$500,'Calculation of Typical Day'!$A$21:$A$500,$B25,'Calculation of Typical Day'!$BY$21:BY$500, 1)</f>
        <v>0</v>
      </c>
      <c r="S25" s="659">
        <f ca="1">SUMIFS('Calculation of Typical Day'!$AH$21:$AH$500,'Calculation of Typical Day'!$A$21:$A$500,$B25,'Calculation of Typical Day'!$BY$21:BY$500, 1)</f>
        <v>0</v>
      </c>
      <c r="T25" s="659">
        <f ca="1">SUMIFS('Calculation of Typical Day'!AM$21:AM$500,'Calculation of Typical Day'!$A$21:$A$500,$B25,'Calculation of Typical Day'!$BY$21:$BY$500, 1)</f>
        <v>0</v>
      </c>
      <c r="U25" s="659">
        <f ca="1">SUMIFS('Calculation of Typical Day'!AN$21:AN$500,'Calculation of Typical Day'!$A$21:$A$500,$B25)</f>
        <v>0</v>
      </c>
      <c r="V25" s="135"/>
      <c r="W25" s="190">
        <f ca="1">SUMIFS('Calculation of Typical Day'!AX$21:AX$500,'Calculation of Typical Day'!$A$21:$A$500,$B25,'Calculation of Typical Day'!$BY$21:$BY$500, 1)</f>
        <v>0</v>
      </c>
      <c r="X25" s="190">
        <f ca="1">SUMIFS('Calculation of Typical Day'!BF$21:BF$500,'Calculation of Typical Day'!$A$21:$A$500,$B25,'Calculation of Typical Day'!$BY$21:$BY$500, 1)</f>
        <v>0</v>
      </c>
      <c r="Y25" s="190">
        <f ca="1">SUMIFS('Calculation of Typical Day'!BG$21:BG$500,'Calculation of Typical Day'!$A$21:$A$500,$B25,'Calculation of Typical Day'!$BY$21:$BY$500, 1)</f>
        <v>0</v>
      </c>
      <c r="Z25" s="190">
        <f ca="1">SUMIFS('Calculation of Typical Day'!BH$21:BH$500,'Calculation of Typical Day'!$A$21:$A$500,$B25,'Calculation of Typical Day'!$BY$21:$BY$500, 1)</f>
        <v>0</v>
      </c>
      <c r="AA25" s="190">
        <f ca="1">SUMIFS('Calculation of Typical Day'!BQ$21:BQ$500,'Calculation of Typical Day'!$A$21:$A$500,$B25,'Calculation of Typical Day'!$BY$21:$BY$500, 1)</f>
        <v>0</v>
      </c>
      <c r="AB25" s="190">
        <f ca="1">SUMIFS('Calculation of Typical Day'!BR$21:BR$500,'Calculation of Typical Day'!$A$21:$A$500,$B25,'Calculation of Typical Day'!$BY$21:$BY$500, 1)</f>
        <v>0</v>
      </c>
      <c r="AC25" s="190">
        <f ca="1">SUMIFS('Calculation of Typical Day'!BT$21:BT$500,'Calculation of Typical Day'!$A$21:$A$500,$B25,'Calculation of Typical Day'!$BY$21:$BY$500, 1)</f>
        <v>0</v>
      </c>
      <c r="AD25" s="190">
        <f ca="1">SUMIFS('Calculation of Typical Day'!BL$21:BL$500,'Calculation of Typical Day'!$A$21:$A$500,$B25,'Calculation of Typical Day'!$BY$21:$BY$500, 1)</f>
        <v>0</v>
      </c>
      <c r="AE25" s="190">
        <f ca="1">SUMIFS('Calculation of Typical Day'!CB$21:CB$500,'Calculation of Typical Day'!$A$21:$A$500,$B25,'Calculation of Typical Day'!$BY$21:$BY$500, 1)</f>
        <v>0</v>
      </c>
      <c r="AF25" s="653">
        <f ca="1">SUMIFS('Calculation of Typical Day'!AW$21:AW$500,'Calculation of Typical Day'!$A$21:$A$500,$B25)</f>
        <v>0</v>
      </c>
      <c r="AG25" s="135"/>
      <c r="AH25" s="135"/>
      <c r="AI25" s="47"/>
      <c r="AJ25" s="659">
        <f ca="1">SUMIFS('Calculation of Typical Day'!BI$21:BI$500,'Calculation of Typical Day'!$A$21:$A$500,$B25,'Calculation of Typical Day'!$BY$21:$BY$500, 1)</f>
        <v>0</v>
      </c>
      <c r="AK25" s="659">
        <f ca="1">SUMIFS('Calculation of Typical Day'!BJ$21:BJ$500,'Calculation of Typical Day'!$A$21:$A$500,$B25)</f>
        <v>0</v>
      </c>
      <c r="AL25" s="660">
        <f ca="1">SUMIFS('Calculation of Typical Day'!AQ$21:AQ$500,'Calculation of Typical Day'!$A$21:$A$500,$B25)</f>
        <v>0</v>
      </c>
      <c r="AM25" s="659">
        <f ca="1">SUMIFS('Calculation of Typical Day'!AR$21:AR$500,'Calculation of Typical Day'!$A$21:$A$500,$B25,'Calculation of Typical Day'!$BY$21:$BY$500, 1)</f>
        <v>0</v>
      </c>
      <c r="AN25" s="659">
        <f t="shared" ca="1" si="1"/>
        <v>0</v>
      </c>
      <c r="AO25" s="659">
        <f t="shared" ca="1" si="2"/>
        <v>0</v>
      </c>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35"/>
      <c r="BR25" s="135"/>
      <c r="BS25" s="135"/>
      <c r="BT25" s="135"/>
      <c r="BU25" s="135"/>
      <c r="BV25" s="135"/>
    </row>
    <row r="26" spans="1:74" s="57" customFormat="1" ht="13.35" customHeight="1">
      <c r="A26" s="135"/>
      <c r="B26" s="650">
        <f>'Definition of Typical Day'!$O$13</f>
        <v>11</v>
      </c>
      <c r="C26" s="646">
        <f>'Definition of Typical Day'!$O$14</f>
        <v>11</v>
      </c>
      <c r="D26" s="671">
        <v>0</v>
      </c>
      <c r="E26" s="52"/>
      <c r="F26" s="669">
        <f t="shared" si="0"/>
        <v>0</v>
      </c>
      <c r="G26" s="660">
        <f ca="1">SUMIFS('Calculation of Typical Day'!I$21:I$500,'Calculation of Typical Day'!$A$21:$A$500,$B26)/24</f>
        <v>0</v>
      </c>
      <c r="H26" s="660">
        <f ca="1">SUMIFS('Calculation of Typical Day'!J$21:J$500,'Calculation of Typical Day'!$A$21:$A$500,$B26)/24</f>
        <v>0</v>
      </c>
      <c r="I26" s="660">
        <f ca="1">SUMIFS('Calculation of Typical Day'!M$21:M$500,'Calculation of Typical Day'!$A$21:$A$500,$B26)/24</f>
        <v>0</v>
      </c>
      <c r="J26" s="660">
        <f ca="1">SUMIFS('Calculation of Typical Day'!O$21:O$500,'Calculation of Typical Day'!$A$21:$A$500,$B26)/24</f>
        <v>3</v>
      </c>
      <c r="K26" s="660">
        <f ca="1">SUMIFS('Calculation of Typical Day'!P$21:P$500,'Calculation of Typical Day'!$A$21:$A$500,$B26)/24</f>
        <v>0</v>
      </c>
      <c r="L26" s="660">
        <f ca="1">SUMIFS('Calculation of Typical Day'!Q$21:Q$500,'Calculation of Typical Day'!$A$21:$A$500,$B26)/24</f>
        <v>3</v>
      </c>
      <c r="M26" s="660">
        <f ca="1">SUMIF('Calculation of Typical Day'!$A$21:$A$500,"="&amp;$B26,'Calculation of Typical Day'!$BZ$21:$BZ$500)</f>
        <v>0</v>
      </c>
      <c r="N26" s="660">
        <f ca="1">SUMIF('Calculation of Typical Day'!$A$21:$A$500,"="&amp;$B26,'Calculation of Typical Day'!$CA$21:$CA$500)</f>
        <v>0</v>
      </c>
      <c r="O26" s="659">
        <f ca="1">SUMIFS('Calculation of Typical Day'!H$21:H$500,'Calculation of Typical Day'!$A$21:$A$500,$B26)</f>
        <v>0</v>
      </c>
      <c r="P26" s="659">
        <f ca="1">SUMIFS('Calculation of Typical Day'!AJ$21:AJ$500,'Calculation of Typical Day'!$A$21:$A$500,$B26,'Calculation of Typical Day'!$BY$21:BY$500, 1)</f>
        <v>0</v>
      </c>
      <c r="Q26" s="659">
        <f ca="1">SUMIFS('Calculation of Typical Day'!AK$21:AK$500,'Calculation of Typical Day'!$A$21:$A$500,$B26,'Calculation of Typical Day'!$BY$21:BY$500, 1)</f>
        <v>0</v>
      </c>
      <c r="R26" s="659">
        <f ca="1">SUMIFS('Calculation of Typical Day'!$AL$21:$AL$500,'Calculation of Typical Day'!$A$21:$A$500,$B26,'Calculation of Typical Day'!$BY$21:BY$500, 1)</f>
        <v>0</v>
      </c>
      <c r="S26" s="659">
        <f ca="1">SUMIFS('Calculation of Typical Day'!$AH$21:$AH$500,'Calculation of Typical Day'!$A$21:$A$500,$B26,'Calculation of Typical Day'!$BY$21:BY$500, 1)</f>
        <v>0</v>
      </c>
      <c r="T26" s="659">
        <f ca="1">SUMIFS('Calculation of Typical Day'!AM$21:AM$500,'Calculation of Typical Day'!$A$21:$A$500,$B26,'Calculation of Typical Day'!$BY$21:$BY$500, 1)</f>
        <v>0</v>
      </c>
      <c r="U26" s="659">
        <f ca="1">SUMIFS('Calculation of Typical Day'!AN$21:AN$500,'Calculation of Typical Day'!$A$21:$A$500,$B26)</f>
        <v>0</v>
      </c>
      <c r="V26" s="135"/>
      <c r="W26" s="190">
        <f ca="1">SUMIFS('Calculation of Typical Day'!AX$21:AX$500,'Calculation of Typical Day'!$A$21:$A$500,$B26,'Calculation of Typical Day'!$BY$21:$BY$500, 1)</f>
        <v>0</v>
      </c>
      <c r="X26" s="190">
        <f ca="1">SUMIFS('Calculation of Typical Day'!BF$21:BF$500,'Calculation of Typical Day'!$A$21:$A$500,$B26,'Calculation of Typical Day'!$BY$21:$BY$500, 1)</f>
        <v>0</v>
      </c>
      <c r="Y26" s="190">
        <f ca="1">SUMIFS('Calculation of Typical Day'!BG$21:BG$500,'Calculation of Typical Day'!$A$21:$A$500,$B26,'Calculation of Typical Day'!$BY$21:$BY$500, 1)</f>
        <v>0</v>
      </c>
      <c r="Z26" s="190">
        <f ca="1">SUMIFS('Calculation of Typical Day'!BH$21:BH$500,'Calculation of Typical Day'!$A$21:$A$500,$B26,'Calculation of Typical Day'!$BY$21:$BY$500, 1)</f>
        <v>0</v>
      </c>
      <c r="AA26" s="190">
        <f ca="1">SUMIFS('Calculation of Typical Day'!BQ$21:BQ$500,'Calculation of Typical Day'!$A$21:$A$500,$B26,'Calculation of Typical Day'!$BY$21:$BY$500, 1)</f>
        <v>0</v>
      </c>
      <c r="AB26" s="190">
        <f ca="1">SUMIFS('Calculation of Typical Day'!BR$21:BR$500,'Calculation of Typical Day'!$A$21:$A$500,$B26,'Calculation of Typical Day'!$BY$21:$BY$500, 1)</f>
        <v>0</v>
      </c>
      <c r="AC26" s="190">
        <f ca="1">SUMIFS('Calculation of Typical Day'!BT$21:BT$500,'Calculation of Typical Day'!$A$21:$A$500,$B26,'Calculation of Typical Day'!$BY$21:$BY$500, 1)</f>
        <v>0</v>
      </c>
      <c r="AD26" s="190">
        <f ca="1">SUMIFS('Calculation of Typical Day'!BL$21:BL$500,'Calculation of Typical Day'!$A$21:$A$500,$B26,'Calculation of Typical Day'!$BY$21:$BY$500, 1)</f>
        <v>0</v>
      </c>
      <c r="AE26" s="190">
        <f ca="1">SUMIFS('Calculation of Typical Day'!CB$21:CB$500,'Calculation of Typical Day'!$A$21:$A$500,$B26,'Calculation of Typical Day'!$BY$21:$BY$500, 1)</f>
        <v>0</v>
      </c>
      <c r="AF26" s="653">
        <f ca="1">SUMIFS('Calculation of Typical Day'!AW$21:AW$500,'Calculation of Typical Day'!$A$21:$A$500,$B26)</f>
        <v>0</v>
      </c>
      <c r="AG26" s="135"/>
      <c r="AH26" s="135"/>
      <c r="AI26" s="47"/>
      <c r="AJ26" s="659">
        <f ca="1">SUMIFS('Calculation of Typical Day'!BI$21:BI$500,'Calculation of Typical Day'!$A$21:$A$500,$B26,'Calculation of Typical Day'!$BY$21:$BY$500, 1)</f>
        <v>0</v>
      </c>
      <c r="AK26" s="659">
        <f ca="1">SUMIFS('Calculation of Typical Day'!BJ$21:BJ$500,'Calculation of Typical Day'!$A$21:$A$500,$B26)</f>
        <v>0</v>
      </c>
      <c r="AL26" s="660">
        <f ca="1">SUMIFS('Calculation of Typical Day'!AQ$21:AQ$500,'Calculation of Typical Day'!$A$21:$A$500,$B26)</f>
        <v>0</v>
      </c>
      <c r="AM26" s="659">
        <f ca="1">SUMIFS('Calculation of Typical Day'!AR$21:AR$500,'Calculation of Typical Day'!$A$21:$A$500,$B26,'Calculation of Typical Day'!$BY$21:$BY$500, 1)</f>
        <v>0</v>
      </c>
      <c r="AN26" s="659">
        <f t="shared" ca="1" si="1"/>
        <v>0</v>
      </c>
      <c r="AO26" s="659">
        <f t="shared" ca="1" si="2"/>
        <v>0</v>
      </c>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row>
    <row r="27" spans="1:74" s="57" customFormat="1" ht="13.35" customHeight="1">
      <c r="A27" s="135"/>
      <c r="B27" s="650">
        <f>'Definition of Typical Day'!$P$13</f>
        <v>12</v>
      </c>
      <c r="C27" s="646">
        <f>'Definition of Typical Day'!$P$14</f>
        <v>12</v>
      </c>
      <c r="D27" s="671">
        <v>0</v>
      </c>
      <c r="E27" s="52"/>
      <c r="F27" s="669">
        <f t="shared" si="0"/>
        <v>0</v>
      </c>
      <c r="G27" s="660">
        <f ca="1">SUMIFS('Calculation of Typical Day'!I$21:I$500,'Calculation of Typical Day'!$A$21:$A$500,$B27)/24</f>
        <v>0</v>
      </c>
      <c r="H27" s="660">
        <f ca="1">SUMIFS('Calculation of Typical Day'!J$21:J$500,'Calculation of Typical Day'!$A$21:$A$500,$B27)/24</f>
        <v>0</v>
      </c>
      <c r="I27" s="660">
        <f ca="1">SUMIFS('Calculation of Typical Day'!M$21:M$500,'Calculation of Typical Day'!$A$21:$A$500,$B27)/24</f>
        <v>0</v>
      </c>
      <c r="J27" s="660">
        <f ca="1">SUMIFS('Calculation of Typical Day'!O$21:O$500,'Calculation of Typical Day'!$A$21:$A$500,$B27)/24</f>
        <v>3</v>
      </c>
      <c r="K27" s="660">
        <f ca="1">SUMIFS('Calculation of Typical Day'!P$21:P$500,'Calculation of Typical Day'!$A$21:$A$500,$B27)/24</f>
        <v>0</v>
      </c>
      <c r="L27" s="660">
        <f ca="1">SUMIFS('Calculation of Typical Day'!Q$21:Q$500,'Calculation of Typical Day'!$A$21:$A$500,$B27)/24</f>
        <v>3</v>
      </c>
      <c r="M27" s="660">
        <f ca="1">SUMIF('Calculation of Typical Day'!$A$21:$A$500,"="&amp;$B27,'Calculation of Typical Day'!$BZ$21:$BZ$500)</f>
        <v>0</v>
      </c>
      <c r="N27" s="660">
        <f ca="1">SUMIF('Calculation of Typical Day'!$A$21:$A$500,"="&amp;$B27,'Calculation of Typical Day'!$CA$21:$CA$500)</f>
        <v>0</v>
      </c>
      <c r="O27" s="659">
        <f ca="1">SUMIFS('Calculation of Typical Day'!H$21:H$500,'Calculation of Typical Day'!$A$21:$A$500,$B27)</f>
        <v>0</v>
      </c>
      <c r="P27" s="659">
        <f ca="1">SUMIFS('Calculation of Typical Day'!AJ$21:AJ$500,'Calculation of Typical Day'!$A$21:$A$500,$B27,'Calculation of Typical Day'!$BY$21:BY$500, 1)</f>
        <v>0</v>
      </c>
      <c r="Q27" s="659">
        <f ca="1">SUMIFS('Calculation of Typical Day'!AK$21:AK$500,'Calculation of Typical Day'!$A$21:$A$500,$B27,'Calculation of Typical Day'!$BY$21:BY$500, 1)</f>
        <v>0</v>
      </c>
      <c r="R27" s="659">
        <f ca="1">SUMIFS('Calculation of Typical Day'!$AL$21:$AL$500,'Calculation of Typical Day'!$A$21:$A$500,$B27,'Calculation of Typical Day'!$BY$21:BY$500, 1)</f>
        <v>0</v>
      </c>
      <c r="S27" s="659">
        <f ca="1">SUMIFS('Calculation of Typical Day'!$AH$21:$AH$500,'Calculation of Typical Day'!$A$21:$A$500,$B27,'Calculation of Typical Day'!$BY$21:BY$500, 1)</f>
        <v>0</v>
      </c>
      <c r="T27" s="659">
        <f ca="1">SUMIFS('Calculation of Typical Day'!AM$21:AM$500,'Calculation of Typical Day'!$A$21:$A$500,$B27,'Calculation of Typical Day'!$BY$21:$BY$500, 1)</f>
        <v>0</v>
      </c>
      <c r="U27" s="659">
        <f ca="1">SUMIFS('Calculation of Typical Day'!AN$21:AN$500,'Calculation of Typical Day'!$A$21:$A$500,$B27)</f>
        <v>0</v>
      </c>
      <c r="V27" s="135"/>
      <c r="W27" s="190">
        <f ca="1">SUMIFS('Calculation of Typical Day'!AX$21:AX$500,'Calculation of Typical Day'!$A$21:$A$500,$B27,'Calculation of Typical Day'!$BY$21:$BY$500, 1)</f>
        <v>0</v>
      </c>
      <c r="X27" s="190">
        <f ca="1">SUMIFS('Calculation of Typical Day'!BF$21:BF$500,'Calculation of Typical Day'!$A$21:$A$500,$B27,'Calculation of Typical Day'!$BY$21:$BY$500, 1)</f>
        <v>0</v>
      </c>
      <c r="Y27" s="190">
        <f ca="1">SUMIFS('Calculation of Typical Day'!BG$21:BG$500,'Calculation of Typical Day'!$A$21:$A$500,$B27,'Calculation of Typical Day'!$BY$21:$BY$500, 1)</f>
        <v>0</v>
      </c>
      <c r="Z27" s="190">
        <f ca="1">SUMIFS('Calculation of Typical Day'!BH$21:BH$500,'Calculation of Typical Day'!$A$21:$A$500,$B27,'Calculation of Typical Day'!$BY$21:$BY$500, 1)</f>
        <v>0</v>
      </c>
      <c r="AA27" s="190">
        <f ca="1">SUMIFS('Calculation of Typical Day'!BQ$21:BQ$500,'Calculation of Typical Day'!$A$21:$A$500,$B27,'Calculation of Typical Day'!$BY$21:$BY$500, 1)</f>
        <v>0</v>
      </c>
      <c r="AB27" s="190">
        <f ca="1">SUMIFS('Calculation of Typical Day'!BR$21:BR$500,'Calculation of Typical Day'!$A$21:$A$500,$B27,'Calculation of Typical Day'!$BY$21:$BY$500, 1)</f>
        <v>0</v>
      </c>
      <c r="AC27" s="190">
        <f ca="1">SUMIFS('Calculation of Typical Day'!BT$21:BT$500,'Calculation of Typical Day'!$A$21:$A$500,$B27,'Calculation of Typical Day'!$BY$21:$BY$500, 1)</f>
        <v>0</v>
      </c>
      <c r="AD27" s="190">
        <f ca="1">SUMIFS('Calculation of Typical Day'!BL$21:BL$500,'Calculation of Typical Day'!$A$21:$A$500,$B27,'Calculation of Typical Day'!$BY$21:$BY$500, 1)</f>
        <v>0</v>
      </c>
      <c r="AE27" s="190">
        <f ca="1">SUMIFS('Calculation of Typical Day'!CB$21:CB$500,'Calculation of Typical Day'!$A$21:$A$500,$B27,'Calculation of Typical Day'!$BY$21:$BY$500, 1)</f>
        <v>0</v>
      </c>
      <c r="AF27" s="653">
        <f ca="1">SUMIFS('Calculation of Typical Day'!AW$21:AW$500,'Calculation of Typical Day'!$A$21:$A$500,$B27)</f>
        <v>0</v>
      </c>
      <c r="AG27" s="135"/>
      <c r="AH27" s="135"/>
      <c r="AI27" s="47"/>
      <c r="AJ27" s="659">
        <f ca="1">SUMIFS('Calculation of Typical Day'!BI$21:BI$500,'Calculation of Typical Day'!$A$21:$A$500,$B27,'Calculation of Typical Day'!$BY$21:$BY$500, 1)</f>
        <v>0</v>
      </c>
      <c r="AK27" s="659">
        <f ca="1">SUMIFS('Calculation of Typical Day'!BJ$21:BJ$500,'Calculation of Typical Day'!$A$21:$A$500,$B27)</f>
        <v>0</v>
      </c>
      <c r="AL27" s="660">
        <f ca="1">SUMIFS('Calculation of Typical Day'!AQ$21:AQ$500,'Calculation of Typical Day'!$A$21:$A$500,$B27)</f>
        <v>0</v>
      </c>
      <c r="AM27" s="659">
        <f ca="1">SUMIFS('Calculation of Typical Day'!AR$21:AR$500,'Calculation of Typical Day'!$A$21:$A$500,$B27,'Calculation of Typical Day'!$BY$21:$BY$500, 1)</f>
        <v>0</v>
      </c>
      <c r="AN27" s="659">
        <f t="shared" ca="1" si="1"/>
        <v>0</v>
      </c>
      <c r="AO27" s="659">
        <f t="shared" ca="1" si="2"/>
        <v>0</v>
      </c>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row>
    <row r="28" spans="1:74" s="57" customFormat="1" ht="13.35" customHeight="1">
      <c r="A28" s="135"/>
      <c r="B28" s="650">
        <f>'Definition of Typical Day'!$Q$13</f>
        <v>13</v>
      </c>
      <c r="C28" s="646">
        <f>'Definition of Typical Day'!$Q$14</f>
        <v>13</v>
      </c>
      <c r="D28" s="671">
        <v>0</v>
      </c>
      <c r="E28" s="52"/>
      <c r="F28" s="669">
        <f t="shared" si="0"/>
        <v>0</v>
      </c>
      <c r="G28" s="660">
        <f ca="1">SUMIFS('Calculation of Typical Day'!I$21:I$500,'Calculation of Typical Day'!$A$21:$A$500,$B28)/24</f>
        <v>0</v>
      </c>
      <c r="H28" s="660">
        <f ca="1">SUMIFS('Calculation of Typical Day'!J$21:J$500,'Calculation of Typical Day'!$A$21:$A$500,$B28)/24</f>
        <v>0</v>
      </c>
      <c r="I28" s="660">
        <f ca="1">SUMIFS('Calculation of Typical Day'!M$21:M$500,'Calculation of Typical Day'!$A$21:$A$500,$B28)/24</f>
        <v>0</v>
      </c>
      <c r="J28" s="660">
        <f ca="1">SUMIFS('Calculation of Typical Day'!O$21:O$500,'Calculation of Typical Day'!$A$21:$A$500,$B28)/24</f>
        <v>3</v>
      </c>
      <c r="K28" s="660">
        <f ca="1">SUMIFS('Calculation of Typical Day'!P$21:P$500,'Calculation of Typical Day'!$A$21:$A$500,$B28)/24</f>
        <v>0</v>
      </c>
      <c r="L28" s="660">
        <f ca="1">SUMIFS('Calculation of Typical Day'!Q$21:Q$500,'Calculation of Typical Day'!$A$21:$A$500,$B28)/24</f>
        <v>3</v>
      </c>
      <c r="M28" s="660">
        <f ca="1">SUMIF('Calculation of Typical Day'!$A$21:$A$500,"="&amp;$B28,'Calculation of Typical Day'!$BZ$21:$BZ$500)</f>
        <v>0</v>
      </c>
      <c r="N28" s="660">
        <f ca="1">SUMIF('Calculation of Typical Day'!$A$21:$A$500,"="&amp;$B28,'Calculation of Typical Day'!$CA$21:$CA$500)</f>
        <v>0</v>
      </c>
      <c r="O28" s="659">
        <f ca="1">SUMIFS('Calculation of Typical Day'!H$21:H$500,'Calculation of Typical Day'!$A$21:$A$500,$B28)</f>
        <v>0</v>
      </c>
      <c r="P28" s="659">
        <f ca="1">SUMIFS('Calculation of Typical Day'!AJ$21:AJ$500,'Calculation of Typical Day'!$A$21:$A$500,$B28,'Calculation of Typical Day'!$BY$21:BY$500, 1)</f>
        <v>0</v>
      </c>
      <c r="Q28" s="659">
        <f ca="1">SUMIFS('Calculation of Typical Day'!AK$21:AK$500,'Calculation of Typical Day'!$A$21:$A$500,$B28,'Calculation of Typical Day'!$BY$21:BY$500, 1)</f>
        <v>0</v>
      </c>
      <c r="R28" s="659">
        <f ca="1">SUMIFS('Calculation of Typical Day'!$AL$21:$AL$500,'Calculation of Typical Day'!$A$21:$A$500,$B28,'Calculation of Typical Day'!$BY$21:BY$500, 1)</f>
        <v>0</v>
      </c>
      <c r="S28" s="659">
        <f ca="1">SUMIFS('Calculation of Typical Day'!$AH$21:$AH$500,'Calculation of Typical Day'!$A$21:$A$500,$B28,'Calculation of Typical Day'!$BY$21:BY$500, 1)</f>
        <v>0</v>
      </c>
      <c r="T28" s="659">
        <f ca="1">SUMIFS('Calculation of Typical Day'!AM$21:AM$500,'Calculation of Typical Day'!$A$21:$A$500,$B28,'Calculation of Typical Day'!$BY$21:$BY$500, 1)</f>
        <v>0</v>
      </c>
      <c r="U28" s="659">
        <f ca="1">SUMIFS('Calculation of Typical Day'!AN$21:AN$500,'Calculation of Typical Day'!$A$21:$A$500,$B28)</f>
        <v>0</v>
      </c>
      <c r="V28" s="135"/>
      <c r="W28" s="190">
        <f ca="1">SUMIFS('Calculation of Typical Day'!AX$21:AX$500,'Calculation of Typical Day'!$A$21:$A$500,$B28,'Calculation of Typical Day'!$BY$21:$BY$500, 1)</f>
        <v>0</v>
      </c>
      <c r="X28" s="190">
        <f ca="1">SUMIFS('Calculation of Typical Day'!BF$21:BF$500,'Calculation of Typical Day'!$A$21:$A$500,$B28,'Calculation of Typical Day'!$BY$21:$BY$500, 1)</f>
        <v>0</v>
      </c>
      <c r="Y28" s="190">
        <f ca="1">SUMIFS('Calculation of Typical Day'!BG$21:BG$500,'Calculation of Typical Day'!$A$21:$A$500,$B28,'Calculation of Typical Day'!$BY$21:$BY$500, 1)</f>
        <v>0</v>
      </c>
      <c r="Z28" s="190">
        <f ca="1">SUMIFS('Calculation of Typical Day'!BH$21:BH$500,'Calculation of Typical Day'!$A$21:$A$500,$B28,'Calculation of Typical Day'!$BY$21:$BY$500, 1)</f>
        <v>0</v>
      </c>
      <c r="AA28" s="190">
        <f ca="1">SUMIFS('Calculation of Typical Day'!BQ$21:BQ$500,'Calculation of Typical Day'!$A$21:$A$500,$B28,'Calculation of Typical Day'!$BY$21:$BY$500, 1)</f>
        <v>0</v>
      </c>
      <c r="AB28" s="190">
        <f ca="1">SUMIFS('Calculation of Typical Day'!BR$21:BR$500,'Calculation of Typical Day'!$A$21:$A$500,$B28,'Calculation of Typical Day'!$BY$21:$BY$500, 1)</f>
        <v>0</v>
      </c>
      <c r="AC28" s="190">
        <f ca="1">SUMIFS('Calculation of Typical Day'!BT$21:BT$500,'Calculation of Typical Day'!$A$21:$A$500,$B28,'Calculation of Typical Day'!$BY$21:$BY$500, 1)</f>
        <v>0</v>
      </c>
      <c r="AD28" s="190">
        <f ca="1">SUMIFS('Calculation of Typical Day'!BL$21:BL$500,'Calculation of Typical Day'!$A$21:$A$500,$B28,'Calculation of Typical Day'!$BY$21:$BY$500, 1)</f>
        <v>0</v>
      </c>
      <c r="AE28" s="190">
        <f ca="1">SUMIFS('Calculation of Typical Day'!CB$21:CB$500,'Calculation of Typical Day'!$A$21:$A$500,$B28,'Calculation of Typical Day'!$BY$21:$BY$500, 1)</f>
        <v>0</v>
      </c>
      <c r="AF28" s="653">
        <f ca="1">SUMIFS('Calculation of Typical Day'!AW$21:AW$500,'Calculation of Typical Day'!$A$21:$A$500,$B28)</f>
        <v>0</v>
      </c>
      <c r="AG28" s="135"/>
      <c r="AH28" s="135"/>
      <c r="AI28" s="47"/>
      <c r="AJ28" s="659">
        <f ca="1">SUMIFS('Calculation of Typical Day'!BI$21:BI$500,'Calculation of Typical Day'!$A$21:$A$500,$B28,'Calculation of Typical Day'!$BY$21:$BY$500, 1)</f>
        <v>0</v>
      </c>
      <c r="AK28" s="659">
        <f ca="1">SUMIFS('Calculation of Typical Day'!BJ$21:BJ$500,'Calculation of Typical Day'!$A$21:$A$500,$B28)</f>
        <v>0</v>
      </c>
      <c r="AL28" s="660">
        <f ca="1">SUMIFS('Calculation of Typical Day'!AQ$21:AQ$500,'Calculation of Typical Day'!$A$21:$A$500,$B28)</f>
        <v>0</v>
      </c>
      <c r="AM28" s="659">
        <f ca="1">SUMIFS('Calculation of Typical Day'!AR$21:AR$500,'Calculation of Typical Day'!$A$21:$A$500,$B28,'Calculation of Typical Day'!$BY$21:$BY$500, 1)</f>
        <v>0</v>
      </c>
      <c r="AN28" s="659">
        <f t="shared" ca="1" si="1"/>
        <v>0</v>
      </c>
      <c r="AO28" s="659">
        <f t="shared" ca="1" si="2"/>
        <v>0</v>
      </c>
      <c r="AP28" s="135"/>
      <c r="AQ28" s="135"/>
      <c r="AR28" s="135"/>
      <c r="AS28" s="135"/>
      <c r="AT28" s="135"/>
      <c r="AU28" s="135"/>
      <c r="AV28" s="135"/>
      <c r="AW28" s="135"/>
      <c r="AX28" s="135"/>
      <c r="AY28" s="135"/>
      <c r="AZ28" s="135"/>
      <c r="BA28" s="135"/>
      <c r="BB28" s="135"/>
      <c r="BC28" s="135"/>
      <c r="BD28" s="135"/>
      <c r="BE28" s="135"/>
      <c r="BF28" s="135"/>
      <c r="BG28" s="135"/>
      <c r="BH28" s="135"/>
      <c r="BI28" s="135"/>
      <c r="BJ28" s="135"/>
      <c r="BK28" s="135"/>
      <c r="BL28" s="135"/>
      <c r="BM28" s="135"/>
      <c r="BN28" s="135"/>
      <c r="BO28" s="135"/>
      <c r="BP28" s="135"/>
      <c r="BQ28" s="135"/>
      <c r="BR28" s="135"/>
      <c r="BS28" s="135"/>
      <c r="BT28" s="135"/>
      <c r="BU28" s="135"/>
      <c r="BV28" s="135"/>
    </row>
    <row r="29" spans="1:74" s="57" customFormat="1" ht="13.35" customHeight="1">
      <c r="A29" s="135"/>
      <c r="B29" s="650">
        <f>'Definition of Typical Day'!$R$13</f>
        <v>14</v>
      </c>
      <c r="C29" s="646">
        <f>'Definition of Typical Day'!$R$14</f>
        <v>14</v>
      </c>
      <c r="D29" s="671">
        <v>0</v>
      </c>
      <c r="E29" s="52"/>
      <c r="F29" s="669">
        <f t="shared" si="0"/>
        <v>0</v>
      </c>
      <c r="G29" s="660">
        <f ca="1">SUMIFS('Calculation of Typical Day'!I$21:I$500,'Calculation of Typical Day'!$A$21:$A$500,$B29)/24</f>
        <v>0</v>
      </c>
      <c r="H29" s="660">
        <f ca="1">SUMIFS('Calculation of Typical Day'!J$21:J$500,'Calculation of Typical Day'!$A$21:$A$500,$B29)/24</f>
        <v>0</v>
      </c>
      <c r="I29" s="660">
        <f ca="1">SUMIFS('Calculation of Typical Day'!M$21:M$500,'Calculation of Typical Day'!$A$21:$A$500,$B29)/24</f>
        <v>0</v>
      </c>
      <c r="J29" s="660">
        <f ca="1">SUMIFS('Calculation of Typical Day'!O$21:O$500,'Calculation of Typical Day'!$A$21:$A$500,$B29)/24</f>
        <v>3</v>
      </c>
      <c r="K29" s="660">
        <f ca="1">SUMIFS('Calculation of Typical Day'!P$21:P$500,'Calculation of Typical Day'!$A$21:$A$500,$B29)/24</f>
        <v>0</v>
      </c>
      <c r="L29" s="660">
        <f ca="1">SUMIFS('Calculation of Typical Day'!Q$21:Q$500,'Calculation of Typical Day'!$A$21:$A$500,$B29)/24</f>
        <v>3</v>
      </c>
      <c r="M29" s="660">
        <f ca="1">SUMIF('Calculation of Typical Day'!$A$21:$A$500,"="&amp;$B29,'Calculation of Typical Day'!$BZ$21:$BZ$500)</f>
        <v>0</v>
      </c>
      <c r="N29" s="660">
        <f ca="1">SUMIF('Calculation of Typical Day'!$A$21:$A$500,"="&amp;$B29,'Calculation of Typical Day'!$CA$21:$CA$500)</f>
        <v>0</v>
      </c>
      <c r="O29" s="659">
        <f ca="1">SUMIFS('Calculation of Typical Day'!H$21:H$500,'Calculation of Typical Day'!$A$21:$A$500,$B29)</f>
        <v>0</v>
      </c>
      <c r="P29" s="659">
        <f ca="1">SUMIFS('Calculation of Typical Day'!AJ$21:AJ$500,'Calculation of Typical Day'!$A$21:$A$500,$B29,'Calculation of Typical Day'!$BY$21:BY$500, 1)</f>
        <v>0</v>
      </c>
      <c r="Q29" s="659">
        <f ca="1">SUMIFS('Calculation of Typical Day'!AK$21:AK$500,'Calculation of Typical Day'!$A$21:$A$500,$B29,'Calculation of Typical Day'!$BY$21:BY$500, 1)</f>
        <v>0</v>
      </c>
      <c r="R29" s="659">
        <f ca="1">SUMIFS('Calculation of Typical Day'!$AL$21:$AL$500,'Calculation of Typical Day'!$A$21:$A$500,$B29,'Calculation of Typical Day'!$BY$21:BY$500, 1)</f>
        <v>0</v>
      </c>
      <c r="S29" s="659">
        <f ca="1">SUMIFS('Calculation of Typical Day'!$AH$21:$AH$500,'Calculation of Typical Day'!$A$21:$A$500,$B29,'Calculation of Typical Day'!$BY$21:BY$500, 1)</f>
        <v>0</v>
      </c>
      <c r="T29" s="659">
        <f ca="1">SUMIFS('Calculation of Typical Day'!AM$21:AM$500,'Calculation of Typical Day'!$A$21:$A$500,$B29,'Calculation of Typical Day'!$BY$21:$BY$500, 1)</f>
        <v>0</v>
      </c>
      <c r="U29" s="659">
        <f ca="1">SUMIFS('Calculation of Typical Day'!AN$21:AN$500,'Calculation of Typical Day'!$A$21:$A$500,$B29)</f>
        <v>0</v>
      </c>
      <c r="V29" s="135"/>
      <c r="W29" s="190">
        <f ca="1">SUMIFS('Calculation of Typical Day'!AX$21:AX$500,'Calculation of Typical Day'!$A$21:$A$500,$B29,'Calculation of Typical Day'!$BY$21:$BY$500, 1)</f>
        <v>0</v>
      </c>
      <c r="X29" s="190">
        <f ca="1">SUMIFS('Calculation of Typical Day'!BF$21:BF$500,'Calculation of Typical Day'!$A$21:$A$500,$B29,'Calculation of Typical Day'!$BY$21:$BY$500, 1)</f>
        <v>0</v>
      </c>
      <c r="Y29" s="190">
        <f ca="1">SUMIFS('Calculation of Typical Day'!BG$21:BG$500,'Calculation of Typical Day'!$A$21:$A$500,$B29,'Calculation of Typical Day'!$BY$21:$BY$500, 1)</f>
        <v>0</v>
      </c>
      <c r="Z29" s="190">
        <f ca="1">SUMIFS('Calculation of Typical Day'!BH$21:BH$500,'Calculation of Typical Day'!$A$21:$A$500,$B29,'Calculation of Typical Day'!$BY$21:$BY$500, 1)</f>
        <v>0</v>
      </c>
      <c r="AA29" s="190">
        <f ca="1">SUMIFS('Calculation of Typical Day'!BQ$21:BQ$500,'Calculation of Typical Day'!$A$21:$A$500,$B29,'Calculation of Typical Day'!$BY$21:$BY$500, 1)</f>
        <v>0</v>
      </c>
      <c r="AB29" s="190">
        <f ca="1">SUMIFS('Calculation of Typical Day'!BR$21:BR$500,'Calculation of Typical Day'!$A$21:$A$500,$B29,'Calculation of Typical Day'!$BY$21:$BY$500, 1)</f>
        <v>0</v>
      </c>
      <c r="AC29" s="190">
        <f ca="1">SUMIFS('Calculation of Typical Day'!BT$21:BT$500,'Calculation of Typical Day'!$A$21:$A$500,$B29,'Calculation of Typical Day'!$BY$21:$BY$500, 1)</f>
        <v>0</v>
      </c>
      <c r="AD29" s="190">
        <f ca="1">SUMIFS('Calculation of Typical Day'!BL$21:BL$500,'Calculation of Typical Day'!$A$21:$A$500,$B29,'Calculation of Typical Day'!$BY$21:$BY$500, 1)</f>
        <v>0</v>
      </c>
      <c r="AE29" s="190">
        <f ca="1">SUMIFS('Calculation of Typical Day'!CB$21:CB$500,'Calculation of Typical Day'!$A$21:$A$500,$B29,'Calculation of Typical Day'!$BY$21:$BY$500, 1)</f>
        <v>0</v>
      </c>
      <c r="AF29" s="653">
        <f ca="1">SUMIFS('Calculation of Typical Day'!AW$21:AW$500,'Calculation of Typical Day'!$A$21:$A$500,$B29)</f>
        <v>0</v>
      </c>
      <c r="AG29" s="135"/>
      <c r="AH29" s="135"/>
      <c r="AI29" s="47"/>
      <c r="AJ29" s="659">
        <f ca="1">SUMIFS('Calculation of Typical Day'!BI$21:BI$500,'Calculation of Typical Day'!$A$21:$A$500,$B29,'Calculation of Typical Day'!$BY$21:$BY$500, 1)</f>
        <v>0</v>
      </c>
      <c r="AK29" s="659">
        <f ca="1">SUMIFS('Calculation of Typical Day'!BJ$21:BJ$500,'Calculation of Typical Day'!$A$21:$A$500,$B29)</f>
        <v>0</v>
      </c>
      <c r="AL29" s="660">
        <f ca="1">SUMIFS('Calculation of Typical Day'!AQ$21:AQ$500,'Calculation of Typical Day'!$A$21:$A$500,$B29)</f>
        <v>0</v>
      </c>
      <c r="AM29" s="659">
        <f ca="1">SUMIFS('Calculation of Typical Day'!AR$21:AR$500,'Calculation of Typical Day'!$A$21:$A$500,$B29,'Calculation of Typical Day'!$BY$21:$BY$500, 1)</f>
        <v>0</v>
      </c>
      <c r="AN29" s="659">
        <f t="shared" ca="1" si="1"/>
        <v>0</v>
      </c>
      <c r="AO29" s="659">
        <f t="shared" ca="1" si="2"/>
        <v>0</v>
      </c>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5"/>
      <c r="BP29" s="135"/>
      <c r="BQ29" s="135"/>
      <c r="BR29" s="135"/>
      <c r="BS29" s="135"/>
      <c r="BT29" s="135"/>
      <c r="BU29" s="135"/>
      <c r="BV29" s="135"/>
    </row>
    <row r="30" spans="1:74" s="57" customFormat="1" ht="13.35" customHeight="1">
      <c r="A30" s="135"/>
      <c r="B30" s="650">
        <f>'Definition of Typical Day'!$S$13</f>
        <v>15</v>
      </c>
      <c r="C30" s="646">
        <f>'Definition of Typical Day'!$S$14</f>
        <v>15</v>
      </c>
      <c r="D30" s="671">
        <v>0</v>
      </c>
      <c r="E30" s="52"/>
      <c r="F30" s="669">
        <f t="shared" si="0"/>
        <v>0</v>
      </c>
      <c r="G30" s="660">
        <f ca="1">SUMIFS('Calculation of Typical Day'!I$21:I$500,'Calculation of Typical Day'!$A$21:$A$500,$B30)/24</f>
        <v>0</v>
      </c>
      <c r="H30" s="660">
        <f ca="1">SUMIFS('Calculation of Typical Day'!J$21:J$500,'Calculation of Typical Day'!$A$21:$A$500,$B30)/24</f>
        <v>0</v>
      </c>
      <c r="I30" s="660">
        <f ca="1">SUMIFS('Calculation of Typical Day'!M$21:M$500,'Calculation of Typical Day'!$A$21:$A$500,$B30)/24</f>
        <v>0</v>
      </c>
      <c r="J30" s="660">
        <f ca="1">SUMIFS('Calculation of Typical Day'!O$21:O$500,'Calculation of Typical Day'!$A$21:$A$500,$B30)/24</f>
        <v>3</v>
      </c>
      <c r="K30" s="660">
        <f ca="1">SUMIFS('Calculation of Typical Day'!P$21:P$500,'Calculation of Typical Day'!$A$21:$A$500,$B30)/24</f>
        <v>0</v>
      </c>
      <c r="L30" s="660">
        <f ca="1">SUMIFS('Calculation of Typical Day'!Q$21:Q$500,'Calculation of Typical Day'!$A$21:$A$500,$B30)/24</f>
        <v>3</v>
      </c>
      <c r="M30" s="660">
        <f ca="1">SUMIF('Calculation of Typical Day'!$A$21:$A$500,"="&amp;$B30,'Calculation of Typical Day'!$BZ$21:$BZ$500)</f>
        <v>0</v>
      </c>
      <c r="N30" s="660">
        <f ca="1">SUMIF('Calculation of Typical Day'!$A$21:$A$500,"="&amp;$B30,'Calculation of Typical Day'!$CA$21:$CA$500)</f>
        <v>0</v>
      </c>
      <c r="O30" s="659">
        <f ca="1">SUMIFS('Calculation of Typical Day'!H$21:H$500,'Calculation of Typical Day'!$A$21:$A$500,$B30)</f>
        <v>0</v>
      </c>
      <c r="P30" s="659">
        <f ca="1">SUMIFS('Calculation of Typical Day'!AJ$21:AJ$500,'Calculation of Typical Day'!$A$21:$A$500,$B30,'Calculation of Typical Day'!$BY$21:BY$500, 1)</f>
        <v>0</v>
      </c>
      <c r="Q30" s="659">
        <f ca="1">SUMIFS('Calculation of Typical Day'!AK$21:AK$500,'Calculation of Typical Day'!$A$21:$A$500,$B30,'Calculation of Typical Day'!$BY$21:BY$500, 1)</f>
        <v>0</v>
      </c>
      <c r="R30" s="659">
        <f ca="1">SUMIFS('Calculation of Typical Day'!$AL$21:$AL$500,'Calculation of Typical Day'!$A$21:$A$500,$B30,'Calculation of Typical Day'!$BY$21:BY$500, 1)</f>
        <v>0</v>
      </c>
      <c r="S30" s="659">
        <f ca="1">SUMIFS('Calculation of Typical Day'!$AH$21:$AH$500,'Calculation of Typical Day'!$A$21:$A$500,$B30,'Calculation of Typical Day'!$BY$21:BY$500, 1)</f>
        <v>0</v>
      </c>
      <c r="T30" s="659">
        <f ca="1">SUMIFS('Calculation of Typical Day'!AM$21:AM$500,'Calculation of Typical Day'!$A$21:$A$500,$B30,'Calculation of Typical Day'!$BY$21:$BY$500, 1)</f>
        <v>0</v>
      </c>
      <c r="U30" s="659">
        <f ca="1">SUMIFS('Calculation of Typical Day'!AN$21:AN$500,'Calculation of Typical Day'!$A$21:$A$500,$B30)</f>
        <v>0</v>
      </c>
      <c r="V30" s="135"/>
      <c r="W30" s="190">
        <f ca="1">SUMIFS('Calculation of Typical Day'!AX$21:AX$500,'Calculation of Typical Day'!$A$21:$A$500,$B30,'Calculation of Typical Day'!$BY$21:$BY$500, 1)</f>
        <v>0</v>
      </c>
      <c r="X30" s="190">
        <f ca="1">SUMIFS('Calculation of Typical Day'!BF$21:BF$500,'Calculation of Typical Day'!$A$21:$A$500,$B30,'Calculation of Typical Day'!$BY$21:$BY$500, 1)</f>
        <v>0</v>
      </c>
      <c r="Y30" s="190">
        <f ca="1">SUMIFS('Calculation of Typical Day'!BG$21:BG$500,'Calculation of Typical Day'!$A$21:$A$500,$B30,'Calculation of Typical Day'!$BY$21:$BY$500, 1)</f>
        <v>0</v>
      </c>
      <c r="Z30" s="190">
        <f ca="1">SUMIFS('Calculation of Typical Day'!BH$21:BH$500,'Calculation of Typical Day'!$A$21:$A$500,$B30,'Calculation of Typical Day'!$BY$21:$BY$500, 1)</f>
        <v>0</v>
      </c>
      <c r="AA30" s="190">
        <f ca="1">SUMIFS('Calculation of Typical Day'!BQ$21:BQ$500,'Calculation of Typical Day'!$A$21:$A$500,$B30,'Calculation of Typical Day'!$BY$21:$BY$500, 1)</f>
        <v>0</v>
      </c>
      <c r="AB30" s="190">
        <f ca="1">SUMIFS('Calculation of Typical Day'!BR$21:BR$500,'Calculation of Typical Day'!$A$21:$A$500,$B30,'Calculation of Typical Day'!$BY$21:$BY$500, 1)</f>
        <v>0</v>
      </c>
      <c r="AC30" s="190">
        <f ca="1">SUMIFS('Calculation of Typical Day'!BT$21:BT$500,'Calculation of Typical Day'!$A$21:$A$500,$B30,'Calculation of Typical Day'!$BY$21:$BY$500, 1)</f>
        <v>0</v>
      </c>
      <c r="AD30" s="190">
        <f ca="1">SUMIFS('Calculation of Typical Day'!BL$21:BL$500,'Calculation of Typical Day'!$A$21:$A$500,$B30,'Calculation of Typical Day'!$BY$21:$BY$500, 1)</f>
        <v>0</v>
      </c>
      <c r="AE30" s="190">
        <f ca="1">SUMIFS('Calculation of Typical Day'!CB$21:CB$500,'Calculation of Typical Day'!$A$21:$A$500,$B30,'Calculation of Typical Day'!$BY$21:$BY$500, 1)</f>
        <v>0</v>
      </c>
      <c r="AF30" s="653">
        <f ca="1">SUMIFS('Calculation of Typical Day'!AW$21:AW$500,'Calculation of Typical Day'!$A$21:$A$500,$B30)</f>
        <v>0</v>
      </c>
      <c r="AG30" s="135"/>
      <c r="AH30" s="135"/>
      <c r="AI30" s="47"/>
      <c r="AJ30" s="659">
        <f ca="1">SUMIFS('Calculation of Typical Day'!BI$21:BI$500,'Calculation of Typical Day'!$A$21:$A$500,$B30,'Calculation of Typical Day'!$BY$21:$BY$500, 1)</f>
        <v>0</v>
      </c>
      <c r="AK30" s="659">
        <f ca="1">SUMIFS('Calculation of Typical Day'!BJ$21:BJ$500,'Calculation of Typical Day'!$A$21:$A$500,$B30)</f>
        <v>0</v>
      </c>
      <c r="AL30" s="660">
        <f ca="1">SUMIFS('Calculation of Typical Day'!AQ$21:AQ$500,'Calculation of Typical Day'!$A$21:$A$500,$B30)</f>
        <v>0</v>
      </c>
      <c r="AM30" s="659">
        <f ca="1">SUMIFS('Calculation of Typical Day'!AR$21:AR$500,'Calculation of Typical Day'!$A$21:$A$500,$B30,'Calculation of Typical Day'!$BY$21:$BY$500, 1)</f>
        <v>0</v>
      </c>
      <c r="AN30" s="659">
        <f t="shared" ca="1" si="1"/>
        <v>0</v>
      </c>
      <c r="AO30" s="659">
        <f t="shared" ca="1" si="2"/>
        <v>0</v>
      </c>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row>
    <row r="31" spans="1:74" s="57" customFormat="1" ht="13.35" customHeight="1">
      <c r="A31" s="135"/>
      <c r="B31" s="650">
        <f>'Definition of Typical Day'!$T$13</f>
        <v>16</v>
      </c>
      <c r="C31" s="646">
        <f>'Definition of Typical Day'!$T$14</f>
        <v>16</v>
      </c>
      <c r="D31" s="671">
        <v>0</v>
      </c>
      <c r="E31" s="52"/>
      <c r="F31" s="669">
        <f t="shared" si="0"/>
        <v>0</v>
      </c>
      <c r="G31" s="660">
        <f ca="1">SUMIFS('Calculation of Typical Day'!I$21:I$500,'Calculation of Typical Day'!$A$21:$A$500,$B31)/24</f>
        <v>0</v>
      </c>
      <c r="H31" s="660">
        <f ca="1">SUMIFS('Calculation of Typical Day'!J$21:J$500,'Calculation of Typical Day'!$A$21:$A$500,$B31)/24</f>
        <v>0</v>
      </c>
      <c r="I31" s="660">
        <f ca="1">SUMIFS('Calculation of Typical Day'!M$21:M$500,'Calculation of Typical Day'!$A$21:$A$500,$B31)/24</f>
        <v>0</v>
      </c>
      <c r="J31" s="660">
        <f ca="1">SUMIFS('Calculation of Typical Day'!O$21:O$500,'Calculation of Typical Day'!$A$21:$A$500,$B31)/24</f>
        <v>3</v>
      </c>
      <c r="K31" s="660">
        <f ca="1">SUMIFS('Calculation of Typical Day'!P$21:P$500,'Calculation of Typical Day'!$A$21:$A$500,$B31)/24</f>
        <v>0</v>
      </c>
      <c r="L31" s="660">
        <f ca="1">SUMIFS('Calculation of Typical Day'!Q$21:Q$500,'Calculation of Typical Day'!$A$21:$A$500,$B31)/24</f>
        <v>3</v>
      </c>
      <c r="M31" s="660">
        <f ca="1">SUMIF('Calculation of Typical Day'!$A$21:$A$500,"="&amp;$B31,'Calculation of Typical Day'!$BZ$21:$BZ$500)</f>
        <v>0</v>
      </c>
      <c r="N31" s="660">
        <f ca="1">SUMIF('Calculation of Typical Day'!$A$21:$A$500,"="&amp;$B31,'Calculation of Typical Day'!$CA$21:$CA$500)</f>
        <v>0</v>
      </c>
      <c r="O31" s="659">
        <f ca="1">SUMIFS('Calculation of Typical Day'!H$21:H$500,'Calculation of Typical Day'!$A$21:$A$500,$B31)</f>
        <v>0</v>
      </c>
      <c r="P31" s="659">
        <f ca="1">SUMIFS('Calculation of Typical Day'!AJ$21:AJ$500,'Calculation of Typical Day'!$A$21:$A$500,$B31,'Calculation of Typical Day'!$BY$21:BY$500, 1)</f>
        <v>0</v>
      </c>
      <c r="Q31" s="659">
        <f ca="1">SUMIFS('Calculation of Typical Day'!AK$21:AK$500,'Calculation of Typical Day'!$A$21:$A$500,$B31,'Calculation of Typical Day'!$BY$21:BY$500, 1)</f>
        <v>0</v>
      </c>
      <c r="R31" s="659">
        <f ca="1">SUMIFS('Calculation of Typical Day'!$AL$21:$AL$500,'Calculation of Typical Day'!$A$21:$A$500,$B31,'Calculation of Typical Day'!$BY$21:BY$500, 1)</f>
        <v>0</v>
      </c>
      <c r="S31" s="659">
        <f ca="1">SUMIFS('Calculation of Typical Day'!$AH$21:$AH$500,'Calculation of Typical Day'!$A$21:$A$500,$B31,'Calculation of Typical Day'!$BY$21:BY$500, 1)</f>
        <v>0</v>
      </c>
      <c r="T31" s="659">
        <f ca="1">SUMIFS('Calculation of Typical Day'!AM$21:AM$500,'Calculation of Typical Day'!$A$21:$A$500,$B31,'Calculation of Typical Day'!$BY$21:$BY$500, 1)</f>
        <v>0</v>
      </c>
      <c r="U31" s="659">
        <f ca="1">SUMIFS('Calculation of Typical Day'!AN$21:AN$500,'Calculation of Typical Day'!$A$21:$A$500,$B31)</f>
        <v>0</v>
      </c>
      <c r="V31" s="135"/>
      <c r="W31" s="190">
        <f ca="1">SUMIFS('Calculation of Typical Day'!AX$21:AX$500,'Calculation of Typical Day'!$A$21:$A$500,$B31,'Calculation of Typical Day'!$BY$21:$BY$500, 1)</f>
        <v>0</v>
      </c>
      <c r="X31" s="190">
        <f ca="1">SUMIFS('Calculation of Typical Day'!BF$21:BF$500,'Calculation of Typical Day'!$A$21:$A$500,$B31,'Calculation of Typical Day'!$BY$21:$BY$500, 1)</f>
        <v>0</v>
      </c>
      <c r="Y31" s="190">
        <f ca="1">SUMIFS('Calculation of Typical Day'!BG$21:BG$500,'Calculation of Typical Day'!$A$21:$A$500,$B31,'Calculation of Typical Day'!$BY$21:$BY$500, 1)</f>
        <v>0</v>
      </c>
      <c r="Z31" s="190">
        <f ca="1">SUMIFS('Calculation of Typical Day'!BH$21:BH$500,'Calculation of Typical Day'!$A$21:$A$500,$B31,'Calculation of Typical Day'!$BY$21:$BY$500, 1)</f>
        <v>0</v>
      </c>
      <c r="AA31" s="190">
        <f ca="1">SUMIFS('Calculation of Typical Day'!BQ$21:BQ$500,'Calculation of Typical Day'!$A$21:$A$500,$B31,'Calculation of Typical Day'!$BY$21:$BY$500, 1)</f>
        <v>0</v>
      </c>
      <c r="AB31" s="190">
        <f ca="1">SUMIFS('Calculation of Typical Day'!BR$21:BR$500,'Calculation of Typical Day'!$A$21:$A$500,$B31,'Calculation of Typical Day'!$BY$21:$BY$500, 1)</f>
        <v>0</v>
      </c>
      <c r="AC31" s="190">
        <f ca="1">SUMIFS('Calculation of Typical Day'!BT$21:BT$500,'Calculation of Typical Day'!$A$21:$A$500,$B31,'Calculation of Typical Day'!$BY$21:$BY$500, 1)</f>
        <v>0</v>
      </c>
      <c r="AD31" s="190">
        <f ca="1">SUMIFS('Calculation of Typical Day'!BL$21:BL$500,'Calculation of Typical Day'!$A$21:$A$500,$B31,'Calculation of Typical Day'!$BY$21:$BY$500, 1)</f>
        <v>0</v>
      </c>
      <c r="AE31" s="190">
        <f ca="1">SUMIFS('Calculation of Typical Day'!CB$21:CB$500,'Calculation of Typical Day'!$A$21:$A$500,$B31,'Calculation of Typical Day'!$BY$21:$BY$500, 1)</f>
        <v>0</v>
      </c>
      <c r="AF31" s="653">
        <f ca="1">SUMIFS('Calculation of Typical Day'!AW$21:AW$500,'Calculation of Typical Day'!$A$21:$A$500,$B31)</f>
        <v>0</v>
      </c>
      <c r="AG31" s="135"/>
      <c r="AH31" s="135"/>
      <c r="AI31" s="47"/>
      <c r="AJ31" s="659">
        <f ca="1">SUMIFS('Calculation of Typical Day'!BI$21:BI$500,'Calculation of Typical Day'!$A$21:$A$500,$B31,'Calculation of Typical Day'!$BY$21:$BY$500, 1)</f>
        <v>0</v>
      </c>
      <c r="AK31" s="659">
        <f ca="1">SUMIFS('Calculation of Typical Day'!BJ$21:BJ$500,'Calculation of Typical Day'!$A$21:$A$500,$B31)</f>
        <v>0</v>
      </c>
      <c r="AL31" s="660">
        <f ca="1">SUMIFS('Calculation of Typical Day'!AQ$21:AQ$500,'Calculation of Typical Day'!$A$21:$A$500,$B31)</f>
        <v>0</v>
      </c>
      <c r="AM31" s="659">
        <f ca="1">SUMIFS('Calculation of Typical Day'!AR$21:AR$500,'Calculation of Typical Day'!$A$21:$A$500,$B31,'Calculation of Typical Day'!$BY$21:$BY$500, 1)</f>
        <v>0</v>
      </c>
      <c r="AN31" s="659">
        <f t="shared" ca="1" si="1"/>
        <v>0</v>
      </c>
      <c r="AO31" s="659">
        <f t="shared" ca="1" si="2"/>
        <v>0</v>
      </c>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5"/>
      <c r="BP31" s="135"/>
      <c r="BQ31" s="135"/>
      <c r="BR31" s="135"/>
      <c r="BS31" s="135"/>
      <c r="BT31" s="135"/>
      <c r="BU31" s="135"/>
      <c r="BV31" s="135"/>
    </row>
    <row r="32" spans="1:74" s="57" customFormat="1" ht="13.35" customHeight="1">
      <c r="A32" s="135"/>
      <c r="B32" s="650">
        <f>'Definition of Typical Day'!$U$13</f>
        <v>17</v>
      </c>
      <c r="C32" s="646">
        <f>'Definition of Typical Day'!$U$14</f>
        <v>17</v>
      </c>
      <c r="D32" s="671">
        <v>0</v>
      </c>
      <c r="E32" s="52"/>
      <c r="F32" s="669">
        <f t="shared" si="0"/>
        <v>0</v>
      </c>
      <c r="G32" s="660">
        <f ca="1">SUMIFS('Calculation of Typical Day'!I$21:I$500,'Calculation of Typical Day'!$A$21:$A$500,$B32)/24</f>
        <v>0</v>
      </c>
      <c r="H32" s="660">
        <f ca="1">SUMIFS('Calculation of Typical Day'!J$21:J$500,'Calculation of Typical Day'!$A$21:$A$500,$B32)/24</f>
        <v>0</v>
      </c>
      <c r="I32" s="660">
        <f ca="1">SUMIFS('Calculation of Typical Day'!M$21:M$500,'Calculation of Typical Day'!$A$21:$A$500,$B32)/24</f>
        <v>0</v>
      </c>
      <c r="J32" s="660">
        <f ca="1">SUMIFS('Calculation of Typical Day'!O$21:O$500,'Calculation of Typical Day'!$A$21:$A$500,$B32)/24</f>
        <v>3</v>
      </c>
      <c r="K32" s="660">
        <f ca="1">SUMIFS('Calculation of Typical Day'!P$21:P$500,'Calculation of Typical Day'!$A$21:$A$500,$B32)/24</f>
        <v>0</v>
      </c>
      <c r="L32" s="660">
        <f ca="1">SUMIFS('Calculation of Typical Day'!Q$21:Q$500,'Calculation of Typical Day'!$A$21:$A$500,$B32)/24</f>
        <v>3</v>
      </c>
      <c r="M32" s="660">
        <f ca="1">SUMIF('Calculation of Typical Day'!$A$21:$A$500,"="&amp;$B32,'Calculation of Typical Day'!$BZ$21:$BZ$500)</f>
        <v>0</v>
      </c>
      <c r="N32" s="660">
        <f ca="1">SUMIF('Calculation of Typical Day'!$A$21:$A$500,"="&amp;$B32,'Calculation of Typical Day'!$CA$21:$CA$500)</f>
        <v>0</v>
      </c>
      <c r="O32" s="659">
        <f ca="1">SUMIFS('Calculation of Typical Day'!H$21:H$500,'Calculation of Typical Day'!$A$21:$A$500,$B32)</f>
        <v>0</v>
      </c>
      <c r="P32" s="659">
        <f ca="1">SUMIFS('Calculation of Typical Day'!AJ$21:AJ$500,'Calculation of Typical Day'!$A$21:$A$500,$B32,'Calculation of Typical Day'!$BY$21:BY$500, 1)</f>
        <v>0</v>
      </c>
      <c r="Q32" s="659">
        <f ca="1">SUMIFS('Calculation of Typical Day'!AK$21:AK$500,'Calculation of Typical Day'!$A$21:$A$500,$B32,'Calculation of Typical Day'!$BY$21:BY$500, 1)</f>
        <v>0</v>
      </c>
      <c r="R32" s="659">
        <f ca="1">SUMIFS('Calculation of Typical Day'!$AL$21:$AL$500,'Calculation of Typical Day'!$A$21:$A$500,$B32,'Calculation of Typical Day'!$BY$21:BY$500, 1)</f>
        <v>0</v>
      </c>
      <c r="S32" s="659">
        <f ca="1">SUMIFS('Calculation of Typical Day'!$AH$21:$AH$500,'Calculation of Typical Day'!$A$21:$A$500,$B32,'Calculation of Typical Day'!$BY$21:BY$500, 1)</f>
        <v>0</v>
      </c>
      <c r="T32" s="659">
        <f ca="1">SUMIFS('Calculation of Typical Day'!AM$21:AM$500,'Calculation of Typical Day'!$A$21:$A$500,$B32,'Calculation of Typical Day'!$BY$21:$BY$500, 1)</f>
        <v>0</v>
      </c>
      <c r="U32" s="659">
        <f ca="1">SUMIFS('Calculation of Typical Day'!AN$21:AN$500,'Calculation of Typical Day'!$A$21:$A$500,$B32)</f>
        <v>0</v>
      </c>
      <c r="V32" s="135"/>
      <c r="W32" s="190">
        <f ca="1">SUMIFS('Calculation of Typical Day'!AX$21:AX$500,'Calculation of Typical Day'!$A$21:$A$500,$B32,'Calculation of Typical Day'!$BY$21:$BY$500, 1)</f>
        <v>0</v>
      </c>
      <c r="X32" s="190">
        <f ca="1">SUMIFS('Calculation of Typical Day'!BF$21:BF$500,'Calculation of Typical Day'!$A$21:$A$500,$B32,'Calculation of Typical Day'!$BY$21:$BY$500, 1)</f>
        <v>0</v>
      </c>
      <c r="Y32" s="190">
        <f ca="1">SUMIFS('Calculation of Typical Day'!BG$21:BG$500,'Calculation of Typical Day'!$A$21:$A$500,$B32,'Calculation of Typical Day'!$BY$21:$BY$500, 1)</f>
        <v>0</v>
      </c>
      <c r="Z32" s="190">
        <f ca="1">SUMIFS('Calculation of Typical Day'!BH$21:BH$500,'Calculation of Typical Day'!$A$21:$A$500,$B32,'Calculation of Typical Day'!$BY$21:$BY$500, 1)</f>
        <v>0</v>
      </c>
      <c r="AA32" s="190">
        <f ca="1">SUMIFS('Calculation of Typical Day'!BQ$21:BQ$500,'Calculation of Typical Day'!$A$21:$A$500,$B32,'Calculation of Typical Day'!$BY$21:$BY$500, 1)</f>
        <v>0</v>
      </c>
      <c r="AB32" s="190">
        <f ca="1">SUMIFS('Calculation of Typical Day'!BR$21:BR$500,'Calculation of Typical Day'!$A$21:$A$500,$B32,'Calculation of Typical Day'!$BY$21:$BY$500, 1)</f>
        <v>0</v>
      </c>
      <c r="AC32" s="190">
        <f ca="1">SUMIFS('Calculation of Typical Day'!BT$21:BT$500,'Calculation of Typical Day'!$A$21:$A$500,$B32,'Calculation of Typical Day'!$BY$21:$BY$500, 1)</f>
        <v>0</v>
      </c>
      <c r="AD32" s="190">
        <f ca="1">SUMIFS('Calculation of Typical Day'!BL$21:BL$500,'Calculation of Typical Day'!$A$21:$A$500,$B32,'Calculation of Typical Day'!$BY$21:$BY$500, 1)</f>
        <v>0</v>
      </c>
      <c r="AE32" s="190">
        <f ca="1">SUMIFS('Calculation of Typical Day'!CB$21:CB$500,'Calculation of Typical Day'!$A$21:$A$500,$B32,'Calculation of Typical Day'!$BY$21:$BY$500, 1)</f>
        <v>0</v>
      </c>
      <c r="AF32" s="653">
        <f ca="1">SUMIFS('Calculation of Typical Day'!AW$21:AW$500,'Calculation of Typical Day'!$A$21:$A$500,$B32)</f>
        <v>0</v>
      </c>
      <c r="AG32" s="135"/>
      <c r="AH32" s="135"/>
      <c r="AI32" s="47"/>
      <c r="AJ32" s="659">
        <f ca="1">SUMIFS('Calculation of Typical Day'!BI$21:BI$500,'Calculation of Typical Day'!$A$21:$A$500,$B32,'Calculation of Typical Day'!$BY$21:$BY$500, 1)</f>
        <v>0</v>
      </c>
      <c r="AK32" s="659">
        <f ca="1">SUMIFS('Calculation of Typical Day'!BJ$21:BJ$500,'Calculation of Typical Day'!$A$21:$A$500,$B32)</f>
        <v>0</v>
      </c>
      <c r="AL32" s="660">
        <f ca="1">SUMIFS('Calculation of Typical Day'!AQ$21:AQ$500,'Calculation of Typical Day'!$A$21:$A$500,$B32)</f>
        <v>0</v>
      </c>
      <c r="AM32" s="659">
        <f ca="1">SUMIFS('Calculation of Typical Day'!AR$21:AR$500,'Calculation of Typical Day'!$A$21:$A$500,$B32,'Calculation of Typical Day'!$BY$21:$BY$500, 1)</f>
        <v>0</v>
      </c>
      <c r="AN32" s="659">
        <f t="shared" ca="1" si="1"/>
        <v>0</v>
      </c>
      <c r="AO32" s="659">
        <f t="shared" ca="1" si="2"/>
        <v>0</v>
      </c>
      <c r="AP32" s="135"/>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5"/>
      <c r="BP32" s="135"/>
      <c r="BQ32" s="135"/>
      <c r="BR32" s="135"/>
      <c r="BS32" s="135"/>
      <c r="BT32" s="135"/>
      <c r="BU32" s="135"/>
      <c r="BV32" s="135"/>
    </row>
    <row r="33" spans="1:74" s="57" customFormat="1" ht="13.35" customHeight="1">
      <c r="A33" s="135"/>
      <c r="B33" s="650">
        <f>'Definition of Typical Day'!$V$13</f>
        <v>18</v>
      </c>
      <c r="C33" s="646">
        <f>'Definition of Typical Day'!$V$14</f>
        <v>18</v>
      </c>
      <c r="D33" s="671">
        <v>0</v>
      </c>
      <c r="E33" s="52"/>
      <c r="F33" s="669">
        <f t="shared" si="0"/>
        <v>0</v>
      </c>
      <c r="G33" s="660">
        <f ca="1">SUMIFS('Calculation of Typical Day'!I$21:I$500,'Calculation of Typical Day'!$A$21:$A$500,$B33)/24</f>
        <v>0</v>
      </c>
      <c r="H33" s="660">
        <f ca="1">SUMIFS('Calculation of Typical Day'!J$21:J$500,'Calculation of Typical Day'!$A$21:$A$500,$B33)/24</f>
        <v>0</v>
      </c>
      <c r="I33" s="660">
        <f ca="1">SUMIFS('Calculation of Typical Day'!M$21:M$500,'Calculation of Typical Day'!$A$21:$A$500,$B33)/24</f>
        <v>0</v>
      </c>
      <c r="J33" s="660">
        <f ca="1">SUMIFS('Calculation of Typical Day'!O$21:O$500,'Calculation of Typical Day'!$A$21:$A$500,$B33)/24</f>
        <v>3</v>
      </c>
      <c r="K33" s="660">
        <f ca="1">SUMIFS('Calculation of Typical Day'!P$21:P$500,'Calculation of Typical Day'!$A$21:$A$500,$B33)/24</f>
        <v>0</v>
      </c>
      <c r="L33" s="660">
        <f ca="1">SUMIFS('Calculation of Typical Day'!Q$21:Q$500,'Calculation of Typical Day'!$A$21:$A$500,$B33)/24</f>
        <v>3</v>
      </c>
      <c r="M33" s="660">
        <f ca="1">SUMIF('Calculation of Typical Day'!$A$21:$A$500,"="&amp;$B33,'Calculation of Typical Day'!$BZ$21:$BZ$500)</f>
        <v>0</v>
      </c>
      <c r="N33" s="660">
        <f ca="1">SUMIF('Calculation of Typical Day'!$A$21:$A$500,"="&amp;$B33,'Calculation of Typical Day'!$CA$21:$CA$500)</f>
        <v>0</v>
      </c>
      <c r="O33" s="659">
        <f ca="1">SUMIFS('Calculation of Typical Day'!H$21:H$500,'Calculation of Typical Day'!$A$21:$A$500,$B33)</f>
        <v>0</v>
      </c>
      <c r="P33" s="659">
        <f ca="1">SUMIFS('Calculation of Typical Day'!AJ$21:AJ$500,'Calculation of Typical Day'!$A$21:$A$500,$B33,'Calculation of Typical Day'!$BY$21:BY$500, 1)</f>
        <v>0</v>
      </c>
      <c r="Q33" s="659">
        <f ca="1">SUMIFS('Calculation of Typical Day'!AK$21:AK$500,'Calculation of Typical Day'!$A$21:$A$500,$B33,'Calculation of Typical Day'!$BY$21:BY$500, 1)</f>
        <v>0</v>
      </c>
      <c r="R33" s="659">
        <f ca="1">SUMIFS('Calculation of Typical Day'!$AL$21:$AL$500,'Calculation of Typical Day'!$A$21:$A$500,$B33,'Calculation of Typical Day'!$BY$21:BY$500, 1)</f>
        <v>0</v>
      </c>
      <c r="S33" s="659">
        <f ca="1">SUMIFS('Calculation of Typical Day'!$AH$21:$AH$500,'Calculation of Typical Day'!$A$21:$A$500,$B33,'Calculation of Typical Day'!$BY$21:BY$500, 1)</f>
        <v>0</v>
      </c>
      <c r="T33" s="659">
        <f ca="1">SUMIFS('Calculation of Typical Day'!AM$21:AM$500,'Calculation of Typical Day'!$A$21:$A$500,$B33,'Calculation of Typical Day'!$BY$21:$BY$500, 1)</f>
        <v>0</v>
      </c>
      <c r="U33" s="659">
        <f ca="1">SUMIFS('Calculation of Typical Day'!AN$21:AN$500,'Calculation of Typical Day'!$A$21:$A$500,$B33)</f>
        <v>0</v>
      </c>
      <c r="V33" s="135"/>
      <c r="W33" s="190">
        <f ca="1">SUMIFS('Calculation of Typical Day'!AX$21:AX$500,'Calculation of Typical Day'!$A$21:$A$500,$B33,'Calculation of Typical Day'!$BY$21:$BY$500, 1)</f>
        <v>0</v>
      </c>
      <c r="X33" s="190">
        <f ca="1">SUMIFS('Calculation of Typical Day'!BF$21:BF$500,'Calculation of Typical Day'!$A$21:$A$500,$B33,'Calculation of Typical Day'!$BY$21:$BY$500, 1)</f>
        <v>0</v>
      </c>
      <c r="Y33" s="190">
        <f ca="1">SUMIFS('Calculation of Typical Day'!BG$21:BG$500,'Calculation of Typical Day'!$A$21:$A$500,$B33,'Calculation of Typical Day'!$BY$21:$BY$500, 1)</f>
        <v>0</v>
      </c>
      <c r="Z33" s="190">
        <f ca="1">SUMIFS('Calculation of Typical Day'!BH$21:BH$500,'Calculation of Typical Day'!$A$21:$A$500,$B33,'Calculation of Typical Day'!$BY$21:$BY$500, 1)</f>
        <v>0</v>
      </c>
      <c r="AA33" s="190">
        <f ca="1">SUMIFS('Calculation of Typical Day'!BQ$21:BQ$500,'Calculation of Typical Day'!$A$21:$A$500,$B33,'Calculation of Typical Day'!$BY$21:$BY$500, 1)</f>
        <v>0</v>
      </c>
      <c r="AB33" s="190">
        <f ca="1">SUMIFS('Calculation of Typical Day'!BR$21:BR$500,'Calculation of Typical Day'!$A$21:$A$500,$B33,'Calculation of Typical Day'!$BY$21:$BY$500, 1)</f>
        <v>0</v>
      </c>
      <c r="AC33" s="190">
        <f ca="1">SUMIFS('Calculation of Typical Day'!BT$21:BT$500,'Calculation of Typical Day'!$A$21:$A$500,$B33,'Calculation of Typical Day'!$BY$21:$BY$500, 1)</f>
        <v>0</v>
      </c>
      <c r="AD33" s="190">
        <f ca="1">SUMIFS('Calculation of Typical Day'!BL$21:BL$500,'Calculation of Typical Day'!$A$21:$A$500,$B33,'Calculation of Typical Day'!$BY$21:$BY$500, 1)</f>
        <v>0</v>
      </c>
      <c r="AE33" s="190">
        <f ca="1">SUMIFS('Calculation of Typical Day'!CB$21:CB$500,'Calculation of Typical Day'!$A$21:$A$500,$B33,'Calculation of Typical Day'!$BY$21:$BY$500, 1)</f>
        <v>0</v>
      </c>
      <c r="AF33" s="653">
        <f ca="1">SUMIFS('Calculation of Typical Day'!AW$21:AW$500,'Calculation of Typical Day'!$A$21:$A$500,$B33)</f>
        <v>0</v>
      </c>
      <c r="AG33" s="135"/>
      <c r="AH33" s="135"/>
      <c r="AI33" s="47"/>
      <c r="AJ33" s="659">
        <f ca="1">SUMIFS('Calculation of Typical Day'!BI$21:BI$500,'Calculation of Typical Day'!$A$21:$A$500,$B33,'Calculation of Typical Day'!$BY$21:$BY$500, 1)</f>
        <v>0</v>
      </c>
      <c r="AK33" s="659">
        <f ca="1">SUMIFS('Calculation of Typical Day'!BJ$21:BJ$500,'Calculation of Typical Day'!$A$21:$A$500,$B33)</f>
        <v>0</v>
      </c>
      <c r="AL33" s="660">
        <f ca="1">SUMIFS('Calculation of Typical Day'!AQ$21:AQ$500,'Calculation of Typical Day'!$A$21:$A$500,$B33)</f>
        <v>0</v>
      </c>
      <c r="AM33" s="659">
        <f ca="1">SUMIFS('Calculation of Typical Day'!AR$21:AR$500,'Calculation of Typical Day'!$A$21:$A$500,$B33,'Calculation of Typical Day'!$BY$21:$BY$500, 1)</f>
        <v>0</v>
      </c>
      <c r="AN33" s="659">
        <f t="shared" ca="1" si="1"/>
        <v>0</v>
      </c>
      <c r="AO33" s="659">
        <f t="shared" ca="1" si="2"/>
        <v>0</v>
      </c>
      <c r="AP33" s="135"/>
      <c r="AQ33" s="135"/>
      <c r="AR33" s="135"/>
      <c r="AS33" s="135"/>
      <c r="AT33" s="135"/>
      <c r="AU33" s="135"/>
      <c r="AV33" s="135"/>
      <c r="AW33" s="135"/>
      <c r="AX33" s="135"/>
      <c r="AY33" s="135"/>
      <c r="AZ33" s="135"/>
      <c r="BA33" s="135"/>
      <c r="BB33" s="135"/>
      <c r="BC33" s="135"/>
      <c r="BD33" s="135"/>
      <c r="BE33" s="135"/>
      <c r="BF33" s="135"/>
      <c r="BG33" s="135"/>
      <c r="BH33" s="135"/>
      <c r="BI33" s="135"/>
      <c r="BJ33" s="135"/>
      <c r="BK33" s="135"/>
      <c r="BL33" s="135"/>
      <c r="BM33" s="135"/>
      <c r="BN33" s="135"/>
      <c r="BO33" s="135"/>
      <c r="BP33" s="135"/>
      <c r="BQ33" s="135"/>
      <c r="BR33" s="135"/>
      <c r="BS33" s="135"/>
      <c r="BT33" s="135"/>
      <c r="BU33" s="135"/>
      <c r="BV33" s="135"/>
    </row>
    <row r="34" spans="1:74" s="57" customFormat="1" ht="13.35" customHeight="1">
      <c r="A34" s="135"/>
      <c r="B34" s="650">
        <f>'Definition of Typical Day'!$W$13</f>
        <v>19</v>
      </c>
      <c r="C34" s="646">
        <f>'Definition of Typical Day'!$W$14</f>
        <v>19</v>
      </c>
      <c r="D34" s="671">
        <v>0</v>
      </c>
      <c r="E34" s="52"/>
      <c r="F34" s="669">
        <f t="shared" si="0"/>
        <v>0</v>
      </c>
      <c r="G34" s="660">
        <f ca="1">SUMIFS('Calculation of Typical Day'!I$21:I$500,'Calculation of Typical Day'!$A$21:$A$500,$B34)/24</f>
        <v>0</v>
      </c>
      <c r="H34" s="660">
        <f ca="1">SUMIFS('Calculation of Typical Day'!J$21:J$500,'Calculation of Typical Day'!$A$21:$A$500,$B34)/24</f>
        <v>0</v>
      </c>
      <c r="I34" s="660">
        <f ca="1">SUMIFS('Calculation of Typical Day'!M$21:M$500,'Calculation of Typical Day'!$A$21:$A$500,$B34)/24</f>
        <v>0</v>
      </c>
      <c r="J34" s="660">
        <f ca="1">SUMIFS('Calculation of Typical Day'!O$21:O$500,'Calculation of Typical Day'!$A$21:$A$500,$B34)/24</f>
        <v>3</v>
      </c>
      <c r="K34" s="660">
        <f ca="1">SUMIFS('Calculation of Typical Day'!P$21:P$500,'Calculation of Typical Day'!$A$21:$A$500,$B34)/24</f>
        <v>0</v>
      </c>
      <c r="L34" s="660">
        <f ca="1">SUMIFS('Calculation of Typical Day'!Q$21:Q$500,'Calculation of Typical Day'!$A$21:$A$500,$B34)/24</f>
        <v>3</v>
      </c>
      <c r="M34" s="660">
        <f ca="1">SUMIF('Calculation of Typical Day'!$A$21:$A$500,"="&amp;$B34,'Calculation of Typical Day'!$BZ$21:$BZ$500)</f>
        <v>0</v>
      </c>
      <c r="N34" s="660">
        <f ca="1">SUMIF('Calculation of Typical Day'!$A$21:$A$500,"="&amp;$B34,'Calculation of Typical Day'!$CA$21:$CA$500)</f>
        <v>0</v>
      </c>
      <c r="O34" s="659">
        <f ca="1">SUMIFS('Calculation of Typical Day'!H$21:H$500,'Calculation of Typical Day'!$A$21:$A$500,$B34)</f>
        <v>0</v>
      </c>
      <c r="P34" s="659">
        <f ca="1">SUMIFS('Calculation of Typical Day'!AJ$21:AJ$500,'Calculation of Typical Day'!$A$21:$A$500,$B34,'Calculation of Typical Day'!$BY$21:BY$500, 1)</f>
        <v>0</v>
      </c>
      <c r="Q34" s="659">
        <f ca="1">SUMIFS('Calculation of Typical Day'!AK$21:AK$500,'Calculation of Typical Day'!$A$21:$A$500,$B34,'Calculation of Typical Day'!$BY$21:BY$500, 1)</f>
        <v>0</v>
      </c>
      <c r="R34" s="659">
        <f ca="1">SUMIFS('Calculation of Typical Day'!$AL$21:$AL$500,'Calculation of Typical Day'!$A$21:$A$500,$B34,'Calculation of Typical Day'!$BY$21:BY$500, 1)</f>
        <v>0</v>
      </c>
      <c r="S34" s="659">
        <f ca="1">SUMIFS('Calculation of Typical Day'!$AH$21:$AH$500,'Calculation of Typical Day'!$A$21:$A$500,$B34,'Calculation of Typical Day'!$BY$21:BY$500, 1)</f>
        <v>0</v>
      </c>
      <c r="T34" s="659">
        <f ca="1">SUMIFS('Calculation of Typical Day'!AM$21:AM$500,'Calculation of Typical Day'!$A$21:$A$500,$B34,'Calculation of Typical Day'!$BY$21:$BY$500, 1)</f>
        <v>0</v>
      </c>
      <c r="U34" s="659">
        <f ca="1">SUMIFS('Calculation of Typical Day'!AN$21:AN$500,'Calculation of Typical Day'!$A$21:$A$500,$B34)</f>
        <v>0</v>
      </c>
      <c r="V34" s="135"/>
      <c r="W34" s="190">
        <f ca="1">SUMIFS('Calculation of Typical Day'!AX$21:AX$500,'Calculation of Typical Day'!$A$21:$A$500,$B34,'Calculation of Typical Day'!$BY$21:$BY$500, 1)</f>
        <v>0</v>
      </c>
      <c r="X34" s="190">
        <f ca="1">SUMIFS('Calculation of Typical Day'!BF$21:BF$500,'Calculation of Typical Day'!$A$21:$A$500,$B34,'Calculation of Typical Day'!$BY$21:$BY$500, 1)</f>
        <v>0</v>
      </c>
      <c r="Y34" s="190">
        <f ca="1">SUMIFS('Calculation of Typical Day'!BG$21:BG$500,'Calculation of Typical Day'!$A$21:$A$500,$B34,'Calculation of Typical Day'!$BY$21:$BY$500, 1)</f>
        <v>0</v>
      </c>
      <c r="Z34" s="190">
        <f ca="1">SUMIFS('Calculation of Typical Day'!BH$21:BH$500,'Calculation of Typical Day'!$A$21:$A$500,$B34,'Calculation of Typical Day'!$BY$21:$BY$500, 1)</f>
        <v>0</v>
      </c>
      <c r="AA34" s="190">
        <f ca="1">SUMIFS('Calculation of Typical Day'!BQ$21:BQ$500,'Calculation of Typical Day'!$A$21:$A$500,$B34,'Calculation of Typical Day'!$BY$21:$BY$500, 1)</f>
        <v>0</v>
      </c>
      <c r="AB34" s="190">
        <f ca="1">SUMIFS('Calculation of Typical Day'!BR$21:BR$500,'Calculation of Typical Day'!$A$21:$A$500,$B34,'Calculation of Typical Day'!$BY$21:$BY$500, 1)</f>
        <v>0</v>
      </c>
      <c r="AC34" s="190">
        <f ca="1">SUMIFS('Calculation of Typical Day'!BT$21:BT$500,'Calculation of Typical Day'!$A$21:$A$500,$B34,'Calculation of Typical Day'!$BY$21:$BY$500, 1)</f>
        <v>0</v>
      </c>
      <c r="AD34" s="190">
        <f ca="1">SUMIFS('Calculation of Typical Day'!BL$21:BL$500,'Calculation of Typical Day'!$A$21:$A$500,$B34,'Calculation of Typical Day'!$BY$21:$BY$500, 1)</f>
        <v>0</v>
      </c>
      <c r="AE34" s="190">
        <f ca="1">SUMIFS('Calculation of Typical Day'!CB$21:CB$500,'Calculation of Typical Day'!$A$21:$A$500,$B34,'Calculation of Typical Day'!$BY$21:$BY$500, 1)</f>
        <v>0</v>
      </c>
      <c r="AF34" s="653">
        <f ca="1">SUMIFS('Calculation of Typical Day'!AW$21:AW$500,'Calculation of Typical Day'!$A$21:$A$500,$B34)</f>
        <v>0</v>
      </c>
      <c r="AG34" s="135"/>
      <c r="AH34" s="135"/>
      <c r="AI34" s="47"/>
      <c r="AJ34" s="659">
        <f ca="1">SUMIFS('Calculation of Typical Day'!BI$21:BI$500,'Calculation of Typical Day'!$A$21:$A$500,$B34,'Calculation of Typical Day'!$BY$21:$BY$500, 1)</f>
        <v>0</v>
      </c>
      <c r="AK34" s="659">
        <f ca="1">SUMIFS('Calculation of Typical Day'!BJ$21:BJ$500,'Calculation of Typical Day'!$A$21:$A$500,$B34)</f>
        <v>0</v>
      </c>
      <c r="AL34" s="660">
        <f ca="1">SUMIFS('Calculation of Typical Day'!AQ$21:AQ$500,'Calculation of Typical Day'!$A$21:$A$500,$B34)</f>
        <v>0</v>
      </c>
      <c r="AM34" s="659">
        <f ca="1">SUMIFS('Calculation of Typical Day'!AR$21:AR$500,'Calculation of Typical Day'!$A$21:$A$500,$B34,'Calculation of Typical Day'!$BY$21:$BY$500, 1)</f>
        <v>0</v>
      </c>
      <c r="AN34" s="659">
        <f t="shared" ca="1" si="1"/>
        <v>0</v>
      </c>
      <c r="AO34" s="659">
        <f t="shared" ca="1" si="2"/>
        <v>0</v>
      </c>
      <c r="AP34" s="135"/>
      <c r="AQ34" s="135"/>
      <c r="AR34" s="135"/>
      <c r="AS34" s="135"/>
      <c r="AT34" s="135"/>
      <c r="AU34" s="135"/>
      <c r="AV34" s="135"/>
      <c r="AW34" s="135"/>
      <c r="AX34" s="135"/>
      <c r="AY34" s="135"/>
      <c r="AZ34" s="135"/>
      <c r="BA34" s="135"/>
      <c r="BB34" s="135"/>
      <c r="BC34" s="135"/>
      <c r="BD34" s="135"/>
      <c r="BE34" s="135"/>
      <c r="BF34" s="135"/>
      <c r="BG34" s="135"/>
      <c r="BH34" s="135"/>
      <c r="BI34" s="135"/>
      <c r="BJ34" s="135"/>
      <c r="BK34" s="135"/>
      <c r="BL34" s="135"/>
      <c r="BM34" s="135"/>
      <c r="BN34" s="135"/>
      <c r="BO34" s="135"/>
      <c r="BP34" s="135"/>
      <c r="BQ34" s="135"/>
      <c r="BR34" s="135"/>
      <c r="BS34" s="135"/>
      <c r="BT34" s="135"/>
      <c r="BU34" s="135"/>
      <c r="BV34" s="135"/>
    </row>
    <row r="35" spans="1:74" s="57" customFormat="1" ht="13.35" customHeight="1" thickBot="1">
      <c r="A35" s="135"/>
      <c r="B35" s="650">
        <f>'Definition of Typical Day'!$X$13</f>
        <v>20</v>
      </c>
      <c r="C35" s="646" t="str">
        <f>'Definition of Typical Day'!$X$14</f>
        <v>20</v>
      </c>
      <c r="D35" s="671">
        <v>0</v>
      </c>
      <c r="E35" s="52"/>
      <c r="F35" s="669">
        <f t="shared" si="0"/>
        <v>0</v>
      </c>
      <c r="G35" s="660">
        <f ca="1">SUMIFS('Calculation of Typical Day'!I$21:I$500,'Calculation of Typical Day'!$A$21:$A$500,$B35)/24</f>
        <v>30</v>
      </c>
      <c r="H35" s="660">
        <f ca="1">SUMIFS('Calculation of Typical Day'!J$21:J$500,'Calculation of Typical Day'!$A$21:$A$500,$B35)/24</f>
        <v>27</v>
      </c>
      <c r="I35" s="660">
        <f ca="1">SUMIFS('Calculation of Typical Day'!M$21:M$500,'Calculation of Typical Day'!$A$21:$A$500,$B35)/24</f>
        <v>83.305555555555543</v>
      </c>
      <c r="J35" s="660">
        <f ca="1">SUMIFS('Calculation of Typical Day'!O$21:O$500,'Calculation of Typical Day'!$A$21:$A$500,$B35)/24</f>
        <v>86.305555555555543</v>
      </c>
      <c r="K35" s="660">
        <f ca="1">SUMIFS('Calculation of Typical Day'!P$21:P$500,'Calculation of Typical Day'!$A$21:$A$500,$B35)/24</f>
        <v>43.125</v>
      </c>
      <c r="L35" s="660">
        <f ca="1">SUMIFS('Calculation of Typical Day'!Q$21:Q$500,'Calculation of Typical Day'!$A$21:$A$500,$B35)/24</f>
        <v>46.125</v>
      </c>
      <c r="M35" s="660">
        <f ca="1">SUMIF('Calculation of Typical Day'!$A$21:$A$500,"="&amp;$B35,'Calculation of Typical Day'!$BZ$21:$BZ$500)</f>
        <v>0</v>
      </c>
      <c r="N35" s="660">
        <f ca="1">SUMIF('Calculation of Typical Day'!$A$21:$A$500,"="&amp;$B35,'Calculation of Typical Day'!$CA$21:$CA$500)</f>
        <v>0</v>
      </c>
      <c r="O35" s="659">
        <f ca="1">SUMIFS('Calculation of Typical Day'!H$21:H$500,'Calculation of Typical Day'!$A$21:$A$500,$B35)</f>
        <v>2.4000000000000014E-2</v>
      </c>
      <c r="P35" s="659">
        <f ca="1">SUMIFS('Calculation of Typical Day'!AJ$21:AJ$500,'Calculation of Typical Day'!$A$21:$A$500,$B35,'Calculation of Typical Day'!$BY$21:BY$500, 1)</f>
        <v>0</v>
      </c>
      <c r="Q35" s="659">
        <f ca="1">SUMIFS('Calculation of Typical Day'!AK$21:AK$500,'Calculation of Typical Day'!$A$21:$A$500,$B35,'Calculation of Typical Day'!$BY$21:BY$500, 1)</f>
        <v>0</v>
      </c>
      <c r="R35" s="659">
        <f ca="1">SUMIFS('Calculation of Typical Day'!$AL$21:$AL$500,'Calculation of Typical Day'!$A$21:$A$500,$B35,'Calculation of Typical Day'!$BY$21:BY$500, 1)</f>
        <v>0</v>
      </c>
      <c r="S35" s="659">
        <f ca="1">SUMIFS('Calculation of Typical Day'!$AH$21:$AH$500,'Calculation of Typical Day'!$A$21:$A$500,$B35,'Calculation of Typical Day'!$BY$21:BY$500, 1)</f>
        <v>0</v>
      </c>
      <c r="T35" s="659">
        <f ca="1">SUMIFS('Calculation of Typical Day'!AM$21:AM$500,'Calculation of Typical Day'!$A$21:$A$500,$B35,'Calculation of Typical Day'!$BY$21:$BY$500, 1)</f>
        <v>0</v>
      </c>
      <c r="U35" s="659">
        <f ca="1">SUMIFS('Calculation of Typical Day'!AN$21:AN$500,'Calculation of Typical Day'!$A$21:$A$500,$B35)</f>
        <v>3.200000000000001E-3</v>
      </c>
      <c r="V35" s="135"/>
      <c r="W35" s="190">
        <f ca="1">SUMIFS('Calculation of Typical Day'!AX$21:AX$500,'Calculation of Typical Day'!$A$21:$A$500,$B35,'Calculation of Typical Day'!$BY$21:$BY$500, 1)</f>
        <v>0</v>
      </c>
      <c r="X35" s="190">
        <f ca="1">SUMIFS('Calculation of Typical Day'!BF$21:BF$500,'Calculation of Typical Day'!$A$21:$A$500,$B35,'Calculation of Typical Day'!$BY$21:$BY$500, 1)</f>
        <v>0</v>
      </c>
      <c r="Y35" s="190">
        <f ca="1">SUMIFS('Calculation of Typical Day'!BG$21:BG$500,'Calculation of Typical Day'!$A$21:$A$500,$B35,'Calculation of Typical Day'!$BY$21:$BY$500, 1)</f>
        <v>0</v>
      </c>
      <c r="Z35" s="190">
        <f ca="1">SUMIFS('Calculation of Typical Day'!BH$21:BH$500,'Calculation of Typical Day'!$A$21:$A$500,$B35,'Calculation of Typical Day'!$BY$21:$BY$500, 1)</f>
        <v>0</v>
      </c>
      <c r="AA35" s="190">
        <f ca="1">SUMIFS('Calculation of Typical Day'!BQ$21:BQ$500,'Calculation of Typical Day'!$A$21:$A$500,$B35,'Calculation of Typical Day'!$BY$21:$BY$500, 1)</f>
        <v>0</v>
      </c>
      <c r="AB35" s="190">
        <f ca="1">SUMIFS('Calculation of Typical Day'!BR$21:BR$500,'Calculation of Typical Day'!$A$21:$A$500,$B35,'Calculation of Typical Day'!$BY$21:$BY$500, 1)</f>
        <v>0</v>
      </c>
      <c r="AC35" s="190">
        <f ca="1">SUMIFS('Calculation of Typical Day'!BT$21:BT$500,'Calculation of Typical Day'!$A$21:$A$500,$B35,'Calculation of Typical Day'!$BY$21:$BY$500, 1)</f>
        <v>0</v>
      </c>
      <c r="AD35" s="190">
        <f ca="1">SUMIFS('Calculation of Typical Day'!BL$21:BL$500,'Calculation of Typical Day'!$A$21:$A$500,$B35,'Calculation of Typical Day'!$BY$21:$BY$500, 1)</f>
        <v>0</v>
      </c>
      <c r="AE35" s="190">
        <f ca="1">SUMIFS('Calculation of Typical Day'!CB$21:CB$500,'Calculation of Typical Day'!$A$21:$A$500,$B35,'Calculation of Typical Day'!$BY$21:$BY$500, 1)</f>
        <v>0</v>
      </c>
      <c r="AF35" s="653">
        <f ca="1">SUMIFS('Calculation of Typical Day'!AW$21:AW$500,'Calculation of Typical Day'!$A$21:$A$500,$B35)</f>
        <v>4.8000000000000029E-2</v>
      </c>
      <c r="AG35" s="135"/>
      <c r="AH35" s="135"/>
      <c r="AI35" s="47"/>
      <c r="AJ35" s="648">
        <f ca="1">SUMIFS('Calculation of Typical Day'!BI$21:BI$500,'Calculation of Typical Day'!$A$21:$A$500,$B35,'Calculation of Typical Day'!$BY$21:$BY$500, 1)</f>
        <v>0</v>
      </c>
      <c r="AK35" s="648">
        <f ca="1">SUMIFS('Calculation of Typical Day'!BJ$21:BJ$500,'Calculation of Typical Day'!$A$21:$A$500,$B35)</f>
        <v>0.3199999999999999</v>
      </c>
      <c r="AL35" s="656">
        <f ca="1">SUMIFS('Calculation of Typical Day'!AQ$21:AQ$500,'Calculation of Typical Day'!$A$21:$A$500,$B35)</f>
        <v>0</v>
      </c>
      <c r="AM35" s="648">
        <f ca="1">SUMIFS('Calculation of Typical Day'!AR$21:AR$500,'Calculation of Typical Day'!$A$21:$A$500,$B35,'Calculation of Typical Day'!$BY$21:$BY$500, 1)</f>
        <v>0</v>
      </c>
      <c r="AN35" s="648">
        <f t="shared" ca="1" si="1"/>
        <v>0</v>
      </c>
      <c r="AO35" s="648">
        <f t="shared" ca="1" si="2"/>
        <v>4.8000000000000029E-2</v>
      </c>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5"/>
      <c r="BL35" s="135"/>
      <c r="BM35" s="135"/>
      <c r="BN35" s="135"/>
      <c r="BO35" s="135"/>
      <c r="BP35" s="135"/>
      <c r="BQ35" s="135"/>
      <c r="BR35" s="135"/>
      <c r="BS35" s="135"/>
      <c r="BT35" s="135"/>
      <c r="BU35" s="135"/>
      <c r="BV35" s="135"/>
    </row>
    <row r="36" spans="1:74" s="57" customFormat="1" ht="13.35" customHeight="1">
      <c r="A36" s="135"/>
      <c r="B36" s="321"/>
      <c r="C36" s="7"/>
      <c r="D36" s="672">
        <f>SUM(D16:D35)</f>
        <v>96.45</v>
      </c>
      <c r="E36" s="52"/>
      <c r="F36" s="673">
        <f>SUM(F16:F35)</f>
        <v>365.00000000000006</v>
      </c>
      <c r="G36" s="136" t="s">
        <v>449</v>
      </c>
      <c r="H36" s="136" t="s">
        <v>449</v>
      </c>
      <c r="I36" s="136" t="s">
        <v>449</v>
      </c>
      <c r="J36" s="136" t="s">
        <v>449</v>
      </c>
      <c r="K36" s="136" t="s">
        <v>449</v>
      </c>
      <c r="L36" s="136" t="s">
        <v>449</v>
      </c>
      <c r="M36" s="136" t="s">
        <v>449</v>
      </c>
      <c r="N36" s="136" t="s">
        <v>449</v>
      </c>
      <c r="O36" s="136" t="s">
        <v>449</v>
      </c>
      <c r="P36" s="47"/>
      <c r="Q36" s="47"/>
      <c r="R36" s="47"/>
      <c r="S36" s="47"/>
      <c r="T36" s="47"/>
      <c r="U36" s="47"/>
      <c r="V36" s="47"/>
      <c r="W36" s="47"/>
      <c r="X36" s="47"/>
      <c r="Y36" s="47"/>
      <c r="Z36" s="47"/>
      <c r="AA36" s="47"/>
      <c r="AB36" s="47"/>
      <c r="AC36" s="47"/>
      <c r="AD36" s="47"/>
      <c r="AE36" s="47"/>
      <c r="AF36" s="136" t="s">
        <v>449</v>
      </c>
      <c r="AG36" s="135"/>
      <c r="AH36" s="135"/>
      <c r="AI36" s="47"/>
      <c r="AJ36" s="47"/>
      <c r="AK36" s="47"/>
      <c r="AL36" s="136" t="s">
        <v>449</v>
      </c>
      <c r="AM36" s="47"/>
      <c r="AN36" s="47"/>
      <c r="AO36" s="47"/>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5"/>
      <c r="BL36" s="135"/>
      <c r="BM36" s="135"/>
      <c r="BN36" s="135"/>
      <c r="BO36" s="135"/>
      <c r="BP36" s="135"/>
      <c r="BQ36" s="135"/>
      <c r="BR36" s="135"/>
      <c r="BS36" s="135"/>
      <c r="BT36" s="135"/>
      <c r="BU36" s="135"/>
      <c r="BV36" s="135"/>
    </row>
    <row r="37" spans="1:74" s="57" customFormat="1" ht="12" thickBot="1">
      <c r="A37" s="7"/>
      <c r="B37" s="321"/>
      <c r="C37" s="7"/>
      <c r="D37" s="321"/>
      <c r="E37" s="321"/>
      <c r="F37" s="321"/>
      <c r="G37" s="137"/>
      <c r="H37" s="137"/>
      <c r="I37" s="137"/>
      <c r="J37" s="137"/>
      <c r="K37" s="137"/>
      <c r="L37" s="137"/>
      <c r="M37" s="137"/>
      <c r="N37" s="137"/>
      <c r="O37" s="137"/>
      <c r="P37" s="7"/>
      <c r="Q37" s="7"/>
      <c r="R37" s="7"/>
      <c r="S37" s="7"/>
      <c r="T37" s="7"/>
      <c r="U37" s="7"/>
      <c r="V37" s="7"/>
      <c r="W37" s="7"/>
      <c r="X37" s="7"/>
      <c r="Y37" s="7"/>
      <c r="Z37" s="7"/>
      <c r="AA37" s="7"/>
      <c r="AB37" s="7"/>
      <c r="AC37" s="7"/>
      <c r="AD37" s="7"/>
      <c r="AE37" s="7"/>
      <c r="AF37" s="137"/>
      <c r="AG37" s="135"/>
      <c r="AH37" s="135"/>
      <c r="AI37" s="47"/>
      <c r="AJ37" s="7"/>
      <c r="AK37" s="7"/>
      <c r="AL37" s="137"/>
      <c r="AM37" s="7"/>
      <c r="AN37" s="7"/>
      <c r="AO37" s="7"/>
      <c r="AP37" s="135"/>
      <c r="AQ37" s="135"/>
      <c r="AR37" s="135"/>
      <c r="AS37" s="135"/>
      <c r="AT37" s="135"/>
      <c r="AU37" s="135"/>
      <c r="AV37" s="135"/>
      <c r="AW37" s="135"/>
      <c r="AX37" s="135"/>
      <c r="AY37" s="135"/>
      <c r="AZ37" s="135"/>
      <c r="BA37" s="135"/>
      <c r="BB37" s="135"/>
      <c r="BC37" s="135"/>
      <c r="BD37" s="135"/>
      <c r="BE37" s="135"/>
      <c r="BF37" s="135"/>
      <c r="BG37" s="135"/>
      <c r="BH37" s="135"/>
      <c r="BI37" s="135"/>
      <c r="BJ37" s="135"/>
      <c r="BK37" s="135"/>
      <c r="BL37" s="135"/>
      <c r="BM37" s="135"/>
      <c r="BN37" s="135"/>
      <c r="BO37" s="135"/>
      <c r="BP37" s="135"/>
      <c r="BQ37" s="135"/>
      <c r="BR37" s="135"/>
      <c r="BS37" s="135"/>
      <c r="BT37" s="135"/>
      <c r="BU37" s="135"/>
      <c r="BV37" s="135"/>
    </row>
    <row r="38" spans="1:74" s="57" customFormat="1" ht="12" outlineLevel="1" thickBot="1">
      <c r="A38" s="135"/>
      <c r="B38" s="539"/>
      <c r="C38" s="135"/>
      <c r="D38" s="539"/>
      <c r="E38" s="539"/>
      <c r="F38" s="1135" t="s">
        <v>450</v>
      </c>
      <c r="G38" s="138">
        <f t="shared" ref="G38:L38" ca="1" si="3">SUM(G16:G35)*24</f>
        <v>6480</v>
      </c>
      <c r="H38" s="138">
        <f t="shared" ca="1" si="3"/>
        <v>5976</v>
      </c>
      <c r="I38" s="138">
        <f t="shared" ca="1" si="3"/>
        <v>12565.166666666666</v>
      </c>
      <c r="J38" s="138">
        <f t="shared" ca="1" si="3"/>
        <v>14005.166666666666</v>
      </c>
      <c r="K38" s="138">
        <f t="shared" ca="1" si="3"/>
        <v>7515</v>
      </c>
      <c r="L38" s="138">
        <f t="shared" ca="1" si="3"/>
        <v>8955</v>
      </c>
      <c r="M38" s="138">
        <f ca="1">SUM(M16:M35)</f>
        <v>119</v>
      </c>
      <c r="N38" s="138">
        <f ca="1">SUM(N16:N35)</f>
        <v>101.72441466905867</v>
      </c>
      <c r="O38" s="138">
        <f t="shared" ref="O38:U38" ca="1" si="4">SUM(O16:O35)</f>
        <v>240.024</v>
      </c>
      <c r="P38" s="138">
        <f t="shared" ca="1" si="4"/>
        <v>218.4098044610264</v>
      </c>
      <c r="Q38" s="138">
        <f t="shared" ca="1" si="4"/>
        <v>86.763439546149627</v>
      </c>
      <c r="R38" s="138">
        <f t="shared" ca="1" si="4"/>
        <v>0.50683297632979996</v>
      </c>
      <c r="S38" s="138">
        <f t="shared" ca="1" si="4"/>
        <v>302.61825856720509</v>
      </c>
      <c r="T38" s="138">
        <f t="shared" ca="1" si="4"/>
        <v>21.227973928136855</v>
      </c>
      <c r="U38" s="138">
        <f t="shared" ca="1" si="4"/>
        <v>2.8818927385298143</v>
      </c>
      <c r="V38" s="7"/>
      <c r="W38" s="138">
        <f t="shared" ref="W38:AC38" ca="1" si="5">SUM(W16:W35)</f>
        <v>0</v>
      </c>
      <c r="X38" s="138">
        <f t="shared" ca="1" si="5"/>
        <v>6962.4755091364759</v>
      </c>
      <c r="Y38" s="138">
        <f t="shared" ca="1" si="5"/>
        <v>500.26993610954173</v>
      </c>
      <c r="Z38" s="138">
        <f t="shared" ca="1" si="5"/>
        <v>38.838610976152566</v>
      </c>
      <c r="AA38" s="138">
        <f t="shared" ca="1" si="5"/>
        <v>0</v>
      </c>
      <c r="AB38" s="138">
        <f t="shared" ca="1" si="5"/>
        <v>0</v>
      </c>
      <c r="AC38" s="138">
        <f t="shared" ca="1" si="5"/>
        <v>7501.5840562221711</v>
      </c>
      <c r="AD38" s="138">
        <f ca="1">SUM(AD16:AD35)</f>
        <v>0</v>
      </c>
      <c r="AE38" s="138">
        <f ca="1">SUM(AE16:AE35)</f>
        <v>17279.910003275581</v>
      </c>
      <c r="AF38" s="138">
        <f ca="1">SUM(AF16:AF35)</f>
        <v>480.048</v>
      </c>
      <c r="AG38" s="135"/>
      <c r="AH38" s="135"/>
      <c r="AI38" s="47"/>
      <c r="AJ38" s="138">
        <f t="shared" ref="AJ38:AO38" ca="1" si="6">SUM(AJ16:AJ35)</f>
        <v>1636.6381742988322</v>
      </c>
      <c r="AK38" s="138">
        <f t="shared" ca="1" si="6"/>
        <v>250.63995903450095</v>
      </c>
      <c r="AL38" s="138">
        <f t="shared" ca="1" si="6"/>
        <v>0</v>
      </c>
      <c r="AM38" s="138">
        <f t="shared" ca="1" si="6"/>
        <v>436.81960892205279</v>
      </c>
      <c r="AN38" s="138">
        <f t="shared" ca="1" si="6"/>
        <v>0</v>
      </c>
      <c r="AO38" s="138">
        <f t="shared" ca="1" si="6"/>
        <v>480.048</v>
      </c>
      <c r="AP38" s="135"/>
      <c r="AQ38" s="135"/>
      <c r="AR38" s="135"/>
      <c r="AS38" s="135"/>
      <c r="AT38" s="135"/>
      <c r="AU38" s="135"/>
      <c r="AV38" s="135"/>
      <c r="AW38" s="135"/>
      <c r="AX38" s="135"/>
      <c r="AY38" s="135"/>
      <c r="AZ38" s="135"/>
      <c r="BA38" s="135"/>
      <c r="BB38" s="135"/>
      <c r="BC38" s="135"/>
      <c r="BD38" s="135"/>
      <c r="BE38" s="135"/>
      <c r="BF38" s="135"/>
      <c r="BG38" s="135"/>
      <c r="BH38" s="135"/>
      <c r="BI38" s="135"/>
      <c r="BJ38" s="135"/>
      <c r="BK38" s="135"/>
      <c r="BL38" s="135"/>
      <c r="BM38" s="135"/>
      <c r="BN38" s="135"/>
      <c r="BO38" s="135"/>
      <c r="BP38" s="135"/>
      <c r="BQ38" s="135"/>
      <c r="BR38" s="135"/>
      <c r="BS38" s="135"/>
      <c r="BT38" s="135"/>
      <c r="BU38" s="135"/>
      <c r="BV38" s="135"/>
    </row>
    <row r="39" spans="1:74" s="141" customFormat="1" ht="102" outlineLevel="1" thickBot="1">
      <c r="A39" s="139"/>
      <c r="B39" s="663"/>
      <c r="C39" s="139"/>
      <c r="D39" s="663"/>
      <c r="E39" s="663"/>
      <c r="F39" s="1135"/>
      <c r="G39" s="140" t="str">
        <f>'Calculation of Typical Day'!I502</f>
        <v>Flow temperature of data centre cooling system</v>
      </c>
      <c r="H39" s="140" t="str">
        <f>'Calculation of Typical Day'!J502</f>
        <v xml:space="preserve">Flow Temperature HP </v>
      </c>
      <c r="I39" s="140" t="str">
        <f>'Calculation of Typical Day'!M502</f>
        <v>DH supply line temperature</v>
      </c>
      <c r="J39" s="140" t="str">
        <f>'Calculation of Typical Day'!O502</f>
        <v>Required temperature sink out</v>
      </c>
      <c r="K39" s="140" t="str">
        <f>'Calculation of Typical Day'!P502</f>
        <v>DH return line temperature</v>
      </c>
      <c r="L39" s="140" t="str">
        <f>'Calculation of Typical Day'!Q502</f>
        <v>Temperature heat pump sink in</v>
      </c>
      <c r="M39" s="140" t="str">
        <f>'Calculation of Typical Day'!BZ502</f>
        <v>Operation hours</v>
      </c>
      <c r="N39" s="140" t="str">
        <f>'Calculation of Typical Day'!CA502</f>
        <v>Operation hours in full-load-hours equivalents</v>
      </c>
      <c r="O39" s="140" t="str">
        <f>'Calculation of Typical Day'!H502</f>
        <v>Available waste heat (DC heat source)</v>
      </c>
      <c r="P39" s="140" t="str">
        <f>'Calculation of Typical Day'!AJ502</f>
        <v>Waste heat input from DC</v>
      </c>
      <c r="Q39" s="140" t="str">
        <f>'Calculation of Typical Day'!AK502</f>
        <v>Electricity input for heat pump</v>
      </c>
      <c r="R39" s="140" t="str">
        <f>'Calculation of Typical Day'!AL502</f>
        <v>Energy input for booster</v>
      </c>
      <c r="S39" s="140" t="str">
        <f>'Calculation of Typical Day'!AH502</f>
        <v>Total heat output after considering restriction imposed by heat demand</v>
      </c>
      <c r="T39" s="140" t="str">
        <f>'Calculation of Typical Day'!AM502</f>
        <v>Avoided electricity demand due to reduced active cooling</v>
      </c>
      <c r="U39" s="140" t="str">
        <f>'Calculation of Typical Day'!AN502</f>
        <v>Remaining electricity demand for active cooling</v>
      </c>
      <c r="V39" s="7"/>
      <c r="W39" s="140" t="str">
        <f>'Calculation of Typical Day'!AX502</f>
        <v>Energy costs p_1 for waste heat from DC as taken (Pay-as-you-go) (Contractor 1)</v>
      </c>
      <c r="X39" s="140" t="str">
        <f>'Calculation of Typical Day'!BF502</f>
        <v>Electricity costs for heat pump (Contractor 1)</v>
      </c>
      <c r="Y39" s="140" t="str">
        <f>'Calculation of Typical Day'!BG502</f>
        <v>Electricity costs auxiliary energy (Contractor 1)</v>
      </c>
      <c r="Z39" s="140" t="str">
        <f>'Calculation of Typical Day'!BH502</f>
        <v>Fuel costs for booster (Contractor 1)</v>
      </c>
      <c r="AA39" s="140" t="str">
        <f>'Calculation of Typical Day'!BQ502</f>
        <v>Variable (MWh-specific) O&amp;M Costs Heat pump Contractor 1 / DH Operator</v>
      </c>
      <c r="AB39" s="140" t="str">
        <f>'Calculation of Typical Day'!BR502</f>
        <v>Variable (MWh-specific) O&amp;M Costs Booster Contractor 1 / DH Operator</v>
      </c>
      <c r="AC39" s="140" t="str">
        <f>'Calculation of Typical Day'!BT502</f>
        <v>Short run marginal costs per hour Contractor 1 / DH Operator excluding subsidies S3 provided for the utilized waste heat</v>
      </c>
      <c r="AD39" s="140" t="str">
        <f>'Calculation of Typical Day'!BL502</f>
        <v>Subsidies given per utilized waste heat to Contractor 1 / DH Operator considering that they must not exceed costs for electricity</v>
      </c>
      <c r="AE39" s="140" t="str">
        <f>'Calculation of Typical Day'!CB502</f>
        <v>Reference SRMC alternative production [EUR/h]</v>
      </c>
      <c r="AF39" s="140" t="str">
        <f>'Calculation of Typical Day'!AW502</f>
        <v>Energy costs p_1 for waste heat from DC as provided by DC (take-or-pay) (Contractor 1)</v>
      </c>
      <c r="AG39" s="195"/>
      <c r="AH39" s="195"/>
      <c r="AI39" s="47"/>
      <c r="AJ39" s="140" t="str">
        <f>'Calculation of Typical Day'!BI502</f>
        <v>Avoided electricity costs due to reduced active cooling</v>
      </c>
      <c r="AK39" s="140" t="str">
        <f>'Calculation of Typical Day'!BJ502</f>
        <v>Remaining electricity costs for active cooling</v>
      </c>
      <c r="AL39" s="140" t="str">
        <f>'Calculation of Typical Day'!AQ502</f>
        <v>Energy costs p_0 for waste heat from DC</v>
      </c>
      <c r="AM39" s="140" t="str">
        <f>'Calculation of Typical Day'!AR502</f>
        <v>Variable O&amp;M costs for heat recovery system operator</v>
      </c>
      <c r="AN39" s="140" t="str">
        <f>W39</f>
        <v>Energy costs p_1 for waste heat from DC as taken (Pay-as-you-go) (Contractor 1)</v>
      </c>
      <c r="AO39" s="140" t="str">
        <f>AF39</f>
        <v>Energy costs p_1 for waste heat from DC as provided by DC (take-or-pay) (Contractor 1)</v>
      </c>
      <c r="AP39" s="195"/>
      <c r="AQ39" s="195"/>
      <c r="AR39" s="195"/>
      <c r="AS39" s="195"/>
      <c r="AT39" s="195"/>
      <c r="AU39" s="195"/>
      <c r="AV39" s="195"/>
      <c r="AW39" s="195"/>
      <c r="AX39" s="195"/>
      <c r="AY39" s="195"/>
      <c r="AZ39" s="195"/>
      <c r="BA39" s="195"/>
      <c r="BB39" s="195"/>
      <c r="BC39" s="195"/>
      <c r="BD39" s="195"/>
      <c r="BE39" s="195"/>
      <c r="BF39" s="195"/>
      <c r="BG39" s="195"/>
      <c r="BH39" s="195"/>
      <c r="BI39" s="195"/>
      <c r="BJ39" s="195"/>
      <c r="BK39" s="195"/>
      <c r="BL39" s="195"/>
      <c r="BM39" s="195"/>
      <c r="BN39" s="195"/>
      <c r="BO39" s="195"/>
      <c r="BP39" s="195"/>
      <c r="BQ39" s="195"/>
      <c r="BR39" s="195"/>
      <c r="BS39" s="195"/>
      <c r="BT39" s="195"/>
      <c r="BU39" s="195"/>
      <c r="BV39" s="195"/>
    </row>
    <row r="40" spans="1:74" s="57" customFormat="1" ht="12" outlineLevel="1" thickBot="1">
      <c r="A40" s="142"/>
      <c r="B40" s="664"/>
      <c r="C40" s="142"/>
      <c r="D40" s="664"/>
      <c r="E40" s="664"/>
      <c r="F40" s="1135"/>
      <c r="G40" s="140">
        <f ca="1">'Calculation of Typical Day'!I504</f>
        <v>6480</v>
      </c>
      <c r="H40" s="140">
        <f ca="1">'Calculation of Typical Day'!J504</f>
        <v>5976</v>
      </c>
      <c r="I40" s="140">
        <f ca="1">'Calculation of Typical Day'!M504</f>
        <v>12565.166666666666</v>
      </c>
      <c r="J40" s="140">
        <f ca="1">'Calculation of Typical Day'!O504</f>
        <v>14005.166666666668</v>
      </c>
      <c r="K40" s="140">
        <f ca="1">'Calculation of Typical Day'!P504</f>
        <v>7515</v>
      </c>
      <c r="L40" s="140">
        <f ca="1">'Calculation of Typical Day'!Q504</f>
        <v>8955</v>
      </c>
      <c r="M40" s="140">
        <f ca="1">'Calculation of Typical Day'!BZ503</f>
        <v>119</v>
      </c>
      <c r="N40" s="140">
        <f ca="1">'Calculation of Typical Day'!CA503</f>
        <v>101.72441466905894</v>
      </c>
      <c r="O40" s="140">
        <f ca="1">'Calculation of Typical Day'!H504</f>
        <v>240.02400000000011</v>
      </c>
      <c r="P40" s="140">
        <f ca="1">'Calculation of Typical Day'!AJ503</f>
        <v>218.40980446102688</v>
      </c>
      <c r="Q40" s="140">
        <f ca="1">'Calculation of Typical Day'!AK503</f>
        <v>86.763439546149911</v>
      </c>
      <c r="R40" s="140">
        <f ca="1">'Calculation of Typical Day'!AL503</f>
        <v>0.50683297632979996</v>
      </c>
      <c r="S40" s="140">
        <f ca="1">'Calculation of Typical Day'!AH503</f>
        <v>302.61825856720532</v>
      </c>
      <c r="T40" s="140">
        <f ca="1">'Calculation of Typical Day'!AM503</f>
        <v>21.227973928136823</v>
      </c>
      <c r="U40" s="140">
        <f ca="1">'Calculation of Typical Day'!AN503</f>
        <v>2.6120260718631476</v>
      </c>
      <c r="V40" s="7"/>
      <c r="W40" s="140">
        <f ca="1">'Calculation of Typical Day'!AX503</f>
        <v>0</v>
      </c>
      <c r="X40" s="140">
        <f ca="1">'Calculation of Typical Day'!BF503</f>
        <v>6962.4755091364786</v>
      </c>
      <c r="Y40" s="140">
        <f ca="1">'Calculation of Typical Day'!BG503</f>
        <v>500.2699361095419</v>
      </c>
      <c r="Z40" s="140">
        <f ca="1">'Calculation of Typical Day'!BH503</f>
        <v>38.838610976152566</v>
      </c>
      <c r="AA40" s="140">
        <f ca="1">'Calculation of Typical Day'!BQ503</f>
        <v>0</v>
      </c>
      <c r="AB40" s="140">
        <f ca="1">'Calculation of Typical Day'!BR503</f>
        <v>0</v>
      </c>
      <c r="AC40" s="140">
        <f ca="1">'Calculation of Typical Day'!BT503</f>
        <v>7501.5840562221711</v>
      </c>
      <c r="AD40" s="140">
        <f ca="1">'Calculation of Typical Day'!BL503</f>
        <v>0</v>
      </c>
      <c r="AE40" s="140">
        <f ca="1">'Calculation of Typical Day'!CB503</f>
        <v>17279.910003275589</v>
      </c>
      <c r="AF40" s="140">
        <f ca="1">'Calculation of Typical Day'!AW504</f>
        <v>480.04800000000023</v>
      </c>
      <c r="AG40" s="135"/>
      <c r="AH40" s="135"/>
      <c r="AI40" s="47"/>
      <c r="AJ40" s="140">
        <f ca="1">'Calculation of Typical Day'!BI503</f>
        <v>1636.6381742988326</v>
      </c>
      <c r="AK40" s="140">
        <f ca="1">'Calculation of Typical Day'!BJ503</f>
        <v>196.86395903450085</v>
      </c>
      <c r="AL40" s="140">
        <f ca="1">'Calculation of Typical Day'!AQ504</f>
        <v>0</v>
      </c>
      <c r="AM40" s="140">
        <f ca="1">'Calculation of Typical Day'!AR503</f>
        <v>436.81960892205376</v>
      </c>
      <c r="AN40" s="140">
        <f ca="1">W40</f>
        <v>0</v>
      </c>
      <c r="AO40" s="140">
        <f ca="1">AF40</f>
        <v>480.04800000000023</v>
      </c>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5"/>
      <c r="BL40" s="135"/>
      <c r="BM40" s="135"/>
      <c r="BN40" s="135"/>
      <c r="BO40" s="135"/>
      <c r="BP40" s="135"/>
      <c r="BQ40" s="135"/>
      <c r="BR40" s="135"/>
      <c r="BS40" s="135"/>
      <c r="BT40" s="135"/>
      <c r="BU40" s="135"/>
      <c r="BV40" s="135"/>
    </row>
    <row r="41" spans="1:74" s="57" customFormat="1" ht="12" outlineLevel="1" thickBot="1">
      <c r="A41" s="135"/>
      <c r="B41" s="539"/>
      <c r="C41" s="135"/>
      <c r="D41" s="539"/>
      <c r="E41" s="539"/>
      <c r="F41" s="1135"/>
      <c r="G41" s="138" t="b">
        <f t="shared" ref="G41:U41" ca="1" si="7">ROUND(G40,4)=ROUND(G38,4)</f>
        <v>1</v>
      </c>
      <c r="H41" s="138" t="b">
        <f t="shared" ca="1" si="7"/>
        <v>1</v>
      </c>
      <c r="I41" s="138" t="b">
        <f t="shared" ca="1" si="7"/>
        <v>1</v>
      </c>
      <c r="J41" s="138" t="b">
        <f t="shared" ca="1" si="7"/>
        <v>1</v>
      </c>
      <c r="K41" s="138" t="b">
        <f t="shared" ca="1" si="7"/>
        <v>1</v>
      </c>
      <c r="L41" s="138" t="b">
        <f t="shared" ca="1" si="7"/>
        <v>1</v>
      </c>
      <c r="M41" s="138" t="b">
        <f ca="1">ROUND(M40,4)=ROUND(M38,4)</f>
        <v>1</v>
      </c>
      <c r="N41" s="138" t="b">
        <f ca="1">ROUND(N40,4)=ROUND(N38,4)</f>
        <v>1</v>
      </c>
      <c r="O41" s="138" t="b">
        <f t="shared" ca="1" si="7"/>
        <v>1</v>
      </c>
      <c r="P41" s="138" t="b">
        <f t="shared" ca="1" si="7"/>
        <v>1</v>
      </c>
      <c r="Q41" s="138" t="b">
        <f t="shared" ca="1" si="7"/>
        <v>1</v>
      </c>
      <c r="R41" s="138" t="b">
        <f t="shared" ca="1" si="7"/>
        <v>1</v>
      </c>
      <c r="S41" s="138" t="b">
        <f t="shared" ca="1" si="7"/>
        <v>1</v>
      </c>
      <c r="T41" s="138" t="b">
        <f t="shared" ca="1" si="7"/>
        <v>1</v>
      </c>
      <c r="U41" s="138" t="b">
        <f t="shared" ca="1" si="7"/>
        <v>0</v>
      </c>
      <c r="V41" s="7"/>
      <c r="W41" s="138" t="b">
        <f t="shared" ref="W41:AC41" ca="1" si="8">ROUND(W40,4)=ROUND(W38,4)</f>
        <v>1</v>
      </c>
      <c r="X41" s="138" t="b">
        <f t="shared" ca="1" si="8"/>
        <v>1</v>
      </c>
      <c r="Y41" s="138" t="b">
        <f t="shared" ca="1" si="8"/>
        <v>1</v>
      </c>
      <c r="Z41" s="138" t="b">
        <f t="shared" ca="1" si="8"/>
        <v>1</v>
      </c>
      <c r="AA41" s="138" t="b">
        <f t="shared" ca="1" si="8"/>
        <v>1</v>
      </c>
      <c r="AB41" s="138" t="b">
        <f t="shared" ca="1" si="8"/>
        <v>1</v>
      </c>
      <c r="AC41" s="138" t="b">
        <f t="shared" ca="1" si="8"/>
        <v>1</v>
      </c>
      <c r="AD41" s="138" t="b">
        <f ca="1">ROUND(AD40,4)=ROUND(AD38,4)</f>
        <v>1</v>
      </c>
      <c r="AE41" s="138" t="b">
        <f ca="1">ROUND(AE40,4)=ROUND(AE38,4)</f>
        <v>1</v>
      </c>
      <c r="AF41" s="138" t="b">
        <f ca="1">ROUND(AF40,4)=ROUND(AF38,4)</f>
        <v>1</v>
      </c>
      <c r="AG41" s="135"/>
      <c r="AH41" s="135"/>
      <c r="AI41" s="47"/>
      <c r="AJ41" s="138" t="b">
        <f t="shared" ref="AJ41:AO41" ca="1" si="9">ROUND(AJ40,4)=ROUND(AJ38,4)</f>
        <v>1</v>
      </c>
      <c r="AK41" s="138" t="b">
        <f t="shared" ca="1" si="9"/>
        <v>0</v>
      </c>
      <c r="AL41" s="138" t="b">
        <f t="shared" ca="1" si="9"/>
        <v>1</v>
      </c>
      <c r="AM41" s="138" t="b">
        <f t="shared" ca="1" si="9"/>
        <v>1</v>
      </c>
      <c r="AN41" s="138" t="b">
        <f t="shared" ca="1" si="9"/>
        <v>1</v>
      </c>
      <c r="AO41" s="138" t="b">
        <f t="shared" ca="1" si="9"/>
        <v>1</v>
      </c>
      <c r="AP41" s="135"/>
      <c r="AQ41" s="135"/>
      <c r="AR41" s="135"/>
      <c r="AS41" s="135"/>
      <c r="AT41" s="135"/>
      <c r="AU41" s="135"/>
      <c r="AV41" s="135"/>
      <c r="AW41" s="135"/>
      <c r="AX41" s="135"/>
      <c r="AY41" s="135"/>
      <c r="AZ41" s="135"/>
      <c r="BA41" s="135"/>
      <c r="BB41" s="135"/>
      <c r="BC41" s="135"/>
      <c r="BD41" s="135"/>
      <c r="BE41" s="135"/>
      <c r="BF41" s="135"/>
      <c r="BG41" s="135"/>
      <c r="BH41" s="135"/>
      <c r="BI41" s="135"/>
      <c r="BJ41" s="135"/>
      <c r="BK41" s="135"/>
      <c r="BL41" s="135"/>
      <c r="BM41" s="135"/>
      <c r="BN41" s="135"/>
      <c r="BO41" s="135"/>
      <c r="BP41" s="135"/>
      <c r="BQ41" s="135"/>
      <c r="BR41" s="135"/>
      <c r="BS41" s="135"/>
      <c r="BT41" s="135"/>
      <c r="BU41" s="135"/>
      <c r="BV41" s="135"/>
    </row>
  </sheetData>
  <mergeCells count="15">
    <mergeCell ref="G12:U12"/>
    <mergeCell ref="W12:AF12"/>
    <mergeCell ref="AJ12:AO12"/>
    <mergeCell ref="F38:F41"/>
    <mergeCell ref="B3:E3"/>
    <mergeCell ref="B4:E4"/>
    <mergeCell ref="B5:E5"/>
    <mergeCell ref="A1:D1"/>
    <mergeCell ref="A3:A11"/>
    <mergeCell ref="B10:E10"/>
    <mergeCell ref="B11:E11"/>
    <mergeCell ref="B7:E7"/>
    <mergeCell ref="B8:E8"/>
    <mergeCell ref="B6:C6"/>
    <mergeCell ref="D6:E6"/>
  </mergeCells>
  <conditionalFormatting sqref="B11">
    <cfRule type="expression" dxfId="29" priority="3">
      <formula>B$40=FALSE</formula>
    </cfRule>
  </conditionalFormatting>
  <conditionalFormatting sqref="G38:U41">
    <cfRule type="expression" dxfId="28" priority="1">
      <formula>G$41=FALSE</formula>
    </cfRule>
  </conditionalFormatting>
  <conditionalFormatting sqref="W38:AF41 AJ38:AO41">
    <cfRule type="expression" dxfId="27" priority="11">
      <formula>W$41=FALSE</formula>
    </cfRule>
  </conditionalFormatting>
  <hyperlinks>
    <hyperlink ref="A1" location="Content!A1" display="Go to Content" xr:uid="{F2B84C6E-5B7B-49BA-8F1F-77C1ABC76C34}"/>
    <hyperlink ref="A1:E1" location="Content!A1" display="Go to Content Sheet" xr:uid="{5FFCF812-BE3D-4AA2-80A1-B95AC3D9F642}"/>
    <hyperlink ref="B7" location="Content!A1" display="Go to Content" xr:uid="{9F1A982E-CFE0-43A2-8C0C-A422829FC35D}"/>
    <hyperlink ref="B7:E7" location="Content!A1" display="Go to Content" xr:uid="{362D2D55-5CAA-45CA-A9A5-BB3202F62656}"/>
  </hyperlinks>
  <pageMargins left="0.7" right="0.7" top="0.78740157499999996" bottom="0.78740157499999996"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10B9B-0BCA-475D-9064-AF2D318BEF66}">
  <sheetPr codeName="Tabelle14">
    <tabColor rgb="FF00B0F0"/>
    <outlinePr summaryBelow="0" summaryRight="0"/>
  </sheetPr>
  <dimension ref="A1:AC111"/>
  <sheetViews>
    <sheetView zoomScale="130" zoomScaleNormal="130" workbookViewId="0">
      <selection activeCell="O48" sqref="O48"/>
    </sheetView>
  </sheetViews>
  <sheetFormatPr baseColWidth="10" defaultColWidth="20.5703125" defaultRowHeight="15" outlineLevelCol="1"/>
  <cols>
    <col min="1" max="1" width="8.140625" style="51" customWidth="1"/>
    <col min="2" max="2" width="36.5703125" style="51" customWidth="1"/>
    <col min="3" max="5" width="8.85546875" style="51" customWidth="1"/>
    <col min="6" max="6" width="22.5703125" style="51" customWidth="1"/>
    <col min="7" max="7" width="19" style="51" customWidth="1"/>
    <col min="8" max="8" width="34.140625" style="51" customWidth="1"/>
    <col min="9" max="10" width="8.85546875" style="51" customWidth="1"/>
    <col min="11" max="11" width="13.140625" style="51" bestFit="1" customWidth="1"/>
    <col min="12" max="12" width="22.140625" style="51" customWidth="1"/>
    <col min="13" max="13" width="20.85546875" style="51" customWidth="1"/>
    <col min="14" max="14" width="26.85546875" style="4" customWidth="1"/>
    <col min="15" max="15" width="27.140625" style="4" customWidth="1"/>
    <col min="16" max="16" width="29.140625" style="51" customWidth="1"/>
    <col min="17" max="17" width="127.5703125" style="51" customWidth="1" collapsed="1"/>
    <col min="18" max="18" width="20.140625" style="51" hidden="1" customWidth="1" outlineLevel="1"/>
    <col min="19" max="19" width="111.140625" style="51" hidden="1" customWidth="1" outlineLevel="1"/>
    <col min="20" max="22" width="20.5703125" style="51" hidden="1" customWidth="1" outlineLevel="1"/>
    <col min="23" max="16384" width="20.5703125" style="51"/>
  </cols>
  <sheetData>
    <row r="1" spans="1:21" s="44" customFormat="1">
      <c r="A1" s="1048" t="s">
        <v>451</v>
      </c>
      <c r="B1" s="1048"/>
      <c r="C1" s="1048"/>
      <c r="D1" s="1048"/>
      <c r="E1" s="1048"/>
      <c r="F1" s="1048"/>
      <c r="G1" s="1048"/>
      <c r="H1" s="1048"/>
      <c r="I1" s="1048"/>
      <c r="J1" s="1048"/>
      <c r="K1" s="1048"/>
      <c r="L1" s="1048"/>
      <c r="M1" s="46"/>
      <c r="N1" s="7"/>
      <c r="R1" s="13"/>
      <c r="S1" s="13"/>
      <c r="T1" s="13"/>
      <c r="U1" s="13"/>
    </row>
    <row r="2" spans="1:21" s="44" customFormat="1" ht="15" customHeight="1">
      <c r="A2" s="49"/>
      <c r="B2" s="49"/>
      <c r="C2" s="49"/>
      <c r="D2" s="49"/>
      <c r="E2" s="49"/>
      <c r="F2" s="49"/>
      <c r="G2" s="49"/>
      <c r="H2" s="49"/>
      <c r="I2" s="49"/>
      <c r="J2" s="49"/>
      <c r="K2" s="49"/>
      <c r="L2" s="49"/>
      <c r="M2" s="49"/>
      <c r="N2" s="7"/>
      <c r="R2" s="13"/>
      <c r="S2" s="13"/>
      <c r="T2" s="13"/>
      <c r="U2" s="13"/>
    </row>
    <row r="3" spans="1:21" s="44" customFormat="1" ht="15" customHeight="1" thickBot="1">
      <c r="A3" s="1166" t="s">
        <v>58</v>
      </c>
      <c r="B3" s="1089" t="s">
        <v>46</v>
      </c>
      <c r="C3" s="1089"/>
      <c r="D3" s="1089"/>
      <c r="E3" s="1089"/>
      <c r="F3" s="1089"/>
      <c r="G3" s="1089"/>
      <c r="H3" s="1089"/>
      <c r="I3" s="1089"/>
      <c r="J3" s="1089"/>
      <c r="K3" s="1089"/>
      <c r="L3" s="1089"/>
      <c r="M3" s="145"/>
      <c r="N3" s="7"/>
      <c r="R3" s="13"/>
      <c r="S3" s="13" t="str">
        <f>"Max. waste heat load available: "&amp;MAX('Definition of Typical Day'!E35:X58)&amp;" MW"</f>
        <v>Max. waste heat load available: 2 MW</v>
      </c>
      <c r="T3" s="13"/>
      <c r="U3" s="13"/>
    </row>
    <row r="4" spans="1:21" s="44" customFormat="1" ht="15" customHeight="1" thickTop="1">
      <c r="A4" s="1166"/>
      <c r="B4" s="1054" t="s">
        <v>47</v>
      </c>
      <c r="C4" s="1054"/>
      <c r="D4" s="1054"/>
      <c r="E4" s="1054"/>
      <c r="F4" s="1054"/>
      <c r="G4" s="1054"/>
      <c r="H4" s="1054"/>
      <c r="I4" s="1054"/>
      <c r="J4" s="1054"/>
      <c r="K4" s="1054"/>
      <c r="L4" s="1054"/>
      <c r="M4" s="146"/>
      <c r="N4" s="7"/>
      <c r="R4" s="13"/>
      <c r="S4" s="13" t="str">
        <f>"T source HP, out: "&amp;T4&amp;" °C"</f>
        <v>T source HP, out: 28 °C</v>
      </c>
      <c r="T4" s="50">
        <f>'Project Setting'!F19</f>
        <v>28</v>
      </c>
      <c r="U4" s="13" t="str">
        <f>"P th_nominal_out:    "&amp;'Project Setting'!F14&amp;"MW_th"</f>
        <v>P th_nominal_out:    3MW_th</v>
      </c>
    </row>
    <row r="5" spans="1:21" s="44" customFormat="1" ht="15" customHeight="1">
      <c r="A5" s="1166"/>
      <c r="B5" s="1055" t="s">
        <v>48</v>
      </c>
      <c r="C5" s="1055"/>
      <c r="D5" s="1055"/>
      <c r="E5" s="1055"/>
      <c r="F5" s="1055"/>
      <c r="G5" s="1055"/>
      <c r="H5" s="1055"/>
      <c r="I5" s="1055"/>
      <c r="J5" s="1055"/>
      <c r="K5" s="1055"/>
      <c r="L5" s="1055"/>
      <c r="M5" s="147"/>
      <c r="N5" s="7"/>
      <c r="R5" s="13"/>
      <c r="S5" s="13" t="str">
        <f ca="1">"T source, in: "&amp;T5&amp;" °C"</f>
        <v>T source, in: 40 °C</v>
      </c>
      <c r="T5" s="44">
        <f ca="1">ROUND('Calculation of Typical Year'!E93,1)</f>
        <v>40</v>
      </c>
      <c r="U5" s="13" t="str">
        <f>"COP nom.: "&amp;'Project Setting'!F16&amp;" at"</f>
        <v>COP nom.: 3 at</v>
      </c>
    </row>
    <row r="6" spans="1:21" s="44" customFormat="1" ht="15" customHeight="1">
      <c r="A6" s="1166"/>
      <c r="B6" s="1056" t="s">
        <v>49</v>
      </c>
      <c r="C6" s="1056"/>
      <c r="D6" s="1056"/>
      <c r="E6" s="1056"/>
      <c r="F6" s="1056"/>
      <c r="G6" s="1056"/>
      <c r="H6" s="1056"/>
      <c r="I6" s="1056"/>
      <c r="J6" s="1056"/>
      <c r="K6" s="1056"/>
      <c r="L6" s="1056"/>
      <c r="M6" s="148"/>
      <c r="N6" s="7"/>
      <c r="R6" s="13"/>
      <c r="S6" s="13" t="str">
        <f ca="1">"T source HP, in: "&amp;T6&amp;" °C"</f>
        <v>T source HP, in: 37 °C</v>
      </c>
      <c r="T6" s="44">
        <f ca="1">ROUND('Calculation of Typical Year'!F93,1)</f>
        <v>37</v>
      </c>
      <c r="U6" s="13"/>
    </row>
    <row r="7" spans="1:21" s="44" customFormat="1">
      <c r="A7" s="1166"/>
      <c r="B7" s="1048" t="s">
        <v>57</v>
      </c>
      <c r="C7" s="1048"/>
      <c r="D7" s="1048"/>
      <c r="E7" s="1048"/>
      <c r="F7" s="1048"/>
      <c r="G7" s="1048"/>
      <c r="H7" s="1048"/>
      <c r="I7" s="1048"/>
      <c r="J7" s="1048"/>
      <c r="K7" s="1048"/>
      <c r="L7" s="1048"/>
      <c r="M7" s="46"/>
      <c r="N7" s="7"/>
      <c r="R7" s="13"/>
      <c r="S7" s="13" t="str">
        <f ca="1">"T sink HP, in: "&amp;T7&amp;" °C"</f>
        <v>T sink HP, in: 48 °C</v>
      </c>
      <c r="T7" s="44">
        <f ca="1">ROUND('Calculation of Typical Year'!J93,1)</f>
        <v>48</v>
      </c>
      <c r="U7" s="13" t="str">
        <f>"P th: "&amp;'Project Setting'!F55&amp;" MW_th"</f>
        <v>P th: 0.5 MW_th</v>
      </c>
    </row>
    <row r="8" spans="1:21" s="44" customFormat="1" ht="15" customHeight="1">
      <c r="A8" s="1166"/>
      <c r="B8" s="1051" t="s">
        <v>51</v>
      </c>
      <c r="C8" s="1051"/>
      <c r="D8" s="1051"/>
      <c r="E8" s="1051"/>
      <c r="F8" s="1051"/>
      <c r="G8" s="1051"/>
      <c r="H8" s="1051"/>
      <c r="I8" s="1051"/>
      <c r="J8" s="1051"/>
      <c r="K8" s="1051"/>
      <c r="L8" s="1051"/>
      <c r="M8" s="149"/>
      <c r="N8" s="7"/>
      <c r="R8" s="13"/>
      <c r="S8" s="13" t="str">
        <f ca="1">"T sink HP, out: "&amp;T8&amp;" °C"</f>
        <v>T sink HP, out: 80.1 °C</v>
      </c>
      <c r="T8" s="44">
        <f ca="1">ROUND('Calculation of Typical Year'!H93,1)</f>
        <v>80.099999999999994</v>
      </c>
      <c r="U8" s="13"/>
    </row>
    <row r="9" spans="1:21" s="44" customFormat="1">
      <c r="A9" s="1166"/>
      <c r="B9" s="152"/>
      <c r="C9" s="152"/>
      <c r="D9" s="152"/>
      <c r="E9" s="152"/>
      <c r="F9" s="152"/>
      <c r="G9" s="152"/>
      <c r="H9" s="152"/>
      <c r="I9" s="152"/>
      <c r="J9" s="152"/>
      <c r="K9" s="152"/>
      <c r="L9" s="152"/>
      <c r="M9" s="149"/>
      <c r="N9" s="7"/>
      <c r="R9" s="14"/>
      <c r="S9" s="13" t="str">
        <f ca="1">"T supply line DH: "&amp;T9&amp;" °C"</f>
        <v>T supply line DH: 77.1 °C</v>
      </c>
      <c r="T9" s="44">
        <f ca="1">ROUND('Calculation of Typical Year'!G93,1)</f>
        <v>77.099999999999994</v>
      </c>
    </row>
    <row r="10" spans="1:21">
      <c r="A10" s="1166"/>
      <c r="B10" s="1049" t="s">
        <v>53</v>
      </c>
      <c r="C10" s="1049"/>
      <c r="D10" s="1049"/>
      <c r="E10" s="1049"/>
      <c r="F10" s="1049"/>
      <c r="G10" s="1049"/>
      <c r="H10" s="1049"/>
      <c r="I10" s="1049"/>
      <c r="J10" s="1049"/>
      <c r="K10" s="1049"/>
      <c r="L10" s="1049"/>
      <c r="M10" s="150"/>
      <c r="N10" s="7"/>
      <c r="O10" s="7"/>
      <c r="P10" s="7"/>
      <c r="Q10" s="7"/>
      <c r="R10" s="14"/>
      <c r="S10" s="13" t="str">
        <f ca="1">"T return line DH: "&amp;T10&amp;" °C"</f>
        <v>T return line DH: 45 °C</v>
      </c>
      <c r="T10" s="44">
        <f ca="1">ROUND('Calculation of Typical Year'!I93,1)</f>
        <v>45</v>
      </c>
    </row>
    <row r="11" spans="1:21">
      <c r="A11" s="1166"/>
      <c r="B11" s="1050" t="s">
        <v>54</v>
      </c>
      <c r="C11" s="1050"/>
      <c r="D11" s="1050"/>
      <c r="E11" s="1050"/>
      <c r="F11" s="1050"/>
      <c r="G11" s="1050"/>
      <c r="H11" s="1050"/>
      <c r="I11" s="1050"/>
      <c r="J11" s="1050"/>
      <c r="K11" s="1050"/>
      <c r="L11" s="1050"/>
      <c r="M11" s="151"/>
      <c r="N11" s="7"/>
      <c r="O11" s="7"/>
      <c r="P11" s="7"/>
      <c r="Q11" s="7"/>
      <c r="R11" s="14"/>
      <c r="S11" s="13" t="str">
        <f>"HEx 1, Delta T: "&amp;'Project Setting'!F22&amp;" K"</f>
        <v>HEx 1, Delta T: 3 K</v>
      </c>
      <c r="T11" s="13"/>
      <c r="U11" s="13"/>
    </row>
    <row r="12" spans="1:21">
      <c r="A12" s="7"/>
      <c r="B12" s="7"/>
      <c r="C12" s="7"/>
      <c r="D12" s="7"/>
      <c r="E12" s="7"/>
      <c r="F12" s="7"/>
      <c r="G12" s="7"/>
      <c r="H12" s="7"/>
      <c r="I12" s="7"/>
      <c r="J12" s="7"/>
      <c r="K12" s="7"/>
      <c r="L12" s="7"/>
      <c r="M12" s="7"/>
      <c r="N12" s="7"/>
      <c r="O12" s="7"/>
      <c r="P12" s="7"/>
      <c r="Q12" s="7"/>
      <c r="R12" s="14"/>
      <c r="S12" s="327" t="str">
        <f>"HEx 2, Delta T: "&amp;'Project Setting'!F21&amp;" K"</f>
        <v>HEx 2, Delta T: 3 K</v>
      </c>
    </row>
    <row r="13" spans="1:21" ht="22.35" customHeight="1">
      <c r="B13" s="1163" t="s">
        <v>452</v>
      </c>
      <c r="C13" s="1164"/>
      <c r="D13" s="1164"/>
      <c r="E13" s="1164"/>
      <c r="F13" s="1164"/>
      <c r="G13" s="1164"/>
      <c r="H13" s="1164"/>
      <c r="I13" s="1164"/>
      <c r="J13" s="1164"/>
      <c r="K13" s="1164"/>
      <c r="L13" s="1165"/>
      <c r="S13" s="15" t="str">
        <f>"Price p_0 (paid to external entity): "&amp;T13 &amp;" [EUR/MWh_heat_provided_by_DC]"</f>
        <v>Price p_0 (paid to external entity): 0 [EUR/MWh_heat_provided_by_DC]</v>
      </c>
      <c r="T13" s="16">
        <f>'Project Setting'!F112</f>
        <v>0</v>
      </c>
      <c r="U13" s="13"/>
    </row>
    <row r="14" spans="1:21">
      <c r="B14" s="525"/>
      <c r="C14" s="7"/>
      <c r="D14" s="7"/>
      <c r="E14" s="7"/>
      <c r="F14" s="7"/>
      <c r="G14" s="7"/>
      <c r="H14" s="7"/>
      <c r="I14" s="7"/>
      <c r="J14" s="7"/>
      <c r="K14" s="7"/>
      <c r="L14" s="526"/>
      <c r="S14" s="15" t="str">
        <f>"Negotiated price p_1: "&amp;T14&amp;U14</f>
        <v>Negotiated price p_1: 2 [EUR/MWh_heat_provided_by_DC]</v>
      </c>
      <c r="T14" s="17">
        <f>F16</f>
        <v>2</v>
      </c>
      <c r="U14" s="13" t="str">
        <f>IF(T15=1," [EUR/MWh_heat_provided_by_DC]",IF(T15=2," [EUR/MWh_waste_heat_utilized_in_HP]"," [ERROR: Incorrect Contract Type]"))</f>
        <v xml:space="preserve"> [EUR/MWh_heat_provided_by_DC]</v>
      </c>
    </row>
    <row r="15" spans="1:21" ht="27.6" customHeight="1">
      <c r="B15" s="531" t="s">
        <v>453</v>
      </c>
      <c r="C15" s="1150" t="str">
        <f>U15</f>
        <v>Take-or-pay</v>
      </c>
      <c r="D15" s="1150"/>
      <c r="E15" s="1150"/>
      <c r="F15" s="533">
        <v>1</v>
      </c>
      <c r="G15" s="1152" t="s">
        <v>454</v>
      </c>
      <c r="H15" s="1152"/>
      <c r="I15" s="1152"/>
      <c r="J15" s="1153"/>
      <c r="K15" s="7"/>
      <c r="L15" s="526"/>
      <c r="N15" s="368" t="str">
        <f>O15</f>
        <v/>
      </c>
      <c r="O15" s="160" t="str">
        <f>IF(IFERROR((1+F15)*1, "!!!!")="!!!!","Inputs contain non-numerical data. Please check your input data!","")</f>
        <v/>
      </c>
      <c r="S15" s="18" t="str">
        <f>"Contract type: "&amp;U15</f>
        <v>Contract type: Take-or-pay</v>
      </c>
      <c r="T15" s="13">
        <f>F15</f>
        <v>1</v>
      </c>
      <c r="U15" s="13" t="str">
        <f>IF(T15=1, "Take-or-pay",IF(T15=2,"Pay-as-you-go","Invalid Contract Type"))</f>
        <v>Take-or-pay</v>
      </c>
    </row>
    <row r="16" spans="1:21" ht="42.6" customHeight="1">
      <c r="B16" s="531" t="s">
        <v>455</v>
      </c>
      <c r="C16" s="1150" t="str">
        <f>U14</f>
        <v xml:space="preserve"> [EUR/MWh_heat_provided_by_DC]</v>
      </c>
      <c r="D16" s="1150"/>
      <c r="E16" s="1150"/>
      <c r="F16" s="536">
        <v>2</v>
      </c>
      <c r="G16" s="1152" t="s">
        <v>456</v>
      </c>
      <c r="H16" s="1152"/>
      <c r="I16" s="1152"/>
      <c r="J16" s="1153"/>
      <c r="K16" s="1156" t="str">
        <f ca="1">S17</f>
        <v>Expected IRR of Contractor 1 / DH operator cannot be met</v>
      </c>
      <c r="L16" s="1157"/>
      <c r="N16" s="368" t="str">
        <f>O16</f>
        <v/>
      </c>
      <c r="O16" s="160" t="str">
        <f>IF(IFERROR((1+F16)*1, "!!!!")="!!!!","Inputs contain non-numerical data. Please check your input data!","")</f>
        <v/>
      </c>
      <c r="S16" s="18"/>
      <c r="T16" s="13"/>
      <c r="U16" s="13"/>
    </row>
    <row r="17" spans="2:22" ht="42" customHeight="1">
      <c r="B17" s="534" t="s">
        <v>457</v>
      </c>
      <c r="C17" s="1151" t="s">
        <v>458</v>
      </c>
      <c r="D17" s="1151"/>
      <c r="E17" s="1151"/>
      <c r="F17" s="535">
        <v>0</v>
      </c>
      <c r="G17" s="1154" t="s">
        <v>459</v>
      </c>
      <c r="H17" s="1154"/>
      <c r="I17" s="1154"/>
      <c r="J17" s="1155"/>
      <c r="K17" s="7"/>
      <c r="L17" s="527"/>
      <c r="N17" s="368" t="str">
        <f>O17</f>
        <v/>
      </c>
      <c r="O17" s="160" t="str">
        <f>IF(IFERROR((1+F17)*1, "!!!!")="!!!!","Inputs contain non-numerical data. Please check your input data!","")</f>
        <v/>
      </c>
      <c r="S17" s="328" t="str">
        <f ca="1">IF(F16&gt;T17,"Expected IRR of Contractor 1 / DH operator cannot be met","")</f>
        <v>Expected IRR of Contractor 1 / DH operator cannot be met</v>
      </c>
      <c r="T17" s="51">
        <f ca="1">IF(T15=2,'Calculation Break-Even'!G78,IF(T15=1,'Calculation Break-Even'!G79,"----"))</f>
        <v>-3.1671967701346104</v>
      </c>
    </row>
    <row r="18" spans="2:22">
      <c r="B18" s="525"/>
      <c r="C18" s="7"/>
      <c r="D18" s="7"/>
      <c r="E18" s="7"/>
      <c r="F18" s="7"/>
      <c r="G18" s="7"/>
      <c r="H18" s="7"/>
      <c r="I18" s="7"/>
      <c r="J18" s="7"/>
      <c r="K18" s="7"/>
      <c r="L18" s="527"/>
      <c r="N18" s="368"/>
      <c r="S18" s="54" t="str">
        <f ca="1">IF(LOWER(T18)="ok","Expected IRR of Contractor 1 / DH Operator is met.","Expected IRR of Contractor 1 / DH operator is not met.")</f>
        <v>Expected IRR of Contractor 1 / DH operator is not met.</v>
      </c>
      <c r="T18" s="51" t="str">
        <f ca="1">IF('Calculation IRR'!F25&gt;'Calculation IRR'!D26,"Ok","IRR too low")</f>
        <v>IRR too low</v>
      </c>
      <c r="V18" s="51">
        <f ca="1">'Calculation IRR'!F25</f>
        <v>1.9762012192563017E-2</v>
      </c>
    </row>
    <row r="19" spans="2:22" ht="30.6" customHeight="1">
      <c r="B19" s="540" t="s">
        <v>298</v>
      </c>
      <c r="C19" s="537"/>
      <c r="D19" s="537"/>
      <c r="E19" s="537"/>
      <c r="F19" s="541" t="s">
        <v>460</v>
      </c>
      <c r="G19" s="537"/>
      <c r="H19" s="1138" t="s">
        <v>461</v>
      </c>
      <c r="I19" s="1138"/>
      <c r="J19" s="1138"/>
      <c r="K19" s="537"/>
      <c r="L19" s="544" t="s">
        <v>462</v>
      </c>
      <c r="N19" s="368"/>
      <c r="Q19" s="7"/>
      <c r="R19" s="14" t="s">
        <v>463</v>
      </c>
      <c r="S19" s="18" t="str">
        <f ca="1">"Waste heat supplied by the DC: "&amp;ROUND(T19,2) &amp;" GWh/yr"</f>
        <v>Waste heat supplied by the DC: 17.38 GWh/yr</v>
      </c>
      <c r="T19" s="13">
        <f ca="1">'Calculation Break-Even'!E67/1000</f>
        <v>17.383763608087094</v>
      </c>
      <c r="U19" s="13"/>
      <c r="V19" s="330">
        <f>'Calculation IRR'!D26</f>
        <v>0.05</v>
      </c>
    </row>
    <row r="20" spans="2:22" ht="15.6" customHeight="1">
      <c r="B20" s="575" t="s">
        <v>464</v>
      </c>
      <c r="C20" s="576"/>
      <c r="D20" s="577" t="s">
        <v>113</v>
      </c>
      <c r="E20" s="550">
        <f>'Project Setting'!$F$105</f>
        <v>500000</v>
      </c>
      <c r="F20" s="578">
        <v>0</v>
      </c>
      <c r="G20" s="56"/>
      <c r="H20" s="560" t="s">
        <v>465</v>
      </c>
      <c r="I20" s="561"/>
      <c r="J20" s="554" t="s">
        <v>120</v>
      </c>
      <c r="K20" s="555">
        <f>'Project Setting'!$F$110</f>
        <v>50000</v>
      </c>
      <c r="L20" s="562">
        <v>0</v>
      </c>
      <c r="M20" s="2"/>
      <c r="N20" s="368" t="str">
        <f>O20</f>
        <v/>
      </c>
      <c r="O20" s="160" t="str">
        <f>IF(IFERROR((L20+F20)*1, "!!!!")="!!!!","Inputs contain non-numerical data. Please check your input data!","")</f>
        <v/>
      </c>
      <c r="Q20" s="7"/>
      <c r="R20" s="14"/>
      <c r="S20" s="18" t="str">
        <f ca="1">"Waste heat utilised in the HP: "&amp;ROUND(T20,2) &amp;" GWh/yr"</f>
        <v>Waste heat utilised in the HP: 16.38 GWh/yr</v>
      </c>
      <c r="T20" s="13">
        <f ca="1">'Calculation Break-Even'!E66/1000</f>
        <v>16.380921539280589</v>
      </c>
      <c r="U20" s="13"/>
    </row>
    <row r="21" spans="2:22" ht="15.6" customHeight="1">
      <c r="B21" s="1146" t="s">
        <v>466</v>
      </c>
      <c r="C21" s="1147"/>
      <c r="D21" s="554" t="s">
        <v>113</v>
      </c>
      <c r="E21" s="555">
        <f>'Project Setting'!$F$106</f>
        <v>126000</v>
      </c>
      <c r="F21" s="562">
        <v>0</v>
      </c>
      <c r="G21" s="56"/>
      <c r="H21" s="581" t="s">
        <v>467</v>
      </c>
      <c r="I21" s="582"/>
      <c r="J21" s="571" t="s">
        <v>120</v>
      </c>
      <c r="K21" s="559">
        <f ca="1">'Calculation of Typical Year'!BG16</f>
        <v>0</v>
      </c>
      <c r="L21" s="583">
        <v>0</v>
      </c>
      <c r="M21" s="2"/>
      <c r="N21" s="368" t="str">
        <f>O21</f>
        <v/>
      </c>
      <c r="O21" s="160" t="str">
        <f>IF(IFERROR((L21+F21)*1, "!!!!")="!!!!","Inputs contain non-numerical data. Please check your input data!","")</f>
        <v/>
      </c>
      <c r="Q21" s="7"/>
      <c r="R21" s="18"/>
      <c r="S21" s="18" t="str">
        <f ca="1">"Heat fed into grid: "&amp;ROUND(T21/1000,2)&amp;" GWh/yr"</f>
        <v>Heat fed into grid: 22.9 GWh/yr</v>
      </c>
      <c r="T21" s="18">
        <f ca="1">'Calculation Break-Even'!E65</f>
        <v>22900.263526924246</v>
      </c>
      <c r="U21" s="18"/>
    </row>
    <row r="22" spans="2:22" ht="15.6" customHeight="1">
      <c r="B22" s="1146" t="s">
        <v>468</v>
      </c>
      <c r="C22" s="1147"/>
      <c r="D22" s="519" t="s">
        <v>113</v>
      </c>
      <c r="E22" s="547">
        <f>'Project Setting'!$F$109</f>
        <v>50080</v>
      </c>
      <c r="F22" s="579">
        <v>0</v>
      </c>
      <c r="G22" s="56"/>
      <c r="H22" s="327"/>
      <c r="I22" s="327"/>
      <c r="J22" s="584"/>
      <c r="K22" s="327"/>
      <c r="L22" s="585"/>
      <c r="N22" s="368" t="str">
        <f>O22</f>
        <v/>
      </c>
      <c r="O22" s="160" t="str">
        <f>IF(IFERROR((L22+F22)*1, "!!!!")="!!!!","Inputs contain non-numerical data. Please check your input data!","")</f>
        <v/>
      </c>
      <c r="Q22" s="7"/>
      <c r="R22" s="14"/>
      <c r="S22" s="18"/>
      <c r="T22" s="13"/>
      <c r="U22" s="13"/>
    </row>
    <row r="23" spans="2:22" ht="15.6" customHeight="1">
      <c r="B23" s="552" t="s">
        <v>469</v>
      </c>
      <c r="C23" s="553"/>
      <c r="D23" s="564" t="s">
        <v>113</v>
      </c>
      <c r="E23" s="565">
        <f>SUM(E20:E22)</f>
        <v>676080</v>
      </c>
      <c r="F23" s="580"/>
      <c r="G23" s="56"/>
      <c r="H23" s="1144" t="s">
        <v>470</v>
      </c>
      <c r="I23" s="1145"/>
      <c r="J23" s="564" t="s">
        <v>120</v>
      </c>
      <c r="K23" s="565">
        <f ca="1">SUM(K20:K21)</f>
        <v>50000</v>
      </c>
      <c r="L23" s="580"/>
      <c r="N23" s="368"/>
      <c r="O23" s="51"/>
      <c r="Q23" s="7"/>
      <c r="R23" s="14"/>
      <c r="S23" s="18" t="str">
        <f ca="1">"Electricity input HP: "&amp;ROUND(T23,2) &amp;" GWh/yr"</f>
        <v>Electricity input HP: 6.7 GWh/yr</v>
      </c>
      <c r="T23" s="13">
        <f ca="1">'Calculation of Typical Year'!AC37/1000</f>
        <v>6.7031865273465252</v>
      </c>
      <c r="U23" s="13"/>
    </row>
    <row r="24" spans="2:22">
      <c r="B24" s="538"/>
      <c r="C24" s="135"/>
      <c r="D24" s="135"/>
      <c r="E24" s="135"/>
      <c r="F24" s="539"/>
      <c r="G24" s="56"/>
      <c r="H24" s="57"/>
      <c r="I24" s="56"/>
      <c r="J24" s="524"/>
      <c r="K24" s="57"/>
      <c r="L24" s="528"/>
      <c r="N24" s="368"/>
      <c r="O24" s="51"/>
      <c r="R24" s="14"/>
      <c r="S24" s="18" t="str">
        <f ca="1">"Electricity / fuel input booster: "&amp;ROUND(T24/1000,2) &amp;" GWh/yr"</f>
        <v>Electricity / fuel input booster: 0.05 GWh/yr</v>
      </c>
      <c r="T24" s="19">
        <f ca="1">'Calculation of Typical Year'!AD37</f>
        <v>47.950761109480815</v>
      </c>
    </row>
    <row r="25" spans="2:22" ht="29.1" customHeight="1">
      <c r="B25" s="540" t="s">
        <v>471</v>
      </c>
      <c r="C25" s="537"/>
      <c r="D25" s="537"/>
      <c r="E25" s="537"/>
      <c r="F25" s="541" t="s">
        <v>243</v>
      </c>
      <c r="G25" s="537"/>
      <c r="H25" s="542" t="s">
        <v>472</v>
      </c>
      <c r="I25" s="537"/>
      <c r="J25" s="537"/>
      <c r="K25" s="537"/>
      <c r="L25" s="544" t="s">
        <v>462</v>
      </c>
      <c r="N25" s="368"/>
      <c r="O25" s="51"/>
      <c r="R25" s="14"/>
      <c r="S25" s="18" t="str">
        <f ca="1">"Annual SCOP heat pump: "&amp;ROUND(T25,2)</f>
        <v>Annual SCOP heat pump: 3.44</v>
      </c>
      <c r="T25" s="13">
        <f ca="1">IF(T23&gt;0,(T20+T23)/T23,"---")</f>
        <v>3.44375141172821</v>
      </c>
    </row>
    <row r="26" spans="2:22" ht="15.6" customHeight="1">
      <c r="B26" s="1146" t="s">
        <v>473</v>
      </c>
      <c r="C26" s="1147"/>
      <c r="D26" s="554" t="s">
        <v>113</v>
      </c>
      <c r="E26" s="555">
        <f>'Project Setting'!$F$114</f>
        <v>0</v>
      </c>
      <c r="F26" s="562">
        <v>0</v>
      </c>
      <c r="G26" s="327"/>
      <c r="H26" s="531" t="s">
        <v>474</v>
      </c>
      <c r="I26" s="563"/>
      <c r="J26" s="554" t="s">
        <v>120</v>
      </c>
      <c r="K26" s="555">
        <f ca="1">'Calculation of Typical Year'!BG23</f>
        <v>32761.843078561178</v>
      </c>
      <c r="L26" s="562">
        <v>0</v>
      </c>
      <c r="M26" s="2"/>
      <c r="N26" s="368" t="str">
        <f>O26</f>
        <v/>
      </c>
      <c r="O26" s="160" t="str">
        <f>IF(IFERROR((L26+F26)*1, "!!!!")="!!!!","Inputs contain non-numerical data. Please check your input data!","")</f>
        <v/>
      </c>
      <c r="R26" s="7"/>
      <c r="S26" s="9"/>
      <c r="T26" s="44"/>
    </row>
    <row r="27" spans="2:22" ht="15.6" customHeight="1">
      <c r="B27" s="552" t="s">
        <v>469</v>
      </c>
      <c r="C27" s="553"/>
      <c r="D27" s="564" t="s">
        <v>113</v>
      </c>
      <c r="E27" s="565">
        <f>SUM(E26)</f>
        <v>0</v>
      </c>
      <c r="F27" s="566"/>
      <c r="G27" s="327"/>
      <c r="H27" s="1144" t="s">
        <v>475</v>
      </c>
      <c r="I27" s="1145"/>
      <c r="J27" s="567" t="s">
        <v>120</v>
      </c>
      <c r="K27" s="568">
        <f ca="1">SUM(K26)</f>
        <v>32761.843078561178</v>
      </c>
      <c r="L27" s="569"/>
      <c r="N27" s="368"/>
      <c r="O27" s="368"/>
      <c r="R27" s="14"/>
      <c r="S27" s="18"/>
      <c r="T27" s="13"/>
    </row>
    <row r="28" spans="2:22">
      <c r="B28" s="529"/>
      <c r="C28" s="56"/>
      <c r="D28" s="56"/>
      <c r="E28" s="56"/>
      <c r="F28" s="56"/>
      <c r="G28" s="56"/>
      <c r="H28" s="56"/>
      <c r="I28" s="56"/>
      <c r="J28" s="676"/>
      <c r="K28" s="676"/>
      <c r="L28" s="527"/>
      <c r="N28" s="368"/>
      <c r="O28" s="368"/>
      <c r="R28" s="14"/>
      <c r="S28" s="18" t="str">
        <f ca="1">"Price based on the short-run marginal costs of alternative heat production: 
"&amp;ROUND('Calculation of Typical Year'!AN38,2)&amp;" EUR/MWh_fed_into_DH_grid"</f>
        <v>Price based on the short-run marginal costs of alternative heat production: 
58.41 EUR/MWh_fed_into_DH_grid</v>
      </c>
      <c r="T28" s="18"/>
    </row>
    <row r="29" spans="2:22" ht="18" customHeight="1">
      <c r="B29" s="1141" t="s">
        <v>476</v>
      </c>
      <c r="C29" s="1138"/>
      <c r="D29" s="1138"/>
      <c r="E29" s="1138"/>
      <c r="F29" s="541" t="s">
        <v>477</v>
      </c>
      <c r="G29" s="543" t="s">
        <v>478</v>
      </c>
      <c r="H29" s="1141" t="s">
        <v>479</v>
      </c>
      <c r="I29" s="1138"/>
      <c r="J29" s="1138"/>
      <c r="K29" s="544" t="s">
        <v>477</v>
      </c>
      <c r="L29" s="527"/>
      <c r="N29" s="368"/>
      <c r="R29" s="14"/>
      <c r="S29" s="18"/>
      <c r="T29" s="18"/>
    </row>
    <row r="30" spans="2:22" ht="15.6" customHeight="1">
      <c r="B30" s="545" t="s">
        <v>480</v>
      </c>
      <c r="C30" s="546"/>
      <c r="D30" s="519" t="s">
        <v>113</v>
      </c>
      <c r="E30" s="547">
        <f>'Calculation Break-Even'!C51</f>
        <v>676080</v>
      </c>
      <c r="F30" s="548">
        <f>E30/G30</f>
        <v>1</v>
      </c>
      <c r="G30" s="683">
        <f>SUM(E30,J30)</f>
        <v>676080</v>
      </c>
      <c r="H30" s="327"/>
      <c r="I30" s="549" t="s">
        <v>113</v>
      </c>
      <c r="J30" s="550">
        <f>'Calculation of Typical Year'!AU32</f>
        <v>0</v>
      </c>
      <c r="K30" s="551">
        <f>J30/G30</f>
        <v>0</v>
      </c>
      <c r="L30" s="527"/>
      <c r="N30" s="368"/>
      <c r="R30" s="14"/>
      <c r="S30" s="18"/>
      <c r="T30" s="18"/>
    </row>
    <row r="31" spans="2:22" ht="15.6" customHeight="1">
      <c r="B31" s="1144" t="s">
        <v>461</v>
      </c>
      <c r="C31" s="1145"/>
      <c r="D31" s="554" t="s">
        <v>120</v>
      </c>
      <c r="E31" s="555">
        <f ca="1">'Calculation of Typical Year'!BP17</f>
        <v>50000</v>
      </c>
      <c r="F31" s="556">
        <f ca="1">E31/G31</f>
        <v>1</v>
      </c>
      <c r="G31" s="684">
        <f ca="1">SUM(E31,J31)</f>
        <v>50000</v>
      </c>
      <c r="H31" s="327"/>
      <c r="I31" s="557" t="s">
        <v>120</v>
      </c>
      <c r="J31" s="555">
        <f ca="1">'Calculation of Typical Year'!AY26</f>
        <v>0</v>
      </c>
      <c r="K31" s="558">
        <f ca="1">J31/G31</f>
        <v>0</v>
      </c>
      <c r="L31" s="527"/>
      <c r="N31" s="368"/>
      <c r="R31" s="14"/>
      <c r="S31" s="18"/>
      <c r="T31" s="18"/>
    </row>
    <row r="32" spans="2:22" ht="15.6" customHeight="1">
      <c r="B32" s="552" t="s">
        <v>472</v>
      </c>
      <c r="C32" s="553"/>
      <c r="D32" s="554" t="s">
        <v>120</v>
      </c>
      <c r="E32" s="555">
        <f ca="1">'Calculation of Typical Year'!BP23</f>
        <v>32761.843078561178</v>
      </c>
      <c r="F32" s="556">
        <f ca="1">E32/G32</f>
        <v>1</v>
      </c>
      <c r="G32" s="684">
        <f ca="1">SUM(E32,J32)</f>
        <v>32761.843078561178</v>
      </c>
      <c r="H32" s="327"/>
      <c r="I32" s="557" t="s">
        <v>120</v>
      </c>
      <c r="J32" s="555">
        <f ca="1">'Calculation of Typical Year'!AY38</f>
        <v>0</v>
      </c>
      <c r="K32" s="558">
        <f ca="1">J32/G32</f>
        <v>0</v>
      </c>
      <c r="L32" s="527"/>
      <c r="N32" s="368"/>
      <c r="R32" s="18" t="s">
        <v>481</v>
      </c>
      <c r="S32" s="18" t="str">
        <f ca="1">"Break-even price for waste heat supplied by DC: "&amp;ROUND(T32,2)&amp;" EUR/MWh_provided_by_DC"</f>
        <v>Break-even price for waste heat supplied by DC: 1.52 EUR/MWh_provided_by_DC</v>
      </c>
      <c r="T32" s="20">
        <f ca="1">'Calculation Break-Even'!G85</f>
        <v>1.5216049324855236</v>
      </c>
    </row>
    <row r="33" spans="1:22">
      <c r="B33" s="529"/>
      <c r="C33" s="56"/>
      <c r="D33" s="204"/>
      <c r="E33" s="56"/>
      <c r="F33" s="56"/>
      <c r="G33" s="56"/>
      <c r="H33" s="56"/>
      <c r="I33" s="56"/>
      <c r="J33" s="56"/>
      <c r="K33" s="56"/>
      <c r="L33" s="527"/>
      <c r="N33" s="368"/>
      <c r="R33" s="18"/>
      <c r="S33" s="18" t="str">
        <f ca="1">"Break-even price for waste heat utilised by HP: "&amp;ROUND(T33,2)&amp;" EUR/MWh_utilized_by_HP"</f>
        <v>Break-even price for waste heat utilised by HP: 1.61 EUR/MWh_utilized_by_HP</v>
      </c>
      <c r="T33" s="20">
        <f ca="1">'Calculation Break-Even'!G84</f>
        <v>1.6147577770761572</v>
      </c>
    </row>
    <row r="34" spans="1:22" ht="29.45" customHeight="1">
      <c r="B34" s="1141" t="s">
        <v>482</v>
      </c>
      <c r="C34" s="1138"/>
      <c r="D34" s="573" t="s">
        <v>120</v>
      </c>
      <c r="E34" s="574">
        <f ca="1">E31+E32</f>
        <v>82761.843078561185</v>
      </c>
      <c r="F34" s="56"/>
      <c r="G34" s="56"/>
      <c r="H34" s="56"/>
      <c r="I34" s="56"/>
      <c r="J34" s="56"/>
      <c r="K34" s="56"/>
      <c r="L34" s="527"/>
      <c r="N34" s="368"/>
      <c r="R34" s="18"/>
      <c r="S34" s="18"/>
      <c r="T34" s="18"/>
    </row>
    <row r="35" spans="1:22" ht="29.45" customHeight="1">
      <c r="B35" s="1141" t="s">
        <v>483</v>
      </c>
      <c r="C35" s="1138"/>
      <c r="D35" s="573" t="s">
        <v>120</v>
      </c>
      <c r="E35" s="574">
        <f ca="1">'Calculation Break-Even'!$E$60</f>
        <v>34767.527216174189</v>
      </c>
      <c r="F35" s="56"/>
      <c r="G35" s="56"/>
      <c r="H35" s="56"/>
      <c r="I35" s="56"/>
      <c r="J35" s="56"/>
      <c r="K35" s="56"/>
      <c r="L35" s="527"/>
      <c r="N35" s="368"/>
      <c r="R35" s="18"/>
      <c r="S35" s="18"/>
      <c r="T35" s="18"/>
    </row>
    <row r="36" spans="1:22" ht="29.45" customHeight="1">
      <c r="B36" s="1141" t="s">
        <v>484</v>
      </c>
      <c r="C36" s="1138"/>
      <c r="D36" s="573" t="s">
        <v>120</v>
      </c>
      <c r="E36" s="574">
        <f ca="1">'Calculation of Typical Year'!$BP$38</f>
        <v>121445.71643419143</v>
      </c>
      <c r="F36" s="56"/>
      <c r="G36" s="1142" t="str">
        <f ca="1">S18</f>
        <v>Expected IRR of Contractor 1 / DH operator is not met.</v>
      </c>
      <c r="H36" s="1142"/>
      <c r="I36" s="1142"/>
      <c r="J36" s="1142"/>
      <c r="K36" s="1142"/>
      <c r="L36" s="1143"/>
      <c r="R36" s="18"/>
      <c r="S36" s="18"/>
      <c r="T36" s="18"/>
    </row>
    <row r="37" spans="1:22">
      <c r="B37" s="677"/>
      <c r="L37" s="678"/>
      <c r="R37" s="14" t="s">
        <v>480</v>
      </c>
      <c r="S37" s="18" t="str">
        <f>"Contractor 2's total investment needs (incl. subsidies, incl. cost share of heat recovery): "&amp;'Calculation Break-Even'!C51/1000 &amp; " kEUR"</f>
        <v>Contractor 2's total investment needs (incl. subsidies, incl. cost share of heat recovery): 676.08 kEUR</v>
      </c>
      <c r="T37" s="18"/>
    </row>
    <row r="38" spans="1:22" ht="21.6" customHeight="1">
      <c r="B38" s="1136" t="s">
        <v>485</v>
      </c>
      <c r="C38" s="1137"/>
      <c r="D38" s="1137"/>
      <c r="E38" s="1158" t="str">
        <f ca="1">'Calculation IRR'!D41</f>
        <v>6.83 %</v>
      </c>
      <c r="F38" s="1159"/>
      <c r="L38" s="678"/>
      <c r="R38" s="18" t="s">
        <v>486</v>
      </c>
      <c r="S38" s="18" t="str">
        <f ca="1">"Contractor 2's annual O&amp;M expenses: "&amp;ROUND(('Calculation Break-Even'!E55+'Calculation Break-Even'!E58)/1000,1) &amp;" kEUR (excl. annualised investment costs)"</f>
        <v>Contractor 2's annual O&amp;M expenses: 82.8 kEUR (excl. annualised investment costs)</v>
      </c>
      <c r="T38" s="18"/>
    </row>
    <row r="39" spans="1:22" ht="17.100000000000001" customHeight="1">
      <c r="B39" s="1160" t="str">
        <f>"Considering an underlying lifetime of "&amp;'Project Setting'!F117&amp;" years for Contractor 2 / DC Operator"</f>
        <v>Considering an underlying lifetime of 15 years for Contractor 2 / DC Operator</v>
      </c>
      <c r="C39" s="1161"/>
      <c r="D39" s="1161"/>
      <c r="E39" s="1161"/>
      <c r="F39" s="1162"/>
      <c r="G39" s="56"/>
      <c r="H39" s="56"/>
      <c r="I39" s="1148"/>
      <c r="J39" s="1148"/>
      <c r="K39" s="1148"/>
      <c r="L39" s="1149"/>
      <c r="R39" s="14"/>
      <c r="S39" s="18" t="str">
        <f ca="1">"Contractor 2's total annual expenses: "&amp;ROUND(('Calculation Break-Even'!E62)/1000,1) &amp;" kEUR (incl. annualised investment costs)"</f>
        <v>Contractor 2's total annual expenses: 147.9 kEUR (incl. annualised investment costs)</v>
      </c>
      <c r="T39" s="18"/>
    </row>
    <row r="40" spans="1:22" ht="77.45" customHeight="1">
      <c r="B40" s="1141" t="s">
        <v>487</v>
      </c>
      <c r="C40" s="1138"/>
      <c r="D40" s="1139" t="str">
        <f ca="1">S32&amp;"
"&amp;S33</f>
        <v>Break-even price for waste heat supplied by DC: 1.52 EUR/MWh_provided_by_DC
Break-even price for waste heat utilised by HP: 1.61 EUR/MWh_utilized_by_HP</v>
      </c>
      <c r="E40" s="1139"/>
      <c r="F40" s="1140"/>
      <c r="G40" s="530"/>
      <c r="H40" s="679"/>
      <c r="I40" s="680" t="str">
        <f ca="1">S84</f>
        <v/>
      </c>
      <c r="J40" s="681"/>
      <c r="K40" s="681"/>
      <c r="L40" s="682"/>
      <c r="R40" s="14"/>
      <c r="S40" s="18"/>
      <c r="T40" s="18"/>
    </row>
    <row r="41" spans="1:22">
      <c r="B41" s="60"/>
      <c r="C41" s="60"/>
      <c r="D41" s="60"/>
      <c r="E41" s="60"/>
      <c r="F41" s="56"/>
      <c r="G41" s="56"/>
      <c r="H41" s="56"/>
      <c r="I41" s="60"/>
      <c r="J41" s="60"/>
      <c r="K41" s="60"/>
      <c r="L41" s="60"/>
      <c r="R41" s="14"/>
      <c r="S41" s="18" t="str">
        <f ca="1">"Annual operation hours: "&amp;T41 &amp;" h/yr ("&amp;V41&amp;" days/yr), annual full load hours: "&amp;U41&amp;" h/yr"</f>
        <v>Annual operation hours: 8628 h/yr (359.5 days/yr), annual full load hours: 7695 h/yr</v>
      </c>
      <c r="T41" s="33">
        <f ca="1">ROUND('Calculation of Typical Year'!X37,0)</f>
        <v>8628</v>
      </c>
      <c r="U41" s="33">
        <f ca="1">ROUND('Calculation of Typical Year'!Y37,0)</f>
        <v>7695</v>
      </c>
      <c r="V41" s="51">
        <f ca="1">ROUND(T41/24,1)</f>
        <v>359.5</v>
      </c>
    </row>
    <row r="42" spans="1:22">
      <c r="A42" s="7"/>
      <c r="B42" s="7"/>
      <c r="C42" s="7"/>
      <c r="D42" s="7"/>
      <c r="E42" s="7"/>
      <c r="F42" s="7"/>
      <c r="G42" s="7"/>
      <c r="H42" s="7"/>
      <c r="I42" s="7"/>
      <c r="J42" s="7"/>
      <c r="K42" s="7"/>
      <c r="L42" s="7"/>
      <c r="N42" s="7"/>
      <c r="O42" s="7"/>
      <c r="P42" s="7"/>
      <c r="R42" s="18"/>
      <c r="S42" s="18"/>
      <c r="T42" s="18"/>
    </row>
    <row r="43" spans="1:22">
      <c r="A43" s="7"/>
      <c r="B43" s="7"/>
      <c r="C43" s="7"/>
      <c r="D43" s="7"/>
      <c r="E43" s="7"/>
      <c r="F43" s="7"/>
      <c r="G43" s="7"/>
      <c r="H43" s="7"/>
      <c r="I43" s="7"/>
      <c r="J43" s="7"/>
      <c r="K43" s="7"/>
      <c r="L43" s="7"/>
      <c r="M43" s="7"/>
      <c r="N43" s="7"/>
      <c r="O43" s="7"/>
      <c r="P43" s="7"/>
      <c r="R43" s="18"/>
      <c r="S43" s="18"/>
      <c r="T43" s="18"/>
      <c r="U43" s="18"/>
      <c r="V43" s="18"/>
    </row>
    <row r="44" spans="1:22">
      <c r="A44" s="7"/>
      <c r="B44" s="7"/>
      <c r="C44" s="7"/>
      <c r="D44" s="7"/>
      <c r="E44" s="7"/>
      <c r="F44" s="7"/>
      <c r="G44" s="7"/>
      <c r="H44" s="7"/>
      <c r="I44" s="7"/>
      <c r="J44" s="7"/>
      <c r="K44" s="7"/>
      <c r="L44" s="7"/>
      <c r="M44" s="7"/>
      <c r="N44" s="7"/>
      <c r="O44" s="7"/>
      <c r="P44" s="7"/>
      <c r="R44" s="18"/>
      <c r="S44" s="18"/>
      <c r="T44" s="18"/>
      <c r="U44" s="18"/>
      <c r="V44" s="18"/>
    </row>
    <row r="45" spans="1:22">
      <c r="A45" s="7"/>
      <c r="B45" s="7"/>
      <c r="C45" s="7"/>
      <c r="D45" s="7"/>
      <c r="E45" s="7"/>
      <c r="F45" s="7"/>
      <c r="G45" s="7"/>
      <c r="H45" s="7"/>
      <c r="I45" s="7"/>
      <c r="J45" s="7"/>
      <c r="K45" s="7"/>
      <c r="L45" s="7"/>
      <c r="M45" s="7"/>
      <c r="N45" s="7"/>
      <c r="O45" s="7"/>
      <c r="P45" s="7"/>
      <c r="R45" s="18"/>
      <c r="S45" s="26" t="str">
        <f ca="1">"Contractor 2's net earnings per MWh of heat supplied: " &amp;ROUND('Calculation Break-Even'!G63,1) &amp;" EUR/MWh_provided_by_DC"</f>
        <v>Contractor 2's net earnings per MWh of heat supplied: 0.5 EUR/MWh_provided_by_DC</v>
      </c>
      <c r="T45" s="18"/>
      <c r="U45" s="18"/>
    </row>
    <row r="46" spans="1:22">
      <c r="A46" s="7"/>
      <c r="B46" s="7"/>
      <c r="C46" s="7"/>
      <c r="D46" s="7"/>
      <c r="E46" s="7"/>
      <c r="F46" s="7"/>
      <c r="G46" s="7"/>
      <c r="H46" s="7"/>
      <c r="I46" s="7"/>
      <c r="J46" s="7"/>
      <c r="K46" s="7"/>
      <c r="L46" s="7"/>
      <c r="M46" s="7"/>
      <c r="N46" s="7"/>
      <c r="O46" s="7"/>
      <c r="P46" s="7"/>
      <c r="R46" s="18"/>
      <c r="S46" s="26" t="str">
        <f ca="1">"Contractor 2's net earnings due to heat sold to contractor 1 and reduced electricity costs for cooling: " &amp;ROUND('Calculation Break-Even'!E63/1000,1) &amp;" kEUR/yr (considering annualised investment costs)"</f>
        <v>Contractor 2's net earnings due to heat sold to contractor 1 and reduced electricity costs for cooling: 8.3 kEUR/yr (considering annualised investment costs)</v>
      </c>
      <c r="T46" s="18"/>
      <c r="U46" s="18"/>
    </row>
    <row r="47" spans="1:22">
      <c r="R47" s="18"/>
      <c r="S47" s="18" t="str">
        <f ca="1">"Contractor 2's gross earnings due to heat sold to contractor 1: " &amp;T47 &amp;" kEUR/yr"</f>
        <v>Contractor 2's gross earnings due to heat sold to contractor 1: 34.8 kEUR/yr</v>
      </c>
      <c r="T47" s="18">
        <f ca="1">ROUND(('Calculation Break-Even'!E60)/1000,1)</f>
        <v>34.799999999999997</v>
      </c>
      <c r="U47" s="18"/>
    </row>
    <row r="48" spans="1:22">
      <c r="R48" s="18"/>
      <c r="S48" s="18" t="str">
        <f ca="1">"Contractor 2's avoided electricity costs for active cooling due to heat sold to contractor 1: " &amp;T48 &amp;" kEUR/yr"</f>
        <v>Contractor 2's avoided electricity costs for active cooling due to heat sold to contractor 1: 121.4 kEUR/yr</v>
      </c>
      <c r="T48" s="61">
        <f ca="1">ROUND(T78,1)</f>
        <v>121.4</v>
      </c>
    </row>
    <row r="49" spans="18:21">
      <c r="R49" s="18"/>
      <c r="S49" s="22" t="s">
        <v>488</v>
      </c>
      <c r="T49" s="18"/>
      <c r="U49" s="18"/>
    </row>
    <row r="50" spans="18:21">
      <c r="R50" s="18"/>
      <c r="S50" s="18" t="str">
        <f>"Investments (considering subsidies): "&amp;ROUND(T50/1000,1)&amp;" kEUR (lump-sum)"</f>
        <v>Investments (considering subsidies): 676.1 kEUR (lump-sum)</v>
      </c>
      <c r="T50" s="21">
        <f>'Calculation of Typical Year'!BC18-'Calculation of Typical Year'!BC23</f>
        <v>676080</v>
      </c>
      <c r="U50" s="23">
        <f>U54+U58</f>
        <v>1</v>
      </c>
    </row>
    <row r="51" spans="18:21">
      <c r="R51" s="18"/>
      <c r="S51" s="18" t="str">
        <f ca="1">"Annual operation independent expenses: "&amp;ROUND(T51/1000,1)&amp;" kEUR/yr"</f>
        <v>Annual operation independent expenses: 50 kEUR/yr</v>
      </c>
      <c r="T51" s="21">
        <f ca="1">'Calculation of Typical Year'!BG17</f>
        <v>50000</v>
      </c>
      <c r="U51" s="23">
        <f ca="1">U55+U59</f>
        <v>1</v>
      </c>
    </row>
    <row r="52" spans="18:21">
      <c r="R52" s="18"/>
      <c r="S52" s="18" t="str">
        <f ca="1">"Annual variable costs: "&amp;ROUND(T52/1000,1)&amp;" kEUR/yr"</f>
        <v>Annual variable costs: 32.8 kEUR/yr</v>
      </c>
      <c r="T52" s="21">
        <f ca="1">'Calculation of Typical Year'!BG23</f>
        <v>32761.843078561178</v>
      </c>
      <c r="U52" s="23">
        <f ca="1">U56+U60</f>
        <v>1</v>
      </c>
    </row>
    <row r="53" spans="18:21">
      <c r="R53" s="14"/>
      <c r="S53" s="22" t="s">
        <v>489</v>
      </c>
      <c r="T53" s="18"/>
      <c r="U53" s="24"/>
    </row>
    <row r="54" spans="18:21">
      <c r="R54" s="14"/>
      <c r="S54" s="18" t="str">
        <f>"Investments (considering subsidies): "&amp;ROUND(T54/1000,1)&amp;" kEUR (lump-sum)"</f>
        <v>Investments (considering subsidies): 0 kEUR (lump-sum)</v>
      </c>
      <c r="T54" s="21">
        <f>'Calculation of Typical Year'!AU32</f>
        <v>0</v>
      </c>
      <c r="U54" s="25" t="str">
        <f>ROUND(T54/T50*100,0) &amp;" %"</f>
        <v>0 %</v>
      </c>
    </row>
    <row r="55" spans="18:21">
      <c r="R55" s="14"/>
      <c r="S55" s="18" t="str">
        <f ca="1">"Annual operation independent expenses: "&amp;ROUND(T55/1000,1)&amp;" kEUR/yr"</f>
        <v>Annual operation independent expenses: 0 kEUR/yr</v>
      </c>
      <c r="T55" s="21">
        <f ca="1">'Calculation of Typical Year'!AY26</f>
        <v>0</v>
      </c>
      <c r="U55" s="25" t="str">
        <f ca="1">ROUND(T55/T51*100,0) &amp;" %"</f>
        <v>0 %</v>
      </c>
    </row>
    <row r="56" spans="18:21">
      <c r="R56" s="18"/>
      <c r="S56" s="18" t="str">
        <f ca="1">"Annual variable costs: "&amp;ROUND(T56/1000,1)&amp;" kEUR/yr"</f>
        <v>Annual variable costs: 0 kEUR/yr</v>
      </c>
      <c r="T56" s="21">
        <f ca="1">'Calculation of Typical Year'!AY38</f>
        <v>0</v>
      </c>
      <c r="U56" s="25" t="str">
        <f ca="1">ROUND(T56/T52*100,0) &amp;" %"</f>
        <v>0 %</v>
      </c>
    </row>
    <row r="57" spans="18:21">
      <c r="S57" s="22" t="s">
        <v>490</v>
      </c>
      <c r="T57" s="18"/>
      <c r="U57" s="24"/>
    </row>
    <row r="58" spans="18:21">
      <c r="S58" s="18" t="str">
        <f>"Investments (considering subsidies): "&amp;ROUND(T58/1000,1)&amp;" kEUR (lump-sum)"</f>
        <v>Investments (considering subsidies): 676.1 kEUR (lump-sum)</v>
      </c>
      <c r="T58" s="21">
        <f>'Calculation of Typical Year'!BL18-'Calculation of Typical Year'!BL23</f>
        <v>676080</v>
      </c>
      <c r="U58" s="25" t="str">
        <f>ROUND(T58/T50*100,0) &amp;" %"</f>
        <v>100 %</v>
      </c>
    </row>
    <row r="59" spans="18:21">
      <c r="S59" s="18" t="str">
        <f ca="1">"Annual operation independent expenses: "&amp;ROUND(T59/1000,1)&amp;" kEUR/yr"</f>
        <v>Annual operation independent expenses: 50 kEUR/yr</v>
      </c>
      <c r="T59" s="21">
        <f ca="1">'Calculation of Typical Year'!BP17</f>
        <v>50000</v>
      </c>
      <c r="U59" s="25" t="str">
        <f ca="1">ROUND(T59/T51*100,0) &amp;" %"</f>
        <v>100 %</v>
      </c>
    </row>
    <row r="60" spans="18:21">
      <c r="S60" s="18" t="str">
        <f ca="1">"Annual variable costs: "&amp;ROUND(T60/1000,1)&amp;" kEUR/yr"</f>
        <v>Annual variable costs: 32.8 kEUR/yr</v>
      </c>
      <c r="T60" s="21">
        <f ca="1">'Calculation of Typical Year'!BP23</f>
        <v>32761.843078561178</v>
      </c>
      <c r="U60" s="25" t="str">
        <f ca="1">ROUND(T60/T52*100,0) &amp;" %"</f>
        <v>100 %</v>
      </c>
    </row>
    <row r="61" spans="18:21">
      <c r="R61" s="18"/>
      <c r="S61" s="18" t="str">
        <f ca="1">"Total annualised costs (considering demanded IRR and depreciation time of contractor 2): " &amp;ROUND(T61,1) &amp;" kEUR/yr"</f>
        <v>Total annualised costs (considering demanded IRR and depreciation time of contractor 2): 147.9 kEUR/yr</v>
      </c>
      <c r="T61" s="18">
        <f ca="1">'Calculation Break-Even'!E62/1000</f>
        <v>147.89693688541911</v>
      </c>
      <c r="U61" s="18"/>
    </row>
    <row r="62" spans="18:21">
      <c r="R62" s="18"/>
    </row>
    <row r="63" spans="18:21">
      <c r="R63" s="14"/>
    </row>
    <row r="64" spans="18:21">
      <c r="R64" s="14"/>
      <c r="S64" s="18" t="str">
        <f ca="1">"Contractor 1's internal rate of return: "&amp;T64&amp;" per year (considering calculatory life time of "&amp;'Project Setting'!F88&amp;" years)"</f>
        <v>Contractor 1's internal rate of return: 1.98 % per year (considering calculatory life time of 15 years)</v>
      </c>
      <c r="T64" s="21" t="str">
        <f ca="1">'Calculation IRR'!D25</f>
        <v>1.98 %</v>
      </c>
      <c r="U64" s="18"/>
    </row>
    <row r="65" spans="18:29">
      <c r="R65" s="14"/>
      <c r="S65" s="18" t="str">
        <f ca="1">"Contractor 2's internal rate of return: "&amp;T65&amp;" per year (considering calculatory life time of "&amp;'Project Setting'!F117&amp;" years)"</f>
        <v>Contractor 2's internal rate of return: 6.83 % per year (considering calculatory life time of 15 years)</v>
      </c>
      <c r="T65" s="21" t="str">
        <f ca="1">'Calculation IRR'!D41</f>
        <v>6.83 %</v>
      </c>
      <c r="U65" s="18"/>
    </row>
    <row r="66" spans="18:29">
      <c r="R66" s="14"/>
      <c r="S66" s="18" t="str">
        <f>"Investments (considering subsidies): "&amp;ROUND(T66/1000,1)&amp;" kEUR (lump-sum)"</f>
        <v>Investments (considering subsidies): 0 kEUR (lump-sum)</v>
      </c>
      <c r="T66" s="21">
        <f>'Calculation of Typical Year'!AU32</f>
        <v>0</v>
      </c>
      <c r="U66" s="25" t="str">
        <f>IF(T50=0,"-",ROUND(T66/T50*100,0)&amp;" %")</f>
        <v>0 %</v>
      </c>
    </row>
    <row r="67" spans="18:29">
      <c r="R67" s="14"/>
      <c r="S67" s="18" t="str">
        <f ca="1">"Annual operation independent expenses: "&amp;ROUND(T67/1000,1)&amp;" kEUR/yr"</f>
        <v>Annual operation independent expenses: 0 kEUR/yr</v>
      </c>
      <c r="T67" s="21">
        <f ca="1">'Calculation of Typical Year'!AY26</f>
        <v>0</v>
      </c>
      <c r="U67" s="25" t="str">
        <f ca="1">IF(T51=0,"-",ROUND(T67/T51*100,0)&amp;" %")</f>
        <v>0 %</v>
      </c>
    </row>
    <row r="68" spans="18:29">
      <c r="R68" s="14"/>
      <c r="S68" s="18" t="str">
        <f ca="1">"Annual variable costs: "&amp;ROUND(T68/1000,1)&amp;" kEUR/yr"</f>
        <v>Annual variable costs: 0 kEUR/yr</v>
      </c>
      <c r="T68" s="21">
        <f ca="1">'Calculation of Typical Year'!AY38</f>
        <v>0</v>
      </c>
      <c r="U68" s="25" t="str">
        <f ca="1">IF(T52=0,"-",ROUND(T68/T52*100,0)&amp;" %")</f>
        <v>0 %</v>
      </c>
    </row>
    <row r="69" spans="18:29">
      <c r="R69" s="14"/>
      <c r="S69" s="22" t="s">
        <v>490</v>
      </c>
      <c r="T69" s="18"/>
      <c r="U69" s="24"/>
    </row>
    <row r="70" spans="18:29">
      <c r="S70" s="18" t="str">
        <f>"Investments (considering subsidies): "&amp;ROUND(T70/1000,1)&amp;" kEUR (lump-sum)"</f>
        <v>Investments (considering subsidies): 676.1 kEUR (lump-sum)</v>
      </c>
      <c r="T70" s="21">
        <f>'Calculation of Typical Year'!BL18-'Calculation of Typical Year'!BL23</f>
        <v>676080</v>
      </c>
      <c r="U70" s="25" t="str">
        <f>IF(T50=0,"-",ROUND(T70/T50*100,0)&amp;" %")</f>
        <v>100 %</v>
      </c>
    </row>
    <row r="71" spans="18:29">
      <c r="S71" s="18" t="str">
        <f ca="1">"Annual operation independent expenses: "&amp;ROUND(T71/1000,1)&amp;" kEUR/yr"</f>
        <v>Annual operation independent expenses: 50 kEUR/yr</v>
      </c>
      <c r="T71" s="21">
        <f ca="1">'Calculation of Typical Year'!BP17</f>
        <v>50000</v>
      </c>
      <c r="U71" s="25" t="str">
        <f ca="1">IF(T51=0,"-",ROUND(T71/T51*100,0)&amp;" %")</f>
        <v>100 %</v>
      </c>
    </row>
    <row r="72" spans="18:29">
      <c r="S72" s="18" t="str">
        <f ca="1">"Annual variable costs: "&amp;ROUND(T72/1000,1)&amp;" kEUR/yr"</f>
        <v>Annual variable costs: 32.8 kEUR/yr</v>
      </c>
      <c r="T72" s="21">
        <f ca="1">'Calculation of Typical Year'!BP23</f>
        <v>32761.843078561178</v>
      </c>
      <c r="U72" s="25" t="str">
        <f ca="1">IF(T52=0,"-",ROUND(T72/T52*100,0)&amp;" %")</f>
        <v>100 %</v>
      </c>
    </row>
    <row r="73" spans="18:29">
      <c r="S73" s="18" t="str">
        <f ca="1">"Total annualised costs (considering demanded IRR and depreciation time of contractor 2 / DC operator): " &amp;ROUND(T73,1) &amp;" kEUR/yr"</f>
        <v>Total annualised costs (considering demanded IRR and depreciation time of contractor 2 / DC operator): 147.9 kEUR/yr</v>
      </c>
      <c r="T73" s="18">
        <f ca="1">'Calculation Break-Even'!E62/1000</f>
        <v>147.89693688541911</v>
      </c>
      <c r="U73" s="18"/>
    </row>
    <row r="74" spans="18:29">
      <c r="AC74" s="51" t="s">
        <v>59</v>
      </c>
    </row>
    <row r="76" spans="18:29">
      <c r="S76" s="18" t="str">
        <f ca="1">"Avoided electricity demand for active cooling: "&amp;ROUND(T76,1)&amp;" "&amp;U76</f>
        <v>Avoided electricity demand for active cooling: 1.5 GWh/yr</v>
      </c>
      <c r="T76" s="29">
        <f ca="1">'Calculation of Typical Year'!$AF$63/1000</f>
        <v>1.4550210229322449</v>
      </c>
      <c r="U76" s="51" t="s">
        <v>491</v>
      </c>
    </row>
    <row r="77" spans="18:29">
      <c r="S77" s="327" t="str">
        <f ca="1">"Remaining electricity demand for active cooling: "&amp;ROUND(T77,1)&amp;" "&amp;U77</f>
        <v>Remaining electricity demand for active cooling: 0.1 GWh/yr</v>
      </c>
      <c r="T77" s="29">
        <f ca="1">'Calculation of Typical Year'!$AG$63/1000</f>
        <v>0.13371227584086703</v>
      </c>
      <c r="U77" s="51" t="s">
        <v>491</v>
      </c>
    </row>
    <row r="78" spans="18:29">
      <c r="S78" s="18" t="str">
        <f ca="1">"Avoided electricity costs for active cooling: "&amp;ROUND(T78,1)&amp;" "&amp;U78</f>
        <v>Avoided electricity costs for active cooling: 121.4 kEUR/yr</v>
      </c>
      <c r="T78" s="29">
        <f ca="1">'Calculation of Typical Year'!$BP$38/1000</f>
        <v>121.44571643419144</v>
      </c>
      <c r="U78" s="51" t="s">
        <v>492</v>
      </c>
    </row>
    <row r="79" spans="18:29">
      <c r="S79" s="327" t="str">
        <f ca="1">"Remaining electricity costs for active cooling: "&amp;ROUND(T79,1)&amp;" "&amp;U79</f>
        <v>Remaining electricity costs for active cooling: 13 kEUR/yr</v>
      </c>
      <c r="T79" s="29">
        <f ca="1">'Calculation of Typical Year'!$BL$38/1000</f>
        <v>13.012494628535345</v>
      </c>
      <c r="U79" s="51" t="s">
        <v>492</v>
      </c>
    </row>
    <row r="80" spans="18:29">
      <c r="S80" s="26"/>
      <c r="T80" s="29"/>
    </row>
    <row r="81" spans="19:20">
      <c r="T81" s="29"/>
    </row>
    <row r="82" spans="19:20">
      <c r="T82" s="29"/>
    </row>
    <row r="83" spans="19:20">
      <c r="T83" s="29"/>
    </row>
    <row r="84" spans="19:20">
      <c r="S84" s="51" t="str">
        <f ca="1">IF(MIN('Calculation of Typical Day'!CR21:CR500)&lt;0.5,"Temperature of the grid cannot be met at all times. A booster system might be required. Check your settings to ensure quality of results.","")</f>
        <v/>
      </c>
    </row>
    <row r="111" spans="13:13">
      <c r="M111" s="4"/>
    </row>
  </sheetData>
  <mergeCells count="37">
    <mergeCell ref="B4:L4"/>
    <mergeCell ref="B7:L7"/>
    <mergeCell ref="B5:L5"/>
    <mergeCell ref="B6:L6"/>
    <mergeCell ref="B8:L8"/>
    <mergeCell ref="A1:L1"/>
    <mergeCell ref="I39:L39"/>
    <mergeCell ref="C15:E15"/>
    <mergeCell ref="C16:E16"/>
    <mergeCell ref="C17:E17"/>
    <mergeCell ref="G15:J15"/>
    <mergeCell ref="G16:J16"/>
    <mergeCell ref="G17:J17"/>
    <mergeCell ref="K16:L16"/>
    <mergeCell ref="E38:F38"/>
    <mergeCell ref="B39:F39"/>
    <mergeCell ref="B13:L13"/>
    <mergeCell ref="A3:A11"/>
    <mergeCell ref="B3:L3"/>
    <mergeCell ref="B10:L10"/>
    <mergeCell ref="B11:L11"/>
    <mergeCell ref="B38:D38"/>
    <mergeCell ref="H19:J19"/>
    <mergeCell ref="D40:F40"/>
    <mergeCell ref="B40:C40"/>
    <mergeCell ref="G36:L36"/>
    <mergeCell ref="B31:C31"/>
    <mergeCell ref="H23:I23"/>
    <mergeCell ref="H27:I27"/>
    <mergeCell ref="H29:J29"/>
    <mergeCell ref="B29:E29"/>
    <mergeCell ref="B35:C35"/>
    <mergeCell ref="B36:C36"/>
    <mergeCell ref="B34:C34"/>
    <mergeCell ref="B21:C21"/>
    <mergeCell ref="B22:C22"/>
    <mergeCell ref="B26:C26"/>
  </mergeCells>
  <conditionalFormatting sqref="B11">
    <cfRule type="expression" dxfId="26" priority="8">
      <formula>B$75=FALSE</formula>
    </cfRule>
  </conditionalFormatting>
  <conditionalFormatting sqref="D40">
    <cfRule type="colorScale" priority="5">
      <colorScale>
        <cfvo type="min"/>
        <cfvo type="percentile" val="50"/>
        <cfvo type="max"/>
        <color rgb="FFF8696B"/>
        <color rgb="FFFFEB84"/>
        <color rgb="FF63BE7B"/>
      </colorScale>
    </cfRule>
  </conditionalFormatting>
  <conditionalFormatting sqref="E38">
    <cfRule type="colorScale" priority="23">
      <colorScale>
        <cfvo type="min"/>
        <cfvo type="percentile" val="50"/>
        <cfvo type="max"/>
        <color rgb="FFF8696B"/>
        <color rgb="FFFFEB84"/>
        <color rgb="FF63BE7B"/>
      </colorScale>
    </cfRule>
  </conditionalFormatting>
  <conditionalFormatting sqref="G36">
    <cfRule type="expression" dxfId="25" priority="30">
      <formula>LOWER(T18)&lt;&gt;"ok"</formula>
    </cfRule>
  </conditionalFormatting>
  <conditionalFormatting sqref="K16">
    <cfRule type="expression" dxfId="24" priority="4">
      <formula>$F$16&gt;$T$17</formula>
    </cfRule>
  </conditionalFormatting>
  <conditionalFormatting sqref="N15:N35 O27:O28">
    <cfRule type="expression" dxfId="23" priority="3">
      <formula>O15&lt;&gt;""</formula>
    </cfRule>
  </conditionalFormatting>
  <hyperlinks>
    <hyperlink ref="B7" location="Content!A1" display="Go to Content" xr:uid="{C2E86694-23AB-40B2-83E2-48DC4088BA5F}"/>
    <hyperlink ref="A1" location="Content!A1" display="Go to Content" xr:uid="{4857AEBE-4D3A-469B-9A05-B3914CFC23FD}"/>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5D71D-D0FE-4BF2-AB4D-663DB904C6B2}">
  <sheetPr codeName="Tabelle17">
    <tabColor rgb="FF00B0F0"/>
    <outlinePr summaryBelow="0" summaryRight="0"/>
  </sheetPr>
  <dimension ref="A1:AC136"/>
  <sheetViews>
    <sheetView topLeftCell="A13" zoomScale="115" zoomScaleNormal="115" workbookViewId="0">
      <selection activeCell="O48" sqref="O48"/>
    </sheetView>
  </sheetViews>
  <sheetFormatPr baseColWidth="10" defaultColWidth="20.5703125" defaultRowHeight="15" outlineLevelCol="1"/>
  <cols>
    <col min="1" max="1" width="8.140625" style="51" customWidth="1"/>
    <col min="2" max="2" width="35" style="51" customWidth="1"/>
    <col min="3" max="5" width="8.85546875" style="51" customWidth="1"/>
    <col min="6" max="6" width="22.140625" style="51" customWidth="1"/>
    <col min="7" max="7" width="19" style="51" customWidth="1"/>
    <col min="8" max="8" width="34.140625" style="51" customWidth="1"/>
    <col min="9" max="10" width="8.85546875" style="51" customWidth="1"/>
    <col min="11" max="11" width="13.140625" style="51" bestFit="1" customWidth="1"/>
    <col min="12" max="12" width="22.140625" style="51" customWidth="1"/>
    <col min="13" max="13" width="20.85546875" style="51" customWidth="1"/>
    <col min="14" max="14" width="75.140625" style="4" customWidth="1"/>
    <col min="15" max="15" width="36.5703125" style="4" customWidth="1"/>
    <col min="16" max="16" width="29.140625" style="51" customWidth="1" collapsed="1"/>
    <col min="17" max="17" width="20.5703125" style="51" hidden="1" customWidth="1" outlineLevel="1"/>
    <col min="18" max="18" width="20.140625" style="51" hidden="1" customWidth="1" outlineLevel="1"/>
    <col min="19" max="19" width="111.140625" style="51" hidden="1" customWidth="1" outlineLevel="1"/>
    <col min="20" max="23" width="20.5703125" style="51" hidden="1" customWidth="1" outlineLevel="1"/>
    <col min="24" max="16384" width="20.5703125" style="51"/>
  </cols>
  <sheetData>
    <row r="1" spans="1:25" s="44" customFormat="1">
      <c r="A1" s="1048" t="s">
        <v>451</v>
      </c>
      <c r="B1" s="1048"/>
      <c r="C1" s="1048"/>
      <c r="D1" s="1048"/>
      <c r="E1" s="1048"/>
      <c r="F1" s="1048"/>
      <c r="G1" s="1048"/>
      <c r="H1" s="1048"/>
      <c r="I1" s="1048"/>
      <c r="J1" s="1048"/>
      <c r="K1" s="1048"/>
      <c r="L1" s="1048"/>
      <c r="M1" s="1048"/>
      <c r="N1" s="84"/>
      <c r="R1" s="13"/>
      <c r="S1" s="13"/>
      <c r="T1" s="13"/>
      <c r="U1" s="13"/>
    </row>
    <row r="2" spans="1:25" s="44" customFormat="1" ht="15" customHeight="1">
      <c r="A2" s="49"/>
      <c r="B2" s="49"/>
      <c r="C2" s="49"/>
      <c r="D2" s="49"/>
      <c r="E2" s="49"/>
      <c r="F2" s="49"/>
      <c r="G2" s="49"/>
      <c r="H2" s="49"/>
      <c r="I2" s="49"/>
      <c r="J2" s="49"/>
      <c r="K2" s="49"/>
      <c r="L2" s="49"/>
      <c r="M2" s="49"/>
      <c r="R2" s="13"/>
      <c r="S2" s="13"/>
      <c r="T2" s="13"/>
      <c r="U2" s="13"/>
    </row>
    <row r="3" spans="1:25" s="44" customFormat="1" ht="15" customHeight="1" thickBot="1">
      <c r="A3" s="1188" t="s">
        <v>58</v>
      </c>
      <c r="B3" s="1053" t="s">
        <v>46</v>
      </c>
      <c r="C3" s="1053"/>
      <c r="D3" s="1053"/>
      <c r="E3" s="1053"/>
      <c r="F3" s="1053"/>
      <c r="G3" s="1053"/>
      <c r="H3" s="1053"/>
      <c r="I3" s="1053"/>
      <c r="J3" s="1053"/>
      <c r="K3" s="1053"/>
      <c r="L3" s="1053"/>
      <c r="M3" s="1053"/>
      <c r="N3" s="242"/>
      <c r="R3" s="13"/>
      <c r="S3" s="13" t="str">
        <f>"Max. waste heat load available: "&amp;MAX('Definition of Typical Day'!E35:X58)&amp;" MW"</f>
        <v>Max. waste heat load available: 2 MW</v>
      </c>
      <c r="T3" s="13"/>
      <c r="U3" s="13"/>
    </row>
    <row r="4" spans="1:25" s="44" customFormat="1" ht="15" customHeight="1" thickTop="1">
      <c r="A4" s="1188"/>
      <c r="B4" s="1054" t="s">
        <v>47</v>
      </c>
      <c r="C4" s="1054"/>
      <c r="D4" s="1054"/>
      <c r="E4" s="1054"/>
      <c r="F4" s="1054"/>
      <c r="G4" s="1054"/>
      <c r="H4" s="1054"/>
      <c r="I4" s="1054"/>
      <c r="J4" s="1054"/>
      <c r="K4" s="1054"/>
      <c r="L4" s="1054"/>
      <c r="M4" s="1054"/>
      <c r="N4" s="9"/>
      <c r="R4" s="13"/>
      <c r="S4" s="13" t="str">
        <f>"T source, out: "&amp;'Project Setting'!F19&amp;" °C"</f>
        <v>T source, out: 28 °C</v>
      </c>
      <c r="T4" s="13" t="str">
        <f>"P th_nominal_out: "&amp;'Project Setting'!F14&amp;"MW_th"</f>
        <v>P th_nominal_out: 3MW_th</v>
      </c>
      <c r="U4" s="13"/>
    </row>
    <row r="5" spans="1:25" s="44" customFormat="1" ht="15" customHeight="1">
      <c r="A5" s="1188"/>
      <c r="B5" s="1055" t="s">
        <v>48</v>
      </c>
      <c r="C5" s="1055"/>
      <c r="D5" s="1055"/>
      <c r="E5" s="1055"/>
      <c r="F5" s="1055"/>
      <c r="G5" s="1055"/>
      <c r="H5" s="1055"/>
      <c r="I5" s="1055"/>
      <c r="J5" s="1055"/>
      <c r="K5" s="1055"/>
      <c r="L5" s="1055"/>
      <c r="M5" s="1055"/>
      <c r="N5" s="522"/>
      <c r="R5" s="13"/>
      <c r="S5" s="13" t="str">
        <f>"T source, in: "&amp;'Project Setting'!F18&amp;" °C"</f>
        <v>T source, in: 25 °C</v>
      </c>
      <c r="T5" s="13" t="str">
        <f>"COP nom.: "&amp;'Project Setting'!F16&amp;" at"</f>
        <v>COP nom.: 3 at</v>
      </c>
      <c r="U5" s="13"/>
    </row>
    <row r="6" spans="1:25" s="44" customFormat="1" ht="15" customHeight="1">
      <c r="A6" s="1188"/>
      <c r="B6" s="1092" t="s">
        <v>49</v>
      </c>
      <c r="C6" s="1092"/>
      <c r="D6" s="1092"/>
      <c r="E6" s="1092"/>
      <c r="F6" s="1092"/>
      <c r="G6" s="1092"/>
      <c r="H6" s="1092"/>
      <c r="I6" s="1092"/>
      <c r="J6" s="1092"/>
      <c r="K6" s="1092"/>
      <c r="L6" s="1092"/>
      <c r="M6" s="1092"/>
      <c r="N6" s="201"/>
      <c r="R6" s="13"/>
      <c r="S6" s="13" t="str">
        <f>"T sink, in: "&amp;'Project Setting'!F23&amp;" °C"</f>
        <v>T sink, in: 60 °C</v>
      </c>
      <c r="T6" s="13" t="str">
        <f>"P th: "&amp;'Project Setting'!F55&amp;" MW_th"</f>
        <v>P th: 0.5 MW_th</v>
      </c>
      <c r="U6" s="13"/>
    </row>
    <row r="7" spans="1:25" s="44" customFormat="1">
      <c r="A7" s="1188"/>
      <c r="B7" s="1048" t="s">
        <v>57</v>
      </c>
      <c r="C7" s="1048"/>
      <c r="D7" s="1048"/>
      <c r="E7" s="1048"/>
      <c r="F7" s="1048"/>
      <c r="G7" s="1048"/>
      <c r="H7" s="1048"/>
      <c r="I7" s="1048"/>
      <c r="J7" s="1048"/>
      <c r="K7" s="1048"/>
      <c r="L7" s="1048"/>
      <c r="M7" s="1048"/>
      <c r="N7" s="84"/>
      <c r="R7" s="13"/>
      <c r="S7" s="13" t="str">
        <f>"T sink, out: "&amp;'Project Setting'!F20&amp;" °C"</f>
        <v>T sink, out: 90 °C</v>
      </c>
      <c r="T7" s="13"/>
      <c r="U7" s="13"/>
    </row>
    <row r="8" spans="1:25" s="44" customFormat="1" ht="15" customHeight="1">
      <c r="A8" s="1188"/>
      <c r="B8" s="1093" t="s">
        <v>51</v>
      </c>
      <c r="C8" s="1093"/>
      <c r="D8" s="1093"/>
      <c r="E8" s="1093"/>
      <c r="F8" s="1093"/>
      <c r="G8" s="1093"/>
      <c r="H8" s="1093"/>
      <c r="I8" s="1093"/>
      <c r="J8" s="1093"/>
      <c r="K8" s="1093"/>
      <c r="L8" s="1093"/>
      <c r="M8" s="1093"/>
      <c r="N8" s="92"/>
      <c r="R8" s="13"/>
      <c r="S8" s="13"/>
      <c r="T8" s="13"/>
      <c r="U8" s="13"/>
    </row>
    <row r="9" spans="1:25" s="44" customFormat="1">
      <c r="A9" s="1188"/>
      <c r="B9" s="1167" t="s">
        <v>493</v>
      </c>
      <c r="C9" s="1167"/>
      <c r="D9" s="1167"/>
      <c r="E9" s="1167"/>
      <c r="F9" s="1167"/>
      <c r="G9" s="1167"/>
      <c r="H9" s="1167"/>
      <c r="I9" s="1167"/>
      <c r="J9" s="1167"/>
      <c r="K9" s="1167"/>
      <c r="L9" s="1167"/>
      <c r="M9" s="1167"/>
      <c r="N9" s="523"/>
      <c r="R9" s="14"/>
      <c r="S9" s="15" t="str">
        <f>"Price p_0 (paid to external entity): "&amp;T9 &amp;" [EUR/MWh_heat_provided_by_DC]"</f>
        <v>Price p_0 (paid to external entity): 0 [EUR/MWh_heat_provided_by_DC]</v>
      </c>
      <c r="T9" s="16">
        <f>'Project Setting'!F112</f>
        <v>0</v>
      </c>
      <c r="U9" s="13"/>
    </row>
    <row r="10" spans="1:25">
      <c r="A10" s="1188"/>
      <c r="B10" s="1049" t="s">
        <v>53</v>
      </c>
      <c r="C10" s="1049"/>
      <c r="D10" s="1049"/>
      <c r="E10" s="1049"/>
      <c r="F10" s="1049"/>
      <c r="G10" s="1049"/>
      <c r="H10" s="1049"/>
      <c r="I10" s="1049"/>
      <c r="J10" s="1049"/>
      <c r="K10" s="1049"/>
      <c r="L10" s="1049"/>
      <c r="M10" s="1049"/>
      <c r="N10" s="7"/>
      <c r="O10" s="7"/>
      <c r="P10" s="7"/>
      <c r="Q10" s="7"/>
      <c r="R10" s="14"/>
      <c r="S10" s="15" t="str">
        <f>"Negotiated price p_1: "&amp;T10&amp;U10</f>
        <v>Negotiated price p_1: 2 [EUR/MWh_heat_provided_by_DC]</v>
      </c>
      <c r="T10" s="17">
        <f>F21</f>
        <v>2</v>
      </c>
      <c r="U10" s="13" t="str">
        <f>IF(T11=1," [EUR/MWh_heat_provided_by_DC]",IF(T11=2," [EUR/MWh_waste_heat_utilized_in_HP]"," [ERROR: Incorrect Contract Type]"))</f>
        <v xml:space="preserve"> [EUR/MWh_heat_provided_by_DC]</v>
      </c>
    </row>
    <row r="11" spans="1:25">
      <c r="A11" s="1188"/>
      <c r="B11" s="1189" t="s">
        <v>54</v>
      </c>
      <c r="C11" s="1190"/>
      <c r="D11" s="1190"/>
      <c r="E11" s="1190"/>
      <c r="F11" s="1190"/>
      <c r="G11" s="1190"/>
      <c r="H11" s="1190"/>
      <c r="I11" s="1190"/>
      <c r="J11" s="1190"/>
      <c r="K11" s="1190"/>
      <c r="L11" s="1190"/>
      <c r="M11" s="1190"/>
      <c r="N11" s="7"/>
      <c r="O11" s="7"/>
      <c r="P11" s="7"/>
      <c r="Q11" s="7"/>
      <c r="R11" s="14"/>
      <c r="S11" s="18" t="str">
        <f>"Contract Type: "&amp;U11</f>
        <v>Contract Type: Take-or-pay</v>
      </c>
      <c r="T11" s="13">
        <f>F20</f>
        <v>1</v>
      </c>
      <c r="U11" s="13" t="str">
        <f>IF(T11=1, "Take-or-pay",IF(T11=2,"Pay-as-you-go","Invalid Contract Type"))</f>
        <v>Take-or-pay</v>
      </c>
    </row>
    <row r="12" spans="1:25">
      <c r="A12" s="7"/>
      <c r="B12" s="7"/>
      <c r="C12" s="7"/>
      <c r="D12" s="7"/>
      <c r="E12" s="7"/>
      <c r="F12" s="7"/>
      <c r="G12" s="7"/>
      <c r="H12" s="7"/>
      <c r="I12" s="7"/>
      <c r="J12" s="7"/>
      <c r="K12" s="7"/>
      <c r="L12" s="7"/>
      <c r="M12" s="7"/>
      <c r="N12" s="7"/>
      <c r="O12" s="7"/>
      <c r="P12" s="7"/>
      <c r="Q12" s="7"/>
      <c r="R12" s="14" t="s">
        <v>463</v>
      </c>
      <c r="S12" s="18" t="str">
        <f ca="1">"Waste heat supplied by the DC: "&amp;ROUND('Calculation Break-Even'!E67/1000,2) &amp;" GWh/yr"</f>
        <v>Waste heat supplied by the DC: 17.38 GWh/yr</v>
      </c>
      <c r="T12" s="13"/>
      <c r="U12" s="13"/>
      <c r="W12" s="13"/>
      <c r="X12" s="13"/>
      <c r="Y12" s="13"/>
    </row>
    <row r="13" spans="1:25">
      <c r="A13" s="7"/>
      <c r="B13" s="7"/>
      <c r="C13" s="7"/>
      <c r="D13" s="7"/>
      <c r="E13" s="7"/>
      <c r="F13" s="7"/>
      <c r="G13" s="7"/>
      <c r="H13" s="7"/>
      <c r="I13" s="7"/>
      <c r="J13" s="7"/>
      <c r="K13" s="7"/>
      <c r="L13" s="7"/>
      <c r="M13" s="7"/>
      <c r="N13" s="7"/>
      <c r="O13" s="7"/>
      <c r="P13" s="7"/>
      <c r="Q13" s="7"/>
      <c r="R13" s="14"/>
      <c r="S13" s="18"/>
      <c r="T13" s="13"/>
      <c r="U13" s="13"/>
      <c r="W13" s="13"/>
      <c r="X13" s="50"/>
      <c r="Y13" s="13"/>
    </row>
    <row r="14" spans="1:25">
      <c r="A14" s="7"/>
      <c r="B14" s="7"/>
      <c r="C14" s="7"/>
      <c r="D14" s="7"/>
      <c r="E14" s="7"/>
      <c r="F14" s="7"/>
      <c r="G14" s="7"/>
      <c r="H14" s="7"/>
      <c r="I14" s="7"/>
      <c r="J14" s="7"/>
      <c r="K14" s="7"/>
      <c r="L14" s="7"/>
      <c r="M14" s="7"/>
      <c r="N14" s="7"/>
      <c r="O14" s="7"/>
      <c r="P14" s="7"/>
      <c r="Q14" s="7"/>
      <c r="R14" s="14"/>
      <c r="S14" s="18"/>
      <c r="T14" s="13"/>
      <c r="U14" s="13"/>
    </row>
    <row r="15" spans="1:25" ht="39.6" customHeight="1">
      <c r="A15" s="7"/>
      <c r="B15" s="1168" t="s">
        <v>494</v>
      </c>
      <c r="C15" s="1168"/>
      <c r="D15" s="1168"/>
      <c r="E15" s="1168"/>
      <c r="F15" s="1168"/>
      <c r="G15" s="1168"/>
      <c r="H15" s="1168"/>
      <c r="I15" s="1168"/>
      <c r="J15" s="1168"/>
      <c r="K15" s="1168"/>
      <c r="L15" s="1168"/>
      <c r="M15" s="7"/>
      <c r="N15" s="7"/>
      <c r="O15" s="7"/>
      <c r="P15" s="7"/>
      <c r="Q15" s="7"/>
      <c r="R15" s="14"/>
      <c r="S15" s="18"/>
      <c r="T15" s="13"/>
      <c r="U15" s="13"/>
    </row>
    <row r="17" spans="2:12" ht="24.6" customHeight="1">
      <c r="B17" s="1163" t="s">
        <v>495</v>
      </c>
      <c r="C17" s="1164"/>
      <c r="D17" s="1164"/>
      <c r="E17" s="1164"/>
      <c r="F17" s="1164"/>
      <c r="G17" s="1164"/>
      <c r="H17" s="1164"/>
      <c r="I17" s="1164"/>
      <c r="J17" s="1164"/>
      <c r="K17" s="1164"/>
      <c r="L17" s="1165"/>
    </row>
    <row r="18" spans="2:12">
      <c r="B18" s="586"/>
      <c r="C18" s="587"/>
      <c r="D18" s="587"/>
      <c r="E18" s="587"/>
      <c r="F18" s="587"/>
      <c r="G18" s="587"/>
      <c r="H18" s="587"/>
      <c r="I18" s="587"/>
      <c r="J18" s="587"/>
      <c r="K18" s="587"/>
      <c r="L18" s="588"/>
    </row>
    <row r="19" spans="2:12" ht="32.1" customHeight="1">
      <c r="B19" s="589"/>
      <c r="C19" s="1171" t="s">
        <v>496</v>
      </c>
      <c r="D19" s="1172"/>
      <c r="E19" s="1172"/>
      <c r="F19" s="1172"/>
      <c r="G19" s="1172"/>
      <c r="H19" s="1172"/>
      <c r="I19" s="1172"/>
      <c r="J19" s="1173"/>
      <c r="K19" s="590"/>
      <c r="L19" s="591"/>
    </row>
    <row r="20" spans="2:12" ht="33.6" customHeight="1">
      <c r="B20" s="531" t="s">
        <v>453</v>
      </c>
      <c r="C20" s="1150" t="str">
        <f>U11</f>
        <v>Take-or-pay</v>
      </c>
      <c r="D20" s="1150"/>
      <c r="E20" s="1150"/>
      <c r="F20" s="532">
        <v>1</v>
      </c>
      <c r="G20" s="1152" t="s">
        <v>497</v>
      </c>
      <c r="H20" s="1152"/>
      <c r="I20" s="1152"/>
      <c r="J20" s="1152"/>
      <c r="K20" s="1169"/>
      <c r="L20" s="1170"/>
    </row>
    <row r="21" spans="2:12" ht="41.45" customHeight="1">
      <c r="B21" s="531" t="s">
        <v>455</v>
      </c>
      <c r="C21" s="1150" t="str">
        <f>U10</f>
        <v xml:space="preserve"> [EUR/MWh_heat_provided_by_DC]</v>
      </c>
      <c r="D21" s="1150"/>
      <c r="E21" s="1150"/>
      <c r="F21" s="592">
        <f>'Main Results - IRR DC Operator'!F16</f>
        <v>2</v>
      </c>
      <c r="G21" s="1152" t="s">
        <v>498</v>
      </c>
      <c r="H21" s="1152"/>
      <c r="I21" s="1152"/>
      <c r="J21" s="1152"/>
      <c r="K21" s="1169"/>
      <c r="L21" s="1170"/>
    </row>
    <row r="22" spans="2:12" ht="34.35" customHeight="1">
      <c r="B22" s="531" t="s">
        <v>457</v>
      </c>
      <c r="C22" s="1150" t="s">
        <v>499</v>
      </c>
      <c r="D22" s="1150"/>
      <c r="E22" s="1150"/>
      <c r="F22" s="592">
        <f>'Main Results - IRR DC Operator'!F17</f>
        <v>0</v>
      </c>
      <c r="G22" s="1152" t="s">
        <v>500</v>
      </c>
      <c r="H22" s="1152"/>
      <c r="I22" s="1152"/>
      <c r="J22" s="1152"/>
      <c r="K22" s="1169"/>
      <c r="L22" s="1170"/>
    </row>
    <row r="23" spans="2:12">
      <c r="B23" s="610"/>
      <c r="C23" s="593"/>
      <c r="D23" s="593"/>
      <c r="E23" s="593"/>
      <c r="F23" s="593"/>
      <c r="G23" s="593"/>
      <c r="H23" s="593"/>
      <c r="I23" s="593"/>
      <c r="J23" s="593"/>
      <c r="K23" s="593"/>
      <c r="L23" s="585"/>
    </row>
    <row r="24" spans="2:12" ht="25.5">
      <c r="B24" s="570" t="s">
        <v>298</v>
      </c>
      <c r="C24" s="595"/>
      <c r="D24" s="595"/>
      <c r="E24" s="595"/>
      <c r="F24" s="596" t="s">
        <v>501</v>
      </c>
      <c r="G24" s="611"/>
      <c r="H24" s="615" t="s">
        <v>461</v>
      </c>
      <c r="I24" s="616"/>
      <c r="J24" s="617"/>
      <c r="K24" s="541"/>
      <c r="L24" s="544" t="s">
        <v>501</v>
      </c>
    </row>
    <row r="25" spans="2:12" ht="20.45" customHeight="1">
      <c r="B25" s="597" t="s">
        <v>464</v>
      </c>
      <c r="C25" s="598"/>
      <c r="D25" s="685" t="s">
        <v>113</v>
      </c>
      <c r="E25" s="555">
        <f>'Project Setting'!$F$105</f>
        <v>500000</v>
      </c>
      <c r="F25" s="558">
        <f>'Main Results - IRR DC Operator'!F20</f>
        <v>0</v>
      </c>
      <c r="G25" s="327"/>
      <c r="H25" s="600" t="s">
        <v>465</v>
      </c>
      <c r="I25" s="601"/>
      <c r="J25" s="686" t="s">
        <v>120</v>
      </c>
      <c r="K25" s="547">
        <f>'Project Setting'!$F$110</f>
        <v>50000</v>
      </c>
      <c r="L25" s="602">
        <f>'Main Results - IRR DC Operator'!L20</f>
        <v>0</v>
      </c>
    </row>
    <row r="26" spans="2:12" ht="20.45" customHeight="1">
      <c r="B26" s="600" t="s">
        <v>466</v>
      </c>
      <c r="C26" s="601"/>
      <c r="D26" s="686" t="s">
        <v>113</v>
      </c>
      <c r="E26" s="547">
        <f>'Project Setting'!$F$106</f>
        <v>126000</v>
      </c>
      <c r="F26" s="602">
        <f>'Main Results - IRR DC Operator'!F21</f>
        <v>0</v>
      </c>
      <c r="G26" s="327"/>
      <c r="H26" s="597" t="s">
        <v>467</v>
      </c>
      <c r="I26" s="598"/>
      <c r="J26" s="685" t="s">
        <v>120</v>
      </c>
      <c r="K26" s="555">
        <f ca="1">'Calculation of Typical Year'!BG16</f>
        <v>0</v>
      </c>
      <c r="L26" s="558">
        <f>'Main Results - IRR DC Operator'!L21</f>
        <v>0</v>
      </c>
    </row>
    <row r="27" spans="2:12" ht="20.45" customHeight="1">
      <c r="B27" s="603" t="s">
        <v>468</v>
      </c>
      <c r="C27" s="599"/>
      <c r="D27" s="685" t="s">
        <v>113</v>
      </c>
      <c r="E27" s="555">
        <f>'Project Setting'!$F$109</f>
        <v>50080</v>
      </c>
      <c r="F27" s="558">
        <f>'Main Results - IRR DC Operator'!F22</f>
        <v>0</v>
      </c>
      <c r="G27" s="327"/>
      <c r="H27" s="605"/>
      <c r="I27" s="327"/>
      <c r="J27" s="584"/>
      <c r="K27" s="327"/>
      <c r="L27" s="585"/>
    </row>
    <row r="28" spans="2:12" ht="25.5">
      <c r="B28" s="552" t="s">
        <v>469</v>
      </c>
      <c r="C28" s="553"/>
      <c r="D28" s="564" t="s">
        <v>113</v>
      </c>
      <c r="E28" s="565">
        <f>SUM(E25:E27)</f>
        <v>676080</v>
      </c>
      <c r="F28" s="580"/>
      <c r="G28" s="327"/>
      <c r="H28" s="552" t="s">
        <v>470</v>
      </c>
      <c r="I28" s="553"/>
      <c r="J28" s="564" t="s">
        <v>120</v>
      </c>
      <c r="K28" s="565">
        <f ca="1">SUM(K25:K26)</f>
        <v>50000</v>
      </c>
      <c r="L28" s="580"/>
    </row>
    <row r="29" spans="2:12">
      <c r="B29" s="690"/>
      <c r="C29" s="691"/>
      <c r="D29" s="692"/>
      <c r="E29" s="691"/>
      <c r="F29" s="693"/>
      <c r="G29" s="327"/>
      <c r="H29" s="594"/>
      <c r="I29" s="327"/>
      <c r="J29" s="687"/>
      <c r="K29" s="223"/>
      <c r="L29" s="606"/>
    </row>
    <row r="30" spans="2:12" ht="33" customHeight="1">
      <c r="B30" s="1184" t="s">
        <v>502</v>
      </c>
      <c r="C30" s="1185"/>
      <c r="D30" s="688"/>
      <c r="E30" s="688"/>
      <c r="F30" s="689" t="s">
        <v>503</v>
      </c>
      <c r="G30" s="611"/>
      <c r="H30" s="1141" t="s">
        <v>472</v>
      </c>
      <c r="I30" s="1138"/>
      <c r="J30" s="541"/>
      <c r="K30" s="541"/>
      <c r="L30" s="544" t="s">
        <v>501</v>
      </c>
    </row>
    <row r="31" spans="2:12" ht="20.45" customHeight="1">
      <c r="B31" s="604" t="s">
        <v>473</v>
      </c>
      <c r="C31" s="146"/>
      <c r="D31" s="686" t="s">
        <v>113</v>
      </c>
      <c r="E31" s="547">
        <f>'Project Setting'!$F$114</f>
        <v>0</v>
      </c>
      <c r="F31" s="602">
        <f>'Main Results - IRR DC Operator'!F26</f>
        <v>0</v>
      </c>
      <c r="G31" s="327"/>
      <c r="H31" s="531" t="s">
        <v>474</v>
      </c>
      <c r="I31" s="563"/>
      <c r="J31" s="554" t="s">
        <v>120</v>
      </c>
      <c r="K31" s="555">
        <f ca="1">'Calculation of Typical Year'!BG23</f>
        <v>32761.843078561178</v>
      </c>
      <c r="L31" s="558">
        <f>'Main Results - IRR DC Operator'!L26</f>
        <v>0</v>
      </c>
    </row>
    <row r="32" spans="2:12" ht="22.35" customHeight="1">
      <c r="B32" s="552" t="s">
        <v>469</v>
      </c>
      <c r="C32" s="553"/>
      <c r="D32" s="564" t="s">
        <v>113</v>
      </c>
      <c r="E32" s="565">
        <f>SUM(E31)</f>
        <v>0</v>
      </c>
      <c r="F32" s="566"/>
      <c r="G32" s="327"/>
      <c r="H32" s="1144" t="s">
        <v>475</v>
      </c>
      <c r="I32" s="1145"/>
      <c r="J32" s="567" t="s">
        <v>120</v>
      </c>
      <c r="K32" s="568">
        <f ca="1">SUM(K31)</f>
        <v>32761.843078561178</v>
      </c>
      <c r="L32" s="569"/>
    </row>
    <row r="33" spans="1:21">
      <c r="B33" s="605"/>
      <c r="C33" s="327"/>
      <c r="D33" s="327"/>
      <c r="E33" s="327"/>
      <c r="F33" s="327"/>
      <c r="G33" s="327"/>
      <c r="H33" s="327"/>
      <c r="I33" s="327"/>
      <c r="J33" s="612"/>
      <c r="K33" s="612"/>
      <c r="L33" s="585"/>
    </row>
    <row r="34" spans="1:21" ht="19.350000000000001" customHeight="1">
      <c r="B34" s="1176" t="s">
        <v>504</v>
      </c>
      <c r="C34" s="1177"/>
      <c r="D34" s="1177"/>
      <c r="E34" s="1178"/>
      <c r="F34" s="1186" t="s">
        <v>505</v>
      </c>
      <c r="G34" s="1187"/>
      <c r="H34" s="1176" t="s">
        <v>506</v>
      </c>
      <c r="I34" s="1177"/>
      <c r="J34" s="1177"/>
      <c r="K34" s="1178"/>
      <c r="L34" s="585"/>
    </row>
    <row r="35" spans="1:21" ht="20.45" customHeight="1">
      <c r="B35" s="552" t="s">
        <v>480</v>
      </c>
      <c r="C35" s="553"/>
      <c r="D35" s="554" t="s">
        <v>113</v>
      </c>
      <c r="E35" s="572">
        <f>'Calculation Break-Even'!C51</f>
        <v>676080</v>
      </c>
      <c r="F35" s="1182">
        <f>SUM(E35,K35)</f>
        <v>676080</v>
      </c>
      <c r="G35" s="1182"/>
      <c r="H35" s="552" t="s">
        <v>480</v>
      </c>
      <c r="I35" s="553"/>
      <c r="J35" s="554" t="s">
        <v>113</v>
      </c>
      <c r="K35" s="572">
        <f>'Calculation of Typical Year'!AU32</f>
        <v>0</v>
      </c>
      <c r="L35" s="585"/>
    </row>
    <row r="36" spans="1:21" ht="25.5">
      <c r="B36" s="545" t="s">
        <v>461</v>
      </c>
      <c r="C36" s="546"/>
      <c r="D36" s="519" t="s">
        <v>120</v>
      </c>
      <c r="E36" s="607">
        <f ca="1">'Calculation of Typical Year'!BP17</f>
        <v>50000</v>
      </c>
      <c r="F36" s="1183">
        <f ca="1">SUM(E36,K36)</f>
        <v>50000</v>
      </c>
      <c r="G36" s="1183"/>
      <c r="H36" s="545" t="s">
        <v>461</v>
      </c>
      <c r="I36" s="546"/>
      <c r="J36" s="519" t="s">
        <v>120</v>
      </c>
      <c r="K36" s="607">
        <f ca="1">'Calculation of Typical Year'!AY26</f>
        <v>0</v>
      </c>
      <c r="L36" s="585"/>
    </row>
    <row r="37" spans="1:21" ht="20.45" customHeight="1">
      <c r="B37" s="552" t="s">
        <v>472</v>
      </c>
      <c r="C37" s="553"/>
      <c r="D37" s="554" t="s">
        <v>120</v>
      </c>
      <c r="E37" s="572">
        <f ca="1">'Calculation of Typical Year'!BP23</f>
        <v>32761.843078561178</v>
      </c>
      <c r="F37" s="1182">
        <f ca="1">SUM(E37,K37)</f>
        <v>32761.843078561178</v>
      </c>
      <c r="G37" s="1182"/>
      <c r="H37" s="552" t="s">
        <v>472</v>
      </c>
      <c r="I37" s="553"/>
      <c r="J37" s="554" t="s">
        <v>120</v>
      </c>
      <c r="K37" s="572">
        <f ca="1">'Calculation of Typical Year'!AY38</f>
        <v>0</v>
      </c>
      <c r="L37" s="585"/>
    </row>
    <row r="38" spans="1:21">
      <c r="B38" s="605"/>
      <c r="C38" s="327"/>
      <c r="D38" s="584"/>
      <c r="E38" s="327"/>
      <c r="F38" s="327"/>
      <c r="G38" s="327"/>
      <c r="H38" s="327"/>
      <c r="I38" s="327"/>
      <c r="J38" s="327"/>
      <c r="K38" s="327"/>
      <c r="L38" s="585"/>
    </row>
    <row r="39" spans="1:21" ht="32.450000000000003" customHeight="1">
      <c r="B39" s="1144" t="s">
        <v>507</v>
      </c>
      <c r="C39" s="1145"/>
      <c r="D39" s="577" t="s">
        <v>120</v>
      </c>
      <c r="E39" s="608">
        <f ca="1">E36+E37</f>
        <v>82761.843078561185</v>
      </c>
      <c r="F39" s="327"/>
      <c r="G39" s="327"/>
      <c r="H39" s="327"/>
      <c r="I39" s="327"/>
      <c r="J39" s="327"/>
      <c r="K39" s="327"/>
      <c r="L39" s="585"/>
    </row>
    <row r="40" spans="1:21" ht="32.450000000000003" customHeight="1">
      <c r="B40" s="1144" t="s">
        <v>508</v>
      </c>
      <c r="C40" s="1145"/>
      <c r="D40" s="554" t="s">
        <v>120</v>
      </c>
      <c r="E40" s="572">
        <f ca="1">'Calculation Break-Even'!$E$60</f>
        <v>34767.527216174189</v>
      </c>
      <c r="F40" s="327"/>
      <c r="G40" s="327"/>
      <c r="H40" s="327"/>
      <c r="I40" s="327"/>
      <c r="J40" s="327"/>
      <c r="K40" s="327"/>
      <c r="L40" s="585"/>
    </row>
    <row r="41" spans="1:21" ht="32.450000000000003" customHeight="1">
      <c r="B41" s="1144" t="s">
        <v>484</v>
      </c>
      <c r="C41" s="1145"/>
      <c r="D41" s="571" t="s">
        <v>120</v>
      </c>
      <c r="E41" s="609">
        <f ca="1">'Calculation of Typical Year'!$BP$38</f>
        <v>121445.71643419143</v>
      </c>
      <c r="F41" s="613"/>
      <c r="G41" s="613"/>
      <c r="H41" s="613"/>
      <c r="I41" s="613"/>
      <c r="J41" s="613"/>
      <c r="K41" s="613"/>
      <c r="L41" s="614"/>
    </row>
    <row r="42" spans="1:21">
      <c r="B42" s="327"/>
      <c r="C42" s="327"/>
      <c r="D42" s="327"/>
      <c r="E42" s="327"/>
      <c r="F42" s="327"/>
      <c r="G42" s="327"/>
      <c r="H42" s="327"/>
      <c r="I42" s="327"/>
      <c r="J42" s="327"/>
      <c r="K42" s="327"/>
      <c r="L42" s="327"/>
    </row>
    <row r="43" spans="1:21" ht="27" customHeight="1">
      <c r="B43" s="1179" t="str">
        <f ca="1">'Calculation IRR'!D41</f>
        <v>6.83 %</v>
      </c>
      <c r="C43" s="1180"/>
      <c r="D43" s="1163" t="s">
        <v>509</v>
      </c>
      <c r="E43" s="1164"/>
      <c r="F43" s="1164"/>
      <c r="G43" s="1164"/>
      <c r="H43" s="1165"/>
      <c r="I43" s="1180" t="str">
        <f ca="1">'Calculation IRR'!D25</f>
        <v>1.98 %</v>
      </c>
      <c r="J43" s="1180"/>
      <c r="K43" s="1180"/>
      <c r="L43" s="1181"/>
    </row>
    <row r="44" spans="1:21" ht="20.100000000000001" customHeight="1">
      <c r="B44" s="1174" t="str">
        <f>"Considering an underlying lifetime of "&amp;'Project Setting'!F117&amp;" years for Contractor 2"</f>
        <v>Considering an underlying lifetime of 15 years for Contractor 2</v>
      </c>
      <c r="C44" s="1174"/>
      <c r="D44" s="1174"/>
      <c r="E44" s="327"/>
      <c r="F44" s="327"/>
      <c r="G44" s="327"/>
      <c r="H44" s="327"/>
      <c r="I44" s="1175" t="str">
        <f>"Considering an underlying lifetime of "&amp;'Project Setting'!F88&amp;" years for Contractor 1"</f>
        <v>Considering an underlying lifetime of 15 years for Contractor 1</v>
      </c>
      <c r="J44" s="1175"/>
      <c r="K44" s="1175"/>
      <c r="L44" s="1175"/>
    </row>
    <row r="46" spans="1:21">
      <c r="A46" s="7"/>
      <c r="B46" s="7"/>
      <c r="C46" s="7"/>
      <c r="D46" s="7"/>
      <c r="E46" s="7"/>
      <c r="F46" s="7"/>
      <c r="G46" s="7"/>
      <c r="H46" s="7"/>
      <c r="I46" s="7"/>
      <c r="J46" s="7"/>
      <c r="K46" s="7"/>
      <c r="L46" s="7"/>
      <c r="M46" s="7"/>
      <c r="N46" s="7"/>
      <c r="O46" s="7"/>
      <c r="P46" s="7"/>
      <c r="Q46" s="7"/>
      <c r="R46" s="14"/>
      <c r="S46" s="18"/>
      <c r="T46" s="13"/>
      <c r="U46" s="13"/>
    </row>
    <row r="47" spans="1:21">
      <c r="A47" s="7"/>
      <c r="B47" s="7"/>
      <c r="C47" s="7"/>
      <c r="D47" s="7"/>
      <c r="E47" s="7"/>
      <c r="F47" s="7"/>
      <c r="G47" s="7"/>
      <c r="H47" s="7"/>
      <c r="I47" s="7"/>
      <c r="J47" s="7"/>
      <c r="K47" s="7"/>
      <c r="L47" s="7"/>
      <c r="M47" s="7"/>
      <c r="N47" s="7"/>
      <c r="O47" s="7"/>
      <c r="P47" s="7"/>
      <c r="Q47" s="7"/>
      <c r="R47" s="14"/>
      <c r="S47" s="18"/>
      <c r="T47" s="13"/>
      <c r="U47" s="13"/>
    </row>
    <row r="48" spans="1:21">
      <c r="A48" s="7"/>
      <c r="B48" s="7"/>
      <c r="C48" s="7"/>
      <c r="D48" s="7"/>
      <c r="E48" s="7"/>
      <c r="F48" s="7"/>
      <c r="G48" s="7"/>
      <c r="H48" s="7"/>
      <c r="I48" s="7"/>
      <c r="J48" s="7"/>
      <c r="K48" s="7"/>
      <c r="L48" s="7"/>
      <c r="M48" s="7"/>
      <c r="N48" s="7"/>
      <c r="O48" s="7"/>
      <c r="P48" s="7"/>
      <c r="Q48" s="7"/>
      <c r="R48" s="14"/>
      <c r="S48" s="18"/>
      <c r="T48" s="13"/>
      <c r="U48" s="13"/>
    </row>
    <row r="49" spans="1:21">
      <c r="A49" s="7"/>
      <c r="B49" s="7"/>
      <c r="C49" s="7"/>
      <c r="D49" s="7"/>
      <c r="E49" s="7"/>
      <c r="F49" s="7"/>
      <c r="G49" s="7"/>
      <c r="H49" s="7"/>
      <c r="I49" s="7"/>
      <c r="J49" s="7"/>
      <c r="K49" s="7"/>
      <c r="L49" s="7"/>
      <c r="M49" s="7"/>
      <c r="N49" s="7"/>
      <c r="O49" s="7"/>
      <c r="P49" s="7"/>
      <c r="Q49" s="7"/>
      <c r="R49" s="14"/>
      <c r="S49" s="18" t="str">
        <f ca="1">"Waste heat utilized in the HP: "&amp;ROUND('Calculation Break-Even'!E66/1000,2) &amp;" GWh/yr"</f>
        <v>Waste heat utilized in the HP: 16.38 GWh/yr</v>
      </c>
      <c r="T49" s="13"/>
      <c r="U49" s="13"/>
    </row>
    <row r="50" spans="1:21">
      <c r="A50" s="7"/>
      <c r="B50" s="7"/>
      <c r="C50" s="7"/>
      <c r="D50" s="7"/>
      <c r="E50" s="7"/>
      <c r="F50" s="7"/>
      <c r="G50" s="7"/>
      <c r="H50" s="7"/>
      <c r="I50" s="7"/>
      <c r="J50" s="7"/>
      <c r="K50" s="7"/>
      <c r="L50" s="7"/>
      <c r="M50" s="7"/>
      <c r="N50" s="7"/>
      <c r="O50" s="7"/>
      <c r="P50" s="7"/>
      <c r="Q50" s="7"/>
      <c r="R50" s="18"/>
      <c r="S50" s="18" t="str">
        <f ca="1">"Heat fed into grid: "&amp;ROUND(T50/1000,2)&amp;" GWh/yr"</f>
        <v>Heat fed into grid: 22.9 GWh/yr</v>
      </c>
      <c r="T50" s="18">
        <f ca="1">'Calculation Break-Even'!E65</f>
        <v>22900.263526924246</v>
      </c>
      <c r="U50" s="18"/>
    </row>
    <row r="51" spans="1:21">
      <c r="A51" s="7"/>
      <c r="B51" s="7"/>
      <c r="C51" s="7"/>
      <c r="D51" s="7"/>
      <c r="E51" s="7"/>
      <c r="F51" s="7"/>
      <c r="G51" s="7"/>
      <c r="H51" s="7"/>
      <c r="I51" s="7"/>
      <c r="J51" s="7"/>
      <c r="K51" s="7"/>
      <c r="L51" s="7"/>
      <c r="M51" s="7"/>
      <c r="N51" s="7"/>
      <c r="O51" s="7"/>
      <c r="P51" s="7"/>
      <c r="Q51" s="7"/>
      <c r="R51" s="14"/>
      <c r="S51" s="18"/>
      <c r="T51" s="13"/>
      <c r="U51" s="13"/>
    </row>
    <row r="52" spans="1:21">
      <c r="A52" s="7"/>
      <c r="B52" s="7"/>
      <c r="C52" s="7"/>
      <c r="D52" s="7"/>
      <c r="E52" s="7"/>
      <c r="F52" s="7"/>
      <c r="G52" s="7"/>
      <c r="H52" s="7"/>
      <c r="I52" s="7"/>
      <c r="J52" s="7"/>
      <c r="K52" s="7"/>
      <c r="L52" s="7"/>
      <c r="M52" s="7"/>
      <c r="N52" s="7"/>
      <c r="O52" s="7"/>
      <c r="P52" s="7"/>
      <c r="Q52" s="7"/>
      <c r="R52" s="14"/>
      <c r="S52" s="18" t="str">
        <f ca="1">"Electricity input HP: "&amp;ROUND('Calculation of Typical Year'!AC37/1000,2) &amp;" GWh/yr"</f>
        <v>Electricity input HP: 6.7 GWh/yr</v>
      </c>
      <c r="T52" s="13"/>
      <c r="U52" s="13"/>
    </row>
    <row r="53" spans="1:21">
      <c r="R53" s="14"/>
      <c r="S53" s="18" t="str">
        <f ca="1">"Electricity / fuel input booster: "&amp;ROUND(T53/1000,2) &amp;" GWh/yr"</f>
        <v>Electricity / fuel input booster: 0.05 GWh/yr</v>
      </c>
      <c r="T53" s="19">
        <f ca="1">'Calculation of Typical Year'!AD37</f>
        <v>47.950761109480815</v>
      </c>
    </row>
    <row r="54" spans="1:21">
      <c r="R54" s="14"/>
      <c r="S54" s="18"/>
      <c r="T54" s="13"/>
    </row>
    <row r="55" spans="1:21">
      <c r="R55" s="7"/>
      <c r="S55" s="9"/>
      <c r="T55" s="44"/>
    </row>
    <row r="56" spans="1:21">
      <c r="R56" s="14"/>
      <c r="S56" s="18"/>
      <c r="T56" s="13"/>
    </row>
    <row r="57" spans="1:21">
      <c r="R57" s="14"/>
      <c r="S57" s="18" t="str">
        <f ca="1">"Price based on the short-run marginal costs of alternative heat production: 
"&amp;ROUND('Calculation of Typical Year'!AN38,2)&amp;" EUR/MWh_fed_into_DH_grid"</f>
        <v>Price based on the short-run marginal costs of alternative heat production: 
58.41 EUR/MWh_fed_into_DH_grid</v>
      </c>
      <c r="T57" s="18"/>
    </row>
    <row r="58" spans="1:21" ht="25.5">
      <c r="R58" s="14" t="s">
        <v>510</v>
      </c>
      <c r="S58" s="18" t="str">
        <f ca="1">"Break-even price for waste heat supplied by DC: "&amp;ROUND('Calculation Break-Even'!G79,2)&amp;" EUR/MWh_provided_by_DH"</f>
        <v>Break-even price for waste heat supplied by DC: -3.17 EUR/MWh_provided_by_DH</v>
      </c>
      <c r="T58" s="18"/>
    </row>
    <row r="59" spans="1:21">
      <c r="R59" s="14"/>
      <c r="S59" s="18" t="str">
        <f ca="1">"Break-even price for waste heat utilised by HP: "&amp;ROUND('Calculation Break-Even'!G78,2)&amp;" EUR/MWh_utilised_by_HP"</f>
        <v>Break-even price for waste heat utilised by HP: -3.36 EUR/MWh_utilised_by_HP</v>
      </c>
      <c r="T59" s="18"/>
    </row>
    <row r="60" spans="1:21">
      <c r="R60" s="14"/>
      <c r="S60" s="18" t="str">
        <f ca="1">"Break-even price for waste heat fed into DH grid: "&amp;ROUND('Calculation Break-Even'!G77,2)&amp;" EUR/MWh_fed_into_grid"</f>
        <v>Break-even price for waste heat fed into DH grid: -2.4 EUR/MWh_fed_into_grid</v>
      </c>
      <c r="T60" s="18"/>
    </row>
    <row r="61" spans="1:21">
      <c r="R61" s="18" t="s">
        <v>511</v>
      </c>
      <c r="S61" s="18" t="str">
        <f ca="1">"Break-even price for waste heat supplied by DC: "&amp;ROUND(T61,2)&amp;" EUR/MWh_provided_by_DC"</f>
        <v>Break-even price for waste heat supplied by DC: 1.52 EUR/MWh_provided_by_DC</v>
      </c>
      <c r="T61" s="20">
        <f ca="1">'Calculation Break-Even'!G85</f>
        <v>1.5216049324855236</v>
      </c>
    </row>
    <row r="62" spans="1:21">
      <c r="R62" s="18"/>
      <c r="S62" s="18" t="str">
        <f ca="1">"Break-even price for waste heat utilised by HP: "&amp;ROUND(T62,2)&amp;" EUR/MWh_utilized_by_HP"</f>
        <v>Break-even price for waste heat utilised by HP: 1.61 EUR/MWh_utilized_by_HP</v>
      </c>
      <c r="T62" s="20">
        <f ca="1">'Calculation Break-Even'!G84</f>
        <v>1.6147577770761572</v>
      </c>
    </row>
    <row r="63" spans="1:21">
      <c r="R63" s="18"/>
      <c r="S63" s="18"/>
      <c r="T63" s="18"/>
    </row>
    <row r="64" spans="1:21">
      <c r="R64" s="18"/>
      <c r="S64" s="18"/>
      <c r="T64" s="18"/>
    </row>
    <row r="65" spans="18:29">
      <c r="R65" s="18"/>
      <c r="S65" s="18"/>
      <c r="T65" s="18"/>
    </row>
    <row r="66" spans="18:29">
      <c r="R66" s="14" t="s">
        <v>480</v>
      </c>
      <c r="S66" s="18" t="str">
        <f>"Contractor 2's total investment needs (incl. subsidies, incl. cost share of heat recovery): "&amp;'Calculation Break-Even'!C51/1000 &amp; " kEUR"</f>
        <v>Contractor 2's total investment needs (incl. subsidies, incl. cost share of heat recovery): 676.08 kEUR</v>
      </c>
      <c r="T66" s="18"/>
    </row>
    <row r="67" spans="18:29">
      <c r="R67" s="14"/>
      <c r="S67" s="18" t="str">
        <f>"Contractor 1's total Investment needs (incl. subsidies, incl. cost share of heat recovery): "&amp;ROUND('Calculation Break-Even'!C12/1000,1) &amp; " kEUR"</f>
        <v>Contractor 1's total Investment needs (incl. subsidies, incl. cost share of heat recovery): 4815 kEUR</v>
      </c>
      <c r="T67" s="18"/>
    </row>
    <row r="68" spans="18:29">
      <c r="R68" s="18" t="s">
        <v>486</v>
      </c>
      <c r="S68" s="18" t="str">
        <f ca="1">"Contractor 2's annual expenses: "&amp;ROUND(('Calculation Break-Even'!E55+'Calculation Break-Even'!E58)/1000,1) &amp;" kEUR (excl. annualised investment costs)"</f>
        <v>Contractor 2's annual expenses: 82.8 kEUR (excl. annualised investment costs)</v>
      </c>
      <c r="T68" s="18"/>
    </row>
    <row r="69" spans="18:29">
      <c r="R69" s="14"/>
      <c r="S69" s="18" t="str">
        <f ca="1">"Contractor 2's total annual expenses: "&amp;ROUND(('Calculation Break-Even'!E62)/1000,1) &amp;" kEUR (incl. annualised investment costs)"</f>
        <v>Contractor 2's total annual expenses: 147.9 kEUR (incl. annualised investment costs)</v>
      </c>
      <c r="T69" s="18"/>
      <c r="U69" s="18"/>
      <c r="V69" s="18"/>
    </row>
    <row r="70" spans="18:29">
      <c r="R70" s="18"/>
      <c r="S70" s="18"/>
      <c r="T70" s="18"/>
      <c r="U70" s="18"/>
      <c r="V70" s="18"/>
    </row>
    <row r="71" spans="18:29">
      <c r="R71" s="18" t="s">
        <v>486</v>
      </c>
      <c r="S71" s="18" t="str">
        <f ca="1">"Contractor 1's total annual operation costs (incl. payments for heat to Contractor 2): "&amp;ROUND(('Calculation Break-Even'!E23+'Calculation Break-Even'!E35)/1000,1) &amp;" kEUR (incl. annual subsidies, excl. annualised investment costs)"</f>
        <v>Contractor 1's total annual operation costs (incl. payments for heat to Contractor 2): 963.6 kEUR (incl. annual subsidies, excl. annualised investment costs)</v>
      </c>
      <c r="T71" s="18"/>
      <c r="U71" s="18"/>
    </row>
    <row r="72" spans="18:29">
      <c r="R72" s="18"/>
      <c r="S72" s="1261" t="str">
        <f ca="1">"Contractor 1's annual operation costs (excl. payments for heat to Contractor 2): "&amp;ROUND(('Calculation Break-Even'!E22+'Calculation Break-Even'!E34)/1000,1) &amp;" kEUR (incl. annual subsidies, excl. annualised investment costs)"</f>
        <v>Contractor 1's annual operation costs (excl. payments for heat to Contractor 2): 928.8 kEUR (incl. annual subsidies, excl. annualised investment costs)</v>
      </c>
      <c r="T72" s="18"/>
      <c r="U72" s="18"/>
    </row>
    <row r="73" spans="18:29">
      <c r="R73" s="18"/>
      <c r="S73" s="18" t="str">
        <f ca="1">"Contractor 1's annual payments for heat to Contractor 2: "&amp;ROUND(('Calculation Break-Even'!E15+'Calculation Break-Even'!E27)/1000,1) &amp;" kEUR"</f>
        <v>Contractor 1's annual payments for heat to Contractor 2: 34.8 kEUR</v>
      </c>
      <c r="T73" s="18"/>
      <c r="U73" s="18"/>
    </row>
    <row r="74" spans="18:29">
      <c r="R74" s="18"/>
      <c r="S74" s="18" t="str">
        <f ca="1">"Contractor 1's total annual expenses: "&amp;ROUND(('Calculation Break-Even'!E12+'Calculation Break-Even'!E23+'Calculation Break-Even'!E35)/1000,1) &amp;" kEUR (incl. annual subsidies, incl. annualised investment costs)"</f>
        <v>Contractor 1's total annual expenses: 1427.5 kEUR (incl. annual subsidies, incl. annualised investment costs)</v>
      </c>
      <c r="T74" s="18"/>
      <c r="U74" s="18"/>
    </row>
    <row r="75" spans="18:29">
      <c r="R75" s="18"/>
      <c r="S75" s="18"/>
      <c r="T75" s="18"/>
      <c r="U75" s="18"/>
    </row>
    <row r="76" spans="18:29">
      <c r="R76" s="18"/>
      <c r="S76" s="18"/>
      <c r="T76" s="18"/>
      <c r="U76" s="18"/>
    </row>
    <row r="77" spans="18:29">
      <c r="R77" s="18"/>
      <c r="S77" s="18" t="str">
        <f>"Contractor 1's investments (incl. subsidies, excl. cost share of heat recovery): "&amp;ROUND(T77/1000,1)&amp;" kEUR (lump-sum)"</f>
        <v>Contractor 1's investments (incl. subsidies, excl. cost share of heat recovery): 4815 kEUR (lump-sum)</v>
      </c>
      <c r="T77" s="21">
        <f>'Calculation Break-Even'!C12-'Calculation Break-Even'!C11</f>
        <v>4815000</v>
      </c>
      <c r="U77" s="18"/>
    </row>
    <row r="78" spans="18:29">
      <c r="R78" s="18"/>
      <c r="S78" s="18" t="str">
        <f ca="1">"Contractor 1's annual operation independent expenses (excl. cost share of heat recovery): "&amp;ROUND(T78/1000,1)&amp;" kEUR/yr"</f>
        <v>Contractor 1's annual operation independent expenses (excl. cost share of heat recovery): 348.5 kEUR/yr</v>
      </c>
      <c r="T78" s="21">
        <f ca="1">'Calculation Break-Even'!E23-'Calculation Break-Even'!E21</f>
        <v>348525.10297374992</v>
      </c>
      <c r="U78" s="18"/>
    </row>
    <row r="79" spans="18:29">
      <c r="R79" s="18"/>
      <c r="S79" s="18" t="str">
        <f ca="1">"Contractor 1's annual variable costs (excl. cost share of heat recovery): "&amp;ROUND(T79/1000,1)&amp;" kEUR/yr"</f>
        <v>Contractor 1's annual variable costs (excl. cost share of heat recovery): 615 kEUR/yr</v>
      </c>
      <c r="T79" s="21">
        <f ca="1">'Calculation Break-Even'!E35-'Calculation Break-Even'!E33</f>
        <v>615042.92908760789</v>
      </c>
      <c r="U79" s="18"/>
    </row>
    <row r="80" spans="18:29">
      <c r="R80" s="18"/>
      <c r="S80" s="18"/>
      <c r="T80" s="18"/>
      <c r="U80" s="18"/>
      <c r="AC80" s="51" t="s">
        <v>59</v>
      </c>
    </row>
    <row r="81" spans="18:21">
      <c r="R81" s="18"/>
      <c r="S81" s="18"/>
      <c r="T81" s="18"/>
      <c r="U81" s="18"/>
    </row>
    <row r="82" spans="18:21">
      <c r="R82" s="18"/>
      <c r="S82" s="18"/>
      <c r="T82" s="18"/>
      <c r="U82" s="18"/>
    </row>
    <row r="83" spans="18:21">
      <c r="R83" s="14" t="s">
        <v>512</v>
      </c>
      <c r="S83" s="18" t="str">
        <f ca="1">"Contractor 1's gross earnings based on avoided alternative heat production costs: " &amp;ROUND('Calculation Break-Even'!E39/1000,1) &amp;" kEUR/yr"</f>
        <v>Contractor 1's gross earnings based on avoided alternative heat production costs: 1337.6 kEUR/yr</v>
      </c>
      <c r="T83" s="18"/>
      <c r="U83" s="18"/>
    </row>
    <row r="84" spans="18:21">
      <c r="R84" s="14"/>
      <c r="S84" s="18" t="str">
        <f ca="1">"Contractor 1's net earnings per MWh supplied to grid (considering annual Inv. and O&amp;M cost): " &amp;ROUND(T84,1) &amp;" EUR/MWh_supplied_to_grid"</f>
        <v>Contractor 1's net earnings per MWh supplied to grid (considering annual Inv. and O&amp;M cost): -3.9 EUR/MWh_supplied_to_grid</v>
      </c>
      <c r="T84" s="18">
        <f ca="1">'Calculation Break-Even'!G45</f>
        <v>-3.9224582312287364</v>
      </c>
      <c r="U84" s="18"/>
    </row>
    <row r="85" spans="18:21" ht="20.45" customHeight="1">
      <c r="R85" s="14"/>
      <c r="S85" s="18" t="str">
        <f ca="1">"Contractor 1's net earnings per MWh waste heat provided by DC (considering annual Inv. and O&amp;M cost): " &amp;ROUND(T85,1) &amp;" EUR/MWh_provided_by_DC"</f>
        <v>Contractor 1's net earnings per MWh waste heat provided by DC (considering annual Inv. and O&amp;M cost): -5.2 EUR/MWh_provided_by_DC</v>
      </c>
      <c r="T85" s="18">
        <f ca="1">'Calculation Break-Even'!G43</f>
        <v>-5.1671967701346109</v>
      </c>
      <c r="U85" s="18"/>
    </row>
    <row r="86" spans="18:21" ht="20.45" customHeight="1">
      <c r="R86" s="18"/>
      <c r="S86" s="18" t="str">
        <f ca="1">"Contractor 1's net earnings per year (considering annual Inv. and O&amp;M cost): " &amp;ROUND(T86/1000,1) &amp;" kEUR/yr"</f>
        <v>Contractor 1's net earnings per year (considering annual Inv. and O&amp;M cost): -89.8 kEUR/yr</v>
      </c>
      <c r="T86" s="18">
        <f ca="1">'Calculation Break-Even'!E45</f>
        <v>-89825.327168491218</v>
      </c>
      <c r="U86" s="18"/>
    </row>
    <row r="87" spans="18:21" ht="20.45" customHeight="1">
      <c r="R87" s="18"/>
      <c r="S87" s="18"/>
      <c r="T87" s="18"/>
      <c r="U87" s="18"/>
    </row>
    <row r="88" spans="18:21" ht="20.45" customHeight="1">
      <c r="R88" s="18"/>
      <c r="S88" s="26" t="str">
        <f ca="1">"Contractor 2's net earnings per MWh of heat supplied: " &amp;ROUND('Calculation Break-Even'!G63,1) &amp;" EUR/MWh_provided_by_DC"</f>
        <v>Contractor 2's net earnings per MWh of heat supplied: 0.5 EUR/MWh_provided_by_DC</v>
      </c>
      <c r="T88" s="18"/>
      <c r="U88" s="18"/>
    </row>
    <row r="89" spans="18:21" ht="20.45" customHeight="1">
      <c r="R89" s="18"/>
      <c r="S89" s="26" t="str">
        <f ca="1">"Contractor 2's net earnings per year due to heat sold to contractor 1: " &amp;ROUND('Calculation Break-Even'!E63/1000,1) &amp;" kEUR/yr (considering annualized investment costs)"</f>
        <v>Contractor 2's net earnings per year due to heat sold to contractor 1: 8.3 kEUR/yr (considering annualized investment costs)</v>
      </c>
      <c r="T89" s="18"/>
      <c r="U89" s="18"/>
    </row>
    <row r="90" spans="18:21" ht="20.45" customHeight="1">
      <c r="R90" s="14"/>
      <c r="S90" s="18" t="str">
        <f ca="1">"Contractor 2's gross earnings per year due to heat sold to contractor 1: " &amp;T90 &amp;" kEUR/yr"</f>
        <v>Contractor 2's gross earnings per year due to heat sold to contractor 1: 34.8 kEUR/yr</v>
      </c>
      <c r="T90" s="18">
        <f ca="1">ROUND(('Calculation Break-Even'!E60)/1000,1)</f>
        <v>34.799999999999997</v>
      </c>
      <c r="U90" s="18"/>
    </row>
    <row r="91" spans="18:21" ht="27.6" customHeight="1">
      <c r="R91" s="14"/>
      <c r="S91" s="18"/>
      <c r="T91" s="18"/>
      <c r="U91" s="18"/>
    </row>
    <row r="92" spans="18:21" ht="17.100000000000001" customHeight="1">
      <c r="R92" s="14"/>
      <c r="S92" s="18"/>
      <c r="T92" s="18"/>
      <c r="U92" s="18"/>
    </row>
    <row r="93" spans="18:21" ht="17.100000000000001" customHeight="1">
      <c r="R93" s="14"/>
      <c r="S93" s="22"/>
      <c r="T93" s="18"/>
      <c r="U93" s="18"/>
    </row>
    <row r="94" spans="18:21" ht="17.100000000000001" customHeight="1">
      <c r="R94" s="14"/>
      <c r="S94" s="22" t="s">
        <v>488</v>
      </c>
      <c r="T94" s="18"/>
      <c r="U94" s="18"/>
    </row>
    <row r="95" spans="18:21" ht="17.100000000000001" customHeight="1">
      <c r="R95" s="14"/>
      <c r="S95" s="18" t="str">
        <f>"Investments (considering subsidies): "&amp;ROUND(T95/1000,1)&amp;" kEUR (lumpsum)"</f>
        <v>Investments (considering subsidies): 676.1 kEUR (lumpsum)</v>
      </c>
      <c r="T95" s="21">
        <f>'Calculation of Typical Year'!BC18-'Calculation of Typical Year'!BC23</f>
        <v>676080</v>
      </c>
      <c r="U95" s="23">
        <f>U99+U103</f>
        <v>1</v>
      </c>
    </row>
    <row r="96" spans="18:21" ht="17.100000000000001" customHeight="1">
      <c r="R96" s="14"/>
      <c r="S96" s="18" t="str">
        <f ca="1">"Annual operation independent expenses: "&amp;ROUND(T96/1000,1)&amp;" kEUR/yr"</f>
        <v>Annual operation independent expenses: 50 kEUR/yr</v>
      </c>
      <c r="T96" s="21">
        <f ca="1">'Calculation of Typical Year'!BG17</f>
        <v>50000</v>
      </c>
      <c r="U96" s="23">
        <f ca="1">U100+U104</f>
        <v>1</v>
      </c>
    </row>
    <row r="97" spans="18:21" ht="17.100000000000001" customHeight="1">
      <c r="R97" s="14"/>
      <c r="S97" s="18" t="str">
        <f ca="1">"Annual variable costs: "&amp;ROUND(T97/1000,1)&amp;" kEUR/yr"</f>
        <v>Annual variable costs: 32.8 kEUR/yr</v>
      </c>
      <c r="T97" s="21">
        <f ca="1">'Calculation of Typical Year'!BG23</f>
        <v>32761.843078561178</v>
      </c>
      <c r="U97" s="23">
        <f ca="1">U101+U105</f>
        <v>1</v>
      </c>
    </row>
    <row r="98" spans="18:21" ht="17.100000000000001" customHeight="1" collapsed="1">
      <c r="R98" s="14"/>
      <c r="S98" s="22" t="s">
        <v>489</v>
      </c>
      <c r="T98" s="18"/>
      <c r="U98" s="24"/>
    </row>
    <row r="99" spans="18:21" ht="17.100000000000001" customHeight="1">
      <c r="R99" s="14"/>
      <c r="S99" s="18" t="str">
        <f>"Investments (considering subsidies): "&amp;ROUND(T99/1000,1)&amp;" kEUR (lumpsum)"</f>
        <v>Investments (considering subsidies): 0 kEUR (lumpsum)</v>
      </c>
      <c r="T99" s="21">
        <f>'Calculation of Typical Year'!AU32</f>
        <v>0</v>
      </c>
      <c r="U99" s="25" t="str">
        <f>ROUND(T99/T95*100,0) &amp;" %"</f>
        <v>0 %</v>
      </c>
    </row>
    <row r="100" spans="18:21" ht="17.100000000000001" customHeight="1">
      <c r="R100" s="14"/>
      <c r="S100" s="18" t="str">
        <f ca="1">"Annual operation independent expenses: "&amp;ROUND(T100/1000,1)&amp;" kEUR/yr"</f>
        <v>Annual operation independent expenses: 0 kEUR/yr</v>
      </c>
      <c r="T100" s="21">
        <f ca="1">'Calculation of Typical Year'!AY26</f>
        <v>0</v>
      </c>
      <c r="U100" s="25" t="str">
        <f ca="1">ROUND(T100/T96*100,0) &amp;" %"</f>
        <v>0 %</v>
      </c>
    </row>
    <row r="101" spans="18:21" ht="17.100000000000001" customHeight="1">
      <c r="S101" s="18" t="str">
        <f ca="1">"Annual variable costs: "&amp;ROUND(T101/1000,1)&amp;" kEUR/yr"</f>
        <v>Annual variable costs: 0 kEUR/yr</v>
      </c>
      <c r="T101" s="21">
        <f ca="1">'Calculation of Typical Year'!AY38</f>
        <v>0</v>
      </c>
      <c r="U101" s="25" t="str">
        <f ca="1">ROUND(T101/T97*100,0) &amp;" %"</f>
        <v>0 %</v>
      </c>
    </row>
    <row r="102" spans="18:21" ht="17.100000000000001" customHeight="1">
      <c r="S102" s="22" t="s">
        <v>490</v>
      </c>
      <c r="T102" s="18"/>
      <c r="U102" s="24"/>
    </row>
    <row r="103" spans="18:21" ht="17.100000000000001" customHeight="1">
      <c r="S103" s="18" t="str">
        <f>"Investments (considering subsidies): "&amp;ROUND(T103/1000,1)&amp;" kEUR (lumpsum)"</f>
        <v>Investments (considering subsidies): 676.1 kEUR (lumpsum)</v>
      </c>
      <c r="T103" s="21">
        <f>'Calculation of Typical Year'!BL18-'Calculation of Typical Year'!BL23</f>
        <v>676080</v>
      </c>
      <c r="U103" s="25" t="str">
        <f>ROUND(T103/T95*100,0) &amp;" %"</f>
        <v>100 %</v>
      </c>
    </row>
    <row r="104" spans="18:21" ht="17.100000000000001" customHeight="1">
      <c r="S104" s="18" t="str">
        <f ca="1">"Annual operation independent expenses: "&amp;ROUND(T104/1000,1)&amp;" kEUR/yr"</f>
        <v>Annual operation independent expenses: 50 kEUR/yr</v>
      </c>
      <c r="T104" s="21">
        <f ca="1">'Calculation of Typical Year'!BP17</f>
        <v>50000</v>
      </c>
      <c r="U104" s="25" t="str">
        <f ca="1">ROUND(T104/T96*100,0) &amp;" %"</f>
        <v>100 %</v>
      </c>
    </row>
    <row r="105" spans="18:21" ht="17.100000000000001" customHeight="1">
      <c r="S105" s="18" t="str">
        <f ca="1">"Annual variable costs: "&amp;ROUND(T105/1000,1)&amp;" kEUR/yr"</f>
        <v>Annual variable costs: 32.8 kEUR/yr</v>
      </c>
      <c r="T105" s="21">
        <f ca="1">'Calculation of Typical Year'!BP23</f>
        <v>32761.843078561178</v>
      </c>
      <c r="U105" s="25" t="str">
        <f ca="1">ROUND(T105/T97*100,0) &amp;" %"</f>
        <v>100 %</v>
      </c>
    </row>
    <row r="106" spans="18:21" ht="17.100000000000001" customHeight="1">
      <c r="S106" s="18" t="str">
        <f ca="1">"Total annualised costs (considering demanded IRR and depreciation time of contractor 2 / DC operator): " &amp;ROUND(T106,1) &amp;" kEUR/yr"</f>
        <v>Total annualised costs (considering demanded IRR and depreciation time of contractor 2 / DC operator): 147.9 kEUR/yr</v>
      </c>
      <c r="T106" s="18">
        <f ca="1">'Calculation Break-Even'!E62/1000</f>
        <v>147.89693688541911</v>
      </c>
      <c r="U106" s="18"/>
    </row>
    <row r="107" spans="18:21" ht="17.100000000000001" customHeight="1">
      <c r="S107" s="18"/>
      <c r="T107" s="18"/>
      <c r="U107" s="18"/>
    </row>
    <row r="108" spans="18:21" ht="17.100000000000001" customHeight="1">
      <c r="S108" s="18"/>
      <c r="T108" s="18"/>
      <c r="U108" s="18"/>
    </row>
    <row r="109" spans="18:21" ht="17.100000000000001" customHeight="1">
      <c r="S109" s="18"/>
      <c r="T109" s="18"/>
      <c r="U109" s="18"/>
    </row>
    <row r="110" spans="18:21" ht="17.100000000000001" customHeight="1">
      <c r="S110" s="18"/>
      <c r="T110" s="18"/>
      <c r="U110" s="18"/>
    </row>
    <row r="111" spans="18:21" ht="17.100000000000001" customHeight="1">
      <c r="S111" s="18" t="str">
        <f ca="1">"Contractor 1 / DH operator: Internal rate of return: "&amp;T111&amp;" (considering calculatory life time of "&amp;'Project Setting'!F88&amp;" years)"</f>
        <v>Contractor 1 / DH operator: Internal rate of return: 1.98 % (considering calculatory life time of 15 years)</v>
      </c>
      <c r="T111" s="21" t="str">
        <f ca="1">'Calculation IRR'!D25</f>
        <v>1.98 %</v>
      </c>
      <c r="U111" s="18"/>
    </row>
    <row r="112" spans="18:21" ht="17.100000000000001" customHeight="1">
      <c r="S112" s="18" t="str">
        <f ca="1">"Contractor 2 / DC operator: Internal rate of return: "&amp;T112&amp;" (considering calculatory life time of "&amp;'Project Setting'!F117&amp;" years)"</f>
        <v>Contractor 2 / DC operator: Internal rate of return: 6.83 % (considering calculatory life time of 15 years)</v>
      </c>
      <c r="T112" s="21" t="str">
        <f ca="1">'Calculation IRR'!D41</f>
        <v>6.83 %</v>
      </c>
      <c r="U112" s="18"/>
    </row>
    <row r="113" spans="19:21" ht="17.100000000000001" customHeight="1"/>
    <row r="114" spans="19:21" ht="17.100000000000001" customHeight="1"/>
    <row r="115" spans="19:21" ht="17.100000000000001" customHeight="1">
      <c r="S115" s="18" t="str">
        <f ca="1">"Avoided electricity demand for active cooling: "&amp;ROUND(T115,1)&amp;" "&amp;U115</f>
        <v>Avoided electricity demand for active cooling: 1.5 GWh/yr</v>
      </c>
      <c r="T115" s="29">
        <f ca="1">'Calculation of Typical Year'!$AF$63/1000</f>
        <v>1.4550210229322449</v>
      </c>
      <c r="U115" s="51" t="s">
        <v>491</v>
      </c>
    </row>
    <row r="116" spans="19:21" ht="17.100000000000001" customHeight="1">
      <c r="S116" s="51" t="str">
        <f ca="1">"Remaining electricity demand for active cooling: "&amp;ROUND(T116,1)&amp;" "&amp;U116</f>
        <v>Remaining electricity demand for active cooling: 0.1 GWh/yr</v>
      </c>
      <c r="T116" s="29">
        <f ca="1">'Calculation of Typical Year'!$AG$63/1000</f>
        <v>0.13371227584086703</v>
      </c>
      <c r="U116" s="51" t="s">
        <v>491</v>
      </c>
    </row>
    <row r="117" spans="19:21" ht="17.100000000000001" customHeight="1">
      <c r="S117" s="18" t="str">
        <f ca="1">"Avoided electricity costs for active cooling: "&amp;ROUND(T117,1)&amp;" "&amp;U117</f>
        <v>Avoided electricity costs for active cooling: 121.4 kEUR/yr</v>
      </c>
      <c r="T117" s="29">
        <f ca="1">'Calculation of Typical Year'!$BP$38/1000</f>
        <v>121.44571643419144</v>
      </c>
      <c r="U117" s="51" t="s">
        <v>492</v>
      </c>
    </row>
    <row r="118" spans="19:21" ht="17.100000000000001" customHeight="1">
      <c r="S118" s="51" t="str">
        <f ca="1">"Remaining electricity costs for active cooling: "&amp;ROUND(T118,1)&amp;" "&amp;U118</f>
        <v>Remaining electricity costs for active cooling: 13 kEUR/yr</v>
      </c>
      <c r="T118" s="29">
        <f ca="1">'Calculation of Typical Year'!$BL$38/1000</f>
        <v>13.012494628535345</v>
      </c>
      <c r="U118" s="51" t="s">
        <v>492</v>
      </c>
    </row>
    <row r="119" spans="19:21" ht="17.100000000000001" customHeight="1"/>
    <row r="120" spans="19:21" ht="17.100000000000001" customHeight="1"/>
    <row r="121" spans="19:21" ht="17.100000000000001" customHeight="1"/>
    <row r="122" spans="19:21" ht="17.100000000000001" customHeight="1"/>
    <row r="123" spans="19:21" ht="17.100000000000001" customHeight="1"/>
    <row r="124" spans="19:21" ht="17.100000000000001" customHeight="1"/>
    <row r="125" spans="19:21" ht="17.100000000000001" customHeight="1"/>
    <row r="126" spans="19:21" ht="17.100000000000001" customHeight="1"/>
    <row r="127" spans="19:21" ht="17.100000000000001" customHeight="1"/>
    <row r="128" spans="19:21" ht="17.100000000000001" customHeight="1"/>
    <row r="129" ht="17.100000000000001" customHeight="1"/>
    <row r="130" ht="17.100000000000001" customHeight="1"/>
    <row r="131" ht="17.100000000000001" customHeight="1" collapsed="1"/>
    <row r="132" ht="17.100000000000001" customHeight="1"/>
    <row r="133" ht="17.100000000000001" customHeight="1"/>
    <row r="134" ht="17.100000000000001" customHeight="1"/>
    <row r="135" ht="17.100000000000001" customHeight="1"/>
    <row r="136" ht="17.100000000000001" customHeight="1"/>
  </sheetData>
  <mergeCells count="40">
    <mergeCell ref="A1:M1"/>
    <mergeCell ref="A3:A11"/>
    <mergeCell ref="B3:M3"/>
    <mergeCell ref="B4:M4"/>
    <mergeCell ref="B5:M5"/>
    <mergeCell ref="B11:M11"/>
    <mergeCell ref="B44:D44"/>
    <mergeCell ref="I44:L44"/>
    <mergeCell ref="C22:E22"/>
    <mergeCell ref="B34:E34"/>
    <mergeCell ref="B43:C43"/>
    <mergeCell ref="D43:H43"/>
    <mergeCell ref="I43:L43"/>
    <mergeCell ref="K22:L22"/>
    <mergeCell ref="F35:G35"/>
    <mergeCell ref="F36:G36"/>
    <mergeCell ref="F37:G37"/>
    <mergeCell ref="H34:K34"/>
    <mergeCell ref="G22:J22"/>
    <mergeCell ref="H30:I30"/>
    <mergeCell ref="B30:C30"/>
    <mergeCell ref="F34:G34"/>
    <mergeCell ref="K20:L20"/>
    <mergeCell ref="K21:L21"/>
    <mergeCell ref="C19:J19"/>
    <mergeCell ref="G20:J20"/>
    <mergeCell ref="G21:J21"/>
    <mergeCell ref="B17:L17"/>
    <mergeCell ref="B6:M6"/>
    <mergeCell ref="B7:M7"/>
    <mergeCell ref="B8:M8"/>
    <mergeCell ref="B9:M9"/>
    <mergeCell ref="B10:M10"/>
    <mergeCell ref="B15:L15"/>
    <mergeCell ref="H32:I32"/>
    <mergeCell ref="B40:C40"/>
    <mergeCell ref="B39:C39"/>
    <mergeCell ref="B41:C41"/>
    <mergeCell ref="C20:E20"/>
    <mergeCell ref="C21:E21"/>
  </mergeCells>
  <conditionalFormatting sqref="B11:J11">
    <cfRule type="expression" dxfId="22" priority="1">
      <formula>B$81=FALSE</formula>
    </cfRule>
  </conditionalFormatting>
  <conditionalFormatting sqref="I43 B43">
    <cfRule type="colorScale" priority="2">
      <colorScale>
        <cfvo type="min"/>
        <cfvo type="percentile" val="50"/>
        <cfvo type="max"/>
        <color rgb="FFF8696B"/>
        <color rgb="FFFFEB84"/>
        <color rgb="FF63BE7B"/>
      </colorScale>
    </cfRule>
  </conditionalFormatting>
  <hyperlinks>
    <hyperlink ref="K7:N7" location="Content!A1" display="Go to Inhalt Sheet" xr:uid="{B82E2365-909E-4E32-8ED4-E18368BF7076}"/>
    <hyperlink ref="B1:N1" location="Content!A1" display="Go to Content Sheet" xr:uid="{24E06510-B74C-4F4A-ADC3-15446DC37814}"/>
    <hyperlink ref="A1" location="Content!A1" display="Go to Content" xr:uid="{688C8B59-121F-4646-BD36-AEACA57A5340}"/>
    <hyperlink ref="B7:M7" location="Content!A1" display="Go to Content" xr:uid="{D9CC19D9-0FD3-4E7F-9C57-CE807E48AD87}"/>
    <hyperlink ref="B7" location="Content!A1" display="Go to Content" xr:uid="{4765D3E8-33E6-4DF1-B02C-0AE12A59D1BE}"/>
    <hyperlink ref="A1:M1" location="Content!A1" display="Go to Content Sheet" xr:uid="{9C605BE3-94DD-495B-AF0E-B3C00D27C717}"/>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F726F-6199-4724-9D68-12F0ABF37053}">
  <sheetPr codeName="Tabelle8">
    <tabColor rgb="FF00B0F0"/>
    <outlinePr summaryBelow="0"/>
  </sheetPr>
  <dimension ref="A1:AG638"/>
  <sheetViews>
    <sheetView topLeftCell="A30" zoomScale="115" zoomScaleNormal="115" workbookViewId="0">
      <selection activeCell="O48" sqref="O48"/>
    </sheetView>
  </sheetViews>
  <sheetFormatPr baseColWidth="10" defaultColWidth="11.140625" defaultRowHeight="15" outlineLevelRow="1"/>
  <cols>
    <col min="1" max="1" width="7.85546875" style="143" customWidth="1"/>
    <col min="2" max="2" width="90.140625" style="143" customWidth="1"/>
    <col min="3" max="3" width="15.5703125" style="143" customWidth="1"/>
    <col min="4" max="4" width="21.5703125" style="143" customWidth="1"/>
    <col min="5" max="5" width="12.140625" style="143" customWidth="1"/>
    <col min="6" max="6" width="9.85546875" style="143" customWidth="1"/>
    <col min="7" max="7" width="11" style="143" customWidth="1"/>
    <col min="8" max="8" width="33.5703125" style="143" bestFit="1" customWidth="1"/>
    <col min="9" max="10" width="11.140625" style="196" bestFit="1" customWidth="1"/>
    <col min="11" max="11" width="12" style="196" bestFit="1" customWidth="1"/>
    <col min="12" max="12" width="11.140625" style="196"/>
    <col min="13" max="13" width="20.5703125" style="196" customWidth="1"/>
    <col min="14" max="33" width="11.140625" style="196"/>
    <col min="34" max="16384" width="11.140625" style="143"/>
  </cols>
  <sheetData>
    <row r="1" spans="1:33" ht="14.85" customHeight="1">
      <c r="A1" s="1030" t="s">
        <v>57</v>
      </c>
      <c r="B1" s="1030"/>
      <c r="C1" s="1030"/>
      <c r="D1" s="1030"/>
      <c r="E1" s="1030"/>
      <c r="F1" s="1030"/>
      <c r="G1" s="1030"/>
      <c r="H1" s="1030"/>
    </row>
    <row r="2" spans="1:33" s="196" customFormat="1">
      <c r="A2" s="135"/>
      <c r="B2" s="135"/>
      <c r="C2" s="135"/>
      <c r="D2" s="135"/>
      <c r="E2" s="135"/>
      <c r="F2" s="135"/>
      <c r="G2" s="135"/>
      <c r="H2" s="135"/>
    </row>
    <row r="3" spans="1:33" s="159" customFormat="1" ht="11.1" customHeight="1">
      <c r="A3" s="1031"/>
      <c r="B3" s="1031" t="s">
        <v>513</v>
      </c>
      <c r="C3" s="1031"/>
      <c r="D3" s="1031"/>
      <c r="E3" s="1031"/>
      <c r="F3" s="1031"/>
      <c r="G3" s="1031"/>
      <c r="H3" s="1031"/>
      <c r="I3" s="217"/>
      <c r="J3" s="217"/>
      <c r="K3" s="51"/>
      <c r="L3" s="51"/>
      <c r="M3" s="217"/>
      <c r="N3" s="217"/>
      <c r="O3" s="217"/>
      <c r="P3" s="217"/>
      <c r="Q3" s="217"/>
      <c r="R3" s="217"/>
      <c r="S3" s="217"/>
      <c r="T3" s="217"/>
      <c r="U3" s="217"/>
      <c r="V3" s="217"/>
      <c r="W3" s="217"/>
      <c r="X3" s="217"/>
      <c r="Y3" s="217"/>
      <c r="Z3" s="217"/>
      <c r="AA3" s="217"/>
      <c r="AB3" s="217"/>
      <c r="AC3" s="217"/>
      <c r="AD3" s="217"/>
      <c r="AE3" s="217"/>
      <c r="AF3" s="217"/>
      <c r="AG3" s="217"/>
    </row>
    <row r="4" spans="1:33" s="159" customFormat="1" ht="11.1" customHeight="1">
      <c r="A4" s="1032"/>
      <c r="B4" s="1032"/>
      <c r="C4" s="1032"/>
      <c r="D4" s="1032"/>
      <c r="E4" s="1032"/>
      <c r="F4" s="1032"/>
      <c r="G4" s="1032"/>
      <c r="H4" s="1032"/>
      <c r="I4" s="217"/>
      <c r="J4" s="217"/>
      <c r="K4" s="51"/>
      <c r="L4" s="51"/>
      <c r="M4" s="217"/>
      <c r="N4" s="217"/>
      <c r="O4" s="217"/>
      <c r="P4" s="217"/>
      <c r="Q4" s="217"/>
      <c r="R4" s="217"/>
      <c r="S4" s="217"/>
      <c r="T4" s="217"/>
      <c r="U4" s="217"/>
      <c r="V4" s="217"/>
      <c r="W4" s="217"/>
      <c r="X4" s="217"/>
      <c r="Y4" s="217"/>
      <c r="Z4" s="217"/>
      <c r="AA4" s="217"/>
      <c r="AB4" s="217"/>
      <c r="AC4" s="217"/>
      <c r="AD4" s="217"/>
      <c r="AE4" s="217"/>
      <c r="AF4" s="217"/>
      <c r="AG4" s="217"/>
    </row>
    <row r="5" spans="1:33" ht="11.1" customHeight="1">
      <c r="A5" s="1033"/>
      <c r="B5" s="1033"/>
      <c r="C5" s="1033"/>
      <c r="D5" s="1033"/>
      <c r="E5" s="1033"/>
      <c r="F5" s="1033"/>
      <c r="G5" s="1033"/>
      <c r="H5" s="1033"/>
      <c r="K5" s="4"/>
      <c r="L5" s="51"/>
    </row>
    <row r="6" spans="1:33" ht="14.85" customHeight="1" outlineLevel="1">
      <c r="A6" s="1038" t="s">
        <v>514</v>
      </c>
      <c r="B6" s="259" t="s">
        <v>515</v>
      </c>
      <c r="C6" s="260">
        <f>'Calculation of Typical Year'!AU15+'Calculation of Typical Year'!AU16+'Calculation of Typical Year'!AU17+'Calculation of Typical Year'!AU19</f>
        <v>5065000</v>
      </c>
      <c r="D6" s="261" t="s">
        <v>113</v>
      </c>
      <c r="E6" s="260">
        <f>C6*'Project Setting'!$F$101</f>
        <v>487973.68674082257</v>
      </c>
      <c r="F6" s="261" t="s">
        <v>120</v>
      </c>
      <c r="G6" s="262">
        <f t="shared" ref="G6:G13" ca="1" si="0">E6/MAX(0.1,$E$65)</f>
        <v>21.308649403405479</v>
      </c>
      <c r="H6" s="261" t="s">
        <v>516</v>
      </c>
      <c r="I6" s="218"/>
      <c r="K6" s="51"/>
      <c r="L6" s="51"/>
    </row>
    <row r="7" spans="1:33" ht="14.85" customHeight="1" outlineLevel="1">
      <c r="A7" s="1039"/>
      <c r="B7" s="259" t="s">
        <v>517</v>
      </c>
      <c r="C7" s="260">
        <f>'Calculation of Typical Year'!AU18</f>
        <v>1550000</v>
      </c>
      <c r="D7" s="261" t="s">
        <v>113</v>
      </c>
      <c r="E7" s="260">
        <f>C7*'Project Setting'!$F$101</f>
        <v>149330.5457943287</v>
      </c>
      <c r="F7" s="261" t="s">
        <v>120</v>
      </c>
      <c r="G7" s="262">
        <f t="shared" ca="1" si="0"/>
        <v>6.5209094916640646</v>
      </c>
      <c r="H7" s="261" t="s">
        <v>516</v>
      </c>
      <c r="I7" s="218"/>
      <c r="K7" s="51"/>
      <c r="L7" s="51"/>
    </row>
    <row r="8" spans="1:33" ht="14.85" customHeight="1" outlineLevel="1">
      <c r="A8" s="1039"/>
      <c r="B8" s="259" t="s">
        <v>518</v>
      </c>
      <c r="C8" s="260">
        <f>'Calculation of Typical Year'!AU26</f>
        <v>0</v>
      </c>
      <c r="D8" s="261" t="s">
        <v>113</v>
      </c>
      <c r="E8" s="260">
        <f>C8*'Project Setting'!$F$101</f>
        <v>0</v>
      </c>
      <c r="F8" s="261" t="s">
        <v>120</v>
      </c>
      <c r="G8" s="262">
        <f t="shared" ca="1" si="0"/>
        <v>0</v>
      </c>
      <c r="H8" s="261" t="s">
        <v>516</v>
      </c>
      <c r="I8" s="218"/>
      <c r="K8" s="51"/>
      <c r="L8" s="51"/>
    </row>
    <row r="9" spans="1:33" ht="14.85" customHeight="1" outlineLevel="1">
      <c r="A9" s="1039"/>
      <c r="B9" s="259" t="s">
        <v>519</v>
      </c>
      <c r="C9" s="260">
        <f>-'Calculation of Typical Year'!AU27</f>
        <v>0</v>
      </c>
      <c r="D9" s="261" t="s">
        <v>113</v>
      </c>
      <c r="E9" s="260">
        <f>C9*'Project Setting'!$F$101</f>
        <v>0</v>
      </c>
      <c r="F9" s="261" t="s">
        <v>120</v>
      </c>
      <c r="G9" s="262">
        <f t="shared" ca="1" si="0"/>
        <v>0</v>
      </c>
      <c r="H9" s="261" t="s">
        <v>516</v>
      </c>
      <c r="I9" s="218"/>
      <c r="K9" s="51"/>
      <c r="L9" s="51"/>
    </row>
    <row r="10" spans="1:33" ht="14.85" customHeight="1" outlineLevel="1">
      <c r="A10" s="1039"/>
      <c r="B10" s="259" t="s">
        <v>520</v>
      </c>
      <c r="C10" s="260">
        <f>-'Calculation of Typical Year'!AU24</f>
        <v>-1800000</v>
      </c>
      <c r="D10" s="261" t="s">
        <v>113</v>
      </c>
      <c r="E10" s="260">
        <f>C10*'Project Setting'!$F$101</f>
        <v>-173416.11769663979</v>
      </c>
      <c r="F10" s="261" t="s">
        <v>120</v>
      </c>
      <c r="G10" s="262">
        <f t="shared" ca="1" si="0"/>
        <v>-7.572669087093753</v>
      </c>
      <c r="H10" s="261" t="s">
        <v>516</v>
      </c>
      <c r="I10" s="218"/>
      <c r="K10" s="51" t="s">
        <v>59</v>
      </c>
      <c r="L10" s="51"/>
    </row>
    <row r="11" spans="1:33" ht="14.85" customHeight="1" outlineLevel="1">
      <c r="A11" s="1039"/>
      <c r="B11" s="259" t="s">
        <v>521</v>
      </c>
      <c r="C11" s="260">
        <f>'Calculation of Typical Year'!AU32</f>
        <v>0</v>
      </c>
      <c r="D11" s="261" t="s">
        <v>113</v>
      </c>
      <c r="E11" s="260">
        <f>C11*'Project Setting'!$F$101</f>
        <v>0</v>
      </c>
      <c r="F11" s="261" t="s">
        <v>120</v>
      </c>
      <c r="G11" s="262">
        <f t="shared" ca="1" si="0"/>
        <v>0</v>
      </c>
      <c r="H11" s="261" t="s">
        <v>516</v>
      </c>
      <c r="I11" s="218"/>
      <c r="K11" s="51"/>
      <c r="L11" s="51"/>
    </row>
    <row r="12" spans="1:33" ht="14.85" customHeight="1" outlineLevel="1">
      <c r="A12" s="1039"/>
      <c r="B12" s="253" t="s">
        <v>522</v>
      </c>
      <c r="C12" s="336">
        <f>SUM($C$6:$C$11)</f>
        <v>4815000</v>
      </c>
      <c r="D12" s="254" t="s">
        <v>113</v>
      </c>
      <c r="E12" s="336">
        <f>C12*'Project Setting'!$F$101</f>
        <v>463888.11483851145</v>
      </c>
      <c r="F12" s="255" t="s">
        <v>120</v>
      </c>
      <c r="G12" s="331">
        <f t="shared" ca="1" si="0"/>
        <v>20.256889807975789</v>
      </c>
      <c r="H12" s="255" t="s">
        <v>516</v>
      </c>
      <c r="I12" s="218"/>
      <c r="K12" s="51"/>
      <c r="L12" s="51"/>
    </row>
    <row r="13" spans="1:33" s="181" customFormat="1" ht="14.85" customHeight="1" outlineLevel="1">
      <c r="A13" s="1039"/>
      <c r="B13" s="256" t="s">
        <v>523</v>
      </c>
      <c r="C13" s="337">
        <f>C12-C11</f>
        <v>4815000</v>
      </c>
      <c r="D13" s="257" t="s">
        <v>113</v>
      </c>
      <c r="E13" s="337">
        <f>C13*'Project Setting'!$F$101</f>
        <v>463888.11483851145</v>
      </c>
      <c r="F13" s="258" t="s">
        <v>120</v>
      </c>
      <c r="G13" s="332">
        <f t="shared" ca="1" si="0"/>
        <v>20.256889807975789</v>
      </c>
      <c r="H13" s="258" t="s">
        <v>516</v>
      </c>
      <c r="I13" s="219"/>
      <c r="J13" s="220"/>
      <c r="K13" s="182"/>
      <c r="L13" s="182"/>
      <c r="M13" s="220"/>
      <c r="N13" s="220"/>
      <c r="O13" s="220"/>
      <c r="P13" s="220"/>
      <c r="Q13" s="220"/>
      <c r="R13" s="220"/>
      <c r="S13" s="220"/>
      <c r="T13" s="220"/>
      <c r="U13" s="220"/>
      <c r="V13" s="220"/>
      <c r="W13" s="220"/>
      <c r="X13" s="220"/>
      <c r="Y13" s="220"/>
      <c r="Z13" s="220"/>
      <c r="AA13" s="220"/>
      <c r="AB13" s="220"/>
      <c r="AC13" s="220"/>
      <c r="AD13" s="220"/>
      <c r="AE13" s="220"/>
      <c r="AF13" s="220"/>
      <c r="AG13" s="220"/>
    </row>
    <row r="14" spans="1:33" ht="14.85" customHeight="1" outlineLevel="1">
      <c r="A14" s="1039"/>
      <c r="B14" s="223"/>
      <c r="C14" s="348"/>
      <c r="D14" s="226"/>
      <c r="E14" s="348"/>
      <c r="F14" s="694"/>
      <c r="G14" s="695"/>
      <c r="H14" s="687"/>
      <c r="I14" s="218"/>
      <c r="K14" s="51"/>
      <c r="L14" s="51"/>
    </row>
    <row r="15" spans="1:33" ht="14.85" customHeight="1" outlineLevel="1">
      <c r="A15" s="1039"/>
      <c r="B15" s="263" t="s">
        <v>524</v>
      </c>
      <c r="C15" s="338"/>
      <c r="D15" s="264"/>
      <c r="E15" s="338">
        <f ca="1">'Calculation of Typical Year'!AY19</f>
        <v>34767.527216174189</v>
      </c>
      <c r="F15" s="265" t="s">
        <v>120</v>
      </c>
      <c r="G15" s="266">
        <f t="shared" ref="G15:G25" ca="1" si="1">E15/MAX(0.1,$E$65)</f>
        <v>1.5182151583232826</v>
      </c>
      <c r="H15" s="265" t="s">
        <v>516</v>
      </c>
      <c r="I15" s="218"/>
      <c r="K15" s="51"/>
      <c r="L15" s="51"/>
    </row>
    <row r="16" spans="1:33" ht="14.85" customHeight="1" outlineLevel="1">
      <c r="A16" s="1039"/>
      <c r="B16" s="263" t="s">
        <v>525</v>
      </c>
      <c r="C16" s="338"/>
      <c r="D16" s="264"/>
      <c r="E16" s="338">
        <f>'Calculation of Typical Year'!AY15+'Calculation of Typical Year'!AY16</f>
        <v>68000</v>
      </c>
      <c r="F16" s="265" t="s">
        <v>120</v>
      </c>
      <c r="G16" s="266">
        <f t="shared" ca="1" si="1"/>
        <v>2.9693981433904111</v>
      </c>
      <c r="H16" s="265" t="s">
        <v>516</v>
      </c>
      <c r="I16" s="218"/>
      <c r="K16" s="51"/>
      <c r="L16" s="51"/>
    </row>
    <row r="17" spans="1:33" ht="14.85" customHeight="1" outlineLevel="1">
      <c r="A17" s="1039"/>
      <c r="B17" s="263" t="s">
        <v>526</v>
      </c>
      <c r="C17" s="338"/>
      <c r="D17" s="264"/>
      <c r="E17" s="338">
        <f>'Calculation of Typical Year'!AY17</f>
        <v>20000</v>
      </c>
      <c r="F17" s="265" t="s">
        <v>120</v>
      </c>
      <c r="G17" s="266">
        <f t="shared" ca="1" si="1"/>
        <v>0.87335239511482676</v>
      </c>
      <c r="H17" s="265" t="s">
        <v>516</v>
      </c>
      <c r="I17" s="218"/>
      <c r="K17" s="51"/>
      <c r="L17" s="51"/>
    </row>
    <row r="18" spans="1:33" ht="14.85" customHeight="1" outlineLevel="1">
      <c r="A18" s="1039"/>
      <c r="B18" s="263" t="s">
        <v>527</v>
      </c>
      <c r="C18" s="338"/>
      <c r="D18" s="264"/>
      <c r="E18" s="338">
        <f>'Calculation of Typical Year'!AY18</f>
        <v>0</v>
      </c>
      <c r="F18" s="265" t="s">
        <v>120</v>
      </c>
      <c r="G18" s="266">
        <f t="shared" ca="1" si="1"/>
        <v>0</v>
      </c>
      <c r="H18" s="265" t="s">
        <v>516</v>
      </c>
    </row>
    <row r="19" spans="1:33" ht="14.85" customHeight="1" outlineLevel="1">
      <c r="A19" s="1039"/>
      <c r="B19" s="263" t="s">
        <v>528</v>
      </c>
      <c r="C19" s="338"/>
      <c r="D19" s="264"/>
      <c r="E19" s="338">
        <f>-'Calculation of Typical Year'!AY48</f>
        <v>0</v>
      </c>
      <c r="F19" s="265" t="s">
        <v>120</v>
      </c>
      <c r="G19" s="266">
        <f t="shared" ca="1" si="1"/>
        <v>0</v>
      </c>
      <c r="H19" s="265" t="s">
        <v>516</v>
      </c>
    </row>
    <row r="20" spans="1:33" ht="14.85" customHeight="1" outlineLevel="1">
      <c r="A20" s="1039"/>
      <c r="B20" s="263" t="s">
        <v>1185</v>
      </c>
      <c r="C20" s="338"/>
      <c r="D20" s="264"/>
      <c r="E20" s="338">
        <f>'Calculation of Typical Year'!AY20+'Calculation of Typical Year'!AY21</f>
        <v>225757.57575757575</v>
      </c>
      <c r="F20" s="265" t="s">
        <v>120</v>
      </c>
      <c r="G20" s="266">
        <f t="shared" ca="1" si="1"/>
        <v>9.8582959751597858</v>
      </c>
      <c r="H20" s="265" t="s">
        <v>516</v>
      </c>
    </row>
    <row r="21" spans="1:33" ht="14.85" customHeight="1" outlineLevel="1">
      <c r="A21" s="1039"/>
      <c r="B21" s="263" t="s">
        <v>529</v>
      </c>
      <c r="C21" s="338"/>
      <c r="D21" s="264"/>
      <c r="E21" s="338">
        <f ca="1">'Calculation of Typical Year'!AY26</f>
        <v>0</v>
      </c>
      <c r="F21" s="265" t="s">
        <v>120</v>
      </c>
      <c r="G21" s="266">
        <f t="shared" ca="1" si="1"/>
        <v>0</v>
      </c>
      <c r="H21" s="265" t="s">
        <v>516</v>
      </c>
    </row>
    <row r="22" spans="1:33" ht="14.85" customHeight="1" outlineLevel="1">
      <c r="A22" s="1039"/>
      <c r="B22" s="267" t="s">
        <v>530</v>
      </c>
      <c r="C22" s="339"/>
      <c r="D22" s="268"/>
      <c r="E22" s="339">
        <f ca="1">SUM(E16:E21)</f>
        <v>313757.57575757575</v>
      </c>
      <c r="F22" s="275" t="s">
        <v>120</v>
      </c>
      <c r="G22" s="270">
        <f t="shared" ca="1" si="1"/>
        <v>13.701046513665025</v>
      </c>
      <c r="H22" s="275" t="s">
        <v>516</v>
      </c>
    </row>
    <row r="23" spans="1:33" s="181" customFormat="1" ht="14.85" customHeight="1" outlineLevel="1">
      <c r="A23" s="1039"/>
      <c r="B23" s="267" t="s">
        <v>1193</v>
      </c>
      <c r="C23" s="339"/>
      <c r="D23" s="268"/>
      <c r="E23" s="339">
        <f ca="1">SUM(E15:E21)</f>
        <v>348525.10297374992</v>
      </c>
      <c r="F23" s="275" t="s">
        <v>120</v>
      </c>
      <c r="G23" s="270">
        <f t="shared" ca="1" si="1"/>
        <v>15.219261671988306</v>
      </c>
      <c r="H23" s="275" t="s">
        <v>516</v>
      </c>
      <c r="I23" s="220"/>
      <c r="J23" s="220"/>
      <c r="K23" s="220"/>
      <c r="L23" s="220"/>
      <c r="M23" s="220"/>
      <c r="N23" s="220"/>
      <c r="O23" s="220"/>
      <c r="P23" s="220"/>
      <c r="Q23" s="220"/>
      <c r="R23" s="220"/>
      <c r="S23" s="220"/>
      <c r="T23" s="220"/>
      <c r="U23" s="220"/>
      <c r="V23" s="220"/>
      <c r="W23" s="220"/>
      <c r="X23" s="220"/>
      <c r="Y23" s="220"/>
      <c r="Z23" s="220"/>
      <c r="AA23" s="220"/>
      <c r="AB23" s="220"/>
      <c r="AC23" s="220"/>
      <c r="AD23" s="220"/>
      <c r="AE23" s="220"/>
      <c r="AF23" s="220"/>
      <c r="AG23" s="220"/>
    </row>
    <row r="24" spans="1:33" ht="14.85" customHeight="1" outlineLevel="1">
      <c r="A24" s="1039"/>
      <c r="B24" s="271" t="s">
        <v>1194</v>
      </c>
      <c r="C24" s="340"/>
      <c r="D24" s="272"/>
      <c r="E24" s="340">
        <f ca="1">E22-E21</f>
        <v>313757.57575757575</v>
      </c>
      <c r="F24" s="276" t="s">
        <v>120</v>
      </c>
      <c r="G24" s="273">
        <f t="shared" ca="1" si="1"/>
        <v>13.701046513665025</v>
      </c>
      <c r="H24" s="276" t="s">
        <v>516</v>
      </c>
    </row>
    <row r="25" spans="1:33" s="181" customFormat="1" ht="14.85" customHeight="1" outlineLevel="1">
      <c r="A25" s="1039"/>
      <c r="B25" s="271" t="s">
        <v>531</v>
      </c>
      <c r="C25" s="340"/>
      <c r="D25" s="272"/>
      <c r="E25" s="340">
        <f ca="1">E23-E21</f>
        <v>348525.10297374992</v>
      </c>
      <c r="F25" s="276" t="s">
        <v>120</v>
      </c>
      <c r="G25" s="273">
        <f t="shared" ca="1" si="1"/>
        <v>15.219261671988306</v>
      </c>
      <c r="H25" s="276" t="s">
        <v>516</v>
      </c>
      <c r="I25" s="220"/>
      <c r="J25" s="220"/>
      <c r="K25" s="220"/>
      <c r="L25" s="220"/>
      <c r="M25" s="220"/>
      <c r="N25" s="220"/>
      <c r="O25" s="220"/>
      <c r="P25" s="220"/>
      <c r="Q25" s="220"/>
      <c r="R25" s="220"/>
      <c r="S25" s="220"/>
      <c r="T25" s="220"/>
      <c r="U25" s="220"/>
      <c r="V25" s="220"/>
      <c r="W25" s="220"/>
      <c r="X25" s="220"/>
      <c r="Y25" s="220"/>
      <c r="Z25" s="220"/>
      <c r="AA25" s="220"/>
      <c r="AB25" s="220"/>
      <c r="AC25" s="220"/>
      <c r="AD25" s="220"/>
      <c r="AE25" s="220"/>
      <c r="AF25" s="220"/>
      <c r="AG25" s="220"/>
    </row>
    <row r="26" spans="1:33" ht="14.85" customHeight="1" outlineLevel="1">
      <c r="A26" s="1039"/>
      <c r="B26" s="223"/>
      <c r="C26" s="348"/>
      <c r="D26" s="226"/>
      <c r="E26" s="348"/>
      <c r="F26" s="694"/>
      <c r="G26" s="695"/>
      <c r="H26" s="687"/>
    </row>
    <row r="27" spans="1:33" ht="14.85" customHeight="1" outlineLevel="1">
      <c r="A27" s="1039"/>
      <c r="B27" s="263" t="s">
        <v>532</v>
      </c>
      <c r="C27" s="338"/>
      <c r="D27" s="264"/>
      <c r="E27" s="338">
        <f ca="1">'Calculation of Typical Year'!AY29</f>
        <v>0</v>
      </c>
      <c r="F27" s="274" t="s">
        <v>120</v>
      </c>
      <c r="G27" s="266">
        <f t="shared" ref="G27:G32" ca="1" si="2">E27/MAX(0.1,$E$65)</f>
        <v>0</v>
      </c>
      <c r="H27" s="274" t="s">
        <v>516</v>
      </c>
    </row>
    <row r="28" spans="1:33" ht="14.85" customHeight="1" outlineLevel="1">
      <c r="A28" s="1039"/>
      <c r="B28" s="263" t="s">
        <v>533</v>
      </c>
      <c r="C28" s="338"/>
      <c r="D28" s="264"/>
      <c r="E28" s="338">
        <f ca="1">'Calculation of Typical Year'!AY30</f>
        <v>571161.04346941714</v>
      </c>
      <c r="F28" s="274" t="s">
        <v>120</v>
      </c>
      <c r="G28" s="266">
        <f t="shared" ca="1" si="2"/>
        <v>24.941243265514956</v>
      </c>
      <c r="H28" s="274" t="s">
        <v>516</v>
      </c>
    </row>
    <row r="29" spans="1:33" ht="14.85" customHeight="1" outlineLevel="1">
      <c r="A29" s="1039"/>
      <c r="B29" s="263" t="s">
        <v>534</v>
      </c>
      <c r="C29" s="338"/>
      <c r="D29" s="264"/>
      <c r="E29" s="338">
        <f ca="1">'Calculation of Typical Year'!AY32</f>
        <v>3674.4668238195145</v>
      </c>
      <c r="F29" s="274" t="s">
        <v>120</v>
      </c>
      <c r="G29" s="266">
        <f t="shared" ca="1" si="2"/>
        <v>0.16045522006763716</v>
      </c>
      <c r="H29" s="274" t="s">
        <v>516</v>
      </c>
    </row>
    <row r="30" spans="1:33" ht="14.85" customHeight="1" outlineLevel="1">
      <c r="A30" s="1039"/>
      <c r="B30" s="263" t="s">
        <v>535</v>
      </c>
      <c r="C30" s="338"/>
      <c r="D30" s="264"/>
      <c r="E30" s="338">
        <f ca="1">'Calculation of Typical Year'!AY31</f>
        <v>40207.418794371159</v>
      </c>
      <c r="F30" s="274" t="s">
        <v>120</v>
      </c>
      <c r="G30" s="266">
        <f t="shared" ca="1" si="2"/>
        <v>1.7557622752724475</v>
      </c>
      <c r="H30" s="274" t="s">
        <v>516</v>
      </c>
    </row>
    <row r="31" spans="1:33" ht="14.85" customHeight="1" outlineLevel="1">
      <c r="A31" s="1039"/>
      <c r="B31" s="263" t="s">
        <v>536</v>
      </c>
      <c r="C31" s="338"/>
      <c r="D31" s="264"/>
      <c r="E31" s="338">
        <f ca="1">'Calculation of Typical Year'!AY33+'Calculation of Typical Year'!AY34</f>
        <v>0</v>
      </c>
      <c r="F31" s="274" t="s">
        <v>120</v>
      </c>
      <c r="G31" s="266">
        <f t="shared" ca="1" si="2"/>
        <v>0</v>
      </c>
      <c r="H31" s="274" t="s">
        <v>516</v>
      </c>
    </row>
    <row r="32" spans="1:33" ht="14.85" customHeight="1" outlineLevel="1">
      <c r="A32" s="1039"/>
      <c r="B32" s="263" t="s">
        <v>537</v>
      </c>
      <c r="C32" s="338"/>
      <c r="D32" s="264"/>
      <c r="E32" s="338">
        <f ca="1">-'Calculation of Typical Year'!AY49</f>
        <v>0</v>
      </c>
      <c r="F32" s="274" t="s">
        <v>120</v>
      </c>
      <c r="G32" s="266">
        <f t="shared" ca="1" si="2"/>
        <v>0</v>
      </c>
      <c r="H32" s="274" t="s">
        <v>516</v>
      </c>
    </row>
    <row r="33" spans="1:33" ht="14.85" customHeight="1" outlineLevel="1">
      <c r="A33" s="1039"/>
      <c r="B33" s="263" t="s">
        <v>538</v>
      </c>
      <c r="C33" s="338"/>
      <c r="D33" s="264"/>
      <c r="E33" s="338">
        <f ca="1">'Calculation of Typical Year'!AY38</f>
        <v>0</v>
      </c>
      <c r="F33" s="274" t="s">
        <v>120</v>
      </c>
      <c r="G33" s="266">
        <f ca="1">E33/MAX(0.1,$E$65)</f>
        <v>0</v>
      </c>
      <c r="H33" s="274" t="s">
        <v>516</v>
      </c>
    </row>
    <row r="34" spans="1:33" ht="14.85" customHeight="1" outlineLevel="1">
      <c r="A34" s="1039"/>
      <c r="B34" s="267" t="s">
        <v>539</v>
      </c>
      <c r="C34" s="339"/>
      <c r="D34" s="268"/>
      <c r="E34" s="339">
        <f ca="1">SUM(E28:E33)</f>
        <v>615042.92908760789</v>
      </c>
      <c r="F34" s="275" t="s">
        <v>120</v>
      </c>
      <c r="G34" s="270">
        <f ca="1">E34/MAX(0.1,$E$65)</f>
        <v>26.857460760855044</v>
      </c>
      <c r="H34" s="275" t="s">
        <v>516</v>
      </c>
    </row>
    <row r="35" spans="1:33" ht="14.85" customHeight="1" outlineLevel="1">
      <c r="A35" s="1039"/>
      <c r="B35" s="267" t="s">
        <v>540</v>
      </c>
      <c r="C35" s="339"/>
      <c r="D35" s="268"/>
      <c r="E35" s="339">
        <f ca="1">SUM(E27:E33)</f>
        <v>615042.92908760789</v>
      </c>
      <c r="F35" s="275" t="s">
        <v>120</v>
      </c>
      <c r="G35" s="270">
        <f ca="1">E35/MAX(0.1,$E$65)</f>
        <v>26.857460760855044</v>
      </c>
      <c r="H35" s="275" t="s">
        <v>516</v>
      </c>
    </row>
    <row r="36" spans="1:33" s="181" customFormat="1" ht="14.85" customHeight="1" outlineLevel="1">
      <c r="A36" s="1039"/>
      <c r="B36" s="271" t="s">
        <v>541</v>
      </c>
      <c r="C36" s="340"/>
      <c r="D36" s="272"/>
      <c r="E36" s="340">
        <f ca="1">E34-E33</f>
        <v>615042.92908760789</v>
      </c>
      <c r="F36" s="276" t="s">
        <v>120</v>
      </c>
      <c r="G36" s="273">
        <f ca="1">E36/MAX(0.1,$E$65)</f>
        <v>26.857460760855044</v>
      </c>
      <c r="H36" s="276" t="s">
        <v>516</v>
      </c>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row>
    <row r="37" spans="1:33" s="181" customFormat="1" ht="14.85" customHeight="1" outlineLevel="1">
      <c r="A37" s="1039"/>
      <c r="B37" s="271" t="s">
        <v>542</v>
      </c>
      <c r="C37" s="340"/>
      <c r="D37" s="272"/>
      <c r="E37" s="340">
        <f ca="1">E35-E33</f>
        <v>615042.92908760789</v>
      </c>
      <c r="F37" s="276" t="s">
        <v>120</v>
      </c>
      <c r="G37" s="273">
        <f ca="1">E37/MAX(0.1,$E$65)</f>
        <v>26.857460760855044</v>
      </c>
      <c r="H37" s="276" t="s">
        <v>516</v>
      </c>
      <c r="I37" s="220"/>
      <c r="J37" s="220"/>
      <c r="K37" s="220"/>
      <c r="L37" s="220"/>
      <c r="M37" s="220"/>
      <c r="N37" s="220"/>
      <c r="O37" s="220"/>
      <c r="P37" s="220"/>
      <c r="Q37" s="220"/>
      <c r="R37" s="220"/>
      <c r="S37" s="220"/>
      <c r="T37" s="220"/>
      <c r="U37" s="220"/>
      <c r="V37" s="220"/>
      <c r="W37" s="220"/>
      <c r="X37" s="220"/>
      <c r="Y37" s="220"/>
      <c r="Z37" s="220"/>
      <c r="AA37" s="220"/>
      <c r="AB37" s="220"/>
      <c r="AC37" s="220"/>
      <c r="AD37" s="220"/>
      <c r="AE37" s="220"/>
      <c r="AF37" s="220"/>
      <c r="AG37" s="220"/>
    </row>
    <row r="38" spans="1:33" ht="14.85" customHeight="1" outlineLevel="1">
      <c r="A38" s="1039"/>
      <c r="B38" s="223"/>
      <c r="C38" s="348"/>
      <c r="D38" s="226"/>
      <c r="E38" s="348"/>
      <c r="F38" s="694"/>
      <c r="G38" s="695"/>
      <c r="H38" s="687"/>
    </row>
    <row r="39" spans="1:33" ht="14.85" customHeight="1" outlineLevel="1">
      <c r="A39" s="1040"/>
      <c r="B39" s="277" t="s">
        <v>543</v>
      </c>
      <c r="C39" s="341"/>
      <c r="D39" s="278"/>
      <c r="E39" s="341">
        <f ca="1">'Calculation of Typical Year'!AY52</f>
        <v>1337630.819731378</v>
      </c>
      <c r="F39" s="279" t="s">
        <v>120</v>
      </c>
      <c r="G39" s="280">
        <f ca="1">E39/MAX(0.1,$E$65)</f>
        <v>58.411154009590405</v>
      </c>
      <c r="H39" s="279" t="s">
        <v>516</v>
      </c>
    </row>
    <row r="40" spans="1:33" ht="14.85" customHeight="1" outlineLevel="1">
      <c r="A40" s="1039"/>
      <c r="B40" s="277" t="s">
        <v>544</v>
      </c>
      <c r="C40" s="341"/>
      <c r="D40" s="278"/>
      <c r="E40" s="341">
        <f ca="1">E12+E22+E34</f>
        <v>1392688.619683695</v>
      </c>
      <c r="F40" s="279" t="s">
        <v>120</v>
      </c>
      <c r="G40" s="280">
        <f ca="1">E40/MAX(0.1,$E$65)</f>
        <v>60.815397082495856</v>
      </c>
      <c r="H40" s="279" t="s">
        <v>516</v>
      </c>
    </row>
    <row r="41" spans="1:33" ht="14.85" customHeight="1" outlineLevel="1">
      <c r="A41" s="1039"/>
      <c r="B41" s="277" t="s">
        <v>545</v>
      </c>
      <c r="C41" s="341"/>
      <c r="D41" s="278"/>
      <c r="E41" s="341">
        <f ca="1">E15+E27</f>
        <v>34767.527216174189</v>
      </c>
      <c r="F41" s="279" t="s">
        <v>120</v>
      </c>
      <c r="G41" s="280">
        <f ca="1">E41/MAX(0.1,$E$65)</f>
        <v>1.5182151583232826</v>
      </c>
      <c r="H41" s="279" t="s">
        <v>516</v>
      </c>
    </row>
    <row r="42" spans="1:33" s="183" customFormat="1" ht="14.85" customHeight="1" outlineLevel="1">
      <c r="A42" s="1039"/>
      <c r="B42" s="281" t="s">
        <v>546</v>
      </c>
      <c r="C42" s="342"/>
      <c r="D42" s="282"/>
      <c r="E42" s="342">
        <f ca="1">E13+E24+E36</f>
        <v>1392688.619683695</v>
      </c>
      <c r="F42" s="283" t="s">
        <v>120</v>
      </c>
      <c r="G42" s="284">
        <f ca="1">E42/MAX(0.1,$E$65)</f>
        <v>60.815397082495856</v>
      </c>
      <c r="H42" s="283" t="s">
        <v>516</v>
      </c>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row>
    <row r="43" spans="1:33" ht="14.85" customHeight="1" outlineLevel="1">
      <c r="A43" s="1039"/>
      <c r="B43" s="286" t="s">
        <v>547</v>
      </c>
      <c r="C43" s="343"/>
      <c r="D43" s="287"/>
      <c r="E43" s="343"/>
      <c r="F43" s="288"/>
      <c r="G43" s="333">
        <f ca="1">E45/MAX(0.1,$E$67)</f>
        <v>-5.1671967701346109</v>
      </c>
      <c r="H43" s="289" t="s">
        <v>548</v>
      </c>
    </row>
    <row r="44" spans="1:33" ht="14.85" customHeight="1" outlineLevel="1">
      <c r="A44" s="1039"/>
      <c r="B44" s="286" t="s">
        <v>547</v>
      </c>
      <c r="C44" s="343"/>
      <c r="D44" s="287"/>
      <c r="E44" s="343"/>
      <c r="F44" s="288"/>
      <c r="G44" s="333">
        <f ca="1">E45/MAX(0.1,$E$66)</f>
        <v>-5.4835332037391673</v>
      </c>
      <c r="H44" s="289" t="s">
        <v>549</v>
      </c>
    </row>
    <row r="45" spans="1:33" ht="14.85" customHeight="1" outlineLevel="1">
      <c r="A45" s="1039"/>
      <c r="B45" s="286" t="s">
        <v>547</v>
      </c>
      <c r="C45" s="343"/>
      <c r="D45" s="287"/>
      <c r="E45" s="343">
        <f ca="1">E39-E40-E41</f>
        <v>-89825.327168491218</v>
      </c>
      <c r="F45" s="288" t="s">
        <v>120</v>
      </c>
      <c r="G45" s="333">
        <f ca="1">E45/MAX(0.1,$E$65)</f>
        <v>-3.9224582312287364</v>
      </c>
      <c r="H45" s="289" t="s">
        <v>516</v>
      </c>
    </row>
    <row r="46" spans="1:33" s="181" customFormat="1" ht="14.85" customHeight="1" outlineLevel="1">
      <c r="A46" s="1041"/>
      <c r="B46" s="352" t="s">
        <v>550</v>
      </c>
      <c r="C46" s="353"/>
      <c r="D46" s="354"/>
      <c r="E46" s="353">
        <f ca="1">E39-E42-E41</f>
        <v>-89825.327168491218</v>
      </c>
      <c r="F46" s="355" t="s">
        <v>120</v>
      </c>
      <c r="G46" s="356">
        <f ca="1">E46/MAX(0.1,$E$65)</f>
        <v>-3.9224582312287364</v>
      </c>
      <c r="H46" s="357" t="s">
        <v>516</v>
      </c>
      <c r="I46" s="220"/>
      <c r="J46" s="220"/>
      <c r="K46" s="220"/>
      <c r="L46" s="220"/>
      <c r="M46" s="220"/>
      <c r="N46" s="220"/>
      <c r="O46" s="220"/>
      <c r="P46" s="220"/>
      <c r="Q46" s="220"/>
      <c r="R46" s="220"/>
      <c r="S46" s="220"/>
      <c r="T46" s="220"/>
      <c r="U46" s="220"/>
      <c r="V46" s="220"/>
      <c r="W46" s="220"/>
      <c r="X46" s="220"/>
      <c r="Y46" s="220"/>
      <c r="Z46" s="220"/>
      <c r="AA46" s="220"/>
      <c r="AB46" s="220"/>
      <c r="AC46" s="220"/>
      <c r="AD46" s="220"/>
      <c r="AE46" s="220"/>
      <c r="AF46" s="220"/>
      <c r="AG46" s="220"/>
    </row>
    <row r="47" spans="1:33" s="196" customFormat="1" ht="14.85" customHeight="1">
      <c r="A47" s="142"/>
      <c r="B47" s="224"/>
      <c r="C47" s="224"/>
      <c r="D47" s="224"/>
      <c r="E47" s="224"/>
      <c r="F47" s="224"/>
      <c r="G47" s="335"/>
      <c r="H47" s="224"/>
    </row>
    <row r="48" spans="1:33" ht="14.85" customHeight="1">
      <c r="A48" s="1034" t="s">
        <v>551</v>
      </c>
      <c r="B48" s="358" t="s">
        <v>552</v>
      </c>
      <c r="C48" s="359">
        <f>'Calculation of Typical Year'!BL15+'Calculation of Typical Year'!BL17</f>
        <v>550080</v>
      </c>
      <c r="D48" s="360" t="s">
        <v>113</v>
      </c>
      <c r="E48" s="359">
        <f>C48*'Project Setting'!$F$129</f>
        <v>52995.965568093125</v>
      </c>
      <c r="F48" s="360" t="s">
        <v>120</v>
      </c>
      <c r="G48" s="361">
        <f ca="1">E48/MAX(0.1,$E$67)</f>
        <v>3.0485898659734931</v>
      </c>
      <c r="H48" s="360" t="s">
        <v>553</v>
      </c>
    </row>
    <row r="49" spans="1:8" ht="14.85" customHeight="1">
      <c r="A49" s="1035"/>
      <c r="B49" s="259" t="s">
        <v>554</v>
      </c>
      <c r="C49" s="344">
        <f>'Calculation of Typical Year'!BL16</f>
        <v>126000</v>
      </c>
      <c r="D49" s="285" t="s">
        <v>113</v>
      </c>
      <c r="E49" s="344">
        <f>C49*'Project Setting'!$F$129</f>
        <v>12139.128238764786</v>
      </c>
      <c r="F49" s="285" t="s">
        <v>120</v>
      </c>
      <c r="G49" s="334">
        <f ca="1">E49/MAX(0.1,$E$67)</f>
        <v>0.69830265254628443</v>
      </c>
      <c r="H49" s="285" t="s">
        <v>553</v>
      </c>
    </row>
    <row r="50" spans="1:8" ht="14.85" customHeight="1">
      <c r="A50" s="1035"/>
      <c r="B50" s="259" t="s">
        <v>555</v>
      </c>
      <c r="C50" s="344">
        <f>-'Calculation of Typical Year'!BL22</f>
        <v>0</v>
      </c>
      <c r="D50" s="285" t="s">
        <v>113</v>
      </c>
      <c r="E50" s="344">
        <f>C50*'Project Setting'!$F$129</f>
        <v>0</v>
      </c>
      <c r="F50" s="285" t="s">
        <v>120</v>
      </c>
      <c r="G50" s="334">
        <f ca="1">E50/MAX(0.1,$E$67)</f>
        <v>0</v>
      </c>
      <c r="H50" s="285" t="s">
        <v>553</v>
      </c>
    </row>
    <row r="51" spans="1:8" ht="14.85" customHeight="1">
      <c r="A51" s="1035"/>
      <c r="B51" s="253" t="s">
        <v>522</v>
      </c>
      <c r="C51" s="336">
        <f>SUM(C48:C50)</f>
        <v>676080</v>
      </c>
      <c r="D51" s="254" t="s">
        <v>113</v>
      </c>
      <c r="E51" s="336">
        <f>C51*'Project Setting'!$F$129</f>
        <v>65135.093806857913</v>
      </c>
      <c r="F51" s="255" t="s">
        <v>120</v>
      </c>
      <c r="G51" s="331">
        <f ca="1">E51/MAX(0.1,$E$67)</f>
        <v>3.7468925185197777</v>
      </c>
      <c r="H51" s="255" t="s">
        <v>553</v>
      </c>
    </row>
    <row r="52" spans="1:8" ht="14.85" customHeight="1">
      <c r="A52" s="1035"/>
      <c r="B52" s="224"/>
      <c r="C52" s="224"/>
      <c r="D52" s="224"/>
      <c r="E52" s="224"/>
      <c r="F52" s="224"/>
      <c r="G52" s="335"/>
      <c r="H52" s="224"/>
    </row>
    <row r="53" spans="1:8" ht="14.85" customHeight="1">
      <c r="A53" s="1035"/>
      <c r="B53" s="263" t="s">
        <v>556</v>
      </c>
      <c r="C53" s="338"/>
      <c r="D53" s="264"/>
      <c r="E53" s="338">
        <f>'Calculation of Typical Year'!BP15</f>
        <v>50000</v>
      </c>
      <c r="F53" s="265" t="s">
        <v>120</v>
      </c>
      <c r="G53" s="266">
        <f ca="1">E53/MAX(0.1,$E$67)</f>
        <v>2.8762471192797121</v>
      </c>
      <c r="H53" s="265" t="s">
        <v>553</v>
      </c>
    </row>
    <row r="54" spans="1:8" ht="14.85" customHeight="1">
      <c r="A54" s="1035"/>
      <c r="B54" s="263" t="s">
        <v>557</v>
      </c>
      <c r="C54" s="338"/>
      <c r="D54" s="264"/>
      <c r="E54" s="338">
        <f ca="1">'Calculation of Typical Year'!BP16</f>
        <v>0</v>
      </c>
      <c r="F54" s="265" t="s">
        <v>120</v>
      </c>
      <c r="G54" s="266">
        <f ca="1">E54/MAX(0.1,$E$67)</f>
        <v>0</v>
      </c>
      <c r="H54" s="265" t="s">
        <v>553</v>
      </c>
    </row>
    <row r="55" spans="1:8" ht="14.85" customHeight="1">
      <c r="A55" s="1035"/>
      <c r="B55" s="267" t="s">
        <v>558</v>
      </c>
      <c r="C55" s="339"/>
      <c r="D55" s="268"/>
      <c r="E55" s="339">
        <f ca="1">SUM(E53:E54)</f>
        <v>50000</v>
      </c>
      <c r="F55" s="269" t="s">
        <v>120</v>
      </c>
      <c r="G55" s="270">
        <f ca="1">E55/MAX(0.1,$E$67)</f>
        <v>2.8762471192797121</v>
      </c>
      <c r="H55" s="269" t="s">
        <v>553</v>
      </c>
    </row>
    <row r="56" spans="1:8" ht="14.85" customHeight="1">
      <c r="A56" s="1035"/>
      <c r="B56" s="224"/>
      <c r="C56" s="224"/>
      <c r="D56" s="224"/>
      <c r="E56" s="224"/>
      <c r="F56" s="224"/>
      <c r="G56" s="335"/>
      <c r="H56" s="224"/>
    </row>
    <row r="57" spans="1:8" ht="14.85" customHeight="1">
      <c r="A57" s="1035"/>
      <c r="B57" s="263" t="s">
        <v>559</v>
      </c>
      <c r="C57" s="338"/>
      <c r="D57" s="264"/>
      <c r="E57" s="338">
        <f ca="1">'Calculation of Typical Year'!BP22</f>
        <v>32761.843078561178</v>
      </c>
      <c r="F57" s="274" t="s">
        <v>120</v>
      </c>
      <c r="G57" s="266">
        <f ca="1">E57/MAX(0.1,$E$67)</f>
        <v>1.8846231355401113</v>
      </c>
      <c r="H57" s="274" t="s">
        <v>553</v>
      </c>
    </row>
    <row r="58" spans="1:8" ht="14.85" customHeight="1">
      <c r="A58" s="1035"/>
      <c r="B58" s="267" t="s">
        <v>560</v>
      </c>
      <c r="C58" s="339"/>
      <c r="D58" s="268"/>
      <c r="E58" s="339">
        <f ca="1">SUM(E57)</f>
        <v>32761.843078561178</v>
      </c>
      <c r="F58" s="275" t="s">
        <v>120</v>
      </c>
      <c r="G58" s="270">
        <f ca="1">E58/MAX(0.1,$E$67)</f>
        <v>1.8846231355401113</v>
      </c>
      <c r="H58" s="275" t="s">
        <v>553</v>
      </c>
    </row>
    <row r="59" spans="1:8" ht="14.85" customHeight="1">
      <c r="A59" s="1035"/>
      <c r="B59" s="224"/>
      <c r="C59" s="224"/>
      <c r="D59" s="224"/>
      <c r="E59" s="224"/>
      <c r="F59" s="225"/>
      <c r="G59" s="335"/>
      <c r="H59" s="225"/>
    </row>
    <row r="60" spans="1:8" ht="14.85" customHeight="1">
      <c r="A60" s="1035"/>
      <c r="B60" s="277" t="s">
        <v>561</v>
      </c>
      <c r="C60" s="341"/>
      <c r="D60" s="278"/>
      <c r="E60" s="341">
        <f ca="1">'Calculation of Typical Year'!BP34</f>
        <v>34767.527216174189</v>
      </c>
      <c r="F60" s="279" t="s">
        <v>120</v>
      </c>
      <c r="G60" s="280">
        <f ca="1">E60/MAX(0.1,$E$67)</f>
        <v>2</v>
      </c>
      <c r="H60" s="279" t="s">
        <v>553</v>
      </c>
    </row>
    <row r="61" spans="1:8" ht="14.85" customHeight="1">
      <c r="A61" s="1035"/>
      <c r="B61" s="277" t="s">
        <v>562</v>
      </c>
      <c r="C61" s="341"/>
      <c r="D61" s="278"/>
      <c r="E61" s="341">
        <f ca="1">'Calculation of Typical Year'!BP37</f>
        <v>121445.71643419143</v>
      </c>
      <c r="F61" s="279" t="s">
        <v>120</v>
      </c>
      <c r="G61" s="280">
        <f ca="1">E61/MAX(0.1,$E$67)</f>
        <v>6.9861578408540783</v>
      </c>
      <c r="H61" s="279" t="s">
        <v>553</v>
      </c>
    </row>
    <row r="62" spans="1:8" ht="14.85" customHeight="1">
      <c r="A62" s="1035"/>
      <c r="B62" s="277" t="s">
        <v>563</v>
      </c>
      <c r="C62" s="341"/>
      <c r="D62" s="278"/>
      <c r="E62" s="341">
        <f ca="1">E58+E55+E51</f>
        <v>147896.9368854191</v>
      </c>
      <c r="F62" s="279" t="s">
        <v>120</v>
      </c>
      <c r="G62" s="280">
        <f ca="1">E62/MAX(0.1,$E$67)</f>
        <v>8.5077627733396017</v>
      </c>
      <c r="H62" s="279" t="s">
        <v>553</v>
      </c>
    </row>
    <row r="63" spans="1:8" ht="14.85" customHeight="1">
      <c r="A63" s="1036"/>
      <c r="B63" s="362" t="s">
        <v>564</v>
      </c>
      <c r="C63" s="363"/>
      <c r="D63" s="364"/>
      <c r="E63" s="363">
        <f ca="1">E60+E61-E62</f>
        <v>8316.3067649465229</v>
      </c>
      <c r="F63" s="365" t="s">
        <v>120</v>
      </c>
      <c r="G63" s="366">
        <f ca="1">E63/MAX(0.1,$E$67)</f>
        <v>0.47839506751447636</v>
      </c>
      <c r="H63" s="367" t="s">
        <v>553</v>
      </c>
    </row>
    <row r="64" spans="1:8" s="196" customFormat="1" ht="14.85" customHeight="1">
      <c r="A64" s="351"/>
      <c r="B64" s="224"/>
      <c r="C64" s="224"/>
      <c r="D64" s="224"/>
      <c r="E64" s="224"/>
      <c r="F64" s="225"/>
      <c r="G64" s="224"/>
      <c r="H64" s="225"/>
    </row>
    <row r="65" spans="1:10" ht="14.85" customHeight="1">
      <c r="A65" s="135"/>
      <c r="B65" s="291" t="s">
        <v>565</v>
      </c>
      <c r="C65" s="345">
        <f ca="1">E65*'Project Setting'!F87</f>
        <v>458005.27053848491</v>
      </c>
      <c r="D65" s="292" t="s">
        <v>566</v>
      </c>
      <c r="E65" s="345">
        <f ca="1">'Calculation of Typical Year'!AB37</f>
        <v>22900.263526924246</v>
      </c>
      <c r="F65" s="293" t="s">
        <v>567</v>
      </c>
      <c r="G65" s="292"/>
      <c r="H65" s="293"/>
    </row>
    <row r="66" spans="1:10" ht="14.85" customHeight="1">
      <c r="A66" s="135"/>
      <c r="B66" s="294" t="s">
        <v>568</v>
      </c>
      <c r="C66" s="346">
        <f ca="1">E66*'Project Setting'!F87</f>
        <v>327618.4307856118</v>
      </c>
      <c r="D66" s="290" t="s">
        <v>566</v>
      </c>
      <c r="E66" s="346">
        <f ca="1">'Calculation of Typical Year'!AA37</f>
        <v>16380.921539280589</v>
      </c>
      <c r="F66" s="295" t="s">
        <v>567</v>
      </c>
      <c r="G66" s="290"/>
      <c r="H66" s="295"/>
    </row>
    <row r="67" spans="1:10" ht="14.85" customHeight="1">
      <c r="A67" s="135"/>
      <c r="B67" s="296" t="s">
        <v>569</v>
      </c>
      <c r="C67" s="347">
        <f ca="1">E67*'Project Setting'!F87</f>
        <v>347675.27216174186</v>
      </c>
      <c r="D67" s="297" t="s">
        <v>566</v>
      </c>
      <c r="E67" s="347">
        <f ca="1">'Calculation of Typical Year'!Z37</f>
        <v>17383.763608087094</v>
      </c>
      <c r="F67" s="298" t="s">
        <v>567</v>
      </c>
      <c r="G67" s="297"/>
      <c r="H67" s="298"/>
    </row>
    <row r="68" spans="1:10" s="196" customFormat="1" ht="14.85" customHeight="1">
      <c r="A68" s="135"/>
      <c r="B68" s="223"/>
      <c r="C68" s="223"/>
      <c r="D68" s="223"/>
      <c r="E68" s="348"/>
      <c r="F68" s="227"/>
      <c r="G68" s="226"/>
      <c r="H68" s="228"/>
    </row>
    <row r="69" spans="1:10" ht="14.85" customHeight="1" outlineLevel="1">
      <c r="A69" s="135"/>
      <c r="B69" s="299" t="s">
        <v>570</v>
      </c>
      <c r="C69" s="300"/>
      <c r="D69" s="300"/>
      <c r="E69" s="349">
        <f ca="1">'Calculation of Typical Year'!AN37</f>
        <v>1337630.819731378</v>
      </c>
      <c r="F69" s="301" t="s">
        <v>120</v>
      </c>
      <c r="G69" s="302">
        <f ca="1">'Calculation of Typical Year'!AN38</f>
        <v>58.411154009590405</v>
      </c>
      <c r="H69" s="303" t="s">
        <v>516</v>
      </c>
    </row>
    <row r="70" spans="1:10" s="196" customFormat="1" ht="14.85" customHeight="1" outlineLevel="1">
      <c r="A70" s="135"/>
      <c r="B70" s="223"/>
      <c r="C70" s="223"/>
      <c r="D70" s="223"/>
      <c r="E70" s="223"/>
      <c r="F70" s="223"/>
      <c r="G70" s="223"/>
      <c r="H70" s="228"/>
      <c r="J70" s="135"/>
    </row>
    <row r="71" spans="1:10" ht="14.85" customHeight="1" outlineLevel="1">
      <c r="A71" s="135"/>
      <c r="B71" s="305" t="s">
        <v>571</v>
      </c>
      <c r="C71" s="350"/>
      <c r="D71" s="306"/>
      <c r="E71" s="306"/>
      <c r="F71" s="307"/>
      <c r="G71" s="308">
        <f ca="1">G40</f>
        <v>60.815397082495856</v>
      </c>
      <c r="H71" s="309" t="s">
        <v>516</v>
      </c>
      <c r="J71" s="222" t="s">
        <v>73</v>
      </c>
    </row>
    <row r="72" spans="1:10" ht="14.85" customHeight="1" outlineLevel="1">
      <c r="A72" s="135"/>
      <c r="B72" s="310" t="s">
        <v>572</v>
      </c>
      <c r="C72" s="311"/>
      <c r="D72" s="311"/>
      <c r="E72" s="311"/>
      <c r="F72" s="312"/>
      <c r="G72" s="313">
        <f ca="1">G40+G41</f>
        <v>62.333612240819136</v>
      </c>
      <c r="H72" s="314" t="s">
        <v>516</v>
      </c>
      <c r="J72" s="222" t="s">
        <v>73</v>
      </c>
    </row>
    <row r="73" spans="1:10" ht="14.85" customHeight="1" outlineLevel="1">
      <c r="A73" s="135"/>
      <c r="B73" s="310" t="s">
        <v>573</v>
      </c>
      <c r="C73" s="311"/>
      <c r="D73" s="311"/>
      <c r="E73" s="311"/>
      <c r="F73" s="312"/>
      <c r="G73" s="313">
        <f ca="1">G42</f>
        <v>60.815397082495856</v>
      </c>
      <c r="H73" s="314" t="s">
        <v>516</v>
      </c>
      <c r="J73" s="222" t="s">
        <v>73</v>
      </c>
    </row>
    <row r="74" spans="1:10" ht="14.85" customHeight="1" outlineLevel="1">
      <c r="A74" s="135"/>
      <c r="B74" s="315" t="s">
        <v>574</v>
      </c>
      <c r="C74" s="316"/>
      <c r="D74" s="316"/>
      <c r="E74" s="316"/>
      <c r="F74" s="317"/>
      <c r="G74" s="318">
        <f ca="1">G41+G42</f>
        <v>62.333612240819136</v>
      </c>
      <c r="H74" s="319" t="s">
        <v>516</v>
      </c>
      <c r="J74" s="222" t="s">
        <v>73</v>
      </c>
    </row>
    <row r="75" spans="1:10" s="196" customFormat="1" outlineLevel="1">
      <c r="A75" s="135"/>
      <c r="B75" s="223"/>
      <c r="C75" s="223"/>
      <c r="D75" s="223"/>
      <c r="E75" s="223"/>
      <c r="F75" s="223"/>
      <c r="G75" s="223"/>
      <c r="H75" s="223"/>
    </row>
    <row r="76" spans="1:10" ht="25.35" customHeight="1" outlineLevel="1">
      <c r="A76" s="135"/>
      <c r="B76" s="1037" t="s">
        <v>575</v>
      </c>
      <c r="C76" s="1037"/>
      <c r="D76" s="1037"/>
      <c r="E76" s="1037"/>
      <c r="F76" s="1037"/>
      <c r="G76" s="1037"/>
      <c r="H76" s="1037"/>
    </row>
    <row r="77" spans="1:10" ht="14.85" customHeight="1" outlineLevel="1">
      <c r="A77" s="135"/>
      <c r="B77" s="173" t="s">
        <v>576</v>
      </c>
      <c r="C77" s="175"/>
      <c r="D77" s="175"/>
      <c r="E77" s="175"/>
      <c r="F77" s="176"/>
      <c r="G77" s="188">
        <f ca="1">$G$69-$G$71</f>
        <v>-2.4042430729054516</v>
      </c>
      <c r="H77" s="177" t="s">
        <v>516</v>
      </c>
    </row>
    <row r="78" spans="1:10" ht="14.85" customHeight="1" outlineLevel="1">
      <c r="A78" s="135"/>
      <c r="B78" s="173" t="s">
        <v>577</v>
      </c>
      <c r="C78" s="175"/>
      <c r="D78" s="175"/>
      <c r="E78" s="175"/>
      <c r="F78" s="176"/>
      <c r="G78" s="188">
        <f ca="1">($E$69-$E$40)/MAX(0.1, E66)</f>
        <v>-3.3610929531828426</v>
      </c>
      <c r="H78" s="177" t="s">
        <v>578</v>
      </c>
    </row>
    <row r="79" spans="1:10" ht="14.85" customHeight="1" outlineLevel="1">
      <c r="A79" s="135"/>
      <c r="B79" s="173" t="s">
        <v>579</v>
      </c>
      <c r="C79" s="175"/>
      <c r="D79" s="175"/>
      <c r="E79" s="175"/>
      <c r="F79" s="176"/>
      <c r="G79" s="188">
        <f ca="1">($E$69-$E$40)/E67</f>
        <v>-3.1671967701346104</v>
      </c>
      <c r="H79" s="177" t="s">
        <v>553</v>
      </c>
    </row>
    <row r="80" spans="1:10" ht="14.85" customHeight="1" outlineLevel="1">
      <c r="A80" s="135"/>
      <c r="B80" s="184" t="s">
        <v>580</v>
      </c>
      <c r="C80" s="186"/>
      <c r="D80" s="186"/>
      <c r="E80" s="186"/>
      <c r="F80" s="187"/>
      <c r="G80" s="189">
        <f ca="1">($E$69-$E$42)/MAX(0.1, E66)</f>
        <v>-3.3610929531828426</v>
      </c>
      <c r="H80" s="185" t="s">
        <v>578</v>
      </c>
    </row>
    <row r="81" spans="1:10" ht="14.85" customHeight="1" outlineLevel="1">
      <c r="A81" s="135"/>
      <c r="B81" s="184" t="s">
        <v>581</v>
      </c>
      <c r="C81" s="186"/>
      <c r="D81" s="186"/>
      <c r="E81" s="186"/>
      <c r="F81" s="187"/>
      <c r="G81" s="189">
        <f ca="1">($E$69-$E$42)/E67</f>
        <v>-3.1671967701346104</v>
      </c>
      <c r="H81" s="185" t="s">
        <v>553</v>
      </c>
    </row>
    <row r="82" spans="1:10" s="196" customFormat="1" ht="17.45" customHeight="1">
      <c r="A82" s="135"/>
      <c r="B82" s="223"/>
      <c r="C82" s="223"/>
      <c r="D82" s="223"/>
      <c r="E82" s="223"/>
      <c r="F82" s="223"/>
      <c r="G82" s="223"/>
      <c r="H82" s="223"/>
    </row>
    <row r="83" spans="1:10" ht="25.35" customHeight="1">
      <c r="A83" s="135"/>
      <c r="B83" s="1029" t="s">
        <v>582</v>
      </c>
      <c r="C83" s="1029"/>
      <c r="D83" s="1029"/>
      <c r="E83" s="1029"/>
      <c r="F83" s="1029"/>
      <c r="G83" s="1029"/>
      <c r="H83" s="1029"/>
      <c r="J83" s="222" t="s">
        <v>73</v>
      </c>
    </row>
    <row r="84" spans="1:10" ht="14.85" customHeight="1">
      <c r="A84" s="135"/>
      <c r="B84" s="174" t="s">
        <v>583</v>
      </c>
      <c r="C84" s="178"/>
      <c r="D84" s="178"/>
      <c r="E84" s="178"/>
      <c r="F84" s="179"/>
      <c r="G84" s="178">
        <f ca="1">(E62-E61)/MAX(0.1,E66)</f>
        <v>1.6147577770761572</v>
      </c>
      <c r="H84" s="180" t="s">
        <v>578</v>
      </c>
      <c r="J84" s="222" t="s">
        <v>73</v>
      </c>
    </row>
    <row r="85" spans="1:10" ht="14.85" customHeight="1">
      <c r="A85" s="135"/>
      <c r="B85" s="174" t="s">
        <v>584</v>
      </c>
      <c r="C85" s="178"/>
      <c r="D85" s="178"/>
      <c r="E85" s="178"/>
      <c r="F85" s="179"/>
      <c r="G85" s="178">
        <f ca="1">(E62-E61)/E67</f>
        <v>1.5216049324855236</v>
      </c>
      <c r="H85" s="180" t="s">
        <v>553</v>
      </c>
    </row>
    <row r="86" spans="1:10" s="196" customFormat="1" ht="6.6" customHeight="1">
      <c r="A86" s="135"/>
      <c r="B86" s="223"/>
      <c r="C86" s="223"/>
      <c r="D86" s="223"/>
      <c r="E86" s="223"/>
      <c r="F86" s="223"/>
      <c r="G86" s="223"/>
      <c r="H86" s="223"/>
    </row>
    <row r="87" spans="1:10" s="196" customFormat="1" ht="6.6" customHeight="1">
      <c r="A87" s="135"/>
      <c r="B87" s="223"/>
      <c r="C87" s="223"/>
      <c r="D87" s="223"/>
      <c r="E87" s="223"/>
      <c r="F87" s="223"/>
      <c r="G87" s="223"/>
      <c r="H87" s="223"/>
    </row>
    <row r="88" spans="1:10" s="196" customFormat="1" ht="3.6" customHeight="1">
      <c r="A88" s="135"/>
      <c r="B88" s="223"/>
      <c r="C88" s="223"/>
      <c r="D88" s="223"/>
      <c r="E88" s="223"/>
      <c r="F88" s="223"/>
      <c r="G88" s="223"/>
      <c r="H88" s="223"/>
    </row>
    <row r="89" spans="1:10" ht="14.85" customHeight="1">
      <c r="A89" s="135"/>
      <c r="B89" s="304" t="s">
        <v>585</v>
      </c>
      <c r="C89" s="304"/>
      <c r="D89" s="304"/>
      <c r="E89" s="304"/>
      <c r="F89" s="304"/>
      <c r="G89" s="304"/>
      <c r="H89" s="304"/>
    </row>
    <row r="90" spans="1:10" ht="14.85" customHeight="1">
      <c r="A90" s="135"/>
      <c r="B90" s="277" t="s">
        <v>586</v>
      </c>
      <c r="C90" s="277"/>
      <c r="D90" s="277"/>
      <c r="E90" s="277"/>
      <c r="F90" s="277"/>
      <c r="G90" s="696">
        <f ca="1">'Calculation of Typical Year'!AU46</f>
        <v>1</v>
      </c>
      <c r="H90" s="697"/>
    </row>
    <row r="91" spans="1:10" ht="14.85" customHeight="1">
      <c r="A91" s="135"/>
      <c r="B91" s="277" t="s">
        <v>587</v>
      </c>
      <c r="C91" s="277"/>
      <c r="D91" s="277"/>
      <c r="E91" s="277"/>
      <c r="F91" s="277"/>
      <c r="G91" s="696">
        <f ca="1">'Calculation of Typical Year'!AU47</f>
        <v>0</v>
      </c>
      <c r="H91" s="697"/>
    </row>
    <row r="92" spans="1:10" ht="14.85" customHeight="1">
      <c r="A92" s="135"/>
      <c r="B92" s="277" t="s">
        <v>588</v>
      </c>
      <c r="C92" s="277"/>
      <c r="D92" s="277"/>
      <c r="E92" s="277"/>
      <c r="F92" s="277"/>
      <c r="G92" s="280">
        <f ca="1">'Calculation of Typical Year'!AU48</f>
        <v>1.5182151583232826</v>
      </c>
      <c r="H92" s="279" t="s">
        <v>516</v>
      </c>
    </row>
    <row r="93" spans="1:10" ht="14.85" customHeight="1">
      <c r="A93" s="135"/>
      <c r="B93" s="277" t="s">
        <v>589</v>
      </c>
      <c r="C93" s="277"/>
      <c r="D93" s="277"/>
      <c r="E93" s="277"/>
      <c r="F93" s="277"/>
      <c r="G93" s="280">
        <f ca="1">'Calculation of Typical Year'!AU49</f>
        <v>2.1224402505563247</v>
      </c>
      <c r="H93" s="279" t="s">
        <v>578</v>
      </c>
    </row>
    <row r="94" spans="1:10" ht="14.85" customHeight="1">
      <c r="A94" s="135"/>
      <c r="B94" s="698" t="s">
        <v>590</v>
      </c>
      <c r="C94" s="698"/>
      <c r="D94" s="698"/>
      <c r="E94" s="698"/>
      <c r="F94" s="698"/>
      <c r="G94" s="699">
        <f ca="1">'Calculation of Typical Year'!AU50</f>
        <v>2</v>
      </c>
      <c r="H94" s="700" t="s">
        <v>553</v>
      </c>
    </row>
    <row r="95" spans="1:10" s="196" customFormat="1" ht="14.85" customHeight="1">
      <c r="A95" s="135"/>
      <c r="B95" s="135"/>
      <c r="C95" s="135"/>
      <c r="D95" s="135"/>
      <c r="E95" s="135"/>
      <c r="F95" s="135"/>
      <c r="G95" s="135"/>
      <c r="H95" s="135"/>
    </row>
    <row r="96" spans="1:10" s="196" customFormat="1" ht="14.85" customHeight="1">
      <c r="A96" s="135"/>
      <c r="B96" s="135"/>
      <c r="C96" s="135"/>
      <c r="D96" s="135"/>
      <c r="E96" s="135"/>
      <c r="F96" s="135"/>
      <c r="G96" s="135"/>
      <c r="H96" s="135"/>
    </row>
    <row r="97" spans="1:8">
      <c r="A97" s="135"/>
      <c r="B97" s="1028" t="s">
        <v>591</v>
      </c>
      <c r="C97" s="1028"/>
      <c r="D97" s="1028"/>
      <c r="E97" s="1028"/>
      <c r="F97" s="1028"/>
      <c r="G97" s="1028"/>
      <c r="H97" s="1028"/>
    </row>
    <row r="98" spans="1:8" s="196" customFormat="1">
      <c r="A98" s="135"/>
    </row>
    <row r="99" spans="1:8" s="196" customFormat="1">
      <c r="A99" s="135"/>
    </row>
    <row r="100" spans="1:8" s="196" customFormat="1">
      <c r="A100" s="135"/>
    </row>
    <row r="101" spans="1:8" s="196" customFormat="1"/>
    <row r="102" spans="1:8" s="196" customFormat="1"/>
    <row r="103" spans="1:8" s="196" customFormat="1">
      <c r="F103" s="1021"/>
      <c r="G103" s="1021"/>
    </row>
    <row r="104" spans="1:8" s="196" customFormat="1">
      <c r="F104" s="1021"/>
      <c r="G104" s="1021"/>
    </row>
    <row r="105" spans="1:8" s="196" customFormat="1">
      <c r="F105" s="1021"/>
      <c r="G105" s="1021"/>
    </row>
    <row r="106" spans="1:8" s="196" customFormat="1">
      <c r="F106" s="1021"/>
      <c r="G106" s="1021"/>
    </row>
    <row r="107" spans="1:8" s="196" customFormat="1">
      <c r="F107" s="1021"/>
      <c r="G107" s="1021"/>
    </row>
    <row r="108" spans="1:8" s="196" customFormat="1"/>
    <row r="109" spans="1:8" s="196" customFormat="1"/>
    <row r="110" spans="1:8" s="196" customFormat="1"/>
    <row r="111" spans="1:8" s="196" customFormat="1"/>
    <row r="112" spans="1:8" s="196" customFormat="1"/>
    <row r="113" s="196" customFormat="1"/>
    <row r="114" s="196" customFormat="1"/>
    <row r="115" s="196" customFormat="1"/>
    <row r="116" s="196" customFormat="1"/>
    <row r="117" s="196" customFormat="1"/>
    <row r="118" s="196" customFormat="1"/>
    <row r="119" s="196" customFormat="1"/>
    <row r="120" s="196" customFormat="1"/>
    <row r="121" s="196" customFormat="1"/>
    <row r="122" s="196" customFormat="1"/>
    <row r="123" s="196" customFormat="1"/>
    <row r="124" s="196" customFormat="1"/>
    <row r="125" s="196" customFormat="1"/>
    <row r="126" s="196" customFormat="1"/>
    <row r="127" s="196" customFormat="1"/>
    <row r="128" s="196" customFormat="1"/>
    <row r="129" s="196" customFormat="1"/>
    <row r="130" s="196" customFormat="1"/>
    <row r="131" s="196" customFormat="1"/>
    <row r="132" s="196" customFormat="1"/>
    <row r="133" s="196" customFormat="1"/>
    <row r="134" s="196" customFormat="1"/>
    <row r="135" s="196" customFormat="1"/>
    <row r="136" s="196" customFormat="1"/>
    <row r="137" s="196" customFormat="1"/>
    <row r="138" s="196" customFormat="1"/>
    <row r="139" s="196" customFormat="1"/>
    <row r="140" s="196" customFormat="1"/>
    <row r="141" s="196" customFormat="1"/>
    <row r="142" s="196" customFormat="1"/>
    <row r="143" s="196" customFormat="1"/>
    <row r="144" s="196" customFormat="1"/>
    <row r="145" s="196" customFormat="1"/>
    <row r="146" s="196" customFormat="1"/>
    <row r="147" s="196" customFormat="1"/>
    <row r="148" s="196" customFormat="1"/>
    <row r="149" s="196" customFormat="1"/>
    <row r="150" s="196" customFormat="1"/>
    <row r="151" s="196" customFormat="1"/>
    <row r="152" s="196" customFormat="1"/>
    <row r="153" s="196" customFormat="1"/>
    <row r="154" s="196" customFormat="1"/>
    <row r="155" s="196" customFormat="1"/>
    <row r="156" s="196" customFormat="1"/>
    <row r="157" s="196" customFormat="1"/>
    <row r="158" s="196" customFormat="1"/>
    <row r="159" s="196" customFormat="1"/>
    <row r="160" s="196" customFormat="1"/>
    <row r="161" s="196" customFormat="1"/>
    <row r="162" s="196" customFormat="1"/>
    <row r="163" s="196" customFormat="1"/>
    <row r="164" s="196" customFormat="1"/>
    <row r="165" s="196" customFormat="1"/>
    <row r="166" s="196" customFormat="1"/>
    <row r="167" s="196" customFormat="1"/>
    <row r="168" s="196" customFormat="1"/>
    <row r="169" s="196" customFormat="1"/>
    <row r="170" s="196" customFormat="1"/>
    <row r="171" s="196" customFormat="1"/>
    <row r="172" s="196" customFormat="1"/>
    <row r="173" s="196" customFormat="1"/>
    <row r="174" s="196" customFormat="1"/>
    <row r="175" s="196" customFormat="1"/>
    <row r="176" s="196" customFormat="1"/>
    <row r="177" s="196" customFormat="1"/>
    <row r="178" s="196" customFormat="1"/>
    <row r="179" s="196" customFormat="1"/>
    <row r="180" s="196" customFormat="1"/>
    <row r="181" s="196" customFormat="1"/>
    <row r="182" s="196" customFormat="1"/>
    <row r="183" s="196" customFormat="1"/>
    <row r="184" s="196" customFormat="1"/>
    <row r="185" s="196" customFormat="1"/>
    <row r="186" s="196" customFormat="1"/>
    <row r="187" s="196" customFormat="1"/>
    <row r="188" s="196" customFormat="1"/>
    <row r="189" s="196" customFormat="1"/>
    <row r="190" s="196" customFormat="1"/>
    <row r="191" s="196" customFormat="1"/>
    <row r="192" s="196" customFormat="1"/>
    <row r="193" s="196" customFormat="1"/>
    <row r="194" s="196" customFormat="1"/>
    <row r="195" s="196" customFormat="1"/>
    <row r="196" s="196" customFormat="1"/>
    <row r="197" s="196" customFormat="1"/>
    <row r="198" s="196" customFormat="1"/>
    <row r="199" s="196" customFormat="1"/>
    <row r="200" s="196" customFormat="1"/>
    <row r="201" s="196" customFormat="1"/>
    <row r="202" s="196" customFormat="1"/>
    <row r="203" s="196" customFormat="1"/>
    <row r="204" s="196" customFormat="1"/>
    <row r="205" s="196" customFormat="1"/>
    <row r="206" s="196" customFormat="1"/>
    <row r="207" s="196" customFormat="1"/>
    <row r="208" s="196" customFormat="1"/>
    <row r="209" s="196" customFormat="1"/>
    <row r="210" s="196" customFormat="1"/>
    <row r="211" s="196" customFormat="1"/>
    <row r="212" s="196" customFormat="1"/>
    <row r="213" s="196" customFormat="1"/>
    <row r="214" s="196" customFormat="1"/>
    <row r="215" s="196" customFormat="1"/>
    <row r="216" s="196" customFormat="1"/>
    <row r="217" s="196" customFormat="1"/>
    <row r="218" s="196" customFormat="1"/>
    <row r="219" s="196" customFormat="1"/>
    <row r="220" s="196" customFormat="1"/>
    <row r="221" s="196" customFormat="1"/>
    <row r="222" s="196" customFormat="1"/>
    <row r="223" s="196" customFormat="1"/>
    <row r="224" s="196" customFormat="1"/>
    <row r="225" s="196" customFormat="1"/>
    <row r="226" s="196" customFormat="1"/>
    <row r="227" s="196" customFormat="1"/>
    <row r="228" s="196" customFormat="1"/>
    <row r="229" s="196" customFormat="1"/>
    <row r="230" s="196" customFormat="1"/>
    <row r="231" s="196" customFormat="1"/>
    <row r="232" s="196" customFormat="1"/>
    <row r="233" s="196" customFormat="1"/>
    <row r="234" s="196" customFormat="1"/>
    <row r="235" s="196" customFormat="1"/>
    <row r="236" s="196" customFormat="1"/>
    <row r="237" s="196" customFormat="1"/>
    <row r="238" s="196" customFormat="1"/>
    <row r="239" s="196" customFormat="1"/>
    <row r="240" s="196" customFormat="1"/>
    <row r="241" s="196" customFormat="1"/>
    <row r="242" s="196" customFormat="1"/>
    <row r="243" s="196" customFormat="1"/>
    <row r="244" s="196" customFormat="1"/>
    <row r="245" s="196" customFormat="1"/>
    <row r="246" s="196" customFormat="1"/>
    <row r="247" s="196" customFormat="1"/>
    <row r="248" s="196" customFormat="1"/>
    <row r="249" s="196" customFormat="1"/>
    <row r="250" s="196" customFormat="1"/>
    <row r="251" s="196" customFormat="1"/>
    <row r="252" s="196" customFormat="1"/>
    <row r="253" s="196" customFormat="1"/>
    <row r="254" s="196" customFormat="1"/>
    <row r="255" s="196" customFormat="1"/>
    <row r="256" s="196" customFormat="1"/>
    <row r="257" s="196" customFormat="1"/>
    <row r="258" s="196" customFormat="1"/>
    <row r="259" s="196" customFormat="1"/>
    <row r="260" s="196" customFormat="1"/>
    <row r="261" s="196" customFormat="1"/>
    <row r="262" s="196" customFormat="1"/>
    <row r="263" s="196" customFormat="1"/>
    <row r="264" s="196" customFormat="1"/>
    <row r="265" s="196" customFormat="1"/>
    <row r="266" s="196" customFormat="1"/>
    <row r="267" s="196" customFormat="1"/>
    <row r="268" s="196" customFormat="1"/>
    <row r="269" s="196" customFormat="1"/>
    <row r="270" s="196" customFormat="1"/>
    <row r="271" s="196" customFormat="1"/>
    <row r="272" s="196" customFormat="1"/>
    <row r="273" s="196" customFormat="1"/>
    <row r="274" s="196" customFormat="1"/>
    <row r="275" s="196" customFormat="1"/>
    <row r="276" s="196" customFormat="1"/>
    <row r="277" s="196" customFormat="1"/>
    <row r="278" s="196" customFormat="1"/>
    <row r="279" s="196" customFormat="1"/>
    <row r="280" s="196" customFormat="1"/>
    <row r="281" s="196" customFormat="1"/>
    <row r="282" s="196" customFormat="1"/>
    <row r="283" s="196" customFormat="1"/>
    <row r="284" s="196" customFormat="1"/>
    <row r="285" s="196" customFormat="1"/>
    <row r="286" s="196" customFormat="1"/>
    <row r="287" s="196" customFormat="1"/>
    <row r="288" s="196" customFormat="1"/>
    <row r="289" s="196" customFormat="1"/>
    <row r="290" s="196" customFormat="1"/>
    <row r="291" s="196" customFormat="1"/>
    <row r="292" s="196" customFormat="1"/>
    <row r="293" s="196" customFormat="1"/>
    <row r="294" s="196" customFormat="1"/>
    <row r="295" s="196" customFormat="1"/>
    <row r="296" s="196" customFormat="1"/>
    <row r="297" s="196" customFormat="1"/>
    <row r="298" s="196" customFormat="1"/>
    <row r="299" s="196" customFormat="1"/>
    <row r="300" s="196" customFormat="1"/>
    <row r="301" s="196" customFormat="1"/>
    <row r="302" s="196" customFormat="1"/>
    <row r="303" s="196" customFormat="1"/>
    <row r="304" s="196" customFormat="1"/>
    <row r="305" s="196" customFormat="1"/>
    <row r="306" s="196" customFormat="1"/>
    <row r="307" s="196" customFormat="1"/>
    <row r="308" s="196" customFormat="1"/>
    <row r="309" s="196" customFormat="1"/>
    <row r="310" s="196" customFormat="1"/>
    <row r="311" s="196" customFormat="1"/>
    <row r="312" s="196" customFormat="1"/>
    <row r="313" s="196" customFormat="1"/>
    <row r="314" s="196" customFormat="1"/>
    <row r="315" s="196" customFormat="1"/>
    <row r="316" s="196" customFormat="1"/>
    <row r="317" s="196" customFormat="1"/>
    <row r="318" s="196" customFormat="1"/>
    <row r="319" s="196" customFormat="1"/>
    <row r="320" s="196" customFormat="1"/>
    <row r="321" s="196" customFormat="1"/>
    <row r="322" s="196" customFormat="1"/>
    <row r="323" s="196" customFormat="1"/>
    <row r="324" s="196" customFormat="1"/>
    <row r="325" s="196" customFormat="1"/>
    <row r="326" s="196" customFormat="1"/>
    <row r="327" s="196" customFormat="1"/>
    <row r="328" s="196" customFormat="1"/>
    <row r="329" s="196" customFormat="1"/>
    <row r="330" s="196" customFormat="1"/>
    <row r="331" s="196" customFormat="1"/>
    <row r="332" s="196" customFormat="1"/>
    <row r="333" s="196" customFormat="1"/>
    <row r="334" s="196" customFormat="1"/>
    <row r="335" s="196" customFormat="1"/>
    <row r="336" s="196" customFormat="1"/>
    <row r="337" s="196" customFormat="1"/>
    <row r="338" s="196" customFormat="1"/>
    <row r="339" s="196" customFormat="1"/>
    <row r="340" s="196" customFormat="1"/>
    <row r="341" s="196" customFormat="1"/>
    <row r="342" s="196" customFormat="1"/>
    <row r="343" s="196" customFormat="1"/>
    <row r="344" s="196" customFormat="1"/>
    <row r="345" s="196" customFormat="1"/>
    <row r="346" s="196" customFormat="1"/>
    <row r="347" s="196" customFormat="1"/>
    <row r="348" s="196" customFormat="1"/>
    <row r="349" s="196" customFormat="1"/>
    <row r="350" s="196" customFormat="1"/>
    <row r="351" s="196" customFormat="1"/>
    <row r="352" s="196" customFormat="1"/>
    <row r="353" s="196" customFormat="1"/>
    <row r="354" s="196" customFormat="1"/>
    <row r="355" s="196" customFormat="1"/>
    <row r="356" s="196" customFormat="1"/>
    <row r="357" s="196" customFormat="1"/>
    <row r="358" s="196" customFormat="1"/>
    <row r="359" s="196" customFormat="1"/>
    <row r="360" s="196" customFormat="1"/>
    <row r="361" s="196" customFormat="1"/>
    <row r="362" s="196" customFormat="1"/>
    <row r="363" s="196" customFormat="1"/>
    <row r="364" s="196" customFormat="1"/>
    <row r="365" s="196" customFormat="1"/>
    <row r="366" s="196" customFormat="1"/>
    <row r="367" s="196" customFormat="1"/>
    <row r="368" s="196" customFormat="1"/>
    <row r="369" s="196" customFormat="1"/>
    <row r="370" s="196" customFormat="1"/>
    <row r="371" s="196" customFormat="1"/>
    <row r="372" s="196" customFormat="1"/>
    <row r="373" s="196" customFormat="1"/>
    <row r="374" s="196" customFormat="1"/>
    <row r="375" s="196" customFormat="1"/>
    <row r="376" s="196" customFormat="1"/>
    <row r="377" s="196" customFormat="1"/>
    <row r="378" s="196" customFormat="1"/>
    <row r="379" s="196" customFormat="1"/>
    <row r="380" s="196" customFormat="1"/>
    <row r="381" s="196" customFormat="1"/>
    <row r="382" s="196" customFormat="1"/>
    <row r="383" s="196" customFormat="1"/>
    <row r="384" s="196" customFormat="1"/>
    <row r="385" s="196" customFormat="1"/>
    <row r="386" s="196" customFormat="1"/>
    <row r="387" s="196" customFormat="1"/>
    <row r="388" s="196" customFormat="1"/>
    <row r="389" s="196" customFormat="1"/>
    <row r="390" s="196" customFormat="1"/>
    <row r="391" s="196" customFormat="1"/>
    <row r="392" s="196" customFormat="1"/>
    <row r="393" s="196" customFormat="1"/>
    <row r="394" s="196" customFormat="1"/>
    <row r="395" s="196" customFormat="1"/>
    <row r="396" s="196" customFormat="1"/>
    <row r="397" s="196" customFormat="1"/>
    <row r="398" s="196" customFormat="1"/>
    <row r="399" s="196" customFormat="1"/>
    <row r="400" s="196" customFormat="1"/>
    <row r="401" s="196" customFormat="1"/>
    <row r="402" s="196" customFormat="1"/>
    <row r="403" s="196" customFormat="1"/>
    <row r="404" s="196" customFormat="1"/>
    <row r="405" s="196" customFormat="1"/>
    <row r="406" s="196" customFormat="1"/>
    <row r="407" s="196" customFormat="1"/>
    <row r="408" s="196" customFormat="1"/>
    <row r="409" s="196" customFormat="1"/>
    <row r="410" s="196" customFormat="1"/>
    <row r="411" s="196" customFormat="1"/>
    <row r="412" s="196" customFormat="1"/>
    <row r="413" s="196" customFormat="1"/>
    <row r="414" s="196" customFormat="1"/>
    <row r="415" s="196" customFormat="1"/>
    <row r="416" s="196" customFormat="1"/>
    <row r="417" s="196" customFormat="1"/>
    <row r="418" s="196" customFormat="1"/>
    <row r="419" s="196" customFormat="1"/>
    <row r="420" s="196" customFormat="1"/>
    <row r="421" s="196" customFormat="1"/>
    <row r="422" s="196" customFormat="1"/>
    <row r="423" s="196" customFormat="1"/>
    <row r="424" s="196" customFormat="1"/>
    <row r="425" s="196" customFormat="1"/>
    <row r="426" s="196" customFormat="1"/>
    <row r="427" s="196" customFormat="1"/>
    <row r="428" s="196" customFormat="1"/>
    <row r="429" s="196" customFormat="1"/>
    <row r="430" s="196" customFormat="1"/>
    <row r="431" s="196" customFormat="1"/>
    <row r="432" s="196" customFormat="1"/>
    <row r="433" s="196" customFormat="1"/>
    <row r="434" s="196" customFormat="1"/>
    <row r="435" s="196" customFormat="1"/>
    <row r="436" s="196" customFormat="1"/>
    <row r="437" s="196" customFormat="1"/>
    <row r="438" s="196" customFormat="1"/>
    <row r="439" s="196" customFormat="1"/>
    <row r="440" s="196" customFormat="1"/>
    <row r="441" s="196" customFormat="1"/>
    <row r="442" s="196" customFormat="1"/>
    <row r="443" s="196" customFormat="1"/>
    <row r="444" s="196" customFormat="1"/>
    <row r="445" s="196" customFormat="1"/>
    <row r="446" s="196" customFormat="1"/>
    <row r="447" s="196" customFormat="1"/>
    <row r="448" s="196" customFormat="1"/>
    <row r="449" s="196" customFormat="1"/>
    <row r="450" s="196" customFormat="1"/>
    <row r="451" s="196" customFormat="1"/>
    <row r="452" s="196" customFormat="1"/>
    <row r="453" s="196" customFormat="1"/>
    <row r="454" s="196" customFormat="1"/>
    <row r="455" s="196" customFormat="1"/>
    <row r="456" s="196" customFormat="1"/>
    <row r="457" s="196" customFormat="1"/>
    <row r="458" s="196" customFormat="1"/>
    <row r="459" s="196" customFormat="1"/>
    <row r="460" s="196" customFormat="1"/>
    <row r="461" s="196" customFormat="1"/>
    <row r="462" s="196" customFormat="1"/>
    <row r="463" s="196" customFormat="1"/>
    <row r="464" s="196" customFormat="1"/>
    <row r="465" s="196" customFormat="1"/>
    <row r="466" s="196" customFormat="1"/>
    <row r="467" s="196" customFormat="1"/>
    <row r="468" s="196" customFormat="1"/>
    <row r="469" s="196" customFormat="1"/>
    <row r="470" s="196" customFormat="1"/>
    <row r="471" s="196" customFormat="1"/>
    <row r="472" s="196" customFormat="1"/>
    <row r="473" s="196" customFormat="1"/>
    <row r="474" s="196" customFormat="1"/>
    <row r="475" s="196" customFormat="1"/>
    <row r="476" s="196" customFormat="1"/>
    <row r="477" s="196" customFormat="1"/>
    <row r="478" s="196" customFormat="1"/>
    <row r="479" s="196" customFormat="1"/>
    <row r="480" s="196" customFormat="1"/>
    <row r="481" s="196" customFormat="1"/>
    <row r="482" s="196" customFormat="1"/>
    <row r="483" s="196" customFormat="1"/>
    <row r="484" s="196" customFormat="1"/>
    <row r="485" s="196" customFormat="1"/>
    <row r="486" s="196" customFormat="1"/>
    <row r="487" s="196" customFormat="1"/>
    <row r="488" s="196" customFormat="1"/>
    <row r="489" s="196" customFormat="1"/>
    <row r="490" s="196" customFormat="1"/>
    <row r="491" s="196" customFormat="1"/>
    <row r="492" s="196" customFormat="1"/>
    <row r="493" s="196" customFormat="1"/>
    <row r="494" s="196" customFormat="1"/>
    <row r="495" s="196" customFormat="1"/>
    <row r="496" s="196" customFormat="1"/>
    <row r="497" s="196" customFormat="1"/>
    <row r="498" s="196" customFormat="1"/>
    <row r="499" s="196" customFormat="1"/>
    <row r="500" s="196" customFormat="1"/>
    <row r="501" s="196" customFormat="1"/>
    <row r="502" s="196" customFormat="1"/>
    <row r="503" s="196" customFormat="1"/>
    <row r="504" s="196" customFormat="1"/>
    <row r="505" s="196" customFormat="1"/>
    <row r="506" s="196" customFormat="1"/>
    <row r="507" s="196" customFormat="1"/>
    <row r="508" s="196" customFormat="1"/>
    <row r="509" s="196" customFormat="1"/>
    <row r="510" s="196" customFormat="1"/>
    <row r="511" s="196" customFormat="1"/>
    <row r="512" s="196" customFormat="1"/>
    <row r="513" s="196" customFormat="1"/>
    <row r="514" s="196" customFormat="1"/>
    <row r="515" s="196" customFormat="1"/>
    <row r="516" s="196" customFormat="1"/>
    <row r="517" s="196" customFormat="1"/>
    <row r="518" s="196" customFormat="1"/>
    <row r="519" s="196" customFormat="1"/>
    <row r="520" s="196" customFormat="1"/>
    <row r="521" s="196" customFormat="1"/>
    <row r="522" s="196" customFormat="1"/>
    <row r="523" s="196" customFormat="1"/>
    <row r="524" s="196" customFormat="1"/>
    <row r="525" s="196" customFormat="1"/>
    <row r="526" s="196" customFormat="1"/>
    <row r="527" s="196" customFormat="1"/>
    <row r="528" s="196" customFormat="1"/>
    <row r="529" s="196" customFormat="1"/>
    <row r="530" s="196" customFormat="1"/>
    <row r="531" s="196" customFormat="1"/>
    <row r="532" s="196" customFormat="1"/>
    <row r="533" s="196" customFormat="1"/>
    <row r="534" s="196" customFormat="1"/>
    <row r="535" s="196" customFormat="1"/>
    <row r="536" s="196" customFormat="1"/>
    <row r="537" s="196" customFormat="1"/>
    <row r="538" s="196" customFormat="1"/>
    <row r="539" s="196" customFormat="1"/>
    <row r="540" s="196" customFormat="1"/>
    <row r="541" s="196" customFormat="1"/>
    <row r="542" s="196" customFormat="1"/>
    <row r="543" s="196" customFormat="1"/>
    <row r="544" s="196" customFormat="1"/>
    <row r="545" s="196" customFormat="1"/>
    <row r="546" s="196" customFormat="1"/>
    <row r="547" s="196" customFormat="1"/>
    <row r="548" s="196" customFormat="1"/>
    <row r="549" s="196" customFormat="1"/>
    <row r="550" s="196" customFormat="1"/>
    <row r="551" s="196" customFormat="1"/>
    <row r="552" s="196" customFormat="1"/>
    <row r="553" s="196" customFormat="1"/>
    <row r="554" s="196" customFormat="1"/>
    <row r="555" s="196" customFormat="1"/>
    <row r="556" s="196" customFormat="1"/>
    <row r="557" s="196" customFormat="1"/>
    <row r="558" s="196" customFormat="1"/>
    <row r="559" s="196" customFormat="1"/>
    <row r="560" s="196" customFormat="1"/>
    <row r="561" s="196" customFormat="1"/>
    <row r="562" s="196" customFormat="1"/>
    <row r="563" s="196" customFormat="1"/>
    <row r="564" s="196" customFormat="1"/>
    <row r="565" s="196" customFormat="1"/>
    <row r="566" s="196" customFormat="1"/>
    <row r="567" s="196" customFormat="1"/>
    <row r="568" s="196" customFormat="1"/>
    <row r="569" s="196" customFormat="1"/>
    <row r="570" s="196" customFormat="1"/>
    <row r="571" s="196" customFormat="1"/>
    <row r="572" s="196" customFormat="1"/>
    <row r="573" s="196" customFormat="1"/>
    <row r="574" s="196" customFormat="1"/>
    <row r="575" s="196" customFormat="1"/>
    <row r="576" s="196" customFormat="1"/>
    <row r="577" s="196" customFormat="1"/>
    <row r="578" s="196" customFormat="1"/>
    <row r="579" s="196" customFormat="1"/>
    <row r="580" s="196" customFormat="1"/>
    <row r="581" s="196" customFormat="1"/>
    <row r="582" s="196" customFormat="1"/>
    <row r="583" s="196" customFormat="1"/>
    <row r="584" s="196" customFormat="1"/>
    <row r="585" s="196" customFormat="1"/>
    <row r="586" s="196" customFormat="1"/>
    <row r="587" s="196" customFormat="1"/>
    <row r="588" s="196" customFormat="1"/>
    <row r="589" s="196" customFormat="1"/>
    <row r="590" s="196" customFormat="1"/>
    <row r="591" s="196" customFormat="1"/>
    <row r="592" s="196" customFormat="1"/>
    <row r="593" s="196" customFormat="1"/>
    <row r="594" s="196" customFormat="1"/>
    <row r="595" s="196" customFormat="1"/>
    <row r="596" s="196" customFormat="1"/>
    <row r="597" s="196" customFormat="1"/>
    <row r="598" s="196" customFormat="1"/>
    <row r="599" s="196" customFormat="1"/>
    <row r="600" s="196" customFormat="1"/>
    <row r="601" s="196" customFormat="1"/>
    <row r="602" s="196" customFormat="1"/>
    <row r="603" s="196" customFormat="1"/>
    <row r="604" s="196" customFormat="1"/>
    <row r="605" s="196" customFormat="1"/>
    <row r="606" s="196" customFormat="1"/>
    <row r="607" s="196" customFormat="1"/>
    <row r="608" s="196" customFormat="1"/>
    <row r="609" s="196" customFormat="1"/>
    <row r="610" s="196" customFormat="1"/>
    <row r="611" s="196" customFormat="1"/>
    <row r="612" s="196" customFormat="1"/>
    <row r="613" s="196" customFormat="1"/>
    <row r="614" s="196" customFormat="1"/>
    <row r="615" s="196" customFormat="1"/>
    <row r="616" s="196" customFormat="1"/>
    <row r="617" s="196" customFormat="1"/>
    <row r="618" s="196" customFormat="1"/>
    <row r="619" s="196" customFormat="1"/>
    <row r="620" s="196" customFormat="1"/>
    <row r="621" s="196" customFormat="1"/>
    <row r="622" s="196" customFormat="1"/>
    <row r="623" s="196" customFormat="1"/>
    <row r="624" s="196" customFormat="1"/>
    <row r="625" s="196" customFormat="1"/>
    <row r="626" s="196" customFormat="1"/>
    <row r="627" s="196" customFormat="1"/>
    <row r="628" s="196" customFormat="1"/>
    <row r="629" s="196" customFormat="1"/>
    <row r="630" s="196" customFormat="1"/>
    <row r="631" s="196" customFormat="1"/>
    <row r="632" s="196" customFormat="1"/>
    <row r="633" s="196" customFormat="1"/>
    <row r="634" s="196" customFormat="1"/>
    <row r="635" s="196" customFormat="1"/>
    <row r="636" s="196" customFormat="1"/>
    <row r="637" s="196" customFormat="1"/>
    <row r="638" s="196" customFormat="1"/>
  </sheetData>
  <sheetProtection formatCells="0" formatColumns="0" formatRows="0"/>
  <mergeCells count="8">
    <mergeCell ref="B97:H97"/>
    <mergeCell ref="B83:H83"/>
    <mergeCell ref="A1:H1"/>
    <mergeCell ref="B3:H5"/>
    <mergeCell ref="A48:A63"/>
    <mergeCell ref="B76:H76"/>
    <mergeCell ref="A6:A46"/>
    <mergeCell ref="A3:A5"/>
  </mergeCells>
  <phoneticPr fontId="10" type="noConversion"/>
  <conditionalFormatting sqref="C77:E81">
    <cfRule type="cellIs" dxfId="21" priority="19" operator="lessThan">
      <formula>0</formula>
    </cfRule>
    <cfRule type="cellIs" dxfId="20" priority="20" operator="greaterThan">
      <formula>0</formula>
    </cfRule>
  </conditionalFormatting>
  <conditionalFormatting sqref="C84:E85">
    <cfRule type="cellIs" dxfId="19" priority="13" operator="lessThan">
      <formula>0</formula>
    </cfRule>
    <cfRule type="cellIs" dxfId="18" priority="14" operator="greaterThan">
      <formula>0</formula>
    </cfRule>
  </conditionalFormatting>
  <conditionalFormatting sqref="G77:G81">
    <cfRule type="cellIs" dxfId="17" priority="21" operator="lessThan">
      <formula>0</formula>
    </cfRule>
    <cfRule type="cellIs" dxfId="16" priority="22" operator="greaterThan">
      <formula>0</formula>
    </cfRule>
  </conditionalFormatting>
  <conditionalFormatting sqref="G84:G85">
    <cfRule type="cellIs" dxfId="15" priority="11" operator="lessThan">
      <formula>0</formula>
    </cfRule>
    <cfRule type="cellIs" dxfId="14" priority="12" operator="greaterThan">
      <formula>0</formula>
    </cfRule>
  </conditionalFormatting>
  <conditionalFormatting sqref="R77:T81 Y77:Y81">
    <cfRule type="cellIs" dxfId="13" priority="5" operator="lessThan">
      <formula>0</formula>
    </cfRule>
    <cfRule type="cellIs" dxfId="12" priority="6" operator="greaterThan">
      <formula>0</formula>
    </cfRule>
  </conditionalFormatting>
  <conditionalFormatting sqref="R84:T85 Y84:Y85">
    <cfRule type="cellIs" dxfId="11" priority="3" operator="lessThan">
      <formula>0</formula>
    </cfRule>
    <cfRule type="cellIs" dxfId="10" priority="4" operator="greaterThan">
      <formula>0</formula>
    </cfRule>
  </conditionalFormatting>
  <conditionalFormatting sqref="V77:V81">
    <cfRule type="cellIs" dxfId="9" priority="7" operator="lessThan">
      <formula>0</formula>
    </cfRule>
    <cfRule type="cellIs" dxfId="8" priority="8" operator="greaterThan">
      <formula>0</formula>
    </cfRule>
  </conditionalFormatting>
  <conditionalFormatting sqref="V84:V85">
    <cfRule type="cellIs" dxfId="7" priority="1" operator="lessThan">
      <formula>0</formula>
    </cfRule>
    <cfRule type="cellIs" dxfId="6" priority="2" operator="greaterThan">
      <formula>0</formula>
    </cfRule>
  </conditionalFormatting>
  <hyperlinks>
    <hyperlink ref="A1" location="Content!A1" display="Go to Content" xr:uid="{4E02DD8C-F6E6-4A6C-9453-311F55D9FE7E}"/>
    <hyperlink ref="A1:F1" location="Content!A1" display="Go to Inhalt Sheet" xr:uid="{F39671C8-7E4B-4AC4-B6D9-027BF122AF03}"/>
    <hyperlink ref="A1:H1" location="Content!A1" display="Go to Content Sheet" xr:uid="{D31114A6-E2CA-47D1-A2DC-CFE3FB3DB974}"/>
    <hyperlink ref="B97" location="Content!A1" display="Go to Content" xr:uid="{D3475C6C-A892-453B-95DE-DF2CCBA9D322}"/>
    <hyperlink ref="B97:G97" location="Content!A1" display="Go to Inhalt Sheet" xr:uid="{FFB05A4A-D9C5-4251-B1BA-106693C56990}"/>
    <hyperlink ref="A39" location="'Additional Information'!B152" display="Link to additional information / German translation" xr:uid="{E16CF33E-04FB-41E5-ADB9-7056F0DDB485}"/>
    <hyperlink ref="J83" location="'Additional Information'!B146" display="Link to additional information / German translation" xr:uid="{DE4B15BA-8953-4E64-B329-45F776889C0C}"/>
    <hyperlink ref="J84" location="'Additional Information'!B147" display="Link to additional information / German translation" xr:uid="{1EFA5BD0-209A-4D25-961A-A46BFBB317DB}"/>
    <hyperlink ref="J71" location="'Additional Information'!B148" display="Link to additional information / German translation" xr:uid="{3E552926-A642-470B-B436-E378209E2CAC}"/>
    <hyperlink ref="J72" location="'Additional Information'!B149" display="Link to additional information / German translation" xr:uid="{F90DE8CF-97DB-4327-B972-4CDCF631FDD2}"/>
    <hyperlink ref="J73" location="'Additional Information'!B150" display="Link to additional information / German translation" xr:uid="{96EE22CD-C10E-4C29-8EFD-D2B704669826}"/>
    <hyperlink ref="J74" location="'Additional Information'!B151" display="Link to additional information / German translation" xr:uid="{75FBA5EC-0452-4530-B91A-0DB3AD95D5A5}"/>
  </hyperlinks>
  <pageMargins left="0.7" right="0.7" top="0.78740157499999996" bottom="0.78740157499999996"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582D1-709F-4B90-B737-C2735543E5D5}">
  <sheetPr codeName="Tabelle9">
    <tabColor rgb="FF00B0F0"/>
    <outlinePr summaryBelow="0" summaryRight="0"/>
  </sheetPr>
  <dimension ref="A1:AQ143"/>
  <sheetViews>
    <sheetView tabSelected="1" zoomScale="70" zoomScaleNormal="70" workbookViewId="0">
      <selection activeCell="O48" sqref="O48"/>
    </sheetView>
  </sheetViews>
  <sheetFormatPr baseColWidth="10" defaultColWidth="8.5703125" defaultRowHeight="11.25" outlineLevelRow="1" outlineLevelCol="1"/>
  <cols>
    <col min="1" max="1" width="3" style="57" customWidth="1"/>
    <col min="2" max="2" width="7.42578125" style="206" customWidth="1"/>
    <col min="3" max="3" width="4.140625" style="206" customWidth="1"/>
    <col min="4" max="4" width="17.5703125" style="206" customWidth="1"/>
    <col min="5" max="5" width="21.140625" style="206" customWidth="1"/>
    <col min="6" max="6" width="19.42578125" style="57" bestFit="1" customWidth="1"/>
    <col min="7" max="7" width="27.42578125" style="57" bestFit="1" customWidth="1"/>
    <col min="8" max="9" width="23.42578125" style="57" bestFit="1" customWidth="1"/>
    <col min="10" max="10" width="22.5703125" style="57" bestFit="1" customWidth="1"/>
    <col min="11" max="11" width="24" style="135" customWidth="1"/>
    <col min="12" max="24" width="24" style="135" customWidth="1" outlineLevel="1"/>
    <col min="25" max="25" width="30.140625" style="204" customWidth="1"/>
    <col min="26" max="26" width="23.140625" style="135" bestFit="1" customWidth="1"/>
    <col min="27" max="27" width="8.5703125" style="135"/>
    <col min="28" max="28" width="3" style="204" customWidth="1"/>
    <col min="29" max="29" width="23.5703125" style="204" bestFit="1" customWidth="1"/>
    <col min="30" max="30" width="16.5703125" style="204" bestFit="1" customWidth="1"/>
    <col min="31" max="31" width="4.5703125" style="204" bestFit="1" customWidth="1"/>
    <col min="32" max="32" width="23.140625" style="135" bestFit="1" customWidth="1"/>
    <col min="33" max="33" width="8.5703125" style="135"/>
    <col min="34" max="34" width="3" style="204" customWidth="1"/>
    <col min="35" max="35" width="23.5703125" style="204" bestFit="1" customWidth="1"/>
    <col min="36" max="36" width="16.5703125" style="206" bestFit="1" customWidth="1"/>
    <col min="37" max="37" width="4.5703125" style="206" bestFit="1" customWidth="1"/>
    <col min="38" max="38" width="23.140625" style="57" bestFit="1" customWidth="1"/>
    <col min="39" max="39" width="8.5703125" style="57"/>
    <col min="40" max="40" width="3" style="206" customWidth="1"/>
    <col min="41" max="41" width="23.5703125" style="206" bestFit="1" customWidth="1"/>
    <col min="42" max="42" width="16.5703125" style="206" bestFit="1" customWidth="1"/>
    <col min="43" max="43" width="4.5703125" style="206" bestFit="1" customWidth="1"/>
    <col min="44" max="44" width="23.140625" style="57" bestFit="1" customWidth="1"/>
    <col min="45" max="16384" width="8.5703125" style="57"/>
  </cols>
  <sheetData>
    <row r="1" spans="1:43" s="47" customFormat="1" ht="15" customHeight="1">
      <c r="A1" s="1028" t="s">
        <v>592</v>
      </c>
      <c r="B1" s="1028"/>
      <c r="C1" s="1028"/>
      <c r="D1" s="1028"/>
      <c r="E1" s="1028"/>
      <c r="F1" s="1028"/>
    </row>
    <row r="2" spans="1:43" s="47" customFormat="1" ht="15" customHeight="1">
      <c r="A2" s="49"/>
      <c r="B2" s="49"/>
      <c r="C2" s="172"/>
      <c r="D2" s="172"/>
      <c r="E2" s="172"/>
      <c r="F2" s="49"/>
    </row>
    <row r="3" spans="1:43" s="47" customFormat="1" ht="15" customHeight="1" thickBot="1">
      <c r="A3" s="1194" t="s">
        <v>58</v>
      </c>
      <c r="B3" s="1195" t="s">
        <v>46</v>
      </c>
      <c r="C3" s="1195"/>
      <c r="D3" s="1195"/>
      <c r="E3" s="1195"/>
      <c r="F3" s="1195"/>
    </row>
    <row r="4" spans="1:43" s="47" customFormat="1" ht="15" customHeight="1" thickTop="1">
      <c r="A4" s="1194"/>
      <c r="B4" s="1175" t="s">
        <v>47</v>
      </c>
      <c r="C4" s="1175"/>
      <c r="D4" s="1175"/>
      <c r="E4" s="1175"/>
      <c r="F4" s="1175"/>
    </row>
    <row r="5" spans="1:43" s="47" customFormat="1" ht="14.85" customHeight="1">
      <c r="A5" s="1194"/>
      <c r="B5" s="1055" t="s">
        <v>48</v>
      </c>
      <c r="C5" s="1055"/>
      <c r="D5" s="1055"/>
      <c r="E5" s="1055"/>
      <c r="F5" s="1055"/>
      <c r="G5" s="1198"/>
      <c r="H5" s="1198"/>
      <c r="I5" s="1198"/>
      <c r="J5" s="1198"/>
      <c r="K5" s="1198"/>
      <c r="L5" s="1198"/>
      <c r="M5" s="1198"/>
      <c r="N5" s="1198"/>
      <c r="O5" s="1198"/>
      <c r="P5" s="1198"/>
      <c r="Q5" s="1198"/>
      <c r="R5" s="1198"/>
    </row>
    <row r="6" spans="1:43" s="47" customFormat="1" ht="14.85" customHeight="1">
      <c r="A6" s="1194"/>
      <c r="B6" s="1092" t="s">
        <v>49</v>
      </c>
      <c r="C6" s="1092"/>
      <c r="D6" s="1092"/>
      <c r="E6" s="1092"/>
      <c r="F6" s="1092"/>
      <c r="G6" s="1199"/>
      <c r="H6" s="1199"/>
      <c r="I6" s="1199"/>
      <c r="J6" s="1199"/>
      <c r="K6" s="1199"/>
      <c r="L6" s="1199"/>
      <c r="M6" s="1199"/>
      <c r="N6" s="1199"/>
      <c r="O6" s="1199"/>
      <c r="P6" s="1199"/>
      <c r="Q6" s="1199"/>
      <c r="R6" s="1199"/>
    </row>
    <row r="7" spans="1:43" s="47" customFormat="1" ht="14.85" customHeight="1">
      <c r="A7" s="1194"/>
      <c r="B7" s="1028" t="s">
        <v>50</v>
      </c>
      <c r="C7" s="1028"/>
      <c r="D7" s="1028"/>
      <c r="E7" s="1028"/>
      <c r="F7" s="1028"/>
    </row>
    <row r="8" spans="1:43" s="47" customFormat="1" ht="15.75" customHeight="1">
      <c r="A8" s="1194"/>
      <c r="B8" s="1197" t="s">
        <v>593</v>
      </c>
      <c r="C8" s="1197"/>
      <c r="D8" s="1197"/>
      <c r="E8" s="1197"/>
      <c r="F8" s="1197"/>
    </row>
    <row r="9" spans="1:43" s="47" customFormat="1" ht="15.75" customHeight="1">
      <c r="A9" s="1194"/>
      <c r="B9" s="152"/>
      <c r="C9" s="152"/>
      <c r="D9" s="152"/>
      <c r="E9" s="152"/>
      <c r="F9" s="152"/>
    </row>
    <row r="10" spans="1:43" s="47" customFormat="1" ht="14.85" customHeight="1">
      <c r="A10" s="1194"/>
      <c r="B10" s="1049" t="s">
        <v>53</v>
      </c>
      <c r="C10" s="1049"/>
      <c r="D10" s="1049"/>
      <c r="E10" s="1049"/>
      <c r="F10" s="1049"/>
      <c r="G10" s="1191" t="s">
        <v>53</v>
      </c>
      <c r="H10" s="1191"/>
      <c r="I10" s="1191"/>
      <c r="J10" s="1191"/>
      <c r="K10" s="1191"/>
      <c r="L10" s="1191"/>
      <c r="M10" s="1191"/>
      <c r="N10" s="1191"/>
      <c r="O10" s="1191"/>
      <c r="P10" s="1191"/>
      <c r="Q10" s="1191"/>
      <c r="R10" s="1191"/>
    </row>
    <row r="11" spans="1:43" s="47" customFormat="1" ht="14.85" customHeight="1">
      <c r="A11" s="1194"/>
      <c r="B11" s="1196" t="s">
        <v>54</v>
      </c>
      <c r="C11" s="1196"/>
      <c r="D11" s="1196"/>
      <c r="E11" s="1196"/>
      <c r="F11" s="1196"/>
    </row>
    <row r="12" spans="1:43" s="135" customFormat="1">
      <c r="B12" s="204"/>
      <c r="C12" s="204"/>
      <c r="D12" s="204"/>
      <c r="E12" s="204"/>
      <c r="Y12" s="204"/>
      <c r="AB12" s="204"/>
      <c r="AC12" s="204"/>
      <c r="AD12" s="204"/>
      <c r="AE12" s="204"/>
      <c r="AH12" s="204"/>
      <c r="AI12" s="204"/>
      <c r="AJ12" s="204"/>
      <c r="AK12" s="204"/>
      <c r="AN12" s="204"/>
      <c r="AO12" s="204"/>
      <c r="AP12" s="204"/>
      <c r="AQ12" s="204"/>
    </row>
    <row r="13" spans="1:43" s="135" customFormat="1">
      <c r="B13" s="204"/>
      <c r="C13" s="204"/>
      <c r="D13" s="204"/>
      <c r="E13" s="204"/>
      <c r="Y13" s="204"/>
      <c r="AB13" s="204"/>
      <c r="AC13" s="204"/>
      <c r="AD13" s="204"/>
      <c r="AE13" s="204"/>
      <c r="AH13" s="204"/>
      <c r="AI13" s="204"/>
      <c r="AJ13" s="204"/>
      <c r="AK13" s="204"/>
      <c r="AN13" s="204"/>
      <c r="AO13" s="204"/>
      <c r="AP13" s="204"/>
      <c r="AQ13" s="204"/>
    </row>
    <row r="14" spans="1:43" s="135" customFormat="1">
      <c r="B14" s="204"/>
      <c r="C14" s="204"/>
      <c r="D14" s="204"/>
      <c r="E14" s="204"/>
      <c r="Y14" s="204"/>
      <c r="AB14" s="204"/>
      <c r="AC14" s="204"/>
      <c r="AD14" s="204"/>
      <c r="AE14" s="204"/>
      <c r="AH14" s="204"/>
      <c r="AI14" s="204"/>
      <c r="AJ14" s="204"/>
      <c r="AK14" s="204"/>
      <c r="AN14" s="204"/>
      <c r="AO14" s="204"/>
      <c r="AP14" s="204"/>
      <c r="AQ14" s="204"/>
    </row>
    <row r="15" spans="1:43" s="135" customFormat="1">
      <c r="B15" s="204"/>
      <c r="C15" s="204"/>
      <c r="D15" s="204"/>
      <c r="E15" s="204"/>
      <c r="Y15" s="204"/>
      <c r="AB15" s="204"/>
      <c r="AC15" s="204"/>
      <c r="AD15" s="204"/>
      <c r="AE15" s="204"/>
      <c r="AH15" s="204"/>
      <c r="AI15" s="204"/>
      <c r="AJ15" s="204"/>
      <c r="AK15" s="204"/>
      <c r="AN15" s="204"/>
      <c r="AO15" s="204"/>
      <c r="AP15" s="204"/>
      <c r="AQ15" s="204"/>
    </row>
    <row r="16" spans="1:43" s="135" customFormat="1">
      <c r="B16" s="204"/>
      <c r="C16" s="204"/>
      <c r="D16" s="204"/>
      <c r="E16" s="204"/>
      <c r="Y16" s="204"/>
      <c r="AB16" s="204"/>
      <c r="AC16" s="204"/>
      <c r="AD16" s="204"/>
      <c r="AE16" s="204"/>
      <c r="AH16" s="204"/>
      <c r="AI16" s="204"/>
      <c r="AJ16" s="204"/>
      <c r="AK16" s="204"/>
      <c r="AN16" s="204"/>
      <c r="AO16" s="204"/>
      <c r="AP16" s="204"/>
      <c r="AQ16" s="204"/>
    </row>
    <row r="17" spans="1:43" s="135" customFormat="1">
      <c r="B17" s="204"/>
      <c r="C17" s="204"/>
      <c r="D17" s="204"/>
      <c r="E17" s="204"/>
      <c r="Y17" s="204"/>
      <c r="AB17" s="204"/>
      <c r="AC17" s="204"/>
      <c r="AD17" s="204"/>
      <c r="AE17" s="204"/>
      <c r="AH17" s="204"/>
      <c r="AI17" s="204"/>
      <c r="AJ17" s="204"/>
      <c r="AK17" s="204"/>
      <c r="AN17" s="204"/>
      <c r="AO17" s="204"/>
      <c r="AP17" s="204"/>
      <c r="AQ17" s="204"/>
    </row>
    <row r="18" spans="1:43" s="135" customFormat="1">
      <c r="B18" s="204"/>
      <c r="C18" s="204"/>
      <c r="D18" s="204"/>
      <c r="E18" s="204"/>
      <c r="Y18" s="204"/>
      <c r="AB18" s="204"/>
      <c r="AC18" s="204"/>
      <c r="AD18" s="204"/>
      <c r="AE18" s="204"/>
      <c r="AH18" s="204"/>
      <c r="AI18" s="204"/>
      <c r="AJ18" s="204"/>
      <c r="AK18" s="204"/>
      <c r="AN18" s="204"/>
      <c r="AO18" s="204"/>
      <c r="AP18" s="204"/>
      <c r="AQ18" s="204"/>
    </row>
    <row r="19" spans="1:43" s="135" customFormat="1">
      <c r="B19" s="204"/>
      <c r="C19" s="204"/>
      <c r="D19" s="204"/>
      <c r="E19" s="204"/>
      <c r="Y19" s="204"/>
      <c r="AB19" s="204"/>
      <c r="AC19" s="204"/>
      <c r="AD19" s="204"/>
      <c r="AE19" s="204"/>
      <c r="AH19" s="204"/>
      <c r="AI19" s="204"/>
      <c r="AJ19" s="204"/>
      <c r="AK19" s="204"/>
      <c r="AN19" s="204"/>
      <c r="AO19" s="204"/>
      <c r="AP19" s="204"/>
      <c r="AQ19" s="204"/>
    </row>
    <row r="20" spans="1:43" s="135" customFormat="1">
      <c r="B20" s="204"/>
      <c r="C20" s="204"/>
      <c r="D20" s="204"/>
      <c r="E20" s="204"/>
      <c r="Y20" s="204"/>
      <c r="AB20" s="204"/>
      <c r="AC20" s="204"/>
      <c r="AD20" s="204"/>
      <c r="AE20" s="204"/>
      <c r="AH20" s="204"/>
      <c r="AI20" s="204"/>
      <c r="AJ20" s="204"/>
      <c r="AK20" s="204"/>
      <c r="AN20" s="204"/>
      <c r="AO20" s="204"/>
      <c r="AP20" s="204"/>
      <c r="AQ20" s="204"/>
    </row>
    <row r="21" spans="1:43" s="135" customFormat="1">
      <c r="B21" s="204"/>
      <c r="C21" s="204"/>
      <c r="D21" s="204"/>
      <c r="E21" s="204"/>
      <c r="Y21" s="204"/>
      <c r="AB21" s="204"/>
      <c r="AC21" s="204"/>
      <c r="AD21" s="204"/>
      <c r="AE21" s="204"/>
      <c r="AH21" s="204"/>
      <c r="AI21" s="204"/>
      <c r="AJ21" s="204"/>
      <c r="AK21" s="204"/>
      <c r="AN21" s="204"/>
      <c r="AO21" s="204"/>
      <c r="AP21" s="204"/>
      <c r="AQ21" s="204"/>
    </row>
    <row r="22" spans="1:43" ht="19.350000000000001" customHeight="1">
      <c r="A22" s="135"/>
      <c r="B22" s="204"/>
      <c r="C22" s="204"/>
      <c r="D22" s="712" t="s">
        <v>594</v>
      </c>
      <c r="E22" s="721">
        <v>3</v>
      </c>
      <c r="F22" s="135"/>
      <c r="G22" s="135"/>
      <c r="H22" s="135"/>
      <c r="I22" s="135"/>
      <c r="J22" s="135"/>
      <c r="AJ22" s="204"/>
      <c r="AK22" s="204"/>
    </row>
    <row r="23" spans="1:43" s="135" customFormat="1">
      <c r="B23" s="204"/>
      <c r="C23" s="204"/>
      <c r="Y23" s="204"/>
      <c r="AB23" s="204"/>
      <c r="AC23" s="204"/>
      <c r="AD23" s="204"/>
      <c r="AE23" s="204"/>
      <c r="AH23" s="204"/>
      <c r="AI23" s="204"/>
      <c r="AJ23" s="204"/>
      <c r="AK23" s="204"/>
      <c r="AN23" s="204"/>
      <c r="AO23" s="204"/>
      <c r="AP23" s="204"/>
      <c r="AQ23" s="204"/>
    </row>
    <row r="24" spans="1:43" ht="19.5" thickBot="1">
      <c r="A24" s="135"/>
      <c r="B24" s="204"/>
      <c r="C24" s="204"/>
      <c r="D24" s="57"/>
      <c r="E24" s="1193" t="str">
        <f>HLOOKUP(E22,'Definition of Typical Day'!E13:X14,2,FALSE)</f>
        <v>Spring / fall weekend</v>
      </c>
      <c r="F24" s="1193"/>
      <c r="G24" s="1193"/>
      <c r="H24" s="1193"/>
      <c r="I24" s="1193"/>
      <c r="J24" s="1193"/>
    </row>
    <row r="25" spans="1:43" ht="12" thickTop="1">
      <c r="A25" s="135"/>
      <c r="B25" s="204"/>
      <c r="C25" s="204"/>
      <c r="D25" s="135"/>
      <c r="E25" s="57"/>
    </row>
    <row r="26" spans="1:43" ht="24" customHeight="1">
      <c r="A26" s="135"/>
      <c r="B26" s="204"/>
      <c r="C26" s="204"/>
      <c r="D26" s="713" t="s">
        <v>347</v>
      </c>
      <c r="E26" s="719" t="str">
        <f>'Calculation of Typical Day'!CH13</f>
        <v>Waste heat output DC</v>
      </c>
      <c r="F26" s="719" t="str">
        <f>'Calculation of Typical Day'!CI13</f>
        <v>Max heat demand grid</v>
      </c>
      <c r="G26" s="719" t="str">
        <f>'Calculation of Typical Day'!CJ13</f>
        <v>Heat fed into grid considering actual operation</v>
      </c>
      <c r="H26" s="719" t="str">
        <f>'Calculation of Typical Day'!CK13</f>
        <v>Waste heat input from DC actual operation</v>
      </c>
      <c r="I26" s="719" t="str">
        <f>'Calculation of Typical Day'!CL13</f>
        <v>Electricity input for heat pump actual operation</v>
      </c>
      <c r="J26" s="719" t="str">
        <f>'Calculation of Typical Day'!CM13</f>
        <v>Energy input for booster actual operation</v>
      </c>
    </row>
    <row r="27" spans="1:43" s="8" customFormat="1">
      <c r="A27" s="7"/>
      <c r="B27" s="7"/>
      <c r="C27" s="7"/>
      <c r="D27" s="618"/>
      <c r="E27" s="618" t="s">
        <v>71</v>
      </c>
      <c r="F27" s="618" t="s">
        <v>71</v>
      </c>
      <c r="G27" s="618" t="s">
        <v>71</v>
      </c>
      <c r="H27" s="618" t="s">
        <v>71</v>
      </c>
      <c r="I27" s="618" t="s">
        <v>71</v>
      </c>
      <c r="J27" s="618" t="s">
        <v>71</v>
      </c>
      <c r="K27" s="7"/>
      <c r="L27" s="7"/>
      <c r="M27" s="7"/>
      <c r="N27" s="7"/>
      <c r="O27" s="7"/>
      <c r="P27" s="7"/>
      <c r="Q27" s="7"/>
      <c r="R27" s="7"/>
      <c r="S27" s="7"/>
      <c r="T27" s="7"/>
      <c r="U27" s="7"/>
      <c r="V27" s="7"/>
      <c r="W27" s="7"/>
      <c r="X27" s="7"/>
      <c r="Y27" s="7"/>
      <c r="Z27" s="7"/>
      <c r="AA27" s="7"/>
      <c r="AB27" s="7"/>
      <c r="AC27" s="7"/>
      <c r="AD27" s="7"/>
      <c r="AE27" s="7"/>
      <c r="AF27" s="7"/>
      <c r="AG27" s="7"/>
      <c r="AH27" s="7"/>
      <c r="AI27" s="7"/>
    </row>
    <row r="28" spans="1:43">
      <c r="A28" s="135"/>
      <c r="B28" s="204"/>
      <c r="C28" s="204"/>
      <c r="D28" s="714">
        <v>1</v>
      </c>
      <c r="E28" s="715">
        <f ca="1">SUMIFS('Calculation of Typical Day'!CH$21:CH$500,'Calculation of Typical Day'!$A$21:$A$500,$E$22,'Calculation of Typical Day'!$C$21:$C$500,$D28)</f>
        <v>2</v>
      </c>
      <c r="F28" s="715">
        <f ca="1">SUMIFS('Calculation of Typical Day'!CI$21:CI$500,'Calculation of Typical Day'!$A$21:$A$500,$E$22,'Calculation of Typical Day'!$C$21:$C$500,$D28)</f>
        <v>6</v>
      </c>
      <c r="G28" s="715">
        <f ca="1">SUMIFS('Calculation of Typical Day'!CJ$21:CJ$500,'Calculation of Typical Day'!$A$21:$A$500,$E$22,'Calculation of Typical Day'!$C$21:$C$500,$D28)</f>
        <v>2.8605217906907794</v>
      </c>
      <c r="H28" s="716">
        <f ca="1">SUMIFS('Calculation of Typical Day'!CK$21:CK$500,'Calculation of Typical Day'!$A$21:$A$500,$E$22,'Calculation of Typical Day'!$C$21:$C$500,$D28)</f>
        <v>2</v>
      </c>
      <c r="I28" s="715">
        <f ca="1">SUMIFS('Calculation of Typical Day'!CL$21:CL$500,'Calculation of Typical Day'!$A$21:$A$500,$E$22,'Calculation of Typical Day'!$C$21:$C$500,$D28)</f>
        <v>0.88941595019270647</v>
      </c>
      <c r="J28" s="715">
        <f ca="1">SUMIFS('Calculation of Typical Day'!CM$21:CM$500,'Calculation of Typical Day'!$A$21:$A$500,$E$22,'Calculation of Typical Day'!$C$21:$C$500,$D28)</f>
        <v>0</v>
      </c>
    </row>
    <row r="29" spans="1:43" outlineLevel="1">
      <c r="A29" s="135"/>
      <c r="B29" s="204"/>
      <c r="C29" s="204"/>
      <c r="D29" s="714">
        <v>2</v>
      </c>
      <c r="E29" s="715">
        <f ca="1">SUMIFS('Calculation of Typical Day'!CH$21:CH$500,'Calculation of Typical Day'!$A$21:$A$500,$E$22,'Calculation of Typical Day'!$C$21:$C$500,$D29)</f>
        <v>2</v>
      </c>
      <c r="F29" s="715">
        <f ca="1">SUMIFS('Calculation of Typical Day'!CI$21:CI$500,'Calculation of Typical Day'!$A$21:$A$500,$E$22,'Calculation of Typical Day'!$C$21:$C$500,$D29)</f>
        <v>6</v>
      </c>
      <c r="G29" s="715">
        <f ca="1">SUMIFS('Calculation of Typical Day'!CJ$21:CJ$500,'Calculation of Typical Day'!$A$21:$A$500,$E$22,'Calculation of Typical Day'!$C$21:$C$500,$D29)</f>
        <v>2.8605217906907794</v>
      </c>
      <c r="H29" s="716">
        <f ca="1">SUMIFS('Calculation of Typical Day'!CK$21:CK$500,'Calculation of Typical Day'!$A$21:$A$500,$E$22,'Calculation of Typical Day'!$C$21:$C$500,$D29)</f>
        <v>2</v>
      </c>
      <c r="I29" s="715">
        <f ca="1">SUMIFS('Calculation of Typical Day'!CL$21:CL$500,'Calculation of Typical Day'!$A$21:$A$500,$E$22,'Calculation of Typical Day'!$C$21:$C$500,$D29)</f>
        <v>0.88941595019270647</v>
      </c>
      <c r="J29" s="715">
        <f ca="1">SUMIFS('Calculation of Typical Day'!CM$21:CM$500,'Calculation of Typical Day'!$A$21:$A$500,$E$22,'Calculation of Typical Day'!$C$21:$C$500,$D29)</f>
        <v>0</v>
      </c>
    </row>
    <row r="30" spans="1:43" outlineLevel="1">
      <c r="A30" s="135"/>
      <c r="B30" s="204"/>
      <c r="C30" s="204"/>
      <c r="D30" s="714">
        <v>3</v>
      </c>
      <c r="E30" s="715">
        <f ca="1">SUMIFS('Calculation of Typical Day'!CH$21:CH$500,'Calculation of Typical Day'!$A$21:$A$500,$E$22,'Calculation of Typical Day'!$C$21:$C$500,$D30)</f>
        <v>2</v>
      </c>
      <c r="F30" s="715">
        <f ca="1">SUMIFS('Calculation of Typical Day'!CI$21:CI$500,'Calculation of Typical Day'!$A$21:$A$500,$E$22,'Calculation of Typical Day'!$C$21:$C$500,$D30)</f>
        <v>6</v>
      </c>
      <c r="G30" s="715">
        <f ca="1">SUMIFS('Calculation of Typical Day'!CJ$21:CJ$500,'Calculation of Typical Day'!$A$21:$A$500,$E$22,'Calculation of Typical Day'!$C$21:$C$500,$D30)</f>
        <v>2.8605217906907794</v>
      </c>
      <c r="H30" s="716">
        <f ca="1">SUMIFS('Calculation of Typical Day'!CK$21:CK$500,'Calculation of Typical Day'!$A$21:$A$500,$E$22,'Calculation of Typical Day'!$C$21:$C$500,$D30)</f>
        <v>2</v>
      </c>
      <c r="I30" s="715">
        <f ca="1">SUMIFS('Calculation of Typical Day'!CL$21:CL$500,'Calculation of Typical Day'!$A$21:$A$500,$E$22,'Calculation of Typical Day'!$C$21:$C$500,$D30)</f>
        <v>0.88941595019270647</v>
      </c>
      <c r="J30" s="715">
        <f ca="1">SUMIFS('Calculation of Typical Day'!CM$21:CM$500,'Calculation of Typical Day'!$A$21:$A$500,$E$22,'Calculation of Typical Day'!$C$21:$C$500,$D30)</f>
        <v>0</v>
      </c>
    </row>
    <row r="31" spans="1:43" outlineLevel="1">
      <c r="A31" s="135"/>
      <c r="B31" s="204"/>
      <c r="C31" s="204"/>
      <c r="D31" s="714">
        <v>4</v>
      </c>
      <c r="E31" s="715">
        <f ca="1">SUMIFS('Calculation of Typical Day'!CH$21:CH$500,'Calculation of Typical Day'!$A$21:$A$500,$E$22,'Calculation of Typical Day'!$C$21:$C$500,$D31)</f>
        <v>2</v>
      </c>
      <c r="F31" s="715">
        <f ca="1">SUMIFS('Calculation of Typical Day'!CI$21:CI$500,'Calculation of Typical Day'!$A$21:$A$500,$E$22,'Calculation of Typical Day'!$C$21:$C$500,$D31)</f>
        <v>6</v>
      </c>
      <c r="G31" s="715">
        <f ca="1">SUMIFS('Calculation of Typical Day'!CJ$21:CJ$500,'Calculation of Typical Day'!$A$21:$A$500,$E$22,'Calculation of Typical Day'!$C$21:$C$500,$D31)</f>
        <v>2.8778234582829505</v>
      </c>
      <c r="H31" s="716">
        <f ca="1">SUMIFS('Calculation of Typical Day'!CK$21:CK$500,'Calculation of Typical Day'!$A$21:$A$500,$E$22,'Calculation of Typical Day'!$C$21:$C$500,$D31)</f>
        <v>2</v>
      </c>
      <c r="I31" s="715">
        <f ca="1">SUMIFS('Calculation of Typical Day'!CL$21:CL$500,'Calculation of Typical Day'!$A$21:$A$500,$E$22,'Calculation of Typical Day'!$C$21:$C$500,$D31)</f>
        <v>0.90689238210399015</v>
      </c>
      <c r="J31" s="715">
        <f ca="1">SUMIFS('Calculation of Typical Day'!CM$21:CM$500,'Calculation of Typical Day'!$A$21:$A$500,$E$22,'Calculation of Typical Day'!$C$21:$C$500,$D31)</f>
        <v>0</v>
      </c>
    </row>
    <row r="32" spans="1:43" outlineLevel="1">
      <c r="A32" s="135"/>
      <c r="B32" s="204"/>
      <c r="C32" s="204"/>
      <c r="D32" s="714">
        <v>5</v>
      </c>
      <c r="E32" s="715">
        <f ca="1">SUMIFS('Calculation of Typical Day'!CH$21:CH$500,'Calculation of Typical Day'!$A$21:$A$500,$E$22,'Calculation of Typical Day'!$C$21:$C$500,$D32)</f>
        <v>2</v>
      </c>
      <c r="F32" s="715">
        <f ca="1">SUMIFS('Calculation of Typical Day'!CI$21:CI$500,'Calculation of Typical Day'!$A$21:$A$500,$E$22,'Calculation of Typical Day'!$C$21:$C$500,$D32)</f>
        <v>6</v>
      </c>
      <c r="G32" s="715">
        <f ca="1">SUMIFS('Calculation of Typical Day'!CJ$21:CJ$500,'Calculation of Typical Day'!$A$21:$A$500,$E$22,'Calculation of Typical Day'!$C$21:$C$500,$D32)</f>
        <v>2.8958186864014799</v>
      </c>
      <c r="H32" s="716">
        <f ca="1">SUMIFS('Calculation of Typical Day'!CK$21:CK$500,'Calculation of Typical Day'!$A$21:$A$500,$E$22,'Calculation of Typical Day'!$C$21:$C$500,$D32)</f>
        <v>2</v>
      </c>
      <c r="I32" s="715">
        <f ca="1">SUMIFS('Calculation of Typical Day'!CL$21:CL$500,'Calculation of Typical Day'!$A$21:$A$500,$E$22,'Calculation of Typical Day'!$C$21:$C$500,$D32)</f>
        <v>0.92506938020351503</v>
      </c>
      <c r="J32" s="715">
        <f ca="1">SUMIFS('Calculation of Typical Day'!CM$21:CM$500,'Calculation of Typical Day'!$A$21:$A$500,$E$22,'Calculation of Typical Day'!$C$21:$C$500,$D32)</f>
        <v>0</v>
      </c>
    </row>
    <row r="33" spans="1:10" outlineLevel="1">
      <c r="A33" s="135"/>
      <c r="B33" s="204"/>
      <c r="C33" s="204"/>
      <c r="D33" s="714">
        <v>6</v>
      </c>
      <c r="E33" s="715">
        <f ca="1">SUMIFS('Calculation of Typical Day'!CH$21:CH$500,'Calculation of Typical Day'!$A$21:$A$500,$E$22,'Calculation of Typical Day'!$C$21:$C$500,$D33)</f>
        <v>2</v>
      </c>
      <c r="F33" s="715">
        <f ca="1">SUMIFS('Calculation of Typical Day'!CI$21:CI$500,'Calculation of Typical Day'!$A$21:$A$500,$E$22,'Calculation of Typical Day'!$C$21:$C$500,$D33)</f>
        <v>6</v>
      </c>
      <c r="G33" s="715">
        <f ca="1">SUMIFS('Calculation of Typical Day'!CJ$21:CJ$500,'Calculation of Typical Day'!$A$21:$A$500,$E$22,'Calculation of Typical Day'!$C$21:$C$500,$D33)</f>
        <v>2.8778234582829505</v>
      </c>
      <c r="H33" s="716">
        <f ca="1">SUMIFS('Calculation of Typical Day'!CK$21:CK$500,'Calculation of Typical Day'!$A$21:$A$500,$E$22,'Calculation of Typical Day'!$C$21:$C$500,$D33)</f>
        <v>2</v>
      </c>
      <c r="I33" s="715">
        <f ca="1">SUMIFS('Calculation of Typical Day'!CL$21:CL$500,'Calculation of Typical Day'!$A$21:$A$500,$E$22,'Calculation of Typical Day'!$C$21:$C$500,$D33)</f>
        <v>0.90689238210399015</v>
      </c>
      <c r="J33" s="715">
        <f ca="1">SUMIFS('Calculation of Typical Day'!CM$21:CM$500,'Calculation of Typical Day'!$A$21:$A$500,$E$22,'Calculation of Typical Day'!$C$21:$C$500,$D33)</f>
        <v>0</v>
      </c>
    </row>
    <row r="34" spans="1:10" outlineLevel="1">
      <c r="A34" s="135"/>
      <c r="B34" s="204"/>
      <c r="C34" s="204"/>
      <c r="D34" s="714">
        <v>7</v>
      </c>
      <c r="E34" s="715">
        <f ca="1">SUMIFS('Calculation of Typical Day'!CH$21:CH$500,'Calculation of Typical Day'!$A$21:$A$500,$E$22,'Calculation of Typical Day'!$C$21:$C$500,$D34)</f>
        <v>2</v>
      </c>
      <c r="F34" s="715">
        <f ca="1">SUMIFS('Calculation of Typical Day'!CI$21:CI$500,'Calculation of Typical Day'!$A$21:$A$500,$E$22,'Calculation of Typical Day'!$C$21:$C$500,$D34)</f>
        <v>6</v>
      </c>
      <c r="G34" s="715">
        <f ca="1">SUMIFS('Calculation of Typical Day'!CJ$21:CJ$500,'Calculation of Typical Day'!$A$21:$A$500,$E$22,'Calculation of Typical Day'!$C$21:$C$500,$D34)</f>
        <v>2.8778234582829505</v>
      </c>
      <c r="H34" s="716">
        <f ca="1">SUMIFS('Calculation of Typical Day'!CK$21:CK$500,'Calculation of Typical Day'!$A$21:$A$500,$E$22,'Calculation of Typical Day'!$C$21:$C$500,$D34)</f>
        <v>2</v>
      </c>
      <c r="I34" s="715">
        <f ca="1">SUMIFS('Calculation of Typical Day'!CL$21:CL$500,'Calculation of Typical Day'!$A$21:$A$500,$E$22,'Calculation of Typical Day'!$C$21:$C$500,$D34)</f>
        <v>0.90689238210399015</v>
      </c>
      <c r="J34" s="715">
        <f ca="1">SUMIFS('Calculation of Typical Day'!CM$21:CM$500,'Calculation of Typical Day'!$A$21:$A$500,$E$22,'Calculation of Typical Day'!$C$21:$C$500,$D34)</f>
        <v>0</v>
      </c>
    </row>
    <row r="35" spans="1:10" outlineLevel="1">
      <c r="A35" s="135"/>
      <c r="B35" s="204"/>
      <c r="C35" s="204"/>
      <c r="D35" s="714">
        <v>8</v>
      </c>
      <c r="E35" s="715">
        <f ca="1">SUMIFS('Calculation of Typical Day'!CH$21:CH$500,'Calculation of Typical Day'!$A$21:$A$500,$E$22,'Calculation of Typical Day'!$C$21:$C$500,$D35)</f>
        <v>2</v>
      </c>
      <c r="F35" s="715">
        <f ca="1">SUMIFS('Calculation of Typical Day'!CI$21:CI$500,'Calculation of Typical Day'!$A$21:$A$500,$E$22,'Calculation of Typical Day'!$C$21:$C$500,$D35)</f>
        <v>6</v>
      </c>
      <c r="G35" s="715">
        <f ca="1">SUMIFS('Calculation of Typical Day'!CJ$21:CJ$500,'Calculation of Typical Day'!$A$21:$A$500,$E$22,'Calculation of Typical Day'!$C$21:$C$500,$D35)</f>
        <v>2.8605217906907794</v>
      </c>
      <c r="H35" s="716">
        <f ca="1">SUMIFS('Calculation of Typical Day'!CK$21:CK$500,'Calculation of Typical Day'!$A$21:$A$500,$E$22,'Calculation of Typical Day'!$C$21:$C$500,$D35)</f>
        <v>2</v>
      </c>
      <c r="I35" s="715">
        <f ca="1">SUMIFS('Calculation of Typical Day'!CL$21:CL$500,'Calculation of Typical Day'!$A$21:$A$500,$E$22,'Calculation of Typical Day'!$C$21:$C$500,$D35)</f>
        <v>0.88941595019270647</v>
      </c>
      <c r="J35" s="715">
        <f ca="1">SUMIFS('Calculation of Typical Day'!CM$21:CM$500,'Calculation of Typical Day'!$A$21:$A$500,$E$22,'Calculation of Typical Day'!$C$21:$C$500,$D35)</f>
        <v>0</v>
      </c>
    </row>
    <row r="36" spans="1:10" outlineLevel="1">
      <c r="A36" s="135"/>
      <c r="B36" s="204"/>
      <c r="C36" s="204"/>
      <c r="D36" s="714">
        <v>9</v>
      </c>
      <c r="E36" s="715">
        <f ca="1">SUMIFS('Calculation of Typical Day'!CH$21:CH$500,'Calculation of Typical Day'!$A$21:$A$500,$E$22,'Calculation of Typical Day'!$C$21:$C$500,$D36)</f>
        <v>2</v>
      </c>
      <c r="F36" s="715">
        <f ca="1">SUMIFS('Calculation of Typical Day'!CI$21:CI$500,'Calculation of Typical Day'!$A$21:$A$500,$E$22,'Calculation of Typical Day'!$C$21:$C$500,$D36)</f>
        <v>6</v>
      </c>
      <c r="G36" s="715">
        <f ca="1">SUMIFS('Calculation of Typical Day'!CJ$21:CJ$500,'Calculation of Typical Day'!$A$21:$A$500,$E$22,'Calculation of Typical Day'!$C$21:$C$500,$D36)</f>
        <v>2.8438743455497382</v>
      </c>
      <c r="H36" s="716">
        <f ca="1">SUMIFS('Calculation of Typical Day'!CK$21:CK$500,'Calculation of Typical Day'!$A$21:$A$500,$E$22,'Calculation of Typical Day'!$C$21:$C$500,$D36)</f>
        <v>2.0000000000000004</v>
      </c>
      <c r="I36" s="715">
        <f ca="1">SUMIFS('Calculation of Typical Day'!CL$21:CL$500,'Calculation of Typical Day'!$A$21:$A$500,$E$22,'Calculation of Typical Day'!$C$21:$C$500,$D36)</f>
        <v>0.87260034904013961</v>
      </c>
      <c r="J36" s="715">
        <f ca="1">SUMIFS('Calculation of Typical Day'!CM$21:CM$500,'Calculation of Typical Day'!$A$21:$A$500,$E$22,'Calculation of Typical Day'!$C$21:$C$500,$D36)</f>
        <v>0</v>
      </c>
    </row>
    <row r="37" spans="1:10" outlineLevel="1">
      <c r="A37" s="135"/>
      <c r="B37" s="204"/>
      <c r="C37" s="204"/>
      <c r="D37" s="714">
        <v>10</v>
      </c>
      <c r="E37" s="715">
        <f ca="1">SUMIFS('Calculation of Typical Day'!CH$21:CH$500,'Calculation of Typical Day'!$A$21:$A$500,$E$22,'Calculation of Typical Day'!$C$21:$C$500,$D37)</f>
        <v>2</v>
      </c>
      <c r="F37" s="715">
        <f ca="1">SUMIFS('Calculation of Typical Day'!CI$21:CI$500,'Calculation of Typical Day'!$A$21:$A$500,$E$22,'Calculation of Typical Day'!$C$21:$C$500,$D37)</f>
        <v>6</v>
      </c>
      <c r="G37" s="715">
        <f ca="1">SUMIFS('Calculation of Typical Day'!CJ$21:CJ$500,'Calculation of Typical Day'!$A$21:$A$500,$E$22,'Calculation of Typical Day'!$C$21:$C$500,$D37)</f>
        <v>2.8278447045389665</v>
      </c>
      <c r="H37" s="716">
        <f ca="1">SUMIFS('Calculation of Typical Day'!CK$21:CK$500,'Calculation of Typical Day'!$A$21:$A$500,$E$22,'Calculation of Typical Day'!$C$21:$C$500,$D37)</f>
        <v>2</v>
      </c>
      <c r="I37" s="715">
        <f ca="1">SUMIFS('Calculation of Typical Day'!CL$21:CL$500,'Calculation of Typical Day'!$A$21:$A$500,$E$22,'Calculation of Typical Day'!$C$21:$C$500,$D37)</f>
        <v>0.85640879246360235</v>
      </c>
      <c r="J37" s="715">
        <f ca="1">SUMIFS('Calculation of Typical Day'!CM$21:CM$500,'Calculation of Typical Day'!$A$21:$A$500,$E$22,'Calculation of Typical Day'!$C$21:$C$500,$D37)</f>
        <v>0</v>
      </c>
    </row>
    <row r="38" spans="1:10" outlineLevel="1">
      <c r="A38" s="135"/>
      <c r="B38" s="204"/>
      <c r="C38" s="204"/>
      <c r="D38" s="714">
        <v>11</v>
      </c>
      <c r="E38" s="715">
        <f ca="1">SUMIFS('Calculation of Typical Day'!CH$21:CH$500,'Calculation of Typical Day'!$A$21:$A$500,$E$22,'Calculation of Typical Day'!$C$21:$C$500,$D38)</f>
        <v>2</v>
      </c>
      <c r="F38" s="715">
        <f ca="1">SUMIFS('Calculation of Typical Day'!CI$21:CI$500,'Calculation of Typical Day'!$A$21:$A$500,$E$22,'Calculation of Typical Day'!$C$21:$C$500,$D38)</f>
        <v>6</v>
      </c>
      <c r="G38" s="715">
        <f ca="1">SUMIFS('Calculation of Typical Day'!CJ$21:CJ$500,'Calculation of Typical Day'!$A$21:$A$500,$E$22,'Calculation of Typical Day'!$C$21:$C$500,$D38)</f>
        <v>2.812399103139013</v>
      </c>
      <c r="H38" s="716">
        <f ca="1">SUMIFS('Calculation of Typical Day'!CK$21:CK$500,'Calculation of Typical Day'!$A$21:$A$500,$E$22,'Calculation of Typical Day'!$C$21:$C$500,$D38)</f>
        <v>2</v>
      </c>
      <c r="I38" s="715">
        <f ca="1">SUMIFS('Calculation of Typical Day'!CL$21:CL$500,'Calculation of Typical Day'!$A$21:$A$500,$E$22,'Calculation of Typical Day'!$C$21:$C$500,$D38)</f>
        <v>0.84080717488789203</v>
      </c>
      <c r="J38" s="715">
        <f ca="1">SUMIFS('Calculation of Typical Day'!CM$21:CM$500,'Calculation of Typical Day'!$A$21:$A$500,$E$22,'Calculation of Typical Day'!$C$21:$C$500,$D38)</f>
        <v>0</v>
      </c>
    </row>
    <row r="39" spans="1:10" outlineLevel="1">
      <c r="A39" s="135"/>
      <c r="B39" s="204"/>
      <c r="C39" s="204"/>
      <c r="D39" s="714">
        <v>12</v>
      </c>
      <c r="E39" s="715">
        <f ca="1">SUMIFS('Calculation of Typical Day'!CH$21:CH$500,'Calculation of Typical Day'!$A$21:$A$500,$E$22,'Calculation of Typical Day'!$C$21:$C$500,$D39)</f>
        <v>2</v>
      </c>
      <c r="F39" s="715">
        <f ca="1">SUMIFS('Calculation of Typical Day'!CI$21:CI$500,'Calculation of Typical Day'!$A$21:$A$500,$E$22,'Calculation of Typical Day'!$C$21:$C$500,$D39)</f>
        <v>6</v>
      </c>
      <c r="G39" s="715">
        <f ca="1">SUMIFS('Calculation of Typical Day'!CJ$21:CJ$500,'Calculation of Typical Day'!$A$21:$A$500,$E$22,'Calculation of Typical Day'!$C$21:$C$500,$D39)</f>
        <v>2.7975061932287364</v>
      </c>
      <c r="H39" s="716">
        <f ca="1">SUMIFS('Calculation of Typical Day'!CK$21:CK$500,'Calculation of Typical Day'!$A$21:$A$500,$E$22,'Calculation of Typical Day'!$C$21:$C$500,$D39)</f>
        <v>2</v>
      </c>
      <c r="I39" s="715">
        <f ca="1">SUMIFS('Calculation of Typical Day'!CL$21:CL$500,'Calculation of Typical Day'!$A$21:$A$500,$E$22,'Calculation of Typical Day'!$C$21:$C$500,$D39)</f>
        <v>0.82576383154417832</v>
      </c>
      <c r="J39" s="715">
        <f ca="1">SUMIFS('Calculation of Typical Day'!CM$21:CM$500,'Calculation of Typical Day'!$A$21:$A$500,$E$22,'Calculation of Typical Day'!$C$21:$C$500,$D39)</f>
        <v>0</v>
      </c>
    </row>
    <row r="40" spans="1:10" outlineLevel="1">
      <c r="A40" s="135"/>
      <c r="B40" s="204"/>
      <c r="C40" s="204"/>
      <c r="D40" s="714">
        <v>13</v>
      </c>
      <c r="E40" s="715">
        <f ca="1">SUMIFS('Calculation of Typical Day'!CH$21:CH$500,'Calculation of Typical Day'!$A$21:$A$500,$E$22,'Calculation of Typical Day'!$C$21:$C$500,$D40)</f>
        <v>2</v>
      </c>
      <c r="F40" s="715">
        <f ca="1">SUMIFS('Calculation of Typical Day'!CI$21:CI$500,'Calculation of Typical Day'!$A$21:$A$500,$E$22,'Calculation of Typical Day'!$C$21:$C$500,$D40)</f>
        <v>6</v>
      </c>
      <c r="G40" s="715">
        <f ca="1">SUMIFS('Calculation of Typical Day'!CJ$21:CJ$500,'Calculation of Typical Day'!$A$21:$A$500,$E$22,'Calculation of Typical Day'!$C$21:$C$500,$D40)</f>
        <v>2.7831368307193074</v>
      </c>
      <c r="H40" s="716">
        <f ca="1">SUMIFS('Calculation of Typical Day'!CK$21:CK$500,'Calculation of Typical Day'!$A$21:$A$500,$E$22,'Calculation of Typical Day'!$C$21:$C$500,$D40)</f>
        <v>2</v>
      </c>
      <c r="I40" s="715">
        <f ca="1">SUMIFS('Calculation of Typical Day'!CL$21:CL$500,'Calculation of Typical Day'!$A$21:$A$500,$E$22,'Calculation of Typical Day'!$C$21:$C$500,$D40)</f>
        <v>0.81124932395889626</v>
      </c>
      <c r="J40" s="715">
        <f ca="1">SUMIFS('Calculation of Typical Day'!CM$21:CM$500,'Calculation of Typical Day'!$A$21:$A$500,$E$22,'Calculation of Typical Day'!$C$21:$C$500,$D40)</f>
        <v>0</v>
      </c>
    </row>
    <row r="41" spans="1:10" outlineLevel="1">
      <c r="A41" s="135"/>
      <c r="B41" s="204"/>
      <c r="C41" s="204"/>
      <c r="D41" s="714">
        <v>14</v>
      </c>
      <c r="E41" s="715">
        <f ca="1">SUMIFS('Calculation of Typical Day'!CH$21:CH$500,'Calculation of Typical Day'!$A$21:$A$500,$E$22,'Calculation of Typical Day'!$C$21:$C$500,$D41)</f>
        <v>2</v>
      </c>
      <c r="F41" s="715">
        <f ca="1">SUMIFS('Calculation of Typical Day'!CI$21:CI$500,'Calculation of Typical Day'!$A$21:$A$500,$E$22,'Calculation of Typical Day'!$C$21:$C$500,$D41)</f>
        <v>6</v>
      </c>
      <c r="G41" s="715">
        <f ca="1">SUMIFS('Calculation of Typical Day'!CJ$21:CJ$500,'Calculation of Typical Day'!$A$21:$A$500,$E$22,'Calculation of Typical Day'!$C$21:$C$500,$D41)</f>
        <v>2.7692638851979798</v>
      </c>
      <c r="H41" s="716">
        <f ca="1">SUMIFS('Calculation of Typical Day'!CK$21:CK$500,'Calculation of Typical Day'!$A$21:$A$500,$E$22,'Calculation of Typical Day'!$C$21:$C$500,$D41)</f>
        <v>2</v>
      </c>
      <c r="I41" s="715">
        <f ca="1">SUMIFS('Calculation of Typical Day'!CL$21:CL$500,'Calculation of Typical Day'!$A$21:$A$500,$E$22,'Calculation of Typical Day'!$C$21:$C$500,$D41)</f>
        <v>0.79723624767472723</v>
      </c>
      <c r="J41" s="715">
        <f ca="1">SUMIFS('Calculation of Typical Day'!CM$21:CM$500,'Calculation of Typical Day'!$A$21:$A$500,$E$22,'Calculation of Typical Day'!$C$21:$C$500,$D41)</f>
        <v>0</v>
      </c>
    </row>
    <row r="42" spans="1:10" outlineLevel="1">
      <c r="A42" s="135"/>
      <c r="B42" s="204"/>
      <c r="C42" s="204"/>
      <c r="D42" s="714">
        <v>15</v>
      </c>
      <c r="E42" s="715">
        <f ca="1">SUMIFS('Calculation of Typical Day'!CH$21:CH$500,'Calculation of Typical Day'!$A$21:$A$500,$E$22,'Calculation of Typical Day'!$C$21:$C$500,$D42)</f>
        <v>2</v>
      </c>
      <c r="F42" s="715">
        <f ca="1">SUMIFS('Calculation of Typical Day'!CI$21:CI$500,'Calculation of Typical Day'!$A$21:$A$500,$E$22,'Calculation of Typical Day'!$C$21:$C$500,$D42)</f>
        <v>6</v>
      </c>
      <c r="G42" s="715">
        <f ca="1">SUMIFS('Calculation of Typical Day'!CJ$21:CJ$500,'Calculation of Typical Day'!$A$21:$A$500,$E$22,'Calculation of Typical Day'!$C$21:$C$500,$D42)</f>
        <v>2.7692638851979798</v>
      </c>
      <c r="H42" s="716">
        <f ca="1">SUMIFS('Calculation of Typical Day'!CK$21:CK$500,'Calculation of Typical Day'!$A$21:$A$500,$E$22,'Calculation of Typical Day'!$C$21:$C$500,$D42)</f>
        <v>2</v>
      </c>
      <c r="I42" s="715">
        <f ca="1">SUMIFS('Calculation of Typical Day'!CL$21:CL$500,'Calculation of Typical Day'!$A$21:$A$500,$E$22,'Calculation of Typical Day'!$C$21:$C$500,$D42)</f>
        <v>0.79723624767472723</v>
      </c>
      <c r="J42" s="715">
        <f ca="1">SUMIFS('Calculation of Typical Day'!CM$21:CM$500,'Calculation of Typical Day'!$A$21:$A$500,$E$22,'Calculation of Typical Day'!$C$21:$C$500,$D42)</f>
        <v>0</v>
      </c>
    </row>
    <row r="43" spans="1:10" outlineLevel="1">
      <c r="A43" s="135"/>
      <c r="B43" s="204"/>
      <c r="C43" s="204"/>
      <c r="D43" s="714">
        <v>16</v>
      </c>
      <c r="E43" s="715">
        <f ca="1">SUMIFS('Calculation of Typical Day'!CH$21:CH$500,'Calculation of Typical Day'!$A$21:$A$500,$E$22,'Calculation of Typical Day'!$C$21:$C$500,$D43)</f>
        <v>2</v>
      </c>
      <c r="F43" s="715">
        <f ca="1">SUMIFS('Calculation of Typical Day'!CI$21:CI$500,'Calculation of Typical Day'!$A$21:$A$500,$E$22,'Calculation of Typical Day'!$C$21:$C$500,$D43)</f>
        <v>6</v>
      </c>
      <c r="G43" s="715">
        <f ca="1">SUMIFS('Calculation of Typical Day'!CJ$21:CJ$500,'Calculation of Typical Day'!$A$21:$A$500,$E$22,'Calculation of Typical Day'!$C$21:$C$500,$D43)</f>
        <v>2.7558620689655173</v>
      </c>
      <c r="H43" s="716">
        <f ca="1">SUMIFS('Calculation of Typical Day'!CK$21:CK$500,'Calculation of Typical Day'!$A$21:$A$500,$E$22,'Calculation of Typical Day'!$C$21:$C$500,$D43)</f>
        <v>2</v>
      </c>
      <c r="I43" s="715">
        <f ca="1">SUMIFS('Calculation of Typical Day'!CL$21:CL$500,'Calculation of Typical Day'!$A$21:$A$500,$E$22,'Calculation of Typical Day'!$C$21:$C$500,$D43)</f>
        <v>0.78369905956112851</v>
      </c>
      <c r="J43" s="715">
        <f ca="1">SUMIFS('Calculation of Typical Day'!CM$21:CM$500,'Calculation of Typical Day'!$A$21:$A$500,$E$22,'Calculation of Typical Day'!$C$21:$C$500,$D43)</f>
        <v>0</v>
      </c>
    </row>
    <row r="44" spans="1:10" outlineLevel="1">
      <c r="A44" s="135"/>
      <c r="B44" s="204"/>
      <c r="C44" s="204"/>
      <c r="D44" s="714">
        <v>17</v>
      </c>
      <c r="E44" s="715">
        <f ca="1">SUMIFS('Calculation of Typical Day'!CH$21:CH$500,'Calculation of Typical Day'!$A$21:$A$500,$E$22,'Calculation of Typical Day'!$C$21:$C$500,$D44)</f>
        <v>2</v>
      </c>
      <c r="F44" s="715">
        <f ca="1">SUMIFS('Calculation of Typical Day'!CI$21:CI$500,'Calculation of Typical Day'!$A$21:$A$500,$E$22,'Calculation of Typical Day'!$C$21:$C$500,$D44)</f>
        <v>6</v>
      </c>
      <c r="G44" s="715">
        <f ca="1">SUMIFS('Calculation of Typical Day'!CJ$21:CJ$500,'Calculation of Typical Day'!$A$21:$A$500,$E$22,'Calculation of Typical Day'!$C$21:$C$500,$D44)</f>
        <v>2.7692638851979798</v>
      </c>
      <c r="H44" s="716">
        <f ca="1">SUMIFS('Calculation of Typical Day'!CK$21:CK$500,'Calculation of Typical Day'!$A$21:$A$500,$E$22,'Calculation of Typical Day'!$C$21:$C$500,$D44)</f>
        <v>2</v>
      </c>
      <c r="I44" s="715">
        <f ca="1">SUMIFS('Calculation of Typical Day'!CL$21:CL$500,'Calculation of Typical Day'!$A$21:$A$500,$E$22,'Calculation of Typical Day'!$C$21:$C$500,$D44)</f>
        <v>0.79723624767472723</v>
      </c>
      <c r="J44" s="715">
        <f ca="1">SUMIFS('Calculation of Typical Day'!CM$21:CM$500,'Calculation of Typical Day'!$A$21:$A$500,$E$22,'Calculation of Typical Day'!$C$21:$C$500,$D44)</f>
        <v>0</v>
      </c>
    </row>
    <row r="45" spans="1:10" outlineLevel="1">
      <c r="A45" s="135"/>
      <c r="B45" s="204"/>
      <c r="C45" s="204"/>
      <c r="D45" s="714">
        <v>18</v>
      </c>
      <c r="E45" s="715">
        <f ca="1">SUMIFS('Calculation of Typical Day'!CH$21:CH$500,'Calculation of Typical Day'!$A$21:$A$500,$E$22,'Calculation of Typical Day'!$C$21:$C$500,$D45)</f>
        <v>2</v>
      </c>
      <c r="F45" s="715">
        <f ca="1">SUMIFS('Calculation of Typical Day'!CI$21:CI$500,'Calculation of Typical Day'!$A$21:$A$500,$E$22,'Calculation of Typical Day'!$C$21:$C$500,$D45)</f>
        <v>6</v>
      </c>
      <c r="G45" s="715">
        <f ca="1">SUMIFS('Calculation of Typical Day'!CJ$21:CJ$500,'Calculation of Typical Day'!$A$21:$A$500,$E$22,'Calculation of Typical Day'!$C$21:$C$500,$D45)</f>
        <v>2.7831368307193074</v>
      </c>
      <c r="H45" s="716">
        <f ca="1">SUMIFS('Calculation of Typical Day'!CK$21:CK$500,'Calculation of Typical Day'!$A$21:$A$500,$E$22,'Calculation of Typical Day'!$C$21:$C$500,$D45)</f>
        <v>2</v>
      </c>
      <c r="I45" s="715">
        <f ca="1">SUMIFS('Calculation of Typical Day'!CL$21:CL$500,'Calculation of Typical Day'!$A$21:$A$500,$E$22,'Calculation of Typical Day'!$C$21:$C$500,$D45)</f>
        <v>0.81124932395889626</v>
      </c>
      <c r="J45" s="715">
        <f ca="1">SUMIFS('Calculation of Typical Day'!CM$21:CM$500,'Calculation of Typical Day'!$A$21:$A$500,$E$22,'Calculation of Typical Day'!$C$21:$C$500,$D45)</f>
        <v>0</v>
      </c>
    </row>
    <row r="46" spans="1:10" outlineLevel="1">
      <c r="A46" s="135"/>
      <c r="B46" s="204"/>
      <c r="C46" s="204"/>
      <c r="D46" s="714">
        <v>19</v>
      </c>
      <c r="E46" s="715">
        <f ca="1">SUMIFS('Calculation of Typical Day'!CH$21:CH$500,'Calculation of Typical Day'!$A$21:$A$500,$E$22,'Calculation of Typical Day'!$C$21:$C$500,$D46)</f>
        <v>2</v>
      </c>
      <c r="F46" s="715">
        <f ca="1">SUMIFS('Calculation of Typical Day'!CI$21:CI$500,'Calculation of Typical Day'!$A$21:$A$500,$E$22,'Calculation of Typical Day'!$C$21:$C$500,$D46)</f>
        <v>6</v>
      </c>
      <c r="G46" s="715">
        <f ca="1">SUMIFS('Calculation of Typical Day'!CJ$21:CJ$500,'Calculation of Typical Day'!$A$21:$A$500,$E$22,'Calculation of Typical Day'!$C$21:$C$500,$D46)</f>
        <v>2.7975061932287364</v>
      </c>
      <c r="H46" s="716">
        <f ca="1">SUMIFS('Calculation of Typical Day'!CK$21:CK$500,'Calculation of Typical Day'!$A$21:$A$500,$E$22,'Calculation of Typical Day'!$C$21:$C$500,$D46)</f>
        <v>2</v>
      </c>
      <c r="I46" s="715">
        <f ca="1">SUMIFS('Calculation of Typical Day'!CL$21:CL$500,'Calculation of Typical Day'!$A$21:$A$500,$E$22,'Calculation of Typical Day'!$C$21:$C$500,$D46)</f>
        <v>0.82576383154417832</v>
      </c>
      <c r="J46" s="715">
        <f ca="1">SUMIFS('Calculation of Typical Day'!CM$21:CM$500,'Calculation of Typical Day'!$A$21:$A$500,$E$22,'Calculation of Typical Day'!$C$21:$C$500,$D46)</f>
        <v>0</v>
      </c>
    </row>
    <row r="47" spans="1:10" outlineLevel="1">
      <c r="A47" s="135"/>
      <c r="B47" s="204"/>
      <c r="C47" s="204"/>
      <c r="D47" s="714">
        <v>20</v>
      </c>
      <c r="E47" s="715">
        <f ca="1">SUMIFS('Calculation of Typical Day'!CH$21:CH$500,'Calculation of Typical Day'!$A$21:$A$500,$E$22,'Calculation of Typical Day'!$C$21:$C$500,$D47)</f>
        <v>2</v>
      </c>
      <c r="F47" s="715">
        <f ca="1">SUMIFS('Calculation of Typical Day'!CI$21:CI$500,'Calculation of Typical Day'!$A$21:$A$500,$E$22,'Calculation of Typical Day'!$C$21:$C$500,$D47)</f>
        <v>6</v>
      </c>
      <c r="G47" s="715">
        <f ca="1">SUMIFS('Calculation of Typical Day'!CJ$21:CJ$500,'Calculation of Typical Day'!$A$21:$A$500,$E$22,'Calculation of Typical Day'!$C$21:$C$500,$D47)</f>
        <v>2.812399103139013</v>
      </c>
      <c r="H47" s="716">
        <f ca="1">SUMIFS('Calculation of Typical Day'!CK$21:CK$500,'Calculation of Typical Day'!$A$21:$A$500,$E$22,'Calculation of Typical Day'!$C$21:$C$500,$D47)</f>
        <v>2</v>
      </c>
      <c r="I47" s="715">
        <f ca="1">SUMIFS('Calculation of Typical Day'!CL$21:CL$500,'Calculation of Typical Day'!$A$21:$A$500,$E$22,'Calculation of Typical Day'!$C$21:$C$500,$D47)</f>
        <v>0.84080717488789203</v>
      </c>
      <c r="J47" s="715">
        <f ca="1">SUMIFS('Calculation of Typical Day'!CM$21:CM$500,'Calculation of Typical Day'!$A$21:$A$500,$E$22,'Calculation of Typical Day'!$C$21:$C$500,$D47)</f>
        <v>0</v>
      </c>
    </row>
    <row r="48" spans="1:10" outlineLevel="1">
      <c r="A48" s="135"/>
      <c r="B48" s="204"/>
      <c r="C48" s="204"/>
      <c r="D48" s="714">
        <v>21</v>
      </c>
      <c r="E48" s="715">
        <f ca="1">SUMIFS('Calculation of Typical Day'!CH$21:CH$500,'Calculation of Typical Day'!$A$21:$A$500,$E$22,'Calculation of Typical Day'!$C$21:$C$500,$D48)</f>
        <v>2</v>
      </c>
      <c r="F48" s="715">
        <f ca="1">SUMIFS('Calculation of Typical Day'!CI$21:CI$500,'Calculation of Typical Day'!$A$21:$A$500,$E$22,'Calculation of Typical Day'!$C$21:$C$500,$D48)</f>
        <v>6</v>
      </c>
      <c r="G48" s="715">
        <f ca="1">SUMIFS('Calculation of Typical Day'!CJ$21:CJ$500,'Calculation of Typical Day'!$A$21:$A$500,$E$22,'Calculation of Typical Day'!$C$21:$C$500,$D48)</f>
        <v>2.8278447045389665</v>
      </c>
      <c r="H48" s="716">
        <f ca="1">SUMIFS('Calculation of Typical Day'!CK$21:CK$500,'Calculation of Typical Day'!$A$21:$A$500,$E$22,'Calculation of Typical Day'!$C$21:$C$500,$D48)</f>
        <v>2</v>
      </c>
      <c r="I48" s="715">
        <f ca="1">SUMIFS('Calculation of Typical Day'!CL$21:CL$500,'Calculation of Typical Day'!$A$21:$A$500,$E$22,'Calculation of Typical Day'!$C$21:$C$500,$D48)</f>
        <v>0.85640879246360235</v>
      </c>
      <c r="J48" s="715">
        <f ca="1">SUMIFS('Calculation of Typical Day'!CM$21:CM$500,'Calculation of Typical Day'!$A$21:$A$500,$E$22,'Calculation of Typical Day'!$C$21:$C$500,$D48)</f>
        <v>0</v>
      </c>
    </row>
    <row r="49" spans="1:43" outlineLevel="1">
      <c r="A49" s="135"/>
      <c r="B49" s="204"/>
      <c r="C49" s="204"/>
      <c r="D49" s="714">
        <v>22</v>
      </c>
      <c r="E49" s="715">
        <f ca="1">SUMIFS('Calculation of Typical Day'!CH$21:CH$500,'Calculation of Typical Day'!$A$21:$A$500,$E$22,'Calculation of Typical Day'!$C$21:$C$500,$D49)</f>
        <v>2</v>
      </c>
      <c r="F49" s="715">
        <f ca="1">SUMIFS('Calculation of Typical Day'!CI$21:CI$500,'Calculation of Typical Day'!$A$21:$A$500,$E$22,'Calculation of Typical Day'!$C$21:$C$500,$D49)</f>
        <v>6</v>
      </c>
      <c r="G49" s="715">
        <f ca="1">SUMIFS('Calculation of Typical Day'!CJ$21:CJ$500,'Calculation of Typical Day'!$A$21:$A$500,$E$22,'Calculation of Typical Day'!$C$21:$C$500,$D49)</f>
        <v>2.8438743455497377</v>
      </c>
      <c r="H49" s="716">
        <f ca="1">SUMIFS('Calculation of Typical Day'!CK$21:CK$500,'Calculation of Typical Day'!$A$21:$A$500,$E$22,'Calculation of Typical Day'!$C$21:$C$500,$D49)</f>
        <v>2</v>
      </c>
      <c r="I49" s="715">
        <f ca="1">SUMIFS('Calculation of Typical Day'!CL$21:CL$500,'Calculation of Typical Day'!$A$21:$A$500,$E$22,'Calculation of Typical Day'!$C$21:$C$500,$D49)</f>
        <v>0.87260034904013928</v>
      </c>
      <c r="J49" s="715">
        <f ca="1">SUMIFS('Calculation of Typical Day'!CM$21:CM$500,'Calculation of Typical Day'!$A$21:$A$500,$E$22,'Calculation of Typical Day'!$C$21:$C$500,$D49)</f>
        <v>0</v>
      </c>
    </row>
    <row r="50" spans="1:43" outlineLevel="1">
      <c r="A50" s="135"/>
      <c r="B50" s="204"/>
      <c r="C50" s="204"/>
      <c r="D50" s="714">
        <v>23</v>
      </c>
      <c r="E50" s="715">
        <f ca="1">SUMIFS('Calculation of Typical Day'!CH$21:CH$500,'Calculation of Typical Day'!$A$21:$A$500,$E$22,'Calculation of Typical Day'!$C$21:$C$500,$D50)</f>
        <v>2</v>
      </c>
      <c r="F50" s="715">
        <f ca="1">SUMIFS('Calculation of Typical Day'!CI$21:CI$500,'Calculation of Typical Day'!$A$21:$A$500,$E$22,'Calculation of Typical Day'!$C$21:$C$500,$D50)</f>
        <v>6</v>
      </c>
      <c r="G50" s="715">
        <f ca="1">SUMIFS('Calculation of Typical Day'!CJ$21:CJ$500,'Calculation of Typical Day'!$A$21:$A$500,$E$22,'Calculation of Typical Day'!$C$21:$C$500,$D50)</f>
        <v>2.8438743455497377</v>
      </c>
      <c r="H50" s="716">
        <f ca="1">SUMIFS('Calculation of Typical Day'!CK$21:CK$500,'Calculation of Typical Day'!$A$21:$A$500,$E$22,'Calculation of Typical Day'!$C$21:$C$500,$D50)</f>
        <v>2</v>
      </c>
      <c r="I50" s="715">
        <f ca="1">SUMIFS('Calculation of Typical Day'!CL$21:CL$500,'Calculation of Typical Day'!$A$21:$A$500,$E$22,'Calculation of Typical Day'!$C$21:$C$500,$D50)</f>
        <v>0.87260034904013928</v>
      </c>
      <c r="J50" s="715">
        <f ca="1">SUMIFS('Calculation of Typical Day'!CM$21:CM$500,'Calculation of Typical Day'!$A$21:$A$500,$E$22,'Calculation of Typical Day'!$C$21:$C$500,$D50)</f>
        <v>0</v>
      </c>
    </row>
    <row r="51" spans="1:43" outlineLevel="1">
      <c r="A51" s="135"/>
      <c r="B51" s="204"/>
      <c r="C51" s="204"/>
      <c r="D51" s="714">
        <v>24</v>
      </c>
      <c r="E51" s="715">
        <f ca="1">SUMIFS('Calculation of Typical Day'!CH$21:CH$500,'Calculation of Typical Day'!$A$21:$A$500,$E$22,'Calculation of Typical Day'!$C$21:$C$500,$D51)</f>
        <v>2</v>
      </c>
      <c r="F51" s="715">
        <f ca="1">SUMIFS('Calculation of Typical Day'!CI$21:CI$500,'Calculation of Typical Day'!$A$21:$A$500,$E$22,'Calculation of Typical Day'!$C$21:$C$500,$D51)</f>
        <v>6</v>
      </c>
      <c r="G51" s="715">
        <f ca="1">SUMIFS('Calculation of Typical Day'!CJ$21:CJ$500,'Calculation of Typical Day'!$A$21:$A$500,$E$22,'Calculation of Typical Day'!$C$21:$C$500,$D51)</f>
        <v>2.8605217906907794</v>
      </c>
      <c r="H51" s="716">
        <f ca="1">SUMIFS('Calculation of Typical Day'!CK$21:CK$500,'Calculation of Typical Day'!$A$21:$A$500,$E$22,'Calculation of Typical Day'!$C$21:$C$500,$D51)</f>
        <v>2</v>
      </c>
      <c r="I51" s="715">
        <f ca="1">SUMIFS('Calculation of Typical Day'!CL$21:CL$500,'Calculation of Typical Day'!$A$21:$A$500,$E$22,'Calculation of Typical Day'!$C$21:$C$500,$D51)</f>
        <v>0.88941595019270647</v>
      </c>
      <c r="J51" s="715">
        <f ca="1">SUMIFS('Calculation of Typical Day'!CM$21:CM$500,'Calculation of Typical Day'!$A$21:$A$500,$E$22,'Calculation of Typical Day'!$C$21:$C$500,$D51)</f>
        <v>0</v>
      </c>
    </row>
    <row r="52" spans="1:43" s="135" customFormat="1">
      <c r="B52" s="204"/>
      <c r="C52" s="204"/>
      <c r="D52" s="204"/>
      <c r="E52" s="204"/>
      <c r="Y52" s="204"/>
      <c r="AB52" s="204"/>
      <c r="AC52" s="204"/>
      <c r="AD52" s="204"/>
      <c r="AE52" s="204"/>
      <c r="AH52" s="204"/>
      <c r="AI52" s="204"/>
      <c r="AJ52" s="204"/>
      <c r="AK52" s="204"/>
      <c r="AN52" s="204"/>
      <c r="AO52" s="204"/>
      <c r="AP52" s="204"/>
      <c r="AQ52" s="204"/>
    </row>
    <row r="53" spans="1:43" s="135" customFormat="1">
      <c r="B53" s="204"/>
      <c r="C53" s="204"/>
      <c r="D53" s="204"/>
      <c r="E53" s="204"/>
      <c r="Y53" s="204"/>
      <c r="AB53" s="204"/>
      <c r="AC53" s="204"/>
      <c r="AD53" s="204"/>
      <c r="AE53" s="204"/>
      <c r="AH53" s="204"/>
      <c r="AI53" s="204"/>
      <c r="AJ53" s="204"/>
      <c r="AK53" s="204"/>
      <c r="AN53" s="204"/>
      <c r="AO53" s="204"/>
      <c r="AP53" s="204"/>
      <c r="AQ53" s="204"/>
    </row>
    <row r="54" spans="1:43" s="135" customFormat="1">
      <c r="B54" s="204"/>
      <c r="C54" s="204"/>
      <c r="Y54" s="204"/>
      <c r="AB54" s="204"/>
      <c r="AC54" s="204"/>
      <c r="AD54" s="204"/>
      <c r="AE54" s="204"/>
      <c r="AH54" s="204"/>
      <c r="AI54" s="204"/>
      <c r="AJ54" s="204"/>
      <c r="AK54" s="204"/>
      <c r="AN54" s="204"/>
      <c r="AO54" s="204"/>
      <c r="AP54" s="204"/>
      <c r="AQ54" s="204"/>
    </row>
    <row r="55" spans="1:43" ht="19.5" thickBot="1">
      <c r="A55" s="135"/>
      <c r="B55" s="204"/>
      <c r="C55" s="204"/>
      <c r="D55" s="135"/>
      <c r="E55" s="1192" t="str">
        <f>E24</f>
        <v>Spring / fall weekend</v>
      </c>
      <c r="F55" s="1192"/>
      <c r="G55" s="1192"/>
      <c r="H55" s="1192"/>
      <c r="I55" s="1192"/>
      <c r="J55" s="1192"/>
    </row>
    <row r="56" spans="1:43" s="135" customFormat="1" ht="12" thickTop="1">
      <c r="B56" s="204"/>
      <c r="C56" s="204"/>
      <c r="Y56" s="204"/>
      <c r="AB56" s="204"/>
      <c r="AC56" s="204"/>
      <c r="AD56" s="204"/>
      <c r="AE56" s="204"/>
      <c r="AH56" s="204"/>
      <c r="AI56" s="204"/>
      <c r="AJ56" s="204"/>
      <c r="AK56" s="204"/>
      <c r="AN56" s="204"/>
      <c r="AO56" s="204"/>
      <c r="AP56" s="204"/>
      <c r="AQ56" s="204"/>
    </row>
    <row r="57" spans="1:43" ht="22.5">
      <c r="A57" s="135"/>
      <c r="B57" s="204"/>
      <c r="C57" s="204"/>
      <c r="D57" s="718" t="s">
        <v>347</v>
      </c>
      <c r="E57" s="720" t="str">
        <f>'Calculation of Typical Day'!AZ13</f>
        <v>Electricity price Heat pump</v>
      </c>
      <c r="F57" s="720" t="str">
        <f>'Calculation of Typical Day'!BA13</f>
        <v>Fuel price booster</v>
      </c>
      <c r="G57" s="720" t="s">
        <v>595</v>
      </c>
      <c r="H57" s="720" t="s">
        <v>596</v>
      </c>
      <c r="I57" s="720" t="s">
        <v>597</v>
      </c>
      <c r="J57" s="720" t="s">
        <v>598</v>
      </c>
    </row>
    <row r="58" spans="1:43">
      <c r="A58" s="135"/>
      <c r="B58" s="204"/>
      <c r="C58" s="204"/>
      <c r="D58" s="618"/>
      <c r="E58" s="618" t="s">
        <v>341</v>
      </c>
      <c r="F58" s="618" t="s">
        <v>341</v>
      </c>
      <c r="G58" s="618" t="s">
        <v>341</v>
      </c>
      <c r="H58" s="618" t="s">
        <v>71</v>
      </c>
      <c r="I58" s="618" t="s">
        <v>71</v>
      </c>
      <c r="J58" s="524"/>
    </row>
    <row r="59" spans="1:43">
      <c r="A59" s="135"/>
      <c r="B59" s="204"/>
      <c r="C59" s="204"/>
      <c r="D59" s="714">
        <v>1</v>
      </c>
      <c r="E59" s="715">
        <f ca="1">SUMIFS('Calculation of Typical Day'!AZ$21:AZ$500,'Calculation of Typical Day'!$A$21:$A$500,$E$22,'Calculation of Typical Day'!$C$21:$C$500,$D59)</f>
        <v>92.85</v>
      </c>
      <c r="F59" s="715">
        <f ca="1">SUMIFS('Calculation of Typical Day'!BA$21:BA$500,'Calculation of Typical Day'!$A$21:$A$500,$E$22,'Calculation of Typical Day'!$C$21:$C$500,$D59)</f>
        <v>92.85</v>
      </c>
      <c r="G59" s="715">
        <f>SUMIFS('Calculation of Typical Day'!AU$21:AU$500,'Calculation of Typical Day'!$A$21:$A$500,$E$22,'Calculation of Typical Day'!$C$21:$C$500,$D59,'Calculation of Typical Day'!$AV$21:$AV$500,2)</f>
        <v>0</v>
      </c>
      <c r="H59" s="715">
        <f ca="1">SUMIFS('Calculation of Typical Day'!BU$21:BU$500,'Calculation of Typical Day'!$A$21:$A$500,$E$22,'Calculation of Typical Day'!$C$21:$C$500,$D59)</f>
        <v>30.303996252282719</v>
      </c>
      <c r="I59" s="715">
        <f ca="1">SUMIFS('Calculation of Typical Day'!BX$21:BX$500,'Calculation of Typical Day'!$A$21:$A$500,$E$22,'Calculation of Typical Day'!$C$21:$C$500,$D59)</f>
        <v>60</v>
      </c>
      <c r="J59" s="715">
        <f ca="1">SUMIFS('Calculation of Typical Day'!BY$21:BY$500,'Calculation of Typical Day'!$A$21:$A$500,$E$22,'Calculation of Typical Day'!$C$21:$C$500,$D59)</f>
        <v>1</v>
      </c>
    </row>
    <row r="60" spans="1:43">
      <c r="A60" s="135"/>
      <c r="B60" s="204"/>
      <c r="C60" s="204"/>
      <c r="D60" s="714">
        <v>2</v>
      </c>
      <c r="E60" s="715">
        <f ca="1">SUMIFS('Calculation of Typical Day'!AZ$21:AZ$500,'Calculation of Typical Day'!$A$21:$A$500,$E$22,'Calculation of Typical Day'!$C$21:$C$500,$D60)</f>
        <v>81.59</v>
      </c>
      <c r="F60" s="715">
        <f ca="1">SUMIFS('Calculation of Typical Day'!BA$21:BA$500,'Calculation of Typical Day'!$A$21:$A$500,$E$22,'Calculation of Typical Day'!$C$21:$C$500,$D60)</f>
        <v>81.59</v>
      </c>
      <c r="G60" s="715">
        <f>SUMIFS('Calculation of Typical Day'!AU$21:AU$500,'Calculation of Typical Day'!$A$21:$A$500,$E$22,'Calculation of Typical Day'!$C$21:$C$500,$D60,'Calculation of Typical Day'!$AV$21:$AV$500,2)</f>
        <v>0</v>
      </c>
      <c r="H60" s="715">
        <f ca="1">SUMIFS('Calculation of Typical Day'!BU$21:BU$500,'Calculation of Typical Day'!$A$21:$A$500,$E$22,'Calculation of Typical Day'!$C$21:$C$500,$D60)</f>
        <v>26.802948425357616</v>
      </c>
      <c r="I60" s="715">
        <f ca="1">SUMIFS('Calculation of Typical Day'!BX$21:BX$500,'Calculation of Typical Day'!$A$21:$A$500,$E$22,'Calculation of Typical Day'!$C$21:$C$500,$D60)</f>
        <v>60</v>
      </c>
      <c r="J60" s="715">
        <f ca="1">SUMIFS('Calculation of Typical Day'!BY$21:BY$500,'Calculation of Typical Day'!$A$21:$A$500,$E$22,'Calculation of Typical Day'!$C$21:$C$500,$D60)</f>
        <v>1</v>
      </c>
    </row>
    <row r="61" spans="1:43">
      <c r="A61" s="135"/>
      <c r="B61" s="204"/>
      <c r="C61" s="204"/>
      <c r="D61" s="714">
        <v>3</v>
      </c>
      <c r="E61" s="715">
        <f ca="1">SUMIFS('Calculation of Typical Day'!AZ$21:AZ$500,'Calculation of Typical Day'!$A$21:$A$500,$E$22,'Calculation of Typical Day'!$C$21:$C$500,$D61)</f>
        <v>80.53</v>
      </c>
      <c r="F61" s="715">
        <f ca="1">SUMIFS('Calculation of Typical Day'!BA$21:BA$500,'Calculation of Typical Day'!$A$21:$A$500,$E$22,'Calculation of Typical Day'!$C$21:$C$500,$D61)</f>
        <v>80.53</v>
      </c>
      <c r="G61" s="715">
        <f>SUMIFS('Calculation of Typical Day'!AU$21:AU$500,'Calculation of Typical Day'!$A$21:$A$500,$E$22,'Calculation of Typical Day'!$C$21:$C$500,$D61,'Calculation of Typical Day'!$AV$21:$AV$500,2)</f>
        <v>0</v>
      </c>
      <c r="H61" s="715">
        <f ca="1">SUMIFS('Calculation of Typical Day'!BU$21:BU$500,'Calculation of Typical Day'!$A$21:$A$500,$E$22,'Calculation of Typical Day'!$C$21:$C$500,$D61)</f>
        <v>26.473364882147965</v>
      </c>
      <c r="I61" s="715">
        <f ca="1">SUMIFS('Calculation of Typical Day'!BX$21:BX$500,'Calculation of Typical Day'!$A$21:$A$500,$E$22,'Calculation of Typical Day'!$C$21:$C$500,$D61)</f>
        <v>60</v>
      </c>
      <c r="J61" s="715">
        <f ca="1">SUMIFS('Calculation of Typical Day'!BY$21:BY$500,'Calculation of Typical Day'!$A$21:$A$500,$E$22,'Calculation of Typical Day'!$C$21:$C$500,$D61)</f>
        <v>1</v>
      </c>
    </row>
    <row r="62" spans="1:43">
      <c r="A62" s="135"/>
      <c r="B62" s="204"/>
      <c r="C62" s="204"/>
      <c r="D62" s="714">
        <v>4</v>
      </c>
      <c r="E62" s="715">
        <f ca="1">SUMIFS('Calculation of Typical Day'!AZ$21:AZ$500,'Calculation of Typical Day'!$A$21:$A$500,$E$22,'Calculation of Typical Day'!$C$21:$C$500,$D62)</f>
        <v>75.400000000000006</v>
      </c>
      <c r="F62" s="715">
        <f ca="1">SUMIFS('Calculation of Typical Day'!BA$21:BA$500,'Calculation of Typical Day'!$A$21:$A$500,$E$22,'Calculation of Typical Day'!$C$21:$C$500,$D62)</f>
        <v>75.400000000000006</v>
      </c>
      <c r="G62" s="715">
        <f>SUMIFS('Calculation of Typical Day'!AU$21:AU$500,'Calculation of Typical Day'!$A$21:$A$500,$E$22,'Calculation of Typical Day'!$C$21:$C$500,$D62,'Calculation of Typical Day'!$AV$21:$AV$500,2)</f>
        <v>0</v>
      </c>
      <c r="H62" s="715">
        <f ca="1">SUMIFS('Calculation of Typical Day'!BU$21:BU$500,'Calculation of Typical Day'!$A$21:$A$500,$E$22,'Calculation of Typical Day'!$C$21:$C$500,$D62)</f>
        <v>25.195246978940819</v>
      </c>
      <c r="I62" s="715">
        <f ca="1">SUMIFS('Calculation of Typical Day'!BX$21:BX$500,'Calculation of Typical Day'!$A$21:$A$500,$E$22,'Calculation of Typical Day'!$C$21:$C$500,$D62)</f>
        <v>60</v>
      </c>
      <c r="J62" s="715">
        <f ca="1">SUMIFS('Calculation of Typical Day'!BY$21:BY$500,'Calculation of Typical Day'!$A$21:$A$500,$E$22,'Calculation of Typical Day'!$C$21:$C$500,$D62)</f>
        <v>1</v>
      </c>
    </row>
    <row r="63" spans="1:43">
      <c r="A63" s="135"/>
      <c r="B63" s="204"/>
      <c r="C63" s="204"/>
      <c r="D63" s="714">
        <v>5</v>
      </c>
      <c r="E63" s="715">
        <f ca="1">SUMIFS('Calculation of Typical Day'!AZ$21:AZ$500,'Calculation of Typical Day'!$A$21:$A$500,$E$22,'Calculation of Typical Day'!$C$21:$C$500,$D63)</f>
        <v>74.88</v>
      </c>
      <c r="F63" s="715">
        <f ca="1">SUMIFS('Calculation of Typical Day'!BA$21:BA$500,'Calculation of Typical Day'!$A$21:$A$500,$E$22,'Calculation of Typical Day'!$C$21:$C$500,$D63)</f>
        <v>74.88</v>
      </c>
      <c r="G63" s="715">
        <f>SUMIFS('Calculation of Typical Day'!AU$21:AU$500,'Calculation of Typical Day'!$A$21:$A$500,$E$22,'Calculation of Typical Day'!$C$21:$C$500,$D63,'Calculation of Typical Day'!$AV$21:$AV$500,2)</f>
        <v>0</v>
      </c>
      <c r="H63" s="715">
        <f ca="1">SUMIFS('Calculation of Typical Day'!BU$21:BU$500,'Calculation of Typical Day'!$A$21:$A$500,$E$22,'Calculation of Typical Day'!$C$21:$C$500,$D63)</f>
        <v>25.354762041669058</v>
      </c>
      <c r="I63" s="715">
        <f ca="1">SUMIFS('Calculation of Typical Day'!BX$21:BX$500,'Calculation of Typical Day'!$A$21:$A$500,$E$22,'Calculation of Typical Day'!$C$21:$C$500,$D63)</f>
        <v>60</v>
      </c>
      <c r="J63" s="715">
        <f ca="1">SUMIFS('Calculation of Typical Day'!BY$21:BY$500,'Calculation of Typical Day'!$A$21:$A$500,$E$22,'Calculation of Typical Day'!$C$21:$C$500,$D63)</f>
        <v>1</v>
      </c>
    </row>
    <row r="64" spans="1:43">
      <c r="A64" s="135"/>
      <c r="B64" s="204"/>
      <c r="C64" s="204"/>
      <c r="D64" s="714">
        <v>6</v>
      </c>
      <c r="E64" s="715">
        <f ca="1">SUMIFS('Calculation of Typical Day'!AZ$21:AZ$500,'Calculation of Typical Day'!$A$21:$A$500,$E$22,'Calculation of Typical Day'!$C$21:$C$500,$D64)</f>
        <v>74.62</v>
      </c>
      <c r="F64" s="715">
        <f ca="1">SUMIFS('Calculation of Typical Day'!BA$21:BA$500,'Calculation of Typical Day'!$A$21:$A$500,$E$22,'Calculation of Typical Day'!$C$21:$C$500,$D64)</f>
        <v>74.62</v>
      </c>
      <c r="G64" s="715">
        <f>SUMIFS('Calculation of Typical Day'!AU$21:AU$500,'Calculation of Typical Day'!$A$21:$A$500,$E$22,'Calculation of Typical Day'!$C$21:$C$500,$D64,'Calculation of Typical Day'!$AV$21:$AV$500,2)</f>
        <v>0</v>
      </c>
      <c r="H64" s="715">
        <f ca="1">SUMIFS('Calculation of Typical Day'!BU$21:BU$500,'Calculation of Typical Day'!$A$21:$A$500,$E$22,'Calculation of Typical Day'!$C$21:$C$500,$D64)</f>
        <v>24.949444528479464</v>
      </c>
      <c r="I64" s="715">
        <f ca="1">SUMIFS('Calculation of Typical Day'!BX$21:BX$500,'Calculation of Typical Day'!$A$21:$A$500,$E$22,'Calculation of Typical Day'!$C$21:$C$500,$D64)</f>
        <v>60</v>
      </c>
      <c r="J64" s="715">
        <f ca="1">SUMIFS('Calculation of Typical Day'!BY$21:BY$500,'Calculation of Typical Day'!$A$21:$A$500,$E$22,'Calculation of Typical Day'!$C$21:$C$500,$D64)</f>
        <v>1</v>
      </c>
    </row>
    <row r="65" spans="1:10">
      <c r="A65" s="135"/>
      <c r="B65" s="204"/>
      <c r="C65" s="204"/>
      <c r="D65" s="714">
        <v>7</v>
      </c>
      <c r="E65" s="715">
        <f ca="1">SUMIFS('Calculation of Typical Day'!AZ$21:AZ$500,'Calculation of Typical Day'!$A$21:$A$500,$E$22,'Calculation of Typical Day'!$C$21:$C$500,$D65)</f>
        <v>75.430000000000007</v>
      </c>
      <c r="F65" s="715">
        <f ca="1">SUMIFS('Calculation of Typical Day'!BA$21:BA$500,'Calculation of Typical Day'!$A$21:$A$500,$E$22,'Calculation of Typical Day'!$C$21:$C$500,$D65)</f>
        <v>75.430000000000007</v>
      </c>
      <c r="G65" s="715">
        <f>SUMIFS('Calculation of Typical Day'!AU$21:AU$500,'Calculation of Typical Day'!$A$21:$A$500,$E$22,'Calculation of Typical Day'!$C$21:$C$500,$D65,'Calculation of Typical Day'!$AV$21:$AV$500,2)</f>
        <v>0</v>
      </c>
      <c r="H65" s="715">
        <f ca="1">SUMIFS('Calculation of Typical Day'!BU$21:BU$500,'Calculation of Typical Day'!$A$21:$A$500,$E$22,'Calculation of Typical Day'!$C$21:$C$500,$D65)</f>
        <v>25.204700919343178</v>
      </c>
      <c r="I65" s="715">
        <f ca="1">SUMIFS('Calculation of Typical Day'!BX$21:BX$500,'Calculation of Typical Day'!$A$21:$A$500,$E$22,'Calculation of Typical Day'!$C$21:$C$500,$D65)</f>
        <v>60</v>
      </c>
      <c r="J65" s="715">
        <f ca="1">SUMIFS('Calculation of Typical Day'!BY$21:BY$500,'Calculation of Typical Day'!$A$21:$A$500,$E$22,'Calculation of Typical Day'!$C$21:$C$500,$D65)</f>
        <v>1</v>
      </c>
    </row>
    <row r="66" spans="1:10">
      <c r="A66" s="135"/>
      <c r="B66" s="204"/>
      <c r="C66" s="204"/>
      <c r="D66" s="714">
        <v>8</v>
      </c>
      <c r="E66" s="715">
        <f ca="1">SUMIFS('Calculation of Typical Day'!AZ$21:AZ$500,'Calculation of Typical Day'!$A$21:$A$500,$E$22,'Calculation of Typical Day'!$C$21:$C$500,$D66)</f>
        <v>71.53</v>
      </c>
      <c r="F66" s="715">
        <f ca="1">SUMIFS('Calculation of Typical Day'!BA$21:BA$500,'Calculation of Typical Day'!$A$21:$A$500,$E$22,'Calculation of Typical Day'!$C$21:$C$500,$D66)</f>
        <v>71.53</v>
      </c>
      <c r="G66" s="715">
        <f>SUMIFS('Calculation of Typical Day'!AU$21:AU$500,'Calculation of Typical Day'!$A$21:$A$500,$E$22,'Calculation of Typical Day'!$C$21:$C$500,$D66,'Calculation of Typical Day'!$AV$21:$AV$500,2)</f>
        <v>0</v>
      </c>
      <c r="H66" s="715">
        <f ca="1">SUMIFS('Calculation of Typical Day'!BU$21:BU$500,'Calculation of Typical Day'!$A$21:$A$500,$E$22,'Calculation of Typical Day'!$C$21:$C$500,$D66)</f>
        <v>23.675014043575498</v>
      </c>
      <c r="I66" s="715">
        <f ca="1">SUMIFS('Calculation of Typical Day'!BX$21:BX$500,'Calculation of Typical Day'!$A$21:$A$500,$E$22,'Calculation of Typical Day'!$C$21:$C$500,$D66)</f>
        <v>60</v>
      </c>
      <c r="J66" s="715">
        <f ca="1">SUMIFS('Calculation of Typical Day'!BY$21:BY$500,'Calculation of Typical Day'!$A$21:$A$500,$E$22,'Calculation of Typical Day'!$C$21:$C$500,$D66)</f>
        <v>1</v>
      </c>
    </row>
    <row r="67" spans="1:10">
      <c r="A67" s="135"/>
      <c r="B67" s="204"/>
      <c r="C67" s="204"/>
      <c r="D67" s="714">
        <v>9</v>
      </c>
      <c r="E67" s="715">
        <f ca="1">SUMIFS('Calculation of Typical Day'!AZ$21:AZ$500,'Calculation of Typical Day'!$A$21:$A$500,$E$22,'Calculation of Typical Day'!$C$21:$C$500,$D67)</f>
        <v>71.88</v>
      </c>
      <c r="F67" s="715">
        <f ca="1">SUMIFS('Calculation of Typical Day'!BA$21:BA$500,'Calculation of Typical Day'!$A$21:$A$500,$E$22,'Calculation of Typical Day'!$C$21:$C$500,$D67)</f>
        <v>71.88</v>
      </c>
      <c r="G67" s="715">
        <f>SUMIFS('Calculation of Typical Day'!AU$21:AU$500,'Calculation of Typical Day'!$A$21:$A$500,$E$22,'Calculation of Typical Day'!$C$21:$C$500,$D67,'Calculation of Typical Day'!$AV$21:$AV$500,2)</f>
        <v>0</v>
      </c>
      <c r="H67" s="715">
        <f ca="1">SUMIFS('Calculation of Typical Day'!BU$21:BU$500,'Calculation of Typical Day'!$A$21:$A$500,$E$22,'Calculation of Typical Day'!$C$21:$C$500,$D67)</f>
        <v>23.489647385151638</v>
      </c>
      <c r="I67" s="715">
        <f ca="1">SUMIFS('Calculation of Typical Day'!BX$21:BX$500,'Calculation of Typical Day'!$A$21:$A$500,$E$22,'Calculation of Typical Day'!$C$21:$C$500,$D67)</f>
        <v>60</v>
      </c>
      <c r="J67" s="715">
        <f ca="1">SUMIFS('Calculation of Typical Day'!BY$21:BY$500,'Calculation of Typical Day'!$A$21:$A$500,$E$22,'Calculation of Typical Day'!$C$21:$C$500,$D67)</f>
        <v>1</v>
      </c>
    </row>
    <row r="68" spans="1:10">
      <c r="A68" s="135"/>
      <c r="B68" s="204"/>
      <c r="C68" s="204"/>
      <c r="D68" s="714">
        <v>10</v>
      </c>
      <c r="E68" s="715">
        <f ca="1">SUMIFS('Calculation of Typical Day'!AZ$21:AZ$500,'Calculation of Typical Day'!$A$21:$A$500,$E$22,'Calculation of Typical Day'!$C$21:$C$500,$D68)</f>
        <v>66.38</v>
      </c>
      <c r="F68" s="715">
        <f ca="1">SUMIFS('Calculation of Typical Day'!BA$21:BA$500,'Calculation of Typical Day'!$A$21:$A$500,$E$22,'Calculation of Typical Day'!$C$21:$C$500,$D68)</f>
        <v>66.38</v>
      </c>
      <c r="G68" s="715">
        <f>SUMIFS('Calculation of Typical Day'!AU$21:AU$500,'Calculation of Typical Day'!$A$21:$A$500,$E$22,'Calculation of Typical Day'!$C$21:$C$500,$D68,'Calculation of Typical Day'!$AV$21:$AV$500,2)</f>
        <v>0</v>
      </c>
      <c r="H68" s="715">
        <f ca="1">SUMIFS('Calculation of Typical Day'!BU$21:BU$500,'Calculation of Typical Day'!$A$21:$A$500,$E$22,'Calculation of Typical Day'!$C$21:$C$500,$D68)</f>
        <v>21.53743309569813</v>
      </c>
      <c r="I68" s="715">
        <f ca="1">SUMIFS('Calculation of Typical Day'!BX$21:BX$500,'Calculation of Typical Day'!$A$21:$A$500,$E$22,'Calculation of Typical Day'!$C$21:$C$500,$D68)</f>
        <v>60</v>
      </c>
      <c r="J68" s="715">
        <f ca="1">SUMIFS('Calculation of Typical Day'!BY$21:BY$500,'Calculation of Typical Day'!$A$21:$A$500,$E$22,'Calculation of Typical Day'!$C$21:$C$500,$D68)</f>
        <v>1</v>
      </c>
    </row>
    <row r="69" spans="1:10">
      <c r="A69" s="135"/>
      <c r="B69" s="204"/>
      <c r="C69" s="204"/>
      <c r="D69" s="714">
        <v>11</v>
      </c>
      <c r="E69" s="715">
        <f ca="1">SUMIFS('Calculation of Typical Day'!AZ$21:AZ$500,'Calculation of Typical Day'!$A$21:$A$500,$E$22,'Calculation of Typical Day'!$C$21:$C$500,$D69)</f>
        <v>43.99</v>
      </c>
      <c r="F69" s="715">
        <f ca="1">SUMIFS('Calculation of Typical Day'!BA$21:BA$500,'Calculation of Typical Day'!$A$21:$A$500,$E$22,'Calculation of Typical Day'!$C$21:$C$500,$D69)</f>
        <v>43.99</v>
      </c>
      <c r="G69" s="715">
        <f>SUMIFS('Calculation of Typical Day'!AU$21:AU$500,'Calculation of Typical Day'!$A$21:$A$500,$E$22,'Calculation of Typical Day'!$C$21:$C$500,$D69,'Calculation of Typical Day'!$AV$21:$AV$500,2)</f>
        <v>0</v>
      </c>
      <c r="H69" s="715">
        <f ca="1">SUMIFS('Calculation of Typical Day'!BU$21:BU$500,'Calculation of Typical Day'!$A$21:$A$500,$E$22,'Calculation of Typical Day'!$C$21:$C$500,$D69)</f>
        <v>14.585786834405617</v>
      </c>
      <c r="I69" s="715">
        <f ca="1">SUMIFS('Calculation of Typical Day'!BX$21:BX$500,'Calculation of Typical Day'!$A$21:$A$500,$E$22,'Calculation of Typical Day'!$C$21:$C$500,$D69)</f>
        <v>60</v>
      </c>
      <c r="J69" s="715">
        <f ca="1">SUMIFS('Calculation of Typical Day'!BY$21:BY$500,'Calculation of Typical Day'!$A$21:$A$500,$E$22,'Calculation of Typical Day'!$C$21:$C$500,$D69)</f>
        <v>1</v>
      </c>
    </row>
    <row r="70" spans="1:10">
      <c r="A70" s="135"/>
      <c r="B70" s="204"/>
      <c r="C70" s="204"/>
      <c r="D70" s="714">
        <v>12</v>
      </c>
      <c r="E70" s="715">
        <f ca="1">SUMIFS('Calculation of Typical Day'!AZ$21:AZ$500,'Calculation of Typical Day'!$A$21:$A$500,$E$22,'Calculation of Typical Day'!$C$21:$C$500,$D70)</f>
        <v>47.96</v>
      </c>
      <c r="F70" s="715">
        <f ca="1">SUMIFS('Calculation of Typical Day'!BA$21:BA$500,'Calculation of Typical Day'!$A$21:$A$500,$E$22,'Calculation of Typical Day'!$C$21:$C$500,$D70)</f>
        <v>47.96</v>
      </c>
      <c r="G70" s="715">
        <f>SUMIFS('Calculation of Typical Day'!AU$21:AU$500,'Calculation of Typical Day'!$A$21:$A$500,$E$22,'Calculation of Typical Day'!$C$21:$C$500,$D70,'Calculation of Typical Day'!$AV$21:$AV$500,2)</f>
        <v>0</v>
      </c>
      <c r="H70" s="715">
        <f ca="1">SUMIFS('Calculation of Typical Day'!BU$21:BU$500,'Calculation of Typical Day'!$A$21:$A$500,$E$22,'Calculation of Typical Day'!$C$21:$C$500,$D70)</f>
        <v>15.591106860539941</v>
      </c>
      <c r="I70" s="715">
        <f ca="1">SUMIFS('Calculation of Typical Day'!BX$21:BX$500,'Calculation of Typical Day'!$A$21:$A$500,$E$22,'Calculation of Typical Day'!$C$21:$C$500,$D70)</f>
        <v>60</v>
      </c>
      <c r="J70" s="715">
        <f ca="1">SUMIFS('Calculation of Typical Day'!BY$21:BY$500,'Calculation of Typical Day'!$A$21:$A$500,$E$22,'Calculation of Typical Day'!$C$21:$C$500,$D70)</f>
        <v>1</v>
      </c>
    </row>
    <row r="71" spans="1:10">
      <c r="A71" s="135"/>
      <c r="B71" s="204"/>
      <c r="C71" s="204"/>
      <c r="D71" s="714">
        <v>13</v>
      </c>
      <c r="E71" s="715">
        <f ca="1">SUMIFS('Calculation of Typical Day'!AZ$21:AZ$500,'Calculation of Typical Day'!$A$21:$A$500,$E$22,'Calculation of Typical Day'!$C$21:$C$500,$D71)</f>
        <v>17.059999999999999</v>
      </c>
      <c r="F71" s="715">
        <f ca="1">SUMIFS('Calculation of Typical Day'!BA$21:BA$500,'Calculation of Typical Day'!$A$21:$A$500,$E$22,'Calculation of Typical Day'!$C$21:$C$500,$D71)</f>
        <v>17.059999999999999</v>
      </c>
      <c r="G71" s="715">
        <f>SUMIFS('Calculation of Typical Day'!AU$21:AU$500,'Calculation of Typical Day'!$A$21:$A$500,$E$22,'Calculation of Typical Day'!$C$21:$C$500,$D71,'Calculation of Typical Day'!$AV$21:$AV$500,2)</f>
        <v>0</v>
      </c>
      <c r="H71" s="715">
        <f ca="1">SUMIFS('Calculation of Typical Day'!BU$21:BU$500,'Calculation of Typical Day'!$A$21:$A$500,$E$22,'Calculation of Typical Day'!$C$21:$C$500,$D71)</f>
        <v>6.4071185110046187</v>
      </c>
      <c r="I71" s="715">
        <f ca="1">SUMIFS('Calculation of Typical Day'!BX$21:BX$500,'Calculation of Typical Day'!$A$21:$A$500,$E$22,'Calculation of Typical Day'!$C$21:$C$500,$D71)</f>
        <v>60</v>
      </c>
      <c r="J71" s="715">
        <f ca="1">SUMIFS('Calculation of Typical Day'!BY$21:BY$500,'Calculation of Typical Day'!$A$21:$A$500,$E$22,'Calculation of Typical Day'!$C$21:$C$500,$D71)</f>
        <v>1</v>
      </c>
    </row>
    <row r="72" spans="1:10">
      <c r="A72" s="135"/>
      <c r="B72" s="204"/>
      <c r="C72" s="204"/>
      <c r="D72" s="714">
        <v>14</v>
      </c>
      <c r="E72" s="715">
        <f ca="1">SUMIFS('Calculation of Typical Day'!AZ$21:AZ$500,'Calculation of Typical Day'!$A$21:$A$500,$E$22,'Calculation of Typical Day'!$C$21:$C$500,$D72)</f>
        <v>11.28</v>
      </c>
      <c r="F72" s="715">
        <f ca="1">SUMIFS('Calculation of Typical Day'!BA$21:BA$500,'Calculation of Typical Day'!$A$21:$A$500,$E$22,'Calculation of Typical Day'!$C$21:$C$500,$D72)</f>
        <v>11.28</v>
      </c>
      <c r="G72" s="715">
        <f>SUMIFS('Calculation of Typical Day'!AU$21:AU$500,'Calculation of Typical Day'!$A$21:$A$500,$E$22,'Calculation of Typical Day'!$C$21:$C$500,$D72,'Calculation of Typical Day'!$AV$21:$AV$500,2)</f>
        <v>0</v>
      </c>
      <c r="H72" s="715">
        <f ca="1">SUMIFS('Calculation of Typical Day'!BU$21:BU$500,'Calculation of Typical Day'!$A$21:$A$500,$E$22,'Calculation of Typical Day'!$C$21:$C$500,$D72)</f>
        <v>4.6817135827206116</v>
      </c>
      <c r="I72" s="715">
        <f ca="1">SUMIFS('Calculation of Typical Day'!BX$21:BX$500,'Calculation of Typical Day'!$A$21:$A$500,$E$22,'Calculation of Typical Day'!$C$21:$C$500,$D72)</f>
        <v>60</v>
      </c>
      <c r="J72" s="715">
        <f ca="1">SUMIFS('Calculation of Typical Day'!BY$21:BY$500,'Calculation of Typical Day'!$A$21:$A$500,$E$22,'Calculation of Typical Day'!$C$21:$C$500,$D72)</f>
        <v>1</v>
      </c>
    </row>
    <row r="73" spans="1:10">
      <c r="A73" s="135"/>
      <c r="B73" s="204"/>
      <c r="C73" s="204"/>
      <c r="D73" s="714">
        <v>15</v>
      </c>
      <c r="E73" s="715">
        <f ca="1">SUMIFS('Calculation of Typical Day'!AZ$21:AZ$500,'Calculation of Typical Day'!$A$21:$A$500,$E$22,'Calculation of Typical Day'!$C$21:$C$500,$D73)</f>
        <v>10.1</v>
      </c>
      <c r="F73" s="715">
        <f ca="1">SUMIFS('Calculation of Typical Day'!BA$21:BA$500,'Calculation of Typical Day'!$A$21:$A$500,$E$22,'Calculation of Typical Day'!$C$21:$C$500,$D73)</f>
        <v>10.1</v>
      </c>
      <c r="G73" s="715">
        <f>SUMIFS('Calculation of Typical Day'!AU$21:AU$500,'Calculation of Typical Day'!$A$21:$A$500,$E$22,'Calculation of Typical Day'!$C$21:$C$500,$D73,'Calculation of Typical Day'!$AV$21:$AV$500,2)</f>
        <v>0</v>
      </c>
      <c r="H73" s="715">
        <f ca="1">SUMIFS('Calculation of Typical Day'!BU$21:BU$500,'Calculation of Typical Day'!$A$21:$A$500,$E$22,'Calculation of Typical Day'!$C$21:$C$500,$D73)</f>
        <v>4.3420064218088141</v>
      </c>
      <c r="I73" s="715">
        <f ca="1">SUMIFS('Calculation of Typical Day'!BX$21:BX$500,'Calculation of Typical Day'!$A$21:$A$500,$E$22,'Calculation of Typical Day'!$C$21:$C$500,$D73)</f>
        <v>60</v>
      </c>
      <c r="J73" s="715">
        <f ca="1">SUMIFS('Calculation of Typical Day'!BY$21:BY$500,'Calculation of Typical Day'!$A$21:$A$500,$E$22,'Calculation of Typical Day'!$C$21:$C$500,$D73)</f>
        <v>1</v>
      </c>
    </row>
    <row r="74" spans="1:10">
      <c r="A74" s="135"/>
      <c r="B74" s="204"/>
      <c r="C74" s="204"/>
      <c r="D74" s="714">
        <v>16</v>
      </c>
      <c r="E74" s="715">
        <f ca="1">SUMIFS('Calculation of Typical Day'!AZ$21:AZ$500,'Calculation of Typical Day'!$A$21:$A$500,$E$22,'Calculation of Typical Day'!$C$21:$C$500,$D74)</f>
        <v>11.75</v>
      </c>
      <c r="F74" s="715">
        <f ca="1">SUMIFS('Calculation of Typical Day'!BA$21:BA$500,'Calculation of Typical Day'!$A$21:$A$500,$E$22,'Calculation of Typical Day'!$C$21:$C$500,$D74)</f>
        <v>11.75</v>
      </c>
      <c r="G74" s="715">
        <f>SUMIFS('Calculation of Typical Day'!AU$21:AU$500,'Calculation of Typical Day'!$A$21:$A$500,$E$22,'Calculation of Typical Day'!$C$21:$C$500,$D74,'Calculation of Typical Day'!$AV$21:$AV$500,2)</f>
        <v>0</v>
      </c>
      <c r="H74" s="715">
        <f ca="1">SUMIFS('Calculation of Typical Day'!BU$21:BU$500,'Calculation of Typical Day'!$A$21:$A$500,$E$22,'Calculation of Typical Day'!$C$21:$C$500,$D74)</f>
        <v>4.7757530257530254</v>
      </c>
      <c r="I74" s="715">
        <f ca="1">SUMIFS('Calculation of Typical Day'!BX$21:BX$500,'Calculation of Typical Day'!$A$21:$A$500,$E$22,'Calculation of Typical Day'!$C$21:$C$500,$D74)</f>
        <v>60</v>
      </c>
      <c r="J74" s="715">
        <f ca="1">SUMIFS('Calculation of Typical Day'!BY$21:BY$500,'Calculation of Typical Day'!$A$21:$A$500,$E$22,'Calculation of Typical Day'!$C$21:$C$500,$D74)</f>
        <v>1</v>
      </c>
    </row>
    <row r="75" spans="1:10">
      <c r="A75" s="135"/>
      <c r="B75" s="204"/>
      <c r="C75" s="204"/>
      <c r="D75" s="714">
        <v>17</v>
      </c>
      <c r="E75" s="715">
        <f ca="1">SUMIFS('Calculation of Typical Day'!AZ$21:AZ$500,'Calculation of Typical Day'!$A$21:$A$500,$E$22,'Calculation of Typical Day'!$C$21:$C$500,$D75)</f>
        <v>17.009999999999998</v>
      </c>
      <c r="F75" s="715">
        <f ca="1">SUMIFS('Calculation of Typical Day'!BA$21:BA$500,'Calculation of Typical Day'!$A$21:$A$500,$E$22,'Calculation of Typical Day'!$C$21:$C$500,$D75)</f>
        <v>17.009999999999998</v>
      </c>
      <c r="G75" s="715">
        <f>SUMIFS('Calculation of Typical Day'!AU$21:AU$500,'Calculation of Typical Day'!$A$21:$A$500,$E$22,'Calculation of Typical Day'!$C$21:$C$500,$D75,'Calculation of Typical Day'!$AV$21:$AV$500,2)</f>
        <v>0</v>
      </c>
      <c r="H75" s="715">
        <f ca="1">SUMIFS('Calculation of Typical Day'!BU$21:BU$500,'Calculation of Typical Day'!$A$21:$A$500,$E$22,'Calculation of Typical Day'!$C$21:$C$500,$D75)</f>
        <v>6.3313085251143377</v>
      </c>
      <c r="I75" s="715">
        <f ca="1">SUMIFS('Calculation of Typical Day'!BX$21:BX$500,'Calculation of Typical Day'!$A$21:$A$500,$E$22,'Calculation of Typical Day'!$C$21:$C$500,$D75)</f>
        <v>60</v>
      </c>
      <c r="J75" s="715">
        <f ca="1">SUMIFS('Calculation of Typical Day'!BY$21:BY$500,'Calculation of Typical Day'!$A$21:$A$500,$E$22,'Calculation of Typical Day'!$C$21:$C$500,$D75)</f>
        <v>1</v>
      </c>
    </row>
    <row r="76" spans="1:10">
      <c r="A76" s="135"/>
      <c r="B76" s="204"/>
      <c r="C76" s="204"/>
      <c r="D76" s="714">
        <v>18</v>
      </c>
      <c r="E76" s="715">
        <f ca="1">SUMIFS('Calculation of Typical Day'!AZ$21:AZ$500,'Calculation of Typical Day'!$A$21:$A$500,$E$22,'Calculation of Typical Day'!$C$21:$C$500,$D76)</f>
        <v>69.22</v>
      </c>
      <c r="F76" s="715">
        <f ca="1">SUMIFS('Calculation of Typical Day'!BA$21:BA$500,'Calculation of Typical Day'!$A$21:$A$500,$E$22,'Calculation of Typical Day'!$C$21:$C$500,$D76)</f>
        <v>69.22</v>
      </c>
      <c r="G76" s="715">
        <f>SUMIFS('Calculation of Typical Day'!AU$21:AU$500,'Calculation of Typical Day'!$A$21:$A$500,$E$22,'Calculation of Typical Day'!$C$21:$C$500,$D76,'Calculation of Typical Day'!$AV$21:$AV$500,2)</f>
        <v>0</v>
      </c>
      <c r="H76" s="715">
        <f ca="1">SUMIFS('Calculation of Typical Day'!BU$21:BU$500,'Calculation of Typical Day'!$A$21:$A$500,$E$22,'Calculation of Typical Day'!$C$21:$C$500,$D76)</f>
        <v>21.61110139486437</v>
      </c>
      <c r="I76" s="715">
        <f ca="1">SUMIFS('Calculation of Typical Day'!BX$21:BX$500,'Calculation of Typical Day'!$A$21:$A$500,$E$22,'Calculation of Typical Day'!$C$21:$C$500,$D76)</f>
        <v>60</v>
      </c>
      <c r="J76" s="715">
        <f ca="1">SUMIFS('Calculation of Typical Day'!BY$21:BY$500,'Calculation of Typical Day'!$A$21:$A$500,$E$22,'Calculation of Typical Day'!$C$21:$C$500,$D76)</f>
        <v>1</v>
      </c>
    </row>
    <row r="77" spans="1:10">
      <c r="A77" s="135"/>
      <c r="B77" s="204"/>
      <c r="C77" s="204"/>
      <c r="D77" s="714">
        <v>19</v>
      </c>
      <c r="E77" s="715">
        <f ca="1">SUMIFS('Calculation of Typical Day'!AZ$21:AZ$500,'Calculation of Typical Day'!$A$21:$A$500,$E$22,'Calculation of Typical Day'!$C$21:$C$500,$D77)</f>
        <v>85.6</v>
      </c>
      <c r="F77" s="715">
        <f ca="1">SUMIFS('Calculation of Typical Day'!BA$21:BA$500,'Calculation of Typical Day'!$A$21:$A$500,$E$22,'Calculation of Typical Day'!$C$21:$C$500,$D77)</f>
        <v>85.6</v>
      </c>
      <c r="G77" s="715">
        <f>SUMIFS('Calculation of Typical Day'!AU$21:AU$500,'Calculation of Typical Day'!$A$21:$A$500,$E$22,'Calculation of Typical Day'!$C$21:$C$500,$D77,'Calculation of Typical Day'!$AV$21:$AV$500,2)</f>
        <v>0</v>
      </c>
      <c r="H77" s="715">
        <f ca="1">SUMIFS('Calculation of Typical Day'!BU$21:BU$500,'Calculation of Typical Day'!$A$21:$A$500,$E$22,'Calculation of Typical Day'!$C$21:$C$500,$D77)</f>
        <v>26.701627614544037</v>
      </c>
      <c r="I77" s="715">
        <f ca="1">SUMIFS('Calculation of Typical Day'!BX$21:BX$500,'Calculation of Typical Day'!$A$21:$A$500,$E$22,'Calculation of Typical Day'!$C$21:$C$500,$D77)</f>
        <v>60</v>
      </c>
      <c r="J77" s="715">
        <f ca="1">SUMIFS('Calculation of Typical Day'!BY$21:BY$500,'Calculation of Typical Day'!$A$21:$A$500,$E$22,'Calculation of Typical Day'!$C$21:$C$500,$D77)</f>
        <v>1</v>
      </c>
    </row>
    <row r="78" spans="1:10">
      <c r="A78" s="135"/>
      <c r="B78" s="204"/>
      <c r="C78" s="204"/>
      <c r="D78" s="714">
        <v>20</v>
      </c>
      <c r="E78" s="715">
        <f ca="1">SUMIFS('Calculation of Typical Day'!AZ$21:AZ$500,'Calculation of Typical Day'!$A$21:$A$500,$E$22,'Calculation of Typical Day'!$C$21:$C$500,$D78)</f>
        <v>100.36</v>
      </c>
      <c r="F78" s="715">
        <f ca="1">SUMIFS('Calculation of Typical Day'!BA$21:BA$500,'Calculation of Typical Day'!$A$21:$A$500,$E$22,'Calculation of Typical Day'!$C$21:$C$500,$D78)</f>
        <v>100.36</v>
      </c>
      <c r="G78" s="715">
        <f>SUMIFS('Calculation of Typical Day'!AU$21:AU$500,'Calculation of Typical Day'!$A$21:$A$500,$E$22,'Calculation of Typical Day'!$C$21:$C$500,$D78,'Calculation of Typical Day'!$AV$21:$AV$500,2)</f>
        <v>0</v>
      </c>
      <c r="H78" s="715">
        <f ca="1">SUMIFS('Calculation of Typical Day'!BU$21:BU$500,'Calculation of Typical Day'!$A$21:$A$500,$E$22,'Calculation of Typical Day'!$C$21:$C$500,$D78)</f>
        <v>31.438409350011554</v>
      </c>
      <c r="I78" s="715">
        <f ca="1">SUMIFS('Calculation of Typical Day'!BX$21:BX$500,'Calculation of Typical Day'!$A$21:$A$500,$E$22,'Calculation of Typical Day'!$C$21:$C$500,$D78)</f>
        <v>60</v>
      </c>
      <c r="J78" s="715">
        <f ca="1">SUMIFS('Calculation of Typical Day'!BY$21:BY$500,'Calculation of Typical Day'!$A$21:$A$500,$E$22,'Calculation of Typical Day'!$C$21:$C$500,$D78)</f>
        <v>1</v>
      </c>
    </row>
    <row r="79" spans="1:10">
      <c r="A79" s="135"/>
      <c r="B79" s="204"/>
      <c r="C79" s="204"/>
      <c r="D79" s="714">
        <v>21</v>
      </c>
      <c r="E79" s="715">
        <f ca="1">SUMIFS('Calculation of Typical Day'!AZ$21:AZ$500,'Calculation of Typical Day'!$A$21:$A$500,$E$22,'Calculation of Typical Day'!$C$21:$C$500,$D79)</f>
        <v>106.26</v>
      </c>
      <c r="F79" s="715">
        <f ca="1">SUMIFS('Calculation of Typical Day'!BA$21:BA$500,'Calculation of Typical Day'!$A$21:$A$500,$E$22,'Calculation of Typical Day'!$C$21:$C$500,$D79)</f>
        <v>106.26</v>
      </c>
      <c r="G79" s="715">
        <f>SUMIFS('Calculation of Typical Day'!AU$21:AU$500,'Calculation of Typical Day'!$A$21:$A$500,$E$22,'Calculation of Typical Day'!$C$21:$C$500,$D79,'Calculation of Typical Day'!$AV$21:$AV$500,2)</f>
        <v>0</v>
      </c>
      <c r="H79" s="715">
        <f ca="1">SUMIFS('Calculation of Typical Day'!BU$21:BU$500,'Calculation of Typical Day'!$A$21:$A$500,$E$22,'Calculation of Typical Day'!$C$21:$C$500,$D79)</f>
        <v>33.615035019392394</v>
      </c>
      <c r="I79" s="715">
        <f ca="1">SUMIFS('Calculation of Typical Day'!BX$21:BX$500,'Calculation of Typical Day'!$A$21:$A$500,$E$22,'Calculation of Typical Day'!$C$21:$C$500,$D79)</f>
        <v>60</v>
      </c>
      <c r="J79" s="715">
        <f ca="1">SUMIFS('Calculation of Typical Day'!BY$21:BY$500,'Calculation of Typical Day'!$A$21:$A$500,$E$22,'Calculation of Typical Day'!$C$21:$C$500,$D79)</f>
        <v>1</v>
      </c>
    </row>
    <row r="80" spans="1:10">
      <c r="A80" s="135"/>
      <c r="B80" s="204"/>
      <c r="C80" s="204"/>
      <c r="D80" s="714">
        <v>22</v>
      </c>
      <c r="E80" s="715">
        <f ca="1">SUMIFS('Calculation of Typical Day'!AZ$21:AZ$500,'Calculation of Typical Day'!$A$21:$A$500,$E$22,'Calculation of Typical Day'!$C$21:$C$500,$D80)</f>
        <v>102.07</v>
      </c>
      <c r="F80" s="715">
        <f ca="1">SUMIFS('Calculation of Typical Day'!BA$21:BA$500,'Calculation of Typical Day'!$A$21:$A$500,$E$22,'Calculation of Typical Day'!$C$21:$C$500,$D80)</f>
        <v>102.07</v>
      </c>
      <c r="G80" s="715">
        <f>SUMIFS('Calculation of Typical Day'!AU$21:AU$500,'Calculation of Typical Day'!$A$21:$A$500,$E$22,'Calculation of Typical Day'!$C$21:$C$500,$D80,'Calculation of Typical Day'!$AV$21:$AV$500,2)</f>
        <v>0</v>
      </c>
      <c r="H80" s="715">
        <f ca="1">SUMIFS('Calculation of Typical Day'!BU$21:BU$500,'Calculation of Typical Day'!$A$21:$A$500,$E$22,'Calculation of Typical Day'!$C$21:$C$500,$D80)</f>
        <v>32.752997778514171</v>
      </c>
      <c r="I80" s="715">
        <f ca="1">SUMIFS('Calculation of Typical Day'!BX$21:BX$500,'Calculation of Typical Day'!$A$21:$A$500,$E$22,'Calculation of Typical Day'!$C$21:$C$500,$D80)</f>
        <v>60</v>
      </c>
      <c r="J80" s="715">
        <f ca="1">SUMIFS('Calculation of Typical Day'!BY$21:BY$500,'Calculation of Typical Day'!$A$21:$A$500,$E$22,'Calculation of Typical Day'!$C$21:$C$500,$D80)</f>
        <v>1</v>
      </c>
    </row>
    <row r="81" spans="1:43">
      <c r="A81" s="135"/>
      <c r="B81" s="204"/>
      <c r="C81" s="204"/>
      <c r="D81" s="714">
        <v>23</v>
      </c>
      <c r="E81" s="715">
        <f ca="1">SUMIFS('Calculation of Typical Day'!AZ$21:AZ$500,'Calculation of Typical Day'!$A$21:$A$500,$E$22,'Calculation of Typical Day'!$C$21:$C$500,$D81)</f>
        <v>100.41</v>
      </c>
      <c r="F81" s="715">
        <f ca="1">SUMIFS('Calculation of Typical Day'!BA$21:BA$500,'Calculation of Typical Day'!$A$21:$A$500,$E$22,'Calculation of Typical Day'!$C$21:$C$500,$D81)</f>
        <v>100.41</v>
      </c>
      <c r="G81" s="715">
        <f>SUMIFS('Calculation of Typical Day'!AU$21:AU$500,'Calculation of Typical Day'!$A$21:$A$500,$E$22,'Calculation of Typical Day'!$C$21:$C$500,$D81,'Calculation of Typical Day'!$AV$21:$AV$500,2)</f>
        <v>0</v>
      </c>
      <c r="H81" s="715">
        <f ca="1">SUMIFS('Calculation of Typical Day'!BU$21:BU$500,'Calculation of Typical Day'!$A$21:$A$500,$E$22,'Calculation of Typical Day'!$C$21:$C$500,$D81)</f>
        <v>32.243651582655218</v>
      </c>
      <c r="I81" s="715">
        <f ca="1">SUMIFS('Calculation of Typical Day'!BX$21:BX$500,'Calculation of Typical Day'!$A$21:$A$500,$E$22,'Calculation of Typical Day'!$C$21:$C$500,$D81)</f>
        <v>60</v>
      </c>
      <c r="J81" s="715">
        <f ca="1">SUMIFS('Calculation of Typical Day'!BY$21:BY$500,'Calculation of Typical Day'!$A$21:$A$500,$E$22,'Calculation of Typical Day'!$C$21:$C$500,$D81)</f>
        <v>1</v>
      </c>
    </row>
    <row r="82" spans="1:43">
      <c r="A82" s="135"/>
      <c r="B82" s="204"/>
      <c r="C82" s="204"/>
      <c r="D82" s="714">
        <v>24</v>
      </c>
      <c r="E82" s="715">
        <f ca="1">SUMIFS('Calculation of Typical Day'!AZ$21:AZ$500,'Calculation of Typical Day'!$A$21:$A$500,$E$22,'Calculation of Typical Day'!$C$21:$C$500,$D82)</f>
        <v>99.46</v>
      </c>
      <c r="F82" s="715">
        <f ca="1">SUMIFS('Calculation of Typical Day'!BA$21:BA$500,'Calculation of Typical Day'!$A$21:$A$500,$E$22,'Calculation of Typical Day'!$C$21:$C$500,$D82)</f>
        <v>99.46</v>
      </c>
      <c r="G82" s="715">
        <f>SUMIFS('Calculation of Typical Day'!AU$21:AU$500,'Calculation of Typical Day'!$A$21:$A$500,$E$22,'Calculation of Typical Day'!$C$21:$C$500,$D82,'Calculation of Typical Day'!$AV$21:$AV$500,2)</f>
        <v>0</v>
      </c>
      <c r="H82" s="715">
        <f ca="1">SUMIFS('Calculation of Typical Day'!BU$21:BU$500,'Calculation of Typical Day'!$A$21:$A$500,$E$22,'Calculation of Typical Day'!$C$21:$C$500,$D82)</f>
        <v>32.359229479278717</v>
      </c>
      <c r="I82" s="715">
        <f ca="1">SUMIFS('Calculation of Typical Day'!BX$21:BX$500,'Calculation of Typical Day'!$A$21:$A$500,$E$22,'Calculation of Typical Day'!$C$21:$C$500,$D82)</f>
        <v>60</v>
      </c>
      <c r="J82" s="715">
        <f ca="1">SUMIFS('Calculation of Typical Day'!BY$21:BY$500,'Calculation of Typical Day'!$A$21:$A$500,$E$22,'Calculation of Typical Day'!$C$21:$C$500,$D82)</f>
        <v>1</v>
      </c>
    </row>
    <row r="83" spans="1:43" s="135" customFormat="1">
      <c r="B83" s="204"/>
      <c r="C83" s="204"/>
      <c r="D83" s="204"/>
      <c r="E83" s="204"/>
      <c r="Y83" s="204"/>
      <c r="AB83" s="204"/>
      <c r="AC83" s="204"/>
      <c r="AD83" s="204"/>
      <c r="AE83" s="204"/>
      <c r="AH83" s="204"/>
      <c r="AI83" s="204"/>
      <c r="AJ83" s="204"/>
      <c r="AK83" s="204"/>
      <c r="AN83" s="204"/>
      <c r="AO83" s="204"/>
      <c r="AP83" s="204"/>
      <c r="AQ83" s="204"/>
    </row>
    <row r="84" spans="1:43" s="135" customFormat="1">
      <c r="B84" s="204"/>
      <c r="C84" s="204"/>
      <c r="D84" s="204"/>
      <c r="E84" s="204"/>
      <c r="Y84" s="204"/>
      <c r="AB84" s="204"/>
      <c r="AC84" s="204"/>
      <c r="AD84" s="204"/>
      <c r="AE84" s="204"/>
      <c r="AH84" s="204"/>
      <c r="AI84" s="204"/>
      <c r="AJ84" s="204"/>
      <c r="AK84" s="204"/>
      <c r="AN84" s="204"/>
      <c r="AO84" s="204"/>
      <c r="AP84" s="204"/>
      <c r="AQ84" s="204"/>
    </row>
    <row r="85" spans="1:43" s="135" customFormat="1">
      <c r="B85" s="204"/>
      <c r="C85" s="204"/>
      <c r="D85" s="204"/>
      <c r="E85" s="204"/>
      <c r="Y85" s="204"/>
      <c r="AB85" s="204"/>
      <c r="AC85" s="204"/>
      <c r="AD85" s="204"/>
      <c r="AE85" s="204"/>
      <c r="AH85" s="204"/>
      <c r="AI85" s="204"/>
      <c r="AJ85" s="204"/>
      <c r="AK85" s="204"/>
      <c r="AN85" s="204"/>
      <c r="AO85" s="204"/>
      <c r="AP85" s="204"/>
      <c r="AQ85" s="204"/>
    </row>
    <row r="86" spans="1:43" ht="19.5" thickBot="1">
      <c r="A86" s="135"/>
      <c r="B86" s="204"/>
      <c r="C86" s="204"/>
      <c r="D86" s="135"/>
      <c r="E86" s="1192" t="str">
        <f>E24</f>
        <v>Spring / fall weekend</v>
      </c>
      <c r="F86" s="1192"/>
      <c r="G86" s="1192"/>
      <c r="H86" s="1192"/>
      <c r="I86" s="1192"/>
      <c r="J86" s="1192"/>
    </row>
    <row r="87" spans="1:43" s="135" customFormat="1" ht="12.75" thickTop="1" thickBot="1">
      <c r="B87" s="204"/>
      <c r="C87" s="204"/>
      <c r="Y87" s="204"/>
      <c r="AB87" s="204"/>
      <c r="AC87" s="204"/>
      <c r="AD87" s="204"/>
      <c r="AE87" s="204"/>
      <c r="AH87" s="204"/>
      <c r="AI87" s="204"/>
      <c r="AJ87" s="204"/>
      <c r="AK87" s="204"/>
      <c r="AN87" s="204"/>
      <c r="AO87" s="204"/>
      <c r="AP87" s="204"/>
      <c r="AQ87" s="204"/>
    </row>
    <row r="88" spans="1:43" ht="21.6" customHeight="1" thickBot="1">
      <c r="A88" s="135"/>
      <c r="B88" s="204"/>
      <c r="C88" s="204"/>
      <c r="D88" s="718" t="s">
        <v>347</v>
      </c>
      <c r="E88" s="720" t="str">
        <f>'Calculation of Typical Day'!I$13</f>
        <v>Flow temperature of data centre cooling system</v>
      </c>
      <c r="F88" s="720" t="str">
        <f>'Calculation of Typical Day'!J$13</f>
        <v xml:space="preserve">Flow Temperature HP </v>
      </c>
      <c r="G88" s="720" t="str">
        <f>'Calculation of Typical Day'!M$13</f>
        <v>DH supply line temperature</v>
      </c>
      <c r="H88" s="720" t="str">
        <f>'Calculation of Typical Day'!O13</f>
        <v>Required temperature sink out</v>
      </c>
      <c r="I88" s="720" t="str">
        <f>'Calculation of Typical Day'!P$13</f>
        <v>DH return line temperature</v>
      </c>
      <c r="J88" s="720" t="str">
        <f>'Calculation of Typical Day'!Q$13</f>
        <v>Temperature heat pump sink in</v>
      </c>
      <c r="K88" s="717" t="s">
        <v>599</v>
      </c>
    </row>
    <row r="89" spans="1:43" ht="12" customHeight="1" thickBot="1">
      <c r="A89" s="135"/>
      <c r="B89" s="204"/>
      <c r="C89" s="204"/>
      <c r="D89" s="618"/>
      <c r="E89" s="618" t="s">
        <v>83</v>
      </c>
      <c r="F89" s="618" t="s">
        <v>83</v>
      </c>
      <c r="G89" s="618" t="s">
        <v>83</v>
      </c>
      <c r="H89" s="618" t="s">
        <v>83</v>
      </c>
      <c r="I89" s="618" t="s">
        <v>83</v>
      </c>
      <c r="J89" s="524" t="s">
        <v>83</v>
      </c>
    </row>
    <row r="90" spans="1:43" ht="10.35" customHeight="1" thickBot="1">
      <c r="A90" s="135"/>
      <c r="B90" s="204"/>
      <c r="C90" s="204"/>
      <c r="D90" s="714">
        <v>1</v>
      </c>
      <c r="E90" s="715">
        <f ca="1">SUMIFS('Calculation of Typical Day'!I$21:I$500,'Calculation of Typical Day'!$A$21:$A$500,$E$22,'Calculation of Typical Day'!$C$21:$C$500,$D90)</f>
        <v>40</v>
      </c>
      <c r="F90" s="715">
        <f ca="1">SUMIFS('Calculation of Typical Day'!J$21:J$500,'Calculation of Typical Day'!$A$21:$A$500,$E$22,'Calculation of Typical Day'!$C$21:$C$500,$D90)</f>
        <v>37</v>
      </c>
      <c r="G90" s="715">
        <f ca="1">SUMIFS('Calculation of Typical Day'!M$21:M$500,'Calculation of Typical Day'!$A$21:$A$500,$E$22,'Calculation of Typical Day'!$C$21:$C$500,$D90)</f>
        <v>86.666666666666657</v>
      </c>
      <c r="H90" s="715">
        <f ca="1">SUMIFS('Calculation of Typical Day'!O$21:O$500,'Calculation of Typical Day'!$A$21:$A$500,$E$22,'Calculation of Typical Day'!$C$21:$C$500,$D90)</f>
        <v>89.666666666666657</v>
      </c>
      <c r="I90" s="715">
        <f ca="1">SUMIFS('Calculation of Typical Day'!P$21:P$500,'Calculation of Typical Day'!$A$21:$A$500,$E$22,'Calculation of Typical Day'!$C$21:$C$500,$D90)</f>
        <v>45</v>
      </c>
      <c r="J90" s="715">
        <f ca="1">SUMIFS('Calculation of Typical Day'!Q$21:Q$500,'Calculation of Typical Day'!$A$21:$A$500,$E$22,'Calculation of Typical Day'!$C$21:$C$500,$D90)</f>
        <v>48</v>
      </c>
      <c r="K90" s="320">
        <f ca="1">SUMIFS('Calculation of Typical Day'!W$21:W$500,'Calculation of Typical Day'!$A$21:$A$500,$E$22,'Calculation of Typical Day'!$C$21:$C$500,$D90)</f>
        <v>3.2486666666666673</v>
      </c>
    </row>
    <row r="91" spans="1:43" ht="10.35" customHeight="1" thickBot="1">
      <c r="A91" s="135"/>
      <c r="B91" s="204"/>
      <c r="C91" s="204"/>
      <c r="D91" s="714">
        <v>2</v>
      </c>
      <c r="E91" s="715">
        <f ca="1">SUMIFS('Calculation of Typical Day'!I$21:I$500,'Calculation of Typical Day'!$A$21:$A$500,$E$22,'Calculation of Typical Day'!$C$21:$C$500,$D91)</f>
        <v>40</v>
      </c>
      <c r="F91" s="715">
        <f ca="1">SUMIFS('Calculation of Typical Day'!J$21:J$500,'Calculation of Typical Day'!$A$21:$A$500,$E$22,'Calculation of Typical Day'!$C$21:$C$500,$D91)</f>
        <v>37</v>
      </c>
      <c r="G91" s="715">
        <f ca="1">SUMIFS('Calculation of Typical Day'!M$21:M$500,'Calculation of Typical Day'!$A$21:$A$500,$E$22,'Calculation of Typical Day'!$C$21:$C$500,$D91)</f>
        <v>86.666666666666657</v>
      </c>
      <c r="H91" s="715">
        <f ca="1">SUMIFS('Calculation of Typical Day'!O$21:O$500,'Calculation of Typical Day'!$A$21:$A$500,$E$22,'Calculation of Typical Day'!$C$21:$C$500,$D91)</f>
        <v>89.666666666666657</v>
      </c>
      <c r="I91" s="715">
        <f ca="1">SUMIFS('Calculation of Typical Day'!P$21:P$500,'Calculation of Typical Day'!$A$21:$A$500,$E$22,'Calculation of Typical Day'!$C$21:$C$500,$D91)</f>
        <v>45</v>
      </c>
      <c r="J91" s="715">
        <f ca="1">SUMIFS('Calculation of Typical Day'!Q$21:Q$500,'Calculation of Typical Day'!$A$21:$A$500,$E$22,'Calculation of Typical Day'!$C$21:$C$500,$D91)</f>
        <v>48</v>
      </c>
      <c r="K91" s="320">
        <f ca="1">SUMIFS('Calculation of Typical Day'!W$21:W$500,'Calculation of Typical Day'!$A$21:$A$500,$E$22,'Calculation of Typical Day'!$C$21:$C$500,$D91)</f>
        <v>3.2486666666666673</v>
      </c>
    </row>
    <row r="92" spans="1:43" ht="10.35" customHeight="1" thickBot="1">
      <c r="A92" s="135"/>
      <c r="B92" s="204"/>
      <c r="C92" s="204"/>
      <c r="D92" s="714">
        <v>3</v>
      </c>
      <c r="E92" s="715">
        <f ca="1">SUMIFS('Calculation of Typical Day'!I$21:I$500,'Calculation of Typical Day'!$A$21:$A$500,$E$22,'Calculation of Typical Day'!$C$21:$C$500,$D92)</f>
        <v>40</v>
      </c>
      <c r="F92" s="715">
        <f ca="1">SUMIFS('Calculation of Typical Day'!J$21:J$500,'Calculation of Typical Day'!$A$21:$A$500,$E$22,'Calculation of Typical Day'!$C$21:$C$500,$D92)</f>
        <v>37</v>
      </c>
      <c r="G92" s="715">
        <f ca="1">SUMIFS('Calculation of Typical Day'!M$21:M$500,'Calculation of Typical Day'!$A$21:$A$500,$E$22,'Calculation of Typical Day'!$C$21:$C$500,$D92)</f>
        <v>86.666666666666657</v>
      </c>
      <c r="H92" s="715">
        <f ca="1">SUMIFS('Calculation of Typical Day'!O$21:O$500,'Calculation of Typical Day'!$A$21:$A$500,$E$22,'Calculation of Typical Day'!$C$21:$C$500,$D92)</f>
        <v>89.666666666666657</v>
      </c>
      <c r="I92" s="715">
        <f ca="1">SUMIFS('Calculation of Typical Day'!P$21:P$500,'Calculation of Typical Day'!$A$21:$A$500,$E$22,'Calculation of Typical Day'!$C$21:$C$500,$D92)</f>
        <v>45</v>
      </c>
      <c r="J92" s="715">
        <f ca="1">SUMIFS('Calculation of Typical Day'!Q$21:Q$500,'Calculation of Typical Day'!$A$21:$A$500,$E$22,'Calculation of Typical Day'!$C$21:$C$500,$D92)</f>
        <v>48</v>
      </c>
      <c r="K92" s="320">
        <f ca="1">SUMIFS('Calculation of Typical Day'!W$21:W$500,'Calculation of Typical Day'!$A$21:$A$500,$E$22,'Calculation of Typical Day'!$C$21:$C$500,$D92)</f>
        <v>3.2486666666666673</v>
      </c>
    </row>
    <row r="93" spans="1:43" ht="10.35" customHeight="1" thickBot="1">
      <c r="A93" s="135"/>
      <c r="B93" s="204"/>
      <c r="C93" s="204"/>
      <c r="D93" s="714">
        <v>4</v>
      </c>
      <c r="E93" s="715">
        <f ca="1">SUMIFS('Calculation of Typical Day'!I$21:I$500,'Calculation of Typical Day'!$A$21:$A$500,$E$22,'Calculation of Typical Day'!$C$21:$C$500,$D93)</f>
        <v>40</v>
      </c>
      <c r="F93" s="715">
        <f ca="1">SUMIFS('Calculation of Typical Day'!J$21:J$500,'Calculation of Typical Day'!$A$21:$A$500,$E$22,'Calculation of Typical Day'!$C$21:$C$500,$D93)</f>
        <v>37</v>
      </c>
      <c r="G93" s="715">
        <f ca="1">SUMIFS('Calculation of Typical Day'!M$21:M$500,'Calculation of Typical Day'!$A$21:$A$500,$E$22,'Calculation of Typical Day'!$C$21:$C$500,$D93)</f>
        <v>88.333333333333329</v>
      </c>
      <c r="H93" s="715">
        <f ca="1">SUMIFS('Calculation of Typical Day'!O$21:O$500,'Calculation of Typical Day'!$A$21:$A$500,$E$22,'Calculation of Typical Day'!$C$21:$C$500,$D93)</f>
        <v>91.333333333333329</v>
      </c>
      <c r="I93" s="715">
        <f ca="1">SUMIFS('Calculation of Typical Day'!P$21:P$500,'Calculation of Typical Day'!$A$21:$A$500,$E$22,'Calculation of Typical Day'!$C$21:$C$500,$D93)</f>
        <v>45</v>
      </c>
      <c r="J93" s="715">
        <f ca="1">SUMIFS('Calculation of Typical Day'!Q$21:Q$500,'Calculation of Typical Day'!$A$21:$A$500,$E$22,'Calculation of Typical Day'!$C$21:$C$500,$D93)</f>
        <v>48</v>
      </c>
      <c r="K93" s="320">
        <f ca="1">SUMIFS('Calculation of Typical Day'!W$21:W$500,'Calculation of Typical Day'!$A$21:$A$500,$E$22,'Calculation of Typical Day'!$C$21:$C$500,$D93)</f>
        <v>3.2053333333333338</v>
      </c>
    </row>
    <row r="94" spans="1:43" ht="10.35" customHeight="1" thickBot="1">
      <c r="A94" s="135"/>
      <c r="B94" s="204"/>
      <c r="C94" s="204"/>
      <c r="D94" s="714">
        <v>5</v>
      </c>
      <c r="E94" s="715">
        <f ca="1">SUMIFS('Calculation of Typical Day'!I$21:I$500,'Calculation of Typical Day'!$A$21:$A$500,$E$22,'Calculation of Typical Day'!$C$21:$C$500,$D94)</f>
        <v>40</v>
      </c>
      <c r="F94" s="715">
        <f ca="1">SUMIFS('Calculation of Typical Day'!J$21:J$500,'Calculation of Typical Day'!$A$21:$A$500,$E$22,'Calculation of Typical Day'!$C$21:$C$500,$D94)</f>
        <v>37</v>
      </c>
      <c r="G94" s="715">
        <f ca="1">SUMIFS('Calculation of Typical Day'!M$21:M$500,'Calculation of Typical Day'!$A$21:$A$500,$E$22,'Calculation of Typical Day'!$C$21:$C$500,$D94)</f>
        <v>90</v>
      </c>
      <c r="H94" s="715">
        <f ca="1">SUMIFS('Calculation of Typical Day'!O$21:O$500,'Calculation of Typical Day'!$A$21:$A$500,$E$22,'Calculation of Typical Day'!$C$21:$C$500,$D94)</f>
        <v>93</v>
      </c>
      <c r="I94" s="715">
        <f ca="1">SUMIFS('Calculation of Typical Day'!P$21:P$500,'Calculation of Typical Day'!$A$21:$A$500,$E$22,'Calculation of Typical Day'!$C$21:$C$500,$D94)</f>
        <v>45</v>
      </c>
      <c r="J94" s="715">
        <f ca="1">SUMIFS('Calculation of Typical Day'!Q$21:Q$500,'Calculation of Typical Day'!$A$21:$A$500,$E$22,'Calculation of Typical Day'!$C$21:$C$500,$D94)</f>
        <v>48</v>
      </c>
      <c r="K94" s="320">
        <f ca="1">SUMIFS('Calculation of Typical Day'!W$21:W$500,'Calculation of Typical Day'!$A$21:$A$500,$E$22,'Calculation of Typical Day'!$C$21:$C$500,$D94)</f>
        <v>3.1620000000000004</v>
      </c>
    </row>
    <row r="95" spans="1:43" ht="10.35" customHeight="1" thickBot="1">
      <c r="A95" s="135"/>
      <c r="B95" s="204"/>
      <c r="C95" s="204"/>
      <c r="D95" s="714">
        <v>6</v>
      </c>
      <c r="E95" s="715">
        <f ca="1">SUMIFS('Calculation of Typical Day'!I$21:I$500,'Calculation of Typical Day'!$A$21:$A$500,$E$22,'Calculation of Typical Day'!$C$21:$C$500,$D95)</f>
        <v>40</v>
      </c>
      <c r="F95" s="715">
        <f ca="1">SUMIFS('Calculation of Typical Day'!J$21:J$500,'Calculation of Typical Day'!$A$21:$A$500,$E$22,'Calculation of Typical Day'!$C$21:$C$500,$D95)</f>
        <v>37</v>
      </c>
      <c r="G95" s="715">
        <f ca="1">SUMIFS('Calculation of Typical Day'!M$21:M$500,'Calculation of Typical Day'!$A$21:$A$500,$E$22,'Calculation of Typical Day'!$C$21:$C$500,$D95)</f>
        <v>88.333333333333329</v>
      </c>
      <c r="H95" s="715">
        <f ca="1">SUMIFS('Calculation of Typical Day'!O$21:O$500,'Calculation of Typical Day'!$A$21:$A$500,$E$22,'Calculation of Typical Day'!$C$21:$C$500,$D95)</f>
        <v>91.333333333333329</v>
      </c>
      <c r="I95" s="715">
        <f ca="1">SUMIFS('Calculation of Typical Day'!P$21:P$500,'Calculation of Typical Day'!$A$21:$A$500,$E$22,'Calculation of Typical Day'!$C$21:$C$500,$D95)</f>
        <v>45</v>
      </c>
      <c r="J95" s="715">
        <f ca="1">SUMIFS('Calculation of Typical Day'!Q$21:Q$500,'Calculation of Typical Day'!$A$21:$A$500,$E$22,'Calculation of Typical Day'!$C$21:$C$500,$D95)</f>
        <v>48</v>
      </c>
      <c r="K95" s="320">
        <f ca="1">SUMIFS('Calculation of Typical Day'!W$21:W$500,'Calculation of Typical Day'!$A$21:$A$500,$E$22,'Calculation of Typical Day'!$C$21:$C$500,$D95)</f>
        <v>3.2053333333333338</v>
      </c>
    </row>
    <row r="96" spans="1:43" ht="10.35" customHeight="1" thickBot="1">
      <c r="A96" s="135"/>
      <c r="B96" s="204"/>
      <c r="C96" s="204"/>
      <c r="D96" s="714">
        <v>7</v>
      </c>
      <c r="E96" s="715">
        <f ca="1">SUMIFS('Calculation of Typical Day'!I$21:I$500,'Calculation of Typical Day'!$A$21:$A$500,$E$22,'Calculation of Typical Day'!$C$21:$C$500,$D96)</f>
        <v>40</v>
      </c>
      <c r="F96" s="715">
        <f ca="1">SUMIFS('Calculation of Typical Day'!J$21:J$500,'Calculation of Typical Day'!$A$21:$A$500,$E$22,'Calculation of Typical Day'!$C$21:$C$500,$D96)</f>
        <v>37</v>
      </c>
      <c r="G96" s="715">
        <f ca="1">SUMIFS('Calculation of Typical Day'!M$21:M$500,'Calculation of Typical Day'!$A$21:$A$500,$E$22,'Calculation of Typical Day'!$C$21:$C$500,$D96)</f>
        <v>88.333333333333329</v>
      </c>
      <c r="H96" s="715">
        <f ca="1">SUMIFS('Calculation of Typical Day'!O$21:O$500,'Calculation of Typical Day'!$A$21:$A$500,$E$22,'Calculation of Typical Day'!$C$21:$C$500,$D96)</f>
        <v>91.333333333333329</v>
      </c>
      <c r="I96" s="715">
        <f ca="1">SUMIFS('Calculation of Typical Day'!P$21:P$500,'Calculation of Typical Day'!$A$21:$A$500,$E$22,'Calculation of Typical Day'!$C$21:$C$500,$D96)</f>
        <v>45</v>
      </c>
      <c r="J96" s="715">
        <f ca="1">SUMIFS('Calculation of Typical Day'!Q$21:Q$500,'Calculation of Typical Day'!$A$21:$A$500,$E$22,'Calculation of Typical Day'!$C$21:$C$500,$D96)</f>
        <v>48</v>
      </c>
      <c r="K96" s="320">
        <f ca="1">SUMIFS('Calculation of Typical Day'!W$21:W$500,'Calculation of Typical Day'!$A$21:$A$500,$E$22,'Calculation of Typical Day'!$C$21:$C$500,$D96)</f>
        <v>3.2053333333333338</v>
      </c>
    </row>
    <row r="97" spans="1:11" ht="10.35" customHeight="1" thickBot="1">
      <c r="A97" s="135"/>
      <c r="B97" s="204"/>
      <c r="C97" s="204"/>
      <c r="D97" s="714">
        <v>8</v>
      </c>
      <c r="E97" s="715">
        <f ca="1">SUMIFS('Calculation of Typical Day'!I$21:I$500,'Calculation of Typical Day'!$A$21:$A$500,$E$22,'Calculation of Typical Day'!$C$21:$C$500,$D97)</f>
        <v>40</v>
      </c>
      <c r="F97" s="715">
        <f ca="1">SUMIFS('Calculation of Typical Day'!J$21:J$500,'Calculation of Typical Day'!$A$21:$A$500,$E$22,'Calculation of Typical Day'!$C$21:$C$500,$D97)</f>
        <v>37</v>
      </c>
      <c r="G97" s="715">
        <f ca="1">SUMIFS('Calculation of Typical Day'!M$21:M$500,'Calculation of Typical Day'!$A$21:$A$500,$E$22,'Calculation of Typical Day'!$C$21:$C$500,$D97)</f>
        <v>86.666666666666657</v>
      </c>
      <c r="H97" s="715">
        <f ca="1">SUMIFS('Calculation of Typical Day'!O$21:O$500,'Calculation of Typical Day'!$A$21:$A$500,$E$22,'Calculation of Typical Day'!$C$21:$C$500,$D97)</f>
        <v>89.666666666666657</v>
      </c>
      <c r="I97" s="715">
        <f ca="1">SUMIFS('Calculation of Typical Day'!P$21:P$500,'Calculation of Typical Day'!$A$21:$A$500,$E$22,'Calculation of Typical Day'!$C$21:$C$500,$D97)</f>
        <v>45</v>
      </c>
      <c r="J97" s="715">
        <f ca="1">SUMIFS('Calculation of Typical Day'!Q$21:Q$500,'Calculation of Typical Day'!$A$21:$A$500,$E$22,'Calculation of Typical Day'!$C$21:$C$500,$D97)</f>
        <v>48</v>
      </c>
      <c r="K97" s="320">
        <f ca="1">SUMIFS('Calculation of Typical Day'!W$21:W$500,'Calculation of Typical Day'!$A$21:$A$500,$E$22,'Calculation of Typical Day'!$C$21:$C$500,$D97)</f>
        <v>3.2486666666666673</v>
      </c>
    </row>
    <row r="98" spans="1:11" ht="10.35" customHeight="1" thickBot="1">
      <c r="A98" s="135"/>
      <c r="B98" s="204"/>
      <c r="C98" s="204"/>
      <c r="D98" s="714">
        <v>9</v>
      </c>
      <c r="E98" s="715">
        <f ca="1">SUMIFS('Calculation of Typical Day'!I$21:I$500,'Calculation of Typical Day'!$A$21:$A$500,$E$22,'Calculation of Typical Day'!$C$21:$C$500,$D98)</f>
        <v>40</v>
      </c>
      <c r="F98" s="715">
        <f ca="1">SUMIFS('Calculation of Typical Day'!J$21:J$500,'Calculation of Typical Day'!$A$21:$A$500,$E$22,'Calculation of Typical Day'!$C$21:$C$500,$D98)</f>
        <v>37</v>
      </c>
      <c r="G98" s="715">
        <f ca="1">SUMIFS('Calculation of Typical Day'!M$21:M$500,'Calculation of Typical Day'!$A$21:$A$500,$E$22,'Calculation of Typical Day'!$C$21:$C$500,$D98)</f>
        <v>85</v>
      </c>
      <c r="H98" s="715">
        <f ca="1">SUMIFS('Calculation of Typical Day'!O$21:O$500,'Calculation of Typical Day'!$A$21:$A$500,$E$22,'Calculation of Typical Day'!$C$21:$C$500,$D98)</f>
        <v>88</v>
      </c>
      <c r="I98" s="715">
        <f ca="1">SUMIFS('Calculation of Typical Day'!P$21:P$500,'Calculation of Typical Day'!$A$21:$A$500,$E$22,'Calculation of Typical Day'!$C$21:$C$500,$D98)</f>
        <v>45</v>
      </c>
      <c r="J98" s="715">
        <f ca="1">SUMIFS('Calculation of Typical Day'!Q$21:Q$500,'Calculation of Typical Day'!$A$21:$A$500,$E$22,'Calculation of Typical Day'!$C$21:$C$500,$D98)</f>
        <v>48</v>
      </c>
      <c r="K98" s="320">
        <f ca="1">SUMIFS('Calculation of Typical Day'!W$21:W$500,'Calculation of Typical Day'!$A$21:$A$500,$E$22,'Calculation of Typical Day'!$C$21:$C$500,$D98)</f>
        <v>3.2920000000000003</v>
      </c>
    </row>
    <row r="99" spans="1:11" ht="10.35" customHeight="1" thickBot="1">
      <c r="A99" s="135"/>
      <c r="B99" s="204"/>
      <c r="C99" s="204"/>
      <c r="D99" s="714">
        <v>10</v>
      </c>
      <c r="E99" s="715">
        <f ca="1">SUMIFS('Calculation of Typical Day'!I$21:I$500,'Calculation of Typical Day'!$A$21:$A$500,$E$22,'Calculation of Typical Day'!$C$21:$C$500,$D99)</f>
        <v>40</v>
      </c>
      <c r="F99" s="715">
        <f ca="1">SUMIFS('Calculation of Typical Day'!J$21:J$500,'Calculation of Typical Day'!$A$21:$A$500,$E$22,'Calculation of Typical Day'!$C$21:$C$500,$D99)</f>
        <v>37</v>
      </c>
      <c r="G99" s="715">
        <f ca="1">SUMIFS('Calculation of Typical Day'!M$21:M$500,'Calculation of Typical Day'!$A$21:$A$500,$E$22,'Calculation of Typical Day'!$C$21:$C$500,$D99)</f>
        <v>83.333333333333314</v>
      </c>
      <c r="H99" s="715">
        <f ca="1">SUMIFS('Calculation of Typical Day'!O$21:O$500,'Calculation of Typical Day'!$A$21:$A$500,$E$22,'Calculation of Typical Day'!$C$21:$C$500,$D99)</f>
        <v>86.333333333333314</v>
      </c>
      <c r="I99" s="715">
        <f ca="1">SUMIFS('Calculation of Typical Day'!P$21:P$500,'Calculation of Typical Day'!$A$21:$A$500,$E$22,'Calculation of Typical Day'!$C$21:$C$500,$D99)</f>
        <v>45</v>
      </c>
      <c r="J99" s="715">
        <f ca="1">SUMIFS('Calculation of Typical Day'!Q$21:Q$500,'Calculation of Typical Day'!$A$21:$A$500,$E$22,'Calculation of Typical Day'!$C$21:$C$500,$D99)</f>
        <v>48</v>
      </c>
      <c r="K99" s="320">
        <f ca="1">SUMIFS('Calculation of Typical Day'!W$21:W$500,'Calculation of Typical Day'!$A$21:$A$500,$E$22,'Calculation of Typical Day'!$C$21:$C$500,$D99)</f>
        <v>3.3353333333333341</v>
      </c>
    </row>
    <row r="100" spans="1:11" ht="10.35" customHeight="1" thickBot="1">
      <c r="A100" s="135"/>
      <c r="B100" s="204"/>
      <c r="C100" s="204"/>
      <c r="D100" s="714">
        <v>11</v>
      </c>
      <c r="E100" s="715">
        <f ca="1">SUMIFS('Calculation of Typical Day'!I$21:I$500,'Calculation of Typical Day'!$A$21:$A$500,$E$22,'Calculation of Typical Day'!$C$21:$C$500,$D100)</f>
        <v>40</v>
      </c>
      <c r="F100" s="715">
        <f ca="1">SUMIFS('Calculation of Typical Day'!J$21:J$500,'Calculation of Typical Day'!$A$21:$A$500,$E$22,'Calculation of Typical Day'!$C$21:$C$500,$D100)</f>
        <v>37</v>
      </c>
      <c r="G100" s="715">
        <f ca="1">SUMIFS('Calculation of Typical Day'!M$21:M$500,'Calculation of Typical Day'!$A$21:$A$500,$E$22,'Calculation of Typical Day'!$C$21:$C$500,$D100)</f>
        <v>81.666666666666643</v>
      </c>
      <c r="H100" s="715">
        <f ca="1">SUMIFS('Calculation of Typical Day'!O$21:O$500,'Calculation of Typical Day'!$A$21:$A$500,$E$22,'Calculation of Typical Day'!$C$21:$C$500,$D100)</f>
        <v>84.666666666666643</v>
      </c>
      <c r="I100" s="715">
        <f ca="1">SUMIFS('Calculation of Typical Day'!P$21:P$500,'Calculation of Typical Day'!$A$21:$A$500,$E$22,'Calculation of Typical Day'!$C$21:$C$500,$D100)</f>
        <v>45</v>
      </c>
      <c r="J100" s="715">
        <f ca="1">SUMIFS('Calculation of Typical Day'!Q$21:Q$500,'Calculation of Typical Day'!$A$21:$A$500,$E$22,'Calculation of Typical Day'!$C$21:$C$500,$D100)</f>
        <v>48</v>
      </c>
      <c r="K100" s="320">
        <f ca="1">SUMIFS('Calculation of Typical Day'!W$21:W$500,'Calculation of Typical Day'!$A$21:$A$500,$E$22,'Calculation of Typical Day'!$C$21:$C$500,$D100)</f>
        <v>3.3786666666666676</v>
      </c>
    </row>
    <row r="101" spans="1:11" ht="10.35" customHeight="1" thickBot="1">
      <c r="A101" s="135"/>
      <c r="B101" s="204"/>
      <c r="C101" s="204"/>
      <c r="D101" s="714">
        <v>12</v>
      </c>
      <c r="E101" s="715">
        <f ca="1">SUMIFS('Calculation of Typical Day'!I$21:I$500,'Calculation of Typical Day'!$A$21:$A$500,$E$22,'Calculation of Typical Day'!$C$21:$C$500,$D101)</f>
        <v>40</v>
      </c>
      <c r="F101" s="715">
        <f ca="1">SUMIFS('Calculation of Typical Day'!J$21:J$500,'Calculation of Typical Day'!$A$21:$A$500,$E$22,'Calculation of Typical Day'!$C$21:$C$500,$D101)</f>
        <v>37</v>
      </c>
      <c r="G101" s="715">
        <f ca="1">SUMIFS('Calculation of Typical Day'!M$21:M$500,'Calculation of Typical Day'!$A$21:$A$500,$E$22,'Calculation of Typical Day'!$C$21:$C$500,$D101)</f>
        <v>80</v>
      </c>
      <c r="H101" s="715">
        <f ca="1">SUMIFS('Calculation of Typical Day'!O$21:O$500,'Calculation of Typical Day'!$A$21:$A$500,$E$22,'Calculation of Typical Day'!$C$21:$C$500,$D101)</f>
        <v>83</v>
      </c>
      <c r="I101" s="715">
        <f ca="1">SUMIFS('Calculation of Typical Day'!P$21:P$500,'Calculation of Typical Day'!$A$21:$A$500,$E$22,'Calculation of Typical Day'!$C$21:$C$500,$D101)</f>
        <v>45</v>
      </c>
      <c r="J101" s="715">
        <f ca="1">SUMIFS('Calculation of Typical Day'!Q$21:Q$500,'Calculation of Typical Day'!$A$21:$A$500,$E$22,'Calculation of Typical Day'!$C$21:$C$500,$D101)</f>
        <v>48</v>
      </c>
      <c r="K101" s="320">
        <f ca="1">SUMIFS('Calculation of Typical Day'!W$21:W$500,'Calculation of Typical Day'!$A$21:$A$500,$E$22,'Calculation of Typical Day'!$C$21:$C$500,$D101)</f>
        <v>3.4220000000000002</v>
      </c>
    </row>
    <row r="102" spans="1:11" ht="10.35" customHeight="1" thickBot="1">
      <c r="A102" s="135"/>
      <c r="B102" s="204"/>
      <c r="C102" s="204"/>
      <c r="D102" s="714">
        <v>13</v>
      </c>
      <c r="E102" s="715">
        <f ca="1">SUMIFS('Calculation of Typical Day'!I$21:I$500,'Calculation of Typical Day'!$A$21:$A$500,$E$22,'Calculation of Typical Day'!$C$21:$C$500,$D102)</f>
        <v>40</v>
      </c>
      <c r="F102" s="715">
        <f ca="1">SUMIFS('Calculation of Typical Day'!J$21:J$500,'Calculation of Typical Day'!$A$21:$A$500,$E$22,'Calculation of Typical Day'!$C$21:$C$500,$D102)</f>
        <v>37</v>
      </c>
      <c r="G102" s="715">
        <f ca="1">SUMIFS('Calculation of Typical Day'!M$21:M$500,'Calculation of Typical Day'!$A$21:$A$500,$E$22,'Calculation of Typical Day'!$C$21:$C$500,$D102)</f>
        <v>78.3333333333333</v>
      </c>
      <c r="H102" s="715">
        <f ca="1">SUMIFS('Calculation of Typical Day'!O$21:O$500,'Calculation of Typical Day'!$A$21:$A$500,$E$22,'Calculation of Typical Day'!$C$21:$C$500,$D102)</f>
        <v>81.3333333333333</v>
      </c>
      <c r="I102" s="715">
        <f ca="1">SUMIFS('Calculation of Typical Day'!P$21:P$500,'Calculation of Typical Day'!$A$21:$A$500,$E$22,'Calculation of Typical Day'!$C$21:$C$500,$D102)</f>
        <v>45</v>
      </c>
      <c r="J102" s="715">
        <f ca="1">SUMIFS('Calculation of Typical Day'!Q$21:Q$500,'Calculation of Typical Day'!$A$21:$A$500,$E$22,'Calculation of Typical Day'!$C$21:$C$500,$D102)</f>
        <v>48</v>
      </c>
      <c r="K102" s="320">
        <f ca="1">SUMIFS('Calculation of Typical Day'!W$21:W$500,'Calculation of Typical Day'!$A$21:$A$500,$E$22,'Calculation of Typical Day'!$C$21:$C$500,$D102)</f>
        <v>3.4653333333333345</v>
      </c>
    </row>
    <row r="103" spans="1:11" ht="10.35" customHeight="1" thickBot="1">
      <c r="A103" s="135"/>
      <c r="B103" s="204"/>
      <c r="C103" s="204"/>
      <c r="D103" s="714">
        <v>14</v>
      </c>
      <c r="E103" s="715">
        <f ca="1">SUMIFS('Calculation of Typical Day'!I$21:I$500,'Calculation of Typical Day'!$A$21:$A$500,$E$22,'Calculation of Typical Day'!$C$21:$C$500,$D103)</f>
        <v>40</v>
      </c>
      <c r="F103" s="715">
        <f ca="1">SUMIFS('Calculation of Typical Day'!J$21:J$500,'Calculation of Typical Day'!$A$21:$A$500,$E$22,'Calculation of Typical Day'!$C$21:$C$500,$D103)</f>
        <v>37</v>
      </c>
      <c r="G103" s="715">
        <f ca="1">SUMIFS('Calculation of Typical Day'!M$21:M$500,'Calculation of Typical Day'!$A$21:$A$500,$E$22,'Calculation of Typical Day'!$C$21:$C$500,$D103)</f>
        <v>76.666666666666629</v>
      </c>
      <c r="H103" s="715">
        <f ca="1">SUMIFS('Calculation of Typical Day'!O$21:O$500,'Calculation of Typical Day'!$A$21:$A$500,$E$22,'Calculation of Typical Day'!$C$21:$C$500,$D103)</f>
        <v>79.666666666666629</v>
      </c>
      <c r="I103" s="715">
        <f ca="1">SUMIFS('Calculation of Typical Day'!P$21:P$500,'Calculation of Typical Day'!$A$21:$A$500,$E$22,'Calculation of Typical Day'!$C$21:$C$500,$D103)</f>
        <v>45</v>
      </c>
      <c r="J103" s="715">
        <f ca="1">SUMIFS('Calculation of Typical Day'!Q$21:Q$500,'Calculation of Typical Day'!$A$21:$A$500,$E$22,'Calculation of Typical Day'!$C$21:$C$500,$D103)</f>
        <v>48</v>
      </c>
      <c r="K103" s="320">
        <f ca="1">SUMIFS('Calculation of Typical Day'!W$21:W$500,'Calculation of Typical Day'!$A$21:$A$500,$E$22,'Calculation of Typical Day'!$C$21:$C$500,$D103)</f>
        <v>3.5086666666666679</v>
      </c>
    </row>
    <row r="104" spans="1:11" ht="10.35" customHeight="1" thickBot="1">
      <c r="A104" s="135"/>
      <c r="B104" s="204"/>
      <c r="C104" s="204"/>
      <c r="D104" s="714">
        <v>15</v>
      </c>
      <c r="E104" s="715">
        <f ca="1">SUMIFS('Calculation of Typical Day'!I$21:I$500,'Calculation of Typical Day'!$A$21:$A$500,$E$22,'Calculation of Typical Day'!$C$21:$C$500,$D104)</f>
        <v>40</v>
      </c>
      <c r="F104" s="715">
        <f ca="1">SUMIFS('Calculation of Typical Day'!J$21:J$500,'Calculation of Typical Day'!$A$21:$A$500,$E$22,'Calculation of Typical Day'!$C$21:$C$500,$D104)</f>
        <v>37</v>
      </c>
      <c r="G104" s="715">
        <f ca="1">SUMIFS('Calculation of Typical Day'!M$21:M$500,'Calculation of Typical Day'!$A$21:$A$500,$E$22,'Calculation of Typical Day'!$C$21:$C$500,$D104)</f>
        <v>76.666666666666629</v>
      </c>
      <c r="H104" s="715">
        <f ca="1">SUMIFS('Calculation of Typical Day'!O$21:O$500,'Calculation of Typical Day'!$A$21:$A$500,$E$22,'Calculation of Typical Day'!$C$21:$C$500,$D104)</f>
        <v>79.666666666666629</v>
      </c>
      <c r="I104" s="715">
        <f ca="1">SUMIFS('Calculation of Typical Day'!P$21:P$500,'Calculation of Typical Day'!$A$21:$A$500,$E$22,'Calculation of Typical Day'!$C$21:$C$500,$D104)</f>
        <v>45</v>
      </c>
      <c r="J104" s="715">
        <f ca="1">SUMIFS('Calculation of Typical Day'!Q$21:Q$500,'Calculation of Typical Day'!$A$21:$A$500,$E$22,'Calculation of Typical Day'!$C$21:$C$500,$D104)</f>
        <v>48</v>
      </c>
      <c r="K104" s="320">
        <f ca="1">SUMIFS('Calculation of Typical Day'!W$21:W$500,'Calculation of Typical Day'!$A$21:$A$500,$E$22,'Calculation of Typical Day'!$C$21:$C$500,$D104)</f>
        <v>3.5086666666666679</v>
      </c>
    </row>
    <row r="105" spans="1:11" ht="10.35" customHeight="1" thickBot="1">
      <c r="A105" s="135"/>
      <c r="B105" s="204"/>
      <c r="C105" s="204"/>
      <c r="D105" s="714">
        <v>16</v>
      </c>
      <c r="E105" s="715">
        <f ca="1">SUMIFS('Calculation of Typical Day'!I$21:I$500,'Calculation of Typical Day'!$A$21:$A$500,$E$22,'Calculation of Typical Day'!$C$21:$C$500,$D105)</f>
        <v>40</v>
      </c>
      <c r="F105" s="715">
        <f ca="1">SUMIFS('Calculation of Typical Day'!J$21:J$500,'Calculation of Typical Day'!$A$21:$A$500,$E$22,'Calculation of Typical Day'!$C$21:$C$500,$D105)</f>
        <v>37</v>
      </c>
      <c r="G105" s="715">
        <f ca="1">SUMIFS('Calculation of Typical Day'!M$21:M$500,'Calculation of Typical Day'!$A$21:$A$500,$E$22,'Calculation of Typical Day'!$C$21:$C$500,$D105)</f>
        <v>75</v>
      </c>
      <c r="H105" s="715">
        <f ca="1">SUMIFS('Calculation of Typical Day'!O$21:O$500,'Calculation of Typical Day'!$A$21:$A$500,$E$22,'Calculation of Typical Day'!$C$21:$C$500,$D105)</f>
        <v>78</v>
      </c>
      <c r="I105" s="715">
        <f ca="1">SUMIFS('Calculation of Typical Day'!P$21:P$500,'Calculation of Typical Day'!$A$21:$A$500,$E$22,'Calculation of Typical Day'!$C$21:$C$500,$D105)</f>
        <v>45</v>
      </c>
      <c r="J105" s="715">
        <f ca="1">SUMIFS('Calculation of Typical Day'!Q$21:Q$500,'Calculation of Typical Day'!$A$21:$A$500,$E$22,'Calculation of Typical Day'!$C$21:$C$500,$D105)</f>
        <v>48</v>
      </c>
      <c r="K105" s="320">
        <f ca="1">SUMIFS('Calculation of Typical Day'!W$21:W$500,'Calculation of Typical Day'!$A$21:$A$500,$E$22,'Calculation of Typical Day'!$C$21:$C$500,$D105)</f>
        <v>3.552</v>
      </c>
    </row>
    <row r="106" spans="1:11" ht="10.35" customHeight="1" thickBot="1">
      <c r="A106" s="135"/>
      <c r="B106" s="204"/>
      <c r="C106" s="204"/>
      <c r="D106" s="714">
        <v>17</v>
      </c>
      <c r="E106" s="715">
        <f ca="1">SUMIFS('Calculation of Typical Day'!I$21:I$500,'Calculation of Typical Day'!$A$21:$A$500,$E$22,'Calculation of Typical Day'!$C$21:$C$500,$D106)</f>
        <v>40</v>
      </c>
      <c r="F106" s="715">
        <f ca="1">SUMIFS('Calculation of Typical Day'!J$21:J$500,'Calculation of Typical Day'!$A$21:$A$500,$E$22,'Calculation of Typical Day'!$C$21:$C$500,$D106)</f>
        <v>37</v>
      </c>
      <c r="G106" s="715">
        <f ca="1">SUMIFS('Calculation of Typical Day'!M$21:M$500,'Calculation of Typical Day'!$A$21:$A$500,$E$22,'Calculation of Typical Day'!$C$21:$C$500,$D106)</f>
        <v>76.666666666666629</v>
      </c>
      <c r="H106" s="715">
        <f ca="1">SUMIFS('Calculation of Typical Day'!O$21:O$500,'Calculation of Typical Day'!$A$21:$A$500,$E$22,'Calculation of Typical Day'!$C$21:$C$500,$D106)</f>
        <v>79.666666666666629</v>
      </c>
      <c r="I106" s="715">
        <f ca="1">SUMIFS('Calculation of Typical Day'!P$21:P$500,'Calculation of Typical Day'!$A$21:$A$500,$E$22,'Calculation of Typical Day'!$C$21:$C$500,$D106)</f>
        <v>45</v>
      </c>
      <c r="J106" s="715">
        <f ca="1">SUMIFS('Calculation of Typical Day'!Q$21:Q$500,'Calculation of Typical Day'!$A$21:$A$500,$E$22,'Calculation of Typical Day'!$C$21:$C$500,$D106)</f>
        <v>48</v>
      </c>
      <c r="K106" s="320">
        <f ca="1">SUMIFS('Calculation of Typical Day'!W$21:W$500,'Calculation of Typical Day'!$A$21:$A$500,$E$22,'Calculation of Typical Day'!$C$21:$C$500,$D106)</f>
        <v>3.5086666666666679</v>
      </c>
    </row>
    <row r="107" spans="1:11" ht="10.35" customHeight="1" thickBot="1">
      <c r="A107" s="135"/>
      <c r="B107" s="204"/>
      <c r="C107" s="204"/>
      <c r="D107" s="714">
        <v>18</v>
      </c>
      <c r="E107" s="715">
        <f ca="1">SUMIFS('Calculation of Typical Day'!I$21:I$500,'Calculation of Typical Day'!$A$21:$A$500,$E$22,'Calculation of Typical Day'!$C$21:$C$500,$D107)</f>
        <v>40</v>
      </c>
      <c r="F107" s="715">
        <f ca="1">SUMIFS('Calculation of Typical Day'!J$21:J$500,'Calculation of Typical Day'!$A$21:$A$500,$E$22,'Calculation of Typical Day'!$C$21:$C$500,$D107)</f>
        <v>37</v>
      </c>
      <c r="G107" s="715">
        <f ca="1">SUMIFS('Calculation of Typical Day'!M$21:M$500,'Calculation of Typical Day'!$A$21:$A$500,$E$22,'Calculation of Typical Day'!$C$21:$C$500,$D107)</f>
        <v>78.3333333333333</v>
      </c>
      <c r="H107" s="715">
        <f ca="1">SUMIFS('Calculation of Typical Day'!O$21:O$500,'Calculation of Typical Day'!$A$21:$A$500,$E$22,'Calculation of Typical Day'!$C$21:$C$500,$D107)</f>
        <v>81.3333333333333</v>
      </c>
      <c r="I107" s="715">
        <f ca="1">SUMIFS('Calculation of Typical Day'!P$21:P$500,'Calculation of Typical Day'!$A$21:$A$500,$E$22,'Calculation of Typical Day'!$C$21:$C$500,$D107)</f>
        <v>45</v>
      </c>
      <c r="J107" s="715">
        <f ca="1">SUMIFS('Calculation of Typical Day'!Q$21:Q$500,'Calculation of Typical Day'!$A$21:$A$500,$E$22,'Calculation of Typical Day'!$C$21:$C$500,$D107)</f>
        <v>48</v>
      </c>
      <c r="K107" s="320">
        <f ca="1">SUMIFS('Calculation of Typical Day'!W$21:W$500,'Calculation of Typical Day'!$A$21:$A$500,$E$22,'Calculation of Typical Day'!$C$21:$C$500,$D107)</f>
        <v>3.4653333333333345</v>
      </c>
    </row>
    <row r="108" spans="1:11" ht="10.35" customHeight="1" thickBot="1">
      <c r="A108" s="135"/>
      <c r="B108" s="204"/>
      <c r="C108" s="204"/>
      <c r="D108" s="714">
        <v>19</v>
      </c>
      <c r="E108" s="715">
        <f ca="1">SUMIFS('Calculation of Typical Day'!I$21:I$500,'Calculation of Typical Day'!$A$21:$A$500,$E$22,'Calculation of Typical Day'!$C$21:$C$500,$D108)</f>
        <v>40</v>
      </c>
      <c r="F108" s="715">
        <f ca="1">SUMIFS('Calculation of Typical Day'!J$21:J$500,'Calculation of Typical Day'!$A$21:$A$500,$E$22,'Calculation of Typical Day'!$C$21:$C$500,$D108)</f>
        <v>37</v>
      </c>
      <c r="G108" s="715">
        <f ca="1">SUMIFS('Calculation of Typical Day'!M$21:M$500,'Calculation of Typical Day'!$A$21:$A$500,$E$22,'Calculation of Typical Day'!$C$21:$C$500,$D108)</f>
        <v>80</v>
      </c>
      <c r="H108" s="715">
        <f ca="1">SUMIFS('Calculation of Typical Day'!O$21:O$500,'Calculation of Typical Day'!$A$21:$A$500,$E$22,'Calculation of Typical Day'!$C$21:$C$500,$D108)</f>
        <v>83</v>
      </c>
      <c r="I108" s="715">
        <f ca="1">SUMIFS('Calculation of Typical Day'!P$21:P$500,'Calculation of Typical Day'!$A$21:$A$500,$E$22,'Calculation of Typical Day'!$C$21:$C$500,$D108)</f>
        <v>45</v>
      </c>
      <c r="J108" s="715">
        <f ca="1">SUMIFS('Calculation of Typical Day'!Q$21:Q$500,'Calculation of Typical Day'!$A$21:$A$500,$E$22,'Calculation of Typical Day'!$C$21:$C$500,$D108)</f>
        <v>48</v>
      </c>
      <c r="K108" s="320">
        <f ca="1">SUMIFS('Calculation of Typical Day'!W$21:W$500,'Calculation of Typical Day'!$A$21:$A$500,$E$22,'Calculation of Typical Day'!$C$21:$C$500,$D108)</f>
        <v>3.4220000000000002</v>
      </c>
    </row>
    <row r="109" spans="1:11" ht="10.35" customHeight="1" thickBot="1">
      <c r="A109" s="135"/>
      <c r="B109" s="204"/>
      <c r="C109" s="204"/>
      <c r="D109" s="714">
        <v>20</v>
      </c>
      <c r="E109" s="715">
        <f ca="1">SUMIFS('Calculation of Typical Day'!I$21:I$500,'Calculation of Typical Day'!$A$21:$A$500,$E$22,'Calculation of Typical Day'!$C$21:$C$500,$D109)</f>
        <v>40</v>
      </c>
      <c r="F109" s="715">
        <f ca="1">SUMIFS('Calculation of Typical Day'!J$21:J$500,'Calculation of Typical Day'!$A$21:$A$500,$E$22,'Calculation of Typical Day'!$C$21:$C$500,$D109)</f>
        <v>37</v>
      </c>
      <c r="G109" s="715">
        <f ca="1">SUMIFS('Calculation of Typical Day'!M$21:M$500,'Calculation of Typical Day'!$A$21:$A$500,$E$22,'Calculation of Typical Day'!$C$21:$C$500,$D109)</f>
        <v>81.666666666666643</v>
      </c>
      <c r="H109" s="715">
        <f ca="1">SUMIFS('Calculation of Typical Day'!O$21:O$500,'Calculation of Typical Day'!$A$21:$A$500,$E$22,'Calculation of Typical Day'!$C$21:$C$500,$D109)</f>
        <v>84.666666666666643</v>
      </c>
      <c r="I109" s="715">
        <f ca="1">SUMIFS('Calculation of Typical Day'!P$21:P$500,'Calculation of Typical Day'!$A$21:$A$500,$E$22,'Calculation of Typical Day'!$C$21:$C$500,$D109)</f>
        <v>45</v>
      </c>
      <c r="J109" s="715">
        <f ca="1">SUMIFS('Calculation of Typical Day'!Q$21:Q$500,'Calculation of Typical Day'!$A$21:$A$500,$E$22,'Calculation of Typical Day'!$C$21:$C$500,$D109)</f>
        <v>48</v>
      </c>
      <c r="K109" s="320">
        <f ca="1">SUMIFS('Calculation of Typical Day'!W$21:W$500,'Calculation of Typical Day'!$A$21:$A$500,$E$22,'Calculation of Typical Day'!$C$21:$C$500,$D109)</f>
        <v>3.3786666666666676</v>
      </c>
    </row>
    <row r="110" spans="1:11" ht="10.35" customHeight="1" thickBot="1">
      <c r="A110" s="135"/>
      <c r="B110" s="204"/>
      <c r="C110" s="204"/>
      <c r="D110" s="714">
        <v>21</v>
      </c>
      <c r="E110" s="715">
        <f ca="1">SUMIFS('Calculation of Typical Day'!I$21:I$500,'Calculation of Typical Day'!$A$21:$A$500,$E$22,'Calculation of Typical Day'!$C$21:$C$500,$D110)</f>
        <v>40</v>
      </c>
      <c r="F110" s="715">
        <f ca="1">SUMIFS('Calculation of Typical Day'!J$21:J$500,'Calculation of Typical Day'!$A$21:$A$500,$E$22,'Calculation of Typical Day'!$C$21:$C$500,$D110)</f>
        <v>37</v>
      </c>
      <c r="G110" s="715">
        <f ca="1">SUMIFS('Calculation of Typical Day'!M$21:M$500,'Calculation of Typical Day'!$A$21:$A$500,$E$22,'Calculation of Typical Day'!$C$21:$C$500,$D110)</f>
        <v>83.333333333333314</v>
      </c>
      <c r="H110" s="715">
        <f ca="1">SUMIFS('Calculation of Typical Day'!O$21:O$500,'Calculation of Typical Day'!$A$21:$A$500,$E$22,'Calculation of Typical Day'!$C$21:$C$500,$D110)</f>
        <v>86.333333333333314</v>
      </c>
      <c r="I110" s="715">
        <f ca="1">SUMIFS('Calculation of Typical Day'!P$21:P$500,'Calculation of Typical Day'!$A$21:$A$500,$E$22,'Calculation of Typical Day'!$C$21:$C$500,$D110)</f>
        <v>45</v>
      </c>
      <c r="J110" s="715">
        <f ca="1">SUMIFS('Calculation of Typical Day'!Q$21:Q$500,'Calculation of Typical Day'!$A$21:$A$500,$E$22,'Calculation of Typical Day'!$C$21:$C$500,$D110)</f>
        <v>48</v>
      </c>
      <c r="K110" s="320">
        <f ca="1">SUMIFS('Calculation of Typical Day'!W$21:W$500,'Calculation of Typical Day'!$A$21:$A$500,$E$22,'Calculation of Typical Day'!$C$21:$C$500,$D110)</f>
        <v>3.3353333333333341</v>
      </c>
    </row>
    <row r="111" spans="1:11" ht="10.35" customHeight="1" thickBot="1">
      <c r="A111" s="135"/>
      <c r="B111" s="204"/>
      <c r="C111" s="204"/>
      <c r="D111" s="714">
        <v>22</v>
      </c>
      <c r="E111" s="715">
        <f ca="1">SUMIFS('Calculation of Typical Day'!I$21:I$500,'Calculation of Typical Day'!$A$21:$A$500,$E$22,'Calculation of Typical Day'!$C$21:$C$500,$D111)</f>
        <v>40</v>
      </c>
      <c r="F111" s="715">
        <f ca="1">SUMIFS('Calculation of Typical Day'!J$21:J$500,'Calculation of Typical Day'!$A$21:$A$500,$E$22,'Calculation of Typical Day'!$C$21:$C$500,$D111)</f>
        <v>37</v>
      </c>
      <c r="G111" s="715">
        <f ca="1">SUMIFS('Calculation of Typical Day'!M$21:M$500,'Calculation of Typical Day'!$A$21:$A$500,$E$22,'Calculation of Typical Day'!$C$21:$C$500,$D111)</f>
        <v>84.999999999999986</v>
      </c>
      <c r="H111" s="715">
        <f ca="1">SUMIFS('Calculation of Typical Day'!O$21:O$500,'Calculation of Typical Day'!$A$21:$A$500,$E$22,'Calculation of Typical Day'!$C$21:$C$500,$D111)</f>
        <v>87.999999999999986</v>
      </c>
      <c r="I111" s="715">
        <f ca="1">SUMIFS('Calculation of Typical Day'!P$21:P$500,'Calculation of Typical Day'!$A$21:$A$500,$E$22,'Calculation of Typical Day'!$C$21:$C$500,$D111)</f>
        <v>45</v>
      </c>
      <c r="J111" s="715">
        <f ca="1">SUMIFS('Calculation of Typical Day'!Q$21:Q$500,'Calculation of Typical Day'!$A$21:$A$500,$E$22,'Calculation of Typical Day'!$C$21:$C$500,$D111)</f>
        <v>48</v>
      </c>
      <c r="K111" s="320">
        <f ca="1">SUMIFS('Calculation of Typical Day'!W$21:W$500,'Calculation of Typical Day'!$A$21:$A$500,$E$22,'Calculation of Typical Day'!$C$21:$C$500,$D111)</f>
        <v>3.2920000000000007</v>
      </c>
    </row>
    <row r="112" spans="1:11" ht="10.35" customHeight="1" thickBot="1">
      <c r="A112" s="135"/>
      <c r="B112" s="204"/>
      <c r="C112" s="204"/>
      <c r="D112" s="714">
        <v>23</v>
      </c>
      <c r="E112" s="715">
        <f ca="1">SUMIFS('Calculation of Typical Day'!I$21:I$500,'Calculation of Typical Day'!$A$21:$A$500,$E$22,'Calculation of Typical Day'!$C$21:$C$500,$D112)</f>
        <v>40</v>
      </c>
      <c r="F112" s="715">
        <f ca="1">SUMIFS('Calculation of Typical Day'!J$21:J$500,'Calculation of Typical Day'!$A$21:$A$500,$E$22,'Calculation of Typical Day'!$C$21:$C$500,$D112)</f>
        <v>37</v>
      </c>
      <c r="G112" s="715">
        <f ca="1">SUMIFS('Calculation of Typical Day'!M$21:M$500,'Calculation of Typical Day'!$A$21:$A$500,$E$22,'Calculation of Typical Day'!$C$21:$C$500,$D112)</f>
        <v>84.999999999999986</v>
      </c>
      <c r="H112" s="715">
        <f ca="1">SUMIFS('Calculation of Typical Day'!O$21:O$500,'Calculation of Typical Day'!$A$21:$A$500,$E$22,'Calculation of Typical Day'!$C$21:$C$500,$D112)</f>
        <v>87.999999999999986</v>
      </c>
      <c r="I112" s="715">
        <f ca="1">SUMIFS('Calculation of Typical Day'!P$21:P$500,'Calculation of Typical Day'!$A$21:$A$500,$E$22,'Calculation of Typical Day'!$C$21:$C$500,$D112)</f>
        <v>45</v>
      </c>
      <c r="J112" s="715">
        <f ca="1">SUMIFS('Calculation of Typical Day'!Q$21:Q$500,'Calculation of Typical Day'!$A$21:$A$500,$E$22,'Calculation of Typical Day'!$C$21:$C$500,$D112)</f>
        <v>48</v>
      </c>
      <c r="K112" s="320">
        <f ca="1">SUMIFS('Calculation of Typical Day'!W$21:W$500,'Calculation of Typical Day'!$A$21:$A$500,$E$22,'Calculation of Typical Day'!$C$21:$C$500,$D112)</f>
        <v>3.2920000000000007</v>
      </c>
    </row>
    <row r="113" spans="1:43" ht="10.35" customHeight="1" thickBot="1">
      <c r="A113" s="135"/>
      <c r="B113" s="204"/>
      <c r="C113" s="204"/>
      <c r="D113" s="714">
        <v>24</v>
      </c>
      <c r="E113" s="715">
        <f ca="1">SUMIFS('Calculation of Typical Day'!I$21:I$500,'Calculation of Typical Day'!$A$21:$A$500,$E$22,'Calculation of Typical Day'!$C$21:$C$500,$D113)</f>
        <v>40</v>
      </c>
      <c r="F113" s="715">
        <f ca="1">SUMIFS('Calculation of Typical Day'!J$21:J$500,'Calculation of Typical Day'!$A$21:$A$500,$E$22,'Calculation of Typical Day'!$C$21:$C$500,$D113)</f>
        <v>37</v>
      </c>
      <c r="G113" s="715">
        <f ca="1">SUMIFS('Calculation of Typical Day'!M$21:M$500,'Calculation of Typical Day'!$A$21:$A$500,$E$22,'Calculation of Typical Day'!$C$21:$C$500,$D113)</f>
        <v>86.666666666666657</v>
      </c>
      <c r="H113" s="715">
        <f ca="1">SUMIFS('Calculation of Typical Day'!O$21:O$500,'Calculation of Typical Day'!$A$21:$A$500,$E$22,'Calculation of Typical Day'!$C$21:$C$500,$D113)</f>
        <v>89.666666666666657</v>
      </c>
      <c r="I113" s="715">
        <f ca="1">SUMIFS('Calculation of Typical Day'!P$21:P$500,'Calculation of Typical Day'!$A$21:$A$500,$E$22,'Calculation of Typical Day'!$C$21:$C$500,$D113)</f>
        <v>45</v>
      </c>
      <c r="J113" s="715">
        <f ca="1">SUMIFS('Calculation of Typical Day'!Q$21:Q$500,'Calculation of Typical Day'!$A$21:$A$500,$E$22,'Calculation of Typical Day'!$C$21:$C$500,$D113)</f>
        <v>48</v>
      </c>
      <c r="K113" s="320">
        <f ca="1">SUMIFS('Calculation of Typical Day'!W$21:W$500,'Calculation of Typical Day'!$A$21:$A$500,$E$22,'Calculation of Typical Day'!$C$21:$C$500,$D113)</f>
        <v>3.2486666666666673</v>
      </c>
    </row>
    <row r="114" spans="1:43" s="135" customFormat="1">
      <c r="B114" s="204"/>
      <c r="C114" s="204"/>
      <c r="D114" s="204"/>
      <c r="E114" s="204"/>
      <c r="Y114" s="204"/>
      <c r="AB114" s="204"/>
      <c r="AC114" s="204"/>
      <c r="AD114" s="204"/>
      <c r="AE114" s="204"/>
      <c r="AH114" s="204"/>
      <c r="AI114" s="204"/>
      <c r="AJ114" s="204"/>
      <c r="AK114" s="204"/>
      <c r="AN114" s="204"/>
      <c r="AO114" s="204"/>
      <c r="AP114" s="204"/>
      <c r="AQ114" s="204"/>
    </row>
    <row r="115" spans="1:43" s="135" customFormat="1">
      <c r="B115" s="204"/>
      <c r="C115" s="204"/>
      <c r="D115" s="204"/>
      <c r="E115" s="204"/>
      <c r="F115" s="204"/>
      <c r="G115" s="204"/>
      <c r="H115" s="204"/>
      <c r="I115" s="204"/>
      <c r="J115" s="204"/>
      <c r="K115" s="204"/>
      <c r="Y115" s="204"/>
      <c r="AB115" s="204"/>
      <c r="AC115" s="204"/>
      <c r="AD115" s="204"/>
      <c r="AE115" s="204"/>
      <c r="AH115" s="204"/>
      <c r="AI115" s="204"/>
      <c r="AJ115" s="204"/>
      <c r="AK115" s="204"/>
      <c r="AN115" s="204"/>
      <c r="AO115" s="204"/>
      <c r="AP115" s="204"/>
      <c r="AQ115" s="204"/>
    </row>
    <row r="116" spans="1:43" s="135" customFormat="1">
      <c r="B116" s="204"/>
      <c r="C116" s="204"/>
      <c r="D116" s="204"/>
      <c r="E116" s="204"/>
      <c r="F116" s="204"/>
      <c r="G116" s="204"/>
      <c r="H116" s="204"/>
      <c r="I116" s="204"/>
      <c r="J116" s="204"/>
      <c r="K116" s="204"/>
      <c r="Y116" s="204"/>
      <c r="AB116" s="204"/>
      <c r="AC116" s="204"/>
      <c r="AD116" s="204"/>
      <c r="AE116" s="204"/>
      <c r="AH116" s="204"/>
      <c r="AI116" s="204"/>
      <c r="AJ116" s="204"/>
      <c r="AK116" s="204"/>
      <c r="AN116" s="204"/>
      <c r="AO116" s="204"/>
      <c r="AP116" s="204"/>
      <c r="AQ116" s="204"/>
    </row>
    <row r="117" spans="1:43" s="135" customFormat="1">
      <c r="B117" s="204"/>
      <c r="C117" s="204"/>
      <c r="D117" s="204"/>
      <c r="E117" s="204"/>
      <c r="F117" s="204"/>
      <c r="G117" s="204"/>
      <c r="H117" s="204"/>
      <c r="I117" s="204"/>
      <c r="J117" s="204"/>
      <c r="K117" s="204"/>
      <c r="Y117" s="204"/>
      <c r="AB117" s="204"/>
      <c r="AC117" s="204"/>
      <c r="AD117" s="204"/>
      <c r="AE117" s="204"/>
      <c r="AH117" s="204"/>
      <c r="AI117" s="204"/>
      <c r="AJ117" s="204"/>
      <c r="AK117" s="204"/>
      <c r="AN117" s="204"/>
      <c r="AO117" s="204"/>
      <c r="AP117" s="204"/>
      <c r="AQ117" s="204"/>
    </row>
    <row r="118" spans="1:43" s="135" customFormat="1">
      <c r="B118" s="204"/>
      <c r="C118" s="204"/>
      <c r="D118" s="204"/>
      <c r="E118" s="204"/>
      <c r="F118" s="204"/>
      <c r="G118" s="204"/>
      <c r="H118" s="204"/>
      <c r="I118" s="204"/>
      <c r="J118" s="204"/>
      <c r="K118" s="204"/>
      <c r="Y118" s="204"/>
      <c r="AB118" s="204"/>
      <c r="AC118" s="204"/>
      <c r="AD118" s="204"/>
      <c r="AE118" s="204"/>
      <c r="AH118" s="204"/>
      <c r="AI118" s="204"/>
      <c r="AJ118" s="204"/>
      <c r="AK118" s="204"/>
      <c r="AN118" s="204"/>
      <c r="AO118" s="204"/>
      <c r="AP118" s="204"/>
      <c r="AQ118" s="204"/>
    </row>
    <row r="119" spans="1:43" s="135" customFormat="1">
      <c r="B119" s="204"/>
      <c r="C119" s="204"/>
      <c r="D119" s="204"/>
      <c r="E119" s="204"/>
      <c r="F119" s="204"/>
      <c r="G119" s="204"/>
      <c r="H119" s="204"/>
      <c r="I119" s="204"/>
      <c r="J119" s="204"/>
      <c r="K119" s="204"/>
      <c r="Y119" s="204"/>
      <c r="AB119" s="204"/>
      <c r="AC119" s="204"/>
      <c r="AD119" s="204"/>
      <c r="AE119" s="204"/>
      <c r="AH119" s="204"/>
      <c r="AI119" s="204"/>
      <c r="AJ119" s="204"/>
      <c r="AK119" s="204"/>
      <c r="AN119" s="204"/>
      <c r="AO119" s="204"/>
      <c r="AP119" s="204"/>
      <c r="AQ119" s="204"/>
    </row>
    <row r="120" spans="1:43" s="135" customFormat="1">
      <c r="B120" s="204"/>
      <c r="C120" s="204"/>
      <c r="D120" s="204"/>
      <c r="E120" s="204"/>
      <c r="F120" s="204"/>
      <c r="G120" s="204"/>
      <c r="H120" s="204"/>
      <c r="I120" s="204"/>
      <c r="J120" s="204"/>
      <c r="K120" s="204"/>
      <c r="Y120" s="204"/>
      <c r="AB120" s="204"/>
      <c r="AC120" s="204"/>
      <c r="AD120" s="204"/>
      <c r="AE120" s="204"/>
      <c r="AH120" s="204"/>
      <c r="AI120" s="204"/>
      <c r="AJ120" s="204"/>
      <c r="AK120" s="204"/>
      <c r="AN120" s="204"/>
      <c r="AO120" s="204"/>
      <c r="AP120" s="204"/>
      <c r="AQ120" s="204"/>
    </row>
    <row r="121" spans="1:43" s="135" customFormat="1">
      <c r="B121" s="204"/>
      <c r="C121" s="204"/>
      <c r="D121" s="204"/>
      <c r="E121" s="204"/>
      <c r="F121" s="204"/>
      <c r="G121" s="204"/>
      <c r="H121" s="204"/>
      <c r="I121" s="204"/>
      <c r="J121" s="204"/>
      <c r="K121" s="204"/>
      <c r="Y121" s="204"/>
      <c r="AB121" s="204"/>
      <c r="AC121" s="204"/>
      <c r="AD121" s="204"/>
      <c r="AE121" s="204"/>
      <c r="AH121" s="204"/>
      <c r="AI121" s="204"/>
      <c r="AJ121" s="204"/>
      <c r="AK121" s="204"/>
      <c r="AN121" s="204"/>
      <c r="AO121" s="204"/>
      <c r="AP121" s="204"/>
      <c r="AQ121" s="204"/>
    </row>
    <row r="122" spans="1:43" s="135" customFormat="1">
      <c r="B122" s="204"/>
      <c r="C122" s="204"/>
      <c r="D122" s="204"/>
      <c r="E122" s="204"/>
      <c r="F122" s="204"/>
      <c r="G122" s="204"/>
      <c r="H122" s="204"/>
      <c r="I122" s="204"/>
      <c r="J122" s="204"/>
      <c r="K122" s="204"/>
      <c r="Y122" s="204"/>
      <c r="AB122" s="204"/>
      <c r="AC122" s="204"/>
      <c r="AD122" s="204"/>
      <c r="AE122" s="204"/>
      <c r="AH122" s="204"/>
      <c r="AI122" s="204"/>
      <c r="AJ122" s="204"/>
      <c r="AK122" s="204"/>
      <c r="AN122" s="204"/>
      <c r="AO122" s="204"/>
      <c r="AP122" s="204"/>
      <c r="AQ122" s="204"/>
    </row>
    <row r="123" spans="1:43" s="135" customFormat="1">
      <c r="B123" s="204"/>
      <c r="C123" s="204"/>
      <c r="D123" s="204"/>
      <c r="E123" s="204"/>
      <c r="F123" s="204"/>
      <c r="G123" s="204"/>
      <c r="H123" s="204"/>
      <c r="I123" s="204"/>
      <c r="J123" s="204"/>
      <c r="K123" s="204"/>
      <c r="Y123" s="204"/>
      <c r="AB123" s="204"/>
      <c r="AC123" s="204"/>
      <c r="AD123" s="204"/>
      <c r="AE123" s="204"/>
      <c r="AH123" s="204"/>
      <c r="AI123" s="204"/>
      <c r="AJ123" s="204"/>
      <c r="AK123" s="204"/>
      <c r="AN123" s="204"/>
      <c r="AO123" s="204"/>
      <c r="AP123" s="204"/>
      <c r="AQ123" s="204"/>
    </row>
    <row r="124" spans="1:43" s="135" customFormat="1">
      <c r="B124" s="204"/>
      <c r="C124" s="204"/>
      <c r="D124" s="204"/>
      <c r="E124" s="204"/>
      <c r="F124" s="204"/>
      <c r="G124" s="204"/>
      <c r="H124" s="204"/>
      <c r="I124" s="204"/>
      <c r="J124" s="204"/>
      <c r="K124" s="204"/>
      <c r="Y124" s="204"/>
      <c r="AB124" s="204"/>
      <c r="AC124" s="204"/>
      <c r="AD124" s="204"/>
      <c r="AE124" s="204"/>
      <c r="AH124" s="204"/>
      <c r="AI124" s="204"/>
      <c r="AJ124" s="204"/>
      <c r="AK124" s="204"/>
      <c r="AN124" s="204"/>
      <c r="AO124" s="204"/>
      <c r="AP124" s="204"/>
      <c r="AQ124" s="204"/>
    </row>
    <row r="125" spans="1:43" s="135" customFormat="1">
      <c r="B125" s="204"/>
      <c r="C125" s="204"/>
      <c r="D125" s="204"/>
      <c r="E125" s="204"/>
      <c r="F125" s="204"/>
      <c r="G125" s="204"/>
      <c r="H125" s="204"/>
      <c r="I125" s="204"/>
      <c r="J125" s="204"/>
      <c r="K125" s="204"/>
      <c r="Y125" s="204"/>
      <c r="AB125" s="204"/>
      <c r="AC125" s="204"/>
      <c r="AD125" s="204"/>
      <c r="AE125" s="204"/>
      <c r="AH125" s="204"/>
      <c r="AI125" s="204"/>
      <c r="AJ125" s="204"/>
      <c r="AK125" s="204"/>
      <c r="AN125" s="204"/>
      <c r="AO125" s="204"/>
      <c r="AP125" s="204"/>
      <c r="AQ125" s="204"/>
    </row>
    <row r="126" spans="1:43" s="135" customFormat="1">
      <c r="B126" s="204"/>
      <c r="C126" s="204"/>
      <c r="D126" s="204"/>
      <c r="E126" s="204"/>
      <c r="F126" s="204"/>
      <c r="G126" s="204"/>
      <c r="H126" s="204"/>
      <c r="I126" s="204"/>
      <c r="J126" s="204"/>
      <c r="K126" s="204"/>
      <c r="Y126" s="204"/>
      <c r="AB126" s="204"/>
      <c r="AC126" s="204"/>
      <c r="AD126" s="204"/>
      <c r="AE126" s="204"/>
      <c r="AH126" s="204"/>
      <c r="AI126" s="204"/>
      <c r="AJ126" s="204"/>
      <c r="AK126" s="204"/>
      <c r="AN126" s="204"/>
      <c r="AO126" s="204"/>
      <c r="AP126" s="204"/>
      <c r="AQ126" s="204"/>
    </row>
    <row r="127" spans="1:43" s="135" customFormat="1">
      <c r="B127" s="204"/>
      <c r="C127" s="204"/>
      <c r="D127" s="204"/>
      <c r="E127" s="204"/>
      <c r="F127" s="204"/>
      <c r="G127" s="204"/>
      <c r="H127" s="204"/>
      <c r="I127" s="204"/>
      <c r="J127" s="204"/>
      <c r="K127" s="204"/>
      <c r="Y127" s="204"/>
      <c r="AB127" s="204"/>
      <c r="AC127" s="204"/>
      <c r="AD127" s="204"/>
      <c r="AE127" s="204"/>
      <c r="AH127" s="204"/>
      <c r="AI127" s="204"/>
      <c r="AJ127" s="204"/>
      <c r="AK127" s="204"/>
      <c r="AN127" s="204"/>
      <c r="AO127" s="204"/>
      <c r="AP127" s="204"/>
      <c r="AQ127" s="204"/>
    </row>
    <row r="128" spans="1:43" s="135" customFormat="1">
      <c r="B128" s="204"/>
      <c r="C128" s="204"/>
      <c r="D128" s="204"/>
      <c r="E128" s="204"/>
      <c r="F128" s="204"/>
      <c r="G128" s="204"/>
      <c r="H128" s="204"/>
      <c r="I128" s="204"/>
      <c r="J128" s="204"/>
      <c r="K128" s="204"/>
      <c r="Y128" s="204"/>
      <c r="AB128" s="204"/>
      <c r="AC128" s="204"/>
      <c r="AD128" s="204"/>
      <c r="AE128" s="204"/>
      <c r="AH128" s="204"/>
      <c r="AI128" s="204"/>
      <c r="AJ128" s="204"/>
      <c r="AK128" s="204"/>
      <c r="AN128" s="204"/>
      <c r="AO128" s="204"/>
      <c r="AP128" s="204"/>
      <c r="AQ128" s="204"/>
    </row>
    <row r="129" spans="2:43" s="135" customFormat="1">
      <c r="B129" s="204"/>
      <c r="C129" s="204"/>
      <c r="D129" s="204"/>
      <c r="E129" s="204"/>
      <c r="F129" s="204"/>
      <c r="G129" s="204"/>
      <c r="H129" s="204"/>
      <c r="I129" s="204"/>
      <c r="J129" s="204"/>
      <c r="K129" s="204"/>
      <c r="Y129" s="204"/>
      <c r="AB129" s="204"/>
      <c r="AC129" s="204"/>
      <c r="AD129" s="204"/>
      <c r="AE129" s="204"/>
      <c r="AH129" s="204"/>
      <c r="AI129" s="204"/>
      <c r="AJ129" s="204"/>
      <c r="AK129" s="204"/>
      <c r="AN129" s="204"/>
      <c r="AO129" s="204"/>
      <c r="AP129" s="204"/>
      <c r="AQ129" s="204"/>
    </row>
    <row r="130" spans="2:43" s="135" customFormat="1">
      <c r="B130" s="204"/>
      <c r="C130" s="204"/>
      <c r="D130" s="204"/>
      <c r="E130" s="204"/>
      <c r="F130" s="204"/>
      <c r="G130" s="204"/>
      <c r="H130" s="204"/>
      <c r="I130" s="204"/>
      <c r="J130" s="204"/>
      <c r="K130" s="204"/>
      <c r="Y130" s="204"/>
      <c r="AB130" s="204"/>
      <c r="AC130" s="204"/>
      <c r="AD130" s="204"/>
      <c r="AE130" s="204"/>
      <c r="AH130" s="204"/>
      <c r="AI130" s="204"/>
      <c r="AJ130" s="204"/>
      <c r="AK130" s="204"/>
      <c r="AN130" s="204"/>
      <c r="AO130" s="204"/>
      <c r="AP130" s="204"/>
      <c r="AQ130" s="204"/>
    </row>
    <row r="131" spans="2:43" s="135" customFormat="1">
      <c r="B131" s="204"/>
      <c r="C131" s="204"/>
      <c r="D131" s="204"/>
      <c r="E131" s="204"/>
      <c r="F131" s="204"/>
      <c r="G131" s="204"/>
      <c r="H131" s="204"/>
      <c r="I131" s="204"/>
      <c r="J131" s="204"/>
      <c r="K131" s="204"/>
      <c r="Y131" s="204"/>
      <c r="AB131" s="204"/>
      <c r="AC131" s="204"/>
      <c r="AD131" s="204"/>
      <c r="AE131" s="204"/>
      <c r="AH131" s="204"/>
      <c r="AI131" s="204"/>
      <c r="AJ131" s="204"/>
      <c r="AK131" s="204"/>
      <c r="AN131" s="204"/>
      <c r="AO131" s="204"/>
      <c r="AP131" s="204"/>
      <c r="AQ131" s="204"/>
    </row>
    <row r="132" spans="2:43" s="135" customFormat="1">
      <c r="B132" s="204"/>
      <c r="C132" s="204"/>
      <c r="D132" s="204"/>
      <c r="E132" s="204"/>
      <c r="F132" s="204"/>
      <c r="G132" s="204"/>
      <c r="H132" s="204"/>
      <c r="I132" s="204"/>
      <c r="J132" s="204"/>
      <c r="K132" s="204"/>
      <c r="Y132" s="204"/>
      <c r="AB132" s="204"/>
      <c r="AC132" s="204"/>
      <c r="AD132" s="204"/>
      <c r="AE132" s="204"/>
      <c r="AH132" s="204"/>
      <c r="AI132" s="204"/>
      <c r="AJ132" s="204"/>
      <c r="AK132" s="204"/>
      <c r="AN132" s="204"/>
      <c r="AO132" s="204"/>
      <c r="AP132" s="204"/>
      <c r="AQ132" s="204"/>
    </row>
    <row r="133" spans="2:43" s="135" customFormat="1">
      <c r="B133" s="204"/>
      <c r="C133" s="204"/>
      <c r="D133" s="204"/>
      <c r="E133" s="204"/>
      <c r="F133" s="204"/>
      <c r="G133" s="204"/>
      <c r="H133" s="204"/>
      <c r="I133" s="204"/>
      <c r="J133" s="204"/>
      <c r="K133" s="204"/>
      <c r="Y133" s="204"/>
      <c r="AB133" s="204"/>
      <c r="AC133" s="204"/>
      <c r="AD133" s="204"/>
      <c r="AE133" s="204"/>
      <c r="AH133" s="204"/>
      <c r="AI133" s="204"/>
      <c r="AJ133" s="204"/>
      <c r="AK133" s="204"/>
      <c r="AN133" s="204"/>
      <c r="AO133" s="204"/>
      <c r="AP133" s="204"/>
      <c r="AQ133" s="204"/>
    </row>
    <row r="134" spans="2:43" s="135" customFormat="1">
      <c r="B134" s="204"/>
      <c r="C134" s="204"/>
      <c r="D134" s="204"/>
      <c r="E134" s="204"/>
      <c r="F134" s="204"/>
      <c r="G134" s="204"/>
      <c r="H134" s="204"/>
      <c r="I134" s="204"/>
      <c r="J134" s="204"/>
      <c r="K134" s="204"/>
      <c r="Y134" s="204"/>
      <c r="AB134" s="204"/>
      <c r="AC134" s="204"/>
      <c r="AD134" s="204"/>
      <c r="AE134" s="204"/>
      <c r="AH134" s="204"/>
      <c r="AI134" s="204"/>
      <c r="AJ134" s="204"/>
      <c r="AK134" s="204"/>
      <c r="AN134" s="204"/>
      <c r="AO134" s="204"/>
      <c r="AP134" s="204"/>
      <c r="AQ134" s="204"/>
    </row>
    <row r="135" spans="2:43" s="135" customFormat="1">
      <c r="B135" s="204"/>
      <c r="C135" s="204"/>
      <c r="D135" s="204"/>
      <c r="E135" s="204"/>
      <c r="F135" s="204"/>
      <c r="G135" s="204"/>
      <c r="H135" s="204"/>
      <c r="I135" s="204"/>
      <c r="J135" s="204"/>
      <c r="K135" s="204"/>
      <c r="Y135" s="204"/>
      <c r="AB135" s="204"/>
      <c r="AC135" s="204"/>
      <c r="AD135" s="204"/>
      <c r="AE135" s="204"/>
      <c r="AH135" s="204"/>
      <c r="AI135" s="204"/>
      <c r="AJ135" s="204"/>
      <c r="AK135" s="204"/>
      <c r="AN135" s="204"/>
      <c r="AO135" s="204"/>
      <c r="AP135" s="204"/>
      <c r="AQ135" s="204"/>
    </row>
    <row r="136" spans="2:43" s="135" customFormat="1">
      <c r="B136" s="204"/>
      <c r="C136" s="204"/>
      <c r="D136" s="204"/>
      <c r="E136" s="204"/>
      <c r="F136" s="204"/>
      <c r="G136" s="204"/>
      <c r="H136" s="204"/>
      <c r="I136" s="204"/>
      <c r="J136" s="204"/>
      <c r="K136" s="204"/>
      <c r="Y136" s="204"/>
      <c r="AB136" s="204"/>
      <c r="AC136" s="204"/>
      <c r="AD136" s="204"/>
      <c r="AE136" s="204"/>
      <c r="AH136" s="204"/>
      <c r="AI136" s="204"/>
      <c r="AJ136" s="204"/>
      <c r="AK136" s="204"/>
      <c r="AN136" s="204"/>
      <c r="AO136" s="204"/>
      <c r="AP136" s="204"/>
      <c r="AQ136" s="204"/>
    </row>
    <row r="137" spans="2:43" s="135" customFormat="1">
      <c r="B137" s="204"/>
      <c r="C137" s="204"/>
      <c r="D137" s="204"/>
      <c r="E137" s="204"/>
      <c r="F137" s="204"/>
      <c r="G137" s="204"/>
      <c r="H137" s="204"/>
      <c r="I137" s="204"/>
      <c r="J137" s="204"/>
      <c r="K137" s="204"/>
      <c r="Y137" s="204"/>
      <c r="AB137" s="204"/>
      <c r="AC137" s="204"/>
      <c r="AD137" s="204"/>
      <c r="AE137" s="204"/>
      <c r="AH137" s="204"/>
      <c r="AI137" s="204"/>
      <c r="AJ137" s="204"/>
      <c r="AK137" s="204"/>
      <c r="AN137" s="204"/>
      <c r="AO137" s="204"/>
      <c r="AP137" s="204"/>
      <c r="AQ137" s="204"/>
    </row>
    <row r="138" spans="2:43" s="135" customFormat="1">
      <c r="B138" s="204"/>
      <c r="C138" s="204"/>
      <c r="D138" s="204"/>
      <c r="E138" s="204"/>
      <c r="F138" s="204"/>
      <c r="G138" s="204"/>
      <c r="H138" s="204"/>
      <c r="I138" s="204"/>
      <c r="J138" s="204"/>
      <c r="K138" s="204"/>
      <c r="Y138" s="204"/>
      <c r="AB138" s="204"/>
      <c r="AC138" s="204"/>
      <c r="AD138" s="204"/>
      <c r="AE138" s="204"/>
      <c r="AH138" s="204"/>
      <c r="AI138" s="204"/>
      <c r="AJ138" s="204"/>
      <c r="AK138" s="204"/>
      <c r="AN138" s="204"/>
      <c r="AO138" s="204"/>
      <c r="AP138" s="204"/>
      <c r="AQ138" s="204"/>
    </row>
    <row r="139" spans="2:43" s="135" customFormat="1">
      <c r="B139" s="204"/>
      <c r="C139" s="204"/>
      <c r="D139" s="204"/>
      <c r="E139" s="204"/>
      <c r="F139" s="204"/>
      <c r="G139" s="204"/>
      <c r="H139" s="204"/>
      <c r="I139" s="204"/>
      <c r="J139" s="204"/>
      <c r="K139" s="204"/>
      <c r="Y139" s="204"/>
      <c r="AB139" s="204"/>
      <c r="AC139" s="204"/>
      <c r="AD139" s="204"/>
      <c r="AE139" s="204"/>
      <c r="AH139" s="204"/>
      <c r="AI139" s="204"/>
      <c r="AJ139" s="204"/>
      <c r="AK139" s="204"/>
      <c r="AN139" s="204"/>
      <c r="AO139" s="204"/>
      <c r="AP139" s="204"/>
      <c r="AQ139" s="204"/>
    </row>
    <row r="140" spans="2:43" s="135" customFormat="1">
      <c r="B140" s="204"/>
      <c r="C140" s="204"/>
      <c r="D140" s="204"/>
      <c r="E140" s="204"/>
      <c r="F140" s="204"/>
      <c r="G140" s="204"/>
      <c r="H140" s="204"/>
      <c r="I140" s="204"/>
      <c r="J140" s="204"/>
      <c r="K140" s="204"/>
      <c r="Y140" s="204"/>
      <c r="AB140" s="204"/>
      <c r="AC140" s="204"/>
      <c r="AD140" s="204"/>
      <c r="AE140" s="204"/>
      <c r="AH140" s="204"/>
      <c r="AI140" s="204"/>
      <c r="AJ140" s="204"/>
      <c r="AK140" s="204"/>
      <c r="AN140" s="204"/>
      <c r="AO140" s="204"/>
      <c r="AP140" s="204"/>
      <c r="AQ140" s="204"/>
    </row>
    <row r="141" spans="2:43" s="135" customFormat="1">
      <c r="B141" s="204"/>
      <c r="C141" s="204"/>
      <c r="D141" s="204"/>
      <c r="E141" s="204"/>
      <c r="F141" s="204"/>
      <c r="G141" s="204"/>
      <c r="H141" s="204"/>
      <c r="I141" s="204"/>
      <c r="J141" s="204"/>
      <c r="K141" s="204"/>
      <c r="Y141" s="204"/>
      <c r="AB141" s="204"/>
      <c r="AC141" s="204"/>
      <c r="AD141" s="204"/>
      <c r="AE141" s="204"/>
      <c r="AH141" s="204"/>
      <c r="AI141" s="204"/>
      <c r="AJ141" s="204"/>
      <c r="AK141" s="204"/>
      <c r="AN141" s="204"/>
      <c r="AO141" s="204"/>
      <c r="AP141" s="204"/>
      <c r="AQ141" s="204"/>
    </row>
    <row r="142" spans="2:43">
      <c r="F142" s="206"/>
      <c r="G142" s="206"/>
      <c r="H142" s="206"/>
      <c r="I142" s="206"/>
      <c r="J142" s="206"/>
      <c r="K142" s="204"/>
    </row>
    <row r="143" spans="2:43">
      <c r="F143" s="206"/>
      <c r="G143" s="206"/>
      <c r="H143" s="206"/>
      <c r="I143" s="206"/>
      <c r="J143" s="206"/>
      <c r="K143" s="204"/>
    </row>
  </sheetData>
  <mergeCells count="16">
    <mergeCell ref="G10:R10"/>
    <mergeCell ref="A1:F1"/>
    <mergeCell ref="E86:J86"/>
    <mergeCell ref="E24:J24"/>
    <mergeCell ref="E55:J55"/>
    <mergeCell ref="A3:A11"/>
    <mergeCell ref="B3:F3"/>
    <mergeCell ref="B4:F4"/>
    <mergeCell ref="B10:F10"/>
    <mergeCell ref="B11:F11"/>
    <mergeCell ref="B5:F5"/>
    <mergeCell ref="B6:F6"/>
    <mergeCell ref="B7:F7"/>
    <mergeCell ref="B8:F8"/>
    <mergeCell ref="G5:R5"/>
    <mergeCell ref="G6:R6"/>
  </mergeCells>
  <conditionalFormatting sqref="B11">
    <cfRule type="expression" dxfId="5" priority="1">
      <formula>B$40=FALSE</formula>
    </cfRule>
  </conditionalFormatting>
  <hyperlinks>
    <hyperlink ref="A1" location="Content!A1" display="Go to Content" xr:uid="{0979D667-F50E-44DE-9464-180C1412EFEA}"/>
    <hyperlink ref="A1:E1" location="Content!A1" display="Go to Content Sheet" xr:uid="{76A3B6B3-13A3-49AD-875E-EF892E8B4941}"/>
    <hyperlink ref="B7:E7" location="Content!A1" display="Go to Content" xr:uid="{66213793-14F9-4EE4-8AFF-13C641C2FB98}"/>
    <hyperlink ref="B7" location="Content!A1" display="Go to Content" xr:uid="{D39B7A56-6C1C-48C1-9097-CC7C0F2C3D75}"/>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2397EFE-9CF4-4A03-8661-24637E62F7D7}">
          <x14:formula1>
            <xm:f>'Definition of Typical Day'!$E$13:$X$13</xm:f>
          </x14:formula1>
          <xm:sqref>E22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0">
    <tabColor theme="7" tint="0.79998168889431442"/>
    <outlinePr summaryBelow="0"/>
  </sheetPr>
  <dimension ref="A1:FI542"/>
  <sheetViews>
    <sheetView topLeftCell="AB6" zoomScaleNormal="100" workbookViewId="0">
      <selection activeCell="AW72" sqref="AW72"/>
    </sheetView>
  </sheetViews>
  <sheetFormatPr baseColWidth="10" defaultColWidth="8.5703125" defaultRowHeight="15" outlineLevelRow="1" outlineLevelCol="2"/>
  <cols>
    <col min="1" max="1" width="8.5703125" style="143"/>
    <col min="2" max="2" width="18.140625" style="143" customWidth="1"/>
    <col min="3" max="3" width="8.5703125" style="143" collapsed="1"/>
    <col min="4" max="4" width="8.5703125" style="143" customWidth="1" outlineLevel="2"/>
    <col min="5" max="5" width="9.42578125" style="143" customWidth="1" outlineLevel="2"/>
    <col min="6" max="7" width="8.5703125" style="143" customWidth="1" outlineLevel="2"/>
    <col min="8" max="10" width="8.5703125" style="143"/>
    <col min="11" max="11" width="8.5703125" style="143" customWidth="1"/>
    <col min="12" max="12" width="9.140625" style="143" customWidth="1"/>
    <col min="13" max="13" width="9.85546875" style="143" customWidth="1"/>
    <col min="14" max="14" width="10.140625" style="143" customWidth="1"/>
    <col min="15" max="15" width="10.85546875" style="143" customWidth="1"/>
    <col min="16" max="16" width="10.5703125" style="143" customWidth="1"/>
    <col min="17" max="17" width="10" style="143" customWidth="1"/>
    <col min="18" max="18" width="10.5703125" style="143" customWidth="1"/>
    <col min="19" max="22" width="10.5703125" style="143" customWidth="1" outlineLevel="1"/>
    <col min="23" max="23" width="10.5703125" style="143" customWidth="1"/>
    <col min="24" max="26" width="10.5703125" style="143" customWidth="1" outlineLevel="1"/>
    <col min="27" max="27" width="10.5703125" style="143" customWidth="1"/>
    <col min="28" max="29" width="10.5703125" style="143" customWidth="1" outlineLevel="1"/>
    <col min="30" max="30" width="10.5703125" style="143" customWidth="1"/>
    <col min="31" max="33" width="10.5703125" style="143" customWidth="1" outlineLevel="1"/>
    <col min="34" max="34" width="10.5703125" style="143" customWidth="1"/>
    <col min="35" max="35" width="10.5703125" style="143" customWidth="1" outlineLevel="1"/>
    <col min="36" max="41" width="10.5703125" style="143" customWidth="1"/>
    <col min="42" max="45" width="10.5703125" style="143" customWidth="1" outlineLevel="1"/>
    <col min="46" max="46" width="10.5703125" style="196" customWidth="1" outlineLevel="1"/>
    <col min="47" max="48" width="10.5703125" style="143" customWidth="1" outlineLevel="1"/>
    <col min="49" max="50" width="10.5703125" style="1" customWidth="1" outlineLevel="1"/>
    <col min="51" max="51" width="10.5703125" style="196" customWidth="1" outlineLevel="1"/>
    <col min="52" max="57" width="10.5703125" style="143" customWidth="1" outlineLevel="1"/>
    <col min="58" max="64" width="10.5703125" style="1" customWidth="1" outlineLevel="1"/>
    <col min="65" max="65" width="8.5703125" style="196"/>
    <col min="66" max="66" width="10.5703125" style="143" customWidth="1" outlineLevel="1"/>
    <col min="67" max="67" width="10.5703125" style="143" customWidth="1"/>
    <col min="68" max="72" width="10.5703125" style="143" customWidth="1" outlineLevel="1"/>
    <col min="73" max="80" width="10.5703125" style="1" customWidth="1"/>
    <col min="81" max="82" width="10.5703125" style="143" customWidth="1"/>
    <col min="83" max="83" width="15.42578125" style="196" bestFit="1" customWidth="1"/>
    <col min="84" max="85" width="5" style="196" customWidth="1"/>
    <col min="86" max="91" width="8.140625" style="196" customWidth="1"/>
    <col min="92" max="92" width="9.5703125" style="196" customWidth="1"/>
    <col min="93" max="98" width="10.5703125" style="1" customWidth="1"/>
    <col min="99" max="165" width="8.140625" style="196" customWidth="1"/>
    <col min="166" max="16384" width="8.5703125" style="143"/>
  </cols>
  <sheetData>
    <row r="1" spans="1:163" s="44" customFormat="1">
      <c r="A1" s="1028" t="s">
        <v>57</v>
      </c>
      <c r="B1" s="1028"/>
      <c r="C1" s="1028"/>
      <c r="D1" s="1028"/>
      <c r="E1" s="1028"/>
      <c r="F1" s="1028"/>
    </row>
    <row r="2" spans="1:163" s="44" customFormat="1" ht="15" customHeight="1">
      <c r="A2" s="49"/>
      <c r="B2" s="49"/>
      <c r="C2" s="49"/>
      <c r="D2" s="49"/>
      <c r="E2" s="49"/>
      <c r="F2" s="172"/>
    </row>
    <row r="3" spans="1:163" s="44" customFormat="1" ht="15.75" customHeight="1" thickBot="1">
      <c r="A3" s="1188" t="s">
        <v>58</v>
      </c>
      <c r="B3" s="1204" t="s">
        <v>46</v>
      </c>
      <c r="C3" s="1204"/>
      <c r="D3" s="1204"/>
      <c r="E3" s="1204"/>
      <c r="F3" s="1204"/>
      <c r="Y3" s="51"/>
      <c r="Z3" s="51"/>
      <c r="AA3" s="51"/>
    </row>
    <row r="4" spans="1:163" s="44" customFormat="1" ht="15.75" thickTop="1">
      <c r="A4" s="1188"/>
      <c r="B4" s="1175" t="s">
        <v>47</v>
      </c>
      <c r="C4" s="1175"/>
      <c r="D4" s="1175"/>
      <c r="E4" s="1175"/>
      <c r="F4" s="1175"/>
      <c r="Y4" s="51"/>
      <c r="Z4" s="51"/>
      <c r="AA4" s="51"/>
    </row>
    <row r="5" spans="1:163" s="44" customFormat="1">
      <c r="A5" s="1188"/>
      <c r="B5" s="1205" t="s">
        <v>48</v>
      </c>
      <c r="C5" s="1205"/>
      <c r="D5" s="1205"/>
      <c r="E5" s="1205"/>
      <c r="F5" s="1205"/>
      <c r="Y5" s="51"/>
      <c r="Z5" s="51"/>
      <c r="AA5" s="51"/>
    </row>
    <row r="6" spans="1:163" s="44" customFormat="1">
      <c r="A6" s="1188"/>
      <c r="B6" s="1206" t="s">
        <v>49</v>
      </c>
      <c r="C6" s="1206"/>
      <c r="D6" s="1206"/>
      <c r="E6" s="1206"/>
      <c r="F6" s="1206"/>
      <c r="Y6" s="51"/>
      <c r="Z6" s="51"/>
      <c r="AA6" s="51"/>
    </row>
    <row r="7" spans="1:163" s="44" customFormat="1">
      <c r="A7" s="1188"/>
      <c r="B7" s="1200" t="s">
        <v>57</v>
      </c>
      <c r="C7" s="1200"/>
      <c r="D7" s="1200"/>
      <c r="E7" s="1200"/>
      <c r="F7" s="1200"/>
      <c r="Y7" s="51"/>
      <c r="Z7" s="51"/>
      <c r="AA7" s="51"/>
    </row>
    <row r="8" spans="1:163" s="44" customFormat="1" ht="15" customHeight="1">
      <c r="A8" s="1188"/>
      <c r="B8" s="1201" t="s">
        <v>51</v>
      </c>
      <c r="C8" s="1201"/>
      <c r="D8" s="1201"/>
      <c r="E8" s="1201"/>
      <c r="F8" s="1201"/>
      <c r="Y8" s="51"/>
      <c r="Z8" s="51"/>
      <c r="AA8" s="51"/>
    </row>
    <row r="9" spans="1:163" s="44" customFormat="1" ht="15" customHeight="1">
      <c r="A9" s="1188"/>
      <c r="B9" s="1203" t="s">
        <v>52</v>
      </c>
      <c r="C9" s="1203"/>
      <c r="D9" s="1203"/>
      <c r="E9" s="1203"/>
      <c r="F9" s="1203"/>
      <c r="Y9" s="51"/>
      <c r="Z9" s="51"/>
      <c r="AA9" s="51"/>
    </row>
    <row r="10" spans="1:163" s="44" customFormat="1">
      <c r="A10" s="1188"/>
      <c r="B10" s="1057" t="s">
        <v>53</v>
      </c>
      <c r="C10" s="1057"/>
      <c r="D10" s="1057"/>
      <c r="E10" s="1057"/>
      <c r="F10" s="1057"/>
      <c r="Y10" s="51"/>
      <c r="Z10" s="51"/>
      <c r="AA10" s="51"/>
    </row>
    <row r="11" spans="1:163" s="44" customFormat="1">
      <c r="A11" s="1188"/>
      <c r="B11" s="1202" t="s">
        <v>54</v>
      </c>
      <c r="C11" s="1202"/>
      <c r="D11" s="1202"/>
      <c r="E11" s="1202"/>
      <c r="F11" s="1202"/>
      <c r="Y11" s="51"/>
      <c r="Z11" s="51"/>
      <c r="AA11" s="51"/>
    </row>
    <row r="12" spans="1:163" s="51" customFormat="1">
      <c r="A12" s="3"/>
      <c r="AP12" s="4"/>
      <c r="AQ12" s="4"/>
      <c r="AR12" s="4"/>
      <c r="AS12" s="4"/>
      <c r="BA12" s="4"/>
      <c r="CC12" s="3"/>
    </row>
    <row r="13" spans="1:163" s="131" customFormat="1" ht="122.1" customHeight="1">
      <c r="A13" s="723" t="s">
        <v>600</v>
      </c>
      <c r="B13" s="537" t="s">
        <v>306</v>
      </c>
      <c r="C13" s="537" t="s">
        <v>601</v>
      </c>
      <c r="D13" s="537"/>
      <c r="E13" s="537"/>
      <c r="F13" s="537"/>
      <c r="G13" s="724"/>
      <c r="H13" s="723" t="s">
        <v>346</v>
      </c>
      <c r="I13" s="537" t="s">
        <v>602</v>
      </c>
      <c r="J13" s="537" t="s">
        <v>603</v>
      </c>
      <c r="K13" s="724" t="s">
        <v>604</v>
      </c>
      <c r="L13" s="723" t="s">
        <v>350</v>
      </c>
      <c r="M13" s="537" t="s">
        <v>605</v>
      </c>
      <c r="N13" s="537" t="s">
        <v>606</v>
      </c>
      <c r="O13" s="537" t="s">
        <v>607</v>
      </c>
      <c r="P13" s="537" t="s">
        <v>608</v>
      </c>
      <c r="Q13" s="724" t="s">
        <v>609</v>
      </c>
      <c r="R13" s="719" t="s">
        <v>610</v>
      </c>
      <c r="S13" s="723" t="s">
        <v>611</v>
      </c>
      <c r="T13" s="537" t="s">
        <v>612</v>
      </c>
      <c r="U13" s="537" t="s">
        <v>613</v>
      </c>
      <c r="V13" s="537" t="s">
        <v>614</v>
      </c>
      <c r="W13" s="724" t="s">
        <v>615</v>
      </c>
      <c r="X13" s="723" t="s">
        <v>616</v>
      </c>
      <c r="Y13" s="537" t="s">
        <v>617</v>
      </c>
      <c r="Z13" s="537" t="s">
        <v>618</v>
      </c>
      <c r="AA13" s="724" t="s">
        <v>619</v>
      </c>
      <c r="AB13" s="723" t="s">
        <v>620</v>
      </c>
      <c r="AC13" s="537" t="s">
        <v>621</v>
      </c>
      <c r="AD13" s="724" t="s">
        <v>622</v>
      </c>
      <c r="AE13" s="723" t="s">
        <v>623</v>
      </c>
      <c r="AF13" s="537" t="s">
        <v>624</v>
      </c>
      <c r="AG13" s="537" t="s">
        <v>625</v>
      </c>
      <c r="AH13" s="724" t="s">
        <v>626</v>
      </c>
      <c r="AI13" s="719" t="s">
        <v>627</v>
      </c>
      <c r="AJ13" s="723" t="s">
        <v>628</v>
      </c>
      <c r="AK13" s="537" t="s">
        <v>629</v>
      </c>
      <c r="AL13" s="724" t="s">
        <v>630</v>
      </c>
      <c r="AM13" s="725" t="s">
        <v>631</v>
      </c>
      <c r="AN13" s="726" t="s">
        <v>632</v>
      </c>
      <c r="AO13" s="129"/>
      <c r="AP13" s="738" t="s">
        <v>633</v>
      </c>
      <c r="AQ13" s="739" t="s">
        <v>634</v>
      </c>
      <c r="AR13" s="739" t="s">
        <v>635</v>
      </c>
      <c r="AS13" s="740" t="s">
        <v>636</v>
      </c>
      <c r="AT13" s="322"/>
      <c r="AU13" s="723" t="s">
        <v>637</v>
      </c>
      <c r="AV13" s="719" t="s">
        <v>638</v>
      </c>
      <c r="AW13" s="724" t="s">
        <v>639</v>
      </c>
      <c r="AX13" s="724" t="s">
        <v>640</v>
      </c>
      <c r="AY13" s="322"/>
      <c r="AZ13" s="725" t="s">
        <v>641</v>
      </c>
      <c r="BA13" s="741" t="s">
        <v>642</v>
      </c>
      <c r="BB13" s="726" t="s">
        <v>643</v>
      </c>
      <c r="BC13" s="742" t="s">
        <v>644</v>
      </c>
      <c r="BD13" s="742" t="s">
        <v>645</v>
      </c>
      <c r="BE13" s="742" t="s">
        <v>646</v>
      </c>
      <c r="BF13" s="725" t="s">
        <v>647</v>
      </c>
      <c r="BG13" s="741" t="s">
        <v>648</v>
      </c>
      <c r="BH13" s="726" t="s">
        <v>649</v>
      </c>
      <c r="BI13" s="742" t="s">
        <v>403</v>
      </c>
      <c r="BJ13" s="742" t="s">
        <v>404</v>
      </c>
      <c r="BK13" s="742" t="s">
        <v>650</v>
      </c>
      <c r="BL13" s="742" t="s">
        <v>651</v>
      </c>
      <c r="BM13" s="129"/>
      <c r="BN13" s="742" t="s">
        <v>652</v>
      </c>
      <c r="BO13" s="742" t="s">
        <v>653</v>
      </c>
      <c r="BP13" s="742" t="s">
        <v>654</v>
      </c>
      <c r="BQ13" s="725" t="s">
        <v>655</v>
      </c>
      <c r="BR13" s="726" t="s">
        <v>656</v>
      </c>
      <c r="BS13" s="742" t="s">
        <v>657</v>
      </c>
      <c r="BT13" s="742" t="s">
        <v>658</v>
      </c>
      <c r="BU13" s="742" t="s">
        <v>659</v>
      </c>
      <c r="BV13" s="742" t="s">
        <v>660</v>
      </c>
      <c r="BW13" s="742" t="s">
        <v>661</v>
      </c>
      <c r="BX13" s="723" t="s">
        <v>662</v>
      </c>
      <c r="BY13" s="537" t="s">
        <v>663</v>
      </c>
      <c r="BZ13" s="537" t="s">
        <v>664</v>
      </c>
      <c r="CA13" s="537" t="s">
        <v>665</v>
      </c>
      <c r="CB13" s="724" t="s">
        <v>666</v>
      </c>
      <c r="CC13" s="723" t="str">
        <f>A13</f>
        <v>Typical Day ID</v>
      </c>
      <c r="CD13" s="537" t="str">
        <f>C13</f>
        <v>Hour</v>
      </c>
      <c r="CE13" s="724" t="s">
        <v>306</v>
      </c>
      <c r="CF13" s="129"/>
      <c r="CG13" s="129"/>
      <c r="CH13" s="723" t="s">
        <v>667</v>
      </c>
      <c r="CI13" s="537" t="s">
        <v>668</v>
      </c>
      <c r="CJ13" s="537" t="s">
        <v>669</v>
      </c>
      <c r="CK13" s="537" t="s">
        <v>670</v>
      </c>
      <c r="CL13" s="537" t="s">
        <v>671</v>
      </c>
      <c r="CM13" s="724" t="s">
        <v>672</v>
      </c>
      <c r="CN13" s="129"/>
      <c r="CO13" s="723" t="s">
        <v>673</v>
      </c>
      <c r="CP13" s="537" t="s">
        <v>674</v>
      </c>
      <c r="CQ13" s="537" t="s">
        <v>675</v>
      </c>
      <c r="CR13" s="537" t="s">
        <v>676</v>
      </c>
      <c r="CS13" s="537" t="s">
        <v>598</v>
      </c>
      <c r="CT13" s="724" t="s">
        <v>677</v>
      </c>
      <c r="CU13" s="129"/>
      <c r="CV13" s="129"/>
      <c r="CW13" s="129"/>
      <c r="CX13" s="129"/>
      <c r="CY13" s="129"/>
      <c r="CZ13" s="129"/>
      <c r="DA13" s="129"/>
      <c r="DB13" s="129"/>
      <c r="DC13" s="129"/>
      <c r="DD13" s="129"/>
      <c r="DE13" s="129"/>
      <c r="DF13" s="129"/>
      <c r="DG13" s="129"/>
      <c r="DH13" s="129"/>
      <c r="DI13" s="129"/>
      <c r="DJ13" s="129"/>
      <c r="DK13" s="129"/>
      <c r="DL13" s="129"/>
      <c r="DM13" s="129"/>
      <c r="DN13" s="129"/>
      <c r="DO13" s="129"/>
      <c r="DP13" s="129"/>
      <c r="DQ13" s="129"/>
      <c r="DR13" s="129"/>
      <c r="DS13" s="129"/>
      <c r="DT13" s="129"/>
      <c r="DU13" s="129"/>
      <c r="DV13" s="129"/>
      <c r="DX13" s="129"/>
      <c r="DY13" s="129"/>
      <c r="DZ13" s="129"/>
      <c r="EA13" s="129"/>
      <c r="EB13" s="129"/>
      <c r="EC13" s="129"/>
      <c r="ED13" s="129"/>
      <c r="EE13" s="129"/>
      <c r="EF13" s="129"/>
      <c r="EG13" s="129"/>
      <c r="EH13" s="129"/>
      <c r="EI13" s="129"/>
      <c r="EJ13" s="129"/>
      <c r="EK13" s="129"/>
      <c r="EL13" s="129"/>
      <c r="EM13" s="129"/>
      <c r="EN13" s="129"/>
      <c r="EO13" s="129"/>
      <c r="EP13" s="129"/>
      <c r="EQ13" s="129"/>
      <c r="ER13" s="129"/>
      <c r="ES13" s="129"/>
      <c r="ET13" s="129"/>
      <c r="EU13" s="129"/>
      <c r="EV13" s="129"/>
      <c r="EW13" s="129"/>
      <c r="EX13" s="129"/>
      <c r="EY13" s="129"/>
      <c r="EZ13" s="129"/>
      <c r="FA13" s="129"/>
      <c r="FB13" s="129"/>
      <c r="FC13" s="129"/>
      <c r="FD13" s="129"/>
      <c r="FE13" s="129"/>
      <c r="FF13" s="129"/>
      <c r="FG13" s="129"/>
    </row>
    <row r="14" spans="1:163" s="206" customFormat="1" ht="22.5">
      <c r="A14" s="733"/>
      <c r="B14" s="734"/>
      <c r="C14" s="734"/>
      <c r="D14" s="734"/>
      <c r="E14" s="734"/>
      <c r="F14" s="734"/>
      <c r="G14" s="735"/>
      <c r="H14" s="727" t="s">
        <v>678</v>
      </c>
      <c r="I14" s="728" t="s">
        <v>83</v>
      </c>
      <c r="J14" s="728" t="s">
        <v>83</v>
      </c>
      <c r="K14" s="729" t="s">
        <v>83</v>
      </c>
      <c r="L14" s="727" t="s">
        <v>679</v>
      </c>
      <c r="M14" s="728" t="s">
        <v>83</v>
      </c>
      <c r="N14" s="728" t="s">
        <v>83</v>
      </c>
      <c r="O14" s="728" t="s">
        <v>83</v>
      </c>
      <c r="P14" s="728" t="s">
        <v>83</v>
      </c>
      <c r="Q14" s="728" t="s">
        <v>83</v>
      </c>
      <c r="R14" s="737" t="s">
        <v>83</v>
      </c>
      <c r="S14" s="727"/>
      <c r="T14" s="728"/>
      <c r="U14" s="728"/>
      <c r="V14" s="728"/>
      <c r="W14" s="729"/>
      <c r="X14" s="727" t="s">
        <v>71</v>
      </c>
      <c r="Y14" s="728" t="s">
        <v>71</v>
      </c>
      <c r="Z14" s="728" t="s">
        <v>71</v>
      </c>
      <c r="AA14" s="729" t="s">
        <v>71</v>
      </c>
      <c r="AB14" s="727" t="s">
        <v>83</v>
      </c>
      <c r="AC14" s="728" t="s">
        <v>71</v>
      </c>
      <c r="AD14" s="729" t="s">
        <v>71</v>
      </c>
      <c r="AE14" s="727" t="s">
        <v>71</v>
      </c>
      <c r="AF14" s="728" t="s">
        <v>71</v>
      </c>
      <c r="AG14" s="728" t="s">
        <v>71</v>
      </c>
      <c r="AH14" s="729" t="s">
        <v>71</v>
      </c>
      <c r="AI14" s="618" t="s">
        <v>106</v>
      </c>
      <c r="AJ14" s="727" t="s">
        <v>71</v>
      </c>
      <c r="AK14" s="728" t="s">
        <v>680</v>
      </c>
      <c r="AL14" s="729" t="s">
        <v>679</v>
      </c>
      <c r="AM14" s="727" t="s">
        <v>681</v>
      </c>
      <c r="AN14" s="729" t="s">
        <v>681</v>
      </c>
      <c r="AO14" s="204"/>
      <c r="AP14" s="727" t="s">
        <v>341</v>
      </c>
      <c r="AQ14" s="728" t="s">
        <v>682</v>
      </c>
      <c r="AR14" s="728" t="s">
        <v>682</v>
      </c>
      <c r="AS14" s="729" t="s">
        <v>682</v>
      </c>
      <c r="AT14" s="321"/>
      <c r="AU14" s="727" t="s">
        <v>341</v>
      </c>
      <c r="AV14" s="728"/>
      <c r="AW14" s="728" t="s">
        <v>682</v>
      </c>
      <c r="AX14" s="729" t="s">
        <v>682</v>
      </c>
      <c r="AY14" s="321"/>
      <c r="AZ14" s="323" t="s">
        <v>341</v>
      </c>
      <c r="BA14" s="618" t="s">
        <v>341</v>
      </c>
      <c r="BB14" s="618" t="s">
        <v>341</v>
      </c>
      <c r="BC14" s="737" t="s">
        <v>341</v>
      </c>
      <c r="BD14" s="737" t="s">
        <v>341</v>
      </c>
      <c r="BE14" s="737" t="s">
        <v>341</v>
      </c>
      <c r="BF14" s="727" t="s">
        <v>682</v>
      </c>
      <c r="BG14" s="728" t="s">
        <v>682</v>
      </c>
      <c r="BH14" s="729" t="s">
        <v>682</v>
      </c>
      <c r="BI14" s="737" t="s">
        <v>682</v>
      </c>
      <c r="BJ14" s="737" t="s">
        <v>682</v>
      </c>
      <c r="BK14" s="737" t="s">
        <v>682</v>
      </c>
      <c r="BL14" s="737" t="s">
        <v>682</v>
      </c>
      <c r="BM14" s="204"/>
      <c r="BN14" s="737" t="s">
        <v>682</v>
      </c>
      <c r="BO14" s="737" t="s">
        <v>359</v>
      </c>
      <c r="BP14" s="737" t="s">
        <v>682</v>
      </c>
      <c r="BQ14" s="727" t="s">
        <v>682</v>
      </c>
      <c r="BR14" s="729" t="s">
        <v>682</v>
      </c>
      <c r="BS14" s="737" t="s">
        <v>682</v>
      </c>
      <c r="BT14" s="737" t="s">
        <v>682</v>
      </c>
      <c r="BU14" s="737" t="s">
        <v>359</v>
      </c>
      <c r="BV14" s="737" t="s">
        <v>359</v>
      </c>
      <c r="BW14" s="737" t="s">
        <v>359</v>
      </c>
      <c r="BX14" s="727" t="s">
        <v>359</v>
      </c>
      <c r="BY14" s="728" t="s">
        <v>683</v>
      </c>
      <c r="BZ14" s="728" t="s">
        <v>684</v>
      </c>
      <c r="CA14" s="728" t="s">
        <v>684</v>
      </c>
      <c r="CB14" s="729" t="s">
        <v>685</v>
      </c>
      <c r="CC14" s="727"/>
      <c r="CD14" s="728"/>
      <c r="CE14" s="729"/>
      <c r="CF14" s="204"/>
      <c r="CG14" s="204"/>
      <c r="CH14" s="727" t="s">
        <v>71</v>
      </c>
      <c r="CI14" s="728" t="s">
        <v>71</v>
      </c>
      <c r="CJ14" s="728" t="s">
        <v>71</v>
      </c>
      <c r="CK14" s="728" t="s">
        <v>71</v>
      </c>
      <c r="CL14" s="728" t="s">
        <v>71</v>
      </c>
      <c r="CM14" s="729" t="s">
        <v>71</v>
      </c>
      <c r="CN14" s="204"/>
      <c r="CO14" s="727" t="s">
        <v>683</v>
      </c>
      <c r="CP14" s="728" t="s">
        <v>683</v>
      </c>
      <c r="CQ14" s="728" t="s">
        <v>683</v>
      </c>
      <c r="CR14" s="728" t="s">
        <v>683</v>
      </c>
      <c r="CS14" s="728" t="s">
        <v>683</v>
      </c>
      <c r="CT14" s="729"/>
      <c r="CU14" s="204"/>
      <c r="CV14" s="204"/>
      <c r="CW14" s="204"/>
      <c r="CX14" s="204"/>
      <c r="CY14" s="204"/>
      <c r="CZ14" s="204"/>
      <c r="DA14" s="204"/>
      <c r="DB14" s="204"/>
      <c r="DC14" s="204"/>
      <c r="DD14" s="204"/>
      <c r="DE14" s="204"/>
      <c r="DF14" s="204"/>
      <c r="DG14" s="204"/>
      <c r="DH14" s="204"/>
      <c r="DI14" s="204"/>
      <c r="DJ14" s="204"/>
      <c r="DK14" s="204"/>
      <c r="DL14" s="204"/>
      <c r="DM14" s="204"/>
      <c r="DN14" s="204"/>
      <c r="DO14" s="204"/>
      <c r="DP14" s="204"/>
      <c r="DQ14" s="204"/>
      <c r="DR14" s="204"/>
      <c r="DS14" s="204"/>
      <c r="DT14" s="204"/>
      <c r="DU14" s="204"/>
      <c r="DV14" s="204"/>
      <c r="DX14" s="204"/>
      <c r="DY14" s="204"/>
      <c r="DZ14" s="204"/>
      <c r="EA14" s="204"/>
      <c r="EB14" s="204"/>
      <c r="EC14" s="204"/>
      <c r="ED14" s="204"/>
      <c r="EE14" s="204"/>
      <c r="EF14" s="204"/>
      <c r="EG14" s="204"/>
      <c r="EH14" s="204"/>
      <c r="EI14" s="204"/>
      <c r="EJ14" s="204"/>
      <c r="EK14" s="204"/>
      <c r="EL14" s="204"/>
      <c r="EM14" s="204"/>
      <c r="EN14" s="204"/>
      <c r="EO14" s="204"/>
      <c r="EP14" s="204"/>
      <c r="EQ14" s="204"/>
      <c r="ER14" s="204"/>
      <c r="ES14" s="204"/>
      <c r="ET14" s="204"/>
      <c r="EU14" s="204"/>
      <c r="EV14" s="204"/>
      <c r="EW14" s="204"/>
      <c r="EX14" s="204"/>
      <c r="EY14" s="204"/>
      <c r="EZ14" s="204"/>
      <c r="FA14" s="204"/>
      <c r="FB14" s="204"/>
      <c r="FC14" s="204"/>
      <c r="FD14" s="204"/>
      <c r="FE14" s="204"/>
      <c r="FF14" s="204"/>
      <c r="FG14" s="204"/>
    </row>
    <row r="15" spans="1:163" s="206" customFormat="1" ht="140.44999999999999" customHeight="1">
      <c r="A15" s="743" t="s">
        <v>600</v>
      </c>
      <c r="B15" s="744"/>
      <c r="C15" s="744" t="s">
        <v>601</v>
      </c>
      <c r="D15" s="744" t="s">
        <v>686</v>
      </c>
      <c r="E15" s="744" t="s">
        <v>687</v>
      </c>
      <c r="F15" s="744" t="s">
        <v>688</v>
      </c>
      <c r="G15" s="745" t="s">
        <v>689</v>
      </c>
      <c r="H15" s="743" t="s">
        <v>690</v>
      </c>
      <c r="I15" s="744" t="s">
        <v>418</v>
      </c>
      <c r="J15" s="744" t="s">
        <v>419</v>
      </c>
      <c r="K15" s="745" t="s">
        <v>604</v>
      </c>
      <c r="L15" s="8" t="s">
        <v>691</v>
      </c>
      <c r="M15" s="8" t="s">
        <v>420</v>
      </c>
      <c r="N15" s="8" t="s">
        <v>692</v>
      </c>
      <c r="O15" s="8" t="s">
        <v>693</v>
      </c>
      <c r="P15" s="8" t="s">
        <v>422</v>
      </c>
      <c r="Q15" s="8" t="s">
        <v>423</v>
      </c>
      <c r="R15" s="746" t="s">
        <v>694</v>
      </c>
      <c r="S15" s="8" t="s">
        <v>695</v>
      </c>
      <c r="T15" s="8" t="s">
        <v>696</v>
      </c>
      <c r="U15" s="8" t="s">
        <v>697</v>
      </c>
      <c r="V15" s="8" t="s">
        <v>698</v>
      </c>
      <c r="W15" s="8" t="s">
        <v>699</v>
      </c>
      <c r="X15" s="743" t="s">
        <v>700</v>
      </c>
      <c r="Y15" s="744" t="s">
        <v>701</v>
      </c>
      <c r="Z15" s="744" t="s">
        <v>702</v>
      </c>
      <c r="AA15" s="745" t="s">
        <v>703</v>
      </c>
      <c r="AB15" s="743" t="s">
        <v>704</v>
      </c>
      <c r="AC15" s="744" t="s">
        <v>705</v>
      </c>
      <c r="AD15" s="745" t="s">
        <v>706</v>
      </c>
      <c r="AE15" s="743" t="s">
        <v>707</v>
      </c>
      <c r="AF15" s="744" t="s">
        <v>708</v>
      </c>
      <c r="AG15" s="744" t="s">
        <v>709</v>
      </c>
      <c r="AH15" s="745" t="s">
        <v>710</v>
      </c>
      <c r="AI15" s="746" t="s">
        <v>711</v>
      </c>
      <c r="AJ15" s="8" t="s">
        <v>712</v>
      </c>
      <c r="AK15" s="8" t="s">
        <v>713</v>
      </c>
      <c r="AL15" s="8" t="s">
        <v>714</v>
      </c>
      <c r="AM15" s="743" t="s">
        <v>715</v>
      </c>
      <c r="AN15" s="745" t="s">
        <v>716</v>
      </c>
      <c r="AO15" s="204"/>
      <c r="AP15" s="730" t="s">
        <v>717</v>
      </c>
      <c r="AQ15" s="731" t="s">
        <v>718</v>
      </c>
      <c r="AR15" s="731" t="s">
        <v>719</v>
      </c>
      <c r="AS15" s="732" t="s">
        <v>720</v>
      </c>
      <c r="AT15" s="7"/>
      <c r="AU15" s="730" t="s">
        <v>721</v>
      </c>
      <c r="AV15" s="736" t="s">
        <v>722</v>
      </c>
      <c r="AW15" s="731" t="s">
        <v>723</v>
      </c>
      <c r="AX15" s="732" t="s">
        <v>724</v>
      </c>
      <c r="AY15" s="7"/>
      <c r="AZ15" s="743" t="s">
        <v>725</v>
      </c>
      <c r="BA15" s="744" t="s">
        <v>726</v>
      </c>
      <c r="BB15" s="745" t="s">
        <v>727</v>
      </c>
      <c r="BC15" s="746" t="s">
        <v>727</v>
      </c>
      <c r="BD15" s="746" t="s">
        <v>728</v>
      </c>
      <c r="BE15" s="746" t="s">
        <v>729</v>
      </c>
      <c r="BF15" s="8" t="s">
        <v>730</v>
      </c>
      <c r="BG15" s="8" t="s">
        <v>731</v>
      </c>
      <c r="BH15" s="8" t="s">
        <v>732</v>
      </c>
      <c r="BI15" s="746" t="s">
        <v>443</v>
      </c>
      <c r="BJ15" s="746" t="s">
        <v>444</v>
      </c>
      <c r="BK15" s="746" t="s">
        <v>733</v>
      </c>
      <c r="BL15" s="746" t="s">
        <v>734</v>
      </c>
      <c r="BM15" s="204"/>
      <c r="BN15" s="736" t="s">
        <v>735</v>
      </c>
      <c r="BO15" s="736" t="s">
        <v>736</v>
      </c>
      <c r="BP15" s="736" t="s">
        <v>737</v>
      </c>
      <c r="BQ15" s="730" t="s">
        <v>738</v>
      </c>
      <c r="BR15" s="732" t="s">
        <v>739</v>
      </c>
      <c r="BS15" s="736" t="s">
        <v>740</v>
      </c>
      <c r="BT15" s="736" t="s">
        <v>741</v>
      </c>
      <c r="BU15" s="736" t="s">
        <v>742</v>
      </c>
      <c r="BV15" s="736" t="s">
        <v>743</v>
      </c>
      <c r="BW15" s="730" t="s">
        <v>744</v>
      </c>
      <c r="BX15" s="730" t="s">
        <v>745</v>
      </c>
      <c r="BY15" s="731"/>
      <c r="BZ15" s="731" t="s">
        <v>746</v>
      </c>
      <c r="CA15" s="731" t="s">
        <v>747</v>
      </c>
      <c r="CB15" s="732" t="s">
        <v>748</v>
      </c>
      <c r="CC15" s="730"/>
      <c r="CD15" s="731"/>
      <c r="CE15" s="732"/>
      <c r="CF15" s="204"/>
      <c r="CG15" s="204"/>
      <c r="CH15" s="730" t="s">
        <v>749</v>
      </c>
      <c r="CI15" s="731" t="s">
        <v>750</v>
      </c>
      <c r="CJ15" s="731" t="s">
        <v>751</v>
      </c>
      <c r="CK15" s="731" t="s">
        <v>752</v>
      </c>
      <c r="CL15" s="731" t="s">
        <v>753</v>
      </c>
      <c r="CM15" s="732" t="s">
        <v>754</v>
      </c>
      <c r="CN15" s="204"/>
      <c r="CO15" s="730" t="s">
        <v>683</v>
      </c>
      <c r="CP15" s="731" t="s">
        <v>683</v>
      </c>
      <c r="CQ15" s="731" t="s">
        <v>683</v>
      </c>
      <c r="CR15" s="731" t="s">
        <v>683</v>
      </c>
      <c r="CS15" s="731" t="s">
        <v>683</v>
      </c>
      <c r="CT15" s="732" t="s">
        <v>683</v>
      </c>
      <c r="CU15" s="204"/>
      <c r="CV15" s="204"/>
      <c r="CW15" s="204"/>
      <c r="CX15" s="204"/>
      <c r="CY15" s="204"/>
      <c r="CZ15" s="204"/>
      <c r="DA15" s="204"/>
      <c r="DB15" s="204"/>
      <c r="DC15" s="204"/>
      <c r="DD15" s="204"/>
      <c r="DE15" s="204"/>
      <c r="DF15" s="204"/>
      <c r="DG15" s="204"/>
      <c r="DH15" s="204"/>
      <c r="DI15" s="204"/>
      <c r="DJ15" s="204"/>
      <c r="DK15" s="204"/>
      <c r="DL15" s="204"/>
      <c r="DM15" s="204"/>
      <c r="DN15" s="204"/>
      <c r="DO15" s="204"/>
      <c r="DP15" s="204"/>
      <c r="DQ15" s="204"/>
      <c r="DR15" s="204"/>
      <c r="DS15" s="204"/>
      <c r="DT15" s="204"/>
      <c r="DU15" s="204"/>
      <c r="DV15" s="204"/>
      <c r="DX15" s="204"/>
      <c r="DY15" s="204"/>
      <c r="DZ15" s="204"/>
      <c r="EA15" s="204"/>
      <c r="EB15" s="204"/>
      <c r="EC15" s="204"/>
      <c r="ED15" s="204"/>
      <c r="EE15" s="204"/>
      <c r="EF15" s="204"/>
      <c r="EG15" s="204"/>
      <c r="EH15" s="204"/>
      <c r="EI15" s="204"/>
      <c r="EJ15" s="204"/>
      <c r="EK15" s="204"/>
      <c r="EL15" s="204"/>
      <c r="EM15" s="204"/>
      <c r="EN15" s="204"/>
      <c r="EO15" s="204"/>
      <c r="EP15" s="204"/>
      <c r="EQ15" s="204"/>
      <c r="ER15" s="204"/>
      <c r="ES15" s="204"/>
      <c r="ET15" s="204"/>
      <c r="EU15" s="204"/>
      <c r="EV15" s="204"/>
      <c r="EW15" s="204"/>
      <c r="EX15" s="204"/>
      <c r="EY15" s="204"/>
      <c r="EZ15" s="204"/>
      <c r="FA15" s="204"/>
      <c r="FB15" s="204"/>
      <c r="FC15" s="204"/>
      <c r="FD15" s="204"/>
      <c r="FE15" s="204"/>
      <c r="FF15" s="204"/>
      <c r="FG15" s="204"/>
    </row>
    <row r="16" spans="1:163" s="326" customFormat="1" ht="11.25" outlineLevel="1">
      <c r="A16" s="752"/>
      <c r="B16" s="752">
        <f>ROW('Definition of Typical Day'!E14)</f>
        <v>14</v>
      </c>
      <c r="C16" s="752"/>
      <c r="D16" s="752"/>
      <c r="E16" s="752"/>
      <c r="F16" s="752"/>
      <c r="G16" s="752"/>
      <c r="H16" s="752">
        <v>1</v>
      </c>
      <c r="I16" s="752">
        <v>3</v>
      </c>
      <c r="J16" s="752">
        <f>'Project Setting'!F22</f>
        <v>3</v>
      </c>
      <c r="K16" s="752">
        <f>'Project Setting'!$F$19</f>
        <v>28</v>
      </c>
      <c r="L16" s="752">
        <v>2</v>
      </c>
      <c r="M16" s="752">
        <v>4</v>
      </c>
      <c r="N16" s="752">
        <f>'Project Setting'!F21</f>
        <v>3</v>
      </c>
      <c r="O16" s="752">
        <v>4</v>
      </c>
      <c r="P16" s="752">
        <v>5</v>
      </c>
      <c r="Q16" s="752">
        <v>5</v>
      </c>
      <c r="R16" s="752">
        <f>'Project Setting'!F$24</f>
        <v>95</v>
      </c>
      <c r="S16" s="752">
        <f>'Project Setting'!$F$16</f>
        <v>3</v>
      </c>
      <c r="T16" s="752">
        <f>'Project Setting'!$F$26</f>
        <v>0.02</v>
      </c>
      <c r="U16" s="752">
        <f>'Project Setting'!$F$27</f>
        <v>2.5999999999999999E-2</v>
      </c>
      <c r="V16" s="752">
        <f>'Project Setting'!$F$28</f>
        <v>0</v>
      </c>
      <c r="W16" s="752"/>
      <c r="X16" s="752">
        <f>'Project Setting'!$F$14</f>
        <v>3</v>
      </c>
      <c r="Y16" s="752">
        <f>'Project Setting'!F20-'Project Setting'!F23</f>
        <v>30</v>
      </c>
      <c r="Z16" s="752"/>
      <c r="AA16" s="752"/>
      <c r="AB16" s="752"/>
      <c r="AC16" s="752"/>
      <c r="AD16" s="752">
        <f>'Project Setting'!F55</f>
        <v>0.5</v>
      </c>
      <c r="AE16" s="752"/>
      <c r="AF16" s="752">
        <f>'Project Setting'!F29</f>
        <v>1</v>
      </c>
      <c r="AG16" s="760"/>
      <c r="AH16" s="752"/>
      <c r="AI16" s="752"/>
      <c r="AJ16" s="752"/>
      <c r="AK16" s="752"/>
      <c r="AL16" s="752">
        <f>'Project Setting'!F56</f>
        <v>99</v>
      </c>
      <c r="AM16" s="752">
        <f>'Project Setting'!$F$131</f>
        <v>7.5</v>
      </c>
      <c r="AN16" s="752">
        <f>'Project Setting'!$F$131</f>
        <v>7.5</v>
      </c>
      <c r="AO16" s="324"/>
      <c r="AP16" s="747">
        <f>'Project Setting'!F112</f>
        <v>0</v>
      </c>
      <c r="AQ16" s="748"/>
      <c r="AR16" s="748">
        <f>'Project Setting'!F111</f>
        <v>2</v>
      </c>
      <c r="AS16" s="749"/>
      <c r="AT16" s="325"/>
      <c r="AU16" s="752"/>
      <c r="AV16" s="752"/>
      <c r="AW16" s="748"/>
      <c r="AX16" s="749"/>
      <c r="AY16" s="325"/>
      <c r="AZ16" s="747">
        <v>7</v>
      </c>
      <c r="BA16" s="748">
        <v>8</v>
      </c>
      <c r="BB16" s="749">
        <f>ROW('Definition of Typical Day'!E27)</f>
        <v>27</v>
      </c>
      <c r="BC16" s="748">
        <v>9</v>
      </c>
      <c r="BD16" s="752">
        <v>10</v>
      </c>
      <c r="BE16" s="752">
        <f>'Project Setting'!F50</f>
        <v>0</v>
      </c>
      <c r="BF16" s="748"/>
      <c r="BG16" s="748">
        <f>'Project Setting'!F79</f>
        <v>2</v>
      </c>
      <c r="BH16" s="748"/>
      <c r="BI16" s="752"/>
      <c r="BJ16" s="752"/>
      <c r="BK16" s="752"/>
      <c r="BL16" s="752"/>
      <c r="BM16" s="324"/>
      <c r="BN16" s="752"/>
      <c r="BO16" s="752"/>
      <c r="BP16" s="752"/>
      <c r="BQ16" s="748">
        <f>'Project Setting'!F38</f>
        <v>0</v>
      </c>
      <c r="BR16" s="748">
        <f>'Project Setting'!F65</f>
        <v>0</v>
      </c>
      <c r="BS16" s="752"/>
      <c r="BT16" s="752"/>
      <c r="BU16" s="758"/>
      <c r="BV16" s="758"/>
      <c r="BW16" s="758">
        <f>'Project Setting'!F51</f>
        <v>0</v>
      </c>
      <c r="BX16" s="752">
        <v>6</v>
      </c>
      <c r="BY16" s="756"/>
      <c r="BZ16" s="756"/>
      <c r="CA16" s="756"/>
      <c r="CB16" s="752"/>
      <c r="CC16" s="752"/>
      <c r="CD16" s="752"/>
      <c r="CE16" s="752">
        <f>ROW('Definition of Typical Day'!E14)</f>
        <v>14</v>
      </c>
      <c r="CF16" s="324"/>
      <c r="CG16" s="324"/>
      <c r="CH16" s="324"/>
      <c r="CI16" s="324"/>
      <c r="CJ16" s="324"/>
      <c r="CK16" s="324"/>
      <c r="CL16" s="324"/>
      <c r="CM16" s="324"/>
      <c r="CN16" s="324"/>
      <c r="CO16" s="752"/>
      <c r="CP16" s="752"/>
      <c r="CQ16" s="752"/>
      <c r="CR16" s="752"/>
      <c r="CS16" s="752"/>
      <c r="CT16" s="752"/>
      <c r="CU16" s="324"/>
      <c r="CV16" s="324"/>
      <c r="CW16" s="324"/>
      <c r="CX16" s="324"/>
      <c r="CY16" s="324"/>
      <c r="CZ16" s="324"/>
      <c r="DA16" s="324"/>
      <c r="DB16" s="324"/>
      <c r="DC16" s="324"/>
      <c r="DD16" s="324"/>
      <c r="DE16" s="324"/>
      <c r="DF16" s="324"/>
      <c r="DG16" s="324"/>
      <c r="DH16" s="324"/>
      <c r="DI16" s="324"/>
      <c r="DJ16" s="324"/>
      <c r="DK16" s="324"/>
      <c r="DL16" s="324"/>
      <c r="DM16" s="324"/>
      <c r="DN16" s="324"/>
      <c r="DO16" s="324"/>
      <c r="DP16" s="324"/>
      <c r="DQ16" s="324"/>
      <c r="DR16" s="324"/>
      <c r="DS16" s="324"/>
      <c r="DT16" s="324"/>
      <c r="DU16" s="324"/>
      <c r="DV16" s="324"/>
      <c r="DX16" s="324"/>
      <c r="DY16" s="324"/>
      <c r="DZ16" s="324"/>
      <c r="EA16" s="324"/>
      <c r="EB16" s="324"/>
      <c r="EC16" s="324"/>
      <c r="ED16" s="324"/>
      <c r="EE16" s="324"/>
      <c r="EF16" s="324"/>
      <c r="EG16" s="324"/>
      <c r="EH16" s="324"/>
      <c r="EI16" s="324"/>
      <c r="EJ16" s="324"/>
      <c r="EK16" s="324"/>
      <c r="EL16" s="324"/>
      <c r="EM16" s="324"/>
      <c r="EN16" s="324"/>
      <c r="EO16" s="324"/>
      <c r="EP16" s="324"/>
      <c r="EQ16" s="324"/>
      <c r="ER16" s="324"/>
      <c r="ES16" s="324"/>
      <c r="ET16" s="324"/>
      <c r="EU16" s="324"/>
      <c r="EV16" s="324"/>
      <c r="EW16" s="324"/>
      <c r="EX16" s="324"/>
      <c r="EY16" s="324"/>
      <c r="EZ16" s="324"/>
      <c r="FA16" s="324"/>
      <c r="FB16" s="324"/>
      <c r="FC16" s="324"/>
      <c r="FD16" s="324"/>
      <c r="FE16" s="324"/>
      <c r="FF16" s="324"/>
      <c r="FG16" s="324"/>
    </row>
    <row r="17" spans="1:163" s="326" customFormat="1" ht="11.25" outlineLevel="1">
      <c r="A17" s="752"/>
      <c r="B17" s="752"/>
      <c r="C17" s="752"/>
      <c r="D17" s="752"/>
      <c r="E17" s="752"/>
      <c r="F17" s="752"/>
      <c r="G17" s="752"/>
      <c r="H17" s="752"/>
      <c r="I17" s="752"/>
      <c r="J17" s="752"/>
      <c r="K17" s="752"/>
      <c r="L17" s="752"/>
      <c r="M17" s="752"/>
      <c r="N17" s="752"/>
      <c r="O17" s="752"/>
      <c r="P17" s="752"/>
      <c r="Q17" s="752"/>
      <c r="R17" s="752"/>
      <c r="S17" s="752"/>
      <c r="T17" s="752">
        <f>'Project Setting'!$F$18</f>
        <v>25</v>
      </c>
      <c r="U17" s="752">
        <f>'Project Setting'!$F$20</f>
        <v>90</v>
      </c>
      <c r="V17" s="752">
        <f>'Project Setting'!$F$23</f>
        <v>60</v>
      </c>
      <c r="W17" s="752"/>
      <c r="X17" s="752"/>
      <c r="Y17" s="752">
        <f>ABS('Project Setting'!F25)</f>
        <v>0.5</v>
      </c>
      <c r="Z17" s="752"/>
      <c r="AA17" s="752"/>
      <c r="AB17" s="752"/>
      <c r="AC17" s="752"/>
      <c r="AD17" s="752"/>
      <c r="AE17" s="752"/>
      <c r="AF17" s="752"/>
      <c r="AG17" s="752"/>
      <c r="AH17" s="752"/>
      <c r="AI17" s="752"/>
      <c r="AJ17" s="752"/>
      <c r="AK17" s="752"/>
      <c r="AL17" s="752"/>
      <c r="AM17" s="752"/>
      <c r="AN17" s="752"/>
      <c r="AO17" s="324"/>
      <c r="AP17" s="747"/>
      <c r="AQ17" s="748"/>
      <c r="AR17" s="748"/>
      <c r="AS17" s="749"/>
      <c r="AT17" s="325"/>
      <c r="AU17" s="752"/>
      <c r="AV17" s="752"/>
      <c r="AW17" s="750"/>
      <c r="AX17" s="751"/>
      <c r="AY17" s="325"/>
      <c r="AZ17" s="747">
        <f>'Project Setting'!F41</f>
        <v>11</v>
      </c>
      <c r="BA17" s="748">
        <f>'Project Setting'!F68</f>
        <v>11</v>
      </c>
      <c r="BB17" s="749"/>
      <c r="BC17" s="748">
        <f>'Project Setting'!F132</f>
        <v>11</v>
      </c>
      <c r="BD17" s="752"/>
      <c r="BE17" s="752"/>
      <c r="BF17" s="750"/>
      <c r="BG17" s="750"/>
      <c r="BH17" s="750"/>
      <c r="BI17" s="756"/>
      <c r="BJ17" s="756"/>
      <c r="BK17" s="756"/>
      <c r="BL17" s="756"/>
      <c r="BM17" s="324"/>
      <c r="BN17" s="752"/>
      <c r="BO17" s="752"/>
      <c r="BP17" s="752"/>
      <c r="BQ17" s="748"/>
      <c r="BR17" s="748"/>
      <c r="BS17" s="752"/>
      <c r="BT17" s="752"/>
      <c r="BU17" s="758"/>
      <c r="BV17" s="758"/>
      <c r="BW17" s="758"/>
      <c r="BX17" s="752"/>
      <c r="BY17" s="752"/>
      <c r="BZ17" s="752"/>
      <c r="CA17" s="752"/>
      <c r="CB17" s="752"/>
      <c r="CC17" s="752"/>
      <c r="CD17" s="752"/>
      <c r="CE17" s="752"/>
      <c r="CF17" s="324"/>
      <c r="CG17" s="324"/>
      <c r="CH17" s="324"/>
      <c r="CI17" s="324"/>
      <c r="CJ17" s="324"/>
      <c r="CK17" s="324"/>
      <c r="CL17" s="324"/>
      <c r="CM17" s="324"/>
      <c r="CN17" s="324"/>
      <c r="CO17" s="752"/>
      <c r="CP17" s="752"/>
      <c r="CQ17" s="752"/>
      <c r="CR17" s="752"/>
      <c r="CS17" s="752"/>
      <c r="CT17" s="752"/>
      <c r="CU17" s="324"/>
      <c r="CV17" s="324"/>
      <c r="CW17" s="324"/>
      <c r="CX17" s="324"/>
      <c r="CY17" s="324"/>
      <c r="CZ17" s="324"/>
      <c r="DA17" s="324"/>
      <c r="DB17" s="324"/>
      <c r="DC17" s="324"/>
      <c r="DD17" s="324"/>
      <c r="DE17" s="324"/>
      <c r="DF17" s="324"/>
      <c r="DG17" s="324"/>
      <c r="DH17" s="324"/>
      <c r="DI17" s="324"/>
      <c r="DJ17" s="324"/>
      <c r="DK17" s="324"/>
      <c r="DL17" s="324"/>
      <c r="DM17" s="324"/>
      <c r="DN17" s="324"/>
      <c r="DO17" s="324"/>
      <c r="DP17" s="324"/>
      <c r="DQ17" s="324"/>
      <c r="DR17" s="324"/>
      <c r="DS17" s="324"/>
      <c r="DT17" s="324"/>
      <c r="DU17" s="324"/>
      <c r="DV17" s="324"/>
      <c r="DX17" s="324"/>
      <c r="DY17" s="324"/>
      <c r="DZ17" s="324"/>
      <c r="EA17" s="324"/>
      <c r="EB17" s="324"/>
      <c r="EC17" s="324"/>
      <c r="ED17" s="324"/>
      <c r="EE17" s="324"/>
      <c r="EF17" s="324"/>
      <c r="EG17" s="324"/>
      <c r="EH17" s="324"/>
      <c r="EI17" s="324"/>
      <c r="EJ17" s="324"/>
      <c r="EK17" s="324"/>
      <c r="EL17" s="324"/>
      <c r="EM17" s="324"/>
      <c r="EN17" s="324"/>
      <c r="EO17" s="324"/>
      <c r="EP17" s="324"/>
      <c r="EQ17" s="324"/>
      <c r="ER17" s="324"/>
      <c r="ES17" s="324"/>
      <c r="ET17" s="324"/>
      <c r="EU17" s="324"/>
      <c r="EV17" s="324"/>
      <c r="EW17" s="324"/>
      <c r="EX17" s="324"/>
      <c r="EY17" s="324"/>
      <c r="EZ17" s="324"/>
      <c r="FA17" s="324"/>
      <c r="FB17" s="324"/>
      <c r="FC17" s="324"/>
      <c r="FD17" s="324"/>
      <c r="FE17" s="324"/>
      <c r="FF17" s="324"/>
      <c r="FG17" s="324"/>
    </row>
    <row r="18" spans="1:163" s="326" customFormat="1" ht="11.25" outlineLevel="1">
      <c r="A18" s="752"/>
      <c r="B18" s="752"/>
      <c r="C18" s="752"/>
      <c r="D18" s="752"/>
      <c r="E18" s="752"/>
      <c r="F18" s="752"/>
      <c r="G18" s="752"/>
      <c r="H18" s="752"/>
      <c r="I18" s="752"/>
      <c r="J18" s="752"/>
      <c r="K18" s="752"/>
      <c r="L18" s="752"/>
      <c r="M18" s="752"/>
      <c r="N18" s="752"/>
      <c r="O18" s="752"/>
      <c r="P18" s="752"/>
      <c r="Q18" s="752"/>
      <c r="R18" s="752"/>
      <c r="S18" s="752"/>
      <c r="T18" s="752"/>
      <c r="U18" s="752"/>
      <c r="V18" s="752"/>
      <c r="W18" s="752"/>
      <c r="X18" s="752"/>
      <c r="Y18" s="752"/>
      <c r="Z18" s="752"/>
      <c r="AA18" s="752"/>
      <c r="AB18" s="752"/>
      <c r="AC18" s="752"/>
      <c r="AD18" s="752"/>
      <c r="AE18" s="752"/>
      <c r="AF18" s="752"/>
      <c r="AG18" s="752"/>
      <c r="AH18" s="752"/>
      <c r="AI18" s="752"/>
      <c r="AJ18" s="752"/>
      <c r="AK18" s="752"/>
      <c r="AL18" s="752"/>
      <c r="AM18" s="752"/>
      <c r="AN18" s="752"/>
      <c r="AO18" s="324"/>
      <c r="AP18" s="747"/>
      <c r="AQ18" s="748"/>
      <c r="AR18" s="748"/>
      <c r="AS18" s="749"/>
      <c r="AT18" s="325"/>
      <c r="AU18" s="752"/>
      <c r="AV18" s="752"/>
      <c r="AW18" s="750"/>
      <c r="AX18" s="751"/>
      <c r="AY18" s="325"/>
      <c r="AZ18" s="747"/>
      <c r="BA18" s="748"/>
      <c r="BB18" s="749"/>
      <c r="BC18" s="748"/>
      <c r="BD18" s="752"/>
      <c r="BE18" s="752"/>
      <c r="BF18" s="750"/>
      <c r="BG18" s="750"/>
      <c r="BH18" s="750"/>
      <c r="BI18" s="756"/>
      <c r="BJ18" s="756"/>
      <c r="BK18" s="756"/>
      <c r="BL18" s="756"/>
      <c r="BM18" s="324"/>
      <c r="BN18" s="752"/>
      <c r="BO18" s="752"/>
      <c r="BP18" s="752"/>
      <c r="BQ18" s="748"/>
      <c r="BR18" s="748"/>
      <c r="BS18" s="752"/>
      <c r="BT18" s="752"/>
      <c r="BU18" s="758"/>
      <c r="BV18" s="758"/>
      <c r="BW18" s="758"/>
      <c r="BX18" s="752"/>
      <c r="BY18" s="752"/>
      <c r="BZ18" s="752"/>
      <c r="CA18" s="752"/>
      <c r="CB18" s="752"/>
      <c r="CC18" s="752"/>
      <c r="CD18" s="752"/>
      <c r="CE18" s="752"/>
      <c r="CF18" s="324"/>
      <c r="CG18" s="324"/>
      <c r="CH18" s="324"/>
      <c r="CI18" s="324"/>
      <c r="CJ18" s="324"/>
      <c r="CK18" s="324"/>
      <c r="CL18" s="324"/>
      <c r="CM18" s="324"/>
      <c r="CN18" s="324"/>
      <c r="CO18" s="752"/>
      <c r="CP18" s="752"/>
      <c r="CQ18" s="752"/>
      <c r="CR18" s="752"/>
      <c r="CS18" s="752"/>
      <c r="CT18" s="752"/>
      <c r="CU18" s="324"/>
      <c r="CV18" s="324"/>
      <c r="CW18" s="324"/>
      <c r="CX18" s="324"/>
      <c r="CY18" s="324"/>
      <c r="CZ18" s="324"/>
      <c r="DA18" s="324"/>
      <c r="DB18" s="324"/>
      <c r="DC18" s="324"/>
      <c r="DD18" s="324"/>
      <c r="DE18" s="324"/>
      <c r="DF18" s="324"/>
      <c r="DG18" s="324"/>
      <c r="DH18" s="324"/>
      <c r="DI18" s="324"/>
      <c r="DJ18" s="324"/>
      <c r="DK18" s="324"/>
      <c r="DL18" s="324"/>
      <c r="DM18" s="324"/>
      <c r="DN18" s="324"/>
      <c r="DO18" s="324"/>
      <c r="DP18" s="324"/>
      <c r="DQ18" s="324"/>
      <c r="DR18" s="324"/>
      <c r="DS18" s="324"/>
      <c r="DT18" s="324"/>
      <c r="DU18" s="324"/>
      <c r="DV18" s="324"/>
      <c r="DX18" s="324"/>
      <c r="DY18" s="324"/>
      <c r="DZ18" s="324"/>
      <c r="EA18" s="324"/>
      <c r="EB18" s="324"/>
      <c r="EC18" s="324"/>
      <c r="ED18" s="324"/>
      <c r="EE18" s="324"/>
      <c r="EF18" s="324"/>
      <c r="EG18" s="324"/>
      <c r="EH18" s="324"/>
      <c r="EI18" s="324"/>
      <c r="EJ18" s="324"/>
      <c r="EK18" s="324"/>
      <c r="EL18" s="324"/>
      <c r="EM18" s="324"/>
      <c r="EN18" s="324"/>
      <c r="EO18" s="324"/>
      <c r="EP18" s="324"/>
      <c r="EQ18" s="324"/>
      <c r="ER18" s="324"/>
      <c r="ES18" s="324"/>
      <c r="ET18" s="324"/>
      <c r="EU18" s="324"/>
      <c r="EV18" s="324"/>
      <c r="EW18" s="324"/>
      <c r="EX18" s="324"/>
      <c r="EY18" s="324"/>
      <c r="EZ18" s="324"/>
      <c r="FA18" s="324"/>
      <c r="FB18" s="324"/>
      <c r="FC18" s="324"/>
      <c r="FD18" s="324"/>
      <c r="FE18" s="324"/>
      <c r="FF18" s="324"/>
      <c r="FG18" s="324"/>
    </row>
    <row r="19" spans="1:163" s="326" customFormat="1" ht="11.25" outlineLevel="1">
      <c r="A19" s="752"/>
      <c r="B19" s="752"/>
      <c r="C19" s="752"/>
      <c r="D19" s="752"/>
      <c r="E19" s="752"/>
      <c r="F19" s="752"/>
      <c r="G19" s="752"/>
      <c r="H19" s="752"/>
      <c r="I19" s="752"/>
      <c r="J19" s="752"/>
      <c r="K19" s="752"/>
      <c r="L19" s="752"/>
      <c r="M19" s="752"/>
      <c r="N19" s="752"/>
      <c r="O19" s="752"/>
      <c r="P19" s="752"/>
      <c r="Q19" s="752"/>
      <c r="R19" s="752"/>
      <c r="S19" s="752"/>
      <c r="T19" s="752"/>
      <c r="U19" s="752"/>
      <c r="V19" s="752"/>
      <c r="W19" s="752"/>
      <c r="X19" s="752"/>
      <c r="Y19" s="752"/>
      <c r="Z19" s="752"/>
      <c r="AA19" s="752"/>
      <c r="AB19" s="752"/>
      <c r="AC19" s="752">
        <f ca="1">ROUND(MAX(AC21:AC500),2)</f>
        <v>0.19</v>
      </c>
      <c r="AD19" s="752"/>
      <c r="AE19" s="752"/>
      <c r="AF19" s="752"/>
      <c r="AG19" s="752"/>
      <c r="AH19" s="752"/>
      <c r="AI19" s="752"/>
      <c r="AJ19" s="752"/>
      <c r="AK19" s="752"/>
      <c r="AL19" s="752"/>
      <c r="AM19" s="752"/>
      <c r="AN19" s="752"/>
      <c r="AO19" s="324"/>
      <c r="AP19" s="747"/>
      <c r="AQ19" s="748"/>
      <c r="AR19" s="748"/>
      <c r="AS19" s="749"/>
      <c r="AT19" s="325"/>
      <c r="AU19" s="752"/>
      <c r="AV19" s="752"/>
      <c r="AW19" s="750"/>
      <c r="AX19" s="751"/>
      <c r="AY19" s="325"/>
      <c r="AZ19" s="747"/>
      <c r="BA19" s="748"/>
      <c r="BB19" s="749"/>
      <c r="BC19" s="748"/>
      <c r="BD19" s="752"/>
      <c r="BE19" s="752"/>
      <c r="BF19" s="750"/>
      <c r="BG19" s="750"/>
      <c r="BH19" s="750"/>
      <c r="BI19" s="756"/>
      <c r="BJ19" s="756"/>
      <c r="BK19" s="756"/>
      <c r="BL19" s="756"/>
      <c r="BM19" s="324"/>
      <c r="BN19" s="752"/>
      <c r="BO19" s="752"/>
      <c r="BP19" s="752"/>
      <c r="BQ19" s="779"/>
      <c r="BR19" s="779"/>
      <c r="BS19" s="757"/>
      <c r="BT19" s="757"/>
      <c r="BU19" s="759"/>
      <c r="BV19" s="759"/>
      <c r="BW19" s="759"/>
      <c r="BX19" s="757"/>
      <c r="BY19" s="757"/>
      <c r="BZ19" s="757"/>
      <c r="CA19" s="757"/>
      <c r="CB19" s="757"/>
      <c r="CC19" s="757"/>
      <c r="CD19" s="757"/>
      <c r="CE19" s="757"/>
      <c r="CF19" s="324"/>
      <c r="CG19" s="324"/>
      <c r="CH19" s="324"/>
      <c r="CI19" s="324"/>
      <c r="CJ19" s="324"/>
      <c r="CK19" s="324"/>
      <c r="CL19" s="324"/>
      <c r="CM19" s="324"/>
      <c r="CN19" s="324"/>
      <c r="CO19" s="752"/>
      <c r="CP19" s="752"/>
      <c r="CQ19" s="752"/>
      <c r="CR19" s="752"/>
      <c r="CS19" s="752"/>
      <c r="CT19" s="752"/>
      <c r="CU19" s="324"/>
      <c r="CV19" s="324"/>
      <c r="CW19" s="324"/>
      <c r="CX19" s="324"/>
      <c r="CY19" s="324"/>
      <c r="CZ19" s="324"/>
      <c r="DA19" s="324"/>
      <c r="DB19" s="324"/>
      <c r="DC19" s="324"/>
      <c r="DD19" s="324"/>
      <c r="DE19" s="324"/>
      <c r="DF19" s="324"/>
      <c r="DG19" s="324"/>
      <c r="DH19" s="324"/>
      <c r="DI19" s="324"/>
      <c r="DJ19" s="324"/>
      <c r="DK19" s="324"/>
      <c r="DL19" s="324"/>
      <c r="DM19" s="324"/>
      <c r="DN19" s="324"/>
      <c r="DO19" s="324"/>
      <c r="DP19" s="324"/>
      <c r="DQ19" s="324"/>
      <c r="DR19" s="324"/>
      <c r="DS19" s="324"/>
      <c r="DT19" s="324"/>
      <c r="DU19" s="324"/>
      <c r="DV19" s="324"/>
      <c r="DX19" s="324"/>
      <c r="DY19" s="324"/>
      <c r="DZ19" s="324"/>
      <c r="EA19" s="324"/>
      <c r="EB19" s="324"/>
      <c r="EC19" s="324"/>
      <c r="ED19" s="324"/>
      <c r="EE19" s="324"/>
      <c r="EF19" s="324"/>
      <c r="EG19" s="324"/>
      <c r="EH19" s="324"/>
      <c r="EI19" s="324"/>
      <c r="EJ19" s="324"/>
      <c r="EK19" s="324"/>
      <c r="EL19" s="324"/>
      <c r="EM19" s="324"/>
      <c r="EN19" s="324"/>
      <c r="EO19" s="324"/>
      <c r="EP19" s="324"/>
      <c r="EQ19" s="324"/>
      <c r="ER19" s="324"/>
      <c r="ES19" s="324"/>
      <c r="ET19" s="324"/>
      <c r="EU19" s="324"/>
      <c r="EV19" s="324"/>
      <c r="EW19" s="324"/>
      <c r="EX19" s="324"/>
      <c r="EY19" s="324"/>
      <c r="EZ19" s="324"/>
      <c r="FA19" s="324"/>
      <c r="FB19" s="324"/>
      <c r="FC19" s="324"/>
      <c r="FD19" s="324"/>
      <c r="FE19" s="324"/>
      <c r="FF19" s="324"/>
      <c r="FG19" s="324"/>
    </row>
    <row r="20" spans="1:163" s="205" customFormat="1" ht="135">
      <c r="A20" s="761" t="str">
        <f>A13</f>
        <v>Typical Day ID</v>
      </c>
      <c r="B20" s="762" t="str">
        <f>B13</f>
        <v>Name of typical day</v>
      </c>
      <c r="C20" s="763" t="str">
        <f>C13</f>
        <v>Hour</v>
      </c>
      <c r="D20" s="763"/>
      <c r="E20" s="763"/>
      <c r="F20" s="763"/>
      <c r="G20" s="764"/>
      <c r="H20" s="762" t="str">
        <f>H13</f>
        <v>Available waste heat (DC heat source)</v>
      </c>
      <c r="I20" s="763" t="str">
        <f>I13</f>
        <v>Flow temperature of data centre cooling system</v>
      </c>
      <c r="J20" s="763" t="str">
        <f>J13</f>
        <v xml:space="preserve">Flow Temperature HP </v>
      </c>
      <c r="K20" s="763" t="str">
        <f>K13</f>
        <v>Return temperature HP / Flow temperature DC</v>
      </c>
      <c r="L20" s="762" t="str">
        <f>L13</f>
        <v>Max heat demand - grid (HP heat sink)</v>
      </c>
      <c r="M20" s="763" t="str">
        <f t="shared" ref="M20:AA20" si="0">M13</f>
        <v>DH supply line temperature</v>
      </c>
      <c r="N20" s="763" t="str">
        <f t="shared" si="0"/>
        <v>Delta T DH / Heat pump</v>
      </c>
      <c r="O20" s="763" t="str">
        <f t="shared" si="0"/>
        <v>Required temperature sink out</v>
      </c>
      <c r="P20" s="763" t="str">
        <f t="shared" si="0"/>
        <v>DH return line temperature</v>
      </c>
      <c r="Q20" s="764" t="str">
        <f t="shared" si="0"/>
        <v>Temperature heat pump sink in</v>
      </c>
      <c r="R20" s="761" t="str">
        <f t="shared" si="0"/>
        <v>Actual Heat pump Temperature Sink Out</v>
      </c>
      <c r="S20" s="651" t="str">
        <f t="shared" si="0"/>
        <v>Nominal COP</v>
      </c>
      <c r="T20" s="651" t="str">
        <f t="shared" si="0"/>
        <v>COP increase due to higher heat source temperature</v>
      </c>
      <c r="U20" s="651" t="str">
        <f t="shared" si="0"/>
        <v>COP increase due to lower heat sink out temperature (eg. DH supply line temperature)</v>
      </c>
      <c r="V20" s="651" t="str">
        <f t="shared" si="0"/>
        <v>COP increase due to higher heat sink in temperature (eg. DH return line temperature)</v>
      </c>
      <c r="W20" s="651" t="str">
        <f t="shared" si="0"/>
        <v>COP at current operation conditions</v>
      </c>
      <c r="X20" s="762" t="str">
        <f t="shared" si="0"/>
        <v>Nominal capacity of heat pump</v>
      </c>
      <c r="Y20" s="763" t="str">
        <f t="shared" si="0"/>
        <v>Reduced capacity of heat pump due to volume restrictions</v>
      </c>
      <c r="Z20" s="763" t="str">
        <f t="shared" si="0"/>
        <v xml:space="preserve">Potential heat output - HP, including heat losses, not considering </v>
      </c>
      <c r="AA20" s="764" t="str">
        <f t="shared" si="0"/>
        <v>HP output due to Booster Capacity restrictions</v>
      </c>
      <c r="AB20" s="651" t="str">
        <f>AB13</f>
        <v>Delta T Booster</v>
      </c>
      <c r="AC20" s="651" t="str">
        <f>AC13</f>
        <v>Required Booster heat output</v>
      </c>
      <c r="AD20" s="651" t="str">
        <f>AD13</f>
        <v>Booster heat output</v>
      </c>
      <c r="AE20" s="762" t="str">
        <f>AE13</f>
        <v>Total heat output before additional losses</v>
      </c>
      <c r="AF20" s="763" t="str">
        <f>AF13</f>
        <v>Heat losses after HP</v>
      </c>
      <c r="AG20" s="763" t="str">
        <f t="shared" ref="AG20:BA20" si="1">AG13</f>
        <v>Total heat output after additional losses</v>
      </c>
      <c r="AH20" s="764" t="str">
        <f t="shared" si="1"/>
        <v>Total heat output after considering restriction imposed by heat demand</v>
      </c>
      <c r="AI20" s="761" t="str">
        <f t="shared" si="1"/>
        <v>Share of heat provided by heat pump and booster utilized by grid</v>
      </c>
      <c r="AJ20" s="762" t="str">
        <f t="shared" si="1"/>
        <v>Waste heat input from DC</v>
      </c>
      <c r="AK20" s="763" t="str">
        <f t="shared" si="1"/>
        <v>Electricity input for heat pump</v>
      </c>
      <c r="AL20" s="763" t="str">
        <f t="shared" si="1"/>
        <v>Energy input for booster</v>
      </c>
      <c r="AM20" s="763" t="str">
        <f t="shared" si="1"/>
        <v>Avoided electricity demand due to reduced active cooling</v>
      </c>
      <c r="AN20" s="764" t="str">
        <f t="shared" si="1"/>
        <v>Remaining electricity demand for active cooling</v>
      </c>
      <c r="AO20" s="230"/>
      <c r="AP20" s="753" t="str">
        <f>AP13</f>
        <v>Waste heat price p_0 that is paid at the border between data centre cooling and waste heat recovery system under Take-or-Pay conditions</v>
      </c>
      <c r="AQ20" s="755" t="str">
        <f>AQ13</f>
        <v>Energy costs p_0 for waste heat from DC</v>
      </c>
      <c r="AR20" s="755" t="str">
        <f>AR13</f>
        <v>Variable O&amp;M costs for heat recovery system operator</v>
      </c>
      <c r="AS20" s="754" t="str">
        <f>AS13</f>
        <v>Total Hourly costs of heat recovery system operator</v>
      </c>
      <c r="AT20" s="194"/>
      <c r="AU20" s="753" t="str">
        <f t="shared" si="1"/>
        <v>Negotiated Waste heat price p_1</v>
      </c>
      <c r="AV20" s="754" t="str">
        <f>AV13</f>
        <v>Contract type for waste heat between Contractor 1 / DH operator and Contractor 2 / data centre operator</v>
      </c>
      <c r="AW20" s="753" t="str">
        <f>AW13</f>
        <v>Energy costs p_1 for waste heat from DC as provided by DC (take-or-pay) (Contractor 1)</v>
      </c>
      <c r="AX20" s="754" t="str">
        <f>AX13</f>
        <v>Energy costs p_1 for waste heat from DC as taken (Pay-as-you-go) (Contractor 1)</v>
      </c>
      <c r="AY20" s="194"/>
      <c r="AZ20" s="774" t="str">
        <f t="shared" si="1"/>
        <v>Electricity price Heat pump</v>
      </c>
      <c r="BA20" s="651" t="str">
        <f t="shared" si="1"/>
        <v>Fuel price booster</v>
      </c>
      <c r="BB20" s="775" t="str">
        <f>BB13</f>
        <v>Electricity price auxiliary energy</v>
      </c>
      <c r="BC20" s="651" t="str">
        <f>BC13</f>
        <v>Data centre operator: Electricity price for cooling unit</v>
      </c>
      <c r="BD20" s="761" t="str">
        <f>BD13</f>
        <v>Data centre operator: Share of active cooling needed if heat is not taken up by DH</v>
      </c>
      <c r="BE20" s="761" t="str">
        <f>BE13</f>
        <v xml:space="preserve">Average Subsidies given Contractor 1 per utilized waste heat </v>
      </c>
      <c r="BF20" s="762" t="str">
        <f t="shared" ref="BF20:CB20" si="2">BF13</f>
        <v>Electricity costs for heat pump (Contractor 1)</v>
      </c>
      <c r="BG20" s="763" t="str">
        <f t="shared" si="2"/>
        <v>Electricity costs auxiliary energy (Contractor 1)</v>
      </c>
      <c r="BH20" s="764" t="str">
        <f t="shared" si="2"/>
        <v>Fuel costs for booster (Contractor 1)</v>
      </c>
      <c r="BI20" s="761" t="str">
        <f>BI13</f>
        <v>Avoided electricity costs due to reduced active cooling</v>
      </c>
      <c r="BJ20" s="761" t="str">
        <f>BJ13</f>
        <v>Remaining electricity costs for active cooling</v>
      </c>
      <c r="BK20" s="761" t="str">
        <f>BK13</f>
        <v>Subsidies given per utilized waste heat to Contractor 1 / DH Operator</v>
      </c>
      <c r="BL20" s="761" t="str">
        <f t="shared" si="2"/>
        <v>Subsidies given per utilized waste heat to Contractor 1 / DH Operator considering that they must not exceed costs for electricity</v>
      </c>
      <c r="BM20" s="230"/>
      <c r="BN20" s="712" t="str">
        <f t="shared" si="2"/>
        <v>Total energy costs considering subsidies Contractor 1 / DH operator including subsidies S3 provided for the utilized waste heat</v>
      </c>
      <c r="BO20" s="712" t="str">
        <f>BO13</f>
        <v>Total energy costs per delivered Heat to Grid Contractor 1 / DH Operator</v>
      </c>
      <c r="BP20" s="753" t="str">
        <f>BP13</f>
        <v>Total SRMC energy costs Contractor 1 / DH Operator excluding subsidies S3 provided for the utilized waste heat</v>
      </c>
      <c r="BQ20" s="755" t="str">
        <f t="shared" si="2"/>
        <v>Variable (MWh-specific) O&amp;M Costs Heat pump Contractor 1 / DH Operator</v>
      </c>
      <c r="BR20" s="755" t="str">
        <f t="shared" si="2"/>
        <v>Variable (MWh-specific) O&amp;M Costs Booster Contractor 1 / DH Operator</v>
      </c>
      <c r="BS20" s="712" t="str">
        <f t="shared" si="2"/>
        <v>Total Hourly costs of Contractor 1 / DH Operator including subsidies S3 provided for the utilized waste heat</v>
      </c>
      <c r="BT20" s="712" t="str">
        <f t="shared" si="2"/>
        <v>Short run marginal costs per hour Contractor 1 / DH Operator excluding subsidies S3 provided for the utilized waste heat</v>
      </c>
      <c r="BU20" s="712" t="str">
        <f t="shared" si="2"/>
        <v>Short run marginal costs per MWh Contractor 1 / DH Operator excluding subsidies S3 provided for the utilized waste heat</v>
      </c>
      <c r="BV20" s="712" t="str">
        <f>BV13</f>
        <v>Short run marginal costs per MWh Contractor 1 / DH Operator including subsidies S3 provided for the utilized waste heat</v>
      </c>
      <c r="BW20" s="712" t="str">
        <f>BW13</f>
        <v>Short run marginal costs per MWh Contractor 1 / DH Operator used to compare against reference SRMC alternative production</v>
      </c>
      <c r="BX20" s="754" t="str">
        <f t="shared" si="2"/>
        <v>Reference SRMC alternative production [EUR/MWh_delivered]</v>
      </c>
      <c r="BY20" s="712" t="str">
        <f t="shared" si="2"/>
        <v>Is Heat production because SRMC lower than alternative, temperature can be met and system is available</v>
      </c>
      <c r="BZ20" s="712" t="str">
        <f t="shared" si="2"/>
        <v>Operation hours</v>
      </c>
      <c r="CA20" s="753" t="str">
        <f t="shared" si="2"/>
        <v>Operation hours in full-load-hours equivalents</v>
      </c>
      <c r="CB20" s="712" t="str">
        <f t="shared" si="2"/>
        <v>Reference SRMC alternative production [EUR/h]</v>
      </c>
      <c r="CC20" s="755" t="str">
        <f>CC13</f>
        <v>Typical Day ID</v>
      </c>
      <c r="CD20" s="755" t="str">
        <f>CD13</f>
        <v>Hour</v>
      </c>
      <c r="CE20" s="754" t="str">
        <f>CE13</f>
        <v>Name of typical day</v>
      </c>
      <c r="CF20" s="230"/>
      <c r="CG20" s="230"/>
      <c r="CH20" s="753" t="str">
        <f t="shared" ref="CH20:CM20" si="3">CH13</f>
        <v>Waste heat output DC</v>
      </c>
      <c r="CI20" s="712" t="str">
        <f t="shared" si="3"/>
        <v>Max heat demand grid</v>
      </c>
      <c r="CJ20" s="755" t="str">
        <f t="shared" si="3"/>
        <v>Heat fed into grid considering actual operation</v>
      </c>
      <c r="CK20" s="755" t="str">
        <f t="shared" si="3"/>
        <v>Waste heat input from DC actual operation</v>
      </c>
      <c r="CL20" s="755" t="str">
        <f t="shared" si="3"/>
        <v>Electricity input for heat pump actual operation</v>
      </c>
      <c r="CM20" s="754" t="str">
        <f t="shared" si="3"/>
        <v>Energy input for booster actual operation</v>
      </c>
      <c r="CN20" s="230"/>
      <c r="CO20" s="753" t="str">
        <f t="shared" ref="CO20:CT20" si="4">CO13</f>
        <v>SRMC Heat-pump is lower than SRMC of alternative heat production</v>
      </c>
      <c r="CP20" s="755" t="str">
        <f t="shared" si="4"/>
        <v>Heat demand (DH) is given</v>
      </c>
      <c r="CQ20" s="755" t="str">
        <f t="shared" si="4"/>
        <v>Waste heat is available</v>
      </c>
      <c r="CR20" s="755" t="str">
        <f t="shared" si="4"/>
        <v xml:space="preserve">Temperature demand of DH grid is met </v>
      </c>
      <c r="CS20" s="755" t="str">
        <f t="shared" si="4"/>
        <v>Heat pump is running</v>
      </c>
      <c r="CT20" s="754" t="str">
        <f t="shared" si="4"/>
        <v>Booster is running</v>
      </c>
      <c r="CU20" s="230"/>
      <c r="CV20" s="230"/>
      <c r="CW20" s="230"/>
      <c r="CX20" s="230"/>
      <c r="CY20" s="230"/>
      <c r="CZ20" s="230"/>
      <c r="DA20" s="230"/>
      <c r="DB20" s="230"/>
      <c r="DC20" s="230"/>
      <c r="DD20" s="230"/>
      <c r="DE20" s="230"/>
      <c r="DF20" s="230"/>
      <c r="DG20" s="230"/>
      <c r="DH20" s="230"/>
      <c r="DI20" s="230"/>
      <c r="DJ20" s="230"/>
      <c r="DK20" s="230"/>
      <c r="DL20" s="230"/>
      <c r="DM20" s="230"/>
      <c r="DN20" s="230"/>
      <c r="DO20" s="230"/>
      <c r="DP20" s="230"/>
      <c r="DQ20" s="230"/>
      <c r="DR20" s="230"/>
      <c r="DS20" s="230"/>
      <c r="DT20" s="230"/>
      <c r="DU20" s="230"/>
      <c r="DV20" s="230"/>
      <c r="DX20" s="230"/>
      <c r="DY20" s="230"/>
      <c r="DZ20" s="230"/>
      <c r="EA20" s="230"/>
      <c r="EB20" s="230"/>
      <c r="EC20" s="230"/>
      <c r="ED20" s="230"/>
      <c r="EE20" s="230"/>
      <c r="EF20" s="230"/>
      <c r="EG20" s="230"/>
      <c r="EH20" s="230"/>
      <c r="EI20" s="230"/>
      <c r="EJ20" s="230"/>
      <c r="EK20" s="230"/>
      <c r="EL20" s="230"/>
      <c r="EM20" s="230"/>
      <c r="EN20" s="230"/>
      <c r="EO20" s="230"/>
      <c r="EP20" s="230"/>
      <c r="EQ20" s="230"/>
      <c r="ER20" s="230"/>
      <c r="ES20" s="230"/>
      <c r="ET20" s="230"/>
      <c r="EU20" s="230"/>
      <c r="EV20" s="230"/>
      <c r="EW20" s="230"/>
      <c r="EX20" s="230"/>
      <c r="EY20" s="230"/>
      <c r="EZ20" s="230"/>
      <c r="FA20" s="230"/>
      <c r="FB20" s="230"/>
      <c r="FC20" s="230"/>
      <c r="FD20" s="230"/>
      <c r="FE20" s="230"/>
      <c r="FF20" s="230"/>
      <c r="FG20" s="230"/>
    </row>
    <row r="21" spans="1:163" s="57" customFormat="1" ht="11.25">
      <c r="A21" s="765">
        <v>1</v>
      </c>
      <c r="B21" s="715" t="str" cm="1">
        <f t="array" aca="1" ref="B21" ca="1">INDIRECT("'Definition of Typical Day'!"&amp;ADDRESS(B$16,$E21))</f>
        <v>Winter day</v>
      </c>
      <c r="C21" s="766">
        <v>1</v>
      </c>
      <c r="D21" s="715">
        <f>ROW('Definition of Typical Day'!D35)</f>
        <v>35</v>
      </c>
      <c r="E21" s="715">
        <f t="shared" ref="E21:E84" si="5">A21+4</f>
        <v>5</v>
      </c>
      <c r="F21" s="767" cm="1">
        <f t="array" aca="1" ref="F21" ca="1">INDIRECT("'Definition of Typical Day'!D"&amp;D21)</f>
        <v>1</v>
      </c>
      <c r="G21" s="767" cm="1">
        <f t="array" aca="1" ref="G21" ca="1">INDIRECT("'Definition of Typical Day'!"&amp;ADDRESS(13,E21))</f>
        <v>1</v>
      </c>
      <c r="H21" s="768" cm="1">
        <f t="array" aca="1" ref="H21" ca="1">INDIRECT("'Definition of Typical Day'!"&amp; ADDRESS($D21+28*(H$16-1),$E21))</f>
        <v>2</v>
      </c>
      <c r="I21" s="715" cm="1">
        <f t="array" aca="1" ref="I21" ca="1">INDIRECT("'Definition of Typical Day'!"&amp; ADDRESS($D21+29*(I$16-1),$E21))</f>
        <v>40</v>
      </c>
      <c r="J21" s="715">
        <f ca="1">IF(I21&lt;K21,0,I21-$J$16)</f>
        <v>37</v>
      </c>
      <c r="K21" s="785">
        <f>$K$16</f>
        <v>28</v>
      </c>
      <c r="L21" s="786" cm="1">
        <f t="array" aca="1" ref="L21" ca="1">INDIRECT("'Definition of Typical Day'!"&amp; ADDRESS($D21+29*(L$16-1),$E21))</f>
        <v>6</v>
      </c>
      <c r="M21" s="768" cm="1">
        <f t="array" aca="1" ref="M21" ca="1">INDIRECT("'Definition of Typical Day'!"&amp; ADDRESS($D21+29*(M$16-1),$E21))</f>
        <v>77</v>
      </c>
      <c r="N21" s="715">
        <f>$N$16</f>
        <v>3</v>
      </c>
      <c r="O21" s="715">
        <f ca="1">N21+M21</f>
        <v>80</v>
      </c>
      <c r="P21" s="715" cm="1">
        <f t="array" aca="1" ref="P21" ca="1">INDIRECT("'Definition of Typical Day'!"&amp; ADDRESS($D21+29*(P$16-1),$E21))</f>
        <v>45</v>
      </c>
      <c r="Q21" s="787">
        <f ca="1">P21+N21</f>
        <v>48</v>
      </c>
      <c r="R21" s="792">
        <f ca="1">MIN($R$16,O21)</f>
        <v>80</v>
      </c>
      <c r="S21" s="769">
        <f>$S$16</f>
        <v>3</v>
      </c>
      <c r="T21" s="769">
        <f ca="1">ABS($T$16)*(J21-$T$17)</f>
        <v>0.24</v>
      </c>
      <c r="U21" s="769">
        <f ca="1">ABS($U$16)*($U$17-R21)</f>
        <v>0.26</v>
      </c>
      <c r="V21" s="769">
        <f ca="1">($V$16)*(Q21-$V$17)</f>
        <v>0</v>
      </c>
      <c r="W21" s="769">
        <f ca="1">SUM(S21:V21)</f>
        <v>3.5</v>
      </c>
      <c r="X21" s="794">
        <f>$X$16</f>
        <v>3</v>
      </c>
      <c r="Y21" s="769">
        <f ca="1">X21*MIN(1,(MAX(1,R21-Q21)/$Y$16)^$Y$17)</f>
        <v>3</v>
      </c>
      <c r="Z21" s="769">
        <f ca="1">MIN(H21*W21/(W21-1),Y21)</f>
        <v>2.8</v>
      </c>
      <c r="AA21" s="795">
        <f ca="1">(0.00001 + AD21)/(0.00001+AC21)*Z21</f>
        <v>2.8</v>
      </c>
      <c r="AB21" s="769">
        <f ca="1">MAX(0, O21-R21)</f>
        <v>0</v>
      </c>
      <c r="AC21" s="769">
        <f ca="1">(AB21/MAX(1,R21-Q21)*Z21)</f>
        <v>0</v>
      </c>
      <c r="AD21" s="769">
        <f ca="1">MIN(AC21,$AD$16)</f>
        <v>0</v>
      </c>
      <c r="AE21" s="794">
        <f ca="1">AD21+AA21</f>
        <v>2.8</v>
      </c>
      <c r="AF21" s="769">
        <f ca="1">AE21*$AF$16/100</f>
        <v>2.7999999999999997E-2</v>
      </c>
      <c r="AG21" s="769">
        <f ca="1">AE21-AF21</f>
        <v>2.7719999999999998</v>
      </c>
      <c r="AH21" s="799">
        <f ca="1">MIN(AG21,L21)</f>
        <v>2.7719999999999998</v>
      </c>
      <c r="AI21" s="801">
        <f ca="1">(0.00001 + AH21)/(0.00001+AG21)</f>
        <v>1</v>
      </c>
      <c r="AJ21" s="794">
        <f ca="1">AA21*(W21-1)/(W21)*$AI21</f>
        <v>2</v>
      </c>
      <c r="AK21" s="769">
        <f ca="1">AA21/(W21)*$AI21</f>
        <v>0.79999999999999993</v>
      </c>
      <c r="AL21" s="769">
        <f ca="1">AD21/MAX(0.001, $AL$16/100)*$AI21</f>
        <v>0</v>
      </c>
      <c r="AM21" s="803">
        <f t="shared" ref="AM21:AM84" ca="1" si="6">IF($BY21=1,$AJ21,0)*$BD21/AM$16</f>
        <v>5.3333333333333337E-2</v>
      </c>
      <c r="AN21" s="795">
        <f t="shared" ref="AN21:AN84" ca="1" si="7">(H21-IF($BY21=1,$AJ21,0))*$BD21/AN$16</f>
        <v>0</v>
      </c>
      <c r="AO21" s="251"/>
      <c r="AP21" s="770">
        <f>$AP$16</f>
        <v>0</v>
      </c>
      <c r="AQ21" s="771">
        <f ca="1">AP21*H21</f>
        <v>0</v>
      </c>
      <c r="AR21" s="771">
        <f ca="1">$AR$16*AJ21</f>
        <v>4</v>
      </c>
      <c r="AS21" s="772">
        <f ca="1">AR21+AQ21</f>
        <v>4</v>
      </c>
      <c r="AT21" s="231"/>
      <c r="AU21" s="770">
        <f>'Main Results - IRR DC Operator'!$F$16</f>
        <v>2</v>
      </c>
      <c r="AV21" s="773">
        <f>'Main Results - IRR DC Operator'!$F$15</f>
        <v>1</v>
      </c>
      <c r="AW21" s="771">
        <f ca="1">IF(AV21=1,H21*AU21,0)</f>
        <v>4</v>
      </c>
      <c r="AX21" s="772">
        <f>IF(AV21=2,AJ21*AU21,0)</f>
        <v>0</v>
      </c>
      <c r="AY21" s="231"/>
      <c r="AZ21" s="770" cm="1">
        <f t="array" aca="1" ref="AZ21" ca="1">INDIRECT("'Definition of Typical Day'!"&amp; ADDRESS($D21+29*(AZ$16-1),$E21))+$AZ$17</f>
        <v>77</v>
      </c>
      <c r="BA21" s="771" cm="1">
        <f t="array" aca="1" ref="BA21" ca="1">INDIRECT("'Definition of Typical Day'!"&amp; ADDRESS($D21+29*(BA$16-1),$E21))+$BA$17</f>
        <v>77</v>
      </c>
      <c r="BB21" s="772" cm="1">
        <f t="array" aca="1" ref="BB21" ca="1">INDIRECT("'Definition of Typical Day'!"&amp;ADDRESS(BB$16,$E21))</f>
        <v>135</v>
      </c>
      <c r="BC21" s="776" cm="1">
        <f t="array" aca="1" ref="BC21" ca="1">INDIRECT("'Definition of Typical Day'!"&amp; ADDRESS($D21+29*(BC$16-1),$E21))</f>
        <v>76</v>
      </c>
      <c r="BD21" s="777" cm="1">
        <f t="array" aca="1" ref="BD21" ca="1">INDIRECT("'Definition of Typical Day'!"&amp; ADDRESS($D21+29*(BD$16-1),$E21))</f>
        <v>0.2</v>
      </c>
      <c r="BE21" s="776">
        <f>$BE$16</f>
        <v>0</v>
      </c>
      <c r="BF21" s="771">
        <f ca="1">AZ21*AK21</f>
        <v>61.599999999999994</v>
      </c>
      <c r="BG21" s="771">
        <f ca="1">AE21*BG$16/100*BB21*AI21</f>
        <v>7.56</v>
      </c>
      <c r="BH21" s="771">
        <f ca="1">BA21*AL21</f>
        <v>0</v>
      </c>
      <c r="BI21" s="776">
        <f ca="1">AM21*$BC21</f>
        <v>4.0533333333333337</v>
      </c>
      <c r="BJ21" s="776">
        <f ca="1">AN21*$BC21</f>
        <v>0</v>
      </c>
      <c r="BK21" s="776">
        <f ca="1">BE21*AJ21</f>
        <v>0</v>
      </c>
      <c r="BL21" s="776">
        <f ca="1">MIN(MAX(SUM(BF21:BG21),0), BK21)</f>
        <v>0</v>
      </c>
      <c r="BM21" s="135"/>
      <c r="BN21" s="776">
        <f ca="1">SUM(AW21:AX21,BF21:BH21)-BL21</f>
        <v>73.16</v>
      </c>
      <c r="BO21" s="778">
        <f t="shared" ref="BO21:BO84" ca="1" si="8">BN21/MAX(0.0001,AH21)</f>
        <v>26.392496392496394</v>
      </c>
      <c r="BP21" s="770">
        <f t="shared" ref="BP21:BP84" ca="1" si="9">SUM(AX21,BF21:BH21)</f>
        <v>69.16</v>
      </c>
      <c r="BQ21" s="771">
        <f t="shared" ref="BQ21:BQ84" ca="1" si="10">$BQ$16*AH21</f>
        <v>0</v>
      </c>
      <c r="BR21" s="771">
        <f t="shared" ref="BR21:BR84" ca="1" si="11">$BR$16*AD21</f>
        <v>0</v>
      </c>
      <c r="BS21" s="776">
        <f ca="1">BN21+BQ21+BR21</f>
        <v>73.16</v>
      </c>
      <c r="BT21" s="776">
        <f t="shared" ref="BT21:BT84" ca="1" si="12">BP21+BQ21+BR21</f>
        <v>69.16</v>
      </c>
      <c r="BU21" s="783">
        <f t="shared" ref="BU21:BU84" ca="1" si="13">BT21/MAX(0.0001,AH21)</f>
        <v>24.949494949494952</v>
      </c>
      <c r="BV21" s="783">
        <f t="shared" ref="BV21:BV84" ca="1" si="14">(BT21-BL21)/MAX(0.0001,AH21)</f>
        <v>24.949494949494952</v>
      </c>
      <c r="BW21" s="1019">
        <f ca="1">IF(BW$16=1,BV21,BU21)</f>
        <v>24.949494949494952</v>
      </c>
      <c r="BX21" s="771" cm="1">
        <f t="array" aca="1" ref="BX21" ca="1">INDIRECT("'Definition of Typical Day'!"&amp; ADDRESS($D21+29*(BX$16-1),$E21))</f>
        <v>65</v>
      </c>
      <c r="BY21" s="771">
        <f ca="1">IF(OR(BW21&gt;BX21,SUM(AJ21:AL21)&lt;0.01),0%,100%)</f>
        <v>1</v>
      </c>
      <c r="BZ21" s="781">
        <f t="shared" ref="BZ21:BZ84" ca="1" si="15">IF(AND(AJ21&gt;0,BY21&gt;0),1,0)</f>
        <v>1</v>
      </c>
      <c r="CA21" s="781">
        <f t="shared" ref="CA21:CA84" ca="1" si="16">IF(BY21&gt;0,(AJ21+AK21)/X$16,0)</f>
        <v>0.93333333333333324</v>
      </c>
      <c r="CB21" s="776">
        <f t="shared" ref="CB21:CB84" ca="1" si="17">BX21*AH21</f>
        <v>180.17999999999998</v>
      </c>
      <c r="CC21" s="782">
        <f t="shared" ref="CC21:CC84" si="18">A21</f>
        <v>1</v>
      </c>
      <c r="CD21" s="782">
        <f t="shared" ref="CD21:CD84" si="19">C21</f>
        <v>1</v>
      </c>
      <c r="CE21" s="784" t="str" cm="1">
        <f t="array" aca="1" ref="CE21" ca="1">INDIRECT("'Definition of Typical Day'!"&amp;ADDRESS(CE$16,$E21))</f>
        <v>Winter day</v>
      </c>
      <c r="CF21" s="135"/>
      <c r="CG21" s="135"/>
      <c r="CH21" s="776">
        <f t="shared" ref="CH21:CH84" ca="1" si="20">H21</f>
        <v>2</v>
      </c>
      <c r="CI21" s="806">
        <f t="shared" ref="CI21:CI84" ca="1" si="21">L21</f>
        <v>6</v>
      </c>
      <c r="CJ21" s="770">
        <f t="shared" ref="CJ21:CJ84" ca="1" si="22">AH21*$BY21</f>
        <v>2.7719999999999998</v>
      </c>
      <c r="CK21" s="771">
        <f t="shared" ref="CK21:CK84" ca="1" si="23">AJ21*$BY21</f>
        <v>2</v>
      </c>
      <c r="CL21" s="771">
        <f t="shared" ref="CL21:CL84" ca="1" si="24">AK21*$BY21</f>
        <v>0.79999999999999993</v>
      </c>
      <c r="CM21" s="772">
        <f t="shared" ref="CM21:CM84" ca="1" si="25">AL21*$BY21</f>
        <v>0</v>
      </c>
      <c r="CN21" s="135"/>
      <c r="CO21" s="770">
        <f t="shared" ref="CO21:CO30" ca="1" si="26">IF(BU21&gt;BX21,3%,105%)</f>
        <v>1.05</v>
      </c>
      <c r="CP21" s="771">
        <f t="shared" ref="CP21:CP84" ca="1" si="27">IF(L21&lt;0.01,2%,98%)</f>
        <v>0.98</v>
      </c>
      <c r="CQ21" s="771">
        <f t="shared" ref="CQ21:CQ84" ca="1" si="28">IF(H21&lt;0.01,-2.5%,96%)</f>
        <v>0.96</v>
      </c>
      <c r="CR21" s="771">
        <f t="shared" ref="CR21:CR84" ca="1" si="29">IF(OR(AB21=0,AD21&gt;0),95%,5%)</f>
        <v>0.95</v>
      </c>
      <c r="CS21" s="771">
        <f t="shared" ref="CS21:CS84" ca="1" si="30">IF(AJ21&gt;0.01,102%,3%)</f>
        <v>1.02</v>
      </c>
      <c r="CT21" s="772">
        <f t="shared" ref="CT21:CT84" ca="1" si="31">IF(AL21&gt;0.01,101%,2%)</f>
        <v>0.02</v>
      </c>
      <c r="CU21" s="135"/>
      <c r="CV21" s="135"/>
      <c r="CW21" s="135"/>
      <c r="CX21" s="135"/>
      <c r="CY21" s="135"/>
      <c r="CZ21" s="135"/>
      <c r="DA21" s="135"/>
      <c r="DB21" s="135"/>
      <c r="DC21" s="135"/>
      <c r="DD21" s="135"/>
      <c r="DE21" s="135"/>
      <c r="DF21" s="135"/>
      <c r="DG21" s="135"/>
      <c r="DH21" s="135"/>
      <c r="DI21" s="135"/>
      <c r="DJ21" s="135"/>
      <c r="DK21" s="135"/>
      <c r="DL21" s="135"/>
      <c r="DM21" s="135"/>
      <c r="DN21" s="135"/>
      <c r="DO21" s="135"/>
      <c r="DP21" s="135"/>
      <c r="DQ21" s="135"/>
      <c r="DR21" s="135"/>
      <c r="DS21" s="135"/>
      <c r="DT21" s="135"/>
      <c r="DU21" s="135"/>
      <c r="DV21" s="135"/>
      <c r="DX21" s="135"/>
      <c r="DY21" s="135"/>
      <c r="DZ21" s="135"/>
      <c r="EA21" s="135"/>
      <c r="EB21" s="135"/>
      <c r="EC21" s="135"/>
      <c r="ED21" s="135"/>
      <c r="EE21" s="135"/>
      <c r="EF21" s="135"/>
      <c r="EG21" s="135"/>
      <c r="EH21" s="135"/>
      <c r="EI21" s="135"/>
      <c r="EJ21" s="135"/>
      <c r="EK21" s="135"/>
      <c r="EL21" s="135"/>
      <c r="EM21" s="135"/>
      <c r="EN21" s="135"/>
      <c r="EO21" s="135"/>
      <c r="EP21" s="135"/>
      <c r="EQ21" s="135"/>
      <c r="ER21" s="135"/>
      <c r="ES21" s="135"/>
      <c r="ET21" s="135"/>
      <c r="EU21" s="135"/>
      <c r="EV21" s="135"/>
      <c r="EW21" s="135"/>
      <c r="EX21" s="135"/>
      <c r="EY21" s="135"/>
      <c r="EZ21" s="135"/>
      <c r="FA21" s="135"/>
      <c r="FB21" s="135"/>
      <c r="FC21" s="135"/>
      <c r="FD21" s="135"/>
      <c r="FE21" s="135"/>
      <c r="FF21" s="135"/>
      <c r="FG21" s="135"/>
    </row>
    <row r="22" spans="1:163" s="57" customFormat="1" ht="14.85" customHeight="1" outlineLevel="1">
      <c r="A22" s="765">
        <v>1</v>
      </c>
      <c r="B22" s="715" t="str" cm="1">
        <f t="array" aca="1" ref="B22" ca="1">INDIRECT("'Definition of Typical Day'!"&amp;ADDRESS(B$16,$E22))</f>
        <v>Winter day</v>
      </c>
      <c r="C22" s="766">
        <v>2</v>
      </c>
      <c r="D22" s="715">
        <f>ROW('Definition of Typical Day'!D36)</f>
        <v>36</v>
      </c>
      <c r="E22" s="715">
        <f t="shared" si="5"/>
        <v>5</v>
      </c>
      <c r="F22" s="767" cm="1">
        <f t="array" aca="1" ref="F22" ca="1">INDIRECT("'Definition of Typical Day'!D"&amp;D22)</f>
        <v>2</v>
      </c>
      <c r="G22" s="767" cm="1">
        <f t="array" aca="1" ref="G22" ca="1">INDIRECT("'Definition of Typical Day'!"&amp;ADDRESS(13,E22))</f>
        <v>1</v>
      </c>
      <c r="H22" s="768" cm="1">
        <f t="array" aca="1" ref="H22" ca="1">INDIRECT("'Definition of Typical Day'!"&amp; ADDRESS($D22+28*(H$16-1),$E22))</f>
        <v>2</v>
      </c>
      <c r="I22" s="715" cm="1">
        <f t="array" aca="1" ref="I22" ca="1">INDIRECT("'Definition of Typical Day'!"&amp; ADDRESS($D22+29*(I$16-1),$E22))</f>
        <v>40</v>
      </c>
      <c r="J22" s="715">
        <f t="shared" ref="J22:J85" ca="1" si="32">IF(I22&lt;K22,0,I22-$J$16)</f>
        <v>37</v>
      </c>
      <c r="K22" s="785">
        <f t="shared" ref="K22:K85" si="33">$K$16</f>
        <v>28</v>
      </c>
      <c r="L22" s="786" cm="1">
        <f t="array" aca="1" ref="L22" ca="1">INDIRECT("'Definition of Typical Day'!"&amp; ADDRESS($D22+29*(L$16-1),$E22))</f>
        <v>6</v>
      </c>
      <c r="M22" s="768" cm="1">
        <f t="array" aca="1" ref="M22" ca="1">INDIRECT("'Definition of Typical Day'!"&amp; ADDRESS($D22+29*(M$16-1),$E22))</f>
        <v>77</v>
      </c>
      <c r="N22" s="715">
        <f t="shared" ref="N22:N85" si="34">$N$16</f>
        <v>3</v>
      </c>
      <c r="O22" s="715">
        <f t="shared" ref="O22:O85" ca="1" si="35">N22+M22</f>
        <v>80</v>
      </c>
      <c r="P22" s="715" cm="1">
        <f t="array" aca="1" ref="P22" ca="1">INDIRECT("'Definition of Typical Day'!"&amp; ADDRESS($D22+29*(P$16-1),$E22))</f>
        <v>45</v>
      </c>
      <c r="Q22" s="787">
        <f t="shared" ref="Q22:Q85" ca="1" si="36">P22+N22</f>
        <v>48</v>
      </c>
      <c r="R22" s="792">
        <f t="shared" ref="R22:R85" ca="1" si="37">MIN($R$16,O22)</f>
        <v>80</v>
      </c>
      <c r="S22" s="769">
        <f t="shared" ref="S22:S85" si="38">$S$16</f>
        <v>3</v>
      </c>
      <c r="T22" s="769">
        <f t="shared" ref="T22:T85" ca="1" si="39">ABS($T$16)*(J22-$T$17)</f>
        <v>0.24</v>
      </c>
      <c r="U22" s="769">
        <f t="shared" ref="U22:U85" ca="1" si="40">ABS($U$16)*($U$17-R22)</f>
        <v>0.26</v>
      </c>
      <c r="V22" s="769">
        <f t="shared" ref="V22:V85" ca="1" si="41">($V$16)*(Q22-$V$17)</f>
        <v>0</v>
      </c>
      <c r="W22" s="769">
        <f t="shared" ref="W22:W85" ca="1" si="42">SUM(S22:V22)</f>
        <v>3.5</v>
      </c>
      <c r="X22" s="794">
        <f t="shared" ref="X22:X85" si="43">$X$16</f>
        <v>3</v>
      </c>
      <c r="Y22" s="769">
        <f t="shared" ref="Y22:Y85" ca="1" si="44">X22*MIN(1,(MAX(1,R22-Q22)/$Y$16)^$Y$17)</f>
        <v>3</v>
      </c>
      <c r="Z22" s="769">
        <f t="shared" ref="Z22:Z85" ca="1" si="45">MIN(H22*W22/(W22-1),Y22)</f>
        <v>2.8</v>
      </c>
      <c r="AA22" s="795">
        <f t="shared" ref="AA22:AA85" ca="1" si="46">(0.00001 + AD22)/(0.00001+AC22)*Z22</f>
        <v>2.8</v>
      </c>
      <c r="AB22" s="769">
        <f t="shared" ref="AB22:AB85" ca="1" si="47">MAX(0, O22-R22)</f>
        <v>0</v>
      </c>
      <c r="AC22" s="769">
        <f t="shared" ref="AC22:AC85" ca="1" si="48">(AB22/MAX(1,R22-Q22)*Z22)</f>
        <v>0</v>
      </c>
      <c r="AD22" s="769">
        <f t="shared" ref="AD22:AD85" ca="1" si="49">MIN(AC22,$AD$16)</f>
        <v>0</v>
      </c>
      <c r="AE22" s="794">
        <f t="shared" ref="AE22:AE85" ca="1" si="50">AD22+AA22</f>
        <v>2.8</v>
      </c>
      <c r="AF22" s="769">
        <f t="shared" ref="AF22:AF85" ca="1" si="51">AE22*$AF$16/100</f>
        <v>2.7999999999999997E-2</v>
      </c>
      <c r="AG22" s="769">
        <f t="shared" ref="AG22:AG85" ca="1" si="52">AE22-AF22</f>
        <v>2.7719999999999998</v>
      </c>
      <c r="AH22" s="799">
        <f t="shared" ref="AH22:AH85" ca="1" si="53">MIN(AG22,L22)</f>
        <v>2.7719999999999998</v>
      </c>
      <c r="AI22" s="801">
        <f t="shared" ref="AI22:AI85" ca="1" si="54">(0.00001 + AH22)/(0.00001+AG22)</f>
        <v>1</v>
      </c>
      <c r="AJ22" s="794">
        <f t="shared" ref="AJ22:AJ85" ca="1" si="55">AA22*(W22-1)/(W22)*$AI22</f>
        <v>2</v>
      </c>
      <c r="AK22" s="769">
        <f t="shared" ref="AK22:AK85" ca="1" si="56">AA22/(W22)*$AI22</f>
        <v>0.79999999999999993</v>
      </c>
      <c r="AL22" s="769">
        <f t="shared" ref="AL22:AL85" ca="1" si="57">AD22/MAX(0.001, $AL$16/100)*$AI22</f>
        <v>0</v>
      </c>
      <c r="AM22" s="804">
        <f t="shared" ca="1" si="6"/>
        <v>5.3333333333333337E-2</v>
      </c>
      <c r="AN22" s="795">
        <f t="shared" ca="1" si="7"/>
        <v>0</v>
      </c>
      <c r="AO22" s="251"/>
      <c r="AP22" s="770">
        <f t="shared" ref="AP22:AP85" si="58">$AP$16</f>
        <v>0</v>
      </c>
      <c r="AQ22" s="771">
        <f t="shared" ref="AQ22:AQ85" ca="1" si="59">AP22*H22</f>
        <v>0</v>
      </c>
      <c r="AR22" s="771">
        <f t="shared" ref="AR22:AR85" ca="1" si="60">$AR$16*AJ22</f>
        <v>4</v>
      </c>
      <c r="AS22" s="772">
        <f t="shared" ref="AS22:AS85" ca="1" si="61">AR22+AQ22</f>
        <v>4</v>
      </c>
      <c r="AT22" s="231"/>
      <c r="AU22" s="770">
        <f>'Main Results - IRR DC Operator'!$F$16</f>
        <v>2</v>
      </c>
      <c r="AV22" s="773">
        <f>'Main Results - IRR DC Operator'!$F$15</f>
        <v>1</v>
      </c>
      <c r="AW22" s="771">
        <f t="shared" ref="AW22:AW85" ca="1" si="62">IF(AV22=1,H22*AU22,0)</f>
        <v>4</v>
      </c>
      <c r="AX22" s="772">
        <f t="shared" ref="AX22:AX85" si="63">IF(AV22=2,AJ22*AU22,0)</f>
        <v>0</v>
      </c>
      <c r="AY22" s="231"/>
      <c r="AZ22" s="770" cm="1">
        <f t="array" aca="1" ref="AZ22" ca="1">INDIRECT("'Definition of Typical Day'!"&amp; ADDRESS($D22+29*(AZ$16-1),$E22))+$AZ$17</f>
        <v>74.45</v>
      </c>
      <c r="BA22" s="771" cm="1">
        <f t="array" aca="1" ref="BA22" ca="1">INDIRECT("'Definition of Typical Day'!"&amp; ADDRESS($D22+29*(BA$16-1),$E22))+$BA$17</f>
        <v>74.45</v>
      </c>
      <c r="BB22" s="772" cm="1">
        <f t="array" aca="1" ref="BB22" ca="1">INDIRECT("'Definition of Typical Day'!"&amp;ADDRESS(BB$16,$E22))</f>
        <v>135</v>
      </c>
      <c r="BC22" s="776" cm="1">
        <f t="array" aca="1" ref="BC22" ca="1">INDIRECT("'Definition of Typical Day'!"&amp; ADDRESS($D22+29*(BC$16-1),$E22))</f>
        <v>73.45</v>
      </c>
      <c r="BD22" s="777" cm="1">
        <f t="array" aca="1" ref="BD22" ca="1">INDIRECT("'Definition of Typical Day'!"&amp; ADDRESS($D22+29*(BD$16-1),$E22))</f>
        <v>0.2</v>
      </c>
      <c r="BE22" s="776">
        <f t="shared" ref="BE22:BE85" si="64">$BE$16</f>
        <v>0</v>
      </c>
      <c r="BF22" s="771">
        <f ca="1">AZ22*AK22</f>
        <v>59.559999999999995</v>
      </c>
      <c r="BG22" s="771">
        <f t="shared" ref="BG22:BG85" ca="1" si="65">AE22*BG$16/100*BB22*AI22</f>
        <v>7.56</v>
      </c>
      <c r="BH22" s="771">
        <f t="shared" ref="BH22:BH85" ca="1" si="66">BA22*AL22</f>
        <v>0</v>
      </c>
      <c r="BI22" s="776">
        <f t="shared" ref="BI22:BI85" ca="1" si="67">AM22*$BC22</f>
        <v>3.9173333333333336</v>
      </c>
      <c r="BJ22" s="776">
        <f t="shared" ref="BJ22:BJ85" ca="1" si="68">AN22*$BC22</f>
        <v>0</v>
      </c>
      <c r="BK22" s="776">
        <f t="shared" ref="BK22:BK85" ca="1" si="69">BE22*AJ22</f>
        <v>0</v>
      </c>
      <c r="BL22" s="776">
        <f t="shared" ref="BL22:BL85" ca="1" si="70">MIN(MAX(SUM(BF22:BG22),0), BK22)</f>
        <v>0</v>
      </c>
      <c r="BM22" s="135"/>
      <c r="BN22" s="776">
        <f t="shared" ref="BN22:BN85" ca="1" si="71">SUM(AW22:AX22,BF22:BH22)-BL22</f>
        <v>71.11999999999999</v>
      </c>
      <c r="BO22" s="778">
        <f t="shared" ca="1" si="8"/>
        <v>25.656565656565654</v>
      </c>
      <c r="BP22" s="770">
        <f t="shared" ca="1" si="9"/>
        <v>67.11999999999999</v>
      </c>
      <c r="BQ22" s="771">
        <f t="shared" ca="1" si="10"/>
        <v>0</v>
      </c>
      <c r="BR22" s="771">
        <f t="shared" ca="1" si="11"/>
        <v>0</v>
      </c>
      <c r="BS22" s="776">
        <f t="shared" ref="BS22:BS85" ca="1" si="72">BN22+BQ22+BR22</f>
        <v>71.11999999999999</v>
      </c>
      <c r="BT22" s="776">
        <f t="shared" ca="1" si="12"/>
        <v>67.11999999999999</v>
      </c>
      <c r="BU22" s="783">
        <f t="shared" ca="1" si="13"/>
        <v>24.213564213564212</v>
      </c>
      <c r="BV22" s="783">
        <f t="shared" ca="1" si="14"/>
        <v>24.213564213564212</v>
      </c>
      <c r="BW22" s="1019">
        <f t="shared" ref="BW22:BW85" ca="1" si="73">IF(BW$16=1,BV22,BU22)</f>
        <v>24.213564213564212</v>
      </c>
      <c r="BX22" s="771" cm="1">
        <f t="array" aca="1" ref="BX22" ca="1">INDIRECT("'Definition of Typical Day'!"&amp; ADDRESS($D22+29*(BX$16-1),$E22))</f>
        <v>65</v>
      </c>
      <c r="BY22" s="771">
        <f t="shared" ref="BY22:BY85" ca="1" si="74">IF(OR(BW22&gt;BX22,SUM(AJ22:AL22)&lt;0.01),0%,100%)</f>
        <v>1</v>
      </c>
      <c r="BZ22" s="781">
        <f t="shared" ca="1" si="15"/>
        <v>1</v>
      </c>
      <c r="CA22" s="781">
        <f t="shared" ca="1" si="16"/>
        <v>0.93333333333333324</v>
      </c>
      <c r="CB22" s="776">
        <f t="shared" ca="1" si="17"/>
        <v>180.17999999999998</v>
      </c>
      <c r="CC22" s="782">
        <f t="shared" si="18"/>
        <v>1</v>
      </c>
      <c r="CD22" s="782">
        <f t="shared" si="19"/>
        <v>2</v>
      </c>
      <c r="CE22" s="784" t="str" cm="1">
        <f t="array" aca="1" ref="CE22" ca="1">INDIRECT("'Definition of Typical Day'!"&amp;ADDRESS(CE$16,$E22))</f>
        <v>Winter day</v>
      </c>
      <c r="CF22" s="135"/>
      <c r="CG22" s="135"/>
      <c r="CH22" s="776">
        <f t="shared" ca="1" si="20"/>
        <v>2</v>
      </c>
      <c r="CI22" s="806">
        <f t="shared" ca="1" si="21"/>
        <v>6</v>
      </c>
      <c r="CJ22" s="770">
        <f t="shared" ca="1" si="22"/>
        <v>2.7719999999999998</v>
      </c>
      <c r="CK22" s="771">
        <f t="shared" ca="1" si="23"/>
        <v>2</v>
      </c>
      <c r="CL22" s="771">
        <f t="shared" ca="1" si="24"/>
        <v>0.79999999999999993</v>
      </c>
      <c r="CM22" s="772">
        <f t="shared" ca="1" si="25"/>
        <v>0</v>
      </c>
      <c r="CN22" s="135"/>
      <c r="CO22" s="770">
        <f t="shared" ca="1" si="26"/>
        <v>1.05</v>
      </c>
      <c r="CP22" s="771">
        <f t="shared" ca="1" si="27"/>
        <v>0.98</v>
      </c>
      <c r="CQ22" s="771">
        <f t="shared" ca="1" si="28"/>
        <v>0.96</v>
      </c>
      <c r="CR22" s="771">
        <f t="shared" ca="1" si="29"/>
        <v>0.95</v>
      </c>
      <c r="CS22" s="771">
        <f t="shared" ca="1" si="30"/>
        <v>1.02</v>
      </c>
      <c r="CT22" s="772">
        <f t="shared" ca="1" si="31"/>
        <v>0.02</v>
      </c>
      <c r="CU22" s="135"/>
      <c r="CV22" s="135"/>
      <c r="CW22" s="135"/>
      <c r="CX22" s="135"/>
      <c r="CY22" s="135"/>
      <c r="CZ22" s="135"/>
      <c r="DA22" s="135"/>
      <c r="DB22" s="135"/>
      <c r="DC22" s="135"/>
      <c r="DD22" s="135"/>
      <c r="DE22" s="135"/>
      <c r="DF22" s="135"/>
      <c r="DG22" s="135"/>
      <c r="DH22" s="135"/>
      <c r="DI22" s="135"/>
      <c r="DJ22" s="135"/>
      <c r="DK22" s="135"/>
      <c r="DL22" s="135"/>
      <c r="DM22" s="135"/>
      <c r="DN22" s="135"/>
      <c r="DO22" s="135"/>
      <c r="DP22" s="135"/>
      <c r="DQ22" s="135"/>
      <c r="DR22" s="135"/>
      <c r="DS22" s="135"/>
      <c r="DT22" s="135"/>
      <c r="DU22" s="135"/>
      <c r="DV22" s="135"/>
      <c r="DX22" s="135"/>
      <c r="DY22" s="135"/>
      <c r="DZ22" s="135"/>
      <c r="EA22" s="135"/>
      <c r="EB22" s="135"/>
      <c r="EC22" s="135"/>
      <c r="ED22" s="135"/>
      <c r="EE22" s="135"/>
      <c r="EF22" s="135"/>
      <c r="EG22" s="135"/>
      <c r="EH22" s="135"/>
      <c r="EI22" s="135"/>
      <c r="EJ22" s="135"/>
      <c r="EK22" s="135"/>
      <c r="EL22" s="135"/>
      <c r="EM22" s="135"/>
      <c r="EN22" s="135"/>
      <c r="EO22" s="135"/>
      <c r="EP22" s="135"/>
      <c r="EQ22" s="135"/>
      <c r="ER22" s="135"/>
      <c r="ES22" s="135"/>
      <c r="ET22" s="135"/>
      <c r="EU22" s="135"/>
      <c r="EV22" s="135"/>
      <c r="EW22" s="135"/>
      <c r="EX22" s="135"/>
      <c r="EY22" s="135"/>
      <c r="EZ22" s="135"/>
      <c r="FA22" s="135"/>
      <c r="FB22" s="135"/>
      <c r="FC22" s="135"/>
      <c r="FD22" s="135"/>
      <c r="FE22" s="135"/>
      <c r="FF22" s="135"/>
      <c r="FG22" s="135"/>
    </row>
    <row r="23" spans="1:163" s="57" customFormat="1" ht="11.25" outlineLevel="1">
      <c r="A23" s="765">
        <v>1</v>
      </c>
      <c r="B23" s="715" t="str" cm="1">
        <f t="array" aca="1" ref="B23" ca="1">INDIRECT("'Definition of Typical Day'!"&amp;ADDRESS(B$16,$E23))</f>
        <v>Winter day</v>
      </c>
      <c r="C23" s="766">
        <v>3</v>
      </c>
      <c r="D23" s="715">
        <f>ROW('Definition of Typical Day'!D37)</f>
        <v>37</v>
      </c>
      <c r="E23" s="715">
        <f t="shared" si="5"/>
        <v>5</v>
      </c>
      <c r="F23" s="767" cm="1">
        <f t="array" aca="1" ref="F23" ca="1">INDIRECT("'Definition of Typical Day'!D"&amp;D23)</f>
        <v>3</v>
      </c>
      <c r="G23" s="767" cm="1">
        <f t="array" aca="1" ref="G23" ca="1">INDIRECT("'Definition of Typical Day'!"&amp;ADDRESS(13,E23))</f>
        <v>1</v>
      </c>
      <c r="H23" s="768" cm="1">
        <f t="array" aca="1" ref="H23" ca="1">INDIRECT("'Definition of Typical Day'!"&amp; ADDRESS($D23+28*(H$16-1),$E23))</f>
        <v>2</v>
      </c>
      <c r="I23" s="715" cm="1">
        <f t="array" aca="1" ref="I23" ca="1">INDIRECT("'Definition of Typical Day'!"&amp; ADDRESS($D23+29*(I$16-1),$E23))</f>
        <v>40</v>
      </c>
      <c r="J23" s="715">
        <f t="shared" ca="1" si="32"/>
        <v>37</v>
      </c>
      <c r="K23" s="785">
        <f t="shared" si="33"/>
        <v>28</v>
      </c>
      <c r="L23" s="786" cm="1">
        <f t="array" aca="1" ref="L23" ca="1">INDIRECT("'Definition of Typical Day'!"&amp; ADDRESS($D23+29*(L$16-1),$E23))</f>
        <v>6</v>
      </c>
      <c r="M23" s="768" cm="1">
        <f t="array" aca="1" ref="M23" ca="1">INDIRECT("'Definition of Typical Day'!"&amp; ADDRESS($D23+29*(M$16-1),$E23))</f>
        <v>77</v>
      </c>
      <c r="N23" s="715">
        <f t="shared" si="34"/>
        <v>3</v>
      </c>
      <c r="O23" s="715">
        <f t="shared" ca="1" si="35"/>
        <v>80</v>
      </c>
      <c r="P23" s="715" cm="1">
        <f t="array" aca="1" ref="P23" ca="1">INDIRECT("'Definition of Typical Day'!"&amp; ADDRESS($D23+29*(P$16-1),$E23))</f>
        <v>45</v>
      </c>
      <c r="Q23" s="787">
        <f t="shared" ca="1" si="36"/>
        <v>48</v>
      </c>
      <c r="R23" s="792">
        <f t="shared" ca="1" si="37"/>
        <v>80</v>
      </c>
      <c r="S23" s="769">
        <f t="shared" si="38"/>
        <v>3</v>
      </c>
      <c r="T23" s="769">
        <f t="shared" ca="1" si="39"/>
        <v>0.24</v>
      </c>
      <c r="U23" s="769">
        <f t="shared" ca="1" si="40"/>
        <v>0.26</v>
      </c>
      <c r="V23" s="769">
        <f t="shared" ca="1" si="41"/>
        <v>0</v>
      </c>
      <c r="W23" s="769">
        <f t="shared" ca="1" si="42"/>
        <v>3.5</v>
      </c>
      <c r="X23" s="794">
        <f t="shared" si="43"/>
        <v>3</v>
      </c>
      <c r="Y23" s="769">
        <f t="shared" ca="1" si="44"/>
        <v>3</v>
      </c>
      <c r="Z23" s="769">
        <f t="shared" ca="1" si="45"/>
        <v>2.8</v>
      </c>
      <c r="AA23" s="795">
        <f t="shared" ca="1" si="46"/>
        <v>2.8</v>
      </c>
      <c r="AB23" s="769">
        <f t="shared" ca="1" si="47"/>
        <v>0</v>
      </c>
      <c r="AC23" s="769">
        <f t="shared" ca="1" si="48"/>
        <v>0</v>
      </c>
      <c r="AD23" s="769">
        <f t="shared" ca="1" si="49"/>
        <v>0</v>
      </c>
      <c r="AE23" s="794">
        <f t="shared" ca="1" si="50"/>
        <v>2.8</v>
      </c>
      <c r="AF23" s="769">
        <f t="shared" ca="1" si="51"/>
        <v>2.7999999999999997E-2</v>
      </c>
      <c r="AG23" s="769">
        <f t="shared" ca="1" si="52"/>
        <v>2.7719999999999998</v>
      </c>
      <c r="AH23" s="799">
        <f t="shared" ca="1" si="53"/>
        <v>2.7719999999999998</v>
      </c>
      <c r="AI23" s="801">
        <f t="shared" ca="1" si="54"/>
        <v>1</v>
      </c>
      <c r="AJ23" s="794">
        <f t="shared" ca="1" si="55"/>
        <v>2</v>
      </c>
      <c r="AK23" s="769">
        <f t="shared" ca="1" si="56"/>
        <v>0.79999999999999993</v>
      </c>
      <c r="AL23" s="769">
        <f t="shared" ca="1" si="57"/>
        <v>0</v>
      </c>
      <c r="AM23" s="804">
        <f t="shared" ca="1" si="6"/>
        <v>5.3333333333333337E-2</v>
      </c>
      <c r="AN23" s="795">
        <f t="shared" ca="1" si="7"/>
        <v>0</v>
      </c>
      <c r="AO23" s="251"/>
      <c r="AP23" s="770">
        <f t="shared" si="58"/>
        <v>0</v>
      </c>
      <c r="AQ23" s="771">
        <f t="shared" ca="1" si="59"/>
        <v>0</v>
      </c>
      <c r="AR23" s="771">
        <f t="shared" ca="1" si="60"/>
        <v>4</v>
      </c>
      <c r="AS23" s="772">
        <f t="shared" ca="1" si="61"/>
        <v>4</v>
      </c>
      <c r="AT23" s="231"/>
      <c r="AU23" s="770">
        <f>'Main Results - IRR DC Operator'!$F$16</f>
        <v>2</v>
      </c>
      <c r="AV23" s="773">
        <f>'Main Results - IRR DC Operator'!$F$15</f>
        <v>1</v>
      </c>
      <c r="AW23" s="771">
        <f t="shared" ca="1" si="62"/>
        <v>4</v>
      </c>
      <c r="AX23" s="772">
        <f t="shared" si="63"/>
        <v>0</v>
      </c>
      <c r="AY23" s="231"/>
      <c r="AZ23" s="770" cm="1">
        <f t="array" aca="1" ref="AZ23" ca="1">INDIRECT("'Definition of Typical Day'!"&amp; ADDRESS($D23+29*(AZ$16-1),$E23))+$AZ$17</f>
        <v>74.539999999999992</v>
      </c>
      <c r="BA23" s="771" cm="1">
        <f t="array" aca="1" ref="BA23" ca="1">INDIRECT("'Definition of Typical Day'!"&amp; ADDRESS($D23+29*(BA$16-1),$E23))+$BA$17</f>
        <v>74.539999999999992</v>
      </c>
      <c r="BB23" s="772" cm="1">
        <f t="array" aca="1" ref="BB23" ca="1">INDIRECT("'Definition of Typical Day'!"&amp;ADDRESS(BB$16,$E23))</f>
        <v>135</v>
      </c>
      <c r="BC23" s="776" cm="1">
        <f t="array" aca="1" ref="BC23" ca="1">INDIRECT("'Definition of Typical Day'!"&amp; ADDRESS($D23+29*(BC$16-1),$E23))</f>
        <v>73.539999999999992</v>
      </c>
      <c r="BD23" s="777" cm="1">
        <f t="array" aca="1" ref="BD23" ca="1">INDIRECT("'Definition of Typical Day'!"&amp; ADDRESS($D23+29*(BD$16-1),$E23))</f>
        <v>0.2</v>
      </c>
      <c r="BE23" s="776">
        <f t="shared" si="64"/>
        <v>0</v>
      </c>
      <c r="BF23" s="771">
        <f t="shared" ref="BF23:BF85" ca="1" si="75">AZ23*AK23</f>
        <v>59.631999999999991</v>
      </c>
      <c r="BG23" s="771">
        <f t="shared" ca="1" si="65"/>
        <v>7.56</v>
      </c>
      <c r="BH23" s="771">
        <f t="shared" ca="1" si="66"/>
        <v>0</v>
      </c>
      <c r="BI23" s="776">
        <f t="shared" ca="1" si="67"/>
        <v>3.922133333333333</v>
      </c>
      <c r="BJ23" s="776">
        <f t="shared" ca="1" si="68"/>
        <v>0</v>
      </c>
      <c r="BK23" s="776">
        <f t="shared" ca="1" si="69"/>
        <v>0</v>
      </c>
      <c r="BL23" s="776">
        <f t="shared" ca="1" si="70"/>
        <v>0</v>
      </c>
      <c r="BM23" s="135"/>
      <c r="BN23" s="776">
        <f t="shared" ca="1" si="71"/>
        <v>71.191999999999993</v>
      </c>
      <c r="BO23" s="778">
        <f t="shared" ca="1" si="8"/>
        <v>25.682539682539684</v>
      </c>
      <c r="BP23" s="770">
        <f ca="1">SUM(AX23,BF23:BH23)</f>
        <v>67.191999999999993</v>
      </c>
      <c r="BQ23" s="771">
        <f t="shared" ca="1" si="10"/>
        <v>0</v>
      </c>
      <c r="BR23" s="771">
        <f t="shared" ca="1" si="11"/>
        <v>0</v>
      </c>
      <c r="BS23" s="776">
        <f t="shared" ca="1" si="72"/>
        <v>71.191999999999993</v>
      </c>
      <c r="BT23" s="776">
        <f t="shared" ca="1" si="12"/>
        <v>67.191999999999993</v>
      </c>
      <c r="BU23" s="783">
        <f t="shared" ca="1" si="13"/>
        <v>24.239538239538238</v>
      </c>
      <c r="BV23" s="783">
        <f t="shared" ca="1" si="14"/>
        <v>24.239538239538238</v>
      </c>
      <c r="BW23" s="1019">
        <f t="shared" ca="1" si="73"/>
        <v>24.239538239538238</v>
      </c>
      <c r="BX23" s="771" cm="1">
        <f t="array" aca="1" ref="BX23" ca="1">INDIRECT("'Definition of Typical Day'!"&amp; ADDRESS($D23+29*(BX$16-1),$E23))</f>
        <v>65</v>
      </c>
      <c r="BY23" s="771">
        <f t="shared" ca="1" si="74"/>
        <v>1</v>
      </c>
      <c r="BZ23" s="781">
        <f t="shared" ca="1" si="15"/>
        <v>1</v>
      </c>
      <c r="CA23" s="781">
        <f t="shared" ca="1" si="16"/>
        <v>0.93333333333333324</v>
      </c>
      <c r="CB23" s="776">
        <f t="shared" ca="1" si="17"/>
        <v>180.17999999999998</v>
      </c>
      <c r="CC23" s="782">
        <f t="shared" si="18"/>
        <v>1</v>
      </c>
      <c r="CD23" s="782">
        <f t="shared" si="19"/>
        <v>3</v>
      </c>
      <c r="CE23" s="784" t="str" cm="1">
        <f t="array" aca="1" ref="CE23" ca="1">INDIRECT("'Definition of Typical Day'!"&amp;ADDRESS(CE$16,$E23))</f>
        <v>Winter day</v>
      </c>
      <c r="CF23" s="135"/>
      <c r="CG23" s="135"/>
      <c r="CH23" s="776">
        <f t="shared" ca="1" si="20"/>
        <v>2</v>
      </c>
      <c r="CI23" s="806">
        <f t="shared" ca="1" si="21"/>
        <v>6</v>
      </c>
      <c r="CJ23" s="770">
        <f t="shared" ca="1" si="22"/>
        <v>2.7719999999999998</v>
      </c>
      <c r="CK23" s="771">
        <f t="shared" ca="1" si="23"/>
        <v>2</v>
      </c>
      <c r="CL23" s="771">
        <f t="shared" ca="1" si="24"/>
        <v>0.79999999999999993</v>
      </c>
      <c r="CM23" s="772">
        <f t="shared" ca="1" si="25"/>
        <v>0</v>
      </c>
      <c r="CN23" s="135"/>
      <c r="CO23" s="770">
        <f t="shared" ca="1" si="26"/>
        <v>1.05</v>
      </c>
      <c r="CP23" s="771">
        <f t="shared" ca="1" si="27"/>
        <v>0.98</v>
      </c>
      <c r="CQ23" s="771">
        <f t="shared" ca="1" si="28"/>
        <v>0.96</v>
      </c>
      <c r="CR23" s="771">
        <f t="shared" ca="1" si="29"/>
        <v>0.95</v>
      </c>
      <c r="CS23" s="771">
        <f t="shared" ca="1" si="30"/>
        <v>1.02</v>
      </c>
      <c r="CT23" s="772">
        <f t="shared" ca="1" si="31"/>
        <v>0.02</v>
      </c>
      <c r="CU23" s="135"/>
      <c r="CV23" s="135"/>
      <c r="CW23" s="135"/>
      <c r="CX23" s="135"/>
      <c r="CY23" s="135"/>
      <c r="CZ23" s="135"/>
      <c r="DA23" s="135"/>
      <c r="DB23" s="135"/>
      <c r="DC23" s="135"/>
      <c r="DD23" s="135"/>
      <c r="DE23" s="135"/>
      <c r="DF23" s="135"/>
      <c r="DG23" s="135"/>
      <c r="DH23" s="135"/>
      <c r="DI23" s="135"/>
      <c r="DJ23" s="135"/>
      <c r="DK23" s="135"/>
      <c r="DL23" s="135"/>
      <c r="DM23" s="135"/>
      <c r="DN23" s="135"/>
      <c r="DO23" s="135"/>
      <c r="DP23" s="135"/>
      <c r="DQ23" s="135"/>
      <c r="DR23" s="135"/>
      <c r="DS23" s="135"/>
      <c r="DT23" s="135"/>
      <c r="DU23" s="135"/>
      <c r="DV23" s="135"/>
      <c r="DX23" s="135"/>
      <c r="DY23" s="135"/>
      <c r="DZ23" s="135"/>
      <c r="EA23" s="135"/>
      <c r="EB23" s="135"/>
      <c r="EC23" s="135"/>
      <c r="ED23" s="135"/>
      <c r="EE23" s="135"/>
      <c r="EF23" s="135"/>
      <c r="EG23" s="135"/>
      <c r="EH23" s="135"/>
      <c r="EI23" s="135"/>
      <c r="EJ23" s="135"/>
      <c r="EK23" s="135"/>
      <c r="EL23" s="135"/>
      <c r="EM23" s="135"/>
      <c r="EN23" s="135"/>
      <c r="EO23" s="135"/>
      <c r="EP23" s="135"/>
      <c r="EQ23" s="135"/>
      <c r="ER23" s="135"/>
      <c r="ES23" s="135"/>
      <c r="ET23" s="135"/>
      <c r="EU23" s="135"/>
      <c r="EV23" s="135"/>
      <c r="EW23" s="135"/>
      <c r="EX23" s="135"/>
      <c r="EY23" s="135"/>
      <c r="EZ23" s="135"/>
      <c r="FA23" s="135"/>
      <c r="FB23" s="135"/>
      <c r="FC23" s="135"/>
      <c r="FD23" s="135"/>
      <c r="FE23" s="135"/>
      <c r="FF23" s="135"/>
      <c r="FG23" s="135"/>
    </row>
    <row r="24" spans="1:163" s="57" customFormat="1" ht="11.25" outlineLevel="1">
      <c r="A24" s="765">
        <v>1</v>
      </c>
      <c r="B24" s="715" t="str" cm="1">
        <f t="array" aca="1" ref="B24" ca="1">INDIRECT("'Definition of Typical Day'!"&amp;ADDRESS(B$16,$E24))</f>
        <v>Winter day</v>
      </c>
      <c r="C24" s="766">
        <v>4</v>
      </c>
      <c r="D24" s="715">
        <f>ROW('Definition of Typical Day'!D38)</f>
        <v>38</v>
      </c>
      <c r="E24" s="715">
        <f t="shared" si="5"/>
        <v>5</v>
      </c>
      <c r="F24" s="767" cm="1">
        <f t="array" aca="1" ref="F24" ca="1">INDIRECT("'Definition of Typical Day'!D"&amp;D24)</f>
        <v>4</v>
      </c>
      <c r="G24" s="767" cm="1">
        <f t="array" aca="1" ref="G24" ca="1">INDIRECT("'Definition of Typical Day'!"&amp;ADDRESS(13,E24))</f>
        <v>1</v>
      </c>
      <c r="H24" s="768" cm="1">
        <f t="array" aca="1" ref="H24" ca="1">INDIRECT("'Definition of Typical Day'!"&amp; ADDRESS($D24+28*(H$16-1),$E24))</f>
        <v>2</v>
      </c>
      <c r="I24" s="715" cm="1">
        <f t="array" aca="1" ref="I24" ca="1">INDIRECT("'Definition of Typical Day'!"&amp; ADDRESS($D24+29*(I$16-1),$E24))</f>
        <v>40</v>
      </c>
      <c r="J24" s="715">
        <f t="shared" ca="1" si="32"/>
        <v>37</v>
      </c>
      <c r="K24" s="785">
        <f t="shared" si="33"/>
        <v>28</v>
      </c>
      <c r="L24" s="786" cm="1">
        <f t="array" aca="1" ref="L24" ca="1">INDIRECT("'Definition of Typical Day'!"&amp; ADDRESS($D24+29*(L$16-1),$E24))</f>
        <v>6</v>
      </c>
      <c r="M24" s="768" cm="1">
        <f t="array" aca="1" ref="M24" ca="1">INDIRECT("'Definition of Typical Day'!"&amp; ADDRESS($D24+29*(M$16-1),$E24))</f>
        <v>79</v>
      </c>
      <c r="N24" s="715">
        <f t="shared" si="34"/>
        <v>3</v>
      </c>
      <c r="O24" s="715">
        <f t="shared" ca="1" si="35"/>
        <v>82</v>
      </c>
      <c r="P24" s="715" cm="1">
        <f t="array" aca="1" ref="P24" ca="1">INDIRECT("'Definition of Typical Day'!"&amp; ADDRESS($D24+29*(P$16-1),$E24))</f>
        <v>45</v>
      </c>
      <c r="Q24" s="787">
        <f t="shared" ca="1" si="36"/>
        <v>48</v>
      </c>
      <c r="R24" s="792">
        <f t="shared" ca="1" si="37"/>
        <v>82</v>
      </c>
      <c r="S24" s="769">
        <f t="shared" si="38"/>
        <v>3</v>
      </c>
      <c r="T24" s="769">
        <f t="shared" ca="1" si="39"/>
        <v>0.24</v>
      </c>
      <c r="U24" s="769">
        <f t="shared" ca="1" si="40"/>
        <v>0.20799999999999999</v>
      </c>
      <c r="V24" s="769">
        <f t="shared" ca="1" si="41"/>
        <v>0</v>
      </c>
      <c r="W24" s="769">
        <f t="shared" ca="1" si="42"/>
        <v>3.4480000000000004</v>
      </c>
      <c r="X24" s="794">
        <f t="shared" si="43"/>
        <v>3</v>
      </c>
      <c r="Y24" s="769">
        <f t="shared" ca="1" si="44"/>
        <v>3</v>
      </c>
      <c r="Z24" s="769">
        <f t="shared" ca="1" si="45"/>
        <v>2.8169934640522873</v>
      </c>
      <c r="AA24" s="795">
        <f t="shared" ca="1" si="46"/>
        <v>2.8169934640522873</v>
      </c>
      <c r="AB24" s="769">
        <f t="shared" ca="1" si="47"/>
        <v>0</v>
      </c>
      <c r="AC24" s="769">
        <f t="shared" ca="1" si="48"/>
        <v>0</v>
      </c>
      <c r="AD24" s="769">
        <f t="shared" ca="1" si="49"/>
        <v>0</v>
      </c>
      <c r="AE24" s="794">
        <f t="shared" ca="1" si="50"/>
        <v>2.8169934640522873</v>
      </c>
      <c r="AF24" s="769">
        <f t="shared" ca="1" si="51"/>
        <v>2.8169934640522875E-2</v>
      </c>
      <c r="AG24" s="769">
        <f t="shared" ca="1" si="52"/>
        <v>2.7888235294117645</v>
      </c>
      <c r="AH24" s="799">
        <f t="shared" ca="1" si="53"/>
        <v>2.7888235294117645</v>
      </c>
      <c r="AI24" s="801">
        <f t="shared" ca="1" si="54"/>
        <v>1</v>
      </c>
      <c r="AJ24" s="794">
        <f t="shared" ca="1" si="55"/>
        <v>2</v>
      </c>
      <c r="AK24" s="769">
        <f t="shared" ca="1" si="56"/>
        <v>0.81699346405228745</v>
      </c>
      <c r="AL24" s="769">
        <f t="shared" ca="1" si="57"/>
        <v>0</v>
      </c>
      <c r="AM24" s="804">
        <f t="shared" ca="1" si="6"/>
        <v>5.3333333333333337E-2</v>
      </c>
      <c r="AN24" s="795">
        <f t="shared" ca="1" si="7"/>
        <v>0</v>
      </c>
      <c r="AO24" s="251"/>
      <c r="AP24" s="770">
        <f t="shared" si="58"/>
        <v>0</v>
      </c>
      <c r="AQ24" s="771">
        <f t="shared" ca="1" si="59"/>
        <v>0</v>
      </c>
      <c r="AR24" s="771">
        <f t="shared" ca="1" si="60"/>
        <v>4</v>
      </c>
      <c r="AS24" s="772">
        <f t="shared" ca="1" si="61"/>
        <v>4</v>
      </c>
      <c r="AT24" s="231"/>
      <c r="AU24" s="770">
        <f>'Main Results - IRR DC Operator'!$F$16</f>
        <v>2</v>
      </c>
      <c r="AV24" s="773">
        <f>'Main Results - IRR DC Operator'!$F$15</f>
        <v>1</v>
      </c>
      <c r="AW24" s="771">
        <f t="shared" ca="1" si="62"/>
        <v>4</v>
      </c>
      <c r="AX24" s="772">
        <f t="shared" si="63"/>
        <v>0</v>
      </c>
      <c r="AY24" s="231"/>
      <c r="AZ24" s="770" cm="1">
        <f t="array" aca="1" ref="AZ24" ca="1">INDIRECT("'Definition of Typical Day'!"&amp; ADDRESS($D24+29*(AZ$16-1),$E24))+$AZ$17</f>
        <v>72.819999999999993</v>
      </c>
      <c r="BA24" s="771" cm="1">
        <f t="array" aca="1" ref="BA24" ca="1">INDIRECT("'Definition of Typical Day'!"&amp; ADDRESS($D24+29*(BA$16-1),$E24))+$BA$17</f>
        <v>72.819999999999993</v>
      </c>
      <c r="BB24" s="772" cm="1">
        <f t="array" aca="1" ref="BB24" ca="1">INDIRECT("'Definition of Typical Day'!"&amp;ADDRESS(BB$16,$E24))</f>
        <v>135</v>
      </c>
      <c r="BC24" s="776" cm="1">
        <f t="array" aca="1" ref="BC24" ca="1">INDIRECT("'Definition of Typical Day'!"&amp; ADDRESS($D24+29*(BC$16-1),$E24))</f>
        <v>71.819999999999993</v>
      </c>
      <c r="BD24" s="777" cm="1">
        <f t="array" aca="1" ref="BD24" ca="1">INDIRECT("'Definition of Typical Day'!"&amp; ADDRESS($D24+29*(BD$16-1),$E24))</f>
        <v>0.2</v>
      </c>
      <c r="BE24" s="776">
        <f t="shared" si="64"/>
        <v>0</v>
      </c>
      <c r="BF24" s="771">
        <f t="shared" ca="1" si="75"/>
        <v>59.493464052287564</v>
      </c>
      <c r="BG24" s="771">
        <f t="shared" ca="1" si="65"/>
        <v>7.6058823529411761</v>
      </c>
      <c r="BH24" s="771">
        <f t="shared" ca="1" si="66"/>
        <v>0</v>
      </c>
      <c r="BI24" s="776">
        <f t="shared" ca="1" si="67"/>
        <v>3.8304</v>
      </c>
      <c r="BJ24" s="776">
        <f t="shared" ca="1" si="68"/>
        <v>0</v>
      </c>
      <c r="BK24" s="776">
        <f t="shared" ca="1" si="69"/>
        <v>0</v>
      </c>
      <c r="BL24" s="776">
        <f t="shared" ca="1" si="70"/>
        <v>0</v>
      </c>
      <c r="BM24" s="135"/>
      <c r="BN24" s="776">
        <f t="shared" ca="1" si="71"/>
        <v>71.099346405228744</v>
      </c>
      <c r="BO24" s="778">
        <f t="shared" ca="1" si="8"/>
        <v>25.494387025709528</v>
      </c>
      <c r="BP24" s="770">
        <f t="shared" ca="1" si="9"/>
        <v>67.099346405228744</v>
      </c>
      <c r="BQ24" s="771">
        <f t="shared" ca="1" si="10"/>
        <v>0</v>
      </c>
      <c r="BR24" s="771">
        <f t="shared" ca="1" si="11"/>
        <v>0</v>
      </c>
      <c r="BS24" s="776">
        <f t="shared" ca="1" si="72"/>
        <v>71.099346405228744</v>
      </c>
      <c r="BT24" s="776">
        <f t="shared" ca="1" si="12"/>
        <v>67.099346405228744</v>
      </c>
      <c r="BU24" s="783">
        <f t="shared" ca="1" si="13"/>
        <v>24.060090463802759</v>
      </c>
      <c r="BV24" s="783">
        <f t="shared" ca="1" si="14"/>
        <v>24.060090463802759</v>
      </c>
      <c r="BW24" s="1019">
        <f t="shared" ca="1" si="73"/>
        <v>24.060090463802759</v>
      </c>
      <c r="BX24" s="771" cm="1">
        <f t="array" aca="1" ref="BX24" ca="1">INDIRECT("'Definition of Typical Day'!"&amp; ADDRESS($D24+29*(BX$16-1),$E24))</f>
        <v>65</v>
      </c>
      <c r="BY24" s="771">
        <f t="shared" ca="1" si="74"/>
        <v>1</v>
      </c>
      <c r="BZ24" s="781">
        <f t="shared" ca="1" si="15"/>
        <v>1</v>
      </c>
      <c r="CA24" s="781">
        <f t="shared" ca="1" si="16"/>
        <v>0.93899782135076248</v>
      </c>
      <c r="CB24" s="776">
        <f t="shared" ca="1" si="17"/>
        <v>181.27352941176468</v>
      </c>
      <c r="CC24" s="782">
        <f t="shared" si="18"/>
        <v>1</v>
      </c>
      <c r="CD24" s="782">
        <f t="shared" si="19"/>
        <v>4</v>
      </c>
      <c r="CE24" s="784" t="str" cm="1">
        <f t="array" aca="1" ref="CE24" ca="1">INDIRECT("'Definition of Typical Day'!"&amp;ADDRESS(CE$16,$E24))</f>
        <v>Winter day</v>
      </c>
      <c r="CF24" s="135"/>
      <c r="CG24" s="135"/>
      <c r="CH24" s="776">
        <f t="shared" ca="1" si="20"/>
        <v>2</v>
      </c>
      <c r="CI24" s="806">
        <f t="shared" ca="1" si="21"/>
        <v>6</v>
      </c>
      <c r="CJ24" s="770">
        <f t="shared" ca="1" si="22"/>
        <v>2.7888235294117645</v>
      </c>
      <c r="CK24" s="771">
        <f t="shared" ca="1" si="23"/>
        <v>2</v>
      </c>
      <c r="CL24" s="771">
        <f t="shared" ca="1" si="24"/>
        <v>0.81699346405228745</v>
      </c>
      <c r="CM24" s="772">
        <f t="shared" ca="1" si="25"/>
        <v>0</v>
      </c>
      <c r="CN24" s="135"/>
      <c r="CO24" s="770">
        <f t="shared" ca="1" si="26"/>
        <v>1.05</v>
      </c>
      <c r="CP24" s="771">
        <f t="shared" ca="1" si="27"/>
        <v>0.98</v>
      </c>
      <c r="CQ24" s="771">
        <f t="shared" ca="1" si="28"/>
        <v>0.96</v>
      </c>
      <c r="CR24" s="771">
        <f t="shared" ca="1" si="29"/>
        <v>0.95</v>
      </c>
      <c r="CS24" s="771">
        <f t="shared" ca="1" si="30"/>
        <v>1.02</v>
      </c>
      <c r="CT24" s="772">
        <f t="shared" ca="1" si="31"/>
        <v>0.02</v>
      </c>
      <c r="CU24" s="135"/>
      <c r="CV24" s="135"/>
      <c r="CW24" s="135"/>
      <c r="CX24" s="135"/>
      <c r="CY24" s="135"/>
      <c r="CZ24" s="135"/>
      <c r="DA24" s="135"/>
      <c r="DB24" s="135"/>
      <c r="DC24" s="135"/>
      <c r="DD24" s="135"/>
      <c r="DE24" s="135"/>
      <c r="DF24" s="135"/>
      <c r="DG24" s="135"/>
      <c r="DH24" s="135"/>
      <c r="DI24" s="135"/>
      <c r="DJ24" s="135"/>
      <c r="DK24" s="135"/>
      <c r="DL24" s="135"/>
      <c r="DM24" s="135"/>
      <c r="DN24" s="135"/>
      <c r="DO24" s="135"/>
      <c r="DP24" s="135"/>
      <c r="DQ24" s="135"/>
      <c r="DR24" s="135"/>
      <c r="DS24" s="135"/>
      <c r="DT24" s="135"/>
      <c r="DU24" s="135"/>
      <c r="DV24" s="135"/>
      <c r="DX24" s="135"/>
      <c r="DY24" s="135"/>
      <c r="DZ24" s="135"/>
      <c r="EA24" s="135"/>
      <c r="EB24" s="135"/>
      <c r="EC24" s="135"/>
      <c r="ED24" s="135"/>
      <c r="EE24" s="135"/>
      <c r="EF24" s="135"/>
      <c r="EG24" s="135"/>
      <c r="EH24" s="135"/>
      <c r="EI24" s="135"/>
      <c r="EJ24" s="135"/>
      <c r="EK24" s="135"/>
      <c r="EL24" s="135"/>
      <c r="EM24" s="135"/>
      <c r="EN24" s="135"/>
      <c r="EO24" s="135"/>
      <c r="EP24" s="135"/>
      <c r="EQ24" s="135"/>
      <c r="ER24" s="135"/>
      <c r="ES24" s="135"/>
      <c r="ET24" s="135"/>
      <c r="EU24" s="135"/>
      <c r="EV24" s="135"/>
      <c r="EW24" s="135"/>
      <c r="EX24" s="135"/>
      <c r="EY24" s="135"/>
      <c r="EZ24" s="135"/>
      <c r="FA24" s="135"/>
      <c r="FB24" s="135"/>
      <c r="FC24" s="135"/>
      <c r="FD24" s="135"/>
      <c r="FE24" s="135"/>
      <c r="FF24" s="135"/>
      <c r="FG24" s="135"/>
    </row>
    <row r="25" spans="1:163" s="57" customFormat="1" ht="11.25" outlineLevel="1">
      <c r="A25" s="765">
        <v>1</v>
      </c>
      <c r="B25" s="715" t="str" cm="1">
        <f t="array" aca="1" ref="B25" ca="1">INDIRECT("'Definition of Typical Day'!"&amp;ADDRESS(B$16,$E25))</f>
        <v>Winter day</v>
      </c>
      <c r="C25" s="766">
        <v>5</v>
      </c>
      <c r="D25" s="715">
        <f>ROW('Definition of Typical Day'!D39)</f>
        <v>39</v>
      </c>
      <c r="E25" s="715">
        <f t="shared" si="5"/>
        <v>5</v>
      </c>
      <c r="F25" s="767" cm="1">
        <f t="array" aca="1" ref="F25" ca="1">INDIRECT("'Definition of Typical Day'!D"&amp;D25)</f>
        <v>5</v>
      </c>
      <c r="G25" s="767" cm="1">
        <f t="array" aca="1" ref="G25" ca="1">INDIRECT("'Definition of Typical Day'!"&amp;ADDRESS(13,E25))</f>
        <v>1</v>
      </c>
      <c r="H25" s="768" cm="1">
        <f t="array" aca="1" ref="H25" ca="1">INDIRECT("'Definition of Typical Day'!"&amp; ADDRESS($D25+28*(H$16-1),$E25))</f>
        <v>2</v>
      </c>
      <c r="I25" s="715" cm="1">
        <f t="array" aca="1" ref="I25" ca="1">INDIRECT("'Definition of Typical Day'!"&amp; ADDRESS($D25+29*(I$16-1),$E25))</f>
        <v>40</v>
      </c>
      <c r="J25" s="715">
        <f t="shared" ca="1" si="32"/>
        <v>37</v>
      </c>
      <c r="K25" s="785">
        <f t="shared" si="33"/>
        <v>28</v>
      </c>
      <c r="L25" s="786" cm="1">
        <f t="array" aca="1" ref="L25" ca="1">INDIRECT("'Definition of Typical Day'!"&amp; ADDRESS($D25+29*(L$16-1),$E25))</f>
        <v>6</v>
      </c>
      <c r="M25" s="768" cm="1">
        <f t="array" aca="1" ref="M25" ca="1">INDIRECT("'Definition of Typical Day'!"&amp; ADDRESS($D25+29*(M$16-1),$E25))</f>
        <v>83</v>
      </c>
      <c r="N25" s="715">
        <f t="shared" si="34"/>
        <v>3</v>
      </c>
      <c r="O25" s="715">
        <f t="shared" ca="1" si="35"/>
        <v>86</v>
      </c>
      <c r="P25" s="715" cm="1">
        <f t="array" aca="1" ref="P25" ca="1">INDIRECT("'Definition of Typical Day'!"&amp; ADDRESS($D25+29*(P$16-1),$E25))</f>
        <v>45</v>
      </c>
      <c r="Q25" s="787">
        <f t="shared" ca="1" si="36"/>
        <v>48</v>
      </c>
      <c r="R25" s="792">
        <f t="shared" ca="1" si="37"/>
        <v>86</v>
      </c>
      <c r="S25" s="769">
        <f t="shared" si="38"/>
        <v>3</v>
      </c>
      <c r="T25" s="769">
        <f t="shared" ca="1" si="39"/>
        <v>0.24</v>
      </c>
      <c r="U25" s="769">
        <f t="shared" ca="1" si="40"/>
        <v>0.104</v>
      </c>
      <c r="V25" s="769">
        <f t="shared" ca="1" si="41"/>
        <v>0</v>
      </c>
      <c r="W25" s="769">
        <f t="shared" ca="1" si="42"/>
        <v>3.3440000000000003</v>
      </c>
      <c r="X25" s="794">
        <f t="shared" si="43"/>
        <v>3</v>
      </c>
      <c r="Y25" s="769">
        <f t="shared" ca="1" si="44"/>
        <v>3</v>
      </c>
      <c r="Z25" s="769">
        <f t="shared" ca="1" si="45"/>
        <v>2.8532423208191124</v>
      </c>
      <c r="AA25" s="795">
        <f t="shared" ca="1" si="46"/>
        <v>2.8532423208191124</v>
      </c>
      <c r="AB25" s="769">
        <f t="shared" ca="1" si="47"/>
        <v>0</v>
      </c>
      <c r="AC25" s="769">
        <f t="shared" ca="1" si="48"/>
        <v>0</v>
      </c>
      <c r="AD25" s="769">
        <f t="shared" ca="1" si="49"/>
        <v>0</v>
      </c>
      <c r="AE25" s="794">
        <f t="shared" ca="1" si="50"/>
        <v>2.8532423208191124</v>
      </c>
      <c r="AF25" s="769">
        <f t="shared" ca="1" si="51"/>
        <v>2.8532423208191125E-2</v>
      </c>
      <c r="AG25" s="769">
        <f t="shared" ca="1" si="52"/>
        <v>2.8247098976109215</v>
      </c>
      <c r="AH25" s="799">
        <f t="shared" ca="1" si="53"/>
        <v>2.8247098976109215</v>
      </c>
      <c r="AI25" s="801">
        <f t="shared" ca="1" si="54"/>
        <v>1</v>
      </c>
      <c r="AJ25" s="794">
        <f t="shared" ca="1" si="55"/>
        <v>2</v>
      </c>
      <c r="AK25" s="769">
        <f t="shared" ca="1" si="56"/>
        <v>0.85324232081911244</v>
      </c>
      <c r="AL25" s="769">
        <f t="shared" ca="1" si="57"/>
        <v>0</v>
      </c>
      <c r="AM25" s="804">
        <f t="shared" ca="1" si="6"/>
        <v>5.3333333333333337E-2</v>
      </c>
      <c r="AN25" s="795">
        <f t="shared" ca="1" si="7"/>
        <v>0</v>
      </c>
      <c r="AO25" s="251"/>
      <c r="AP25" s="770">
        <f t="shared" si="58"/>
        <v>0</v>
      </c>
      <c r="AQ25" s="771">
        <f t="shared" ca="1" si="59"/>
        <v>0</v>
      </c>
      <c r="AR25" s="771">
        <f t="shared" ca="1" si="60"/>
        <v>4</v>
      </c>
      <c r="AS25" s="772">
        <f t="shared" ca="1" si="61"/>
        <v>4</v>
      </c>
      <c r="AT25" s="231"/>
      <c r="AU25" s="770">
        <f>'Main Results - IRR DC Operator'!$F$16</f>
        <v>2</v>
      </c>
      <c r="AV25" s="773">
        <f>'Main Results - IRR DC Operator'!$F$15</f>
        <v>1</v>
      </c>
      <c r="AW25" s="771">
        <f t="shared" ca="1" si="62"/>
        <v>4</v>
      </c>
      <c r="AX25" s="772">
        <f t="shared" si="63"/>
        <v>0</v>
      </c>
      <c r="AY25" s="231"/>
      <c r="AZ25" s="770" cm="1">
        <f t="array" aca="1" ref="AZ25" ca="1">INDIRECT("'Definition of Typical Day'!"&amp; ADDRESS($D25+29*(AZ$16-1),$E25))+$AZ$17</f>
        <v>72.849999999999994</v>
      </c>
      <c r="BA25" s="771" cm="1">
        <f t="array" aca="1" ref="BA25" ca="1">INDIRECT("'Definition of Typical Day'!"&amp; ADDRESS($D25+29*(BA$16-1),$E25))+$BA$17</f>
        <v>72.849999999999994</v>
      </c>
      <c r="BB25" s="772" cm="1">
        <f t="array" aca="1" ref="BB25" ca="1">INDIRECT("'Definition of Typical Day'!"&amp;ADDRESS(BB$16,$E25))</f>
        <v>135</v>
      </c>
      <c r="BC25" s="776" cm="1">
        <f t="array" aca="1" ref="BC25" ca="1">INDIRECT("'Definition of Typical Day'!"&amp; ADDRESS($D25+29*(BC$16-1),$E25))</f>
        <v>71.849999999999994</v>
      </c>
      <c r="BD25" s="777" cm="1">
        <f t="array" aca="1" ref="BD25" ca="1">INDIRECT("'Definition of Typical Day'!"&amp; ADDRESS($D25+29*(BD$16-1),$E25))</f>
        <v>0.2</v>
      </c>
      <c r="BE25" s="776">
        <f t="shared" si="64"/>
        <v>0</v>
      </c>
      <c r="BF25" s="771">
        <f t="shared" ca="1" si="75"/>
        <v>62.158703071672335</v>
      </c>
      <c r="BG25" s="771">
        <f t="shared" ca="1" si="65"/>
        <v>7.7037542662116039</v>
      </c>
      <c r="BH25" s="771">
        <f t="shared" ca="1" si="66"/>
        <v>0</v>
      </c>
      <c r="BI25" s="776">
        <f t="shared" ca="1" si="67"/>
        <v>3.8319999999999999</v>
      </c>
      <c r="BJ25" s="776">
        <f t="shared" ca="1" si="68"/>
        <v>0</v>
      </c>
      <c r="BK25" s="776">
        <f t="shared" ca="1" si="69"/>
        <v>0</v>
      </c>
      <c r="BL25" s="776">
        <f t="shared" ca="1" si="70"/>
        <v>0</v>
      </c>
      <c r="BM25" s="135"/>
      <c r="BN25" s="776">
        <f t="shared" ca="1" si="71"/>
        <v>73.862457337883939</v>
      </c>
      <c r="BO25" s="778">
        <f t="shared" ca="1" si="8"/>
        <v>26.148687835290698</v>
      </c>
      <c r="BP25" s="770">
        <f t="shared" ca="1" si="9"/>
        <v>69.862457337883939</v>
      </c>
      <c r="BQ25" s="771">
        <f t="shared" ca="1" si="10"/>
        <v>0</v>
      </c>
      <c r="BR25" s="771">
        <f t="shared" ca="1" si="11"/>
        <v>0</v>
      </c>
      <c r="BS25" s="776">
        <f t="shared" ca="1" si="72"/>
        <v>73.862457337883939</v>
      </c>
      <c r="BT25" s="776">
        <f t="shared" ca="1" si="12"/>
        <v>69.862457337883939</v>
      </c>
      <c r="BU25" s="783">
        <f t="shared" ca="1" si="13"/>
        <v>24.732613213474451</v>
      </c>
      <c r="BV25" s="783">
        <f t="shared" ca="1" si="14"/>
        <v>24.732613213474451</v>
      </c>
      <c r="BW25" s="1019">
        <f t="shared" ca="1" si="73"/>
        <v>24.732613213474451</v>
      </c>
      <c r="BX25" s="771" cm="1">
        <f t="array" aca="1" ref="BX25" ca="1">INDIRECT("'Definition of Typical Day'!"&amp; ADDRESS($D25+29*(BX$16-1),$E25))</f>
        <v>65</v>
      </c>
      <c r="BY25" s="771">
        <f t="shared" ca="1" si="74"/>
        <v>1</v>
      </c>
      <c r="BZ25" s="781">
        <f t="shared" ca="1" si="15"/>
        <v>1</v>
      </c>
      <c r="CA25" s="781">
        <f t="shared" ca="1" si="16"/>
        <v>0.95108077360637078</v>
      </c>
      <c r="CB25" s="776">
        <f t="shared" ca="1" si="17"/>
        <v>183.60614334470989</v>
      </c>
      <c r="CC25" s="782">
        <f t="shared" si="18"/>
        <v>1</v>
      </c>
      <c r="CD25" s="782">
        <f t="shared" si="19"/>
        <v>5</v>
      </c>
      <c r="CE25" s="784" t="str" cm="1">
        <f t="array" aca="1" ref="CE25" ca="1">INDIRECT("'Definition of Typical Day'!"&amp;ADDRESS(CE$16,$E25))</f>
        <v>Winter day</v>
      </c>
      <c r="CF25" s="135"/>
      <c r="CG25" s="135"/>
      <c r="CH25" s="776">
        <f t="shared" ca="1" si="20"/>
        <v>2</v>
      </c>
      <c r="CI25" s="806">
        <f t="shared" ca="1" si="21"/>
        <v>6</v>
      </c>
      <c r="CJ25" s="770">
        <f t="shared" ca="1" si="22"/>
        <v>2.8247098976109215</v>
      </c>
      <c r="CK25" s="771">
        <f t="shared" ca="1" si="23"/>
        <v>2</v>
      </c>
      <c r="CL25" s="771">
        <f t="shared" ca="1" si="24"/>
        <v>0.85324232081911244</v>
      </c>
      <c r="CM25" s="772">
        <f t="shared" ca="1" si="25"/>
        <v>0</v>
      </c>
      <c r="CN25" s="135"/>
      <c r="CO25" s="770">
        <f t="shared" ca="1" si="26"/>
        <v>1.05</v>
      </c>
      <c r="CP25" s="771">
        <f t="shared" ca="1" si="27"/>
        <v>0.98</v>
      </c>
      <c r="CQ25" s="771">
        <f t="shared" ca="1" si="28"/>
        <v>0.96</v>
      </c>
      <c r="CR25" s="771">
        <f t="shared" ca="1" si="29"/>
        <v>0.95</v>
      </c>
      <c r="CS25" s="771">
        <f t="shared" ca="1" si="30"/>
        <v>1.02</v>
      </c>
      <c r="CT25" s="772">
        <f t="shared" ca="1" si="31"/>
        <v>0.02</v>
      </c>
      <c r="CU25" s="135"/>
      <c r="CV25" s="135"/>
      <c r="CW25" s="135"/>
      <c r="CX25" s="135"/>
      <c r="CY25" s="135"/>
      <c r="CZ25" s="135"/>
      <c r="DA25" s="135"/>
      <c r="DB25" s="135"/>
      <c r="DC25" s="135"/>
      <c r="DD25" s="135"/>
      <c r="DE25" s="135"/>
      <c r="DF25" s="135"/>
      <c r="DG25" s="135"/>
      <c r="DH25" s="135"/>
      <c r="DI25" s="135"/>
      <c r="DJ25" s="135"/>
      <c r="DK25" s="135"/>
      <c r="DL25" s="135"/>
      <c r="DM25" s="135"/>
      <c r="DN25" s="135"/>
      <c r="DO25" s="135"/>
      <c r="DP25" s="135"/>
      <c r="DQ25" s="135"/>
      <c r="DR25" s="135"/>
      <c r="DS25" s="135"/>
      <c r="DT25" s="135"/>
      <c r="DU25" s="135"/>
      <c r="DV25" s="135"/>
      <c r="DX25" s="135"/>
      <c r="DY25" s="135"/>
      <c r="DZ25" s="135"/>
      <c r="EA25" s="135"/>
      <c r="EB25" s="135"/>
      <c r="EC25" s="135"/>
      <c r="ED25" s="135"/>
      <c r="EE25" s="135"/>
      <c r="EF25" s="135"/>
      <c r="EG25" s="135"/>
      <c r="EH25" s="135"/>
      <c r="EI25" s="135"/>
      <c r="EJ25" s="135"/>
      <c r="EK25" s="135"/>
      <c r="EL25" s="135"/>
      <c r="EM25" s="135"/>
      <c r="EN25" s="135"/>
      <c r="EO25" s="135"/>
      <c r="EP25" s="135"/>
      <c r="EQ25" s="135"/>
      <c r="ER25" s="135"/>
      <c r="ES25" s="135"/>
      <c r="ET25" s="135"/>
      <c r="EU25" s="135"/>
      <c r="EV25" s="135"/>
      <c r="EW25" s="135"/>
      <c r="EX25" s="135"/>
      <c r="EY25" s="135"/>
      <c r="EZ25" s="135"/>
      <c r="FA25" s="135"/>
      <c r="FB25" s="135"/>
      <c r="FC25" s="135"/>
      <c r="FD25" s="135"/>
      <c r="FE25" s="135"/>
      <c r="FF25" s="135"/>
      <c r="FG25" s="135"/>
    </row>
    <row r="26" spans="1:163" s="57" customFormat="1" ht="11.25" outlineLevel="1">
      <c r="A26" s="765">
        <v>1</v>
      </c>
      <c r="B26" s="715" t="str" cm="1">
        <f t="array" aca="1" ref="B26" ca="1">INDIRECT("'Definition of Typical Day'!"&amp;ADDRESS(B$16,$E26))</f>
        <v>Winter day</v>
      </c>
      <c r="C26" s="766">
        <v>6</v>
      </c>
      <c r="D26" s="715">
        <f>ROW('Definition of Typical Day'!D40)</f>
        <v>40</v>
      </c>
      <c r="E26" s="715">
        <f t="shared" si="5"/>
        <v>5</v>
      </c>
      <c r="F26" s="767" cm="1">
        <f t="array" aca="1" ref="F26" ca="1">INDIRECT("'Definition of Typical Day'!D"&amp;D26)</f>
        <v>6</v>
      </c>
      <c r="G26" s="767" cm="1">
        <f t="array" aca="1" ref="G26" ca="1">INDIRECT("'Definition of Typical Day'!"&amp;ADDRESS(13,E26))</f>
        <v>1</v>
      </c>
      <c r="H26" s="768" cm="1">
        <f t="array" aca="1" ref="H26" ca="1">INDIRECT("'Definition of Typical Day'!"&amp; ADDRESS($D26+28*(H$16-1),$E26))</f>
        <v>2</v>
      </c>
      <c r="I26" s="715" cm="1">
        <f t="array" aca="1" ref="I26" ca="1">INDIRECT("'Definition of Typical Day'!"&amp; ADDRESS($D26+29*(I$16-1),$E26))</f>
        <v>40</v>
      </c>
      <c r="J26" s="715">
        <f t="shared" ca="1" si="32"/>
        <v>37</v>
      </c>
      <c r="K26" s="785">
        <f t="shared" si="33"/>
        <v>28</v>
      </c>
      <c r="L26" s="786" cm="1">
        <f t="array" aca="1" ref="L26" ca="1">INDIRECT("'Definition of Typical Day'!"&amp; ADDRESS($D26+29*(L$16-1),$E26))</f>
        <v>6</v>
      </c>
      <c r="M26" s="768" cm="1">
        <f t="array" aca="1" ref="M26" ca="1">INDIRECT("'Definition of Typical Day'!"&amp; ADDRESS($D26+29*(M$16-1),$E26))</f>
        <v>93</v>
      </c>
      <c r="N26" s="715">
        <f t="shared" si="34"/>
        <v>3</v>
      </c>
      <c r="O26" s="715">
        <f t="shared" ca="1" si="35"/>
        <v>96</v>
      </c>
      <c r="P26" s="715" cm="1">
        <f t="array" aca="1" ref="P26" ca="1">INDIRECT("'Definition of Typical Day'!"&amp; ADDRESS($D26+29*(P$16-1),$E26))</f>
        <v>45</v>
      </c>
      <c r="Q26" s="787">
        <f t="shared" ca="1" si="36"/>
        <v>48</v>
      </c>
      <c r="R26" s="792">
        <f t="shared" ca="1" si="37"/>
        <v>95</v>
      </c>
      <c r="S26" s="769">
        <f t="shared" si="38"/>
        <v>3</v>
      </c>
      <c r="T26" s="769">
        <f t="shared" ca="1" si="39"/>
        <v>0.24</v>
      </c>
      <c r="U26" s="769">
        <f t="shared" ca="1" si="40"/>
        <v>-0.13</v>
      </c>
      <c r="V26" s="769">
        <f t="shared" ca="1" si="41"/>
        <v>0</v>
      </c>
      <c r="W26" s="769">
        <f t="shared" ca="1" si="42"/>
        <v>3.1100000000000003</v>
      </c>
      <c r="X26" s="794">
        <f t="shared" si="43"/>
        <v>3</v>
      </c>
      <c r="Y26" s="769">
        <f t="shared" ca="1" si="44"/>
        <v>3</v>
      </c>
      <c r="Z26" s="769">
        <f t="shared" ca="1" si="45"/>
        <v>2.9478672985781991</v>
      </c>
      <c r="AA26" s="795">
        <f t="shared" ca="1" si="46"/>
        <v>2.9478672985781991</v>
      </c>
      <c r="AB26" s="769">
        <f t="shared" ca="1" si="47"/>
        <v>1</v>
      </c>
      <c r="AC26" s="769">
        <f t="shared" ca="1" si="48"/>
        <v>6.2720580820812749E-2</v>
      </c>
      <c r="AD26" s="769">
        <f t="shared" ca="1" si="49"/>
        <v>6.2720580820812749E-2</v>
      </c>
      <c r="AE26" s="794">
        <f t="shared" ca="1" si="50"/>
        <v>3.010587879399012</v>
      </c>
      <c r="AF26" s="769">
        <f t="shared" ca="1" si="51"/>
        <v>3.0105878793990119E-2</v>
      </c>
      <c r="AG26" s="769">
        <f t="shared" ca="1" si="52"/>
        <v>2.9804820006050217</v>
      </c>
      <c r="AH26" s="799">
        <f t="shared" ca="1" si="53"/>
        <v>2.9804820006050217</v>
      </c>
      <c r="AI26" s="801">
        <f t="shared" ca="1" si="54"/>
        <v>1</v>
      </c>
      <c r="AJ26" s="794">
        <f t="shared" ca="1" si="55"/>
        <v>2</v>
      </c>
      <c r="AK26" s="769">
        <f t="shared" ca="1" si="56"/>
        <v>0.94786729857819896</v>
      </c>
      <c r="AL26" s="769">
        <f t="shared" ca="1" si="57"/>
        <v>6.3354122041224994E-2</v>
      </c>
      <c r="AM26" s="804">
        <f t="shared" ca="1" si="6"/>
        <v>5.3333333333333337E-2</v>
      </c>
      <c r="AN26" s="795">
        <f t="shared" ca="1" si="7"/>
        <v>0</v>
      </c>
      <c r="AO26" s="251"/>
      <c r="AP26" s="770">
        <f t="shared" si="58"/>
        <v>0</v>
      </c>
      <c r="AQ26" s="771">
        <f t="shared" ca="1" si="59"/>
        <v>0</v>
      </c>
      <c r="AR26" s="771">
        <f t="shared" ca="1" si="60"/>
        <v>4</v>
      </c>
      <c r="AS26" s="772">
        <f t="shared" ca="1" si="61"/>
        <v>4</v>
      </c>
      <c r="AT26" s="231"/>
      <c r="AU26" s="770">
        <f>'Main Results - IRR DC Operator'!$F$16</f>
        <v>2</v>
      </c>
      <c r="AV26" s="773">
        <f>'Main Results - IRR DC Operator'!$F$15</f>
        <v>1</v>
      </c>
      <c r="AW26" s="771">
        <f t="shared" ca="1" si="62"/>
        <v>4</v>
      </c>
      <c r="AX26" s="772">
        <f t="shared" si="63"/>
        <v>0</v>
      </c>
      <c r="AY26" s="231"/>
      <c r="AZ26" s="770" cm="1">
        <f t="array" aca="1" ref="AZ26" ca="1">INDIRECT("'Definition of Typical Day'!"&amp; ADDRESS($D26+29*(AZ$16-1),$E26))+$AZ$17</f>
        <v>72.75</v>
      </c>
      <c r="BA26" s="771" cm="1">
        <f t="array" aca="1" ref="BA26" ca="1">INDIRECT("'Definition of Typical Day'!"&amp; ADDRESS($D26+29*(BA$16-1),$E26))+$BA$17</f>
        <v>72.75</v>
      </c>
      <c r="BB26" s="772" cm="1">
        <f t="array" aca="1" ref="BB26" ca="1">INDIRECT("'Definition of Typical Day'!"&amp;ADDRESS(BB$16,$E26))</f>
        <v>135</v>
      </c>
      <c r="BC26" s="776" cm="1">
        <f t="array" aca="1" ref="BC26" ca="1">INDIRECT("'Definition of Typical Day'!"&amp; ADDRESS($D26+29*(BC$16-1),$E26))</f>
        <v>71.75</v>
      </c>
      <c r="BD26" s="777" cm="1">
        <f t="array" aca="1" ref="BD26" ca="1">INDIRECT("'Definition of Typical Day'!"&amp; ADDRESS($D26+29*(BD$16-1),$E26))</f>
        <v>0.2</v>
      </c>
      <c r="BE26" s="776">
        <f t="shared" si="64"/>
        <v>0</v>
      </c>
      <c r="BF26" s="771">
        <f t="shared" ca="1" si="75"/>
        <v>68.957345971563967</v>
      </c>
      <c r="BG26" s="771">
        <f t="shared" ca="1" si="65"/>
        <v>8.1285872743773329</v>
      </c>
      <c r="BH26" s="771">
        <f t="shared" ca="1" si="66"/>
        <v>4.6090123784991182</v>
      </c>
      <c r="BI26" s="776">
        <f t="shared" ca="1" si="67"/>
        <v>3.8266666666666671</v>
      </c>
      <c r="BJ26" s="776">
        <f t="shared" ca="1" si="68"/>
        <v>0</v>
      </c>
      <c r="BK26" s="776">
        <f t="shared" ca="1" si="69"/>
        <v>0</v>
      </c>
      <c r="BL26" s="776">
        <f t="shared" ca="1" si="70"/>
        <v>0</v>
      </c>
      <c r="BM26" s="135"/>
      <c r="BN26" s="776">
        <f t="shared" ca="1" si="71"/>
        <v>85.694945624440422</v>
      </c>
      <c r="BO26" s="778">
        <f t="shared" ca="1" si="8"/>
        <v>28.752042658551474</v>
      </c>
      <c r="BP26" s="770">
        <f t="shared" ca="1" si="9"/>
        <v>81.694945624440422</v>
      </c>
      <c r="BQ26" s="771">
        <f t="shared" ca="1" si="10"/>
        <v>0</v>
      </c>
      <c r="BR26" s="771">
        <f t="shared" ca="1" si="11"/>
        <v>0</v>
      </c>
      <c r="BS26" s="776">
        <f t="shared" ca="1" si="72"/>
        <v>85.694945624440422</v>
      </c>
      <c r="BT26" s="776">
        <f t="shared" ca="1" si="12"/>
        <v>81.694945624440422</v>
      </c>
      <c r="BU26" s="783">
        <f t="shared" ca="1" si="13"/>
        <v>27.409977851856443</v>
      </c>
      <c r="BV26" s="783">
        <f t="shared" ca="1" si="14"/>
        <v>27.409977851856443</v>
      </c>
      <c r="BW26" s="1019">
        <f t="shared" ca="1" si="73"/>
        <v>27.409977851856443</v>
      </c>
      <c r="BX26" s="771" cm="1">
        <f t="array" aca="1" ref="BX26" ca="1">INDIRECT("'Definition of Typical Day'!"&amp; ADDRESS($D26+29*(BX$16-1),$E26))</f>
        <v>65</v>
      </c>
      <c r="BY26" s="771">
        <f t="shared" ca="1" si="74"/>
        <v>1</v>
      </c>
      <c r="BZ26" s="781">
        <f t="shared" ca="1" si="15"/>
        <v>1</v>
      </c>
      <c r="CA26" s="781">
        <f t="shared" ca="1" si="16"/>
        <v>0.98262243285939965</v>
      </c>
      <c r="CB26" s="776">
        <f t="shared" ca="1" si="17"/>
        <v>193.73133003932639</v>
      </c>
      <c r="CC26" s="782">
        <f t="shared" si="18"/>
        <v>1</v>
      </c>
      <c r="CD26" s="782">
        <f t="shared" si="19"/>
        <v>6</v>
      </c>
      <c r="CE26" s="784" t="str" cm="1">
        <f t="array" aca="1" ref="CE26" ca="1">INDIRECT("'Definition of Typical Day'!"&amp;ADDRESS(CE$16,$E26))</f>
        <v>Winter day</v>
      </c>
      <c r="CF26" s="135"/>
      <c r="CG26" s="135"/>
      <c r="CH26" s="776">
        <f t="shared" ca="1" si="20"/>
        <v>2</v>
      </c>
      <c r="CI26" s="806">
        <f t="shared" ca="1" si="21"/>
        <v>6</v>
      </c>
      <c r="CJ26" s="770">
        <f t="shared" ca="1" si="22"/>
        <v>2.9804820006050217</v>
      </c>
      <c r="CK26" s="771">
        <f t="shared" ca="1" si="23"/>
        <v>2</v>
      </c>
      <c r="CL26" s="771">
        <f t="shared" ca="1" si="24"/>
        <v>0.94786729857819896</v>
      </c>
      <c r="CM26" s="772">
        <f t="shared" ca="1" si="25"/>
        <v>6.3354122041224994E-2</v>
      </c>
      <c r="CN26" s="135"/>
      <c r="CO26" s="770">
        <f t="shared" ca="1" si="26"/>
        <v>1.05</v>
      </c>
      <c r="CP26" s="771">
        <f t="shared" ca="1" si="27"/>
        <v>0.98</v>
      </c>
      <c r="CQ26" s="771">
        <f t="shared" ca="1" si="28"/>
        <v>0.96</v>
      </c>
      <c r="CR26" s="771">
        <f t="shared" ca="1" si="29"/>
        <v>0.95</v>
      </c>
      <c r="CS26" s="771">
        <f t="shared" ca="1" si="30"/>
        <v>1.02</v>
      </c>
      <c r="CT26" s="772">
        <f t="shared" ca="1" si="31"/>
        <v>1.01</v>
      </c>
      <c r="CU26" s="135"/>
      <c r="CV26" s="135"/>
      <c r="CW26" s="135"/>
      <c r="CX26" s="135"/>
      <c r="CY26" s="135"/>
      <c r="CZ26" s="135"/>
      <c r="DA26" s="135"/>
      <c r="DB26" s="135"/>
      <c r="DC26" s="135"/>
      <c r="DD26" s="135"/>
      <c r="DE26" s="135"/>
      <c r="DF26" s="135"/>
      <c r="DG26" s="135"/>
      <c r="DH26" s="135"/>
      <c r="DI26" s="135"/>
      <c r="DJ26" s="135"/>
      <c r="DK26" s="135"/>
      <c r="DL26" s="135"/>
      <c r="DM26" s="135"/>
      <c r="DN26" s="135"/>
      <c r="DO26" s="135"/>
      <c r="DP26" s="135"/>
      <c r="DQ26" s="135"/>
      <c r="DR26" s="135"/>
      <c r="DS26" s="135"/>
      <c r="DT26" s="135"/>
      <c r="DU26" s="135"/>
      <c r="DV26" s="135"/>
      <c r="DX26" s="135"/>
      <c r="DY26" s="135"/>
      <c r="DZ26" s="135"/>
      <c r="EA26" s="135"/>
      <c r="EB26" s="135"/>
      <c r="EC26" s="135"/>
      <c r="ED26" s="135"/>
      <c r="EE26" s="135"/>
      <c r="EF26" s="135"/>
      <c r="EG26" s="135"/>
      <c r="EH26" s="135"/>
      <c r="EI26" s="135"/>
      <c r="EJ26" s="135"/>
      <c r="EK26" s="135"/>
      <c r="EL26" s="135"/>
      <c r="EM26" s="135"/>
      <c r="EN26" s="135"/>
      <c r="EO26" s="135"/>
      <c r="EP26" s="135"/>
      <c r="EQ26" s="135"/>
      <c r="ER26" s="135"/>
      <c r="ES26" s="135"/>
      <c r="ET26" s="135"/>
      <c r="EU26" s="135"/>
      <c r="EV26" s="135"/>
      <c r="EW26" s="135"/>
      <c r="EX26" s="135"/>
      <c r="EY26" s="135"/>
      <c r="EZ26" s="135"/>
      <c r="FA26" s="135"/>
      <c r="FB26" s="135"/>
      <c r="FC26" s="135"/>
      <c r="FD26" s="135"/>
      <c r="FE26" s="135"/>
      <c r="FF26" s="135"/>
      <c r="FG26" s="135"/>
    </row>
    <row r="27" spans="1:163" s="57" customFormat="1" ht="11.25" outlineLevel="1">
      <c r="A27" s="765">
        <v>1</v>
      </c>
      <c r="B27" s="715" t="str" cm="1">
        <f t="array" aca="1" ref="B27" ca="1">INDIRECT("'Definition of Typical Day'!"&amp;ADDRESS(B$16,$E27))</f>
        <v>Winter day</v>
      </c>
      <c r="C27" s="766">
        <v>7</v>
      </c>
      <c r="D27" s="715">
        <f>ROW('Definition of Typical Day'!D41)</f>
        <v>41</v>
      </c>
      <c r="E27" s="715">
        <f t="shared" si="5"/>
        <v>5</v>
      </c>
      <c r="F27" s="767" cm="1">
        <f t="array" aca="1" ref="F27" ca="1">INDIRECT("'Definition of Typical Day'!D"&amp;D27)</f>
        <v>7</v>
      </c>
      <c r="G27" s="767" cm="1">
        <f t="array" aca="1" ref="G27" ca="1">INDIRECT("'Definition of Typical Day'!"&amp;ADDRESS(13,E27))</f>
        <v>1</v>
      </c>
      <c r="H27" s="768" cm="1">
        <f t="array" aca="1" ref="H27" ca="1">INDIRECT("'Definition of Typical Day'!"&amp; ADDRESS($D27+28*(H$16-1),$E27))</f>
        <v>2</v>
      </c>
      <c r="I27" s="715" cm="1">
        <f t="array" aca="1" ref="I27" ca="1">INDIRECT("'Definition of Typical Day'!"&amp; ADDRESS($D27+29*(I$16-1),$E27))</f>
        <v>40</v>
      </c>
      <c r="J27" s="715">
        <f t="shared" ca="1" si="32"/>
        <v>37</v>
      </c>
      <c r="K27" s="785">
        <f t="shared" si="33"/>
        <v>28</v>
      </c>
      <c r="L27" s="786" cm="1">
        <f t="array" aca="1" ref="L27" ca="1">INDIRECT("'Definition of Typical Day'!"&amp; ADDRESS($D27+29*(L$16-1),$E27))</f>
        <v>6</v>
      </c>
      <c r="M27" s="768" cm="1">
        <f t="array" aca="1" ref="M27" ca="1">INDIRECT("'Definition of Typical Day'!"&amp; ADDRESS($D27+29*(M$16-1),$E27))</f>
        <v>95</v>
      </c>
      <c r="N27" s="715">
        <f t="shared" si="34"/>
        <v>3</v>
      </c>
      <c r="O27" s="715">
        <f t="shared" ca="1" si="35"/>
        <v>98</v>
      </c>
      <c r="P27" s="715" cm="1">
        <f t="array" aca="1" ref="P27" ca="1">INDIRECT("'Definition of Typical Day'!"&amp; ADDRESS($D27+29*(P$16-1),$E27))</f>
        <v>45</v>
      </c>
      <c r="Q27" s="787">
        <f t="shared" ca="1" si="36"/>
        <v>48</v>
      </c>
      <c r="R27" s="792">
        <f t="shared" ca="1" si="37"/>
        <v>95</v>
      </c>
      <c r="S27" s="769">
        <f t="shared" si="38"/>
        <v>3</v>
      </c>
      <c r="T27" s="769">
        <f t="shared" ca="1" si="39"/>
        <v>0.24</v>
      </c>
      <c r="U27" s="769">
        <f t="shared" ca="1" si="40"/>
        <v>-0.13</v>
      </c>
      <c r="V27" s="769">
        <f t="shared" ca="1" si="41"/>
        <v>0</v>
      </c>
      <c r="W27" s="769">
        <f t="shared" ca="1" si="42"/>
        <v>3.1100000000000003</v>
      </c>
      <c r="X27" s="794">
        <f t="shared" si="43"/>
        <v>3</v>
      </c>
      <c r="Y27" s="769">
        <f t="shared" ca="1" si="44"/>
        <v>3</v>
      </c>
      <c r="Z27" s="769">
        <f t="shared" ca="1" si="45"/>
        <v>2.9478672985781991</v>
      </c>
      <c r="AA27" s="795">
        <f t="shared" ca="1" si="46"/>
        <v>2.9478672985781991</v>
      </c>
      <c r="AB27" s="769">
        <f t="shared" ca="1" si="47"/>
        <v>3</v>
      </c>
      <c r="AC27" s="769">
        <f t="shared" ca="1" si="48"/>
        <v>0.18816174246243822</v>
      </c>
      <c r="AD27" s="769">
        <f t="shared" ca="1" si="49"/>
        <v>0.18816174246243822</v>
      </c>
      <c r="AE27" s="794">
        <f t="shared" ca="1" si="50"/>
        <v>3.1360290410406373</v>
      </c>
      <c r="AF27" s="769">
        <f t="shared" ca="1" si="51"/>
        <v>3.1360290410406375E-2</v>
      </c>
      <c r="AG27" s="769">
        <f t="shared" ca="1" si="52"/>
        <v>3.1046687506302311</v>
      </c>
      <c r="AH27" s="799">
        <f t="shared" ca="1" si="53"/>
        <v>3.1046687506302311</v>
      </c>
      <c r="AI27" s="801">
        <f t="shared" ca="1" si="54"/>
        <v>1</v>
      </c>
      <c r="AJ27" s="794">
        <f t="shared" ca="1" si="55"/>
        <v>2</v>
      </c>
      <c r="AK27" s="769">
        <f t="shared" ca="1" si="56"/>
        <v>0.94786729857819896</v>
      </c>
      <c r="AL27" s="769">
        <f t="shared" ca="1" si="57"/>
        <v>0.19006236612367497</v>
      </c>
      <c r="AM27" s="804">
        <f t="shared" ca="1" si="6"/>
        <v>5.3333333333333337E-2</v>
      </c>
      <c r="AN27" s="795">
        <f t="shared" ca="1" si="7"/>
        <v>0</v>
      </c>
      <c r="AO27" s="251"/>
      <c r="AP27" s="770">
        <f t="shared" si="58"/>
        <v>0</v>
      </c>
      <c r="AQ27" s="771">
        <f t="shared" ca="1" si="59"/>
        <v>0</v>
      </c>
      <c r="AR27" s="771">
        <f t="shared" ca="1" si="60"/>
        <v>4</v>
      </c>
      <c r="AS27" s="772">
        <f t="shared" ca="1" si="61"/>
        <v>4</v>
      </c>
      <c r="AT27" s="231"/>
      <c r="AU27" s="770">
        <f>'Main Results - IRR DC Operator'!$F$16</f>
        <v>2</v>
      </c>
      <c r="AV27" s="773">
        <f>'Main Results - IRR DC Operator'!$F$15</f>
        <v>1</v>
      </c>
      <c r="AW27" s="771">
        <f t="shared" ca="1" si="62"/>
        <v>4</v>
      </c>
      <c r="AX27" s="772">
        <f t="shared" si="63"/>
        <v>0</v>
      </c>
      <c r="AY27" s="231"/>
      <c r="AZ27" s="770" cm="1">
        <f t="array" aca="1" ref="AZ27" ca="1">INDIRECT("'Definition of Typical Day'!"&amp; ADDRESS($D27+29*(AZ$16-1),$E27))+$AZ$17</f>
        <v>73.59</v>
      </c>
      <c r="BA27" s="771" cm="1">
        <f t="array" aca="1" ref="BA27" ca="1">INDIRECT("'Definition of Typical Day'!"&amp; ADDRESS($D27+29*(BA$16-1),$E27))+$BA$17</f>
        <v>73.59</v>
      </c>
      <c r="BB27" s="772" cm="1">
        <f t="array" aca="1" ref="BB27" ca="1">INDIRECT("'Definition of Typical Day'!"&amp;ADDRESS(BB$16,$E27))</f>
        <v>135</v>
      </c>
      <c r="BC27" s="776" cm="1">
        <f t="array" aca="1" ref="BC27" ca="1">INDIRECT("'Definition of Typical Day'!"&amp; ADDRESS($D27+29*(BC$16-1),$E27))</f>
        <v>72.59</v>
      </c>
      <c r="BD27" s="777" cm="1">
        <f t="array" aca="1" ref="BD27" ca="1">INDIRECT("'Definition of Typical Day'!"&amp; ADDRESS($D27+29*(BD$16-1),$E27))</f>
        <v>0.2</v>
      </c>
      <c r="BE27" s="776">
        <f t="shared" si="64"/>
        <v>0</v>
      </c>
      <c r="BF27" s="771">
        <f t="shared" ca="1" si="75"/>
        <v>69.753554502369667</v>
      </c>
      <c r="BG27" s="771">
        <f t="shared" ca="1" si="65"/>
        <v>8.4672784108097208</v>
      </c>
      <c r="BH27" s="771">
        <f t="shared" ca="1" si="66"/>
        <v>13.986689523041242</v>
      </c>
      <c r="BI27" s="776">
        <f t="shared" ca="1" si="67"/>
        <v>3.8714666666666671</v>
      </c>
      <c r="BJ27" s="776">
        <f t="shared" ca="1" si="68"/>
        <v>0</v>
      </c>
      <c r="BK27" s="776">
        <f t="shared" ca="1" si="69"/>
        <v>0</v>
      </c>
      <c r="BL27" s="776">
        <f t="shared" ca="1" si="70"/>
        <v>0</v>
      </c>
      <c r="BM27" s="135"/>
      <c r="BN27" s="776">
        <f t="shared" ca="1" si="71"/>
        <v>96.207522436220643</v>
      </c>
      <c r="BO27" s="778">
        <f t="shared" ca="1" si="8"/>
        <v>30.988015200233853</v>
      </c>
      <c r="BP27" s="770">
        <f t="shared" ca="1" si="9"/>
        <v>92.207522436220643</v>
      </c>
      <c r="BQ27" s="771">
        <f t="shared" ca="1" si="10"/>
        <v>0</v>
      </c>
      <c r="BR27" s="771">
        <f t="shared" ca="1" si="11"/>
        <v>0</v>
      </c>
      <c r="BS27" s="776">
        <f t="shared" ca="1" si="72"/>
        <v>96.207522436220643</v>
      </c>
      <c r="BT27" s="776">
        <f t="shared" ca="1" si="12"/>
        <v>92.207522436220643</v>
      </c>
      <c r="BU27" s="783">
        <f t="shared" ca="1" si="13"/>
        <v>29.699632985806623</v>
      </c>
      <c r="BV27" s="783">
        <f t="shared" ca="1" si="14"/>
        <v>29.699632985806623</v>
      </c>
      <c r="BW27" s="1019">
        <f t="shared" ca="1" si="73"/>
        <v>29.699632985806623</v>
      </c>
      <c r="BX27" s="771" cm="1">
        <f t="array" aca="1" ref="BX27" ca="1">INDIRECT("'Definition of Typical Day'!"&amp; ADDRESS($D27+29*(BX$16-1),$E27))</f>
        <v>65</v>
      </c>
      <c r="BY27" s="771">
        <f t="shared" ca="1" si="74"/>
        <v>1</v>
      </c>
      <c r="BZ27" s="781">
        <f t="shared" ca="1" si="15"/>
        <v>1</v>
      </c>
      <c r="CA27" s="781">
        <f t="shared" ca="1" si="16"/>
        <v>0.98262243285939965</v>
      </c>
      <c r="CB27" s="776">
        <f t="shared" ca="1" si="17"/>
        <v>201.80346879096501</v>
      </c>
      <c r="CC27" s="782">
        <f t="shared" si="18"/>
        <v>1</v>
      </c>
      <c r="CD27" s="782">
        <f t="shared" si="19"/>
        <v>7</v>
      </c>
      <c r="CE27" s="784" t="str" cm="1">
        <f t="array" aca="1" ref="CE27" ca="1">INDIRECT("'Definition of Typical Day'!"&amp;ADDRESS(CE$16,$E27))</f>
        <v>Winter day</v>
      </c>
      <c r="CF27" s="135"/>
      <c r="CG27" s="135"/>
      <c r="CH27" s="776">
        <f t="shared" ca="1" si="20"/>
        <v>2</v>
      </c>
      <c r="CI27" s="806">
        <f t="shared" ca="1" si="21"/>
        <v>6</v>
      </c>
      <c r="CJ27" s="770">
        <f t="shared" ca="1" si="22"/>
        <v>3.1046687506302311</v>
      </c>
      <c r="CK27" s="771">
        <f t="shared" ca="1" si="23"/>
        <v>2</v>
      </c>
      <c r="CL27" s="771">
        <f t="shared" ca="1" si="24"/>
        <v>0.94786729857819896</v>
      </c>
      <c r="CM27" s="772">
        <f t="shared" ca="1" si="25"/>
        <v>0.19006236612367497</v>
      </c>
      <c r="CN27" s="135"/>
      <c r="CO27" s="770">
        <f t="shared" ca="1" si="26"/>
        <v>1.05</v>
      </c>
      <c r="CP27" s="771">
        <f t="shared" ca="1" si="27"/>
        <v>0.98</v>
      </c>
      <c r="CQ27" s="771">
        <f t="shared" ca="1" si="28"/>
        <v>0.96</v>
      </c>
      <c r="CR27" s="771">
        <f t="shared" ca="1" si="29"/>
        <v>0.95</v>
      </c>
      <c r="CS27" s="771">
        <f t="shared" ca="1" si="30"/>
        <v>1.02</v>
      </c>
      <c r="CT27" s="772">
        <f t="shared" ca="1" si="31"/>
        <v>1.01</v>
      </c>
      <c r="CU27" s="135"/>
      <c r="CV27" s="135"/>
      <c r="CW27" s="135"/>
      <c r="CX27" s="135"/>
      <c r="CY27" s="135"/>
      <c r="CZ27" s="135"/>
      <c r="DA27" s="135"/>
      <c r="DB27" s="135"/>
      <c r="DC27" s="135"/>
      <c r="DD27" s="135"/>
      <c r="DE27" s="135"/>
      <c r="DF27" s="135"/>
      <c r="DG27" s="135"/>
      <c r="DH27" s="135"/>
      <c r="DI27" s="135"/>
      <c r="DJ27" s="135"/>
      <c r="DK27" s="135"/>
      <c r="DL27" s="135"/>
      <c r="DM27" s="135"/>
      <c r="DN27" s="135"/>
      <c r="DO27" s="135"/>
      <c r="DP27" s="135"/>
      <c r="DQ27" s="135"/>
      <c r="DR27" s="135"/>
      <c r="DS27" s="135"/>
      <c r="DT27" s="135"/>
      <c r="DU27" s="135"/>
      <c r="DV27" s="135"/>
      <c r="DX27" s="135"/>
      <c r="DY27" s="135"/>
      <c r="DZ27" s="135"/>
      <c r="EA27" s="135"/>
      <c r="EB27" s="135"/>
      <c r="EC27" s="135"/>
      <c r="ED27" s="135"/>
      <c r="EE27" s="135"/>
      <c r="EF27" s="135"/>
      <c r="EG27" s="135"/>
      <c r="EH27" s="135"/>
      <c r="EI27" s="135"/>
      <c r="EJ27" s="135"/>
      <c r="EK27" s="135"/>
      <c r="EL27" s="135"/>
      <c r="EM27" s="135"/>
      <c r="EN27" s="135"/>
      <c r="EO27" s="135"/>
      <c r="EP27" s="135"/>
      <c r="EQ27" s="135"/>
      <c r="ER27" s="135"/>
      <c r="ES27" s="135"/>
      <c r="ET27" s="135"/>
      <c r="EU27" s="135"/>
      <c r="EV27" s="135"/>
      <c r="EW27" s="135"/>
      <c r="EX27" s="135"/>
      <c r="EY27" s="135"/>
      <c r="EZ27" s="135"/>
      <c r="FA27" s="135"/>
      <c r="FB27" s="135"/>
      <c r="FC27" s="135"/>
      <c r="FD27" s="135"/>
      <c r="FE27" s="135"/>
      <c r="FF27" s="135"/>
      <c r="FG27" s="135"/>
    </row>
    <row r="28" spans="1:163" s="57" customFormat="1" ht="11.25" outlineLevel="1">
      <c r="A28" s="765">
        <v>1</v>
      </c>
      <c r="B28" s="715" t="str" cm="1">
        <f t="array" aca="1" ref="B28" ca="1">INDIRECT("'Definition of Typical Day'!"&amp;ADDRESS(B$16,$E28))</f>
        <v>Winter day</v>
      </c>
      <c r="C28" s="766">
        <v>8</v>
      </c>
      <c r="D28" s="715">
        <f>ROW('Definition of Typical Day'!D42)</f>
        <v>42</v>
      </c>
      <c r="E28" s="715">
        <f t="shared" si="5"/>
        <v>5</v>
      </c>
      <c r="F28" s="767" cm="1">
        <f t="array" aca="1" ref="F28" ca="1">INDIRECT("'Definition of Typical Day'!D"&amp;D28)</f>
        <v>8</v>
      </c>
      <c r="G28" s="767" cm="1">
        <f t="array" aca="1" ref="G28" ca="1">INDIRECT("'Definition of Typical Day'!"&amp;ADDRESS(13,E28))</f>
        <v>1</v>
      </c>
      <c r="H28" s="768" cm="1">
        <f t="array" aca="1" ref="H28" ca="1">INDIRECT("'Definition of Typical Day'!"&amp; ADDRESS($D28+28*(H$16-1),$E28))</f>
        <v>2</v>
      </c>
      <c r="I28" s="715" cm="1">
        <f t="array" aca="1" ref="I28" ca="1">INDIRECT("'Definition of Typical Day'!"&amp; ADDRESS($D28+29*(I$16-1),$E28))</f>
        <v>40</v>
      </c>
      <c r="J28" s="715">
        <f t="shared" ca="1" si="32"/>
        <v>37</v>
      </c>
      <c r="K28" s="785">
        <f t="shared" si="33"/>
        <v>28</v>
      </c>
      <c r="L28" s="786" cm="1">
        <f t="array" aca="1" ref="L28" ca="1">INDIRECT("'Definition of Typical Day'!"&amp; ADDRESS($D28+29*(L$16-1),$E28))</f>
        <v>6</v>
      </c>
      <c r="M28" s="768" cm="1">
        <f t="array" aca="1" ref="M28" ca="1">INDIRECT("'Definition of Typical Day'!"&amp; ADDRESS($D28+29*(M$16-1),$E28))</f>
        <v>95</v>
      </c>
      <c r="N28" s="715">
        <f t="shared" si="34"/>
        <v>3</v>
      </c>
      <c r="O28" s="715">
        <f t="shared" ca="1" si="35"/>
        <v>98</v>
      </c>
      <c r="P28" s="715" cm="1">
        <f t="array" aca="1" ref="P28" ca="1">INDIRECT("'Definition of Typical Day'!"&amp; ADDRESS($D28+29*(P$16-1),$E28))</f>
        <v>45</v>
      </c>
      <c r="Q28" s="787">
        <f t="shared" ca="1" si="36"/>
        <v>48</v>
      </c>
      <c r="R28" s="792">
        <f t="shared" ca="1" si="37"/>
        <v>95</v>
      </c>
      <c r="S28" s="769">
        <f t="shared" si="38"/>
        <v>3</v>
      </c>
      <c r="T28" s="769">
        <f t="shared" ca="1" si="39"/>
        <v>0.24</v>
      </c>
      <c r="U28" s="769">
        <f t="shared" ca="1" si="40"/>
        <v>-0.13</v>
      </c>
      <c r="V28" s="769">
        <f t="shared" ca="1" si="41"/>
        <v>0</v>
      </c>
      <c r="W28" s="769">
        <f t="shared" ca="1" si="42"/>
        <v>3.1100000000000003</v>
      </c>
      <c r="X28" s="794">
        <f t="shared" si="43"/>
        <v>3</v>
      </c>
      <c r="Y28" s="769">
        <f t="shared" ca="1" si="44"/>
        <v>3</v>
      </c>
      <c r="Z28" s="769">
        <f t="shared" ca="1" si="45"/>
        <v>2.9478672985781991</v>
      </c>
      <c r="AA28" s="795">
        <f t="shared" ca="1" si="46"/>
        <v>2.9478672985781991</v>
      </c>
      <c r="AB28" s="769">
        <f t="shared" ca="1" si="47"/>
        <v>3</v>
      </c>
      <c r="AC28" s="769">
        <f t="shared" ca="1" si="48"/>
        <v>0.18816174246243822</v>
      </c>
      <c r="AD28" s="769">
        <f t="shared" ca="1" si="49"/>
        <v>0.18816174246243822</v>
      </c>
      <c r="AE28" s="794">
        <f t="shared" ca="1" si="50"/>
        <v>3.1360290410406373</v>
      </c>
      <c r="AF28" s="769">
        <f t="shared" ca="1" si="51"/>
        <v>3.1360290410406375E-2</v>
      </c>
      <c r="AG28" s="769">
        <f t="shared" ca="1" si="52"/>
        <v>3.1046687506302311</v>
      </c>
      <c r="AH28" s="799">
        <f t="shared" ca="1" si="53"/>
        <v>3.1046687506302311</v>
      </c>
      <c r="AI28" s="801">
        <f t="shared" ca="1" si="54"/>
        <v>1</v>
      </c>
      <c r="AJ28" s="794">
        <f t="shared" ca="1" si="55"/>
        <v>2</v>
      </c>
      <c r="AK28" s="769">
        <f t="shared" ca="1" si="56"/>
        <v>0.94786729857819896</v>
      </c>
      <c r="AL28" s="769">
        <f t="shared" ca="1" si="57"/>
        <v>0.19006236612367497</v>
      </c>
      <c r="AM28" s="804">
        <f t="shared" ca="1" si="6"/>
        <v>5.3333333333333337E-2</v>
      </c>
      <c r="AN28" s="795">
        <f t="shared" ca="1" si="7"/>
        <v>0</v>
      </c>
      <c r="AO28" s="251"/>
      <c r="AP28" s="770">
        <f t="shared" si="58"/>
        <v>0</v>
      </c>
      <c r="AQ28" s="771">
        <f t="shared" ca="1" si="59"/>
        <v>0</v>
      </c>
      <c r="AR28" s="771">
        <f t="shared" ca="1" si="60"/>
        <v>4</v>
      </c>
      <c r="AS28" s="772">
        <f t="shared" ca="1" si="61"/>
        <v>4</v>
      </c>
      <c r="AT28" s="231"/>
      <c r="AU28" s="770">
        <f>'Main Results - IRR DC Operator'!$F$16</f>
        <v>2</v>
      </c>
      <c r="AV28" s="773">
        <f>'Main Results - IRR DC Operator'!$F$15</f>
        <v>1</v>
      </c>
      <c r="AW28" s="771">
        <f t="shared" ca="1" si="62"/>
        <v>4</v>
      </c>
      <c r="AX28" s="772">
        <f t="shared" si="63"/>
        <v>0</v>
      </c>
      <c r="AY28" s="231"/>
      <c r="AZ28" s="770" cm="1">
        <f t="array" aca="1" ref="AZ28" ca="1">INDIRECT("'Definition of Typical Day'!"&amp; ADDRESS($D28+29*(AZ$16-1),$E28))+$AZ$17</f>
        <v>77.900000000000006</v>
      </c>
      <c r="BA28" s="771" cm="1">
        <f t="array" aca="1" ref="BA28" ca="1">INDIRECT("'Definition of Typical Day'!"&amp; ADDRESS($D28+29*(BA$16-1),$E28))+$BA$17</f>
        <v>77.900000000000006</v>
      </c>
      <c r="BB28" s="772" cm="1">
        <f t="array" aca="1" ref="BB28" ca="1">INDIRECT("'Definition of Typical Day'!"&amp;ADDRESS(BB$16,$E28))</f>
        <v>135</v>
      </c>
      <c r="BC28" s="776" cm="1">
        <f t="array" aca="1" ref="BC28" ca="1">INDIRECT("'Definition of Typical Day'!"&amp; ADDRESS($D28+29*(BC$16-1),$E28))</f>
        <v>76.900000000000006</v>
      </c>
      <c r="BD28" s="777" cm="1">
        <f t="array" aca="1" ref="BD28" ca="1">INDIRECT("'Definition of Typical Day'!"&amp; ADDRESS($D28+29*(BD$16-1),$E28))</f>
        <v>0.2</v>
      </c>
      <c r="BE28" s="776">
        <f t="shared" si="64"/>
        <v>0</v>
      </c>
      <c r="BF28" s="771">
        <f t="shared" ca="1" si="75"/>
        <v>73.838862559241704</v>
      </c>
      <c r="BG28" s="771">
        <f t="shared" ca="1" si="65"/>
        <v>8.4672784108097208</v>
      </c>
      <c r="BH28" s="771">
        <f t="shared" ca="1" si="66"/>
        <v>14.805858321034281</v>
      </c>
      <c r="BI28" s="776">
        <f t="shared" ca="1" si="67"/>
        <v>4.1013333333333337</v>
      </c>
      <c r="BJ28" s="776">
        <f t="shared" ca="1" si="68"/>
        <v>0</v>
      </c>
      <c r="BK28" s="776">
        <f t="shared" ca="1" si="69"/>
        <v>0</v>
      </c>
      <c r="BL28" s="776">
        <f t="shared" ca="1" si="70"/>
        <v>0</v>
      </c>
      <c r="BM28" s="135"/>
      <c r="BN28" s="776">
        <f t="shared" ca="1" si="71"/>
        <v>101.11199929108571</v>
      </c>
      <c r="BO28" s="778">
        <f t="shared" ca="1" si="8"/>
        <v>32.567725387953388</v>
      </c>
      <c r="BP28" s="770">
        <f t="shared" ca="1" si="9"/>
        <v>97.111999291085709</v>
      </c>
      <c r="BQ28" s="771">
        <f t="shared" ca="1" si="10"/>
        <v>0</v>
      </c>
      <c r="BR28" s="771">
        <f t="shared" ca="1" si="11"/>
        <v>0</v>
      </c>
      <c r="BS28" s="776">
        <f t="shared" ca="1" si="72"/>
        <v>101.11199929108571</v>
      </c>
      <c r="BT28" s="776">
        <f t="shared" ca="1" si="12"/>
        <v>97.111999291085709</v>
      </c>
      <c r="BU28" s="783">
        <f t="shared" ca="1" si="13"/>
        <v>31.279343173526161</v>
      </c>
      <c r="BV28" s="783">
        <f t="shared" ca="1" si="14"/>
        <v>31.279343173526161</v>
      </c>
      <c r="BW28" s="1019">
        <f t="shared" ca="1" si="73"/>
        <v>31.279343173526161</v>
      </c>
      <c r="BX28" s="771" cm="1">
        <f t="array" aca="1" ref="BX28" ca="1">INDIRECT("'Definition of Typical Day'!"&amp; ADDRESS($D28+29*(BX$16-1),$E28))</f>
        <v>65</v>
      </c>
      <c r="BY28" s="771">
        <f t="shared" ca="1" si="74"/>
        <v>1</v>
      </c>
      <c r="BZ28" s="781">
        <f t="shared" ca="1" si="15"/>
        <v>1</v>
      </c>
      <c r="CA28" s="781">
        <f t="shared" ca="1" si="16"/>
        <v>0.98262243285939965</v>
      </c>
      <c r="CB28" s="776">
        <f t="shared" ca="1" si="17"/>
        <v>201.80346879096501</v>
      </c>
      <c r="CC28" s="782">
        <f t="shared" si="18"/>
        <v>1</v>
      </c>
      <c r="CD28" s="782">
        <f t="shared" si="19"/>
        <v>8</v>
      </c>
      <c r="CE28" s="784" t="str" cm="1">
        <f t="array" aca="1" ref="CE28" ca="1">INDIRECT("'Definition of Typical Day'!"&amp;ADDRESS(CE$16,$E28))</f>
        <v>Winter day</v>
      </c>
      <c r="CF28" s="135"/>
      <c r="CG28" s="135"/>
      <c r="CH28" s="776">
        <f t="shared" ca="1" si="20"/>
        <v>2</v>
      </c>
      <c r="CI28" s="806">
        <f t="shared" ca="1" si="21"/>
        <v>6</v>
      </c>
      <c r="CJ28" s="770">
        <f t="shared" ca="1" si="22"/>
        <v>3.1046687506302311</v>
      </c>
      <c r="CK28" s="771">
        <f t="shared" ca="1" si="23"/>
        <v>2</v>
      </c>
      <c r="CL28" s="771">
        <f t="shared" ca="1" si="24"/>
        <v>0.94786729857819896</v>
      </c>
      <c r="CM28" s="772">
        <f t="shared" ca="1" si="25"/>
        <v>0.19006236612367497</v>
      </c>
      <c r="CN28" s="135"/>
      <c r="CO28" s="770">
        <f t="shared" ca="1" si="26"/>
        <v>1.05</v>
      </c>
      <c r="CP28" s="771">
        <f t="shared" ca="1" si="27"/>
        <v>0.98</v>
      </c>
      <c r="CQ28" s="771">
        <f t="shared" ca="1" si="28"/>
        <v>0.96</v>
      </c>
      <c r="CR28" s="771">
        <f t="shared" ca="1" si="29"/>
        <v>0.95</v>
      </c>
      <c r="CS28" s="771">
        <f t="shared" ca="1" si="30"/>
        <v>1.02</v>
      </c>
      <c r="CT28" s="772">
        <f t="shared" ca="1" si="31"/>
        <v>1.01</v>
      </c>
      <c r="CU28" s="135"/>
      <c r="CV28" s="135"/>
      <c r="CW28" s="135"/>
      <c r="CX28" s="135"/>
      <c r="CY28" s="135"/>
      <c r="CZ28" s="135"/>
      <c r="DA28" s="135"/>
      <c r="DB28" s="135"/>
      <c r="DC28" s="135"/>
      <c r="DD28" s="135"/>
      <c r="DE28" s="135"/>
      <c r="DF28" s="135"/>
      <c r="DG28" s="135"/>
      <c r="DH28" s="135"/>
      <c r="DI28" s="135"/>
      <c r="DJ28" s="135"/>
      <c r="DK28" s="135"/>
      <c r="DL28" s="135"/>
      <c r="DM28" s="135"/>
      <c r="DN28" s="135"/>
      <c r="DO28" s="135"/>
      <c r="DP28" s="135"/>
      <c r="DQ28" s="135"/>
      <c r="DR28" s="135"/>
      <c r="DS28" s="135"/>
      <c r="DT28" s="135"/>
      <c r="DU28" s="135"/>
      <c r="DV28" s="135"/>
      <c r="DX28" s="135"/>
      <c r="DY28" s="135"/>
      <c r="DZ28" s="135"/>
      <c r="EA28" s="135"/>
      <c r="EB28" s="135"/>
      <c r="EC28" s="135"/>
      <c r="ED28" s="135"/>
      <c r="EE28" s="135"/>
      <c r="EF28" s="135"/>
      <c r="EG28" s="135"/>
      <c r="EH28" s="135"/>
      <c r="EI28" s="135"/>
      <c r="EJ28" s="135"/>
      <c r="EK28" s="135"/>
      <c r="EL28" s="135"/>
      <c r="EM28" s="135"/>
      <c r="EN28" s="135"/>
      <c r="EO28" s="135"/>
      <c r="EP28" s="135"/>
      <c r="EQ28" s="135"/>
      <c r="ER28" s="135"/>
      <c r="ES28" s="135"/>
      <c r="ET28" s="135"/>
      <c r="EU28" s="135"/>
      <c r="EV28" s="135"/>
      <c r="EW28" s="135"/>
      <c r="EX28" s="135"/>
      <c r="EY28" s="135"/>
      <c r="EZ28" s="135"/>
      <c r="FA28" s="135"/>
      <c r="FB28" s="135"/>
      <c r="FC28" s="135"/>
      <c r="FD28" s="135"/>
      <c r="FE28" s="135"/>
      <c r="FF28" s="135"/>
      <c r="FG28" s="135"/>
    </row>
    <row r="29" spans="1:163" s="57" customFormat="1" ht="11.25" outlineLevel="1">
      <c r="A29" s="765">
        <v>1</v>
      </c>
      <c r="B29" s="715" t="str" cm="1">
        <f t="array" aca="1" ref="B29" ca="1">INDIRECT("'Definition of Typical Day'!"&amp;ADDRESS(B$16,$E29))</f>
        <v>Winter day</v>
      </c>
      <c r="C29" s="766">
        <v>9</v>
      </c>
      <c r="D29" s="715">
        <f>ROW('Definition of Typical Day'!D43)</f>
        <v>43</v>
      </c>
      <c r="E29" s="715">
        <f t="shared" si="5"/>
        <v>5</v>
      </c>
      <c r="F29" s="767" cm="1">
        <f t="array" aca="1" ref="F29" ca="1">INDIRECT("'Definition of Typical Day'!D"&amp;D29)</f>
        <v>9</v>
      </c>
      <c r="G29" s="767" cm="1">
        <f t="array" aca="1" ref="G29" ca="1">INDIRECT("'Definition of Typical Day'!"&amp;ADDRESS(13,E29))</f>
        <v>1</v>
      </c>
      <c r="H29" s="768" cm="1">
        <f t="array" aca="1" ref="H29" ca="1">INDIRECT("'Definition of Typical Day'!"&amp; ADDRESS($D29+28*(H$16-1),$E29))</f>
        <v>2</v>
      </c>
      <c r="I29" s="715" cm="1">
        <f t="array" aca="1" ref="I29" ca="1">INDIRECT("'Definition of Typical Day'!"&amp; ADDRESS($D29+29*(I$16-1),$E29))</f>
        <v>40</v>
      </c>
      <c r="J29" s="715">
        <f t="shared" ca="1" si="32"/>
        <v>37</v>
      </c>
      <c r="K29" s="785">
        <f t="shared" si="33"/>
        <v>28</v>
      </c>
      <c r="L29" s="786" cm="1">
        <f t="array" aca="1" ref="L29" ca="1">INDIRECT("'Definition of Typical Day'!"&amp; ADDRESS($D29+29*(L$16-1),$E29))</f>
        <v>6</v>
      </c>
      <c r="M29" s="768" cm="1">
        <f t="array" aca="1" ref="M29" ca="1">INDIRECT("'Definition of Typical Day'!"&amp; ADDRESS($D29+29*(M$16-1),$E29))</f>
        <v>93</v>
      </c>
      <c r="N29" s="715">
        <f t="shared" si="34"/>
        <v>3</v>
      </c>
      <c r="O29" s="715">
        <f t="shared" ca="1" si="35"/>
        <v>96</v>
      </c>
      <c r="P29" s="715" cm="1">
        <f t="array" aca="1" ref="P29" ca="1">INDIRECT("'Definition of Typical Day'!"&amp; ADDRESS($D29+29*(P$16-1),$E29))</f>
        <v>45</v>
      </c>
      <c r="Q29" s="787">
        <f t="shared" ca="1" si="36"/>
        <v>48</v>
      </c>
      <c r="R29" s="792">
        <f t="shared" ca="1" si="37"/>
        <v>95</v>
      </c>
      <c r="S29" s="769">
        <f t="shared" si="38"/>
        <v>3</v>
      </c>
      <c r="T29" s="769">
        <f t="shared" ca="1" si="39"/>
        <v>0.24</v>
      </c>
      <c r="U29" s="769">
        <f t="shared" ca="1" si="40"/>
        <v>-0.13</v>
      </c>
      <c r="V29" s="769">
        <f t="shared" ca="1" si="41"/>
        <v>0</v>
      </c>
      <c r="W29" s="769">
        <f t="shared" ca="1" si="42"/>
        <v>3.1100000000000003</v>
      </c>
      <c r="X29" s="794">
        <f t="shared" si="43"/>
        <v>3</v>
      </c>
      <c r="Y29" s="769">
        <f t="shared" ca="1" si="44"/>
        <v>3</v>
      </c>
      <c r="Z29" s="769">
        <f t="shared" ca="1" si="45"/>
        <v>2.9478672985781991</v>
      </c>
      <c r="AA29" s="795">
        <f t="shared" ca="1" si="46"/>
        <v>2.9478672985781991</v>
      </c>
      <c r="AB29" s="769">
        <f t="shared" ca="1" si="47"/>
        <v>1</v>
      </c>
      <c r="AC29" s="769">
        <f t="shared" ca="1" si="48"/>
        <v>6.2720580820812749E-2</v>
      </c>
      <c r="AD29" s="769">
        <f t="shared" ca="1" si="49"/>
        <v>6.2720580820812749E-2</v>
      </c>
      <c r="AE29" s="794">
        <f t="shared" ca="1" si="50"/>
        <v>3.010587879399012</v>
      </c>
      <c r="AF29" s="769">
        <f t="shared" ca="1" si="51"/>
        <v>3.0105878793990119E-2</v>
      </c>
      <c r="AG29" s="769">
        <f t="shared" ca="1" si="52"/>
        <v>2.9804820006050217</v>
      </c>
      <c r="AH29" s="799">
        <f t="shared" ca="1" si="53"/>
        <v>2.9804820006050217</v>
      </c>
      <c r="AI29" s="801">
        <f t="shared" ca="1" si="54"/>
        <v>1</v>
      </c>
      <c r="AJ29" s="794">
        <f t="shared" ca="1" si="55"/>
        <v>2</v>
      </c>
      <c r="AK29" s="769">
        <f t="shared" ca="1" si="56"/>
        <v>0.94786729857819896</v>
      </c>
      <c r="AL29" s="769">
        <f t="shared" ca="1" si="57"/>
        <v>6.3354122041224994E-2</v>
      </c>
      <c r="AM29" s="804">
        <f t="shared" ca="1" si="6"/>
        <v>5.3333333333333337E-2</v>
      </c>
      <c r="AN29" s="795">
        <f t="shared" ca="1" si="7"/>
        <v>0</v>
      </c>
      <c r="AO29" s="251"/>
      <c r="AP29" s="770">
        <f t="shared" si="58"/>
        <v>0</v>
      </c>
      <c r="AQ29" s="771">
        <f t="shared" ca="1" si="59"/>
        <v>0</v>
      </c>
      <c r="AR29" s="771">
        <f t="shared" ca="1" si="60"/>
        <v>4</v>
      </c>
      <c r="AS29" s="772">
        <f t="shared" ca="1" si="61"/>
        <v>4</v>
      </c>
      <c r="AT29" s="231"/>
      <c r="AU29" s="770">
        <f>'Main Results - IRR DC Operator'!$F$16</f>
        <v>2</v>
      </c>
      <c r="AV29" s="773">
        <f>'Main Results - IRR DC Operator'!$F$15</f>
        <v>1</v>
      </c>
      <c r="AW29" s="771">
        <f t="shared" ca="1" si="62"/>
        <v>4</v>
      </c>
      <c r="AX29" s="772">
        <f t="shared" si="63"/>
        <v>0</v>
      </c>
      <c r="AY29" s="231"/>
      <c r="AZ29" s="770" cm="1">
        <f t="array" aca="1" ref="AZ29" ca="1">INDIRECT("'Definition of Typical Day'!"&amp; ADDRESS($D29+29*(AZ$16-1),$E29))+$AZ$17</f>
        <v>85.82</v>
      </c>
      <c r="BA29" s="771" cm="1">
        <f t="array" aca="1" ref="BA29" ca="1">INDIRECT("'Definition of Typical Day'!"&amp; ADDRESS($D29+29*(BA$16-1),$E29))+$BA$17</f>
        <v>85.82</v>
      </c>
      <c r="BB29" s="772" cm="1">
        <f t="array" aca="1" ref="BB29" ca="1">INDIRECT("'Definition of Typical Day'!"&amp;ADDRESS(BB$16,$E29))</f>
        <v>135</v>
      </c>
      <c r="BC29" s="776" cm="1">
        <f t="array" aca="1" ref="BC29" ca="1">INDIRECT("'Definition of Typical Day'!"&amp; ADDRESS($D29+29*(BC$16-1),$E29))</f>
        <v>84.82</v>
      </c>
      <c r="BD29" s="777" cm="1">
        <f t="array" aca="1" ref="BD29" ca="1">INDIRECT("'Definition of Typical Day'!"&amp; ADDRESS($D29+29*(BD$16-1),$E29))</f>
        <v>0.2</v>
      </c>
      <c r="BE29" s="776">
        <f t="shared" si="64"/>
        <v>0</v>
      </c>
      <c r="BF29" s="771">
        <f t="shared" ca="1" si="75"/>
        <v>81.345971563981024</v>
      </c>
      <c r="BG29" s="771">
        <f t="shared" ca="1" si="65"/>
        <v>8.1285872743773329</v>
      </c>
      <c r="BH29" s="771">
        <f t="shared" ca="1" si="66"/>
        <v>5.4370507535779282</v>
      </c>
      <c r="BI29" s="776">
        <f t="shared" ca="1" si="67"/>
        <v>4.5237333333333334</v>
      </c>
      <c r="BJ29" s="776">
        <f t="shared" ca="1" si="68"/>
        <v>0</v>
      </c>
      <c r="BK29" s="776">
        <f t="shared" ca="1" si="69"/>
        <v>0</v>
      </c>
      <c r="BL29" s="776">
        <f t="shared" ca="1" si="70"/>
        <v>0</v>
      </c>
      <c r="BM29" s="135"/>
      <c r="BN29" s="776">
        <f t="shared" ca="1" si="71"/>
        <v>98.911609591936298</v>
      </c>
      <c r="BO29" s="778">
        <f t="shared" ca="1" si="8"/>
        <v>33.186447551724108</v>
      </c>
      <c r="BP29" s="770">
        <f t="shared" ca="1" si="9"/>
        <v>94.911609591936298</v>
      </c>
      <c r="BQ29" s="771">
        <f t="shared" ca="1" si="10"/>
        <v>0</v>
      </c>
      <c r="BR29" s="771">
        <f t="shared" ca="1" si="11"/>
        <v>0</v>
      </c>
      <c r="BS29" s="776">
        <f t="shared" ca="1" si="72"/>
        <v>98.911609591936298</v>
      </c>
      <c r="BT29" s="776">
        <f t="shared" ca="1" si="12"/>
        <v>94.911609591936298</v>
      </c>
      <c r="BU29" s="783">
        <f t="shared" ca="1" si="13"/>
        <v>31.844382745029076</v>
      </c>
      <c r="BV29" s="783">
        <f t="shared" ca="1" si="14"/>
        <v>31.844382745029076</v>
      </c>
      <c r="BW29" s="1019">
        <f t="shared" ca="1" si="73"/>
        <v>31.844382745029076</v>
      </c>
      <c r="BX29" s="771" cm="1">
        <f t="array" aca="1" ref="BX29" ca="1">INDIRECT("'Definition of Typical Day'!"&amp; ADDRESS($D29+29*(BX$16-1),$E29))</f>
        <v>65</v>
      </c>
      <c r="BY29" s="771">
        <f t="shared" ca="1" si="74"/>
        <v>1</v>
      </c>
      <c r="BZ29" s="781">
        <f t="shared" ca="1" si="15"/>
        <v>1</v>
      </c>
      <c r="CA29" s="781">
        <f t="shared" ca="1" si="16"/>
        <v>0.98262243285939965</v>
      </c>
      <c r="CB29" s="776">
        <f t="shared" ca="1" si="17"/>
        <v>193.73133003932639</v>
      </c>
      <c r="CC29" s="782">
        <f t="shared" si="18"/>
        <v>1</v>
      </c>
      <c r="CD29" s="782">
        <f t="shared" si="19"/>
        <v>9</v>
      </c>
      <c r="CE29" s="784" t="str" cm="1">
        <f t="array" aca="1" ref="CE29" ca="1">INDIRECT("'Definition of Typical Day'!"&amp;ADDRESS(CE$16,$E29))</f>
        <v>Winter day</v>
      </c>
      <c r="CF29" s="135"/>
      <c r="CG29" s="135"/>
      <c r="CH29" s="776">
        <f t="shared" ca="1" si="20"/>
        <v>2</v>
      </c>
      <c r="CI29" s="806">
        <f t="shared" ca="1" si="21"/>
        <v>6</v>
      </c>
      <c r="CJ29" s="770">
        <f t="shared" ca="1" si="22"/>
        <v>2.9804820006050217</v>
      </c>
      <c r="CK29" s="771">
        <f t="shared" ca="1" si="23"/>
        <v>2</v>
      </c>
      <c r="CL29" s="771">
        <f t="shared" ca="1" si="24"/>
        <v>0.94786729857819896</v>
      </c>
      <c r="CM29" s="772">
        <f t="shared" ca="1" si="25"/>
        <v>6.3354122041224994E-2</v>
      </c>
      <c r="CN29" s="135"/>
      <c r="CO29" s="770">
        <f t="shared" ca="1" si="26"/>
        <v>1.05</v>
      </c>
      <c r="CP29" s="771">
        <f t="shared" ca="1" si="27"/>
        <v>0.98</v>
      </c>
      <c r="CQ29" s="771">
        <f t="shared" ca="1" si="28"/>
        <v>0.96</v>
      </c>
      <c r="CR29" s="771">
        <f t="shared" ca="1" si="29"/>
        <v>0.95</v>
      </c>
      <c r="CS29" s="771">
        <f t="shared" ca="1" si="30"/>
        <v>1.02</v>
      </c>
      <c r="CT29" s="772">
        <f t="shared" ca="1" si="31"/>
        <v>1.01</v>
      </c>
      <c r="CU29" s="135"/>
      <c r="CV29" s="135"/>
      <c r="CW29" s="135"/>
      <c r="CX29" s="135"/>
      <c r="CY29" s="135"/>
      <c r="CZ29" s="135"/>
      <c r="DA29" s="135"/>
      <c r="DB29" s="135"/>
      <c r="DC29" s="135"/>
      <c r="DD29" s="135"/>
      <c r="DE29" s="135"/>
      <c r="DF29" s="135"/>
      <c r="DG29" s="135"/>
      <c r="DH29" s="135"/>
      <c r="DI29" s="135"/>
      <c r="DJ29" s="135"/>
      <c r="DK29" s="135"/>
      <c r="DL29" s="135"/>
      <c r="DM29" s="135"/>
      <c r="DN29" s="135"/>
      <c r="DO29" s="135"/>
      <c r="DP29" s="135"/>
      <c r="DQ29" s="135"/>
      <c r="DR29" s="135"/>
      <c r="DS29" s="135"/>
      <c r="DT29" s="135"/>
      <c r="DU29" s="135"/>
      <c r="DV29" s="135"/>
      <c r="DX29" s="135"/>
      <c r="DY29" s="135"/>
      <c r="DZ29" s="135"/>
      <c r="EA29" s="135"/>
      <c r="EB29" s="135"/>
      <c r="EC29" s="135"/>
      <c r="ED29" s="135"/>
      <c r="EE29" s="135"/>
      <c r="EF29" s="135"/>
      <c r="EG29" s="135"/>
      <c r="EH29" s="135"/>
      <c r="EI29" s="135"/>
      <c r="EJ29" s="135"/>
      <c r="EK29" s="135"/>
      <c r="EL29" s="135"/>
      <c r="EM29" s="135"/>
      <c r="EN29" s="135"/>
      <c r="EO29" s="135"/>
      <c r="EP29" s="135"/>
      <c r="EQ29" s="135"/>
      <c r="ER29" s="135"/>
      <c r="ES29" s="135"/>
      <c r="ET29" s="135"/>
      <c r="EU29" s="135"/>
      <c r="EV29" s="135"/>
      <c r="EW29" s="135"/>
      <c r="EX29" s="135"/>
      <c r="EY29" s="135"/>
      <c r="EZ29" s="135"/>
      <c r="FA29" s="135"/>
      <c r="FB29" s="135"/>
      <c r="FC29" s="135"/>
      <c r="FD29" s="135"/>
      <c r="FE29" s="135"/>
      <c r="FF29" s="135"/>
      <c r="FG29" s="135"/>
    </row>
    <row r="30" spans="1:163" s="57" customFormat="1" ht="11.25" outlineLevel="1">
      <c r="A30" s="765">
        <v>1</v>
      </c>
      <c r="B30" s="715" t="str" cm="1">
        <f t="array" aca="1" ref="B30" ca="1">INDIRECT("'Definition of Typical Day'!"&amp;ADDRESS(B$16,$E30))</f>
        <v>Winter day</v>
      </c>
      <c r="C30" s="766">
        <v>10</v>
      </c>
      <c r="D30" s="715">
        <f>ROW('Definition of Typical Day'!D44)</f>
        <v>44</v>
      </c>
      <c r="E30" s="715">
        <f t="shared" si="5"/>
        <v>5</v>
      </c>
      <c r="F30" s="767" cm="1">
        <f t="array" aca="1" ref="F30" ca="1">INDIRECT("'Definition of Typical Day'!D"&amp;D30)</f>
        <v>10</v>
      </c>
      <c r="G30" s="767" cm="1">
        <f t="array" aca="1" ref="G30" ca="1">INDIRECT("'Definition of Typical Day'!"&amp;ADDRESS(13,E30))</f>
        <v>1</v>
      </c>
      <c r="H30" s="768" cm="1">
        <f t="array" aca="1" ref="H30" ca="1">INDIRECT("'Definition of Typical Day'!"&amp; ADDRESS($D30+28*(H$16-1),$E30))</f>
        <v>2</v>
      </c>
      <c r="I30" s="715" cm="1">
        <f t="array" aca="1" ref="I30" ca="1">INDIRECT("'Definition of Typical Day'!"&amp; ADDRESS($D30+29*(I$16-1),$E30))</f>
        <v>40</v>
      </c>
      <c r="J30" s="715">
        <f t="shared" ca="1" si="32"/>
        <v>37</v>
      </c>
      <c r="K30" s="785">
        <f t="shared" si="33"/>
        <v>28</v>
      </c>
      <c r="L30" s="786" cm="1">
        <f t="array" aca="1" ref="L30" ca="1">INDIRECT("'Definition of Typical Day'!"&amp; ADDRESS($D30+29*(L$16-1),$E30))</f>
        <v>6</v>
      </c>
      <c r="M30" s="768" cm="1">
        <f t="array" aca="1" ref="M30" ca="1">INDIRECT("'Definition of Typical Day'!"&amp; ADDRESS($D30+29*(M$16-1),$E30))</f>
        <v>92</v>
      </c>
      <c r="N30" s="715">
        <f t="shared" si="34"/>
        <v>3</v>
      </c>
      <c r="O30" s="715">
        <f t="shared" ca="1" si="35"/>
        <v>95</v>
      </c>
      <c r="P30" s="715" cm="1">
        <f t="array" aca="1" ref="P30" ca="1">INDIRECT("'Definition of Typical Day'!"&amp; ADDRESS($D30+29*(P$16-1),$E30))</f>
        <v>45</v>
      </c>
      <c r="Q30" s="787">
        <f t="shared" ca="1" si="36"/>
        <v>48</v>
      </c>
      <c r="R30" s="792">
        <f t="shared" ca="1" si="37"/>
        <v>95</v>
      </c>
      <c r="S30" s="769">
        <f t="shared" si="38"/>
        <v>3</v>
      </c>
      <c r="T30" s="769">
        <f t="shared" ca="1" si="39"/>
        <v>0.24</v>
      </c>
      <c r="U30" s="769">
        <f t="shared" ca="1" si="40"/>
        <v>-0.13</v>
      </c>
      <c r="V30" s="769">
        <f t="shared" ca="1" si="41"/>
        <v>0</v>
      </c>
      <c r="W30" s="769">
        <f t="shared" ca="1" si="42"/>
        <v>3.1100000000000003</v>
      </c>
      <c r="X30" s="794">
        <f t="shared" si="43"/>
        <v>3</v>
      </c>
      <c r="Y30" s="769">
        <f t="shared" ca="1" si="44"/>
        <v>3</v>
      </c>
      <c r="Z30" s="769">
        <f t="shared" ca="1" si="45"/>
        <v>2.9478672985781991</v>
      </c>
      <c r="AA30" s="795">
        <f t="shared" ca="1" si="46"/>
        <v>2.9478672985781991</v>
      </c>
      <c r="AB30" s="769">
        <f t="shared" ca="1" si="47"/>
        <v>0</v>
      </c>
      <c r="AC30" s="769">
        <f t="shared" ca="1" si="48"/>
        <v>0</v>
      </c>
      <c r="AD30" s="769">
        <f t="shared" ca="1" si="49"/>
        <v>0</v>
      </c>
      <c r="AE30" s="794">
        <f t="shared" ca="1" si="50"/>
        <v>2.9478672985781991</v>
      </c>
      <c r="AF30" s="769">
        <f t="shared" ca="1" si="51"/>
        <v>2.9478672985781992E-2</v>
      </c>
      <c r="AG30" s="769">
        <f t="shared" ca="1" si="52"/>
        <v>2.9183886255924172</v>
      </c>
      <c r="AH30" s="799">
        <f t="shared" ca="1" si="53"/>
        <v>2.9183886255924172</v>
      </c>
      <c r="AI30" s="801">
        <f t="shared" ca="1" si="54"/>
        <v>1</v>
      </c>
      <c r="AJ30" s="794">
        <f t="shared" ca="1" si="55"/>
        <v>2</v>
      </c>
      <c r="AK30" s="769">
        <f t="shared" ca="1" si="56"/>
        <v>0.94786729857819896</v>
      </c>
      <c r="AL30" s="769">
        <f t="shared" ca="1" si="57"/>
        <v>0</v>
      </c>
      <c r="AM30" s="804">
        <f t="shared" ca="1" si="6"/>
        <v>5.3333333333333337E-2</v>
      </c>
      <c r="AN30" s="795">
        <f t="shared" ca="1" si="7"/>
        <v>0</v>
      </c>
      <c r="AO30" s="251"/>
      <c r="AP30" s="770">
        <f t="shared" si="58"/>
        <v>0</v>
      </c>
      <c r="AQ30" s="771">
        <f t="shared" ca="1" si="59"/>
        <v>0</v>
      </c>
      <c r="AR30" s="771">
        <f t="shared" ca="1" si="60"/>
        <v>4</v>
      </c>
      <c r="AS30" s="772">
        <f t="shared" ca="1" si="61"/>
        <v>4</v>
      </c>
      <c r="AT30" s="231"/>
      <c r="AU30" s="770">
        <f>'Main Results - IRR DC Operator'!$F$16</f>
        <v>2</v>
      </c>
      <c r="AV30" s="773">
        <f>'Main Results - IRR DC Operator'!$F$15</f>
        <v>1</v>
      </c>
      <c r="AW30" s="771">
        <f t="shared" ca="1" si="62"/>
        <v>4</v>
      </c>
      <c r="AX30" s="772">
        <f t="shared" si="63"/>
        <v>0</v>
      </c>
      <c r="AY30" s="231"/>
      <c r="AZ30" s="770" cm="1">
        <f t="array" aca="1" ref="AZ30" ca="1">INDIRECT("'Definition of Typical Day'!"&amp; ADDRESS($D30+29*(AZ$16-1),$E30))+$AZ$17</f>
        <v>88.9</v>
      </c>
      <c r="BA30" s="771" cm="1">
        <f t="array" aca="1" ref="BA30" ca="1">INDIRECT("'Definition of Typical Day'!"&amp; ADDRESS($D30+29*(BA$16-1),$E30))+$BA$17</f>
        <v>88.9</v>
      </c>
      <c r="BB30" s="772" cm="1">
        <f t="array" aca="1" ref="BB30" ca="1">INDIRECT("'Definition of Typical Day'!"&amp;ADDRESS(BB$16,$E30))</f>
        <v>135</v>
      </c>
      <c r="BC30" s="776" cm="1">
        <f t="array" aca="1" ref="BC30" ca="1">INDIRECT("'Definition of Typical Day'!"&amp; ADDRESS($D30+29*(BC$16-1),$E30))</f>
        <v>87.9</v>
      </c>
      <c r="BD30" s="777" cm="1">
        <f t="array" aca="1" ref="BD30" ca="1">INDIRECT("'Definition of Typical Day'!"&amp; ADDRESS($D30+29*(BD$16-1),$E30))</f>
        <v>0.2</v>
      </c>
      <c r="BE30" s="776">
        <f t="shared" si="64"/>
        <v>0</v>
      </c>
      <c r="BF30" s="771">
        <f t="shared" ca="1" si="75"/>
        <v>84.26540284360189</v>
      </c>
      <c r="BG30" s="771">
        <f t="shared" ca="1" si="65"/>
        <v>7.959241706161138</v>
      </c>
      <c r="BH30" s="771">
        <f t="shared" ca="1" si="66"/>
        <v>0</v>
      </c>
      <c r="BI30" s="776">
        <f t="shared" ca="1" si="67"/>
        <v>4.6880000000000006</v>
      </c>
      <c r="BJ30" s="776">
        <f t="shared" ca="1" si="68"/>
        <v>0</v>
      </c>
      <c r="BK30" s="776">
        <f t="shared" ca="1" si="69"/>
        <v>0</v>
      </c>
      <c r="BL30" s="776">
        <f t="shared" ca="1" si="70"/>
        <v>0</v>
      </c>
      <c r="BM30" s="135"/>
      <c r="BN30" s="776">
        <f t="shared" ca="1" si="71"/>
        <v>96.224644549763028</v>
      </c>
      <c r="BO30" s="778">
        <f t="shared" ca="1" si="8"/>
        <v>32.971840592419369</v>
      </c>
      <c r="BP30" s="770">
        <f t="shared" ca="1" si="9"/>
        <v>92.224644549763028</v>
      </c>
      <c r="BQ30" s="771">
        <f t="shared" ca="1" si="10"/>
        <v>0</v>
      </c>
      <c r="BR30" s="771">
        <f t="shared" ca="1" si="11"/>
        <v>0</v>
      </c>
      <c r="BS30" s="776">
        <f t="shared" ca="1" si="72"/>
        <v>96.224644549763028</v>
      </c>
      <c r="BT30" s="776">
        <f t="shared" ca="1" si="12"/>
        <v>92.224644549763028</v>
      </c>
      <c r="BU30" s="783">
        <f t="shared" ca="1" si="13"/>
        <v>31.601221215369122</v>
      </c>
      <c r="BV30" s="783">
        <f t="shared" ca="1" si="14"/>
        <v>31.601221215369122</v>
      </c>
      <c r="BW30" s="1019">
        <f t="shared" ca="1" si="73"/>
        <v>31.601221215369122</v>
      </c>
      <c r="BX30" s="771" cm="1">
        <f t="array" aca="1" ref="BX30" ca="1">INDIRECT("'Definition of Typical Day'!"&amp; ADDRESS($D30+29*(BX$16-1),$E30))</f>
        <v>65</v>
      </c>
      <c r="BY30" s="771">
        <f t="shared" ca="1" si="74"/>
        <v>1</v>
      </c>
      <c r="BZ30" s="781">
        <f t="shared" ca="1" si="15"/>
        <v>1</v>
      </c>
      <c r="CA30" s="781">
        <f t="shared" ca="1" si="16"/>
        <v>0.98262243285939965</v>
      </c>
      <c r="CB30" s="776">
        <f t="shared" ca="1" si="17"/>
        <v>189.69526066350713</v>
      </c>
      <c r="CC30" s="782">
        <f t="shared" si="18"/>
        <v>1</v>
      </c>
      <c r="CD30" s="782">
        <f t="shared" si="19"/>
        <v>10</v>
      </c>
      <c r="CE30" s="784" t="str" cm="1">
        <f t="array" aca="1" ref="CE30" ca="1">INDIRECT("'Definition of Typical Day'!"&amp;ADDRESS(CE$16,$E30))</f>
        <v>Winter day</v>
      </c>
      <c r="CF30" s="135"/>
      <c r="CG30" s="135"/>
      <c r="CH30" s="776">
        <f t="shared" ca="1" si="20"/>
        <v>2</v>
      </c>
      <c r="CI30" s="806">
        <f t="shared" ca="1" si="21"/>
        <v>6</v>
      </c>
      <c r="CJ30" s="770">
        <f t="shared" ca="1" si="22"/>
        <v>2.9183886255924172</v>
      </c>
      <c r="CK30" s="771">
        <f t="shared" ca="1" si="23"/>
        <v>2</v>
      </c>
      <c r="CL30" s="771">
        <f t="shared" ca="1" si="24"/>
        <v>0.94786729857819896</v>
      </c>
      <c r="CM30" s="772">
        <f t="shared" ca="1" si="25"/>
        <v>0</v>
      </c>
      <c r="CN30" s="135"/>
      <c r="CO30" s="770">
        <f t="shared" ca="1" si="26"/>
        <v>1.05</v>
      </c>
      <c r="CP30" s="771">
        <f t="shared" ca="1" si="27"/>
        <v>0.98</v>
      </c>
      <c r="CQ30" s="771">
        <f t="shared" ca="1" si="28"/>
        <v>0.96</v>
      </c>
      <c r="CR30" s="771">
        <f t="shared" ca="1" si="29"/>
        <v>0.95</v>
      </c>
      <c r="CS30" s="771">
        <f t="shared" ca="1" si="30"/>
        <v>1.02</v>
      </c>
      <c r="CT30" s="772">
        <f t="shared" ca="1" si="31"/>
        <v>0.02</v>
      </c>
      <c r="CU30" s="135"/>
      <c r="CV30" s="135"/>
      <c r="CW30" s="135"/>
      <c r="CX30" s="135"/>
      <c r="CY30" s="135"/>
      <c r="CZ30" s="135"/>
      <c r="DA30" s="135"/>
      <c r="DB30" s="135"/>
      <c r="DC30" s="135"/>
      <c r="DD30" s="135"/>
      <c r="DE30" s="135"/>
      <c r="DF30" s="135"/>
      <c r="DG30" s="135"/>
      <c r="DH30" s="135"/>
      <c r="DI30" s="135"/>
      <c r="DJ30" s="135"/>
      <c r="DK30" s="135"/>
      <c r="DL30" s="135"/>
      <c r="DM30" s="135"/>
      <c r="DN30" s="135"/>
      <c r="DO30" s="135"/>
      <c r="DP30" s="135"/>
      <c r="DQ30" s="135"/>
      <c r="DR30" s="135"/>
      <c r="DS30" s="135"/>
      <c r="DT30" s="135"/>
      <c r="DU30" s="135"/>
      <c r="DV30" s="135"/>
      <c r="DX30" s="135"/>
      <c r="DY30" s="135"/>
      <c r="DZ30" s="135"/>
      <c r="EA30" s="135"/>
      <c r="EB30" s="135"/>
      <c r="EC30" s="135"/>
      <c r="ED30" s="135"/>
      <c r="EE30" s="135"/>
      <c r="EF30" s="135"/>
      <c r="EG30" s="135"/>
      <c r="EH30" s="135"/>
      <c r="EI30" s="135"/>
      <c r="EJ30" s="135"/>
      <c r="EK30" s="135"/>
      <c r="EL30" s="135"/>
      <c r="EM30" s="135"/>
      <c r="EN30" s="135"/>
      <c r="EO30" s="135"/>
      <c r="EP30" s="135"/>
      <c r="EQ30" s="135"/>
      <c r="ER30" s="135"/>
      <c r="ES30" s="135"/>
      <c r="ET30" s="135"/>
      <c r="EU30" s="135"/>
      <c r="EV30" s="135"/>
      <c r="EW30" s="135"/>
      <c r="EX30" s="135"/>
      <c r="EY30" s="135"/>
      <c r="EZ30" s="135"/>
      <c r="FA30" s="135"/>
      <c r="FB30" s="135"/>
      <c r="FC30" s="135"/>
      <c r="FD30" s="135"/>
      <c r="FE30" s="135"/>
      <c r="FF30" s="135"/>
      <c r="FG30" s="135"/>
    </row>
    <row r="31" spans="1:163" s="57" customFormat="1" ht="11.25" outlineLevel="1">
      <c r="A31" s="765">
        <v>1</v>
      </c>
      <c r="B31" s="715" t="str" cm="1">
        <f t="array" aca="1" ref="B31" ca="1">INDIRECT("'Definition of Typical Day'!"&amp;ADDRESS(B$16,$E31))</f>
        <v>Winter day</v>
      </c>
      <c r="C31" s="766">
        <v>11</v>
      </c>
      <c r="D31" s="715">
        <f>ROW('Definition of Typical Day'!D45)</f>
        <v>45</v>
      </c>
      <c r="E31" s="715">
        <f t="shared" si="5"/>
        <v>5</v>
      </c>
      <c r="F31" s="767" cm="1">
        <f t="array" aca="1" ref="F31" ca="1">INDIRECT("'Definition of Typical Day'!D"&amp;D31)</f>
        <v>11</v>
      </c>
      <c r="G31" s="767" cm="1">
        <f t="array" aca="1" ref="G31" ca="1">INDIRECT("'Definition of Typical Day'!"&amp;ADDRESS(13,E31))</f>
        <v>1</v>
      </c>
      <c r="H31" s="768" cm="1">
        <f t="array" aca="1" ref="H31" ca="1">INDIRECT("'Definition of Typical Day'!"&amp; ADDRESS($D31+28*(H$16-1),$E31))</f>
        <v>2</v>
      </c>
      <c r="I31" s="715" cm="1">
        <f t="array" aca="1" ref="I31" ca="1">INDIRECT("'Definition of Typical Day'!"&amp; ADDRESS($D31+29*(I$16-1),$E31))</f>
        <v>40</v>
      </c>
      <c r="J31" s="715">
        <f t="shared" ca="1" si="32"/>
        <v>37</v>
      </c>
      <c r="K31" s="785">
        <f t="shared" si="33"/>
        <v>28</v>
      </c>
      <c r="L31" s="786" cm="1">
        <f t="array" aca="1" ref="L31" ca="1">INDIRECT("'Definition of Typical Day'!"&amp; ADDRESS($D31+29*(L$16-1),$E31))</f>
        <v>6</v>
      </c>
      <c r="M31" s="768" cm="1">
        <f t="array" aca="1" ref="M31" ca="1">INDIRECT("'Definition of Typical Day'!"&amp; ADDRESS($D31+29*(M$16-1),$E31))</f>
        <v>88</v>
      </c>
      <c r="N31" s="715">
        <f t="shared" si="34"/>
        <v>3</v>
      </c>
      <c r="O31" s="715">
        <f t="shared" ca="1" si="35"/>
        <v>91</v>
      </c>
      <c r="P31" s="715" cm="1">
        <f t="array" aca="1" ref="P31" ca="1">INDIRECT("'Definition of Typical Day'!"&amp; ADDRESS($D31+29*(P$16-1),$E31))</f>
        <v>45</v>
      </c>
      <c r="Q31" s="787">
        <f t="shared" ca="1" si="36"/>
        <v>48</v>
      </c>
      <c r="R31" s="792">
        <f t="shared" ca="1" si="37"/>
        <v>91</v>
      </c>
      <c r="S31" s="769">
        <f t="shared" si="38"/>
        <v>3</v>
      </c>
      <c r="T31" s="769">
        <f t="shared" ca="1" si="39"/>
        <v>0.24</v>
      </c>
      <c r="U31" s="769">
        <f t="shared" ca="1" si="40"/>
        <v>-2.5999999999999999E-2</v>
      </c>
      <c r="V31" s="769">
        <f t="shared" ca="1" si="41"/>
        <v>0</v>
      </c>
      <c r="W31" s="769">
        <f t="shared" ca="1" si="42"/>
        <v>3.2140000000000004</v>
      </c>
      <c r="X31" s="794">
        <f t="shared" si="43"/>
        <v>3</v>
      </c>
      <c r="Y31" s="769">
        <f t="shared" ca="1" si="44"/>
        <v>3</v>
      </c>
      <c r="Z31" s="769">
        <f t="shared" ca="1" si="45"/>
        <v>2.9033423667570006</v>
      </c>
      <c r="AA31" s="795">
        <f t="shared" ca="1" si="46"/>
        <v>2.9033423667570006</v>
      </c>
      <c r="AB31" s="769">
        <f t="shared" ca="1" si="47"/>
        <v>0</v>
      </c>
      <c r="AC31" s="769">
        <f t="shared" ca="1" si="48"/>
        <v>0</v>
      </c>
      <c r="AD31" s="769">
        <f t="shared" ca="1" si="49"/>
        <v>0</v>
      </c>
      <c r="AE31" s="794">
        <f t="shared" ca="1" si="50"/>
        <v>2.9033423667570006</v>
      </c>
      <c r="AF31" s="769">
        <f t="shared" ca="1" si="51"/>
        <v>2.9033423667570005E-2</v>
      </c>
      <c r="AG31" s="769">
        <f t="shared" ca="1" si="52"/>
        <v>2.8743089430894306</v>
      </c>
      <c r="AH31" s="799">
        <f t="shared" ca="1" si="53"/>
        <v>2.8743089430894306</v>
      </c>
      <c r="AI31" s="801">
        <f t="shared" ca="1" si="54"/>
        <v>1</v>
      </c>
      <c r="AJ31" s="794">
        <f t="shared" ca="1" si="55"/>
        <v>2</v>
      </c>
      <c r="AK31" s="769">
        <f t="shared" ca="1" si="56"/>
        <v>0.90334236675700075</v>
      </c>
      <c r="AL31" s="769">
        <f t="shared" ca="1" si="57"/>
        <v>0</v>
      </c>
      <c r="AM31" s="804">
        <f t="shared" ca="1" si="6"/>
        <v>9.3333333333333324E-2</v>
      </c>
      <c r="AN31" s="795">
        <f t="shared" ca="1" si="7"/>
        <v>0</v>
      </c>
      <c r="AO31" s="251"/>
      <c r="AP31" s="770">
        <f t="shared" si="58"/>
        <v>0</v>
      </c>
      <c r="AQ31" s="771">
        <f t="shared" ca="1" si="59"/>
        <v>0</v>
      </c>
      <c r="AR31" s="771">
        <f t="shared" ca="1" si="60"/>
        <v>4</v>
      </c>
      <c r="AS31" s="772">
        <f t="shared" ca="1" si="61"/>
        <v>4</v>
      </c>
      <c r="AT31" s="231"/>
      <c r="AU31" s="770">
        <f>'Main Results - IRR DC Operator'!$F$16</f>
        <v>2</v>
      </c>
      <c r="AV31" s="773">
        <f>'Main Results - IRR DC Operator'!$F$15</f>
        <v>1</v>
      </c>
      <c r="AW31" s="771">
        <f t="shared" ca="1" si="62"/>
        <v>4</v>
      </c>
      <c r="AX31" s="772">
        <f t="shared" si="63"/>
        <v>0</v>
      </c>
      <c r="AY31" s="231"/>
      <c r="AZ31" s="770" cm="1">
        <f t="array" aca="1" ref="AZ31" ca="1">INDIRECT("'Definition of Typical Day'!"&amp; ADDRESS($D31+29*(AZ$16-1),$E31))+$AZ$17</f>
        <v>82.8</v>
      </c>
      <c r="BA31" s="771" cm="1">
        <f t="array" aca="1" ref="BA31" ca="1">INDIRECT("'Definition of Typical Day'!"&amp; ADDRESS($D31+29*(BA$16-1),$E31))+$BA$17</f>
        <v>82.8</v>
      </c>
      <c r="BB31" s="772" cm="1">
        <f t="array" aca="1" ref="BB31" ca="1">INDIRECT("'Definition of Typical Day'!"&amp;ADDRESS(BB$16,$E31))</f>
        <v>135</v>
      </c>
      <c r="BC31" s="776" cm="1">
        <f t="array" aca="1" ref="BC31" ca="1">INDIRECT("'Definition of Typical Day'!"&amp; ADDRESS($D31+29*(BC$16-1),$E31))</f>
        <v>81.8</v>
      </c>
      <c r="BD31" s="777" cm="1">
        <f t="array" aca="1" ref="BD31" ca="1">INDIRECT("'Definition of Typical Day'!"&amp; ADDRESS($D31+29*(BD$16-1),$E31))</f>
        <v>0.35</v>
      </c>
      <c r="BE31" s="776">
        <f t="shared" si="64"/>
        <v>0</v>
      </c>
      <c r="BF31" s="771">
        <f t="shared" ca="1" si="75"/>
        <v>74.796747967479661</v>
      </c>
      <c r="BG31" s="771">
        <f t="shared" ca="1" si="65"/>
        <v>7.8390243902439014</v>
      </c>
      <c r="BH31" s="771">
        <f t="shared" ca="1" si="66"/>
        <v>0</v>
      </c>
      <c r="BI31" s="776">
        <f t="shared" ca="1" si="67"/>
        <v>7.634666666666666</v>
      </c>
      <c r="BJ31" s="776">
        <f t="shared" ca="1" si="68"/>
        <v>0</v>
      </c>
      <c r="BK31" s="776">
        <f t="shared" ca="1" si="69"/>
        <v>0</v>
      </c>
      <c r="BL31" s="776">
        <f t="shared" ca="1" si="70"/>
        <v>0</v>
      </c>
      <c r="BM31" s="135"/>
      <c r="BN31" s="776">
        <f t="shared" ca="1" si="71"/>
        <v>86.635772357723567</v>
      </c>
      <c r="BO31" s="778">
        <f t="shared" ca="1" si="8"/>
        <v>30.14142671267749</v>
      </c>
      <c r="BP31" s="770">
        <f t="shared" ca="1" si="9"/>
        <v>82.635772357723567</v>
      </c>
      <c r="BQ31" s="771">
        <f t="shared" ca="1" si="10"/>
        <v>0</v>
      </c>
      <c r="BR31" s="771">
        <f t="shared" ca="1" si="11"/>
        <v>0</v>
      </c>
      <c r="BS31" s="776">
        <f t="shared" ca="1" si="72"/>
        <v>86.635772357723567</v>
      </c>
      <c r="BT31" s="776">
        <f t="shared" ca="1" si="12"/>
        <v>82.635772357723567</v>
      </c>
      <c r="BU31" s="783">
        <f t="shared" ca="1" si="13"/>
        <v>28.749787859930983</v>
      </c>
      <c r="BV31" s="783">
        <f t="shared" ca="1" si="14"/>
        <v>28.749787859930983</v>
      </c>
      <c r="BW31" s="1019">
        <f t="shared" ca="1" si="73"/>
        <v>28.749787859930983</v>
      </c>
      <c r="BX31" s="771" cm="1">
        <f t="array" aca="1" ref="BX31" ca="1">INDIRECT("'Definition of Typical Day'!"&amp; ADDRESS($D31+29*(BX$16-1),$E31))</f>
        <v>65</v>
      </c>
      <c r="BY31" s="771">
        <f t="shared" ca="1" si="74"/>
        <v>1</v>
      </c>
      <c r="BZ31" s="781">
        <f t="shared" ca="1" si="15"/>
        <v>1</v>
      </c>
      <c r="CA31" s="781">
        <f t="shared" ca="1" si="16"/>
        <v>0.96778078891900021</v>
      </c>
      <c r="CB31" s="776">
        <f t="shared" ca="1" si="17"/>
        <v>186.83008130081299</v>
      </c>
      <c r="CC31" s="782">
        <f t="shared" si="18"/>
        <v>1</v>
      </c>
      <c r="CD31" s="782">
        <f t="shared" si="19"/>
        <v>11</v>
      </c>
      <c r="CE31" s="784" t="str" cm="1">
        <f t="array" aca="1" ref="CE31" ca="1">INDIRECT("'Definition of Typical Day'!"&amp;ADDRESS(CE$16,$E31))</f>
        <v>Winter day</v>
      </c>
      <c r="CF31" s="135"/>
      <c r="CG31" s="135"/>
      <c r="CH31" s="776">
        <f t="shared" ca="1" si="20"/>
        <v>2</v>
      </c>
      <c r="CI31" s="806">
        <f t="shared" ca="1" si="21"/>
        <v>6</v>
      </c>
      <c r="CJ31" s="770">
        <f t="shared" ca="1" si="22"/>
        <v>2.8743089430894306</v>
      </c>
      <c r="CK31" s="771">
        <f t="shared" ca="1" si="23"/>
        <v>2</v>
      </c>
      <c r="CL31" s="771">
        <f t="shared" ca="1" si="24"/>
        <v>0.90334236675700075</v>
      </c>
      <c r="CM31" s="772">
        <f t="shared" ca="1" si="25"/>
        <v>0</v>
      </c>
      <c r="CN31" s="135"/>
      <c r="CO31" s="770">
        <f t="shared" ref="CO31:CO94" ca="1" si="76">IF(BU31&gt;BX31,3%,105%)</f>
        <v>1.05</v>
      </c>
      <c r="CP31" s="771">
        <f t="shared" ca="1" si="27"/>
        <v>0.98</v>
      </c>
      <c r="CQ31" s="771">
        <f t="shared" ca="1" si="28"/>
        <v>0.96</v>
      </c>
      <c r="CR31" s="771">
        <f t="shared" ca="1" si="29"/>
        <v>0.95</v>
      </c>
      <c r="CS31" s="771">
        <f t="shared" ca="1" si="30"/>
        <v>1.02</v>
      </c>
      <c r="CT31" s="772">
        <f t="shared" ca="1" si="31"/>
        <v>0.02</v>
      </c>
      <c r="CU31" s="135"/>
      <c r="CV31" s="135"/>
      <c r="CW31" s="135"/>
      <c r="CX31" s="135"/>
      <c r="CY31" s="135"/>
      <c r="CZ31" s="135"/>
      <c r="DA31" s="135"/>
      <c r="DB31" s="135"/>
      <c r="DC31" s="135"/>
      <c r="DD31" s="135"/>
      <c r="DE31" s="135"/>
      <c r="DF31" s="135"/>
      <c r="DG31" s="135"/>
      <c r="DH31" s="135"/>
      <c r="DI31" s="135"/>
      <c r="DJ31" s="135"/>
      <c r="DK31" s="135"/>
      <c r="DL31" s="135"/>
      <c r="DM31" s="135"/>
      <c r="DN31" s="135"/>
      <c r="DO31" s="135"/>
      <c r="DP31" s="135"/>
      <c r="DQ31" s="135"/>
      <c r="DR31" s="135"/>
      <c r="DS31" s="135"/>
      <c r="DT31" s="135"/>
      <c r="DU31" s="135"/>
      <c r="DV31" s="135"/>
      <c r="DX31" s="135"/>
      <c r="DY31" s="135"/>
      <c r="DZ31" s="135"/>
      <c r="EA31" s="135"/>
      <c r="EB31" s="135"/>
      <c r="EC31" s="135"/>
      <c r="ED31" s="135"/>
      <c r="EE31" s="135"/>
      <c r="EF31" s="135"/>
      <c r="EG31" s="135"/>
      <c r="EH31" s="135"/>
      <c r="EI31" s="135"/>
      <c r="EJ31" s="135"/>
      <c r="EK31" s="135"/>
      <c r="EL31" s="135"/>
      <c r="EM31" s="135"/>
      <c r="EN31" s="135"/>
      <c r="EO31" s="135"/>
      <c r="EP31" s="135"/>
      <c r="EQ31" s="135"/>
      <c r="ER31" s="135"/>
      <c r="ES31" s="135"/>
      <c r="ET31" s="135"/>
      <c r="EU31" s="135"/>
      <c r="EV31" s="135"/>
      <c r="EW31" s="135"/>
      <c r="EX31" s="135"/>
      <c r="EY31" s="135"/>
      <c r="EZ31" s="135"/>
      <c r="FA31" s="135"/>
      <c r="FB31" s="135"/>
      <c r="FC31" s="135"/>
      <c r="FD31" s="135"/>
      <c r="FE31" s="135"/>
      <c r="FF31" s="135"/>
      <c r="FG31" s="135"/>
    </row>
    <row r="32" spans="1:163" s="57" customFormat="1" ht="11.25" outlineLevel="1">
      <c r="A32" s="765">
        <v>1</v>
      </c>
      <c r="B32" s="715" t="str" cm="1">
        <f t="array" aca="1" ref="B32" ca="1">INDIRECT("'Definition of Typical Day'!"&amp;ADDRESS(B$16,$E32))</f>
        <v>Winter day</v>
      </c>
      <c r="C32" s="766">
        <v>12</v>
      </c>
      <c r="D32" s="715">
        <f>ROW('Definition of Typical Day'!D46)</f>
        <v>46</v>
      </c>
      <c r="E32" s="715">
        <f t="shared" si="5"/>
        <v>5</v>
      </c>
      <c r="F32" s="767" cm="1">
        <f t="array" aca="1" ref="F32" ca="1">INDIRECT("'Definition of Typical Day'!D"&amp;D32)</f>
        <v>12</v>
      </c>
      <c r="G32" s="767" cm="1">
        <f t="array" aca="1" ref="G32" ca="1">INDIRECT("'Definition of Typical Day'!"&amp;ADDRESS(13,E32))</f>
        <v>1</v>
      </c>
      <c r="H32" s="768" cm="1">
        <f t="array" aca="1" ref="H32" ca="1">INDIRECT("'Definition of Typical Day'!"&amp; ADDRESS($D32+28*(H$16-1),$E32))</f>
        <v>2</v>
      </c>
      <c r="I32" s="715" cm="1">
        <f t="array" aca="1" ref="I32" ca="1">INDIRECT("'Definition of Typical Day'!"&amp; ADDRESS($D32+29*(I$16-1),$E32))</f>
        <v>40</v>
      </c>
      <c r="J32" s="715">
        <f t="shared" ca="1" si="32"/>
        <v>37</v>
      </c>
      <c r="K32" s="785">
        <f t="shared" si="33"/>
        <v>28</v>
      </c>
      <c r="L32" s="786" cm="1">
        <f t="array" aca="1" ref="L32" ca="1">INDIRECT("'Definition of Typical Day'!"&amp; ADDRESS($D32+29*(L$16-1),$E32))</f>
        <v>6</v>
      </c>
      <c r="M32" s="768" cm="1">
        <f t="array" aca="1" ref="M32" ca="1">INDIRECT("'Definition of Typical Day'!"&amp; ADDRESS($D32+29*(M$16-1),$E32))</f>
        <v>80</v>
      </c>
      <c r="N32" s="715">
        <f t="shared" si="34"/>
        <v>3</v>
      </c>
      <c r="O32" s="715">
        <f t="shared" ca="1" si="35"/>
        <v>83</v>
      </c>
      <c r="P32" s="715" cm="1">
        <f t="array" aca="1" ref="P32" ca="1">INDIRECT("'Definition of Typical Day'!"&amp; ADDRESS($D32+29*(P$16-1),$E32))</f>
        <v>45</v>
      </c>
      <c r="Q32" s="787">
        <f t="shared" ca="1" si="36"/>
        <v>48</v>
      </c>
      <c r="R32" s="792">
        <f t="shared" ca="1" si="37"/>
        <v>83</v>
      </c>
      <c r="S32" s="769">
        <f t="shared" si="38"/>
        <v>3</v>
      </c>
      <c r="T32" s="769">
        <f t="shared" ca="1" si="39"/>
        <v>0.24</v>
      </c>
      <c r="U32" s="769">
        <f t="shared" ca="1" si="40"/>
        <v>0.182</v>
      </c>
      <c r="V32" s="769">
        <f t="shared" ca="1" si="41"/>
        <v>0</v>
      </c>
      <c r="W32" s="769">
        <f t="shared" ca="1" si="42"/>
        <v>3.4220000000000002</v>
      </c>
      <c r="X32" s="794">
        <f t="shared" si="43"/>
        <v>3</v>
      </c>
      <c r="Y32" s="769">
        <f t="shared" ca="1" si="44"/>
        <v>3</v>
      </c>
      <c r="Z32" s="769">
        <f t="shared" ca="1" si="45"/>
        <v>2.8257638315441782</v>
      </c>
      <c r="AA32" s="795">
        <f t="shared" ca="1" si="46"/>
        <v>2.8257638315441782</v>
      </c>
      <c r="AB32" s="769">
        <f t="shared" ca="1" si="47"/>
        <v>0</v>
      </c>
      <c r="AC32" s="769">
        <f t="shared" ca="1" si="48"/>
        <v>0</v>
      </c>
      <c r="AD32" s="769">
        <f t="shared" ca="1" si="49"/>
        <v>0</v>
      </c>
      <c r="AE32" s="794">
        <f t="shared" ca="1" si="50"/>
        <v>2.8257638315441782</v>
      </c>
      <c r="AF32" s="769">
        <f t="shared" ca="1" si="51"/>
        <v>2.8257638315441782E-2</v>
      </c>
      <c r="AG32" s="769">
        <f t="shared" ca="1" si="52"/>
        <v>2.7975061932287364</v>
      </c>
      <c r="AH32" s="799">
        <f t="shared" ca="1" si="53"/>
        <v>2.7975061932287364</v>
      </c>
      <c r="AI32" s="801">
        <f t="shared" ca="1" si="54"/>
        <v>1</v>
      </c>
      <c r="AJ32" s="794">
        <f t="shared" ca="1" si="55"/>
        <v>2</v>
      </c>
      <c r="AK32" s="769">
        <f t="shared" ca="1" si="56"/>
        <v>0.82576383154417832</v>
      </c>
      <c r="AL32" s="769">
        <f t="shared" ca="1" si="57"/>
        <v>0</v>
      </c>
      <c r="AM32" s="804">
        <f t="shared" ca="1" si="6"/>
        <v>9.3333333333333324E-2</v>
      </c>
      <c r="AN32" s="795">
        <f t="shared" ca="1" si="7"/>
        <v>0</v>
      </c>
      <c r="AO32" s="251"/>
      <c r="AP32" s="770">
        <f t="shared" si="58"/>
        <v>0</v>
      </c>
      <c r="AQ32" s="771">
        <f t="shared" ca="1" si="59"/>
        <v>0</v>
      </c>
      <c r="AR32" s="771">
        <f t="shared" ca="1" si="60"/>
        <v>4</v>
      </c>
      <c r="AS32" s="772">
        <f t="shared" ca="1" si="61"/>
        <v>4</v>
      </c>
      <c r="AT32" s="231"/>
      <c r="AU32" s="770">
        <f>'Main Results - IRR DC Operator'!$F$16</f>
        <v>2</v>
      </c>
      <c r="AV32" s="773">
        <f>'Main Results - IRR DC Operator'!$F$15</f>
        <v>1</v>
      </c>
      <c r="AW32" s="771">
        <f t="shared" ca="1" si="62"/>
        <v>4</v>
      </c>
      <c r="AX32" s="772">
        <f t="shared" si="63"/>
        <v>0</v>
      </c>
      <c r="AY32" s="231"/>
      <c r="AZ32" s="770" cm="1">
        <f t="array" aca="1" ref="AZ32" ca="1">INDIRECT("'Definition of Typical Day'!"&amp; ADDRESS($D32+29*(AZ$16-1),$E32))+$AZ$17</f>
        <v>81.77</v>
      </c>
      <c r="BA32" s="771" cm="1">
        <f t="array" aca="1" ref="BA32" ca="1">INDIRECT("'Definition of Typical Day'!"&amp; ADDRESS($D32+29*(BA$16-1),$E32))+$BA$17</f>
        <v>81.77</v>
      </c>
      <c r="BB32" s="772" cm="1">
        <f t="array" aca="1" ref="BB32" ca="1">INDIRECT("'Definition of Typical Day'!"&amp;ADDRESS(BB$16,$E32))</f>
        <v>135</v>
      </c>
      <c r="BC32" s="776" cm="1">
        <f t="array" aca="1" ref="BC32" ca="1">INDIRECT("'Definition of Typical Day'!"&amp; ADDRESS($D32+29*(BC$16-1),$E32))</f>
        <v>80.77</v>
      </c>
      <c r="BD32" s="777" cm="1">
        <f t="array" aca="1" ref="BD32" ca="1">INDIRECT("'Definition of Typical Day'!"&amp; ADDRESS($D32+29*(BD$16-1),$E32))</f>
        <v>0.35</v>
      </c>
      <c r="BE32" s="776">
        <f t="shared" si="64"/>
        <v>0</v>
      </c>
      <c r="BF32" s="771">
        <f t="shared" ca="1" si="75"/>
        <v>67.522708505367461</v>
      </c>
      <c r="BG32" s="771">
        <f t="shared" ca="1" si="65"/>
        <v>7.6295623451692816</v>
      </c>
      <c r="BH32" s="771">
        <f t="shared" ca="1" si="66"/>
        <v>0</v>
      </c>
      <c r="BI32" s="776">
        <f t="shared" ca="1" si="67"/>
        <v>7.5385333333333318</v>
      </c>
      <c r="BJ32" s="776">
        <f t="shared" ca="1" si="68"/>
        <v>0</v>
      </c>
      <c r="BK32" s="776">
        <f t="shared" ca="1" si="69"/>
        <v>0</v>
      </c>
      <c r="BL32" s="776">
        <f t="shared" ca="1" si="70"/>
        <v>0</v>
      </c>
      <c r="BM32" s="135"/>
      <c r="BN32" s="776">
        <f t="shared" ca="1" si="71"/>
        <v>79.152270850536738</v>
      </c>
      <c r="BO32" s="778">
        <f t="shared" ca="1" si="8"/>
        <v>28.293867960729443</v>
      </c>
      <c r="BP32" s="770">
        <f t="shared" ca="1" si="9"/>
        <v>75.152270850536738</v>
      </c>
      <c r="BQ32" s="771">
        <f t="shared" ca="1" si="10"/>
        <v>0</v>
      </c>
      <c r="BR32" s="771">
        <f t="shared" ca="1" si="11"/>
        <v>0</v>
      </c>
      <c r="BS32" s="776">
        <f t="shared" ca="1" si="72"/>
        <v>79.152270850536738</v>
      </c>
      <c r="BT32" s="776">
        <f t="shared" ca="1" si="12"/>
        <v>75.152270850536738</v>
      </c>
      <c r="BU32" s="783">
        <f t="shared" ca="1" si="13"/>
        <v>26.864023047541455</v>
      </c>
      <c r="BV32" s="783">
        <f t="shared" ca="1" si="14"/>
        <v>26.864023047541455</v>
      </c>
      <c r="BW32" s="1019">
        <f t="shared" ca="1" si="73"/>
        <v>26.864023047541455</v>
      </c>
      <c r="BX32" s="771" cm="1">
        <f t="array" aca="1" ref="BX32" ca="1">INDIRECT("'Definition of Typical Day'!"&amp; ADDRESS($D32+29*(BX$16-1),$E32))</f>
        <v>65</v>
      </c>
      <c r="BY32" s="771">
        <f t="shared" ca="1" si="74"/>
        <v>1</v>
      </c>
      <c r="BZ32" s="781">
        <f t="shared" ca="1" si="15"/>
        <v>1</v>
      </c>
      <c r="CA32" s="781">
        <f t="shared" ca="1" si="16"/>
        <v>0.94192127718139274</v>
      </c>
      <c r="CB32" s="776">
        <f t="shared" ca="1" si="17"/>
        <v>181.83790255986787</v>
      </c>
      <c r="CC32" s="782">
        <f t="shared" si="18"/>
        <v>1</v>
      </c>
      <c r="CD32" s="782">
        <f t="shared" si="19"/>
        <v>12</v>
      </c>
      <c r="CE32" s="784" t="str" cm="1">
        <f t="array" aca="1" ref="CE32" ca="1">INDIRECT("'Definition of Typical Day'!"&amp;ADDRESS(CE$16,$E32))</f>
        <v>Winter day</v>
      </c>
      <c r="CF32" s="135"/>
      <c r="CG32" s="135"/>
      <c r="CH32" s="776">
        <f t="shared" ca="1" si="20"/>
        <v>2</v>
      </c>
      <c r="CI32" s="806">
        <f t="shared" ca="1" si="21"/>
        <v>6</v>
      </c>
      <c r="CJ32" s="770">
        <f t="shared" ca="1" si="22"/>
        <v>2.7975061932287364</v>
      </c>
      <c r="CK32" s="771">
        <f t="shared" ca="1" si="23"/>
        <v>2</v>
      </c>
      <c r="CL32" s="771">
        <f t="shared" ca="1" si="24"/>
        <v>0.82576383154417832</v>
      </c>
      <c r="CM32" s="772">
        <f t="shared" ca="1" si="25"/>
        <v>0</v>
      </c>
      <c r="CN32" s="135"/>
      <c r="CO32" s="770">
        <f t="shared" ca="1" si="76"/>
        <v>1.05</v>
      </c>
      <c r="CP32" s="771">
        <f t="shared" ca="1" si="27"/>
        <v>0.98</v>
      </c>
      <c r="CQ32" s="771">
        <f t="shared" ca="1" si="28"/>
        <v>0.96</v>
      </c>
      <c r="CR32" s="771">
        <f t="shared" ca="1" si="29"/>
        <v>0.95</v>
      </c>
      <c r="CS32" s="771">
        <f t="shared" ca="1" si="30"/>
        <v>1.02</v>
      </c>
      <c r="CT32" s="772">
        <f t="shared" ca="1" si="31"/>
        <v>0.02</v>
      </c>
      <c r="CU32" s="135"/>
      <c r="CV32" s="135"/>
      <c r="CW32" s="135"/>
      <c r="CX32" s="135"/>
      <c r="CY32" s="135"/>
      <c r="CZ32" s="135"/>
      <c r="DA32" s="135"/>
      <c r="DB32" s="135"/>
      <c r="DC32" s="135"/>
      <c r="DD32" s="135"/>
      <c r="DE32" s="135"/>
      <c r="DF32" s="135"/>
      <c r="DG32" s="135"/>
      <c r="DH32" s="135"/>
      <c r="DI32" s="135"/>
      <c r="DJ32" s="135"/>
      <c r="DK32" s="135"/>
      <c r="DL32" s="135"/>
      <c r="DM32" s="135"/>
      <c r="DN32" s="135"/>
      <c r="DO32" s="135"/>
      <c r="DP32" s="135"/>
      <c r="DQ32" s="135"/>
      <c r="DR32" s="135"/>
      <c r="DS32" s="135"/>
      <c r="DT32" s="135"/>
      <c r="DU32" s="135"/>
      <c r="DV32" s="135"/>
      <c r="DX32" s="135"/>
      <c r="DY32" s="135"/>
      <c r="DZ32" s="135"/>
      <c r="EA32" s="135"/>
      <c r="EB32" s="135"/>
      <c r="EC32" s="135"/>
      <c r="ED32" s="135"/>
      <c r="EE32" s="135"/>
      <c r="EF32" s="135"/>
      <c r="EG32" s="135"/>
      <c r="EH32" s="135"/>
      <c r="EI32" s="135"/>
      <c r="EJ32" s="135"/>
      <c r="EK32" s="135"/>
      <c r="EL32" s="135"/>
      <c r="EM32" s="135"/>
      <c r="EN32" s="135"/>
      <c r="EO32" s="135"/>
      <c r="EP32" s="135"/>
      <c r="EQ32" s="135"/>
      <c r="ER32" s="135"/>
      <c r="ES32" s="135"/>
      <c r="ET32" s="135"/>
      <c r="EU32" s="135"/>
      <c r="EV32" s="135"/>
      <c r="EW32" s="135"/>
      <c r="EX32" s="135"/>
      <c r="EY32" s="135"/>
      <c r="EZ32" s="135"/>
      <c r="FA32" s="135"/>
      <c r="FB32" s="135"/>
      <c r="FC32" s="135"/>
      <c r="FD32" s="135"/>
      <c r="FE32" s="135"/>
      <c r="FF32" s="135"/>
      <c r="FG32" s="135"/>
    </row>
    <row r="33" spans="1:163" s="57" customFormat="1" ht="11.25" outlineLevel="1">
      <c r="A33" s="765">
        <v>1</v>
      </c>
      <c r="B33" s="715" t="str" cm="1">
        <f t="array" aca="1" ref="B33" ca="1">INDIRECT("'Definition of Typical Day'!"&amp;ADDRESS(B$16,$E33))</f>
        <v>Winter day</v>
      </c>
      <c r="C33" s="766">
        <v>13</v>
      </c>
      <c r="D33" s="715">
        <f>ROW('Definition of Typical Day'!D47)</f>
        <v>47</v>
      </c>
      <c r="E33" s="715">
        <f t="shared" si="5"/>
        <v>5</v>
      </c>
      <c r="F33" s="767" cm="1">
        <f t="array" aca="1" ref="F33" ca="1">INDIRECT("'Definition of Typical Day'!D"&amp;D33)</f>
        <v>13</v>
      </c>
      <c r="G33" s="767" cm="1">
        <f t="array" aca="1" ref="G33" ca="1">INDIRECT("'Definition of Typical Day'!"&amp;ADDRESS(13,E33))</f>
        <v>1</v>
      </c>
      <c r="H33" s="768" cm="1">
        <f t="array" aca="1" ref="H33" ca="1">INDIRECT("'Definition of Typical Day'!"&amp; ADDRESS($D33+28*(H$16-1),$E33))</f>
        <v>2</v>
      </c>
      <c r="I33" s="715" cm="1">
        <f t="array" aca="1" ref="I33" ca="1">INDIRECT("'Definition of Typical Day'!"&amp; ADDRESS($D33+29*(I$16-1),$E33))</f>
        <v>40</v>
      </c>
      <c r="J33" s="715">
        <f t="shared" ca="1" si="32"/>
        <v>37</v>
      </c>
      <c r="K33" s="785">
        <f t="shared" si="33"/>
        <v>28</v>
      </c>
      <c r="L33" s="786" cm="1">
        <f t="array" aca="1" ref="L33" ca="1">INDIRECT("'Definition of Typical Day'!"&amp; ADDRESS($D33+29*(L$16-1),$E33))</f>
        <v>6</v>
      </c>
      <c r="M33" s="768" cm="1">
        <f t="array" aca="1" ref="M33" ca="1">INDIRECT("'Definition of Typical Day'!"&amp; ADDRESS($D33+29*(M$16-1),$E33))</f>
        <v>78.3333333333333</v>
      </c>
      <c r="N33" s="715">
        <f t="shared" si="34"/>
        <v>3</v>
      </c>
      <c r="O33" s="715">
        <f t="shared" ca="1" si="35"/>
        <v>81.3333333333333</v>
      </c>
      <c r="P33" s="715" cm="1">
        <f t="array" aca="1" ref="P33" ca="1">INDIRECT("'Definition of Typical Day'!"&amp; ADDRESS($D33+29*(P$16-1),$E33))</f>
        <v>45</v>
      </c>
      <c r="Q33" s="787">
        <f t="shared" ca="1" si="36"/>
        <v>48</v>
      </c>
      <c r="R33" s="792">
        <f t="shared" ca="1" si="37"/>
        <v>81.3333333333333</v>
      </c>
      <c r="S33" s="769">
        <f t="shared" si="38"/>
        <v>3</v>
      </c>
      <c r="T33" s="769">
        <f t="shared" ca="1" si="39"/>
        <v>0.24</v>
      </c>
      <c r="U33" s="769">
        <f t="shared" ca="1" si="40"/>
        <v>0.22533333333333419</v>
      </c>
      <c r="V33" s="769">
        <f t="shared" ca="1" si="41"/>
        <v>0</v>
      </c>
      <c r="W33" s="769">
        <f t="shared" ca="1" si="42"/>
        <v>3.4653333333333345</v>
      </c>
      <c r="X33" s="794">
        <f t="shared" si="43"/>
        <v>3</v>
      </c>
      <c r="Y33" s="769">
        <f t="shared" ca="1" si="44"/>
        <v>3</v>
      </c>
      <c r="Z33" s="769">
        <f t="shared" ca="1" si="45"/>
        <v>2.8112493239588963</v>
      </c>
      <c r="AA33" s="795">
        <f t="shared" ca="1" si="46"/>
        <v>2.8112493239588963</v>
      </c>
      <c r="AB33" s="769">
        <f t="shared" ca="1" si="47"/>
        <v>0</v>
      </c>
      <c r="AC33" s="769">
        <f t="shared" ca="1" si="48"/>
        <v>0</v>
      </c>
      <c r="AD33" s="769">
        <f t="shared" ca="1" si="49"/>
        <v>0</v>
      </c>
      <c r="AE33" s="794">
        <f t="shared" ca="1" si="50"/>
        <v>2.8112493239588963</v>
      </c>
      <c r="AF33" s="769">
        <f t="shared" ca="1" si="51"/>
        <v>2.8112493239588962E-2</v>
      </c>
      <c r="AG33" s="769">
        <f t="shared" ca="1" si="52"/>
        <v>2.7831368307193074</v>
      </c>
      <c r="AH33" s="799">
        <f t="shared" ca="1" si="53"/>
        <v>2.7831368307193074</v>
      </c>
      <c r="AI33" s="801">
        <f t="shared" ca="1" si="54"/>
        <v>1</v>
      </c>
      <c r="AJ33" s="794">
        <f t="shared" ca="1" si="55"/>
        <v>2</v>
      </c>
      <c r="AK33" s="769">
        <f t="shared" ca="1" si="56"/>
        <v>0.81124932395889626</v>
      </c>
      <c r="AL33" s="769">
        <f t="shared" ca="1" si="57"/>
        <v>0</v>
      </c>
      <c r="AM33" s="804">
        <f t="shared" ca="1" si="6"/>
        <v>9.3333333333333324E-2</v>
      </c>
      <c r="AN33" s="795">
        <f t="shared" ca="1" si="7"/>
        <v>0</v>
      </c>
      <c r="AO33" s="251"/>
      <c r="AP33" s="770">
        <f t="shared" si="58"/>
        <v>0</v>
      </c>
      <c r="AQ33" s="771">
        <f t="shared" ca="1" si="59"/>
        <v>0</v>
      </c>
      <c r="AR33" s="771">
        <f t="shared" ca="1" si="60"/>
        <v>4</v>
      </c>
      <c r="AS33" s="772">
        <f t="shared" ca="1" si="61"/>
        <v>4</v>
      </c>
      <c r="AT33" s="231"/>
      <c r="AU33" s="770">
        <f>'Main Results - IRR DC Operator'!$F$16</f>
        <v>2</v>
      </c>
      <c r="AV33" s="773">
        <f>'Main Results - IRR DC Operator'!$F$15</f>
        <v>1</v>
      </c>
      <c r="AW33" s="771">
        <f t="shared" ca="1" si="62"/>
        <v>4</v>
      </c>
      <c r="AX33" s="772">
        <f t="shared" si="63"/>
        <v>0</v>
      </c>
      <c r="AY33" s="231"/>
      <c r="AZ33" s="770" cm="1">
        <f t="array" aca="1" ref="AZ33" ca="1">INDIRECT("'Definition of Typical Day'!"&amp; ADDRESS($D33+29*(AZ$16-1),$E33))+$AZ$17</f>
        <v>78.73</v>
      </c>
      <c r="BA33" s="771" cm="1">
        <f t="array" aca="1" ref="BA33" ca="1">INDIRECT("'Definition of Typical Day'!"&amp; ADDRESS($D33+29*(BA$16-1),$E33))+$BA$17</f>
        <v>78.73</v>
      </c>
      <c r="BB33" s="772" cm="1">
        <f t="array" aca="1" ref="BB33" ca="1">INDIRECT("'Definition of Typical Day'!"&amp;ADDRESS(BB$16,$E33))</f>
        <v>135</v>
      </c>
      <c r="BC33" s="776" cm="1">
        <f t="array" aca="1" ref="BC33" ca="1">INDIRECT("'Definition of Typical Day'!"&amp; ADDRESS($D33+29*(BC$16-1),$E33))</f>
        <v>77.73</v>
      </c>
      <c r="BD33" s="777" cm="1">
        <f t="array" aca="1" ref="BD33" ca="1">INDIRECT("'Definition of Typical Day'!"&amp; ADDRESS($D33+29*(BD$16-1),$E33))</f>
        <v>0.35</v>
      </c>
      <c r="BE33" s="776">
        <f t="shared" si="64"/>
        <v>0</v>
      </c>
      <c r="BF33" s="771">
        <f t="shared" ca="1" si="75"/>
        <v>63.869659275283908</v>
      </c>
      <c r="BG33" s="771">
        <f t="shared" ca="1" si="65"/>
        <v>7.5903731746890202</v>
      </c>
      <c r="BH33" s="771">
        <f t="shared" ca="1" si="66"/>
        <v>0</v>
      </c>
      <c r="BI33" s="776">
        <f t="shared" ca="1" si="67"/>
        <v>7.2547999999999995</v>
      </c>
      <c r="BJ33" s="776">
        <f t="shared" ca="1" si="68"/>
        <v>0</v>
      </c>
      <c r="BK33" s="776">
        <f t="shared" ca="1" si="69"/>
        <v>0</v>
      </c>
      <c r="BL33" s="776">
        <f t="shared" ca="1" si="70"/>
        <v>0</v>
      </c>
      <c r="BM33" s="135"/>
      <c r="BN33" s="776">
        <f t="shared" ca="1" si="71"/>
        <v>75.460032449972928</v>
      </c>
      <c r="BO33" s="778">
        <f t="shared" ca="1" si="8"/>
        <v>27.1133030963735</v>
      </c>
      <c r="BP33" s="770">
        <f t="shared" ca="1" si="9"/>
        <v>71.460032449972928</v>
      </c>
      <c r="BQ33" s="771">
        <f t="shared" ca="1" si="10"/>
        <v>0</v>
      </c>
      <c r="BR33" s="771">
        <f t="shared" ca="1" si="11"/>
        <v>0</v>
      </c>
      <c r="BS33" s="776">
        <f t="shared" ca="1" si="72"/>
        <v>75.460032449972928</v>
      </c>
      <c r="BT33" s="776">
        <f t="shared" ca="1" si="12"/>
        <v>71.460032449972928</v>
      </c>
      <c r="BU33" s="783">
        <f t="shared" ca="1" si="13"/>
        <v>25.676075880000457</v>
      </c>
      <c r="BV33" s="783">
        <f t="shared" ca="1" si="14"/>
        <v>25.676075880000457</v>
      </c>
      <c r="BW33" s="1019">
        <f t="shared" ca="1" si="73"/>
        <v>25.676075880000457</v>
      </c>
      <c r="BX33" s="771" cm="1">
        <f t="array" aca="1" ref="BX33" ca="1">INDIRECT("'Definition of Typical Day'!"&amp; ADDRESS($D33+29*(BX$16-1),$E33))</f>
        <v>65</v>
      </c>
      <c r="BY33" s="771">
        <f t="shared" ca="1" si="74"/>
        <v>1</v>
      </c>
      <c r="BZ33" s="781">
        <f t="shared" ca="1" si="15"/>
        <v>1</v>
      </c>
      <c r="CA33" s="781">
        <f t="shared" ca="1" si="16"/>
        <v>0.93708310798629879</v>
      </c>
      <c r="CB33" s="776">
        <f t="shared" ca="1" si="17"/>
        <v>180.90389399675499</v>
      </c>
      <c r="CC33" s="782">
        <f t="shared" si="18"/>
        <v>1</v>
      </c>
      <c r="CD33" s="782">
        <f t="shared" si="19"/>
        <v>13</v>
      </c>
      <c r="CE33" s="784" t="str" cm="1">
        <f t="array" aca="1" ref="CE33" ca="1">INDIRECT("'Definition of Typical Day'!"&amp;ADDRESS(CE$16,$E33))</f>
        <v>Winter day</v>
      </c>
      <c r="CF33" s="135"/>
      <c r="CG33" s="135"/>
      <c r="CH33" s="776">
        <f t="shared" ca="1" si="20"/>
        <v>2</v>
      </c>
      <c r="CI33" s="806">
        <f t="shared" ca="1" si="21"/>
        <v>6</v>
      </c>
      <c r="CJ33" s="770">
        <f t="shared" ca="1" si="22"/>
        <v>2.7831368307193074</v>
      </c>
      <c r="CK33" s="771">
        <f t="shared" ca="1" si="23"/>
        <v>2</v>
      </c>
      <c r="CL33" s="771">
        <f t="shared" ca="1" si="24"/>
        <v>0.81124932395889626</v>
      </c>
      <c r="CM33" s="772">
        <f t="shared" ca="1" si="25"/>
        <v>0</v>
      </c>
      <c r="CN33" s="135"/>
      <c r="CO33" s="770">
        <f t="shared" ca="1" si="76"/>
        <v>1.05</v>
      </c>
      <c r="CP33" s="771">
        <f t="shared" ca="1" si="27"/>
        <v>0.98</v>
      </c>
      <c r="CQ33" s="771">
        <f t="shared" ca="1" si="28"/>
        <v>0.96</v>
      </c>
      <c r="CR33" s="771">
        <f t="shared" ca="1" si="29"/>
        <v>0.95</v>
      </c>
      <c r="CS33" s="771">
        <f t="shared" ca="1" si="30"/>
        <v>1.02</v>
      </c>
      <c r="CT33" s="772">
        <f t="shared" ca="1" si="31"/>
        <v>0.02</v>
      </c>
      <c r="CU33" s="135"/>
      <c r="CV33" s="135"/>
      <c r="CW33" s="135"/>
      <c r="CX33" s="135"/>
      <c r="CY33" s="135"/>
      <c r="CZ33" s="135"/>
      <c r="DA33" s="135"/>
      <c r="DB33" s="135"/>
      <c r="DC33" s="135"/>
      <c r="DD33" s="135"/>
      <c r="DE33" s="135"/>
      <c r="DF33" s="135"/>
      <c r="DG33" s="135"/>
      <c r="DH33" s="135"/>
      <c r="DI33" s="135"/>
      <c r="DJ33" s="135"/>
      <c r="DK33" s="135"/>
      <c r="DL33" s="135"/>
      <c r="DM33" s="135"/>
      <c r="DN33" s="135"/>
      <c r="DO33" s="135"/>
      <c r="DP33" s="135"/>
      <c r="DQ33" s="135"/>
      <c r="DR33" s="135"/>
      <c r="DS33" s="135"/>
      <c r="DT33" s="135"/>
      <c r="DU33" s="135"/>
      <c r="DV33" s="135"/>
      <c r="DX33" s="135"/>
      <c r="DY33" s="135"/>
      <c r="DZ33" s="135"/>
      <c r="EA33" s="135"/>
      <c r="EB33" s="135"/>
      <c r="EC33" s="135"/>
      <c r="ED33" s="135"/>
      <c r="EE33" s="135"/>
      <c r="EF33" s="135"/>
      <c r="EG33" s="135"/>
      <c r="EH33" s="135"/>
      <c r="EI33" s="135"/>
      <c r="EJ33" s="135"/>
      <c r="EK33" s="135"/>
      <c r="EL33" s="135"/>
      <c r="EM33" s="135"/>
      <c r="EN33" s="135"/>
      <c r="EO33" s="135"/>
      <c r="EP33" s="135"/>
      <c r="EQ33" s="135"/>
      <c r="ER33" s="135"/>
      <c r="ES33" s="135"/>
      <c r="ET33" s="135"/>
      <c r="EU33" s="135"/>
      <c r="EV33" s="135"/>
      <c r="EW33" s="135"/>
      <c r="EX33" s="135"/>
      <c r="EY33" s="135"/>
      <c r="EZ33" s="135"/>
      <c r="FA33" s="135"/>
      <c r="FB33" s="135"/>
      <c r="FC33" s="135"/>
      <c r="FD33" s="135"/>
      <c r="FE33" s="135"/>
      <c r="FF33" s="135"/>
      <c r="FG33" s="135"/>
    </row>
    <row r="34" spans="1:163" s="57" customFormat="1" ht="11.25" outlineLevel="1">
      <c r="A34" s="765">
        <v>1</v>
      </c>
      <c r="B34" s="715" t="str" cm="1">
        <f t="array" aca="1" ref="B34" ca="1">INDIRECT("'Definition of Typical Day'!"&amp;ADDRESS(B$16,$E34))</f>
        <v>Winter day</v>
      </c>
      <c r="C34" s="766">
        <v>14</v>
      </c>
      <c r="D34" s="715">
        <f>ROW('Definition of Typical Day'!D48)</f>
        <v>48</v>
      </c>
      <c r="E34" s="715">
        <f t="shared" si="5"/>
        <v>5</v>
      </c>
      <c r="F34" s="767" cm="1">
        <f t="array" aca="1" ref="F34" ca="1">INDIRECT("'Definition of Typical Day'!D"&amp;D34)</f>
        <v>14</v>
      </c>
      <c r="G34" s="767" cm="1">
        <f t="array" aca="1" ref="G34" ca="1">INDIRECT("'Definition of Typical Day'!"&amp;ADDRESS(13,E34))</f>
        <v>1</v>
      </c>
      <c r="H34" s="768" cm="1">
        <f t="array" aca="1" ref="H34" ca="1">INDIRECT("'Definition of Typical Day'!"&amp; ADDRESS($D34+28*(H$16-1),$E34))</f>
        <v>2</v>
      </c>
      <c r="I34" s="715" cm="1">
        <f t="array" aca="1" ref="I34" ca="1">INDIRECT("'Definition of Typical Day'!"&amp; ADDRESS($D34+29*(I$16-1),$E34))</f>
        <v>40</v>
      </c>
      <c r="J34" s="715">
        <f t="shared" ca="1" si="32"/>
        <v>37</v>
      </c>
      <c r="K34" s="785">
        <f t="shared" si="33"/>
        <v>28</v>
      </c>
      <c r="L34" s="786" cm="1">
        <f t="array" aca="1" ref="L34" ca="1">INDIRECT("'Definition of Typical Day'!"&amp; ADDRESS($D34+29*(L$16-1),$E34))</f>
        <v>6</v>
      </c>
      <c r="M34" s="768" cm="1">
        <f t="array" aca="1" ref="M34" ca="1">INDIRECT("'Definition of Typical Day'!"&amp; ADDRESS($D34+29*(M$16-1),$E34))</f>
        <v>76.666666666666629</v>
      </c>
      <c r="N34" s="715">
        <f t="shared" si="34"/>
        <v>3</v>
      </c>
      <c r="O34" s="715">
        <f t="shared" ca="1" si="35"/>
        <v>79.666666666666629</v>
      </c>
      <c r="P34" s="715" cm="1">
        <f t="array" aca="1" ref="P34" ca="1">INDIRECT("'Definition of Typical Day'!"&amp; ADDRESS($D34+29*(P$16-1),$E34))</f>
        <v>45</v>
      </c>
      <c r="Q34" s="787">
        <f t="shared" ca="1" si="36"/>
        <v>48</v>
      </c>
      <c r="R34" s="792">
        <f t="shared" ca="1" si="37"/>
        <v>79.666666666666629</v>
      </c>
      <c r="S34" s="769">
        <f t="shared" si="38"/>
        <v>3</v>
      </c>
      <c r="T34" s="769">
        <f t="shared" ca="1" si="39"/>
        <v>0.24</v>
      </c>
      <c r="U34" s="769">
        <f t="shared" ca="1" si="40"/>
        <v>0.26866666666666766</v>
      </c>
      <c r="V34" s="769">
        <f t="shared" ca="1" si="41"/>
        <v>0</v>
      </c>
      <c r="W34" s="769">
        <f t="shared" ca="1" si="42"/>
        <v>3.5086666666666679</v>
      </c>
      <c r="X34" s="794">
        <f t="shared" si="43"/>
        <v>3</v>
      </c>
      <c r="Y34" s="769">
        <f t="shared" ca="1" si="44"/>
        <v>3</v>
      </c>
      <c r="Z34" s="769">
        <f t="shared" ca="1" si="45"/>
        <v>2.7972362476747272</v>
      </c>
      <c r="AA34" s="795">
        <f t="shared" ca="1" si="46"/>
        <v>2.7972362476747272</v>
      </c>
      <c r="AB34" s="769">
        <f t="shared" ca="1" si="47"/>
        <v>0</v>
      </c>
      <c r="AC34" s="769">
        <f t="shared" ca="1" si="48"/>
        <v>0</v>
      </c>
      <c r="AD34" s="769">
        <f t="shared" ca="1" si="49"/>
        <v>0</v>
      </c>
      <c r="AE34" s="794">
        <f t="shared" ca="1" si="50"/>
        <v>2.7972362476747272</v>
      </c>
      <c r="AF34" s="769">
        <f t="shared" ca="1" si="51"/>
        <v>2.7972362476747271E-2</v>
      </c>
      <c r="AG34" s="769">
        <f t="shared" ca="1" si="52"/>
        <v>2.7692638851979798</v>
      </c>
      <c r="AH34" s="799">
        <f t="shared" ca="1" si="53"/>
        <v>2.7692638851979798</v>
      </c>
      <c r="AI34" s="801">
        <f t="shared" ca="1" si="54"/>
        <v>1</v>
      </c>
      <c r="AJ34" s="794">
        <f t="shared" ca="1" si="55"/>
        <v>2</v>
      </c>
      <c r="AK34" s="769">
        <f t="shared" ca="1" si="56"/>
        <v>0.79723624767472723</v>
      </c>
      <c r="AL34" s="769">
        <f t="shared" ca="1" si="57"/>
        <v>0</v>
      </c>
      <c r="AM34" s="804">
        <f t="shared" ca="1" si="6"/>
        <v>9.3333333333333324E-2</v>
      </c>
      <c r="AN34" s="795">
        <f t="shared" ca="1" si="7"/>
        <v>0</v>
      </c>
      <c r="AO34" s="251"/>
      <c r="AP34" s="770">
        <f t="shared" si="58"/>
        <v>0</v>
      </c>
      <c r="AQ34" s="771">
        <f t="shared" ca="1" si="59"/>
        <v>0</v>
      </c>
      <c r="AR34" s="771">
        <f t="shared" ca="1" si="60"/>
        <v>4</v>
      </c>
      <c r="AS34" s="772">
        <f t="shared" ca="1" si="61"/>
        <v>4</v>
      </c>
      <c r="AT34" s="231"/>
      <c r="AU34" s="770">
        <f>'Main Results - IRR DC Operator'!$F$16</f>
        <v>2</v>
      </c>
      <c r="AV34" s="773">
        <f>'Main Results - IRR DC Operator'!$F$15</f>
        <v>1</v>
      </c>
      <c r="AW34" s="771">
        <f t="shared" ca="1" si="62"/>
        <v>4</v>
      </c>
      <c r="AX34" s="772">
        <f t="shared" si="63"/>
        <v>0</v>
      </c>
      <c r="AY34" s="231"/>
      <c r="AZ34" s="770" cm="1">
        <f t="array" aca="1" ref="AZ34" ca="1">INDIRECT("'Definition of Typical Day'!"&amp; ADDRESS($D34+29*(AZ$16-1),$E34))+$AZ$17</f>
        <v>79.78</v>
      </c>
      <c r="BA34" s="771" cm="1">
        <f t="array" aca="1" ref="BA34" ca="1">INDIRECT("'Definition of Typical Day'!"&amp; ADDRESS($D34+29*(BA$16-1),$E34))+$BA$17</f>
        <v>79.78</v>
      </c>
      <c r="BB34" s="772" cm="1">
        <f t="array" aca="1" ref="BB34" ca="1">INDIRECT("'Definition of Typical Day'!"&amp;ADDRESS(BB$16,$E34))</f>
        <v>135</v>
      </c>
      <c r="BC34" s="776" cm="1">
        <f t="array" aca="1" ref="BC34" ca="1">INDIRECT("'Definition of Typical Day'!"&amp; ADDRESS($D34+29*(BC$16-1),$E34))</f>
        <v>78.78</v>
      </c>
      <c r="BD34" s="777" cm="1">
        <f t="array" aca="1" ref="BD34" ca="1">INDIRECT("'Definition of Typical Day'!"&amp; ADDRESS($D34+29*(BD$16-1),$E34))</f>
        <v>0.35</v>
      </c>
      <c r="BE34" s="776">
        <f t="shared" si="64"/>
        <v>0</v>
      </c>
      <c r="BF34" s="771">
        <f t="shared" ca="1" si="75"/>
        <v>63.603507839489737</v>
      </c>
      <c r="BG34" s="771">
        <f t="shared" ca="1" si="65"/>
        <v>7.552537868721763</v>
      </c>
      <c r="BH34" s="771">
        <f t="shared" ca="1" si="66"/>
        <v>0</v>
      </c>
      <c r="BI34" s="776">
        <f t="shared" ca="1" si="67"/>
        <v>7.3527999999999993</v>
      </c>
      <c r="BJ34" s="776">
        <f t="shared" ca="1" si="68"/>
        <v>0</v>
      </c>
      <c r="BK34" s="776">
        <f t="shared" ca="1" si="69"/>
        <v>0</v>
      </c>
      <c r="BL34" s="776">
        <f t="shared" ca="1" si="70"/>
        <v>0</v>
      </c>
      <c r="BM34" s="135"/>
      <c r="BN34" s="776">
        <f t="shared" ca="1" si="71"/>
        <v>75.156045708211494</v>
      </c>
      <c r="BO34" s="778">
        <f t="shared" ca="1" si="8"/>
        <v>27.13935862520319</v>
      </c>
      <c r="BP34" s="770">
        <f t="shared" ca="1" si="9"/>
        <v>71.156045708211494</v>
      </c>
      <c r="BQ34" s="771">
        <f t="shared" ca="1" si="10"/>
        <v>0</v>
      </c>
      <c r="BR34" s="771">
        <f t="shared" ca="1" si="11"/>
        <v>0</v>
      </c>
      <c r="BS34" s="776">
        <f t="shared" ca="1" si="72"/>
        <v>75.156045708211494</v>
      </c>
      <c r="BT34" s="776">
        <f t="shared" ca="1" si="12"/>
        <v>71.156045708211494</v>
      </c>
      <c r="BU34" s="783">
        <f t="shared" ca="1" si="13"/>
        <v>25.694931454004216</v>
      </c>
      <c r="BV34" s="783">
        <f t="shared" ca="1" si="14"/>
        <v>25.694931454004216</v>
      </c>
      <c r="BW34" s="1019">
        <f t="shared" ca="1" si="73"/>
        <v>25.694931454004216</v>
      </c>
      <c r="BX34" s="771" cm="1">
        <f t="array" aca="1" ref="BX34" ca="1">INDIRECT("'Definition of Typical Day'!"&amp; ADDRESS($D34+29*(BX$16-1),$E34))</f>
        <v>65</v>
      </c>
      <c r="BY34" s="771">
        <f t="shared" ca="1" si="74"/>
        <v>1</v>
      </c>
      <c r="BZ34" s="781">
        <f t="shared" ca="1" si="15"/>
        <v>1</v>
      </c>
      <c r="CA34" s="781">
        <f t="shared" ca="1" si="16"/>
        <v>0.93241208255824237</v>
      </c>
      <c r="CB34" s="776">
        <f t="shared" ca="1" si="17"/>
        <v>180.00215253786868</v>
      </c>
      <c r="CC34" s="782">
        <f t="shared" si="18"/>
        <v>1</v>
      </c>
      <c r="CD34" s="782">
        <f t="shared" si="19"/>
        <v>14</v>
      </c>
      <c r="CE34" s="784" t="str" cm="1">
        <f t="array" aca="1" ref="CE34" ca="1">INDIRECT("'Definition of Typical Day'!"&amp;ADDRESS(CE$16,$E34))</f>
        <v>Winter day</v>
      </c>
      <c r="CF34" s="135"/>
      <c r="CG34" s="135"/>
      <c r="CH34" s="776">
        <f t="shared" ca="1" si="20"/>
        <v>2</v>
      </c>
      <c r="CI34" s="806">
        <f t="shared" ca="1" si="21"/>
        <v>6</v>
      </c>
      <c r="CJ34" s="770">
        <f t="shared" ca="1" si="22"/>
        <v>2.7692638851979798</v>
      </c>
      <c r="CK34" s="771">
        <f t="shared" ca="1" si="23"/>
        <v>2</v>
      </c>
      <c r="CL34" s="771">
        <f t="shared" ca="1" si="24"/>
        <v>0.79723624767472723</v>
      </c>
      <c r="CM34" s="772">
        <f t="shared" ca="1" si="25"/>
        <v>0</v>
      </c>
      <c r="CN34" s="135"/>
      <c r="CO34" s="770">
        <f t="shared" ca="1" si="76"/>
        <v>1.05</v>
      </c>
      <c r="CP34" s="771">
        <f t="shared" ca="1" si="27"/>
        <v>0.98</v>
      </c>
      <c r="CQ34" s="771">
        <f t="shared" ca="1" si="28"/>
        <v>0.96</v>
      </c>
      <c r="CR34" s="771">
        <f t="shared" ca="1" si="29"/>
        <v>0.95</v>
      </c>
      <c r="CS34" s="771">
        <f t="shared" ca="1" si="30"/>
        <v>1.02</v>
      </c>
      <c r="CT34" s="772">
        <f t="shared" ca="1" si="31"/>
        <v>0.02</v>
      </c>
      <c r="CU34" s="135"/>
      <c r="CV34" s="135"/>
      <c r="CW34" s="135"/>
      <c r="CX34" s="135"/>
      <c r="CY34" s="135"/>
      <c r="CZ34" s="135"/>
      <c r="DA34" s="135"/>
      <c r="DB34" s="135"/>
      <c r="DC34" s="135"/>
      <c r="DD34" s="135"/>
      <c r="DE34" s="135"/>
      <c r="DF34" s="135"/>
      <c r="DG34" s="135"/>
      <c r="DH34" s="135"/>
      <c r="DI34" s="135"/>
      <c r="DJ34" s="135"/>
      <c r="DK34" s="135"/>
      <c r="DL34" s="135"/>
      <c r="DM34" s="135"/>
      <c r="DN34" s="135"/>
      <c r="DO34" s="135"/>
      <c r="DP34" s="135"/>
      <c r="DQ34" s="135"/>
      <c r="DR34" s="135"/>
      <c r="DS34" s="135"/>
      <c r="DT34" s="135"/>
      <c r="DU34" s="135"/>
      <c r="DV34" s="135"/>
      <c r="DX34" s="135"/>
      <c r="DY34" s="135"/>
      <c r="DZ34" s="135"/>
      <c r="EA34" s="135"/>
      <c r="EB34" s="135"/>
      <c r="EC34" s="135"/>
      <c r="ED34" s="135"/>
      <c r="EE34" s="135"/>
      <c r="EF34" s="135"/>
      <c r="EG34" s="135"/>
      <c r="EH34" s="135"/>
      <c r="EI34" s="135"/>
      <c r="EJ34" s="135"/>
      <c r="EK34" s="135"/>
      <c r="EL34" s="135"/>
      <c r="EM34" s="135"/>
      <c r="EN34" s="135"/>
      <c r="EO34" s="135"/>
      <c r="EP34" s="135"/>
      <c r="EQ34" s="135"/>
      <c r="ER34" s="135"/>
      <c r="ES34" s="135"/>
      <c r="ET34" s="135"/>
      <c r="EU34" s="135"/>
      <c r="EV34" s="135"/>
      <c r="EW34" s="135"/>
      <c r="EX34" s="135"/>
      <c r="EY34" s="135"/>
      <c r="EZ34" s="135"/>
      <c r="FA34" s="135"/>
      <c r="FB34" s="135"/>
      <c r="FC34" s="135"/>
      <c r="FD34" s="135"/>
      <c r="FE34" s="135"/>
      <c r="FF34" s="135"/>
      <c r="FG34" s="135"/>
    </row>
    <row r="35" spans="1:163" s="57" customFormat="1" ht="11.25" outlineLevel="1">
      <c r="A35" s="765">
        <v>1</v>
      </c>
      <c r="B35" s="715" t="str" cm="1">
        <f t="array" aca="1" ref="B35" ca="1">INDIRECT("'Definition of Typical Day'!"&amp;ADDRESS(B$16,$E35))</f>
        <v>Winter day</v>
      </c>
      <c r="C35" s="766">
        <v>15</v>
      </c>
      <c r="D35" s="715">
        <f>ROW('Definition of Typical Day'!D49)</f>
        <v>49</v>
      </c>
      <c r="E35" s="715">
        <f t="shared" si="5"/>
        <v>5</v>
      </c>
      <c r="F35" s="767" cm="1">
        <f t="array" aca="1" ref="F35" ca="1">INDIRECT("'Definition of Typical Day'!D"&amp;D35)</f>
        <v>15</v>
      </c>
      <c r="G35" s="767" cm="1">
        <f t="array" aca="1" ref="G35" ca="1">INDIRECT("'Definition of Typical Day'!"&amp;ADDRESS(13,E35))</f>
        <v>1</v>
      </c>
      <c r="H35" s="768" cm="1">
        <f t="array" aca="1" ref="H35" ca="1">INDIRECT("'Definition of Typical Day'!"&amp; ADDRESS($D35+28*(H$16-1),$E35))</f>
        <v>2</v>
      </c>
      <c r="I35" s="715" cm="1">
        <f t="array" aca="1" ref="I35" ca="1">INDIRECT("'Definition of Typical Day'!"&amp; ADDRESS($D35+29*(I$16-1),$E35))</f>
        <v>40</v>
      </c>
      <c r="J35" s="715">
        <f t="shared" ca="1" si="32"/>
        <v>37</v>
      </c>
      <c r="K35" s="785">
        <f t="shared" si="33"/>
        <v>28</v>
      </c>
      <c r="L35" s="786" cm="1">
        <f t="array" aca="1" ref="L35" ca="1">INDIRECT("'Definition of Typical Day'!"&amp; ADDRESS($D35+29*(L$16-1),$E35))</f>
        <v>6</v>
      </c>
      <c r="M35" s="768" cm="1">
        <f t="array" aca="1" ref="M35" ca="1">INDIRECT("'Definition of Typical Day'!"&amp; ADDRESS($D35+29*(M$16-1),$E35))</f>
        <v>76.666666666666629</v>
      </c>
      <c r="N35" s="715">
        <f t="shared" si="34"/>
        <v>3</v>
      </c>
      <c r="O35" s="715">
        <f t="shared" ca="1" si="35"/>
        <v>79.666666666666629</v>
      </c>
      <c r="P35" s="715" cm="1">
        <f t="array" aca="1" ref="P35" ca="1">INDIRECT("'Definition of Typical Day'!"&amp; ADDRESS($D35+29*(P$16-1),$E35))</f>
        <v>45</v>
      </c>
      <c r="Q35" s="787">
        <f t="shared" ca="1" si="36"/>
        <v>48</v>
      </c>
      <c r="R35" s="792">
        <f t="shared" ca="1" si="37"/>
        <v>79.666666666666629</v>
      </c>
      <c r="S35" s="769">
        <f t="shared" si="38"/>
        <v>3</v>
      </c>
      <c r="T35" s="769">
        <f t="shared" ca="1" si="39"/>
        <v>0.24</v>
      </c>
      <c r="U35" s="769">
        <f t="shared" ca="1" si="40"/>
        <v>0.26866666666666766</v>
      </c>
      <c r="V35" s="769">
        <f t="shared" ca="1" si="41"/>
        <v>0</v>
      </c>
      <c r="W35" s="769">
        <f t="shared" ca="1" si="42"/>
        <v>3.5086666666666679</v>
      </c>
      <c r="X35" s="794">
        <f t="shared" si="43"/>
        <v>3</v>
      </c>
      <c r="Y35" s="769">
        <f t="shared" ca="1" si="44"/>
        <v>3</v>
      </c>
      <c r="Z35" s="769">
        <f t="shared" ca="1" si="45"/>
        <v>2.7972362476747272</v>
      </c>
      <c r="AA35" s="795">
        <f t="shared" ca="1" si="46"/>
        <v>2.7972362476747272</v>
      </c>
      <c r="AB35" s="769">
        <f t="shared" ca="1" si="47"/>
        <v>0</v>
      </c>
      <c r="AC35" s="769">
        <f t="shared" ca="1" si="48"/>
        <v>0</v>
      </c>
      <c r="AD35" s="769">
        <f t="shared" ca="1" si="49"/>
        <v>0</v>
      </c>
      <c r="AE35" s="794">
        <f t="shared" ca="1" si="50"/>
        <v>2.7972362476747272</v>
      </c>
      <c r="AF35" s="769">
        <f t="shared" ca="1" si="51"/>
        <v>2.7972362476747271E-2</v>
      </c>
      <c r="AG35" s="769">
        <f t="shared" ca="1" si="52"/>
        <v>2.7692638851979798</v>
      </c>
      <c r="AH35" s="799">
        <f t="shared" ca="1" si="53"/>
        <v>2.7692638851979798</v>
      </c>
      <c r="AI35" s="801">
        <f t="shared" ca="1" si="54"/>
        <v>1</v>
      </c>
      <c r="AJ35" s="794">
        <f t="shared" ca="1" si="55"/>
        <v>2</v>
      </c>
      <c r="AK35" s="769">
        <f t="shared" ca="1" si="56"/>
        <v>0.79723624767472723</v>
      </c>
      <c r="AL35" s="769">
        <f t="shared" ca="1" si="57"/>
        <v>0</v>
      </c>
      <c r="AM35" s="804">
        <f t="shared" ca="1" si="6"/>
        <v>9.3333333333333324E-2</v>
      </c>
      <c r="AN35" s="795">
        <f t="shared" ca="1" si="7"/>
        <v>0</v>
      </c>
      <c r="AO35" s="251"/>
      <c r="AP35" s="770">
        <f t="shared" si="58"/>
        <v>0</v>
      </c>
      <c r="AQ35" s="771">
        <f t="shared" ca="1" si="59"/>
        <v>0</v>
      </c>
      <c r="AR35" s="771">
        <f t="shared" ca="1" si="60"/>
        <v>4</v>
      </c>
      <c r="AS35" s="772">
        <f t="shared" ca="1" si="61"/>
        <v>4</v>
      </c>
      <c r="AT35" s="231"/>
      <c r="AU35" s="770">
        <f>'Main Results - IRR DC Operator'!$F$16</f>
        <v>2</v>
      </c>
      <c r="AV35" s="773">
        <f>'Main Results - IRR DC Operator'!$F$15</f>
        <v>1</v>
      </c>
      <c r="AW35" s="771">
        <f t="shared" ca="1" si="62"/>
        <v>4</v>
      </c>
      <c r="AX35" s="772">
        <f t="shared" si="63"/>
        <v>0</v>
      </c>
      <c r="AY35" s="231"/>
      <c r="AZ35" s="770" cm="1">
        <f t="array" aca="1" ref="AZ35" ca="1">INDIRECT("'Definition of Typical Day'!"&amp; ADDRESS($D35+29*(AZ$16-1),$E35))+$AZ$17</f>
        <v>84.39</v>
      </c>
      <c r="BA35" s="771" cm="1">
        <f t="array" aca="1" ref="BA35" ca="1">INDIRECT("'Definition of Typical Day'!"&amp; ADDRESS($D35+29*(BA$16-1),$E35))+$BA$17</f>
        <v>84.39</v>
      </c>
      <c r="BB35" s="772" cm="1">
        <f t="array" aca="1" ref="BB35" ca="1">INDIRECT("'Definition of Typical Day'!"&amp;ADDRESS(BB$16,$E35))</f>
        <v>135</v>
      </c>
      <c r="BC35" s="776" cm="1">
        <f t="array" aca="1" ref="BC35" ca="1">INDIRECT("'Definition of Typical Day'!"&amp; ADDRESS($D35+29*(BC$16-1),$E35))</f>
        <v>83.39</v>
      </c>
      <c r="BD35" s="777" cm="1">
        <f t="array" aca="1" ref="BD35" ca="1">INDIRECT("'Definition of Typical Day'!"&amp; ADDRESS($D35+29*(BD$16-1),$E35))</f>
        <v>0.35</v>
      </c>
      <c r="BE35" s="776">
        <f t="shared" si="64"/>
        <v>0</v>
      </c>
      <c r="BF35" s="771">
        <f t="shared" ca="1" si="75"/>
        <v>67.278766941270234</v>
      </c>
      <c r="BG35" s="771">
        <f t="shared" ca="1" si="65"/>
        <v>7.552537868721763</v>
      </c>
      <c r="BH35" s="771">
        <f t="shared" ca="1" si="66"/>
        <v>0</v>
      </c>
      <c r="BI35" s="776">
        <f t="shared" ca="1" si="67"/>
        <v>7.7830666666666657</v>
      </c>
      <c r="BJ35" s="776">
        <f t="shared" ca="1" si="68"/>
        <v>0</v>
      </c>
      <c r="BK35" s="776">
        <f t="shared" ca="1" si="69"/>
        <v>0</v>
      </c>
      <c r="BL35" s="776">
        <f t="shared" ca="1" si="70"/>
        <v>0</v>
      </c>
      <c r="BM35" s="135"/>
      <c r="BN35" s="776">
        <f t="shared" ca="1" si="71"/>
        <v>78.831304809991991</v>
      </c>
      <c r="BO35" s="778">
        <f t="shared" ca="1" si="8"/>
        <v>28.466519652155213</v>
      </c>
      <c r="BP35" s="770">
        <f t="shared" ca="1" si="9"/>
        <v>74.831304809991991</v>
      </c>
      <c r="BQ35" s="771">
        <f t="shared" ca="1" si="10"/>
        <v>0</v>
      </c>
      <c r="BR35" s="771">
        <f t="shared" ca="1" si="11"/>
        <v>0</v>
      </c>
      <c r="BS35" s="776">
        <f t="shared" ca="1" si="72"/>
        <v>78.831304809991991</v>
      </c>
      <c r="BT35" s="776">
        <f t="shared" ca="1" si="12"/>
        <v>74.831304809991991</v>
      </c>
      <c r="BU35" s="783">
        <f t="shared" ca="1" si="13"/>
        <v>27.022092480956239</v>
      </c>
      <c r="BV35" s="783">
        <f t="shared" ca="1" si="14"/>
        <v>27.022092480956239</v>
      </c>
      <c r="BW35" s="1019">
        <f t="shared" ca="1" si="73"/>
        <v>27.022092480956239</v>
      </c>
      <c r="BX35" s="771" cm="1">
        <f t="array" aca="1" ref="BX35" ca="1">INDIRECT("'Definition of Typical Day'!"&amp; ADDRESS($D35+29*(BX$16-1),$E35))</f>
        <v>65</v>
      </c>
      <c r="BY35" s="771">
        <f t="shared" ca="1" si="74"/>
        <v>1</v>
      </c>
      <c r="BZ35" s="781">
        <f t="shared" ca="1" si="15"/>
        <v>1</v>
      </c>
      <c r="CA35" s="781">
        <f t="shared" ca="1" si="16"/>
        <v>0.93241208255824237</v>
      </c>
      <c r="CB35" s="776">
        <f t="shared" ca="1" si="17"/>
        <v>180.00215253786868</v>
      </c>
      <c r="CC35" s="782">
        <f t="shared" si="18"/>
        <v>1</v>
      </c>
      <c r="CD35" s="782">
        <f t="shared" si="19"/>
        <v>15</v>
      </c>
      <c r="CE35" s="784" t="str" cm="1">
        <f t="array" aca="1" ref="CE35" ca="1">INDIRECT("'Definition of Typical Day'!"&amp;ADDRESS(CE$16,$E35))</f>
        <v>Winter day</v>
      </c>
      <c r="CF35" s="135"/>
      <c r="CG35" s="135"/>
      <c r="CH35" s="776">
        <f t="shared" ca="1" si="20"/>
        <v>2</v>
      </c>
      <c r="CI35" s="806">
        <f t="shared" ca="1" si="21"/>
        <v>6</v>
      </c>
      <c r="CJ35" s="770">
        <f t="shared" ca="1" si="22"/>
        <v>2.7692638851979798</v>
      </c>
      <c r="CK35" s="771">
        <f t="shared" ca="1" si="23"/>
        <v>2</v>
      </c>
      <c r="CL35" s="771">
        <f t="shared" ca="1" si="24"/>
        <v>0.79723624767472723</v>
      </c>
      <c r="CM35" s="772">
        <f t="shared" ca="1" si="25"/>
        <v>0</v>
      </c>
      <c r="CN35" s="135"/>
      <c r="CO35" s="770">
        <f t="shared" ca="1" si="76"/>
        <v>1.05</v>
      </c>
      <c r="CP35" s="771">
        <f t="shared" ca="1" si="27"/>
        <v>0.98</v>
      </c>
      <c r="CQ35" s="771">
        <f t="shared" ca="1" si="28"/>
        <v>0.96</v>
      </c>
      <c r="CR35" s="771">
        <f t="shared" ca="1" si="29"/>
        <v>0.95</v>
      </c>
      <c r="CS35" s="771">
        <f t="shared" ca="1" si="30"/>
        <v>1.02</v>
      </c>
      <c r="CT35" s="772">
        <f t="shared" ca="1" si="31"/>
        <v>0.02</v>
      </c>
      <c r="CU35" s="135"/>
      <c r="CV35" s="135"/>
      <c r="CW35" s="135"/>
      <c r="CX35" s="135"/>
      <c r="CY35" s="135"/>
      <c r="CZ35" s="135"/>
      <c r="DA35" s="135"/>
      <c r="DB35" s="135"/>
      <c r="DC35" s="135"/>
      <c r="DD35" s="135"/>
      <c r="DE35" s="135"/>
      <c r="DF35" s="135"/>
      <c r="DG35" s="135"/>
      <c r="DH35" s="135"/>
      <c r="DI35" s="135"/>
      <c r="DJ35" s="135"/>
      <c r="DK35" s="135"/>
      <c r="DL35" s="135"/>
      <c r="DM35" s="135"/>
      <c r="DN35" s="135"/>
      <c r="DO35" s="135"/>
      <c r="DP35" s="135"/>
      <c r="DQ35" s="135"/>
      <c r="DR35" s="135"/>
      <c r="DS35" s="135"/>
      <c r="DT35" s="135"/>
      <c r="DU35" s="135"/>
      <c r="DV35" s="135"/>
      <c r="DX35" s="135"/>
      <c r="DY35" s="135"/>
      <c r="DZ35" s="135"/>
      <c r="EA35" s="135"/>
      <c r="EB35" s="135"/>
      <c r="EC35" s="135"/>
      <c r="ED35" s="135"/>
      <c r="EE35" s="135"/>
      <c r="EF35" s="135"/>
      <c r="EG35" s="135"/>
      <c r="EH35" s="135"/>
      <c r="EI35" s="135"/>
      <c r="EJ35" s="135"/>
      <c r="EK35" s="135"/>
      <c r="EL35" s="135"/>
      <c r="EM35" s="135"/>
      <c r="EN35" s="135"/>
      <c r="EO35" s="135"/>
      <c r="EP35" s="135"/>
      <c r="EQ35" s="135"/>
      <c r="ER35" s="135"/>
      <c r="ES35" s="135"/>
      <c r="ET35" s="135"/>
      <c r="EU35" s="135"/>
      <c r="EV35" s="135"/>
      <c r="EW35" s="135"/>
      <c r="EX35" s="135"/>
      <c r="EY35" s="135"/>
      <c r="EZ35" s="135"/>
      <c r="FA35" s="135"/>
      <c r="FB35" s="135"/>
      <c r="FC35" s="135"/>
      <c r="FD35" s="135"/>
      <c r="FE35" s="135"/>
      <c r="FF35" s="135"/>
      <c r="FG35" s="135"/>
    </row>
    <row r="36" spans="1:163" s="57" customFormat="1" ht="11.25" outlineLevel="1">
      <c r="A36" s="765">
        <v>1</v>
      </c>
      <c r="B36" s="715" t="str" cm="1">
        <f t="array" aca="1" ref="B36" ca="1">INDIRECT("'Definition of Typical Day'!"&amp;ADDRESS(B$16,$E36))</f>
        <v>Winter day</v>
      </c>
      <c r="C36" s="766">
        <v>16</v>
      </c>
      <c r="D36" s="715">
        <f>ROW('Definition of Typical Day'!D50)</f>
        <v>50</v>
      </c>
      <c r="E36" s="715">
        <f t="shared" si="5"/>
        <v>5</v>
      </c>
      <c r="F36" s="767" cm="1">
        <f t="array" aca="1" ref="F36" ca="1">INDIRECT("'Definition of Typical Day'!D"&amp;D36)</f>
        <v>16</v>
      </c>
      <c r="G36" s="767" cm="1">
        <f t="array" aca="1" ref="G36" ca="1">INDIRECT("'Definition of Typical Day'!"&amp;ADDRESS(13,E36))</f>
        <v>1</v>
      </c>
      <c r="H36" s="768" cm="1">
        <f t="array" aca="1" ref="H36" ca="1">INDIRECT("'Definition of Typical Day'!"&amp; ADDRESS($D36+28*(H$16-1),$E36))</f>
        <v>2</v>
      </c>
      <c r="I36" s="715" cm="1">
        <f t="array" aca="1" ref="I36" ca="1">INDIRECT("'Definition of Typical Day'!"&amp; ADDRESS($D36+29*(I$16-1),$E36))</f>
        <v>40</v>
      </c>
      <c r="J36" s="715">
        <f t="shared" ca="1" si="32"/>
        <v>37</v>
      </c>
      <c r="K36" s="785">
        <f t="shared" si="33"/>
        <v>28</v>
      </c>
      <c r="L36" s="786" cm="1">
        <f t="array" aca="1" ref="L36" ca="1">INDIRECT("'Definition of Typical Day'!"&amp; ADDRESS($D36+29*(L$16-1),$E36))</f>
        <v>6</v>
      </c>
      <c r="M36" s="768" cm="1">
        <f t="array" aca="1" ref="M36" ca="1">INDIRECT("'Definition of Typical Day'!"&amp; ADDRESS($D36+29*(M$16-1),$E36))</f>
        <v>75</v>
      </c>
      <c r="N36" s="715">
        <f t="shared" si="34"/>
        <v>3</v>
      </c>
      <c r="O36" s="715">
        <f t="shared" ca="1" si="35"/>
        <v>78</v>
      </c>
      <c r="P36" s="715" cm="1">
        <f t="array" aca="1" ref="P36" ca="1">INDIRECT("'Definition of Typical Day'!"&amp; ADDRESS($D36+29*(P$16-1),$E36))</f>
        <v>45</v>
      </c>
      <c r="Q36" s="787">
        <f t="shared" ca="1" si="36"/>
        <v>48</v>
      </c>
      <c r="R36" s="792">
        <f t="shared" ca="1" si="37"/>
        <v>78</v>
      </c>
      <c r="S36" s="769">
        <f t="shared" si="38"/>
        <v>3</v>
      </c>
      <c r="T36" s="769">
        <f t="shared" ca="1" si="39"/>
        <v>0.24</v>
      </c>
      <c r="U36" s="769">
        <f t="shared" ca="1" si="40"/>
        <v>0.312</v>
      </c>
      <c r="V36" s="769">
        <f t="shared" ca="1" si="41"/>
        <v>0</v>
      </c>
      <c r="W36" s="769">
        <f t="shared" ca="1" si="42"/>
        <v>3.552</v>
      </c>
      <c r="X36" s="794">
        <f t="shared" si="43"/>
        <v>3</v>
      </c>
      <c r="Y36" s="769">
        <f t="shared" ca="1" si="44"/>
        <v>3</v>
      </c>
      <c r="Z36" s="769">
        <f t="shared" ca="1" si="45"/>
        <v>2.7836990595611284</v>
      </c>
      <c r="AA36" s="795">
        <f t="shared" ca="1" si="46"/>
        <v>2.7836990595611284</v>
      </c>
      <c r="AB36" s="769">
        <f t="shared" ca="1" si="47"/>
        <v>0</v>
      </c>
      <c r="AC36" s="769">
        <f t="shared" ca="1" si="48"/>
        <v>0</v>
      </c>
      <c r="AD36" s="769">
        <f t="shared" ca="1" si="49"/>
        <v>0</v>
      </c>
      <c r="AE36" s="794">
        <f t="shared" ca="1" si="50"/>
        <v>2.7836990595611284</v>
      </c>
      <c r="AF36" s="769">
        <f t="shared" ca="1" si="51"/>
        <v>2.7836990595611285E-2</v>
      </c>
      <c r="AG36" s="769">
        <f t="shared" ca="1" si="52"/>
        <v>2.7558620689655173</v>
      </c>
      <c r="AH36" s="799">
        <f t="shared" ca="1" si="53"/>
        <v>2.7558620689655173</v>
      </c>
      <c r="AI36" s="801">
        <f t="shared" ca="1" si="54"/>
        <v>1</v>
      </c>
      <c r="AJ36" s="794">
        <f t="shared" ca="1" si="55"/>
        <v>2</v>
      </c>
      <c r="AK36" s="769">
        <f t="shared" ca="1" si="56"/>
        <v>0.78369905956112851</v>
      </c>
      <c r="AL36" s="769">
        <f t="shared" ca="1" si="57"/>
        <v>0</v>
      </c>
      <c r="AM36" s="804">
        <f t="shared" ca="1" si="6"/>
        <v>9.3333333333333324E-2</v>
      </c>
      <c r="AN36" s="795">
        <f t="shared" ca="1" si="7"/>
        <v>0</v>
      </c>
      <c r="AO36" s="251"/>
      <c r="AP36" s="770">
        <f t="shared" si="58"/>
        <v>0</v>
      </c>
      <c r="AQ36" s="771">
        <f t="shared" ca="1" si="59"/>
        <v>0</v>
      </c>
      <c r="AR36" s="771">
        <f t="shared" ca="1" si="60"/>
        <v>4</v>
      </c>
      <c r="AS36" s="772">
        <f t="shared" ca="1" si="61"/>
        <v>4</v>
      </c>
      <c r="AT36" s="231"/>
      <c r="AU36" s="770">
        <f>'Main Results - IRR DC Operator'!$F$16</f>
        <v>2</v>
      </c>
      <c r="AV36" s="773">
        <f>'Main Results - IRR DC Operator'!$F$15</f>
        <v>1</v>
      </c>
      <c r="AW36" s="771">
        <f t="shared" ca="1" si="62"/>
        <v>4</v>
      </c>
      <c r="AX36" s="772">
        <f t="shared" si="63"/>
        <v>0</v>
      </c>
      <c r="AY36" s="231"/>
      <c r="AZ36" s="770" cm="1">
        <f t="array" aca="1" ref="AZ36" ca="1">INDIRECT("'Definition of Typical Day'!"&amp; ADDRESS($D36+29*(AZ$16-1),$E36))+$AZ$17</f>
        <v>90.11</v>
      </c>
      <c r="BA36" s="771" cm="1">
        <f t="array" aca="1" ref="BA36" ca="1">INDIRECT("'Definition of Typical Day'!"&amp; ADDRESS($D36+29*(BA$16-1),$E36))+$BA$17</f>
        <v>90.11</v>
      </c>
      <c r="BB36" s="772" cm="1">
        <f t="array" aca="1" ref="BB36" ca="1">INDIRECT("'Definition of Typical Day'!"&amp;ADDRESS(BB$16,$E36))</f>
        <v>135</v>
      </c>
      <c r="BC36" s="776" cm="1">
        <f t="array" aca="1" ref="BC36" ca="1">INDIRECT("'Definition of Typical Day'!"&amp; ADDRESS($D36+29*(BC$16-1),$E36))</f>
        <v>89.11</v>
      </c>
      <c r="BD36" s="777" cm="1">
        <f t="array" aca="1" ref="BD36" ca="1">INDIRECT("'Definition of Typical Day'!"&amp; ADDRESS($D36+29*(BD$16-1),$E36))</f>
        <v>0.35</v>
      </c>
      <c r="BE36" s="776">
        <f t="shared" si="64"/>
        <v>0</v>
      </c>
      <c r="BF36" s="771">
        <f t="shared" ca="1" si="75"/>
        <v>70.619122257053291</v>
      </c>
      <c r="BG36" s="771">
        <f t="shared" ca="1" si="65"/>
        <v>7.5159874608150465</v>
      </c>
      <c r="BH36" s="771">
        <f t="shared" ca="1" si="66"/>
        <v>0</v>
      </c>
      <c r="BI36" s="776">
        <f t="shared" ca="1" si="67"/>
        <v>8.3169333333333331</v>
      </c>
      <c r="BJ36" s="776">
        <f t="shared" ca="1" si="68"/>
        <v>0</v>
      </c>
      <c r="BK36" s="776">
        <f t="shared" ca="1" si="69"/>
        <v>0</v>
      </c>
      <c r="BL36" s="776">
        <f t="shared" ca="1" si="70"/>
        <v>0</v>
      </c>
      <c r="BM36" s="135"/>
      <c r="BN36" s="776">
        <f t="shared" ca="1" si="71"/>
        <v>82.135109717868332</v>
      </c>
      <c r="BO36" s="778">
        <f t="shared" ca="1" si="8"/>
        <v>29.803781053781051</v>
      </c>
      <c r="BP36" s="770">
        <f t="shared" ca="1" si="9"/>
        <v>78.135109717868332</v>
      </c>
      <c r="BQ36" s="771">
        <f t="shared" ca="1" si="10"/>
        <v>0</v>
      </c>
      <c r="BR36" s="771">
        <f t="shared" ca="1" si="11"/>
        <v>0</v>
      </c>
      <c r="BS36" s="776">
        <f t="shared" ca="1" si="72"/>
        <v>82.135109717868332</v>
      </c>
      <c r="BT36" s="776">
        <f t="shared" ca="1" si="12"/>
        <v>78.135109717868332</v>
      </c>
      <c r="BU36" s="783">
        <f t="shared" ca="1" si="13"/>
        <v>28.352329602329601</v>
      </c>
      <c r="BV36" s="783">
        <f t="shared" ca="1" si="14"/>
        <v>28.352329602329601</v>
      </c>
      <c r="BW36" s="1019">
        <f t="shared" ca="1" si="73"/>
        <v>28.352329602329601</v>
      </c>
      <c r="BX36" s="771" cm="1">
        <f t="array" aca="1" ref="BX36" ca="1">INDIRECT("'Definition of Typical Day'!"&amp; ADDRESS($D36+29*(BX$16-1),$E36))</f>
        <v>65</v>
      </c>
      <c r="BY36" s="771">
        <f t="shared" ca="1" si="74"/>
        <v>1</v>
      </c>
      <c r="BZ36" s="781">
        <f t="shared" ca="1" si="15"/>
        <v>1</v>
      </c>
      <c r="CA36" s="781">
        <f t="shared" ca="1" si="16"/>
        <v>0.92789968652037613</v>
      </c>
      <c r="CB36" s="776">
        <f t="shared" ca="1" si="17"/>
        <v>179.13103448275862</v>
      </c>
      <c r="CC36" s="782">
        <f t="shared" si="18"/>
        <v>1</v>
      </c>
      <c r="CD36" s="782">
        <f t="shared" si="19"/>
        <v>16</v>
      </c>
      <c r="CE36" s="784" t="str" cm="1">
        <f t="array" aca="1" ref="CE36" ca="1">INDIRECT("'Definition of Typical Day'!"&amp;ADDRESS(CE$16,$E36))</f>
        <v>Winter day</v>
      </c>
      <c r="CF36" s="135"/>
      <c r="CG36" s="135"/>
      <c r="CH36" s="776">
        <f t="shared" ca="1" si="20"/>
        <v>2</v>
      </c>
      <c r="CI36" s="806">
        <f t="shared" ca="1" si="21"/>
        <v>6</v>
      </c>
      <c r="CJ36" s="770">
        <f t="shared" ca="1" si="22"/>
        <v>2.7558620689655173</v>
      </c>
      <c r="CK36" s="771">
        <f t="shared" ca="1" si="23"/>
        <v>2</v>
      </c>
      <c r="CL36" s="771">
        <f t="shared" ca="1" si="24"/>
        <v>0.78369905956112851</v>
      </c>
      <c r="CM36" s="772">
        <f t="shared" ca="1" si="25"/>
        <v>0</v>
      </c>
      <c r="CN36" s="135"/>
      <c r="CO36" s="770">
        <f t="shared" ca="1" si="76"/>
        <v>1.05</v>
      </c>
      <c r="CP36" s="771">
        <f t="shared" ca="1" si="27"/>
        <v>0.98</v>
      </c>
      <c r="CQ36" s="771">
        <f t="shared" ca="1" si="28"/>
        <v>0.96</v>
      </c>
      <c r="CR36" s="771">
        <f t="shared" ca="1" si="29"/>
        <v>0.95</v>
      </c>
      <c r="CS36" s="771">
        <f t="shared" ca="1" si="30"/>
        <v>1.02</v>
      </c>
      <c r="CT36" s="772">
        <f t="shared" ca="1" si="31"/>
        <v>0.02</v>
      </c>
      <c r="CU36" s="135"/>
      <c r="CV36" s="135"/>
      <c r="CW36" s="135"/>
      <c r="CX36" s="135"/>
      <c r="CY36" s="135"/>
      <c r="CZ36" s="135"/>
      <c r="DA36" s="135"/>
      <c r="DB36" s="135"/>
      <c r="DC36" s="135"/>
      <c r="DD36" s="135"/>
      <c r="DE36" s="135"/>
      <c r="DF36" s="135"/>
      <c r="DG36" s="135"/>
      <c r="DH36" s="135"/>
      <c r="DI36" s="135"/>
      <c r="DJ36" s="135"/>
      <c r="DK36" s="135"/>
      <c r="DL36" s="135"/>
      <c r="DM36" s="135"/>
      <c r="DN36" s="135"/>
      <c r="DO36" s="135"/>
      <c r="DP36" s="135"/>
      <c r="DQ36" s="135"/>
      <c r="DR36" s="135"/>
      <c r="DS36" s="135"/>
      <c r="DT36" s="135"/>
      <c r="DU36" s="135"/>
      <c r="DV36" s="135"/>
      <c r="DX36" s="135"/>
      <c r="DY36" s="135"/>
      <c r="DZ36" s="135"/>
      <c r="EA36" s="135"/>
      <c r="EB36" s="135"/>
      <c r="EC36" s="135"/>
      <c r="ED36" s="135"/>
      <c r="EE36" s="135"/>
      <c r="EF36" s="135"/>
      <c r="EG36" s="135"/>
      <c r="EH36" s="135"/>
      <c r="EI36" s="135"/>
      <c r="EJ36" s="135"/>
      <c r="EK36" s="135"/>
      <c r="EL36" s="135"/>
      <c r="EM36" s="135"/>
      <c r="EN36" s="135"/>
      <c r="EO36" s="135"/>
      <c r="EP36" s="135"/>
      <c r="EQ36" s="135"/>
      <c r="ER36" s="135"/>
      <c r="ES36" s="135"/>
      <c r="ET36" s="135"/>
      <c r="EU36" s="135"/>
      <c r="EV36" s="135"/>
      <c r="EW36" s="135"/>
      <c r="EX36" s="135"/>
      <c r="EY36" s="135"/>
      <c r="EZ36" s="135"/>
      <c r="FA36" s="135"/>
      <c r="FB36" s="135"/>
      <c r="FC36" s="135"/>
      <c r="FD36" s="135"/>
      <c r="FE36" s="135"/>
      <c r="FF36" s="135"/>
      <c r="FG36" s="135"/>
    </row>
    <row r="37" spans="1:163" s="57" customFormat="1" ht="11.25" outlineLevel="1">
      <c r="A37" s="765">
        <v>1</v>
      </c>
      <c r="B37" s="715" t="str" cm="1">
        <f t="array" aca="1" ref="B37" ca="1">INDIRECT("'Definition of Typical Day'!"&amp;ADDRESS(B$16,$E37))</f>
        <v>Winter day</v>
      </c>
      <c r="C37" s="766">
        <v>17</v>
      </c>
      <c r="D37" s="715">
        <f>ROW('Definition of Typical Day'!D51)</f>
        <v>51</v>
      </c>
      <c r="E37" s="715">
        <f t="shared" si="5"/>
        <v>5</v>
      </c>
      <c r="F37" s="767" cm="1">
        <f t="array" aca="1" ref="F37" ca="1">INDIRECT("'Definition of Typical Day'!D"&amp;D37)</f>
        <v>17</v>
      </c>
      <c r="G37" s="767" cm="1">
        <f t="array" aca="1" ref="G37" ca="1">INDIRECT("'Definition of Typical Day'!"&amp;ADDRESS(13,E37))</f>
        <v>1</v>
      </c>
      <c r="H37" s="768" cm="1">
        <f t="array" aca="1" ref="H37" ca="1">INDIRECT("'Definition of Typical Day'!"&amp; ADDRESS($D37+28*(H$16-1),$E37))</f>
        <v>2</v>
      </c>
      <c r="I37" s="715" cm="1">
        <f t="array" aca="1" ref="I37" ca="1">INDIRECT("'Definition of Typical Day'!"&amp; ADDRESS($D37+29*(I$16-1),$E37))</f>
        <v>40</v>
      </c>
      <c r="J37" s="715">
        <f t="shared" ca="1" si="32"/>
        <v>37</v>
      </c>
      <c r="K37" s="785">
        <f t="shared" si="33"/>
        <v>28</v>
      </c>
      <c r="L37" s="786" cm="1">
        <f t="array" aca="1" ref="L37" ca="1">INDIRECT("'Definition of Typical Day'!"&amp; ADDRESS($D37+29*(L$16-1),$E37))</f>
        <v>6</v>
      </c>
      <c r="M37" s="768" cm="1">
        <f t="array" aca="1" ref="M37" ca="1">INDIRECT("'Definition of Typical Day'!"&amp; ADDRESS($D37+29*(M$16-1),$E37))</f>
        <v>76.666666666666629</v>
      </c>
      <c r="N37" s="715">
        <f t="shared" si="34"/>
        <v>3</v>
      </c>
      <c r="O37" s="715">
        <f t="shared" ca="1" si="35"/>
        <v>79.666666666666629</v>
      </c>
      <c r="P37" s="715" cm="1">
        <f t="array" aca="1" ref="P37" ca="1">INDIRECT("'Definition of Typical Day'!"&amp; ADDRESS($D37+29*(P$16-1),$E37))</f>
        <v>45</v>
      </c>
      <c r="Q37" s="787">
        <f t="shared" ca="1" si="36"/>
        <v>48</v>
      </c>
      <c r="R37" s="792">
        <f t="shared" ca="1" si="37"/>
        <v>79.666666666666629</v>
      </c>
      <c r="S37" s="769">
        <f t="shared" si="38"/>
        <v>3</v>
      </c>
      <c r="T37" s="769">
        <f t="shared" ca="1" si="39"/>
        <v>0.24</v>
      </c>
      <c r="U37" s="769">
        <f t="shared" ca="1" si="40"/>
        <v>0.26866666666666766</v>
      </c>
      <c r="V37" s="769">
        <f t="shared" ca="1" si="41"/>
        <v>0</v>
      </c>
      <c r="W37" s="769">
        <f t="shared" ca="1" si="42"/>
        <v>3.5086666666666679</v>
      </c>
      <c r="X37" s="794">
        <f t="shared" si="43"/>
        <v>3</v>
      </c>
      <c r="Y37" s="769">
        <f t="shared" ca="1" si="44"/>
        <v>3</v>
      </c>
      <c r="Z37" s="769">
        <f t="shared" ca="1" si="45"/>
        <v>2.7972362476747272</v>
      </c>
      <c r="AA37" s="795">
        <f t="shared" ca="1" si="46"/>
        <v>2.7972362476747272</v>
      </c>
      <c r="AB37" s="769">
        <f t="shared" ca="1" si="47"/>
        <v>0</v>
      </c>
      <c r="AC37" s="769">
        <f t="shared" ca="1" si="48"/>
        <v>0</v>
      </c>
      <c r="AD37" s="769">
        <f t="shared" ca="1" si="49"/>
        <v>0</v>
      </c>
      <c r="AE37" s="794">
        <f t="shared" ca="1" si="50"/>
        <v>2.7972362476747272</v>
      </c>
      <c r="AF37" s="769">
        <f t="shared" ca="1" si="51"/>
        <v>2.7972362476747271E-2</v>
      </c>
      <c r="AG37" s="769">
        <f t="shared" ca="1" si="52"/>
        <v>2.7692638851979798</v>
      </c>
      <c r="AH37" s="799">
        <f t="shared" ca="1" si="53"/>
        <v>2.7692638851979798</v>
      </c>
      <c r="AI37" s="801">
        <f t="shared" ca="1" si="54"/>
        <v>1</v>
      </c>
      <c r="AJ37" s="794">
        <f t="shared" ca="1" si="55"/>
        <v>2</v>
      </c>
      <c r="AK37" s="769">
        <f t="shared" ca="1" si="56"/>
        <v>0.79723624767472723</v>
      </c>
      <c r="AL37" s="769">
        <f t="shared" ca="1" si="57"/>
        <v>0</v>
      </c>
      <c r="AM37" s="804">
        <f t="shared" ca="1" si="6"/>
        <v>5.3333333333333337E-2</v>
      </c>
      <c r="AN37" s="795">
        <f t="shared" ca="1" si="7"/>
        <v>0</v>
      </c>
      <c r="AO37" s="251"/>
      <c r="AP37" s="770">
        <f t="shared" si="58"/>
        <v>0</v>
      </c>
      <c r="AQ37" s="771">
        <f t="shared" ca="1" si="59"/>
        <v>0</v>
      </c>
      <c r="AR37" s="771">
        <f t="shared" ca="1" si="60"/>
        <v>4</v>
      </c>
      <c r="AS37" s="772">
        <f t="shared" ca="1" si="61"/>
        <v>4</v>
      </c>
      <c r="AT37" s="231"/>
      <c r="AU37" s="770">
        <f>'Main Results - IRR DC Operator'!$F$16</f>
        <v>2</v>
      </c>
      <c r="AV37" s="773">
        <f>'Main Results - IRR DC Operator'!$F$15</f>
        <v>1</v>
      </c>
      <c r="AW37" s="771">
        <f t="shared" ca="1" si="62"/>
        <v>4</v>
      </c>
      <c r="AX37" s="772">
        <f t="shared" si="63"/>
        <v>0</v>
      </c>
      <c r="AY37" s="231"/>
      <c r="AZ37" s="770" cm="1">
        <f t="array" aca="1" ref="AZ37" ca="1">INDIRECT("'Definition of Typical Day'!"&amp; ADDRESS($D37+29*(AZ$16-1),$E37))+$AZ$17</f>
        <v>98.8</v>
      </c>
      <c r="BA37" s="771" cm="1">
        <f t="array" aca="1" ref="BA37" ca="1">INDIRECT("'Definition of Typical Day'!"&amp; ADDRESS($D37+29*(BA$16-1),$E37))+$BA$17</f>
        <v>98.8</v>
      </c>
      <c r="BB37" s="772" cm="1">
        <f t="array" aca="1" ref="BB37" ca="1">INDIRECT("'Definition of Typical Day'!"&amp;ADDRESS(BB$16,$E37))</f>
        <v>135</v>
      </c>
      <c r="BC37" s="776" cm="1">
        <f t="array" aca="1" ref="BC37" ca="1">INDIRECT("'Definition of Typical Day'!"&amp; ADDRESS($D37+29*(BC$16-1),$E37))</f>
        <v>97.8</v>
      </c>
      <c r="BD37" s="777" cm="1">
        <f t="array" aca="1" ref="BD37" ca="1">INDIRECT("'Definition of Typical Day'!"&amp; ADDRESS($D37+29*(BD$16-1),$E37))</f>
        <v>0.2</v>
      </c>
      <c r="BE37" s="776">
        <f t="shared" si="64"/>
        <v>0</v>
      </c>
      <c r="BF37" s="771">
        <f t="shared" ca="1" si="75"/>
        <v>78.766941270263047</v>
      </c>
      <c r="BG37" s="771">
        <f t="shared" ca="1" si="65"/>
        <v>7.552537868721763</v>
      </c>
      <c r="BH37" s="771">
        <f t="shared" ca="1" si="66"/>
        <v>0</v>
      </c>
      <c r="BI37" s="776">
        <f t="shared" ca="1" si="67"/>
        <v>5.2160000000000002</v>
      </c>
      <c r="BJ37" s="776">
        <f t="shared" ca="1" si="68"/>
        <v>0</v>
      </c>
      <c r="BK37" s="776">
        <f t="shared" ca="1" si="69"/>
        <v>0</v>
      </c>
      <c r="BL37" s="776">
        <f t="shared" ca="1" si="70"/>
        <v>0</v>
      </c>
      <c r="BM37" s="135"/>
      <c r="BN37" s="776">
        <f t="shared" ca="1" si="71"/>
        <v>90.319479138984804</v>
      </c>
      <c r="BO37" s="778">
        <f t="shared" ca="1" si="8"/>
        <v>32.614977439222152</v>
      </c>
      <c r="BP37" s="770">
        <f t="shared" ca="1" si="9"/>
        <v>86.319479138984804</v>
      </c>
      <c r="BQ37" s="771">
        <f t="shared" ca="1" si="10"/>
        <v>0</v>
      </c>
      <c r="BR37" s="771">
        <f t="shared" ca="1" si="11"/>
        <v>0</v>
      </c>
      <c r="BS37" s="776">
        <f t="shared" ca="1" si="72"/>
        <v>90.319479138984804</v>
      </c>
      <c r="BT37" s="776">
        <f t="shared" ca="1" si="12"/>
        <v>86.319479138984804</v>
      </c>
      <c r="BU37" s="783">
        <f t="shared" ca="1" si="13"/>
        <v>31.170550268023181</v>
      </c>
      <c r="BV37" s="783">
        <f t="shared" ca="1" si="14"/>
        <v>31.170550268023181</v>
      </c>
      <c r="BW37" s="1019">
        <f t="shared" ca="1" si="73"/>
        <v>31.170550268023181</v>
      </c>
      <c r="BX37" s="771" cm="1">
        <f t="array" aca="1" ref="BX37" ca="1">INDIRECT("'Definition of Typical Day'!"&amp; ADDRESS($D37+29*(BX$16-1),$E37))</f>
        <v>65</v>
      </c>
      <c r="BY37" s="771">
        <f t="shared" ca="1" si="74"/>
        <v>1</v>
      </c>
      <c r="BZ37" s="781">
        <f t="shared" ca="1" si="15"/>
        <v>1</v>
      </c>
      <c r="CA37" s="781">
        <f t="shared" ca="1" si="16"/>
        <v>0.93241208255824237</v>
      </c>
      <c r="CB37" s="776">
        <f t="shared" ca="1" si="17"/>
        <v>180.00215253786868</v>
      </c>
      <c r="CC37" s="782">
        <f t="shared" si="18"/>
        <v>1</v>
      </c>
      <c r="CD37" s="782">
        <f t="shared" si="19"/>
        <v>17</v>
      </c>
      <c r="CE37" s="784" t="str" cm="1">
        <f t="array" aca="1" ref="CE37" ca="1">INDIRECT("'Definition of Typical Day'!"&amp;ADDRESS(CE$16,$E37))</f>
        <v>Winter day</v>
      </c>
      <c r="CF37" s="135"/>
      <c r="CG37" s="135"/>
      <c r="CH37" s="776">
        <f t="shared" ca="1" si="20"/>
        <v>2</v>
      </c>
      <c r="CI37" s="806">
        <f t="shared" ca="1" si="21"/>
        <v>6</v>
      </c>
      <c r="CJ37" s="770">
        <f t="shared" ca="1" si="22"/>
        <v>2.7692638851979798</v>
      </c>
      <c r="CK37" s="771">
        <f t="shared" ca="1" si="23"/>
        <v>2</v>
      </c>
      <c r="CL37" s="771">
        <f t="shared" ca="1" si="24"/>
        <v>0.79723624767472723</v>
      </c>
      <c r="CM37" s="772">
        <f t="shared" ca="1" si="25"/>
        <v>0</v>
      </c>
      <c r="CN37" s="135"/>
      <c r="CO37" s="770">
        <f t="shared" ca="1" si="76"/>
        <v>1.05</v>
      </c>
      <c r="CP37" s="771">
        <f t="shared" ca="1" si="27"/>
        <v>0.98</v>
      </c>
      <c r="CQ37" s="771">
        <f t="shared" ca="1" si="28"/>
        <v>0.96</v>
      </c>
      <c r="CR37" s="771">
        <f t="shared" ca="1" si="29"/>
        <v>0.95</v>
      </c>
      <c r="CS37" s="771">
        <f t="shared" ca="1" si="30"/>
        <v>1.02</v>
      </c>
      <c r="CT37" s="772">
        <f t="shared" ca="1" si="31"/>
        <v>0.02</v>
      </c>
      <c r="CU37" s="135"/>
      <c r="CV37" s="135"/>
      <c r="CW37" s="135"/>
      <c r="CX37" s="135"/>
      <c r="CY37" s="135"/>
      <c r="CZ37" s="135"/>
      <c r="DA37" s="135"/>
      <c r="DB37" s="135"/>
      <c r="DC37" s="135"/>
      <c r="DD37" s="135"/>
      <c r="DE37" s="135"/>
      <c r="DF37" s="135"/>
      <c r="DG37" s="135"/>
      <c r="DH37" s="135"/>
      <c r="DI37" s="135"/>
      <c r="DJ37" s="135"/>
      <c r="DK37" s="135"/>
      <c r="DL37" s="135"/>
      <c r="DM37" s="135"/>
      <c r="DN37" s="135"/>
      <c r="DO37" s="135"/>
      <c r="DP37" s="135"/>
      <c r="DQ37" s="135"/>
      <c r="DR37" s="135"/>
      <c r="DS37" s="135"/>
      <c r="DT37" s="135"/>
      <c r="DU37" s="135"/>
      <c r="DV37" s="135"/>
      <c r="DX37" s="135"/>
      <c r="DY37" s="135"/>
      <c r="DZ37" s="135"/>
      <c r="EA37" s="135"/>
      <c r="EB37" s="135"/>
      <c r="EC37" s="135"/>
      <c r="ED37" s="135"/>
      <c r="EE37" s="135"/>
      <c r="EF37" s="135"/>
      <c r="EG37" s="135"/>
      <c r="EH37" s="135"/>
      <c r="EI37" s="135"/>
      <c r="EJ37" s="135"/>
      <c r="EK37" s="135"/>
      <c r="EL37" s="135"/>
      <c r="EM37" s="135"/>
      <c r="EN37" s="135"/>
      <c r="EO37" s="135"/>
      <c r="EP37" s="135"/>
      <c r="EQ37" s="135"/>
      <c r="ER37" s="135"/>
      <c r="ES37" s="135"/>
      <c r="ET37" s="135"/>
      <c r="EU37" s="135"/>
      <c r="EV37" s="135"/>
      <c r="EW37" s="135"/>
      <c r="EX37" s="135"/>
      <c r="EY37" s="135"/>
      <c r="EZ37" s="135"/>
      <c r="FA37" s="135"/>
      <c r="FB37" s="135"/>
      <c r="FC37" s="135"/>
      <c r="FD37" s="135"/>
      <c r="FE37" s="135"/>
      <c r="FF37" s="135"/>
      <c r="FG37" s="135"/>
    </row>
    <row r="38" spans="1:163" s="57" customFormat="1" ht="11.25" outlineLevel="1">
      <c r="A38" s="765">
        <v>1</v>
      </c>
      <c r="B38" s="715" t="str" cm="1">
        <f t="array" aca="1" ref="B38" ca="1">INDIRECT("'Definition of Typical Day'!"&amp;ADDRESS(B$16,$E38))</f>
        <v>Winter day</v>
      </c>
      <c r="C38" s="766">
        <v>18</v>
      </c>
      <c r="D38" s="715">
        <f>ROW('Definition of Typical Day'!D52)</f>
        <v>52</v>
      </c>
      <c r="E38" s="715">
        <f t="shared" si="5"/>
        <v>5</v>
      </c>
      <c r="F38" s="767" cm="1">
        <f t="array" aca="1" ref="F38" ca="1">INDIRECT("'Definition of Typical Day'!D"&amp;D38)</f>
        <v>18</v>
      </c>
      <c r="G38" s="767" cm="1">
        <f t="array" aca="1" ref="G38" ca="1">INDIRECT("'Definition of Typical Day'!"&amp;ADDRESS(13,E38))</f>
        <v>1</v>
      </c>
      <c r="H38" s="768" cm="1">
        <f t="array" aca="1" ref="H38" ca="1">INDIRECT("'Definition of Typical Day'!"&amp; ADDRESS($D38+28*(H$16-1),$E38))</f>
        <v>2</v>
      </c>
      <c r="I38" s="715" cm="1">
        <f t="array" aca="1" ref="I38" ca="1">INDIRECT("'Definition of Typical Day'!"&amp; ADDRESS($D38+29*(I$16-1),$E38))</f>
        <v>40</v>
      </c>
      <c r="J38" s="715">
        <f t="shared" ca="1" si="32"/>
        <v>37</v>
      </c>
      <c r="K38" s="785">
        <f t="shared" si="33"/>
        <v>28</v>
      </c>
      <c r="L38" s="786" cm="1">
        <f t="array" aca="1" ref="L38" ca="1">INDIRECT("'Definition of Typical Day'!"&amp; ADDRESS($D38+29*(L$16-1),$E38))</f>
        <v>6</v>
      </c>
      <c r="M38" s="768" cm="1">
        <f t="array" aca="1" ref="M38" ca="1">INDIRECT("'Definition of Typical Day'!"&amp; ADDRESS($D38+29*(M$16-1),$E38))</f>
        <v>80</v>
      </c>
      <c r="N38" s="715">
        <f t="shared" si="34"/>
        <v>3</v>
      </c>
      <c r="O38" s="715">
        <f t="shared" ca="1" si="35"/>
        <v>83</v>
      </c>
      <c r="P38" s="715" cm="1">
        <f t="array" aca="1" ref="P38" ca="1">INDIRECT("'Definition of Typical Day'!"&amp; ADDRESS($D38+29*(P$16-1),$E38))</f>
        <v>45</v>
      </c>
      <c r="Q38" s="787">
        <f t="shared" ca="1" si="36"/>
        <v>48</v>
      </c>
      <c r="R38" s="792">
        <f t="shared" ca="1" si="37"/>
        <v>83</v>
      </c>
      <c r="S38" s="769">
        <f t="shared" si="38"/>
        <v>3</v>
      </c>
      <c r="T38" s="769">
        <f t="shared" ca="1" si="39"/>
        <v>0.24</v>
      </c>
      <c r="U38" s="769">
        <f t="shared" ca="1" si="40"/>
        <v>0.182</v>
      </c>
      <c r="V38" s="769">
        <f t="shared" ca="1" si="41"/>
        <v>0</v>
      </c>
      <c r="W38" s="769">
        <f t="shared" ca="1" si="42"/>
        <v>3.4220000000000002</v>
      </c>
      <c r="X38" s="794">
        <f t="shared" si="43"/>
        <v>3</v>
      </c>
      <c r="Y38" s="769">
        <f t="shared" ca="1" si="44"/>
        <v>3</v>
      </c>
      <c r="Z38" s="769">
        <f t="shared" ca="1" si="45"/>
        <v>2.8257638315441782</v>
      </c>
      <c r="AA38" s="795">
        <f t="shared" ca="1" si="46"/>
        <v>2.8257638315441782</v>
      </c>
      <c r="AB38" s="769">
        <f t="shared" ca="1" si="47"/>
        <v>0</v>
      </c>
      <c r="AC38" s="769">
        <f t="shared" ca="1" si="48"/>
        <v>0</v>
      </c>
      <c r="AD38" s="769">
        <f t="shared" ca="1" si="49"/>
        <v>0</v>
      </c>
      <c r="AE38" s="794">
        <f t="shared" ca="1" si="50"/>
        <v>2.8257638315441782</v>
      </c>
      <c r="AF38" s="769">
        <f t="shared" ca="1" si="51"/>
        <v>2.8257638315441782E-2</v>
      </c>
      <c r="AG38" s="769">
        <f t="shared" ca="1" si="52"/>
        <v>2.7975061932287364</v>
      </c>
      <c r="AH38" s="799">
        <f t="shared" ca="1" si="53"/>
        <v>2.7975061932287364</v>
      </c>
      <c r="AI38" s="801">
        <f t="shared" ca="1" si="54"/>
        <v>1</v>
      </c>
      <c r="AJ38" s="794">
        <f t="shared" ca="1" si="55"/>
        <v>2</v>
      </c>
      <c r="AK38" s="769">
        <f t="shared" ca="1" si="56"/>
        <v>0.82576383154417832</v>
      </c>
      <c r="AL38" s="769">
        <f t="shared" ca="1" si="57"/>
        <v>0</v>
      </c>
      <c r="AM38" s="804">
        <f t="shared" ca="1" si="6"/>
        <v>5.3333333333333337E-2</v>
      </c>
      <c r="AN38" s="795">
        <f t="shared" ca="1" si="7"/>
        <v>0</v>
      </c>
      <c r="AO38" s="251"/>
      <c r="AP38" s="770">
        <f t="shared" si="58"/>
        <v>0</v>
      </c>
      <c r="AQ38" s="771">
        <f t="shared" ca="1" si="59"/>
        <v>0</v>
      </c>
      <c r="AR38" s="771">
        <f t="shared" ca="1" si="60"/>
        <v>4</v>
      </c>
      <c r="AS38" s="772">
        <f t="shared" ca="1" si="61"/>
        <v>4</v>
      </c>
      <c r="AT38" s="231"/>
      <c r="AU38" s="770">
        <f>'Main Results - IRR DC Operator'!$F$16</f>
        <v>2</v>
      </c>
      <c r="AV38" s="773">
        <f>'Main Results - IRR DC Operator'!$F$15</f>
        <v>1</v>
      </c>
      <c r="AW38" s="771">
        <f t="shared" ca="1" si="62"/>
        <v>4</v>
      </c>
      <c r="AX38" s="772">
        <f t="shared" si="63"/>
        <v>0</v>
      </c>
      <c r="AY38" s="231"/>
      <c r="AZ38" s="770" cm="1">
        <f t="array" aca="1" ref="AZ38" ca="1">INDIRECT("'Definition of Typical Day'!"&amp; ADDRESS($D38+29*(AZ$16-1),$E38))+$AZ$17</f>
        <v>105.93</v>
      </c>
      <c r="BA38" s="771" cm="1">
        <f t="array" aca="1" ref="BA38" ca="1">INDIRECT("'Definition of Typical Day'!"&amp; ADDRESS($D38+29*(BA$16-1),$E38))+$BA$17</f>
        <v>105.93</v>
      </c>
      <c r="BB38" s="772" cm="1">
        <f t="array" aca="1" ref="BB38" ca="1">INDIRECT("'Definition of Typical Day'!"&amp;ADDRESS(BB$16,$E38))</f>
        <v>135</v>
      </c>
      <c r="BC38" s="776" cm="1">
        <f t="array" aca="1" ref="BC38" ca="1">INDIRECT("'Definition of Typical Day'!"&amp; ADDRESS($D38+29*(BC$16-1),$E38))</f>
        <v>104.93</v>
      </c>
      <c r="BD38" s="777" cm="1">
        <f t="array" aca="1" ref="BD38" ca="1">INDIRECT("'Definition of Typical Day'!"&amp; ADDRESS($D38+29*(BD$16-1),$E38))</f>
        <v>0.2</v>
      </c>
      <c r="BE38" s="776">
        <f t="shared" si="64"/>
        <v>0</v>
      </c>
      <c r="BF38" s="771">
        <f t="shared" ca="1" si="75"/>
        <v>87.473162675474811</v>
      </c>
      <c r="BG38" s="771">
        <f t="shared" ca="1" si="65"/>
        <v>7.6295623451692816</v>
      </c>
      <c r="BH38" s="771">
        <f t="shared" ca="1" si="66"/>
        <v>0</v>
      </c>
      <c r="BI38" s="776">
        <f t="shared" ca="1" si="67"/>
        <v>5.5962666666666676</v>
      </c>
      <c r="BJ38" s="776">
        <f t="shared" ca="1" si="68"/>
        <v>0</v>
      </c>
      <c r="BK38" s="776">
        <f t="shared" ca="1" si="69"/>
        <v>0</v>
      </c>
      <c r="BL38" s="776">
        <f t="shared" ca="1" si="70"/>
        <v>0</v>
      </c>
      <c r="BM38" s="135"/>
      <c r="BN38" s="776">
        <f t="shared" ca="1" si="71"/>
        <v>99.102725020644087</v>
      </c>
      <c r="BO38" s="778">
        <f t="shared" ca="1" si="8"/>
        <v>35.425381813458962</v>
      </c>
      <c r="BP38" s="770">
        <f t="shared" ca="1" si="9"/>
        <v>95.102725020644087</v>
      </c>
      <c r="BQ38" s="771">
        <f t="shared" ca="1" si="10"/>
        <v>0</v>
      </c>
      <c r="BR38" s="771">
        <f t="shared" ca="1" si="11"/>
        <v>0</v>
      </c>
      <c r="BS38" s="776">
        <f t="shared" ca="1" si="72"/>
        <v>99.102725020644087</v>
      </c>
      <c r="BT38" s="776">
        <f t="shared" ca="1" si="12"/>
        <v>95.102725020644087</v>
      </c>
      <c r="BU38" s="783">
        <f t="shared" ca="1" si="13"/>
        <v>33.99553690027097</v>
      </c>
      <c r="BV38" s="783">
        <f t="shared" ca="1" si="14"/>
        <v>33.99553690027097</v>
      </c>
      <c r="BW38" s="1019">
        <f t="shared" ca="1" si="73"/>
        <v>33.99553690027097</v>
      </c>
      <c r="BX38" s="771" cm="1">
        <f t="array" aca="1" ref="BX38" ca="1">INDIRECT("'Definition of Typical Day'!"&amp; ADDRESS($D38+29*(BX$16-1),$E38))</f>
        <v>65</v>
      </c>
      <c r="BY38" s="771">
        <f t="shared" ca="1" si="74"/>
        <v>1</v>
      </c>
      <c r="BZ38" s="781">
        <f t="shared" ca="1" si="15"/>
        <v>1</v>
      </c>
      <c r="CA38" s="781">
        <f t="shared" ca="1" si="16"/>
        <v>0.94192127718139274</v>
      </c>
      <c r="CB38" s="776">
        <f t="shared" ca="1" si="17"/>
        <v>181.83790255986787</v>
      </c>
      <c r="CC38" s="782">
        <f t="shared" si="18"/>
        <v>1</v>
      </c>
      <c r="CD38" s="782">
        <f t="shared" si="19"/>
        <v>18</v>
      </c>
      <c r="CE38" s="784" t="str" cm="1">
        <f t="array" aca="1" ref="CE38" ca="1">INDIRECT("'Definition of Typical Day'!"&amp;ADDRESS(CE$16,$E38))</f>
        <v>Winter day</v>
      </c>
      <c r="CF38" s="135"/>
      <c r="CG38" s="135"/>
      <c r="CH38" s="776">
        <f t="shared" ca="1" si="20"/>
        <v>2</v>
      </c>
      <c r="CI38" s="806">
        <f t="shared" ca="1" si="21"/>
        <v>6</v>
      </c>
      <c r="CJ38" s="770">
        <f t="shared" ca="1" si="22"/>
        <v>2.7975061932287364</v>
      </c>
      <c r="CK38" s="771">
        <f t="shared" ca="1" si="23"/>
        <v>2</v>
      </c>
      <c r="CL38" s="771">
        <f t="shared" ca="1" si="24"/>
        <v>0.82576383154417832</v>
      </c>
      <c r="CM38" s="772">
        <f t="shared" ca="1" si="25"/>
        <v>0</v>
      </c>
      <c r="CN38" s="135"/>
      <c r="CO38" s="770">
        <f t="shared" ca="1" si="76"/>
        <v>1.05</v>
      </c>
      <c r="CP38" s="771">
        <f t="shared" ca="1" si="27"/>
        <v>0.98</v>
      </c>
      <c r="CQ38" s="771">
        <f t="shared" ca="1" si="28"/>
        <v>0.96</v>
      </c>
      <c r="CR38" s="771">
        <f t="shared" ca="1" si="29"/>
        <v>0.95</v>
      </c>
      <c r="CS38" s="771">
        <f t="shared" ca="1" si="30"/>
        <v>1.02</v>
      </c>
      <c r="CT38" s="772">
        <f t="shared" ca="1" si="31"/>
        <v>0.02</v>
      </c>
      <c r="CU38" s="135"/>
      <c r="CV38" s="135"/>
      <c r="CW38" s="135"/>
      <c r="CX38" s="135"/>
      <c r="CY38" s="135"/>
      <c r="CZ38" s="135"/>
      <c r="DA38" s="135"/>
      <c r="DB38" s="135"/>
      <c r="DC38" s="135"/>
      <c r="DD38" s="135"/>
      <c r="DE38" s="135"/>
      <c r="DF38" s="135"/>
      <c r="DG38" s="135"/>
      <c r="DH38" s="135"/>
      <c r="DI38" s="135"/>
      <c r="DJ38" s="135"/>
      <c r="DK38" s="135"/>
      <c r="DL38" s="135"/>
      <c r="DM38" s="135"/>
      <c r="DN38" s="135"/>
      <c r="DO38" s="135"/>
      <c r="DP38" s="135"/>
      <c r="DQ38" s="135"/>
      <c r="DR38" s="135"/>
      <c r="DS38" s="135"/>
      <c r="DT38" s="135"/>
      <c r="DU38" s="135"/>
      <c r="DV38" s="135"/>
      <c r="DX38" s="135"/>
      <c r="DY38" s="135"/>
      <c r="DZ38" s="135"/>
      <c r="EA38" s="135"/>
      <c r="EB38" s="135"/>
      <c r="EC38" s="135"/>
      <c r="ED38" s="135"/>
      <c r="EE38" s="135"/>
      <c r="EF38" s="135"/>
      <c r="EG38" s="135"/>
      <c r="EH38" s="135"/>
      <c r="EI38" s="135"/>
      <c r="EJ38" s="135"/>
      <c r="EK38" s="135"/>
      <c r="EL38" s="135"/>
      <c r="EM38" s="135"/>
      <c r="EN38" s="135"/>
      <c r="EO38" s="135"/>
      <c r="EP38" s="135"/>
      <c r="EQ38" s="135"/>
      <c r="ER38" s="135"/>
      <c r="ES38" s="135"/>
      <c r="ET38" s="135"/>
      <c r="EU38" s="135"/>
      <c r="EV38" s="135"/>
      <c r="EW38" s="135"/>
      <c r="EX38" s="135"/>
      <c r="EY38" s="135"/>
      <c r="EZ38" s="135"/>
      <c r="FA38" s="135"/>
      <c r="FB38" s="135"/>
      <c r="FC38" s="135"/>
      <c r="FD38" s="135"/>
      <c r="FE38" s="135"/>
      <c r="FF38" s="135"/>
      <c r="FG38" s="135"/>
    </row>
    <row r="39" spans="1:163" s="57" customFormat="1" ht="11.25" outlineLevel="1">
      <c r="A39" s="765">
        <v>1</v>
      </c>
      <c r="B39" s="715" t="str" cm="1">
        <f t="array" aca="1" ref="B39" ca="1">INDIRECT("'Definition of Typical Day'!"&amp;ADDRESS(B$16,$E39))</f>
        <v>Winter day</v>
      </c>
      <c r="C39" s="766">
        <v>19</v>
      </c>
      <c r="D39" s="715">
        <f>ROW('Definition of Typical Day'!D53)</f>
        <v>53</v>
      </c>
      <c r="E39" s="715">
        <f t="shared" si="5"/>
        <v>5</v>
      </c>
      <c r="F39" s="767" cm="1">
        <f t="array" aca="1" ref="F39" ca="1">INDIRECT("'Definition of Typical Day'!D"&amp;D39)</f>
        <v>19</v>
      </c>
      <c r="G39" s="767" cm="1">
        <f t="array" aca="1" ref="G39" ca="1">INDIRECT("'Definition of Typical Day'!"&amp;ADDRESS(13,E39))</f>
        <v>1</v>
      </c>
      <c r="H39" s="768" cm="1">
        <f t="array" aca="1" ref="H39" ca="1">INDIRECT("'Definition of Typical Day'!"&amp; ADDRESS($D39+28*(H$16-1),$E39))</f>
        <v>2</v>
      </c>
      <c r="I39" s="715" cm="1">
        <f t="array" aca="1" ref="I39" ca="1">INDIRECT("'Definition of Typical Day'!"&amp; ADDRESS($D39+29*(I$16-1),$E39))</f>
        <v>40</v>
      </c>
      <c r="J39" s="715">
        <f t="shared" ca="1" si="32"/>
        <v>37</v>
      </c>
      <c r="K39" s="785">
        <f t="shared" si="33"/>
        <v>28</v>
      </c>
      <c r="L39" s="786" cm="1">
        <f t="array" aca="1" ref="L39" ca="1">INDIRECT("'Definition of Typical Day'!"&amp; ADDRESS($D39+29*(L$16-1),$E39))</f>
        <v>6</v>
      </c>
      <c r="M39" s="768" cm="1">
        <f t="array" aca="1" ref="M39" ca="1">INDIRECT("'Definition of Typical Day'!"&amp; ADDRESS($D39+29*(M$16-1),$E39))</f>
        <v>82</v>
      </c>
      <c r="N39" s="715">
        <f t="shared" si="34"/>
        <v>3</v>
      </c>
      <c r="O39" s="715">
        <f t="shared" ca="1" si="35"/>
        <v>85</v>
      </c>
      <c r="P39" s="715" cm="1">
        <f t="array" aca="1" ref="P39" ca="1">INDIRECT("'Definition of Typical Day'!"&amp; ADDRESS($D39+29*(P$16-1),$E39))</f>
        <v>45</v>
      </c>
      <c r="Q39" s="787">
        <f t="shared" ca="1" si="36"/>
        <v>48</v>
      </c>
      <c r="R39" s="792">
        <f t="shared" ca="1" si="37"/>
        <v>85</v>
      </c>
      <c r="S39" s="769">
        <f t="shared" si="38"/>
        <v>3</v>
      </c>
      <c r="T39" s="769">
        <f t="shared" ca="1" si="39"/>
        <v>0.24</v>
      </c>
      <c r="U39" s="769">
        <f t="shared" ca="1" si="40"/>
        <v>0.13</v>
      </c>
      <c r="V39" s="769">
        <f t="shared" ca="1" si="41"/>
        <v>0</v>
      </c>
      <c r="W39" s="769">
        <f t="shared" ca="1" si="42"/>
        <v>3.37</v>
      </c>
      <c r="X39" s="794">
        <f t="shared" si="43"/>
        <v>3</v>
      </c>
      <c r="Y39" s="769">
        <f t="shared" ca="1" si="44"/>
        <v>3</v>
      </c>
      <c r="Z39" s="769">
        <f t="shared" ca="1" si="45"/>
        <v>2.8438818565400843</v>
      </c>
      <c r="AA39" s="795">
        <f t="shared" ca="1" si="46"/>
        <v>2.8438818565400843</v>
      </c>
      <c r="AB39" s="769">
        <f t="shared" ca="1" si="47"/>
        <v>0</v>
      </c>
      <c r="AC39" s="769">
        <f t="shared" ca="1" si="48"/>
        <v>0</v>
      </c>
      <c r="AD39" s="769">
        <f t="shared" ca="1" si="49"/>
        <v>0</v>
      </c>
      <c r="AE39" s="794">
        <f t="shared" ca="1" si="50"/>
        <v>2.8438818565400843</v>
      </c>
      <c r="AF39" s="769">
        <f t="shared" ca="1" si="51"/>
        <v>2.8438818565400842E-2</v>
      </c>
      <c r="AG39" s="769">
        <f t="shared" ca="1" si="52"/>
        <v>2.8154430379746835</v>
      </c>
      <c r="AH39" s="799">
        <f t="shared" ca="1" si="53"/>
        <v>2.8154430379746835</v>
      </c>
      <c r="AI39" s="801">
        <f t="shared" ca="1" si="54"/>
        <v>1</v>
      </c>
      <c r="AJ39" s="794">
        <f t="shared" ca="1" si="55"/>
        <v>2</v>
      </c>
      <c r="AK39" s="769">
        <f t="shared" ca="1" si="56"/>
        <v>0.8438818565400843</v>
      </c>
      <c r="AL39" s="769">
        <f t="shared" ca="1" si="57"/>
        <v>0</v>
      </c>
      <c r="AM39" s="804">
        <f t="shared" ca="1" si="6"/>
        <v>5.3333333333333337E-2</v>
      </c>
      <c r="AN39" s="795">
        <f t="shared" ca="1" si="7"/>
        <v>0</v>
      </c>
      <c r="AO39" s="251"/>
      <c r="AP39" s="770">
        <f t="shared" si="58"/>
        <v>0</v>
      </c>
      <c r="AQ39" s="771">
        <f t="shared" ca="1" si="59"/>
        <v>0</v>
      </c>
      <c r="AR39" s="771">
        <f t="shared" ca="1" si="60"/>
        <v>4</v>
      </c>
      <c r="AS39" s="772">
        <f t="shared" ca="1" si="61"/>
        <v>4</v>
      </c>
      <c r="AT39" s="231"/>
      <c r="AU39" s="770">
        <f>'Main Results - IRR DC Operator'!$F$16</f>
        <v>2</v>
      </c>
      <c r="AV39" s="773">
        <f>'Main Results - IRR DC Operator'!$F$15</f>
        <v>1</v>
      </c>
      <c r="AW39" s="771">
        <f t="shared" ca="1" si="62"/>
        <v>4</v>
      </c>
      <c r="AX39" s="772">
        <f t="shared" si="63"/>
        <v>0</v>
      </c>
      <c r="AY39" s="231"/>
      <c r="AZ39" s="770" cm="1">
        <f t="array" aca="1" ref="AZ39" ca="1">INDIRECT("'Definition of Typical Day'!"&amp; ADDRESS($D39+29*(AZ$16-1),$E39))+$AZ$17</f>
        <v>110.87</v>
      </c>
      <c r="BA39" s="771" cm="1">
        <f t="array" aca="1" ref="BA39" ca="1">INDIRECT("'Definition of Typical Day'!"&amp; ADDRESS($D39+29*(BA$16-1),$E39))+$BA$17</f>
        <v>110.87</v>
      </c>
      <c r="BB39" s="772" cm="1">
        <f t="array" aca="1" ref="BB39" ca="1">INDIRECT("'Definition of Typical Day'!"&amp;ADDRESS(BB$16,$E39))</f>
        <v>135</v>
      </c>
      <c r="BC39" s="776" cm="1">
        <f t="array" aca="1" ref="BC39" ca="1">INDIRECT("'Definition of Typical Day'!"&amp; ADDRESS($D39+29*(BC$16-1),$E39))</f>
        <v>109.87</v>
      </c>
      <c r="BD39" s="777" cm="1">
        <f t="array" aca="1" ref="BD39" ca="1">INDIRECT("'Definition of Typical Day'!"&amp; ADDRESS($D39+29*(BD$16-1),$E39))</f>
        <v>0.2</v>
      </c>
      <c r="BE39" s="776">
        <f t="shared" si="64"/>
        <v>0</v>
      </c>
      <c r="BF39" s="771">
        <f t="shared" ca="1" si="75"/>
        <v>93.561181434599149</v>
      </c>
      <c r="BG39" s="771">
        <f t="shared" ca="1" si="65"/>
        <v>7.678481012658227</v>
      </c>
      <c r="BH39" s="771">
        <f t="shared" ca="1" si="66"/>
        <v>0</v>
      </c>
      <c r="BI39" s="776">
        <f t="shared" ca="1" si="67"/>
        <v>5.8597333333333337</v>
      </c>
      <c r="BJ39" s="776">
        <f t="shared" ca="1" si="68"/>
        <v>0</v>
      </c>
      <c r="BK39" s="776">
        <f t="shared" ca="1" si="69"/>
        <v>0</v>
      </c>
      <c r="BL39" s="776">
        <f t="shared" ca="1" si="70"/>
        <v>0</v>
      </c>
      <c r="BM39" s="135"/>
      <c r="BN39" s="776">
        <f t="shared" ca="1" si="71"/>
        <v>105.23966244725737</v>
      </c>
      <c r="BO39" s="778">
        <f t="shared" ca="1" si="8"/>
        <v>37.379432305248322</v>
      </c>
      <c r="BP39" s="770">
        <f t="shared" ca="1" si="9"/>
        <v>101.23966244725737</v>
      </c>
      <c r="BQ39" s="771">
        <f t="shared" ca="1" si="10"/>
        <v>0</v>
      </c>
      <c r="BR39" s="771">
        <f t="shared" ca="1" si="11"/>
        <v>0</v>
      </c>
      <c r="BS39" s="776">
        <f t="shared" ca="1" si="72"/>
        <v>105.23966244725737</v>
      </c>
      <c r="BT39" s="776">
        <f t="shared" ca="1" si="12"/>
        <v>101.23966244725737</v>
      </c>
      <c r="BU39" s="783">
        <f t="shared" ca="1" si="13"/>
        <v>35.958696759883701</v>
      </c>
      <c r="BV39" s="783">
        <f t="shared" ca="1" si="14"/>
        <v>35.958696759883701</v>
      </c>
      <c r="BW39" s="1019">
        <f t="shared" ca="1" si="73"/>
        <v>35.958696759883701</v>
      </c>
      <c r="BX39" s="771" cm="1">
        <f t="array" aca="1" ref="BX39" ca="1">INDIRECT("'Definition of Typical Day'!"&amp; ADDRESS($D39+29*(BX$16-1),$E39))</f>
        <v>65</v>
      </c>
      <c r="BY39" s="771">
        <f t="shared" ca="1" si="74"/>
        <v>1</v>
      </c>
      <c r="BZ39" s="781">
        <f t="shared" ca="1" si="15"/>
        <v>1</v>
      </c>
      <c r="CA39" s="781">
        <f t="shared" ca="1" si="16"/>
        <v>0.9479606188466948</v>
      </c>
      <c r="CB39" s="776">
        <f t="shared" ca="1" si="17"/>
        <v>183.00379746835443</v>
      </c>
      <c r="CC39" s="782">
        <f t="shared" si="18"/>
        <v>1</v>
      </c>
      <c r="CD39" s="782">
        <f t="shared" si="19"/>
        <v>19</v>
      </c>
      <c r="CE39" s="784" t="str" cm="1">
        <f t="array" aca="1" ref="CE39" ca="1">INDIRECT("'Definition of Typical Day'!"&amp;ADDRESS(CE$16,$E39))</f>
        <v>Winter day</v>
      </c>
      <c r="CF39" s="135"/>
      <c r="CG39" s="135"/>
      <c r="CH39" s="776">
        <f t="shared" ca="1" si="20"/>
        <v>2</v>
      </c>
      <c r="CI39" s="806">
        <f t="shared" ca="1" si="21"/>
        <v>6</v>
      </c>
      <c r="CJ39" s="770">
        <f t="shared" ca="1" si="22"/>
        <v>2.8154430379746835</v>
      </c>
      <c r="CK39" s="771">
        <f t="shared" ca="1" si="23"/>
        <v>2</v>
      </c>
      <c r="CL39" s="771">
        <f t="shared" ca="1" si="24"/>
        <v>0.8438818565400843</v>
      </c>
      <c r="CM39" s="772">
        <f t="shared" ca="1" si="25"/>
        <v>0</v>
      </c>
      <c r="CN39" s="135"/>
      <c r="CO39" s="770">
        <f t="shared" ca="1" si="76"/>
        <v>1.05</v>
      </c>
      <c r="CP39" s="771">
        <f t="shared" ca="1" si="27"/>
        <v>0.98</v>
      </c>
      <c r="CQ39" s="771">
        <f t="shared" ca="1" si="28"/>
        <v>0.96</v>
      </c>
      <c r="CR39" s="771">
        <f t="shared" ca="1" si="29"/>
        <v>0.95</v>
      </c>
      <c r="CS39" s="771">
        <f t="shared" ca="1" si="30"/>
        <v>1.02</v>
      </c>
      <c r="CT39" s="772">
        <f t="shared" ca="1" si="31"/>
        <v>0.02</v>
      </c>
      <c r="CU39" s="135"/>
      <c r="CV39" s="135"/>
      <c r="CW39" s="135"/>
      <c r="CX39" s="135"/>
      <c r="CY39" s="135"/>
      <c r="CZ39" s="135"/>
      <c r="DA39" s="135"/>
      <c r="DB39" s="135"/>
      <c r="DC39" s="135"/>
      <c r="DD39" s="135"/>
      <c r="DE39" s="135"/>
      <c r="DF39" s="135"/>
      <c r="DG39" s="135"/>
      <c r="DH39" s="135"/>
      <c r="DI39" s="135"/>
      <c r="DJ39" s="135"/>
      <c r="DK39" s="135"/>
      <c r="DL39" s="135"/>
      <c r="DM39" s="135"/>
      <c r="DN39" s="135"/>
      <c r="DO39" s="135"/>
      <c r="DP39" s="135"/>
      <c r="DQ39" s="135"/>
      <c r="DR39" s="135"/>
      <c r="DS39" s="135"/>
      <c r="DT39" s="135"/>
      <c r="DU39" s="135"/>
      <c r="DV39" s="135"/>
      <c r="DX39" s="135"/>
      <c r="DY39" s="135"/>
      <c r="DZ39" s="135"/>
      <c r="EA39" s="135"/>
      <c r="EB39" s="135"/>
      <c r="EC39" s="135"/>
      <c r="ED39" s="135"/>
      <c r="EE39" s="135"/>
      <c r="EF39" s="135"/>
      <c r="EG39" s="135"/>
      <c r="EH39" s="135"/>
      <c r="EI39" s="135"/>
      <c r="EJ39" s="135"/>
      <c r="EK39" s="135"/>
      <c r="EL39" s="135"/>
      <c r="EM39" s="135"/>
      <c r="EN39" s="135"/>
      <c r="EO39" s="135"/>
      <c r="EP39" s="135"/>
      <c r="EQ39" s="135"/>
      <c r="ER39" s="135"/>
      <c r="ES39" s="135"/>
      <c r="ET39" s="135"/>
      <c r="EU39" s="135"/>
      <c r="EV39" s="135"/>
      <c r="EW39" s="135"/>
      <c r="EX39" s="135"/>
      <c r="EY39" s="135"/>
      <c r="EZ39" s="135"/>
      <c r="FA39" s="135"/>
      <c r="FB39" s="135"/>
      <c r="FC39" s="135"/>
      <c r="FD39" s="135"/>
      <c r="FE39" s="135"/>
      <c r="FF39" s="135"/>
      <c r="FG39" s="135"/>
    </row>
    <row r="40" spans="1:163" s="57" customFormat="1" ht="11.25" outlineLevel="1">
      <c r="A40" s="765">
        <v>1</v>
      </c>
      <c r="B40" s="715" t="str" cm="1">
        <f t="array" aca="1" ref="B40" ca="1">INDIRECT("'Definition of Typical Day'!"&amp;ADDRESS(B$16,$E40))</f>
        <v>Winter day</v>
      </c>
      <c r="C40" s="766">
        <v>20</v>
      </c>
      <c r="D40" s="715">
        <f>ROW('Definition of Typical Day'!D54)</f>
        <v>54</v>
      </c>
      <c r="E40" s="715">
        <f t="shared" si="5"/>
        <v>5</v>
      </c>
      <c r="F40" s="767" cm="1">
        <f t="array" aca="1" ref="F40" ca="1">INDIRECT("'Definition of Typical Day'!D"&amp;D40)</f>
        <v>20</v>
      </c>
      <c r="G40" s="767" cm="1">
        <f t="array" aca="1" ref="G40" ca="1">INDIRECT("'Definition of Typical Day'!"&amp;ADDRESS(13,E40))</f>
        <v>1</v>
      </c>
      <c r="H40" s="768" cm="1">
        <f t="array" aca="1" ref="H40" ca="1">INDIRECT("'Definition of Typical Day'!"&amp; ADDRESS($D40+28*(H$16-1),$E40))</f>
        <v>2</v>
      </c>
      <c r="I40" s="715" cm="1">
        <f t="array" aca="1" ref="I40" ca="1">INDIRECT("'Definition of Typical Day'!"&amp; ADDRESS($D40+29*(I$16-1),$E40))</f>
        <v>40</v>
      </c>
      <c r="J40" s="715">
        <f t="shared" ca="1" si="32"/>
        <v>37</v>
      </c>
      <c r="K40" s="785">
        <f t="shared" si="33"/>
        <v>28</v>
      </c>
      <c r="L40" s="786" cm="1">
        <f t="array" aca="1" ref="L40" ca="1">INDIRECT("'Definition of Typical Day'!"&amp; ADDRESS($D40+29*(L$16-1),$E40))</f>
        <v>6</v>
      </c>
      <c r="M40" s="768" cm="1">
        <f t="array" aca="1" ref="M40" ca="1">INDIRECT("'Definition of Typical Day'!"&amp; ADDRESS($D40+29*(M$16-1),$E40))</f>
        <v>83</v>
      </c>
      <c r="N40" s="715">
        <f t="shared" si="34"/>
        <v>3</v>
      </c>
      <c r="O40" s="715">
        <f t="shared" ca="1" si="35"/>
        <v>86</v>
      </c>
      <c r="P40" s="715" cm="1">
        <f t="array" aca="1" ref="P40" ca="1">INDIRECT("'Definition of Typical Day'!"&amp; ADDRESS($D40+29*(P$16-1),$E40))</f>
        <v>45</v>
      </c>
      <c r="Q40" s="787">
        <f t="shared" ca="1" si="36"/>
        <v>48</v>
      </c>
      <c r="R40" s="792">
        <f t="shared" ca="1" si="37"/>
        <v>86</v>
      </c>
      <c r="S40" s="769">
        <f t="shared" si="38"/>
        <v>3</v>
      </c>
      <c r="T40" s="769">
        <f t="shared" ca="1" si="39"/>
        <v>0.24</v>
      </c>
      <c r="U40" s="769">
        <f t="shared" ca="1" si="40"/>
        <v>0.104</v>
      </c>
      <c r="V40" s="769">
        <f t="shared" ca="1" si="41"/>
        <v>0</v>
      </c>
      <c r="W40" s="769">
        <f t="shared" ca="1" si="42"/>
        <v>3.3440000000000003</v>
      </c>
      <c r="X40" s="794">
        <f t="shared" si="43"/>
        <v>3</v>
      </c>
      <c r="Y40" s="769">
        <f t="shared" ca="1" si="44"/>
        <v>3</v>
      </c>
      <c r="Z40" s="769">
        <f t="shared" ca="1" si="45"/>
        <v>2.8532423208191124</v>
      </c>
      <c r="AA40" s="795">
        <f t="shared" ca="1" si="46"/>
        <v>2.8532423208191124</v>
      </c>
      <c r="AB40" s="769">
        <f t="shared" ca="1" si="47"/>
        <v>0</v>
      </c>
      <c r="AC40" s="769">
        <f t="shared" ca="1" si="48"/>
        <v>0</v>
      </c>
      <c r="AD40" s="769">
        <f t="shared" ca="1" si="49"/>
        <v>0</v>
      </c>
      <c r="AE40" s="794">
        <f t="shared" ca="1" si="50"/>
        <v>2.8532423208191124</v>
      </c>
      <c r="AF40" s="769">
        <f t="shared" ca="1" si="51"/>
        <v>2.8532423208191125E-2</v>
      </c>
      <c r="AG40" s="769">
        <f t="shared" ca="1" si="52"/>
        <v>2.8247098976109215</v>
      </c>
      <c r="AH40" s="799">
        <f t="shared" ca="1" si="53"/>
        <v>2.8247098976109215</v>
      </c>
      <c r="AI40" s="801">
        <f t="shared" ca="1" si="54"/>
        <v>1</v>
      </c>
      <c r="AJ40" s="794">
        <f t="shared" ca="1" si="55"/>
        <v>2</v>
      </c>
      <c r="AK40" s="769">
        <f t="shared" ca="1" si="56"/>
        <v>0.85324232081911244</v>
      </c>
      <c r="AL40" s="769">
        <f t="shared" ca="1" si="57"/>
        <v>0</v>
      </c>
      <c r="AM40" s="804">
        <f t="shared" ca="1" si="6"/>
        <v>5.3333333333333337E-2</v>
      </c>
      <c r="AN40" s="795">
        <f t="shared" ca="1" si="7"/>
        <v>0</v>
      </c>
      <c r="AO40" s="251"/>
      <c r="AP40" s="770">
        <f t="shared" si="58"/>
        <v>0</v>
      </c>
      <c r="AQ40" s="771">
        <f t="shared" ca="1" si="59"/>
        <v>0</v>
      </c>
      <c r="AR40" s="771">
        <f t="shared" ca="1" si="60"/>
        <v>4</v>
      </c>
      <c r="AS40" s="772">
        <f t="shared" ca="1" si="61"/>
        <v>4</v>
      </c>
      <c r="AT40" s="231"/>
      <c r="AU40" s="770">
        <f>'Main Results - IRR DC Operator'!$F$16</f>
        <v>2</v>
      </c>
      <c r="AV40" s="773">
        <f>'Main Results - IRR DC Operator'!$F$15</f>
        <v>1</v>
      </c>
      <c r="AW40" s="771">
        <f t="shared" ca="1" si="62"/>
        <v>4</v>
      </c>
      <c r="AX40" s="772">
        <f t="shared" si="63"/>
        <v>0</v>
      </c>
      <c r="AY40" s="231"/>
      <c r="AZ40" s="770" cm="1">
        <f t="array" aca="1" ref="AZ40" ca="1">INDIRECT("'Definition of Typical Day'!"&amp; ADDRESS($D40+29*(AZ$16-1),$E40))+$AZ$17</f>
        <v>102.57</v>
      </c>
      <c r="BA40" s="771" cm="1">
        <f t="array" aca="1" ref="BA40" ca="1">INDIRECT("'Definition of Typical Day'!"&amp; ADDRESS($D40+29*(BA$16-1),$E40))+$BA$17</f>
        <v>102.57</v>
      </c>
      <c r="BB40" s="772" cm="1">
        <f t="array" aca="1" ref="BB40" ca="1">INDIRECT("'Definition of Typical Day'!"&amp;ADDRESS(BB$16,$E40))</f>
        <v>135</v>
      </c>
      <c r="BC40" s="776" cm="1">
        <f t="array" aca="1" ref="BC40" ca="1">INDIRECT("'Definition of Typical Day'!"&amp; ADDRESS($D40+29*(BC$16-1),$E40))</f>
        <v>101.57</v>
      </c>
      <c r="BD40" s="777" cm="1">
        <f t="array" aca="1" ref="BD40" ca="1">INDIRECT("'Definition of Typical Day'!"&amp; ADDRESS($D40+29*(BD$16-1),$E40))</f>
        <v>0.2</v>
      </c>
      <c r="BE40" s="776">
        <f t="shared" si="64"/>
        <v>0</v>
      </c>
      <c r="BF40" s="771">
        <f t="shared" ca="1" si="75"/>
        <v>87.517064846416361</v>
      </c>
      <c r="BG40" s="771">
        <f t="shared" ca="1" si="65"/>
        <v>7.7037542662116039</v>
      </c>
      <c r="BH40" s="771">
        <f t="shared" ca="1" si="66"/>
        <v>0</v>
      </c>
      <c r="BI40" s="776">
        <f t="shared" ca="1" si="67"/>
        <v>5.4170666666666669</v>
      </c>
      <c r="BJ40" s="776">
        <f t="shared" ca="1" si="68"/>
        <v>0</v>
      </c>
      <c r="BK40" s="776">
        <f t="shared" ca="1" si="69"/>
        <v>0</v>
      </c>
      <c r="BL40" s="776">
        <f t="shared" ca="1" si="70"/>
        <v>0</v>
      </c>
      <c r="BM40" s="135"/>
      <c r="BN40" s="776">
        <f t="shared" ca="1" si="71"/>
        <v>99.220819112627964</v>
      </c>
      <c r="BO40" s="778">
        <f t="shared" ca="1" si="8"/>
        <v>35.126020975303263</v>
      </c>
      <c r="BP40" s="770">
        <f t="shared" ca="1" si="9"/>
        <v>95.220819112627964</v>
      </c>
      <c r="BQ40" s="771">
        <f t="shared" ca="1" si="10"/>
        <v>0</v>
      </c>
      <c r="BR40" s="771">
        <f t="shared" ca="1" si="11"/>
        <v>0</v>
      </c>
      <c r="BS40" s="776">
        <f t="shared" ca="1" si="72"/>
        <v>99.220819112627964</v>
      </c>
      <c r="BT40" s="776">
        <f t="shared" ca="1" si="12"/>
        <v>95.220819112627964</v>
      </c>
      <c r="BU40" s="783">
        <f t="shared" ca="1" si="13"/>
        <v>33.709946353487013</v>
      </c>
      <c r="BV40" s="783">
        <f t="shared" ca="1" si="14"/>
        <v>33.709946353487013</v>
      </c>
      <c r="BW40" s="1019">
        <f t="shared" ca="1" si="73"/>
        <v>33.709946353487013</v>
      </c>
      <c r="BX40" s="771" cm="1">
        <f t="array" aca="1" ref="BX40" ca="1">INDIRECT("'Definition of Typical Day'!"&amp; ADDRESS($D40+29*(BX$16-1),$E40))</f>
        <v>65</v>
      </c>
      <c r="BY40" s="771">
        <f t="shared" ca="1" si="74"/>
        <v>1</v>
      </c>
      <c r="BZ40" s="781">
        <f t="shared" ca="1" si="15"/>
        <v>1</v>
      </c>
      <c r="CA40" s="781">
        <f t="shared" ca="1" si="16"/>
        <v>0.95108077360637078</v>
      </c>
      <c r="CB40" s="776">
        <f t="shared" ca="1" si="17"/>
        <v>183.60614334470989</v>
      </c>
      <c r="CC40" s="782">
        <f t="shared" si="18"/>
        <v>1</v>
      </c>
      <c r="CD40" s="782">
        <f t="shared" si="19"/>
        <v>20</v>
      </c>
      <c r="CE40" s="784" t="str" cm="1">
        <f t="array" aca="1" ref="CE40" ca="1">INDIRECT("'Definition of Typical Day'!"&amp;ADDRESS(CE$16,$E40))</f>
        <v>Winter day</v>
      </c>
      <c r="CF40" s="135"/>
      <c r="CG40" s="135"/>
      <c r="CH40" s="776">
        <f t="shared" ca="1" si="20"/>
        <v>2</v>
      </c>
      <c r="CI40" s="806">
        <f t="shared" ca="1" si="21"/>
        <v>6</v>
      </c>
      <c r="CJ40" s="770">
        <f t="shared" ca="1" si="22"/>
        <v>2.8247098976109215</v>
      </c>
      <c r="CK40" s="771">
        <f t="shared" ca="1" si="23"/>
        <v>2</v>
      </c>
      <c r="CL40" s="771">
        <f t="shared" ca="1" si="24"/>
        <v>0.85324232081911244</v>
      </c>
      <c r="CM40" s="772">
        <f t="shared" ca="1" si="25"/>
        <v>0</v>
      </c>
      <c r="CN40" s="135"/>
      <c r="CO40" s="770">
        <f t="shared" ca="1" si="76"/>
        <v>1.05</v>
      </c>
      <c r="CP40" s="771">
        <f t="shared" ca="1" si="27"/>
        <v>0.98</v>
      </c>
      <c r="CQ40" s="771">
        <f t="shared" ca="1" si="28"/>
        <v>0.96</v>
      </c>
      <c r="CR40" s="771">
        <f t="shared" ca="1" si="29"/>
        <v>0.95</v>
      </c>
      <c r="CS40" s="771">
        <f t="shared" ca="1" si="30"/>
        <v>1.02</v>
      </c>
      <c r="CT40" s="772">
        <f t="shared" ca="1" si="31"/>
        <v>0.02</v>
      </c>
      <c r="CU40" s="135"/>
      <c r="CV40" s="135"/>
      <c r="CW40" s="135"/>
      <c r="CX40" s="135"/>
      <c r="CY40" s="135"/>
      <c r="CZ40" s="135"/>
      <c r="DA40" s="135"/>
      <c r="DB40" s="135"/>
      <c r="DC40" s="135"/>
      <c r="DD40" s="135"/>
      <c r="DE40" s="135"/>
      <c r="DF40" s="135"/>
      <c r="DG40" s="135"/>
      <c r="DH40" s="135"/>
      <c r="DI40" s="135"/>
      <c r="DJ40" s="135"/>
      <c r="DK40" s="135"/>
      <c r="DL40" s="135"/>
      <c r="DM40" s="135"/>
      <c r="DN40" s="135"/>
      <c r="DO40" s="135"/>
      <c r="DP40" s="135"/>
      <c r="DQ40" s="135"/>
      <c r="DR40" s="135"/>
      <c r="DS40" s="135"/>
      <c r="DT40" s="135"/>
      <c r="DU40" s="135"/>
      <c r="DV40" s="135"/>
      <c r="DX40" s="135"/>
      <c r="DY40" s="135"/>
      <c r="DZ40" s="135"/>
      <c r="EA40" s="135"/>
      <c r="EB40" s="135"/>
      <c r="EC40" s="135"/>
      <c r="ED40" s="135"/>
      <c r="EE40" s="135"/>
      <c r="EF40" s="135"/>
      <c r="EG40" s="135"/>
      <c r="EH40" s="135"/>
      <c r="EI40" s="135"/>
      <c r="EJ40" s="135"/>
      <c r="EK40" s="135"/>
      <c r="EL40" s="135"/>
      <c r="EM40" s="135"/>
      <c r="EN40" s="135"/>
      <c r="EO40" s="135"/>
      <c r="EP40" s="135"/>
      <c r="EQ40" s="135"/>
      <c r="ER40" s="135"/>
      <c r="ES40" s="135"/>
      <c r="ET40" s="135"/>
      <c r="EU40" s="135"/>
      <c r="EV40" s="135"/>
      <c r="EW40" s="135"/>
      <c r="EX40" s="135"/>
      <c r="EY40" s="135"/>
      <c r="EZ40" s="135"/>
      <c r="FA40" s="135"/>
      <c r="FB40" s="135"/>
      <c r="FC40" s="135"/>
      <c r="FD40" s="135"/>
      <c r="FE40" s="135"/>
      <c r="FF40" s="135"/>
      <c r="FG40" s="135"/>
    </row>
    <row r="41" spans="1:163" s="57" customFormat="1" ht="11.25" outlineLevel="1">
      <c r="A41" s="765">
        <v>1</v>
      </c>
      <c r="B41" s="715" t="str" cm="1">
        <f t="array" aca="1" ref="B41" ca="1">INDIRECT("'Definition of Typical Day'!"&amp;ADDRESS(B$16,$E41))</f>
        <v>Winter day</v>
      </c>
      <c r="C41" s="766">
        <v>21</v>
      </c>
      <c r="D41" s="715">
        <f>ROW('Definition of Typical Day'!D55)</f>
        <v>55</v>
      </c>
      <c r="E41" s="715">
        <f t="shared" si="5"/>
        <v>5</v>
      </c>
      <c r="F41" s="767" cm="1">
        <f t="array" aca="1" ref="F41" ca="1">INDIRECT("'Definition of Typical Day'!D"&amp;D41)</f>
        <v>21</v>
      </c>
      <c r="G41" s="767" cm="1">
        <f t="array" aca="1" ref="G41" ca="1">INDIRECT("'Definition of Typical Day'!"&amp;ADDRESS(13,E41))</f>
        <v>1</v>
      </c>
      <c r="H41" s="768" cm="1">
        <f t="array" aca="1" ref="H41" ca="1">INDIRECT("'Definition of Typical Day'!"&amp; ADDRESS($D41+28*(H$16-1),$E41))</f>
        <v>2</v>
      </c>
      <c r="I41" s="715" cm="1">
        <f t="array" aca="1" ref="I41" ca="1">INDIRECT("'Definition of Typical Day'!"&amp; ADDRESS($D41+29*(I$16-1),$E41))</f>
        <v>40</v>
      </c>
      <c r="J41" s="715">
        <f t="shared" ca="1" si="32"/>
        <v>37</v>
      </c>
      <c r="K41" s="785">
        <f t="shared" si="33"/>
        <v>28</v>
      </c>
      <c r="L41" s="786" cm="1">
        <f t="array" aca="1" ref="L41" ca="1">INDIRECT("'Definition of Typical Day'!"&amp; ADDRESS($D41+29*(L$16-1),$E41))</f>
        <v>6</v>
      </c>
      <c r="M41" s="768" cm="1">
        <f t="array" aca="1" ref="M41" ca="1">INDIRECT("'Definition of Typical Day'!"&amp; ADDRESS($D41+29*(M$16-1),$E41))</f>
        <v>84</v>
      </c>
      <c r="N41" s="715">
        <f t="shared" si="34"/>
        <v>3</v>
      </c>
      <c r="O41" s="715">
        <f t="shared" ca="1" si="35"/>
        <v>87</v>
      </c>
      <c r="P41" s="715" cm="1">
        <f t="array" aca="1" ref="P41" ca="1">INDIRECT("'Definition of Typical Day'!"&amp; ADDRESS($D41+29*(P$16-1),$E41))</f>
        <v>45</v>
      </c>
      <c r="Q41" s="787">
        <f t="shared" ca="1" si="36"/>
        <v>48</v>
      </c>
      <c r="R41" s="792">
        <f t="shared" ca="1" si="37"/>
        <v>87</v>
      </c>
      <c r="S41" s="769">
        <f t="shared" si="38"/>
        <v>3</v>
      </c>
      <c r="T41" s="769">
        <f t="shared" ca="1" si="39"/>
        <v>0.24</v>
      </c>
      <c r="U41" s="769">
        <f t="shared" ca="1" si="40"/>
        <v>7.8E-2</v>
      </c>
      <c r="V41" s="769">
        <f t="shared" ca="1" si="41"/>
        <v>0</v>
      </c>
      <c r="W41" s="769">
        <f t="shared" ca="1" si="42"/>
        <v>3.3180000000000001</v>
      </c>
      <c r="X41" s="794">
        <f t="shared" si="43"/>
        <v>3</v>
      </c>
      <c r="Y41" s="769">
        <f t="shared" ca="1" si="44"/>
        <v>3</v>
      </c>
      <c r="Z41" s="769">
        <f t="shared" ca="1" si="45"/>
        <v>2.8628127696289907</v>
      </c>
      <c r="AA41" s="795">
        <f t="shared" ca="1" si="46"/>
        <v>2.8628127696289907</v>
      </c>
      <c r="AB41" s="769">
        <f t="shared" ca="1" si="47"/>
        <v>0</v>
      </c>
      <c r="AC41" s="769">
        <f t="shared" ca="1" si="48"/>
        <v>0</v>
      </c>
      <c r="AD41" s="769">
        <f t="shared" ca="1" si="49"/>
        <v>0</v>
      </c>
      <c r="AE41" s="794">
        <f t="shared" ca="1" si="50"/>
        <v>2.8628127696289907</v>
      </c>
      <c r="AF41" s="769">
        <f t="shared" ca="1" si="51"/>
        <v>2.8628127696289907E-2</v>
      </c>
      <c r="AG41" s="769">
        <f t="shared" ca="1" si="52"/>
        <v>2.8341846419327008</v>
      </c>
      <c r="AH41" s="799">
        <f t="shared" ca="1" si="53"/>
        <v>2.8341846419327008</v>
      </c>
      <c r="AI41" s="801">
        <f t="shared" ca="1" si="54"/>
        <v>1</v>
      </c>
      <c r="AJ41" s="794">
        <f t="shared" ca="1" si="55"/>
        <v>2</v>
      </c>
      <c r="AK41" s="769">
        <f t="shared" ca="1" si="56"/>
        <v>0.86281276962899056</v>
      </c>
      <c r="AL41" s="769">
        <f t="shared" ca="1" si="57"/>
        <v>0</v>
      </c>
      <c r="AM41" s="804">
        <f t="shared" ca="1" si="6"/>
        <v>5.3333333333333337E-2</v>
      </c>
      <c r="AN41" s="795">
        <f t="shared" ca="1" si="7"/>
        <v>0</v>
      </c>
      <c r="AO41" s="251"/>
      <c r="AP41" s="770">
        <f t="shared" si="58"/>
        <v>0</v>
      </c>
      <c r="AQ41" s="771">
        <f t="shared" ca="1" si="59"/>
        <v>0</v>
      </c>
      <c r="AR41" s="771">
        <f t="shared" ca="1" si="60"/>
        <v>4</v>
      </c>
      <c r="AS41" s="772">
        <f t="shared" ca="1" si="61"/>
        <v>4</v>
      </c>
      <c r="AT41" s="231"/>
      <c r="AU41" s="770">
        <f>'Main Results - IRR DC Operator'!$F$16</f>
        <v>2</v>
      </c>
      <c r="AV41" s="773">
        <f>'Main Results - IRR DC Operator'!$F$15</f>
        <v>1</v>
      </c>
      <c r="AW41" s="771">
        <f t="shared" ca="1" si="62"/>
        <v>4</v>
      </c>
      <c r="AX41" s="772">
        <f t="shared" si="63"/>
        <v>0</v>
      </c>
      <c r="AY41" s="231"/>
      <c r="AZ41" s="770" cm="1">
        <f t="array" aca="1" ref="AZ41" ca="1">INDIRECT("'Definition of Typical Day'!"&amp; ADDRESS($D41+29*(AZ$16-1),$E41))+$AZ$17</f>
        <v>92.97</v>
      </c>
      <c r="BA41" s="771" cm="1">
        <f t="array" aca="1" ref="BA41" ca="1">INDIRECT("'Definition of Typical Day'!"&amp; ADDRESS($D41+29*(BA$16-1),$E41))+$BA$17</f>
        <v>92.97</v>
      </c>
      <c r="BB41" s="772" cm="1">
        <f t="array" aca="1" ref="BB41" ca="1">INDIRECT("'Definition of Typical Day'!"&amp;ADDRESS(BB$16,$E41))</f>
        <v>135</v>
      </c>
      <c r="BC41" s="776" cm="1">
        <f t="array" aca="1" ref="BC41" ca="1">INDIRECT("'Definition of Typical Day'!"&amp; ADDRESS($D41+29*(BC$16-1),$E41))</f>
        <v>91.97</v>
      </c>
      <c r="BD41" s="777" cm="1">
        <f t="array" aca="1" ref="BD41" ca="1">INDIRECT("'Definition of Typical Day'!"&amp; ADDRESS($D41+29*(BD$16-1),$E41))</f>
        <v>0.2</v>
      </c>
      <c r="BE41" s="776">
        <f t="shared" si="64"/>
        <v>0</v>
      </c>
      <c r="BF41" s="771">
        <f t="shared" ca="1" si="75"/>
        <v>80.215703192407247</v>
      </c>
      <c r="BG41" s="771">
        <f t="shared" ca="1" si="65"/>
        <v>7.7295944779982753</v>
      </c>
      <c r="BH41" s="771">
        <f t="shared" ca="1" si="66"/>
        <v>0</v>
      </c>
      <c r="BI41" s="776">
        <f t="shared" ca="1" si="67"/>
        <v>4.9050666666666674</v>
      </c>
      <c r="BJ41" s="776">
        <f t="shared" ca="1" si="68"/>
        <v>0</v>
      </c>
      <c r="BK41" s="776">
        <f t="shared" ca="1" si="69"/>
        <v>0</v>
      </c>
      <c r="BL41" s="776">
        <f t="shared" ca="1" si="70"/>
        <v>0</v>
      </c>
      <c r="BM41" s="135"/>
      <c r="BN41" s="776">
        <f t="shared" ca="1" si="71"/>
        <v>91.945297670405523</v>
      </c>
      <c r="BO41" s="778">
        <f t="shared" ca="1" si="8"/>
        <v>32.441534087103705</v>
      </c>
      <c r="BP41" s="770">
        <f t="shared" ca="1" si="9"/>
        <v>87.945297670405523</v>
      </c>
      <c r="BQ41" s="771">
        <f t="shared" ca="1" si="10"/>
        <v>0</v>
      </c>
      <c r="BR41" s="771">
        <f t="shared" ca="1" si="11"/>
        <v>0</v>
      </c>
      <c r="BS41" s="776">
        <f t="shared" ca="1" si="72"/>
        <v>91.945297670405523</v>
      </c>
      <c r="BT41" s="776">
        <f t="shared" ca="1" si="12"/>
        <v>87.945297670405523</v>
      </c>
      <c r="BU41" s="783">
        <f t="shared" ca="1" si="13"/>
        <v>31.030193435256724</v>
      </c>
      <c r="BV41" s="783">
        <f t="shared" ca="1" si="14"/>
        <v>31.030193435256724</v>
      </c>
      <c r="BW41" s="1019">
        <f t="shared" ca="1" si="73"/>
        <v>31.030193435256724</v>
      </c>
      <c r="BX41" s="771" cm="1">
        <f t="array" aca="1" ref="BX41" ca="1">INDIRECT("'Definition of Typical Day'!"&amp; ADDRESS($D41+29*(BX$16-1),$E41))</f>
        <v>65</v>
      </c>
      <c r="BY41" s="771">
        <f t="shared" ca="1" si="74"/>
        <v>1</v>
      </c>
      <c r="BZ41" s="781">
        <f t="shared" ca="1" si="15"/>
        <v>1</v>
      </c>
      <c r="CA41" s="781">
        <f t="shared" ca="1" si="16"/>
        <v>0.95427092320966356</v>
      </c>
      <c r="CB41" s="776">
        <f t="shared" ca="1" si="17"/>
        <v>184.22200172562555</v>
      </c>
      <c r="CC41" s="782">
        <f t="shared" si="18"/>
        <v>1</v>
      </c>
      <c r="CD41" s="782">
        <f t="shared" si="19"/>
        <v>21</v>
      </c>
      <c r="CE41" s="784" t="str" cm="1">
        <f t="array" aca="1" ref="CE41" ca="1">INDIRECT("'Definition of Typical Day'!"&amp;ADDRESS(CE$16,$E41))</f>
        <v>Winter day</v>
      </c>
      <c r="CF41" s="135"/>
      <c r="CG41" s="135"/>
      <c r="CH41" s="776">
        <f t="shared" ca="1" si="20"/>
        <v>2</v>
      </c>
      <c r="CI41" s="806">
        <f t="shared" ca="1" si="21"/>
        <v>6</v>
      </c>
      <c r="CJ41" s="770">
        <f t="shared" ca="1" si="22"/>
        <v>2.8341846419327008</v>
      </c>
      <c r="CK41" s="771">
        <f t="shared" ca="1" si="23"/>
        <v>2</v>
      </c>
      <c r="CL41" s="771">
        <f t="shared" ca="1" si="24"/>
        <v>0.86281276962899056</v>
      </c>
      <c r="CM41" s="772">
        <f t="shared" ca="1" si="25"/>
        <v>0</v>
      </c>
      <c r="CN41" s="135"/>
      <c r="CO41" s="770">
        <f t="shared" ca="1" si="76"/>
        <v>1.05</v>
      </c>
      <c r="CP41" s="771">
        <f t="shared" ca="1" si="27"/>
        <v>0.98</v>
      </c>
      <c r="CQ41" s="771">
        <f t="shared" ca="1" si="28"/>
        <v>0.96</v>
      </c>
      <c r="CR41" s="771">
        <f t="shared" ca="1" si="29"/>
        <v>0.95</v>
      </c>
      <c r="CS41" s="771">
        <f t="shared" ca="1" si="30"/>
        <v>1.02</v>
      </c>
      <c r="CT41" s="772">
        <f t="shared" ca="1" si="31"/>
        <v>0.02</v>
      </c>
      <c r="CU41" s="135"/>
      <c r="CV41" s="135"/>
      <c r="CW41" s="135"/>
      <c r="CX41" s="135"/>
      <c r="CY41" s="135"/>
      <c r="CZ41" s="135"/>
      <c r="DA41" s="135"/>
      <c r="DB41" s="135"/>
      <c r="DC41" s="135"/>
      <c r="DD41" s="135"/>
      <c r="DE41" s="135"/>
      <c r="DF41" s="135"/>
      <c r="DG41" s="135"/>
      <c r="DH41" s="135"/>
      <c r="DI41" s="135"/>
      <c r="DJ41" s="135"/>
      <c r="DK41" s="135"/>
      <c r="DL41" s="135"/>
      <c r="DM41" s="135"/>
      <c r="DN41" s="135"/>
      <c r="DO41" s="135"/>
      <c r="DP41" s="135"/>
      <c r="DQ41" s="135"/>
      <c r="DR41" s="135"/>
      <c r="DS41" s="135"/>
      <c r="DT41" s="135"/>
      <c r="DU41" s="135"/>
      <c r="DV41" s="135"/>
      <c r="DX41" s="135"/>
      <c r="DY41" s="135"/>
      <c r="DZ41" s="135"/>
      <c r="EA41" s="135"/>
      <c r="EB41" s="135"/>
      <c r="EC41" s="135"/>
      <c r="ED41" s="135"/>
      <c r="EE41" s="135"/>
      <c r="EF41" s="135"/>
      <c r="EG41" s="135"/>
      <c r="EH41" s="135"/>
      <c r="EI41" s="135"/>
      <c r="EJ41" s="135"/>
      <c r="EK41" s="135"/>
      <c r="EL41" s="135"/>
      <c r="EM41" s="135"/>
      <c r="EN41" s="135"/>
      <c r="EO41" s="135"/>
      <c r="EP41" s="135"/>
      <c r="EQ41" s="135"/>
      <c r="ER41" s="135"/>
      <c r="ES41" s="135"/>
      <c r="ET41" s="135"/>
      <c r="EU41" s="135"/>
      <c r="EV41" s="135"/>
      <c r="EW41" s="135"/>
      <c r="EX41" s="135"/>
      <c r="EY41" s="135"/>
      <c r="EZ41" s="135"/>
      <c r="FA41" s="135"/>
      <c r="FB41" s="135"/>
      <c r="FC41" s="135"/>
      <c r="FD41" s="135"/>
      <c r="FE41" s="135"/>
      <c r="FF41" s="135"/>
      <c r="FG41" s="135"/>
    </row>
    <row r="42" spans="1:163" s="57" customFormat="1" ht="11.25" outlineLevel="1">
      <c r="A42" s="765">
        <v>1</v>
      </c>
      <c r="B42" s="715" t="str" cm="1">
        <f t="array" aca="1" ref="B42" ca="1">INDIRECT("'Definition of Typical Day'!"&amp;ADDRESS(B$16,$E42))</f>
        <v>Winter day</v>
      </c>
      <c r="C42" s="766">
        <v>22</v>
      </c>
      <c r="D42" s="715">
        <f>ROW('Definition of Typical Day'!D56)</f>
        <v>56</v>
      </c>
      <c r="E42" s="715">
        <f t="shared" si="5"/>
        <v>5</v>
      </c>
      <c r="F42" s="767" cm="1">
        <f t="array" aca="1" ref="F42" ca="1">INDIRECT("'Definition of Typical Day'!D"&amp;D42)</f>
        <v>22</v>
      </c>
      <c r="G42" s="767" cm="1">
        <f t="array" aca="1" ref="G42" ca="1">INDIRECT("'Definition of Typical Day'!"&amp;ADDRESS(13,E42))</f>
        <v>1</v>
      </c>
      <c r="H42" s="768" cm="1">
        <f t="array" aca="1" ref="H42" ca="1">INDIRECT("'Definition of Typical Day'!"&amp; ADDRESS($D42+28*(H$16-1),$E42))</f>
        <v>2</v>
      </c>
      <c r="I42" s="715" cm="1">
        <f t="array" aca="1" ref="I42" ca="1">INDIRECT("'Definition of Typical Day'!"&amp; ADDRESS($D42+29*(I$16-1),$E42))</f>
        <v>40</v>
      </c>
      <c r="J42" s="715">
        <f t="shared" ca="1" si="32"/>
        <v>37</v>
      </c>
      <c r="K42" s="785">
        <f t="shared" si="33"/>
        <v>28</v>
      </c>
      <c r="L42" s="786" cm="1">
        <f t="array" aca="1" ref="L42" ca="1">INDIRECT("'Definition of Typical Day'!"&amp; ADDRESS($D42+29*(L$16-1),$E42))</f>
        <v>6</v>
      </c>
      <c r="M42" s="768" cm="1">
        <f t="array" aca="1" ref="M42" ca="1">INDIRECT("'Definition of Typical Day'!"&amp; ADDRESS($D42+29*(M$16-1),$E42))</f>
        <v>80</v>
      </c>
      <c r="N42" s="715">
        <f t="shared" si="34"/>
        <v>3</v>
      </c>
      <c r="O42" s="715">
        <f t="shared" ca="1" si="35"/>
        <v>83</v>
      </c>
      <c r="P42" s="715" cm="1">
        <f t="array" aca="1" ref="P42" ca="1">INDIRECT("'Definition of Typical Day'!"&amp; ADDRESS($D42+29*(P$16-1),$E42))</f>
        <v>45</v>
      </c>
      <c r="Q42" s="787">
        <f t="shared" ca="1" si="36"/>
        <v>48</v>
      </c>
      <c r="R42" s="792">
        <f t="shared" ca="1" si="37"/>
        <v>83</v>
      </c>
      <c r="S42" s="769">
        <f t="shared" si="38"/>
        <v>3</v>
      </c>
      <c r="T42" s="769">
        <f t="shared" ca="1" si="39"/>
        <v>0.24</v>
      </c>
      <c r="U42" s="769">
        <f t="shared" ca="1" si="40"/>
        <v>0.182</v>
      </c>
      <c r="V42" s="769">
        <f t="shared" ca="1" si="41"/>
        <v>0</v>
      </c>
      <c r="W42" s="769">
        <f t="shared" ca="1" si="42"/>
        <v>3.4220000000000002</v>
      </c>
      <c r="X42" s="794">
        <f t="shared" si="43"/>
        <v>3</v>
      </c>
      <c r="Y42" s="769">
        <f t="shared" ca="1" si="44"/>
        <v>3</v>
      </c>
      <c r="Z42" s="769">
        <f t="shared" ca="1" si="45"/>
        <v>2.8257638315441782</v>
      </c>
      <c r="AA42" s="795">
        <f t="shared" ca="1" si="46"/>
        <v>2.8257638315441782</v>
      </c>
      <c r="AB42" s="769">
        <f t="shared" ca="1" si="47"/>
        <v>0</v>
      </c>
      <c r="AC42" s="769">
        <f t="shared" ca="1" si="48"/>
        <v>0</v>
      </c>
      <c r="AD42" s="769">
        <f t="shared" ca="1" si="49"/>
        <v>0</v>
      </c>
      <c r="AE42" s="794">
        <f t="shared" ca="1" si="50"/>
        <v>2.8257638315441782</v>
      </c>
      <c r="AF42" s="769">
        <f t="shared" ca="1" si="51"/>
        <v>2.8257638315441782E-2</v>
      </c>
      <c r="AG42" s="769">
        <f t="shared" ca="1" si="52"/>
        <v>2.7975061932287364</v>
      </c>
      <c r="AH42" s="799">
        <f t="shared" ca="1" si="53"/>
        <v>2.7975061932287364</v>
      </c>
      <c r="AI42" s="801">
        <f t="shared" ca="1" si="54"/>
        <v>1</v>
      </c>
      <c r="AJ42" s="794">
        <f t="shared" ca="1" si="55"/>
        <v>2</v>
      </c>
      <c r="AK42" s="769">
        <f t="shared" ca="1" si="56"/>
        <v>0.82576383154417832</v>
      </c>
      <c r="AL42" s="769">
        <f t="shared" ca="1" si="57"/>
        <v>0</v>
      </c>
      <c r="AM42" s="804">
        <f t="shared" ca="1" si="6"/>
        <v>5.3333333333333337E-2</v>
      </c>
      <c r="AN42" s="795">
        <f t="shared" ca="1" si="7"/>
        <v>0</v>
      </c>
      <c r="AO42" s="251"/>
      <c r="AP42" s="770">
        <f t="shared" si="58"/>
        <v>0</v>
      </c>
      <c r="AQ42" s="771">
        <f t="shared" ca="1" si="59"/>
        <v>0</v>
      </c>
      <c r="AR42" s="771">
        <f t="shared" ca="1" si="60"/>
        <v>4</v>
      </c>
      <c r="AS42" s="772">
        <f t="shared" ca="1" si="61"/>
        <v>4</v>
      </c>
      <c r="AT42" s="231"/>
      <c r="AU42" s="770">
        <f>'Main Results - IRR DC Operator'!$F$16</f>
        <v>2</v>
      </c>
      <c r="AV42" s="773">
        <f>'Main Results - IRR DC Operator'!$F$15</f>
        <v>1</v>
      </c>
      <c r="AW42" s="771">
        <f t="shared" ca="1" si="62"/>
        <v>4</v>
      </c>
      <c r="AX42" s="772">
        <f t="shared" si="63"/>
        <v>0</v>
      </c>
      <c r="AY42" s="231"/>
      <c r="AZ42" s="770" cm="1">
        <f t="array" aca="1" ref="AZ42" ca="1">INDIRECT("'Definition of Typical Day'!"&amp; ADDRESS($D42+29*(AZ$16-1),$E42))+$AZ$17</f>
        <v>86.74</v>
      </c>
      <c r="BA42" s="771" cm="1">
        <f t="array" aca="1" ref="BA42" ca="1">INDIRECT("'Definition of Typical Day'!"&amp; ADDRESS($D42+29*(BA$16-1),$E42))+$BA$17</f>
        <v>86.74</v>
      </c>
      <c r="BB42" s="772" cm="1">
        <f t="array" aca="1" ref="BB42" ca="1">INDIRECT("'Definition of Typical Day'!"&amp;ADDRESS(BB$16,$E42))</f>
        <v>135</v>
      </c>
      <c r="BC42" s="776" cm="1">
        <f t="array" aca="1" ref="BC42" ca="1">INDIRECT("'Definition of Typical Day'!"&amp; ADDRESS($D42+29*(BC$16-1),$E42))</f>
        <v>85.74</v>
      </c>
      <c r="BD42" s="777" cm="1">
        <f t="array" aca="1" ref="BD42" ca="1">INDIRECT("'Definition of Typical Day'!"&amp; ADDRESS($D42+29*(BD$16-1),$E42))</f>
        <v>0.2</v>
      </c>
      <c r="BE42" s="776">
        <f t="shared" si="64"/>
        <v>0</v>
      </c>
      <c r="BF42" s="771">
        <f t="shared" ca="1" si="75"/>
        <v>71.626754748142019</v>
      </c>
      <c r="BG42" s="771">
        <f t="shared" ca="1" si="65"/>
        <v>7.6295623451692816</v>
      </c>
      <c r="BH42" s="771">
        <f t="shared" ca="1" si="66"/>
        <v>0</v>
      </c>
      <c r="BI42" s="776">
        <f t="shared" ca="1" si="67"/>
        <v>4.5728</v>
      </c>
      <c r="BJ42" s="776">
        <f t="shared" ca="1" si="68"/>
        <v>0</v>
      </c>
      <c r="BK42" s="776">
        <f t="shared" ca="1" si="69"/>
        <v>0</v>
      </c>
      <c r="BL42" s="776">
        <f t="shared" ca="1" si="70"/>
        <v>0</v>
      </c>
      <c r="BM42" s="135"/>
      <c r="BN42" s="776">
        <f t="shared" ca="1" si="71"/>
        <v>83.256317093311296</v>
      </c>
      <c r="BO42" s="778">
        <f t="shared" ca="1" si="8"/>
        <v>29.760905371659312</v>
      </c>
      <c r="BP42" s="770">
        <f t="shared" ca="1" si="9"/>
        <v>79.256317093311296</v>
      </c>
      <c r="BQ42" s="771">
        <f t="shared" ca="1" si="10"/>
        <v>0</v>
      </c>
      <c r="BR42" s="771">
        <f t="shared" ca="1" si="11"/>
        <v>0</v>
      </c>
      <c r="BS42" s="776">
        <f t="shared" ca="1" si="72"/>
        <v>83.256317093311296</v>
      </c>
      <c r="BT42" s="776">
        <f t="shared" ca="1" si="12"/>
        <v>79.256317093311296</v>
      </c>
      <c r="BU42" s="783">
        <f t="shared" ca="1" si="13"/>
        <v>28.331060458471324</v>
      </c>
      <c r="BV42" s="783">
        <f t="shared" ca="1" si="14"/>
        <v>28.331060458471324</v>
      </c>
      <c r="BW42" s="1019">
        <f t="shared" ca="1" si="73"/>
        <v>28.331060458471324</v>
      </c>
      <c r="BX42" s="771" cm="1">
        <f t="array" aca="1" ref="BX42" ca="1">INDIRECT("'Definition of Typical Day'!"&amp; ADDRESS($D42+29*(BX$16-1),$E42))</f>
        <v>65</v>
      </c>
      <c r="BY42" s="771">
        <f t="shared" ca="1" si="74"/>
        <v>1</v>
      </c>
      <c r="BZ42" s="781">
        <f t="shared" ca="1" si="15"/>
        <v>1</v>
      </c>
      <c r="CA42" s="781">
        <f t="shared" ca="1" si="16"/>
        <v>0.94192127718139274</v>
      </c>
      <c r="CB42" s="776">
        <f t="shared" ca="1" si="17"/>
        <v>181.83790255986787</v>
      </c>
      <c r="CC42" s="782">
        <f t="shared" si="18"/>
        <v>1</v>
      </c>
      <c r="CD42" s="782">
        <f t="shared" si="19"/>
        <v>22</v>
      </c>
      <c r="CE42" s="784" t="str" cm="1">
        <f t="array" aca="1" ref="CE42" ca="1">INDIRECT("'Definition of Typical Day'!"&amp;ADDRESS(CE$16,$E42))</f>
        <v>Winter day</v>
      </c>
      <c r="CF42" s="135"/>
      <c r="CG42" s="135"/>
      <c r="CH42" s="776">
        <f t="shared" ca="1" si="20"/>
        <v>2</v>
      </c>
      <c r="CI42" s="806">
        <f t="shared" ca="1" si="21"/>
        <v>6</v>
      </c>
      <c r="CJ42" s="770">
        <f t="shared" ca="1" si="22"/>
        <v>2.7975061932287364</v>
      </c>
      <c r="CK42" s="771">
        <f t="shared" ca="1" si="23"/>
        <v>2</v>
      </c>
      <c r="CL42" s="771">
        <f t="shared" ca="1" si="24"/>
        <v>0.82576383154417832</v>
      </c>
      <c r="CM42" s="772">
        <f t="shared" ca="1" si="25"/>
        <v>0</v>
      </c>
      <c r="CN42" s="135"/>
      <c r="CO42" s="770">
        <f t="shared" ca="1" si="76"/>
        <v>1.05</v>
      </c>
      <c r="CP42" s="771">
        <f t="shared" ca="1" si="27"/>
        <v>0.98</v>
      </c>
      <c r="CQ42" s="771">
        <f t="shared" ca="1" si="28"/>
        <v>0.96</v>
      </c>
      <c r="CR42" s="771">
        <f t="shared" ca="1" si="29"/>
        <v>0.95</v>
      </c>
      <c r="CS42" s="771">
        <f t="shared" ca="1" si="30"/>
        <v>1.02</v>
      </c>
      <c r="CT42" s="772">
        <f t="shared" ca="1" si="31"/>
        <v>0.02</v>
      </c>
      <c r="CU42" s="135"/>
      <c r="CV42" s="135"/>
      <c r="CW42" s="135"/>
      <c r="CX42" s="135"/>
      <c r="CY42" s="135"/>
      <c r="CZ42" s="135"/>
      <c r="DA42" s="135"/>
      <c r="DB42" s="135"/>
      <c r="DC42" s="135"/>
      <c r="DD42" s="135"/>
      <c r="DE42" s="135"/>
      <c r="DF42" s="135"/>
      <c r="DG42" s="135"/>
      <c r="DH42" s="135"/>
      <c r="DI42" s="135"/>
      <c r="DJ42" s="135"/>
      <c r="DK42" s="135"/>
      <c r="DL42" s="135"/>
      <c r="DM42" s="135"/>
      <c r="DN42" s="135"/>
      <c r="DO42" s="135"/>
      <c r="DP42" s="135"/>
      <c r="DQ42" s="135"/>
      <c r="DR42" s="135"/>
      <c r="DS42" s="135"/>
      <c r="DT42" s="135"/>
      <c r="DU42" s="135"/>
      <c r="DV42" s="135"/>
      <c r="DX42" s="135"/>
      <c r="DY42" s="135"/>
      <c r="DZ42" s="135"/>
      <c r="EA42" s="135"/>
      <c r="EB42" s="135"/>
      <c r="EC42" s="135"/>
      <c r="ED42" s="135"/>
      <c r="EE42" s="135"/>
      <c r="EF42" s="135"/>
      <c r="EG42" s="135"/>
      <c r="EH42" s="135"/>
      <c r="EI42" s="135"/>
      <c r="EJ42" s="135"/>
      <c r="EK42" s="135"/>
      <c r="EL42" s="135"/>
      <c r="EM42" s="135"/>
      <c r="EN42" s="135"/>
      <c r="EO42" s="135"/>
      <c r="EP42" s="135"/>
      <c r="EQ42" s="135"/>
      <c r="ER42" s="135"/>
      <c r="ES42" s="135"/>
      <c r="ET42" s="135"/>
      <c r="EU42" s="135"/>
      <c r="EV42" s="135"/>
      <c r="EW42" s="135"/>
      <c r="EX42" s="135"/>
      <c r="EY42" s="135"/>
      <c r="EZ42" s="135"/>
      <c r="FA42" s="135"/>
      <c r="FB42" s="135"/>
      <c r="FC42" s="135"/>
      <c r="FD42" s="135"/>
      <c r="FE42" s="135"/>
      <c r="FF42" s="135"/>
      <c r="FG42" s="135"/>
    </row>
    <row r="43" spans="1:163" s="57" customFormat="1" ht="11.25" outlineLevel="1">
      <c r="A43" s="765">
        <v>1</v>
      </c>
      <c r="B43" s="715" t="str" cm="1">
        <f t="array" aca="1" ref="B43" ca="1">INDIRECT("'Definition of Typical Day'!"&amp;ADDRESS(B$16,$E43))</f>
        <v>Winter day</v>
      </c>
      <c r="C43" s="766">
        <v>23</v>
      </c>
      <c r="D43" s="715">
        <f>ROW('Definition of Typical Day'!D57)</f>
        <v>57</v>
      </c>
      <c r="E43" s="715">
        <f t="shared" si="5"/>
        <v>5</v>
      </c>
      <c r="F43" s="767" cm="1">
        <f t="array" aca="1" ref="F43" ca="1">INDIRECT("'Definition of Typical Day'!D"&amp;D43)</f>
        <v>23</v>
      </c>
      <c r="G43" s="767" cm="1">
        <f t="array" aca="1" ref="G43" ca="1">INDIRECT("'Definition of Typical Day'!"&amp;ADDRESS(13,E43))</f>
        <v>1</v>
      </c>
      <c r="H43" s="768" cm="1">
        <f t="array" aca="1" ref="H43" ca="1">INDIRECT("'Definition of Typical Day'!"&amp; ADDRESS($D43+28*(H$16-1),$E43))</f>
        <v>2</v>
      </c>
      <c r="I43" s="715" cm="1">
        <f t="array" aca="1" ref="I43" ca="1">INDIRECT("'Definition of Typical Day'!"&amp; ADDRESS($D43+29*(I$16-1),$E43))</f>
        <v>40</v>
      </c>
      <c r="J43" s="715">
        <f t="shared" ca="1" si="32"/>
        <v>37</v>
      </c>
      <c r="K43" s="785">
        <f t="shared" si="33"/>
        <v>28</v>
      </c>
      <c r="L43" s="786" cm="1">
        <f t="array" aca="1" ref="L43" ca="1">INDIRECT("'Definition of Typical Day'!"&amp; ADDRESS($D43+29*(L$16-1),$E43))</f>
        <v>6</v>
      </c>
      <c r="M43" s="768" cm="1">
        <f t="array" aca="1" ref="M43" ca="1">INDIRECT("'Definition of Typical Day'!"&amp; ADDRESS($D43+29*(M$16-1),$E43))</f>
        <v>79</v>
      </c>
      <c r="N43" s="715">
        <f t="shared" si="34"/>
        <v>3</v>
      </c>
      <c r="O43" s="715">
        <f t="shared" ca="1" si="35"/>
        <v>82</v>
      </c>
      <c r="P43" s="715" cm="1">
        <f t="array" aca="1" ref="P43" ca="1">INDIRECT("'Definition of Typical Day'!"&amp; ADDRESS($D43+29*(P$16-1),$E43))</f>
        <v>45</v>
      </c>
      <c r="Q43" s="787">
        <f t="shared" ca="1" si="36"/>
        <v>48</v>
      </c>
      <c r="R43" s="792">
        <f t="shared" ca="1" si="37"/>
        <v>82</v>
      </c>
      <c r="S43" s="769">
        <f t="shared" si="38"/>
        <v>3</v>
      </c>
      <c r="T43" s="769">
        <f t="shared" ca="1" si="39"/>
        <v>0.24</v>
      </c>
      <c r="U43" s="769">
        <f t="shared" ca="1" si="40"/>
        <v>0.20799999999999999</v>
      </c>
      <c r="V43" s="769">
        <f t="shared" ca="1" si="41"/>
        <v>0</v>
      </c>
      <c r="W43" s="769">
        <f t="shared" ca="1" si="42"/>
        <v>3.4480000000000004</v>
      </c>
      <c r="X43" s="794">
        <f t="shared" si="43"/>
        <v>3</v>
      </c>
      <c r="Y43" s="769">
        <f t="shared" ca="1" si="44"/>
        <v>3</v>
      </c>
      <c r="Z43" s="769">
        <f t="shared" ca="1" si="45"/>
        <v>2.8169934640522873</v>
      </c>
      <c r="AA43" s="795">
        <f t="shared" ca="1" si="46"/>
        <v>2.8169934640522873</v>
      </c>
      <c r="AB43" s="769">
        <f t="shared" ca="1" si="47"/>
        <v>0</v>
      </c>
      <c r="AC43" s="769">
        <f t="shared" ca="1" si="48"/>
        <v>0</v>
      </c>
      <c r="AD43" s="769">
        <f t="shared" ca="1" si="49"/>
        <v>0</v>
      </c>
      <c r="AE43" s="794">
        <f t="shared" ca="1" si="50"/>
        <v>2.8169934640522873</v>
      </c>
      <c r="AF43" s="769">
        <f t="shared" ca="1" si="51"/>
        <v>2.8169934640522875E-2</v>
      </c>
      <c r="AG43" s="769">
        <f t="shared" ca="1" si="52"/>
        <v>2.7888235294117645</v>
      </c>
      <c r="AH43" s="799">
        <f t="shared" ca="1" si="53"/>
        <v>2.7888235294117645</v>
      </c>
      <c r="AI43" s="801">
        <f t="shared" ca="1" si="54"/>
        <v>1</v>
      </c>
      <c r="AJ43" s="794">
        <f t="shared" ca="1" si="55"/>
        <v>2</v>
      </c>
      <c r="AK43" s="769">
        <f t="shared" ca="1" si="56"/>
        <v>0.81699346405228745</v>
      </c>
      <c r="AL43" s="769">
        <f t="shared" ca="1" si="57"/>
        <v>0</v>
      </c>
      <c r="AM43" s="804">
        <f t="shared" ca="1" si="6"/>
        <v>5.3333333333333337E-2</v>
      </c>
      <c r="AN43" s="795">
        <f t="shared" ca="1" si="7"/>
        <v>0</v>
      </c>
      <c r="AO43" s="251"/>
      <c r="AP43" s="770">
        <f t="shared" si="58"/>
        <v>0</v>
      </c>
      <c r="AQ43" s="771">
        <f t="shared" ca="1" si="59"/>
        <v>0</v>
      </c>
      <c r="AR43" s="771">
        <f t="shared" ca="1" si="60"/>
        <v>4</v>
      </c>
      <c r="AS43" s="772">
        <f t="shared" ca="1" si="61"/>
        <v>4</v>
      </c>
      <c r="AT43" s="231"/>
      <c r="AU43" s="770">
        <f>'Main Results - IRR DC Operator'!$F$16</f>
        <v>2</v>
      </c>
      <c r="AV43" s="773">
        <f>'Main Results - IRR DC Operator'!$F$15</f>
        <v>1</v>
      </c>
      <c r="AW43" s="771">
        <f t="shared" ca="1" si="62"/>
        <v>4</v>
      </c>
      <c r="AX43" s="772">
        <f t="shared" si="63"/>
        <v>0</v>
      </c>
      <c r="AY43" s="231"/>
      <c r="AZ43" s="770" cm="1">
        <f t="array" aca="1" ref="AZ43" ca="1">INDIRECT("'Definition of Typical Day'!"&amp; ADDRESS($D43+29*(AZ$16-1),$E43))+$AZ$17</f>
        <v>85.68</v>
      </c>
      <c r="BA43" s="771" cm="1">
        <f t="array" aca="1" ref="BA43" ca="1">INDIRECT("'Definition of Typical Day'!"&amp; ADDRESS($D43+29*(BA$16-1),$E43))+$BA$17</f>
        <v>85.68</v>
      </c>
      <c r="BB43" s="772" cm="1">
        <f t="array" aca="1" ref="BB43" ca="1">INDIRECT("'Definition of Typical Day'!"&amp;ADDRESS(BB$16,$E43))</f>
        <v>135</v>
      </c>
      <c r="BC43" s="776" cm="1">
        <f t="array" aca="1" ref="BC43" ca="1">INDIRECT("'Definition of Typical Day'!"&amp; ADDRESS($D43+29*(BC$16-1),$E43))</f>
        <v>84.68</v>
      </c>
      <c r="BD43" s="777" cm="1">
        <f t="array" aca="1" ref="BD43" ca="1">INDIRECT("'Definition of Typical Day'!"&amp; ADDRESS($D43+29*(BD$16-1),$E43))</f>
        <v>0.2</v>
      </c>
      <c r="BE43" s="776">
        <f t="shared" si="64"/>
        <v>0</v>
      </c>
      <c r="BF43" s="771">
        <f t="shared" ca="1" si="75"/>
        <v>70</v>
      </c>
      <c r="BG43" s="771">
        <f t="shared" ca="1" si="65"/>
        <v>7.6058823529411761</v>
      </c>
      <c r="BH43" s="771">
        <f t="shared" ca="1" si="66"/>
        <v>0</v>
      </c>
      <c r="BI43" s="776">
        <f t="shared" ca="1" si="67"/>
        <v>4.5162666666666675</v>
      </c>
      <c r="BJ43" s="776">
        <f t="shared" ca="1" si="68"/>
        <v>0</v>
      </c>
      <c r="BK43" s="776">
        <f t="shared" ca="1" si="69"/>
        <v>0</v>
      </c>
      <c r="BL43" s="776">
        <f t="shared" ca="1" si="70"/>
        <v>0</v>
      </c>
      <c r="BM43" s="135"/>
      <c r="BN43" s="776">
        <f t="shared" ca="1" si="71"/>
        <v>81.60588235294118</v>
      </c>
      <c r="BO43" s="778">
        <f t="shared" ca="1" si="8"/>
        <v>29.261759122547989</v>
      </c>
      <c r="BP43" s="770">
        <f t="shared" ca="1" si="9"/>
        <v>77.60588235294118</v>
      </c>
      <c r="BQ43" s="771">
        <f t="shared" ca="1" si="10"/>
        <v>0</v>
      </c>
      <c r="BR43" s="771">
        <f t="shared" ca="1" si="11"/>
        <v>0</v>
      </c>
      <c r="BS43" s="776">
        <f t="shared" ca="1" si="72"/>
        <v>81.60588235294118</v>
      </c>
      <c r="BT43" s="776">
        <f t="shared" ca="1" si="12"/>
        <v>77.60588235294118</v>
      </c>
      <c r="BU43" s="783">
        <f t="shared" ca="1" si="13"/>
        <v>27.827462560641219</v>
      </c>
      <c r="BV43" s="783">
        <f t="shared" ca="1" si="14"/>
        <v>27.827462560641219</v>
      </c>
      <c r="BW43" s="1019">
        <f t="shared" ca="1" si="73"/>
        <v>27.827462560641219</v>
      </c>
      <c r="BX43" s="771" cm="1">
        <f t="array" aca="1" ref="BX43" ca="1">INDIRECT("'Definition of Typical Day'!"&amp; ADDRESS($D43+29*(BX$16-1),$E43))</f>
        <v>65</v>
      </c>
      <c r="BY43" s="771">
        <f t="shared" ca="1" si="74"/>
        <v>1</v>
      </c>
      <c r="BZ43" s="781">
        <f t="shared" ca="1" si="15"/>
        <v>1</v>
      </c>
      <c r="CA43" s="781">
        <f t="shared" ca="1" si="16"/>
        <v>0.93899782135076248</v>
      </c>
      <c r="CB43" s="776">
        <f t="shared" ca="1" si="17"/>
        <v>181.27352941176468</v>
      </c>
      <c r="CC43" s="782">
        <f t="shared" si="18"/>
        <v>1</v>
      </c>
      <c r="CD43" s="782">
        <f t="shared" si="19"/>
        <v>23</v>
      </c>
      <c r="CE43" s="784" t="str" cm="1">
        <f t="array" aca="1" ref="CE43" ca="1">INDIRECT("'Definition of Typical Day'!"&amp;ADDRESS(CE$16,$E43))</f>
        <v>Winter day</v>
      </c>
      <c r="CF43" s="135"/>
      <c r="CG43" s="135"/>
      <c r="CH43" s="776">
        <f t="shared" ca="1" si="20"/>
        <v>2</v>
      </c>
      <c r="CI43" s="806">
        <f t="shared" ca="1" si="21"/>
        <v>6</v>
      </c>
      <c r="CJ43" s="770">
        <f t="shared" ca="1" si="22"/>
        <v>2.7888235294117645</v>
      </c>
      <c r="CK43" s="771">
        <f t="shared" ca="1" si="23"/>
        <v>2</v>
      </c>
      <c r="CL43" s="771">
        <f t="shared" ca="1" si="24"/>
        <v>0.81699346405228745</v>
      </c>
      <c r="CM43" s="772">
        <f t="shared" ca="1" si="25"/>
        <v>0</v>
      </c>
      <c r="CN43" s="135"/>
      <c r="CO43" s="770">
        <f t="shared" ca="1" si="76"/>
        <v>1.05</v>
      </c>
      <c r="CP43" s="771">
        <f t="shared" ca="1" si="27"/>
        <v>0.98</v>
      </c>
      <c r="CQ43" s="771">
        <f t="shared" ca="1" si="28"/>
        <v>0.96</v>
      </c>
      <c r="CR43" s="771">
        <f t="shared" ca="1" si="29"/>
        <v>0.95</v>
      </c>
      <c r="CS43" s="771">
        <f t="shared" ca="1" si="30"/>
        <v>1.02</v>
      </c>
      <c r="CT43" s="772">
        <f t="shared" ca="1" si="31"/>
        <v>0.02</v>
      </c>
      <c r="CU43" s="135"/>
      <c r="CV43" s="135"/>
      <c r="CW43" s="135"/>
      <c r="CX43" s="135"/>
      <c r="CY43" s="135"/>
      <c r="CZ43" s="135"/>
      <c r="DA43" s="135"/>
      <c r="DB43" s="135"/>
      <c r="DC43" s="135"/>
      <c r="DD43" s="135"/>
      <c r="DE43" s="135"/>
      <c r="DF43" s="135"/>
      <c r="DG43" s="135"/>
      <c r="DH43" s="135"/>
      <c r="DI43" s="135"/>
      <c r="DJ43" s="135"/>
      <c r="DK43" s="135"/>
      <c r="DL43" s="135"/>
      <c r="DM43" s="135"/>
      <c r="DN43" s="135"/>
      <c r="DO43" s="135"/>
      <c r="DP43" s="135"/>
      <c r="DQ43" s="135"/>
      <c r="DR43" s="135"/>
      <c r="DS43" s="135"/>
      <c r="DT43" s="135"/>
      <c r="DU43" s="135"/>
      <c r="DV43" s="135"/>
      <c r="DX43" s="135"/>
      <c r="DY43" s="135"/>
      <c r="DZ43" s="135"/>
      <c r="EA43" s="135"/>
      <c r="EB43" s="135"/>
      <c r="EC43" s="135"/>
      <c r="ED43" s="135"/>
      <c r="EE43" s="135"/>
      <c r="EF43" s="135"/>
      <c r="EG43" s="135"/>
      <c r="EH43" s="135"/>
      <c r="EI43" s="135"/>
      <c r="EJ43" s="135"/>
      <c r="EK43" s="135"/>
      <c r="EL43" s="135"/>
      <c r="EM43" s="135"/>
      <c r="EN43" s="135"/>
      <c r="EO43" s="135"/>
      <c r="EP43" s="135"/>
      <c r="EQ43" s="135"/>
      <c r="ER43" s="135"/>
      <c r="ES43" s="135"/>
      <c r="ET43" s="135"/>
      <c r="EU43" s="135"/>
      <c r="EV43" s="135"/>
      <c r="EW43" s="135"/>
      <c r="EX43" s="135"/>
      <c r="EY43" s="135"/>
      <c r="EZ43" s="135"/>
      <c r="FA43" s="135"/>
      <c r="FB43" s="135"/>
      <c r="FC43" s="135"/>
      <c r="FD43" s="135"/>
      <c r="FE43" s="135"/>
      <c r="FF43" s="135"/>
      <c r="FG43" s="135"/>
    </row>
    <row r="44" spans="1:163" s="57" customFormat="1" ht="11.25" outlineLevel="1">
      <c r="A44" s="765">
        <v>1</v>
      </c>
      <c r="B44" s="715" t="str" cm="1">
        <f t="array" aca="1" ref="B44" ca="1">INDIRECT("'Definition of Typical Day'!"&amp;ADDRESS(B$16,$E44))</f>
        <v>Winter day</v>
      </c>
      <c r="C44" s="766">
        <v>24</v>
      </c>
      <c r="D44" s="715">
        <f>ROW('Definition of Typical Day'!D58)</f>
        <v>58</v>
      </c>
      <c r="E44" s="715">
        <f t="shared" si="5"/>
        <v>5</v>
      </c>
      <c r="F44" s="767" cm="1">
        <f t="array" aca="1" ref="F44" ca="1">INDIRECT("'Definition of Typical Day'!D"&amp;D44)</f>
        <v>24</v>
      </c>
      <c r="G44" s="767" cm="1">
        <f t="array" aca="1" ref="G44" ca="1">INDIRECT("'Definition of Typical Day'!"&amp;ADDRESS(13,E44))</f>
        <v>1</v>
      </c>
      <c r="H44" s="768" cm="1">
        <f t="array" aca="1" ref="H44" ca="1">INDIRECT("'Definition of Typical Day'!"&amp; ADDRESS($D44+28*(H$16-1),$E44))</f>
        <v>2</v>
      </c>
      <c r="I44" s="715" cm="1">
        <f t="array" aca="1" ref="I44" ca="1">INDIRECT("'Definition of Typical Day'!"&amp; ADDRESS($D44+29*(I$16-1),$E44))</f>
        <v>40</v>
      </c>
      <c r="J44" s="715">
        <f t="shared" ca="1" si="32"/>
        <v>37</v>
      </c>
      <c r="K44" s="785">
        <f t="shared" si="33"/>
        <v>28</v>
      </c>
      <c r="L44" s="786" cm="1">
        <f t="array" aca="1" ref="L44" ca="1">INDIRECT("'Definition of Typical Day'!"&amp; ADDRESS($D44+29*(L$16-1),$E44))</f>
        <v>6</v>
      </c>
      <c r="M44" s="768" cm="1">
        <f t="array" aca="1" ref="M44" ca="1">INDIRECT("'Definition of Typical Day'!"&amp; ADDRESS($D44+29*(M$16-1),$E44))</f>
        <v>78</v>
      </c>
      <c r="N44" s="715">
        <f t="shared" si="34"/>
        <v>3</v>
      </c>
      <c r="O44" s="715">
        <f t="shared" ca="1" si="35"/>
        <v>81</v>
      </c>
      <c r="P44" s="715" cm="1">
        <f t="array" aca="1" ref="P44" ca="1">INDIRECT("'Definition of Typical Day'!"&amp; ADDRESS($D44+29*(P$16-1),$E44))</f>
        <v>45</v>
      </c>
      <c r="Q44" s="787">
        <f t="shared" ca="1" si="36"/>
        <v>48</v>
      </c>
      <c r="R44" s="792">
        <f t="shared" ca="1" si="37"/>
        <v>81</v>
      </c>
      <c r="S44" s="769">
        <f t="shared" si="38"/>
        <v>3</v>
      </c>
      <c r="T44" s="769">
        <f t="shared" ca="1" si="39"/>
        <v>0.24</v>
      </c>
      <c r="U44" s="769">
        <f t="shared" ca="1" si="40"/>
        <v>0.23399999999999999</v>
      </c>
      <c r="V44" s="769">
        <f t="shared" ca="1" si="41"/>
        <v>0</v>
      </c>
      <c r="W44" s="769">
        <f t="shared" ca="1" si="42"/>
        <v>3.4740000000000002</v>
      </c>
      <c r="X44" s="794">
        <f t="shared" si="43"/>
        <v>3</v>
      </c>
      <c r="Y44" s="769">
        <f t="shared" ca="1" si="44"/>
        <v>3</v>
      </c>
      <c r="Z44" s="769">
        <f t="shared" ca="1" si="45"/>
        <v>2.8084074373484236</v>
      </c>
      <c r="AA44" s="795">
        <f t="shared" ca="1" si="46"/>
        <v>2.8084074373484236</v>
      </c>
      <c r="AB44" s="769">
        <f t="shared" ca="1" si="47"/>
        <v>0</v>
      </c>
      <c r="AC44" s="769">
        <f t="shared" ca="1" si="48"/>
        <v>0</v>
      </c>
      <c r="AD44" s="769">
        <f t="shared" ca="1" si="49"/>
        <v>0</v>
      </c>
      <c r="AE44" s="794">
        <f t="shared" ca="1" si="50"/>
        <v>2.8084074373484236</v>
      </c>
      <c r="AF44" s="769">
        <f t="shared" ca="1" si="51"/>
        <v>2.8084074373484237E-2</v>
      </c>
      <c r="AG44" s="769">
        <f t="shared" ca="1" si="52"/>
        <v>2.7803233629749395</v>
      </c>
      <c r="AH44" s="799">
        <f t="shared" ca="1" si="53"/>
        <v>2.7803233629749395</v>
      </c>
      <c r="AI44" s="801">
        <f t="shared" ca="1" si="54"/>
        <v>1</v>
      </c>
      <c r="AJ44" s="794">
        <f t="shared" ca="1" si="55"/>
        <v>2</v>
      </c>
      <c r="AK44" s="769">
        <f t="shared" ca="1" si="56"/>
        <v>0.80840743734842357</v>
      </c>
      <c r="AL44" s="769">
        <f t="shared" ca="1" si="57"/>
        <v>0</v>
      </c>
      <c r="AM44" s="804">
        <f t="shared" ca="1" si="6"/>
        <v>5.3333333333333337E-2</v>
      </c>
      <c r="AN44" s="795">
        <f t="shared" ca="1" si="7"/>
        <v>0</v>
      </c>
      <c r="AO44" s="251"/>
      <c r="AP44" s="770">
        <f t="shared" si="58"/>
        <v>0</v>
      </c>
      <c r="AQ44" s="771">
        <f t="shared" ca="1" si="59"/>
        <v>0</v>
      </c>
      <c r="AR44" s="771">
        <f t="shared" ca="1" si="60"/>
        <v>4</v>
      </c>
      <c r="AS44" s="772">
        <f t="shared" ca="1" si="61"/>
        <v>4</v>
      </c>
      <c r="AT44" s="231"/>
      <c r="AU44" s="770">
        <f>'Main Results - IRR DC Operator'!$F$16</f>
        <v>2</v>
      </c>
      <c r="AV44" s="773">
        <f>'Main Results - IRR DC Operator'!$F$15</f>
        <v>1</v>
      </c>
      <c r="AW44" s="771">
        <f t="shared" ca="1" si="62"/>
        <v>4</v>
      </c>
      <c r="AX44" s="772">
        <f t="shared" si="63"/>
        <v>0</v>
      </c>
      <c r="AY44" s="231"/>
      <c r="AZ44" s="770" cm="1">
        <f t="array" aca="1" ref="AZ44" ca="1">INDIRECT("'Definition of Typical Day'!"&amp; ADDRESS($D44+29*(AZ$16-1),$E44))+$AZ$17</f>
        <v>80.13</v>
      </c>
      <c r="BA44" s="771" cm="1">
        <f t="array" aca="1" ref="BA44" ca="1">INDIRECT("'Definition of Typical Day'!"&amp; ADDRESS($D44+29*(BA$16-1),$E44))+$BA$17</f>
        <v>80.13</v>
      </c>
      <c r="BB44" s="772" cm="1">
        <f t="array" aca="1" ref="BB44" ca="1">INDIRECT("'Definition of Typical Day'!"&amp;ADDRESS(BB$16,$E44))</f>
        <v>135</v>
      </c>
      <c r="BC44" s="776" cm="1">
        <f t="array" aca="1" ref="BC44" ca="1">INDIRECT("'Definition of Typical Day'!"&amp; ADDRESS($D44+29*(BC$16-1),$E44))</f>
        <v>79.13</v>
      </c>
      <c r="BD44" s="777" cm="1">
        <f t="array" aca="1" ref="BD44" ca="1">INDIRECT("'Definition of Typical Day'!"&amp; ADDRESS($D44+29*(BD$16-1),$E44))</f>
        <v>0.2</v>
      </c>
      <c r="BE44" s="776">
        <f t="shared" si="64"/>
        <v>0</v>
      </c>
      <c r="BF44" s="771">
        <f t="shared" ca="1" si="75"/>
        <v>64.777687954729174</v>
      </c>
      <c r="BG44" s="771">
        <f t="shared" ca="1" si="65"/>
        <v>7.5827000808407439</v>
      </c>
      <c r="BH44" s="771">
        <f t="shared" ca="1" si="66"/>
        <v>0</v>
      </c>
      <c r="BI44" s="776">
        <f t="shared" ca="1" si="67"/>
        <v>4.2202666666666664</v>
      </c>
      <c r="BJ44" s="776">
        <f t="shared" ca="1" si="68"/>
        <v>0</v>
      </c>
      <c r="BK44" s="776">
        <f t="shared" ca="1" si="69"/>
        <v>0</v>
      </c>
      <c r="BL44" s="776">
        <f t="shared" ca="1" si="70"/>
        <v>0</v>
      </c>
      <c r="BM44" s="135"/>
      <c r="BN44" s="776">
        <f t="shared" ca="1" si="71"/>
        <v>76.360388035569912</v>
      </c>
      <c r="BO44" s="778">
        <f t="shared" ca="1" si="8"/>
        <v>27.464570866988822</v>
      </c>
      <c r="BP44" s="770">
        <f t="shared" ca="1" si="9"/>
        <v>72.360388035569912</v>
      </c>
      <c r="BQ44" s="771">
        <f t="shared" ca="1" si="10"/>
        <v>0</v>
      </c>
      <c r="BR44" s="771">
        <f t="shared" ca="1" si="11"/>
        <v>0</v>
      </c>
      <c r="BS44" s="776">
        <f t="shared" ca="1" si="72"/>
        <v>76.360388035569912</v>
      </c>
      <c r="BT44" s="776">
        <f t="shared" ca="1" si="12"/>
        <v>72.360388035569912</v>
      </c>
      <c r="BU44" s="783">
        <f t="shared" ca="1" si="13"/>
        <v>26.025889290137986</v>
      </c>
      <c r="BV44" s="783">
        <f t="shared" ca="1" si="14"/>
        <v>26.025889290137986</v>
      </c>
      <c r="BW44" s="1019">
        <f t="shared" ca="1" si="73"/>
        <v>26.025889290137986</v>
      </c>
      <c r="BX44" s="771" cm="1">
        <f t="array" aca="1" ref="BX44" ca="1">INDIRECT("'Definition of Typical Day'!"&amp; ADDRESS($D44+29*(BX$16-1),$E44))</f>
        <v>65</v>
      </c>
      <c r="BY44" s="771">
        <f t="shared" ca="1" si="74"/>
        <v>1</v>
      </c>
      <c r="BZ44" s="781">
        <f t="shared" ca="1" si="15"/>
        <v>1</v>
      </c>
      <c r="CA44" s="781">
        <f t="shared" ca="1" si="16"/>
        <v>0.93613581244947452</v>
      </c>
      <c r="CB44" s="776">
        <f t="shared" ca="1" si="17"/>
        <v>180.72101859337107</v>
      </c>
      <c r="CC44" s="782">
        <f t="shared" si="18"/>
        <v>1</v>
      </c>
      <c r="CD44" s="782">
        <f t="shared" si="19"/>
        <v>24</v>
      </c>
      <c r="CE44" s="784" t="str" cm="1">
        <f t="array" aca="1" ref="CE44" ca="1">INDIRECT("'Definition of Typical Day'!"&amp;ADDRESS(CE$16,$E44))</f>
        <v>Winter day</v>
      </c>
      <c r="CF44" s="135"/>
      <c r="CG44" s="135"/>
      <c r="CH44" s="776">
        <f t="shared" ca="1" si="20"/>
        <v>2</v>
      </c>
      <c r="CI44" s="806">
        <f t="shared" ca="1" si="21"/>
        <v>6</v>
      </c>
      <c r="CJ44" s="770">
        <f t="shared" ca="1" si="22"/>
        <v>2.7803233629749395</v>
      </c>
      <c r="CK44" s="771">
        <f t="shared" ca="1" si="23"/>
        <v>2</v>
      </c>
      <c r="CL44" s="771">
        <f t="shared" ca="1" si="24"/>
        <v>0.80840743734842357</v>
      </c>
      <c r="CM44" s="772">
        <f t="shared" ca="1" si="25"/>
        <v>0</v>
      </c>
      <c r="CN44" s="135"/>
      <c r="CO44" s="770">
        <f t="shared" ca="1" si="76"/>
        <v>1.05</v>
      </c>
      <c r="CP44" s="771">
        <f t="shared" ca="1" si="27"/>
        <v>0.98</v>
      </c>
      <c r="CQ44" s="771">
        <f t="shared" ca="1" si="28"/>
        <v>0.96</v>
      </c>
      <c r="CR44" s="771">
        <f t="shared" ca="1" si="29"/>
        <v>0.95</v>
      </c>
      <c r="CS44" s="771">
        <f t="shared" ca="1" si="30"/>
        <v>1.02</v>
      </c>
      <c r="CT44" s="772">
        <f t="shared" ca="1" si="31"/>
        <v>0.02</v>
      </c>
      <c r="CU44" s="135"/>
      <c r="CV44" s="135"/>
      <c r="CW44" s="135"/>
      <c r="CX44" s="135"/>
      <c r="CY44" s="135"/>
      <c r="CZ44" s="135"/>
      <c r="DA44" s="135"/>
      <c r="DB44" s="135"/>
      <c r="DC44" s="135"/>
      <c r="DD44" s="135"/>
      <c r="DE44" s="135"/>
      <c r="DF44" s="135"/>
      <c r="DG44" s="135"/>
      <c r="DH44" s="135"/>
      <c r="DI44" s="135"/>
      <c r="DJ44" s="135"/>
      <c r="DK44" s="135"/>
      <c r="DL44" s="135"/>
      <c r="DM44" s="135"/>
      <c r="DN44" s="135"/>
      <c r="DO44" s="135"/>
      <c r="DP44" s="135"/>
      <c r="DQ44" s="135"/>
      <c r="DR44" s="135"/>
      <c r="DS44" s="135"/>
      <c r="DT44" s="135"/>
      <c r="DU44" s="135"/>
      <c r="DV44" s="135"/>
      <c r="DX44" s="135"/>
      <c r="DY44" s="135"/>
      <c r="DZ44" s="135"/>
      <c r="EA44" s="135"/>
      <c r="EB44" s="135"/>
      <c r="EC44" s="135"/>
      <c r="ED44" s="135"/>
      <c r="EE44" s="135"/>
      <c r="EF44" s="135"/>
      <c r="EG44" s="135"/>
      <c r="EH44" s="135"/>
      <c r="EI44" s="135"/>
      <c r="EJ44" s="135"/>
      <c r="EK44" s="135"/>
      <c r="EL44" s="135"/>
      <c r="EM44" s="135"/>
      <c r="EN44" s="135"/>
      <c r="EO44" s="135"/>
      <c r="EP44" s="135"/>
      <c r="EQ44" s="135"/>
      <c r="ER44" s="135"/>
      <c r="ES44" s="135"/>
      <c r="ET44" s="135"/>
      <c r="EU44" s="135"/>
      <c r="EV44" s="135"/>
      <c r="EW44" s="135"/>
      <c r="EX44" s="135"/>
      <c r="EY44" s="135"/>
      <c r="EZ44" s="135"/>
      <c r="FA44" s="135"/>
      <c r="FB44" s="135"/>
      <c r="FC44" s="135"/>
      <c r="FD44" s="135"/>
      <c r="FE44" s="135"/>
      <c r="FF44" s="135"/>
      <c r="FG44" s="135"/>
    </row>
    <row r="45" spans="1:163" s="57" customFormat="1" ht="11.25">
      <c r="A45" s="765">
        <f>A21+1</f>
        <v>2</v>
      </c>
      <c r="B45" s="715" t="str" cm="1">
        <f t="array" aca="1" ref="B45" ca="1">INDIRECT("'Definition of Typical Day'!"&amp;ADDRESS(B$16,$E45))</f>
        <v>Spring / fall weekday</v>
      </c>
      <c r="C45" s="766">
        <f>C21</f>
        <v>1</v>
      </c>
      <c r="D45" s="715">
        <f>D21</f>
        <v>35</v>
      </c>
      <c r="E45" s="715">
        <f t="shared" si="5"/>
        <v>6</v>
      </c>
      <c r="F45" s="767" cm="1">
        <f t="array" aca="1" ref="F45" ca="1">INDIRECT("'Definition of Typical Day'!D"&amp;D45)</f>
        <v>1</v>
      </c>
      <c r="G45" s="767" cm="1">
        <f t="array" aca="1" ref="G45" ca="1">INDIRECT("'Definition of Typical Day'!"&amp;ADDRESS(13,E45))</f>
        <v>2</v>
      </c>
      <c r="H45" s="768" cm="1">
        <f t="array" aca="1" ref="H45" ca="1">INDIRECT("'Definition of Typical Day'!"&amp; ADDRESS($D45+28*(H$16-1),$E45))</f>
        <v>2</v>
      </c>
      <c r="I45" s="715" cm="1">
        <f t="array" aca="1" ref="I45" ca="1">INDIRECT("'Definition of Typical Day'!"&amp; ADDRESS($D45+29*(I$16-1),$E45))</f>
        <v>40</v>
      </c>
      <c r="J45" s="715">
        <f t="shared" ca="1" si="32"/>
        <v>37</v>
      </c>
      <c r="K45" s="785">
        <f t="shared" si="33"/>
        <v>28</v>
      </c>
      <c r="L45" s="786" cm="1">
        <f t="array" aca="1" ref="L45" ca="1">INDIRECT("'Definition of Typical Day'!"&amp; ADDRESS($D45+29*(L$16-1),$E45))</f>
        <v>6</v>
      </c>
      <c r="M45" s="768" cm="1">
        <f t="array" aca="1" ref="M45" ca="1">INDIRECT("'Definition of Typical Day'!"&amp; ADDRESS($D45+29*(M$16-1),$E45))</f>
        <v>86.666666666666657</v>
      </c>
      <c r="N45" s="715">
        <f t="shared" si="34"/>
        <v>3</v>
      </c>
      <c r="O45" s="715">
        <f t="shared" ca="1" si="35"/>
        <v>89.666666666666657</v>
      </c>
      <c r="P45" s="715" cm="1">
        <f t="array" aca="1" ref="P45" ca="1">INDIRECT("'Definition of Typical Day'!"&amp; ADDRESS($D45+29*(P$16-1),$E45))</f>
        <v>45</v>
      </c>
      <c r="Q45" s="787">
        <f t="shared" ca="1" si="36"/>
        <v>48</v>
      </c>
      <c r="R45" s="792">
        <f t="shared" ca="1" si="37"/>
        <v>89.666666666666657</v>
      </c>
      <c r="S45" s="769">
        <f t="shared" si="38"/>
        <v>3</v>
      </c>
      <c r="T45" s="769">
        <f t="shared" ca="1" si="39"/>
        <v>0.24</v>
      </c>
      <c r="U45" s="769">
        <f t="shared" ca="1" si="40"/>
        <v>8.6666666666669126E-3</v>
      </c>
      <c r="V45" s="769">
        <f t="shared" ca="1" si="41"/>
        <v>0</v>
      </c>
      <c r="W45" s="769">
        <f t="shared" ca="1" si="42"/>
        <v>3.2486666666666673</v>
      </c>
      <c r="X45" s="794">
        <f t="shared" si="43"/>
        <v>3</v>
      </c>
      <c r="Y45" s="769">
        <f t="shared" ca="1" si="44"/>
        <v>3</v>
      </c>
      <c r="Z45" s="769">
        <f t="shared" ca="1" si="45"/>
        <v>2.8894159501927064</v>
      </c>
      <c r="AA45" s="795">
        <f t="shared" ca="1" si="46"/>
        <v>2.8894159501927064</v>
      </c>
      <c r="AB45" s="769">
        <f t="shared" ca="1" si="47"/>
        <v>0</v>
      </c>
      <c r="AC45" s="769">
        <f t="shared" ca="1" si="48"/>
        <v>0</v>
      </c>
      <c r="AD45" s="769">
        <f t="shared" ca="1" si="49"/>
        <v>0</v>
      </c>
      <c r="AE45" s="794">
        <f t="shared" ca="1" si="50"/>
        <v>2.8894159501927064</v>
      </c>
      <c r="AF45" s="769">
        <f t="shared" ca="1" si="51"/>
        <v>2.8894159501927065E-2</v>
      </c>
      <c r="AG45" s="769">
        <f t="shared" ca="1" si="52"/>
        <v>2.8605217906907794</v>
      </c>
      <c r="AH45" s="799">
        <f t="shared" ca="1" si="53"/>
        <v>2.8605217906907794</v>
      </c>
      <c r="AI45" s="801">
        <f t="shared" ca="1" si="54"/>
        <v>1</v>
      </c>
      <c r="AJ45" s="794">
        <f t="shared" ca="1" si="55"/>
        <v>2</v>
      </c>
      <c r="AK45" s="769">
        <f t="shared" ca="1" si="56"/>
        <v>0.88941595019270647</v>
      </c>
      <c r="AL45" s="769">
        <f t="shared" ca="1" si="57"/>
        <v>0</v>
      </c>
      <c r="AM45" s="804">
        <f t="shared" ca="1" si="6"/>
        <v>0.18666666666666665</v>
      </c>
      <c r="AN45" s="795">
        <f t="shared" ca="1" si="7"/>
        <v>0</v>
      </c>
      <c r="AO45" s="251"/>
      <c r="AP45" s="770">
        <f t="shared" si="58"/>
        <v>0</v>
      </c>
      <c r="AQ45" s="771">
        <f t="shared" ca="1" si="59"/>
        <v>0</v>
      </c>
      <c r="AR45" s="771">
        <f t="shared" ca="1" si="60"/>
        <v>4</v>
      </c>
      <c r="AS45" s="772">
        <f t="shared" ca="1" si="61"/>
        <v>4</v>
      </c>
      <c r="AT45" s="231"/>
      <c r="AU45" s="770">
        <f>'Main Results - IRR DC Operator'!$F$16</f>
        <v>2</v>
      </c>
      <c r="AV45" s="773">
        <f>'Main Results - IRR DC Operator'!$F$15</f>
        <v>1</v>
      </c>
      <c r="AW45" s="771">
        <f t="shared" ca="1" si="62"/>
        <v>4</v>
      </c>
      <c r="AX45" s="772">
        <f t="shared" si="63"/>
        <v>0</v>
      </c>
      <c r="AY45" s="231"/>
      <c r="AZ45" s="770" cm="1">
        <f t="array" aca="1" ref="AZ45" ca="1">INDIRECT("'Definition of Typical Day'!"&amp; ADDRESS($D45+29*(AZ$16-1),$E45))+$AZ$17</f>
        <v>82</v>
      </c>
      <c r="BA45" s="771" cm="1">
        <f t="array" aca="1" ref="BA45" ca="1">INDIRECT("'Definition of Typical Day'!"&amp; ADDRESS($D45+29*(BA$16-1),$E45))+$BA$17</f>
        <v>82</v>
      </c>
      <c r="BB45" s="772" cm="1">
        <f t="array" aca="1" ref="BB45" ca="1">INDIRECT("'Definition of Typical Day'!"&amp;ADDRESS(BB$16,$E45))</f>
        <v>71</v>
      </c>
      <c r="BC45" s="776" cm="1">
        <f t="array" aca="1" ref="BC45" ca="1">INDIRECT("'Definition of Typical Day'!"&amp; ADDRESS($D45+29*(BC$16-1),$E45))</f>
        <v>81</v>
      </c>
      <c r="BD45" s="777" cm="1">
        <f t="array" aca="1" ref="BD45" ca="1">INDIRECT("'Definition of Typical Day'!"&amp; ADDRESS($D45+29*(BD$16-1),$E45))</f>
        <v>0.7</v>
      </c>
      <c r="BE45" s="776">
        <f t="shared" si="64"/>
        <v>0</v>
      </c>
      <c r="BF45" s="771">
        <f t="shared" ca="1" si="75"/>
        <v>72.932107915801936</v>
      </c>
      <c r="BG45" s="771">
        <f t="shared" ca="1" si="65"/>
        <v>4.1029706492736429</v>
      </c>
      <c r="BH45" s="771">
        <f t="shared" ca="1" si="66"/>
        <v>0</v>
      </c>
      <c r="BI45" s="776">
        <f t="shared" ca="1" si="67"/>
        <v>15.12</v>
      </c>
      <c r="BJ45" s="776">
        <f t="shared" ca="1" si="68"/>
        <v>0</v>
      </c>
      <c r="BK45" s="776">
        <f t="shared" ca="1" si="69"/>
        <v>0</v>
      </c>
      <c r="BL45" s="776">
        <f t="shared" ca="1" si="70"/>
        <v>0</v>
      </c>
      <c r="BM45" s="135"/>
      <c r="BN45" s="776">
        <f t="shared" ca="1" si="71"/>
        <v>81.03507856507558</v>
      </c>
      <c r="BO45" s="778">
        <f t="shared" ca="1" si="8"/>
        <v>28.328775130745164</v>
      </c>
      <c r="BP45" s="770">
        <f t="shared" ca="1" si="9"/>
        <v>77.03507856507558</v>
      </c>
      <c r="BQ45" s="771">
        <f t="shared" ca="1" si="10"/>
        <v>0</v>
      </c>
      <c r="BR45" s="771">
        <f t="shared" ca="1" si="11"/>
        <v>0</v>
      </c>
      <c r="BS45" s="776">
        <f t="shared" ca="1" si="72"/>
        <v>81.03507856507558</v>
      </c>
      <c r="BT45" s="776">
        <f t="shared" ca="1" si="12"/>
        <v>77.03507856507558</v>
      </c>
      <c r="BU45" s="783">
        <f t="shared" ca="1" si="13"/>
        <v>26.930428852448138</v>
      </c>
      <c r="BV45" s="783">
        <f t="shared" ca="1" si="14"/>
        <v>26.930428852448138</v>
      </c>
      <c r="BW45" s="1019">
        <f t="shared" ca="1" si="73"/>
        <v>26.930428852448138</v>
      </c>
      <c r="BX45" s="771" cm="1">
        <f t="array" aca="1" ref="BX45" ca="1">INDIRECT("'Definition of Typical Day'!"&amp; ADDRESS($D45+29*(BX$16-1),$E45))</f>
        <v>60</v>
      </c>
      <c r="BY45" s="771">
        <f t="shared" ca="1" si="74"/>
        <v>1</v>
      </c>
      <c r="BZ45" s="781">
        <f t="shared" ca="1" si="15"/>
        <v>1</v>
      </c>
      <c r="CA45" s="781">
        <f t="shared" ca="1" si="16"/>
        <v>0.96313865006423549</v>
      </c>
      <c r="CB45" s="776">
        <f t="shared" ca="1" si="17"/>
        <v>171.63130744144675</v>
      </c>
      <c r="CC45" s="782">
        <f t="shared" si="18"/>
        <v>2</v>
      </c>
      <c r="CD45" s="782">
        <f t="shared" si="19"/>
        <v>1</v>
      </c>
      <c r="CE45" s="784" t="str" cm="1">
        <f t="array" aca="1" ref="CE45" ca="1">INDIRECT("'Definition of Typical Day'!"&amp;ADDRESS(CE$16,$E45))</f>
        <v>Spring / fall weekday</v>
      </c>
      <c r="CF45" s="135"/>
      <c r="CG45" s="135"/>
      <c r="CH45" s="776">
        <f t="shared" ca="1" si="20"/>
        <v>2</v>
      </c>
      <c r="CI45" s="806">
        <f t="shared" ca="1" si="21"/>
        <v>6</v>
      </c>
      <c r="CJ45" s="770">
        <f t="shared" ca="1" si="22"/>
        <v>2.8605217906907794</v>
      </c>
      <c r="CK45" s="771">
        <f t="shared" ca="1" si="23"/>
        <v>2</v>
      </c>
      <c r="CL45" s="771">
        <f t="shared" ca="1" si="24"/>
        <v>0.88941595019270647</v>
      </c>
      <c r="CM45" s="772">
        <f t="shared" ca="1" si="25"/>
        <v>0</v>
      </c>
      <c r="CN45" s="135"/>
      <c r="CO45" s="770">
        <f t="shared" ca="1" si="76"/>
        <v>1.05</v>
      </c>
      <c r="CP45" s="771">
        <f t="shared" ca="1" si="27"/>
        <v>0.98</v>
      </c>
      <c r="CQ45" s="771">
        <f t="shared" ca="1" si="28"/>
        <v>0.96</v>
      </c>
      <c r="CR45" s="771">
        <f t="shared" ca="1" si="29"/>
        <v>0.95</v>
      </c>
      <c r="CS45" s="771">
        <f t="shared" ca="1" si="30"/>
        <v>1.02</v>
      </c>
      <c r="CT45" s="772">
        <f t="shared" ca="1" si="31"/>
        <v>0.02</v>
      </c>
      <c r="CU45" s="135"/>
      <c r="CV45" s="135"/>
      <c r="CW45" s="135"/>
      <c r="CX45" s="135"/>
      <c r="CY45" s="135"/>
      <c r="CZ45" s="135"/>
      <c r="DA45" s="135"/>
      <c r="DB45" s="135"/>
      <c r="DC45" s="135"/>
      <c r="DD45" s="135"/>
      <c r="DE45" s="135"/>
      <c r="DF45" s="135"/>
      <c r="DG45" s="135"/>
      <c r="DH45" s="135"/>
      <c r="DI45" s="135"/>
      <c r="DJ45" s="135"/>
      <c r="DK45" s="135"/>
      <c r="DL45" s="135"/>
      <c r="DM45" s="135"/>
      <c r="DN45" s="135"/>
      <c r="DO45" s="135"/>
      <c r="DP45" s="135"/>
      <c r="DQ45" s="135"/>
      <c r="DR45" s="135"/>
      <c r="DS45" s="135"/>
      <c r="DT45" s="135"/>
      <c r="DU45" s="135"/>
      <c r="DV45" s="135"/>
      <c r="DX45" s="135"/>
      <c r="DY45" s="135"/>
      <c r="DZ45" s="135"/>
      <c r="EA45" s="135"/>
      <c r="EB45" s="135"/>
      <c r="EC45" s="135"/>
      <c r="ED45" s="135"/>
      <c r="EE45" s="135"/>
      <c r="EF45" s="135"/>
      <c r="EG45" s="135"/>
      <c r="EH45" s="135"/>
      <c r="EI45" s="135"/>
      <c r="EJ45" s="135"/>
      <c r="EK45" s="135"/>
      <c r="EL45" s="135"/>
      <c r="EM45" s="135"/>
      <c r="EN45" s="135"/>
      <c r="EO45" s="135"/>
      <c r="EP45" s="135"/>
      <c r="EQ45" s="135"/>
      <c r="ER45" s="135"/>
      <c r="ES45" s="135"/>
      <c r="ET45" s="135"/>
      <c r="EU45" s="135"/>
      <c r="EV45" s="135"/>
      <c r="EW45" s="135"/>
      <c r="EX45" s="135"/>
      <c r="EY45" s="135"/>
      <c r="EZ45" s="135"/>
      <c r="FA45" s="135"/>
      <c r="FB45" s="135"/>
      <c r="FC45" s="135"/>
      <c r="FD45" s="135"/>
      <c r="FE45" s="135"/>
      <c r="FF45" s="135"/>
      <c r="FG45" s="135"/>
    </row>
    <row r="46" spans="1:163" s="57" customFormat="1" ht="11.25" outlineLevel="1">
      <c r="A46" s="765">
        <f t="shared" ref="A46:A109" si="77">A22+1</f>
        <v>2</v>
      </c>
      <c r="B46" s="715" t="str" cm="1">
        <f t="array" aca="1" ref="B46" ca="1">INDIRECT("'Definition of Typical Day'!"&amp;ADDRESS(B$16,$E46))</f>
        <v>Spring / fall weekday</v>
      </c>
      <c r="C46" s="766">
        <f t="shared" ref="C46:D109" si="78">C22</f>
        <v>2</v>
      </c>
      <c r="D46" s="715">
        <f t="shared" si="78"/>
        <v>36</v>
      </c>
      <c r="E46" s="715">
        <f t="shared" si="5"/>
        <v>6</v>
      </c>
      <c r="F46" s="767" cm="1">
        <f t="array" aca="1" ref="F46" ca="1">INDIRECT("'Definition of Typical Day'!D"&amp;D46)</f>
        <v>2</v>
      </c>
      <c r="G46" s="767" cm="1">
        <f t="array" aca="1" ref="G46" ca="1">INDIRECT("'Definition of Typical Day'!"&amp;ADDRESS(13,E46))</f>
        <v>2</v>
      </c>
      <c r="H46" s="768" cm="1">
        <f t="array" aca="1" ref="H46" ca="1">INDIRECT("'Definition of Typical Day'!"&amp; ADDRESS($D46+28*(H$16-1),$E46))</f>
        <v>2</v>
      </c>
      <c r="I46" s="715" cm="1">
        <f t="array" aca="1" ref="I46" ca="1">INDIRECT("'Definition of Typical Day'!"&amp; ADDRESS($D46+29*(I$16-1),$E46))</f>
        <v>40</v>
      </c>
      <c r="J46" s="715">
        <f t="shared" ca="1" si="32"/>
        <v>37</v>
      </c>
      <c r="K46" s="785">
        <f t="shared" si="33"/>
        <v>28</v>
      </c>
      <c r="L46" s="786" cm="1">
        <f t="array" aca="1" ref="L46" ca="1">INDIRECT("'Definition of Typical Day'!"&amp; ADDRESS($D46+29*(L$16-1),$E46))</f>
        <v>6</v>
      </c>
      <c r="M46" s="768" cm="1">
        <f t="array" aca="1" ref="M46" ca="1">INDIRECT("'Definition of Typical Day'!"&amp; ADDRESS($D46+29*(M$16-1),$E46))</f>
        <v>86.666666666666657</v>
      </c>
      <c r="N46" s="715">
        <f t="shared" si="34"/>
        <v>3</v>
      </c>
      <c r="O46" s="715">
        <f t="shared" ca="1" si="35"/>
        <v>89.666666666666657</v>
      </c>
      <c r="P46" s="715" cm="1">
        <f t="array" aca="1" ref="P46" ca="1">INDIRECT("'Definition of Typical Day'!"&amp; ADDRESS($D46+29*(P$16-1),$E46))</f>
        <v>45</v>
      </c>
      <c r="Q46" s="787">
        <f t="shared" ca="1" si="36"/>
        <v>48</v>
      </c>
      <c r="R46" s="792">
        <f t="shared" ca="1" si="37"/>
        <v>89.666666666666657</v>
      </c>
      <c r="S46" s="769">
        <f t="shared" si="38"/>
        <v>3</v>
      </c>
      <c r="T46" s="769">
        <f t="shared" ca="1" si="39"/>
        <v>0.24</v>
      </c>
      <c r="U46" s="769">
        <f t="shared" ca="1" si="40"/>
        <v>8.6666666666669126E-3</v>
      </c>
      <c r="V46" s="769">
        <f t="shared" ca="1" si="41"/>
        <v>0</v>
      </c>
      <c r="W46" s="769">
        <f t="shared" ca="1" si="42"/>
        <v>3.2486666666666673</v>
      </c>
      <c r="X46" s="794">
        <f t="shared" si="43"/>
        <v>3</v>
      </c>
      <c r="Y46" s="769">
        <f t="shared" ca="1" si="44"/>
        <v>3</v>
      </c>
      <c r="Z46" s="769">
        <f t="shared" ca="1" si="45"/>
        <v>2.8894159501927064</v>
      </c>
      <c r="AA46" s="795">
        <f t="shared" ca="1" si="46"/>
        <v>2.8894159501927064</v>
      </c>
      <c r="AB46" s="769">
        <f t="shared" ca="1" si="47"/>
        <v>0</v>
      </c>
      <c r="AC46" s="769">
        <f t="shared" ca="1" si="48"/>
        <v>0</v>
      </c>
      <c r="AD46" s="769">
        <f t="shared" ca="1" si="49"/>
        <v>0</v>
      </c>
      <c r="AE46" s="794">
        <f t="shared" ca="1" si="50"/>
        <v>2.8894159501927064</v>
      </c>
      <c r="AF46" s="769">
        <f t="shared" ca="1" si="51"/>
        <v>2.8894159501927065E-2</v>
      </c>
      <c r="AG46" s="769">
        <f t="shared" ca="1" si="52"/>
        <v>2.8605217906907794</v>
      </c>
      <c r="AH46" s="799">
        <f t="shared" ca="1" si="53"/>
        <v>2.8605217906907794</v>
      </c>
      <c r="AI46" s="801">
        <f t="shared" ca="1" si="54"/>
        <v>1</v>
      </c>
      <c r="AJ46" s="794">
        <f t="shared" ca="1" si="55"/>
        <v>2</v>
      </c>
      <c r="AK46" s="769">
        <f t="shared" ca="1" si="56"/>
        <v>0.88941595019270647</v>
      </c>
      <c r="AL46" s="769">
        <f t="shared" ca="1" si="57"/>
        <v>0</v>
      </c>
      <c r="AM46" s="804">
        <f t="shared" ca="1" si="6"/>
        <v>0.18666666666666665</v>
      </c>
      <c r="AN46" s="795">
        <f t="shared" ca="1" si="7"/>
        <v>0</v>
      </c>
      <c r="AO46" s="251"/>
      <c r="AP46" s="770">
        <f t="shared" si="58"/>
        <v>0</v>
      </c>
      <c r="AQ46" s="771">
        <f t="shared" ca="1" si="59"/>
        <v>0</v>
      </c>
      <c r="AR46" s="771">
        <f t="shared" ca="1" si="60"/>
        <v>4</v>
      </c>
      <c r="AS46" s="772">
        <f t="shared" ca="1" si="61"/>
        <v>4</v>
      </c>
      <c r="AT46" s="231"/>
      <c r="AU46" s="770">
        <f>'Main Results - IRR DC Operator'!$F$16</f>
        <v>2</v>
      </c>
      <c r="AV46" s="773">
        <f>'Main Results - IRR DC Operator'!$F$15</f>
        <v>1</v>
      </c>
      <c r="AW46" s="771">
        <f t="shared" ca="1" si="62"/>
        <v>4</v>
      </c>
      <c r="AX46" s="772">
        <f t="shared" si="63"/>
        <v>0</v>
      </c>
      <c r="AY46" s="231"/>
      <c r="AZ46" s="770" cm="1">
        <f t="array" aca="1" ref="AZ46" ca="1">INDIRECT("'Definition of Typical Day'!"&amp; ADDRESS($D46+29*(AZ$16-1),$E46))+$AZ$17</f>
        <v>81.7</v>
      </c>
      <c r="BA46" s="771" cm="1">
        <f t="array" aca="1" ref="BA46" ca="1">INDIRECT("'Definition of Typical Day'!"&amp; ADDRESS($D46+29*(BA$16-1),$E46))+$BA$17</f>
        <v>81.7</v>
      </c>
      <c r="BB46" s="772" cm="1">
        <f t="array" aca="1" ref="BB46" ca="1">INDIRECT("'Definition of Typical Day'!"&amp;ADDRESS(BB$16,$E46))</f>
        <v>71</v>
      </c>
      <c r="BC46" s="776" cm="1">
        <f t="array" aca="1" ref="BC46" ca="1">INDIRECT("'Definition of Typical Day'!"&amp; ADDRESS($D46+29*(BC$16-1),$E46))</f>
        <v>80.7</v>
      </c>
      <c r="BD46" s="777" cm="1">
        <f t="array" aca="1" ref="BD46" ca="1">INDIRECT("'Definition of Typical Day'!"&amp; ADDRESS($D46+29*(BD$16-1),$E46))</f>
        <v>0.7</v>
      </c>
      <c r="BE46" s="776">
        <f t="shared" si="64"/>
        <v>0</v>
      </c>
      <c r="BF46" s="771">
        <f t="shared" ca="1" si="75"/>
        <v>72.665283130744115</v>
      </c>
      <c r="BG46" s="771">
        <f t="shared" ca="1" si="65"/>
        <v>4.1029706492736429</v>
      </c>
      <c r="BH46" s="771">
        <f t="shared" ca="1" si="66"/>
        <v>0</v>
      </c>
      <c r="BI46" s="776">
        <f t="shared" ca="1" si="67"/>
        <v>15.063999999999998</v>
      </c>
      <c r="BJ46" s="776">
        <f t="shared" ca="1" si="68"/>
        <v>0</v>
      </c>
      <c r="BK46" s="776">
        <f t="shared" ca="1" si="69"/>
        <v>0</v>
      </c>
      <c r="BL46" s="776">
        <f t="shared" ca="1" si="70"/>
        <v>0</v>
      </c>
      <c r="BM46" s="135"/>
      <c r="BN46" s="776">
        <f t="shared" ca="1" si="71"/>
        <v>80.768253780017758</v>
      </c>
      <c r="BO46" s="778">
        <f t="shared" ca="1" si="8"/>
        <v>28.235496769459413</v>
      </c>
      <c r="BP46" s="770">
        <f t="shared" ca="1" si="9"/>
        <v>76.768253780017758</v>
      </c>
      <c r="BQ46" s="771">
        <f t="shared" ca="1" si="10"/>
        <v>0</v>
      </c>
      <c r="BR46" s="771">
        <f t="shared" ca="1" si="11"/>
        <v>0</v>
      </c>
      <c r="BS46" s="776">
        <f t="shared" ca="1" si="72"/>
        <v>80.768253780017758</v>
      </c>
      <c r="BT46" s="776">
        <f t="shared" ca="1" si="12"/>
        <v>76.768253780017758</v>
      </c>
      <c r="BU46" s="783">
        <f t="shared" ca="1" si="13"/>
        <v>26.837150491162387</v>
      </c>
      <c r="BV46" s="783">
        <f t="shared" ca="1" si="14"/>
        <v>26.837150491162387</v>
      </c>
      <c r="BW46" s="1019">
        <f t="shared" ca="1" si="73"/>
        <v>26.837150491162387</v>
      </c>
      <c r="BX46" s="771" cm="1">
        <f t="array" aca="1" ref="BX46" ca="1">INDIRECT("'Definition of Typical Day'!"&amp; ADDRESS($D46+29*(BX$16-1),$E46))</f>
        <v>60</v>
      </c>
      <c r="BY46" s="771">
        <f t="shared" ca="1" si="74"/>
        <v>1</v>
      </c>
      <c r="BZ46" s="781">
        <f t="shared" ca="1" si="15"/>
        <v>1</v>
      </c>
      <c r="CA46" s="781">
        <f t="shared" ca="1" si="16"/>
        <v>0.96313865006423549</v>
      </c>
      <c r="CB46" s="776">
        <f t="shared" ca="1" si="17"/>
        <v>171.63130744144675</v>
      </c>
      <c r="CC46" s="782">
        <f t="shared" si="18"/>
        <v>2</v>
      </c>
      <c r="CD46" s="782">
        <f t="shared" si="19"/>
        <v>2</v>
      </c>
      <c r="CE46" s="784" t="str" cm="1">
        <f t="array" aca="1" ref="CE46" ca="1">INDIRECT("'Definition of Typical Day'!"&amp;ADDRESS(CE$16,$E46))</f>
        <v>Spring / fall weekday</v>
      </c>
      <c r="CF46" s="135"/>
      <c r="CG46" s="135"/>
      <c r="CH46" s="776">
        <f t="shared" ca="1" si="20"/>
        <v>2</v>
      </c>
      <c r="CI46" s="806">
        <f t="shared" ca="1" si="21"/>
        <v>6</v>
      </c>
      <c r="CJ46" s="770">
        <f t="shared" ca="1" si="22"/>
        <v>2.8605217906907794</v>
      </c>
      <c r="CK46" s="771">
        <f t="shared" ca="1" si="23"/>
        <v>2</v>
      </c>
      <c r="CL46" s="771">
        <f t="shared" ca="1" si="24"/>
        <v>0.88941595019270647</v>
      </c>
      <c r="CM46" s="772">
        <f t="shared" ca="1" si="25"/>
        <v>0</v>
      </c>
      <c r="CN46" s="135"/>
      <c r="CO46" s="770">
        <f t="shared" ca="1" si="76"/>
        <v>1.05</v>
      </c>
      <c r="CP46" s="771">
        <f t="shared" ca="1" si="27"/>
        <v>0.98</v>
      </c>
      <c r="CQ46" s="771">
        <f t="shared" ca="1" si="28"/>
        <v>0.96</v>
      </c>
      <c r="CR46" s="771">
        <f t="shared" ca="1" si="29"/>
        <v>0.95</v>
      </c>
      <c r="CS46" s="771">
        <f t="shared" ca="1" si="30"/>
        <v>1.02</v>
      </c>
      <c r="CT46" s="772">
        <f t="shared" ca="1" si="31"/>
        <v>0.02</v>
      </c>
      <c r="CU46" s="135"/>
      <c r="CV46" s="135"/>
      <c r="CW46" s="135"/>
      <c r="CX46" s="135"/>
      <c r="CY46" s="135"/>
      <c r="CZ46" s="135"/>
      <c r="DA46" s="135"/>
      <c r="DB46" s="135"/>
      <c r="DC46" s="135"/>
      <c r="DD46" s="135"/>
      <c r="DE46" s="135"/>
      <c r="DF46" s="135"/>
      <c r="DG46" s="135"/>
      <c r="DH46" s="135"/>
      <c r="DI46" s="135"/>
      <c r="DJ46" s="135"/>
      <c r="DK46" s="135"/>
      <c r="DL46" s="135"/>
      <c r="DM46" s="135"/>
      <c r="DN46" s="135"/>
      <c r="DO46" s="135"/>
      <c r="DP46" s="135"/>
      <c r="DQ46" s="135"/>
      <c r="DR46" s="135"/>
      <c r="DS46" s="135"/>
      <c r="DT46" s="135"/>
      <c r="DU46" s="135"/>
      <c r="DV46" s="135"/>
      <c r="DX46" s="135"/>
      <c r="DY46" s="135"/>
      <c r="DZ46" s="135"/>
      <c r="EA46" s="135"/>
      <c r="EB46" s="135"/>
      <c r="EC46" s="135"/>
      <c r="ED46" s="135"/>
      <c r="EE46" s="135"/>
      <c r="EF46" s="135"/>
      <c r="EG46" s="135"/>
      <c r="EH46" s="135"/>
      <c r="EI46" s="135"/>
      <c r="EJ46" s="135"/>
      <c r="EK46" s="135"/>
      <c r="EL46" s="135"/>
      <c r="EM46" s="135"/>
      <c r="EN46" s="135"/>
      <c r="EO46" s="135"/>
      <c r="EP46" s="135"/>
      <c r="EQ46" s="135"/>
      <c r="ER46" s="135"/>
      <c r="ES46" s="135"/>
      <c r="ET46" s="135"/>
      <c r="EU46" s="135"/>
      <c r="EV46" s="135"/>
      <c r="EW46" s="135"/>
      <c r="EX46" s="135"/>
      <c r="EY46" s="135"/>
      <c r="EZ46" s="135"/>
      <c r="FA46" s="135"/>
      <c r="FB46" s="135"/>
      <c r="FC46" s="135"/>
      <c r="FD46" s="135"/>
      <c r="FE46" s="135"/>
      <c r="FF46" s="135"/>
      <c r="FG46" s="135"/>
    </row>
    <row r="47" spans="1:163" s="57" customFormat="1" ht="11.25" outlineLevel="1">
      <c r="A47" s="765">
        <f t="shared" si="77"/>
        <v>2</v>
      </c>
      <c r="B47" s="715" t="str" cm="1">
        <f t="array" aca="1" ref="B47" ca="1">INDIRECT("'Definition of Typical Day'!"&amp;ADDRESS(B$16,$E47))</f>
        <v>Spring / fall weekday</v>
      </c>
      <c r="C47" s="766">
        <f t="shared" si="78"/>
        <v>3</v>
      </c>
      <c r="D47" s="715">
        <f t="shared" si="78"/>
        <v>37</v>
      </c>
      <c r="E47" s="715">
        <f t="shared" si="5"/>
        <v>6</v>
      </c>
      <c r="F47" s="767" cm="1">
        <f t="array" aca="1" ref="F47" ca="1">INDIRECT("'Definition of Typical Day'!D"&amp;D47)</f>
        <v>3</v>
      </c>
      <c r="G47" s="767" cm="1">
        <f t="array" aca="1" ref="G47" ca="1">INDIRECT("'Definition of Typical Day'!"&amp;ADDRESS(13,E47))</f>
        <v>2</v>
      </c>
      <c r="H47" s="768" cm="1">
        <f t="array" aca="1" ref="H47" ca="1">INDIRECT("'Definition of Typical Day'!"&amp; ADDRESS($D47+28*(H$16-1),$E47))</f>
        <v>2</v>
      </c>
      <c r="I47" s="715" cm="1">
        <f t="array" aca="1" ref="I47" ca="1">INDIRECT("'Definition of Typical Day'!"&amp; ADDRESS($D47+29*(I$16-1),$E47))</f>
        <v>40</v>
      </c>
      <c r="J47" s="715">
        <f t="shared" ca="1" si="32"/>
        <v>37</v>
      </c>
      <c r="K47" s="785">
        <f t="shared" si="33"/>
        <v>28</v>
      </c>
      <c r="L47" s="786" cm="1">
        <f t="array" aca="1" ref="L47" ca="1">INDIRECT("'Definition of Typical Day'!"&amp; ADDRESS($D47+29*(L$16-1),$E47))</f>
        <v>6</v>
      </c>
      <c r="M47" s="768" cm="1">
        <f t="array" aca="1" ref="M47" ca="1">INDIRECT("'Definition of Typical Day'!"&amp; ADDRESS($D47+29*(M$16-1),$E47))</f>
        <v>86.666666666666657</v>
      </c>
      <c r="N47" s="715">
        <f t="shared" si="34"/>
        <v>3</v>
      </c>
      <c r="O47" s="715">
        <f t="shared" ca="1" si="35"/>
        <v>89.666666666666657</v>
      </c>
      <c r="P47" s="715" cm="1">
        <f t="array" aca="1" ref="P47" ca="1">INDIRECT("'Definition of Typical Day'!"&amp; ADDRESS($D47+29*(P$16-1),$E47))</f>
        <v>45</v>
      </c>
      <c r="Q47" s="787">
        <f t="shared" ca="1" si="36"/>
        <v>48</v>
      </c>
      <c r="R47" s="792">
        <f t="shared" ca="1" si="37"/>
        <v>89.666666666666657</v>
      </c>
      <c r="S47" s="769">
        <f t="shared" si="38"/>
        <v>3</v>
      </c>
      <c r="T47" s="769">
        <f t="shared" ca="1" si="39"/>
        <v>0.24</v>
      </c>
      <c r="U47" s="769">
        <f t="shared" ca="1" si="40"/>
        <v>8.6666666666669126E-3</v>
      </c>
      <c r="V47" s="769">
        <f t="shared" ca="1" si="41"/>
        <v>0</v>
      </c>
      <c r="W47" s="769">
        <f t="shared" ca="1" si="42"/>
        <v>3.2486666666666673</v>
      </c>
      <c r="X47" s="794">
        <f t="shared" si="43"/>
        <v>3</v>
      </c>
      <c r="Y47" s="769">
        <f t="shared" ca="1" si="44"/>
        <v>3</v>
      </c>
      <c r="Z47" s="769">
        <f t="shared" ca="1" si="45"/>
        <v>2.8894159501927064</v>
      </c>
      <c r="AA47" s="795">
        <f t="shared" ca="1" si="46"/>
        <v>2.8894159501927064</v>
      </c>
      <c r="AB47" s="769">
        <f t="shared" ca="1" si="47"/>
        <v>0</v>
      </c>
      <c r="AC47" s="769">
        <f t="shared" ca="1" si="48"/>
        <v>0</v>
      </c>
      <c r="AD47" s="769">
        <f t="shared" ca="1" si="49"/>
        <v>0</v>
      </c>
      <c r="AE47" s="794">
        <f t="shared" ca="1" si="50"/>
        <v>2.8894159501927064</v>
      </c>
      <c r="AF47" s="769">
        <f t="shared" ca="1" si="51"/>
        <v>2.8894159501927065E-2</v>
      </c>
      <c r="AG47" s="769">
        <f t="shared" ca="1" si="52"/>
        <v>2.8605217906907794</v>
      </c>
      <c r="AH47" s="799">
        <f t="shared" ca="1" si="53"/>
        <v>2.8605217906907794</v>
      </c>
      <c r="AI47" s="801">
        <f t="shared" ca="1" si="54"/>
        <v>1</v>
      </c>
      <c r="AJ47" s="794">
        <f t="shared" ca="1" si="55"/>
        <v>2</v>
      </c>
      <c r="AK47" s="769">
        <f t="shared" ca="1" si="56"/>
        <v>0.88941595019270647</v>
      </c>
      <c r="AL47" s="769">
        <f t="shared" ca="1" si="57"/>
        <v>0</v>
      </c>
      <c r="AM47" s="804">
        <f t="shared" ca="1" si="6"/>
        <v>0.18666666666666665</v>
      </c>
      <c r="AN47" s="795">
        <f t="shared" ca="1" si="7"/>
        <v>0</v>
      </c>
      <c r="AO47" s="251"/>
      <c r="AP47" s="770">
        <f t="shared" si="58"/>
        <v>0</v>
      </c>
      <c r="AQ47" s="771">
        <f t="shared" ca="1" si="59"/>
        <v>0</v>
      </c>
      <c r="AR47" s="771">
        <f t="shared" ca="1" si="60"/>
        <v>4</v>
      </c>
      <c r="AS47" s="772">
        <f t="shared" ca="1" si="61"/>
        <v>4</v>
      </c>
      <c r="AT47" s="231"/>
      <c r="AU47" s="770">
        <f>'Main Results - IRR DC Operator'!$F$16</f>
        <v>2</v>
      </c>
      <c r="AV47" s="773">
        <f>'Main Results - IRR DC Operator'!$F$15</f>
        <v>1</v>
      </c>
      <c r="AW47" s="771">
        <f t="shared" ca="1" si="62"/>
        <v>4</v>
      </c>
      <c r="AX47" s="772">
        <f t="shared" si="63"/>
        <v>0</v>
      </c>
      <c r="AY47" s="231"/>
      <c r="AZ47" s="770" cm="1">
        <f t="array" aca="1" ref="AZ47" ca="1">INDIRECT("'Definition of Typical Day'!"&amp; ADDRESS($D47+29*(AZ$16-1),$E47))+$AZ$17</f>
        <v>81.459999999999994</v>
      </c>
      <c r="BA47" s="771" cm="1">
        <f t="array" aca="1" ref="BA47" ca="1">INDIRECT("'Definition of Typical Day'!"&amp; ADDRESS($D47+29*(BA$16-1),$E47))+$BA$17</f>
        <v>81.459999999999994</v>
      </c>
      <c r="BB47" s="772" cm="1">
        <f t="array" aca="1" ref="BB47" ca="1">INDIRECT("'Definition of Typical Day'!"&amp;ADDRESS(BB$16,$E47))</f>
        <v>71</v>
      </c>
      <c r="BC47" s="776" cm="1">
        <f t="array" aca="1" ref="BC47" ca="1">INDIRECT("'Definition of Typical Day'!"&amp; ADDRESS($D47+29*(BC$16-1),$E47))</f>
        <v>80.459999999999994</v>
      </c>
      <c r="BD47" s="777" cm="1">
        <f t="array" aca="1" ref="BD47" ca="1">INDIRECT("'Definition of Typical Day'!"&amp; ADDRESS($D47+29*(BD$16-1),$E47))</f>
        <v>0.7</v>
      </c>
      <c r="BE47" s="776">
        <f t="shared" si="64"/>
        <v>0</v>
      </c>
      <c r="BF47" s="771">
        <f t="shared" ca="1" si="75"/>
        <v>72.451823302697861</v>
      </c>
      <c r="BG47" s="771">
        <f t="shared" ca="1" si="65"/>
        <v>4.1029706492736429</v>
      </c>
      <c r="BH47" s="771">
        <f t="shared" ca="1" si="66"/>
        <v>0</v>
      </c>
      <c r="BI47" s="776">
        <f t="shared" ca="1" si="67"/>
        <v>15.019199999999998</v>
      </c>
      <c r="BJ47" s="776">
        <f t="shared" ca="1" si="68"/>
        <v>0</v>
      </c>
      <c r="BK47" s="776">
        <f t="shared" ca="1" si="69"/>
        <v>0</v>
      </c>
      <c r="BL47" s="776">
        <f t="shared" ca="1" si="70"/>
        <v>0</v>
      </c>
      <c r="BM47" s="135"/>
      <c r="BN47" s="776">
        <f t="shared" ca="1" si="71"/>
        <v>80.554793951971504</v>
      </c>
      <c r="BO47" s="778">
        <f t="shared" ca="1" si="8"/>
        <v>28.160874080430812</v>
      </c>
      <c r="BP47" s="770">
        <f t="shared" ca="1" si="9"/>
        <v>76.554793951971504</v>
      </c>
      <c r="BQ47" s="771">
        <f t="shared" ca="1" si="10"/>
        <v>0</v>
      </c>
      <c r="BR47" s="771">
        <f t="shared" ca="1" si="11"/>
        <v>0</v>
      </c>
      <c r="BS47" s="776">
        <f t="shared" ca="1" si="72"/>
        <v>80.554793951971504</v>
      </c>
      <c r="BT47" s="776">
        <f t="shared" ca="1" si="12"/>
        <v>76.554793951971504</v>
      </c>
      <c r="BU47" s="783">
        <f t="shared" ca="1" si="13"/>
        <v>26.762527802133786</v>
      </c>
      <c r="BV47" s="783">
        <f t="shared" ca="1" si="14"/>
        <v>26.762527802133786</v>
      </c>
      <c r="BW47" s="1019">
        <f t="shared" ca="1" si="73"/>
        <v>26.762527802133786</v>
      </c>
      <c r="BX47" s="771" cm="1">
        <f t="array" aca="1" ref="BX47" ca="1">INDIRECT("'Definition of Typical Day'!"&amp; ADDRESS($D47+29*(BX$16-1),$E47))</f>
        <v>60</v>
      </c>
      <c r="BY47" s="771">
        <f t="shared" ca="1" si="74"/>
        <v>1</v>
      </c>
      <c r="BZ47" s="781">
        <f t="shared" ca="1" si="15"/>
        <v>1</v>
      </c>
      <c r="CA47" s="781">
        <f t="shared" ca="1" si="16"/>
        <v>0.96313865006423549</v>
      </c>
      <c r="CB47" s="776">
        <f t="shared" ca="1" si="17"/>
        <v>171.63130744144675</v>
      </c>
      <c r="CC47" s="782">
        <f t="shared" si="18"/>
        <v>2</v>
      </c>
      <c r="CD47" s="782">
        <f t="shared" si="19"/>
        <v>3</v>
      </c>
      <c r="CE47" s="784" t="str" cm="1">
        <f t="array" aca="1" ref="CE47" ca="1">INDIRECT("'Definition of Typical Day'!"&amp;ADDRESS(CE$16,$E47))</f>
        <v>Spring / fall weekday</v>
      </c>
      <c r="CF47" s="135"/>
      <c r="CG47" s="135"/>
      <c r="CH47" s="776">
        <f t="shared" ca="1" si="20"/>
        <v>2</v>
      </c>
      <c r="CI47" s="806">
        <f t="shared" ca="1" si="21"/>
        <v>6</v>
      </c>
      <c r="CJ47" s="770">
        <f t="shared" ca="1" si="22"/>
        <v>2.8605217906907794</v>
      </c>
      <c r="CK47" s="771">
        <f t="shared" ca="1" si="23"/>
        <v>2</v>
      </c>
      <c r="CL47" s="771">
        <f t="shared" ca="1" si="24"/>
        <v>0.88941595019270647</v>
      </c>
      <c r="CM47" s="772">
        <f t="shared" ca="1" si="25"/>
        <v>0</v>
      </c>
      <c r="CN47" s="135"/>
      <c r="CO47" s="770">
        <f t="shared" ca="1" si="76"/>
        <v>1.05</v>
      </c>
      <c r="CP47" s="771">
        <f t="shared" ca="1" si="27"/>
        <v>0.98</v>
      </c>
      <c r="CQ47" s="771">
        <f t="shared" ca="1" si="28"/>
        <v>0.96</v>
      </c>
      <c r="CR47" s="771">
        <f t="shared" ca="1" si="29"/>
        <v>0.95</v>
      </c>
      <c r="CS47" s="771">
        <f t="shared" ca="1" si="30"/>
        <v>1.02</v>
      </c>
      <c r="CT47" s="772">
        <f t="shared" ca="1" si="31"/>
        <v>0.02</v>
      </c>
      <c r="CU47" s="135"/>
      <c r="CV47" s="135"/>
      <c r="CW47" s="135"/>
      <c r="CX47" s="135"/>
      <c r="CY47" s="135"/>
      <c r="CZ47" s="135"/>
      <c r="DA47" s="135"/>
      <c r="DB47" s="135"/>
      <c r="DC47" s="135"/>
      <c r="DD47" s="135"/>
      <c r="DE47" s="135"/>
      <c r="DF47" s="135"/>
      <c r="DG47" s="135"/>
      <c r="DH47" s="135"/>
      <c r="DI47" s="135"/>
      <c r="DJ47" s="135"/>
      <c r="DK47" s="135"/>
      <c r="DL47" s="135"/>
      <c r="DM47" s="135"/>
      <c r="DN47" s="135"/>
      <c r="DO47" s="135"/>
      <c r="DP47" s="135"/>
      <c r="DQ47" s="135"/>
      <c r="DR47" s="135"/>
      <c r="DS47" s="135"/>
      <c r="DT47" s="135"/>
      <c r="DU47" s="135"/>
      <c r="DV47" s="135"/>
      <c r="DX47" s="135"/>
      <c r="DY47" s="135"/>
      <c r="DZ47" s="135"/>
      <c r="EA47" s="135"/>
      <c r="EB47" s="135"/>
      <c r="EC47" s="135"/>
      <c r="ED47" s="135"/>
      <c r="EE47" s="135"/>
      <c r="EF47" s="135"/>
      <c r="EG47" s="135"/>
      <c r="EH47" s="135"/>
      <c r="EI47" s="135"/>
      <c r="EJ47" s="135"/>
      <c r="EK47" s="135"/>
      <c r="EL47" s="135"/>
      <c r="EM47" s="135"/>
      <c r="EN47" s="135"/>
      <c r="EO47" s="135"/>
      <c r="EP47" s="135"/>
      <c r="EQ47" s="135"/>
      <c r="ER47" s="135"/>
      <c r="ES47" s="135"/>
      <c r="ET47" s="135"/>
      <c r="EU47" s="135"/>
      <c r="EV47" s="135"/>
      <c r="EW47" s="135"/>
      <c r="EX47" s="135"/>
      <c r="EY47" s="135"/>
      <c r="EZ47" s="135"/>
      <c r="FA47" s="135"/>
      <c r="FB47" s="135"/>
      <c r="FC47" s="135"/>
      <c r="FD47" s="135"/>
      <c r="FE47" s="135"/>
      <c r="FF47" s="135"/>
      <c r="FG47" s="135"/>
    </row>
    <row r="48" spans="1:163" s="57" customFormat="1" ht="11.25" outlineLevel="1">
      <c r="A48" s="765">
        <f t="shared" si="77"/>
        <v>2</v>
      </c>
      <c r="B48" s="715" t="str" cm="1">
        <f t="array" aca="1" ref="B48" ca="1">INDIRECT("'Definition of Typical Day'!"&amp;ADDRESS(B$16,$E48))</f>
        <v>Spring / fall weekday</v>
      </c>
      <c r="C48" s="766">
        <f t="shared" si="78"/>
        <v>4</v>
      </c>
      <c r="D48" s="715">
        <f t="shared" si="78"/>
        <v>38</v>
      </c>
      <c r="E48" s="715">
        <f t="shared" si="5"/>
        <v>6</v>
      </c>
      <c r="F48" s="767" cm="1">
        <f t="array" aca="1" ref="F48" ca="1">INDIRECT("'Definition of Typical Day'!D"&amp;D48)</f>
        <v>4</v>
      </c>
      <c r="G48" s="767" cm="1">
        <f t="array" aca="1" ref="G48" ca="1">INDIRECT("'Definition of Typical Day'!"&amp;ADDRESS(13,E48))</f>
        <v>2</v>
      </c>
      <c r="H48" s="768" cm="1">
        <f t="array" aca="1" ref="H48" ca="1">INDIRECT("'Definition of Typical Day'!"&amp; ADDRESS($D48+28*(H$16-1),$E48))</f>
        <v>2</v>
      </c>
      <c r="I48" s="715" cm="1">
        <f t="array" aca="1" ref="I48" ca="1">INDIRECT("'Definition of Typical Day'!"&amp; ADDRESS($D48+29*(I$16-1),$E48))</f>
        <v>40</v>
      </c>
      <c r="J48" s="715">
        <f t="shared" ca="1" si="32"/>
        <v>37</v>
      </c>
      <c r="K48" s="785">
        <f t="shared" si="33"/>
        <v>28</v>
      </c>
      <c r="L48" s="786" cm="1">
        <f t="array" aca="1" ref="L48" ca="1">INDIRECT("'Definition of Typical Day'!"&amp; ADDRESS($D48+29*(L$16-1),$E48))</f>
        <v>6</v>
      </c>
      <c r="M48" s="768" cm="1">
        <f t="array" aca="1" ref="M48" ca="1">INDIRECT("'Definition of Typical Day'!"&amp; ADDRESS($D48+29*(M$16-1),$E48))</f>
        <v>88.333333333333329</v>
      </c>
      <c r="N48" s="715">
        <f t="shared" si="34"/>
        <v>3</v>
      </c>
      <c r="O48" s="715">
        <f t="shared" ca="1" si="35"/>
        <v>91.333333333333329</v>
      </c>
      <c r="P48" s="715" cm="1">
        <f t="array" aca="1" ref="P48" ca="1">INDIRECT("'Definition of Typical Day'!"&amp; ADDRESS($D48+29*(P$16-1),$E48))</f>
        <v>45</v>
      </c>
      <c r="Q48" s="787">
        <f t="shared" ca="1" si="36"/>
        <v>48</v>
      </c>
      <c r="R48" s="792">
        <f t="shared" ca="1" si="37"/>
        <v>91.333333333333329</v>
      </c>
      <c r="S48" s="769">
        <f t="shared" si="38"/>
        <v>3</v>
      </c>
      <c r="T48" s="769">
        <f t="shared" ca="1" si="39"/>
        <v>0.24</v>
      </c>
      <c r="U48" s="769">
        <f t="shared" ca="1" si="40"/>
        <v>-3.466666666666654E-2</v>
      </c>
      <c r="V48" s="769">
        <f t="shared" ca="1" si="41"/>
        <v>0</v>
      </c>
      <c r="W48" s="769">
        <f t="shared" ca="1" si="42"/>
        <v>3.2053333333333338</v>
      </c>
      <c r="X48" s="794">
        <f t="shared" si="43"/>
        <v>3</v>
      </c>
      <c r="Y48" s="769">
        <f t="shared" ca="1" si="44"/>
        <v>3</v>
      </c>
      <c r="Z48" s="769">
        <f t="shared" ca="1" si="45"/>
        <v>2.9068923821039903</v>
      </c>
      <c r="AA48" s="795">
        <f t="shared" ca="1" si="46"/>
        <v>2.9068923821039903</v>
      </c>
      <c r="AB48" s="769">
        <f t="shared" ca="1" si="47"/>
        <v>0</v>
      </c>
      <c r="AC48" s="769">
        <f t="shared" ca="1" si="48"/>
        <v>0</v>
      </c>
      <c r="AD48" s="769">
        <f t="shared" ca="1" si="49"/>
        <v>0</v>
      </c>
      <c r="AE48" s="794">
        <f t="shared" ca="1" si="50"/>
        <v>2.9068923821039903</v>
      </c>
      <c r="AF48" s="769">
        <f t="shared" ca="1" si="51"/>
        <v>2.9068923821039903E-2</v>
      </c>
      <c r="AG48" s="769">
        <f t="shared" ca="1" si="52"/>
        <v>2.8778234582829505</v>
      </c>
      <c r="AH48" s="799">
        <f t="shared" ca="1" si="53"/>
        <v>2.8778234582829505</v>
      </c>
      <c r="AI48" s="801">
        <f t="shared" ca="1" si="54"/>
        <v>1</v>
      </c>
      <c r="AJ48" s="794">
        <f t="shared" ca="1" si="55"/>
        <v>2</v>
      </c>
      <c r="AK48" s="769">
        <f t="shared" ca="1" si="56"/>
        <v>0.90689238210399015</v>
      </c>
      <c r="AL48" s="769">
        <f t="shared" ca="1" si="57"/>
        <v>0</v>
      </c>
      <c r="AM48" s="804">
        <f t="shared" ca="1" si="6"/>
        <v>0.18666666666666665</v>
      </c>
      <c r="AN48" s="795">
        <f t="shared" ca="1" si="7"/>
        <v>0</v>
      </c>
      <c r="AO48" s="251"/>
      <c r="AP48" s="770">
        <f t="shared" si="58"/>
        <v>0</v>
      </c>
      <c r="AQ48" s="771">
        <f t="shared" ca="1" si="59"/>
        <v>0</v>
      </c>
      <c r="AR48" s="771">
        <f t="shared" ca="1" si="60"/>
        <v>4</v>
      </c>
      <c r="AS48" s="772">
        <f t="shared" ca="1" si="61"/>
        <v>4</v>
      </c>
      <c r="AT48" s="231"/>
      <c r="AU48" s="770">
        <f>'Main Results - IRR DC Operator'!$F$16</f>
        <v>2</v>
      </c>
      <c r="AV48" s="773">
        <f>'Main Results - IRR DC Operator'!$F$15</f>
        <v>1</v>
      </c>
      <c r="AW48" s="771">
        <f t="shared" ca="1" si="62"/>
        <v>4</v>
      </c>
      <c r="AX48" s="772">
        <f t="shared" si="63"/>
        <v>0</v>
      </c>
      <c r="AY48" s="231"/>
      <c r="AZ48" s="770" cm="1">
        <f t="array" aca="1" ref="AZ48" ca="1">INDIRECT("'Definition of Typical Day'!"&amp; ADDRESS($D48+29*(AZ$16-1),$E48))+$AZ$17</f>
        <v>80.739999999999995</v>
      </c>
      <c r="BA48" s="771" cm="1">
        <f t="array" aca="1" ref="BA48" ca="1">INDIRECT("'Definition of Typical Day'!"&amp; ADDRESS($D48+29*(BA$16-1),$E48))+$BA$17</f>
        <v>80.739999999999995</v>
      </c>
      <c r="BB48" s="772" cm="1">
        <f t="array" aca="1" ref="BB48" ca="1">INDIRECT("'Definition of Typical Day'!"&amp;ADDRESS(BB$16,$E48))</f>
        <v>71</v>
      </c>
      <c r="BC48" s="776" cm="1">
        <f t="array" aca="1" ref="BC48" ca="1">INDIRECT("'Definition of Typical Day'!"&amp; ADDRESS($D48+29*(BC$16-1),$E48))</f>
        <v>79.739999999999995</v>
      </c>
      <c r="BD48" s="777" cm="1">
        <f t="array" aca="1" ref="BD48" ca="1">INDIRECT("'Definition of Typical Day'!"&amp; ADDRESS($D48+29*(BD$16-1),$E48))</f>
        <v>0.7</v>
      </c>
      <c r="BE48" s="776">
        <f t="shared" si="64"/>
        <v>0</v>
      </c>
      <c r="BF48" s="771">
        <f t="shared" ca="1" si="75"/>
        <v>73.222490931076166</v>
      </c>
      <c r="BG48" s="771">
        <f t="shared" ca="1" si="65"/>
        <v>4.1277871825876664</v>
      </c>
      <c r="BH48" s="771">
        <f t="shared" ca="1" si="66"/>
        <v>0</v>
      </c>
      <c r="BI48" s="776">
        <f t="shared" ca="1" si="67"/>
        <v>14.884799999999997</v>
      </c>
      <c r="BJ48" s="776">
        <f t="shared" ca="1" si="68"/>
        <v>0</v>
      </c>
      <c r="BK48" s="776">
        <f t="shared" ca="1" si="69"/>
        <v>0</v>
      </c>
      <c r="BL48" s="776">
        <f t="shared" ca="1" si="70"/>
        <v>0</v>
      </c>
      <c r="BM48" s="135"/>
      <c r="BN48" s="776">
        <f t="shared" ca="1" si="71"/>
        <v>81.350278113663833</v>
      </c>
      <c r="BO48" s="778">
        <f t="shared" ca="1" si="8"/>
        <v>28.267987697272218</v>
      </c>
      <c r="BP48" s="770">
        <f t="shared" ca="1" si="9"/>
        <v>77.350278113663833</v>
      </c>
      <c r="BQ48" s="771">
        <f t="shared" ca="1" si="10"/>
        <v>0</v>
      </c>
      <c r="BR48" s="771">
        <f t="shared" ca="1" si="11"/>
        <v>0</v>
      </c>
      <c r="BS48" s="776">
        <f t="shared" ca="1" si="72"/>
        <v>81.350278113663833</v>
      </c>
      <c r="BT48" s="776">
        <f t="shared" ca="1" si="12"/>
        <v>77.350278113663833</v>
      </c>
      <c r="BU48" s="783">
        <f t="shared" ca="1" si="13"/>
        <v>26.878048370560844</v>
      </c>
      <c r="BV48" s="783">
        <f t="shared" ca="1" si="14"/>
        <v>26.878048370560844</v>
      </c>
      <c r="BW48" s="1019">
        <f t="shared" ca="1" si="73"/>
        <v>26.878048370560844</v>
      </c>
      <c r="BX48" s="771" cm="1">
        <f t="array" aca="1" ref="BX48" ca="1">INDIRECT("'Definition of Typical Day'!"&amp; ADDRESS($D48+29*(BX$16-1),$E48))</f>
        <v>60</v>
      </c>
      <c r="BY48" s="771">
        <f t="shared" ca="1" si="74"/>
        <v>1</v>
      </c>
      <c r="BZ48" s="781">
        <f t="shared" ca="1" si="15"/>
        <v>1</v>
      </c>
      <c r="CA48" s="781">
        <f t="shared" ca="1" si="16"/>
        <v>0.96896412736799675</v>
      </c>
      <c r="CB48" s="776">
        <f t="shared" ca="1" si="17"/>
        <v>172.66940749697704</v>
      </c>
      <c r="CC48" s="782">
        <f t="shared" si="18"/>
        <v>2</v>
      </c>
      <c r="CD48" s="782">
        <f t="shared" si="19"/>
        <v>4</v>
      </c>
      <c r="CE48" s="784" t="str" cm="1">
        <f t="array" aca="1" ref="CE48" ca="1">INDIRECT("'Definition of Typical Day'!"&amp;ADDRESS(CE$16,$E48))</f>
        <v>Spring / fall weekday</v>
      </c>
      <c r="CF48" s="135"/>
      <c r="CG48" s="135"/>
      <c r="CH48" s="776">
        <f t="shared" ca="1" si="20"/>
        <v>2</v>
      </c>
      <c r="CI48" s="806">
        <f t="shared" ca="1" si="21"/>
        <v>6</v>
      </c>
      <c r="CJ48" s="770">
        <f t="shared" ca="1" si="22"/>
        <v>2.8778234582829505</v>
      </c>
      <c r="CK48" s="771">
        <f t="shared" ca="1" si="23"/>
        <v>2</v>
      </c>
      <c r="CL48" s="771">
        <f t="shared" ca="1" si="24"/>
        <v>0.90689238210399015</v>
      </c>
      <c r="CM48" s="772">
        <f t="shared" ca="1" si="25"/>
        <v>0</v>
      </c>
      <c r="CN48" s="135"/>
      <c r="CO48" s="770">
        <f t="shared" ca="1" si="76"/>
        <v>1.05</v>
      </c>
      <c r="CP48" s="771">
        <f t="shared" ca="1" si="27"/>
        <v>0.98</v>
      </c>
      <c r="CQ48" s="771">
        <f t="shared" ca="1" si="28"/>
        <v>0.96</v>
      </c>
      <c r="CR48" s="771">
        <f t="shared" ca="1" si="29"/>
        <v>0.95</v>
      </c>
      <c r="CS48" s="771">
        <f t="shared" ca="1" si="30"/>
        <v>1.02</v>
      </c>
      <c r="CT48" s="772">
        <f t="shared" ca="1" si="31"/>
        <v>0.02</v>
      </c>
      <c r="CU48" s="135"/>
      <c r="CV48" s="135"/>
      <c r="CW48" s="135"/>
      <c r="CX48" s="135"/>
      <c r="CY48" s="135"/>
      <c r="CZ48" s="135"/>
      <c r="DA48" s="135"/>
      <c r="DB48" s="135"/>
      <c r="DC48" s="135"/>
      <c r="DD48" s="135"/>
      <c r="DE48" s="135"/>
      <c r="DF48" s="135"/>
      <c r="DG48" s="135"/>
      <c r="DH48" s="135"/>
      <c r="DI48" s="135"/>
      <c r="DJ48" s="135"/>
      <c r="DK48" s="135"/>
      <c r="DL48" s="135"/>
      <c r="DM48" s="135"/>
      <c r="DN48" s="135"/>
      <c r="DO48" s="135"/>
      <c r="DP48" s="135"/>
      <c r="DQ48" s="135"/>
      <c r="DR48" s="135"/>
      <c r="DS48" s="135"/>
      <c r="DT48" s="135"/>
      <c r="DU48" s="135"/>
      <c r="DV48" s="135"/>
      <c r="DX48" s="135"/>
      <c r="DY48" s="135"/>
      <c r="DZ48" s="135"/>
      <c r="EA48" s="135"/>
      <c r="EB48" s="135"/>
      <c r="EC48" s="135"/>
      <c r="ED48" s="135"/>
      <c r="EE48" s="135"/>
      <c r="EF48" s="135"/>
      <c r="EG48" s="135"/>
      <c r="EH48" s="135"/>
      <c r="EI48" s="135"/>
      <c r="EJ48" s="135"/>
      <c r="EK48" s="135"/>
      <c r="EL48" s="135"/>
      <c r="EM48" s="135"/>
      <c r="EN48" s="135"/>
      <c r="EO48" s="135"/>
      <c r="EP48" s="135"/>
      <c r="EQ48" s="135"/>
      <c r="ER48" s="135"/>
      <c r="ES48" s="135"/>
      <c r="ET48" s="135"/>
      <c r="EU48" s="135"/>
      <c r="EV48" s="135"/>
      <c r="EW48" s="135"/>
      <c r="EX48" s="135"/>
      <c r="EY48" s="135"/>
      <c r="EZ48" s="135"/>
      <c r="FA48" s="135"/>
      <c r="FB48" s="135"/>
      <c r="FC48" s="135"/>
      <c r="FD48" s="135"/>
      <c r="FE48" s="135"/>
      <c r="FF48" s="135"/>
      <c r="FG48" s="135"/>
    </row>
    <row r="49" spans="1:163" s="57" customFormat="1" ht="11.25" outlineLevel="1">
      <c r="A49" s="765">
        <f t="shared" si="77"/>
        <v>2</v>
      </c>
      <c r="B49" s="715" t="str" cm="1">
        <f t="array" aca="1" ref="B49" ca="1">INDIRECT("'Definition of Typical Day'!"&amp;ADDRESS(B$16,$E49))</f>
        <v>Spring / fall weekday</v>
      </c>
      <c r="C49" s="766">
        <f t="shared" si="78"/>
        <v>5</v>
      </c>
      <c r="D49" s="715">
        <f t="shared" si="78"/>
        <v>39</v>
      </c>
      <c r="E49" s="715">
        <f t="shared" si="5"/>
        <v>6</v>
      </c>
      <c r="F49" s="767" cm="1">
        <f t="array" aca="1" ref="F49" ca="1">INDIRECT("'Definition of Typical Day'!D"&amp;D49)</f>
        <v>5</v>
      </c>
      <c r="G49" s="767" cm="1">
        <f t="array" aca="1" ref="G49" ca="1">INDIRECT("'Definition of Typical Day'!"&amp;ADDRESS(13,E49))</f>
        <v>2</v>
      </c>
      <c r="H49" s="768" cm="1">
        <f t="array" aca="1" ref="H49" ca="1">INDIRECT("'Definition of Typical Day'!"&amp; ADDRESS($D49+28*(H$16-1),$E49))</f>
        <v>2</v>
      </c>
      <c r="I49" s="715" cm="1">
        <f t="array" aca="1" ref="I49" ca="1">INDIRECT("'Definition of Typical Day'!"&amp; ADDRESS($D49+29*(I$16-1),$E49))</f>
        <v>40</v>
      </c>
      <c r="J49" s="715">
        <f t="shared" ca="1" si="32"/>
        <v>37</v>
      </c>
      <c r="K49" s="785">
        <f t="shared" si="33"/>
        <v>28</v>
      </c>
      <c r="L49" s="786" cm="1">
        <f t="array" aca="1" ref="L49" ca="1">INDIRECT("'Definition of Typical Day'!"&amp; ADDRESS($D49+29*(L$16-1),$E49))</f>
        <v>6</v>
      </c>
      <c r="M49" s="768" cm="1">
        <f t="array" aca="1" ref="M49" ca="1">INDIRECT("'Definition of Typical Day'!"&amp; ADDRESS($D49+29*(M$16-1),$E49))</f>
        <v>90</v>
      </c>
      <c r="N49" s="715">
        <f t="shared" si="34"/>
        <v>3</v>
      </c>
      <c r="O49" s="715">
        <f t="shared" ca="1" si="35"/>
        <v>93</v>
      </c>
      <c r="P49" s="715" cm="1">
        <f t="array" aca="1" ref="P49" ca="1">INDIRECT("'Definition of Typical Day'!"&amp; ADDRESS($D49+29*(P$16-1),$E49))</f>
        <v>45</v>
      </c>
      <c r="Q49" s="787">
        <f t="shared" ca="1" si="36"/>
        <v>48</v>
      </c>
      <c r="R49" s="792">
        <f t="shared" ca="1" si="37"/>
        <v>93</v>
      </c>
      <c r="S49" s="769">
        <f t="shared" si="38"/>
        <v>3</v>
      </c>
      <c r="T49" s="769">
        <f t="shared" ca="1" si="39"/>
        <v>0.24</v>
      </c>
      <c r="U49" s="769">
        <f t="shared" ca="1" si="40"/>
        <v>-7.8E-2</v>
      </c>
      <c r="V49" s="769">
        <f t="shared" ca="1" si="41"/>
        <v>0</v>
      </c>
      <c r="W49" s="769">
        <f t="shared" ca="1" si="42"/>
        <v>3.1620000000000004</v>
      </c>
      <c r="X49" s="794">
        <f t="shared" si="43"/>
        <v>3</v>
      </c>
      <c r="Y49" s="769">
        <f t="shared" ca="1" si="44"/>
        <v>3</v>
      </c>
      <c r="Z49" s="769">
        <f t="shared" ca="1" si="45"/>
        <v>2.925069380203515</v>
      </c>
      <c r="AA49" s="795">
        <f t="shared" ca="1" si="46"/>
        <v>2.925069380203515</v>
      </c>
      <c r="AB49" s="769">
        <f t="shared" ca="1" si="47"/>
        <v>0</v>
      </c>
      <c r="AC49" s="769">
        <f t="shared" ca="1" si="48"/>
        <v>0</v>
      </c>
      <c r="AD49" s="769">
        <f t="shared" ca="1" si="49"/>
        <v>0</v>
      </c>
      <c r="AE49" s="794">
        <f t="shared" ca="1" si="50"/>
        <v>2.925069380203515</v>
      </c>
      <c r="AF49" s="769">
        <f t="shared" ca="1" si="51"/>
        <v>2.9250693802035151E-2</v>
      </c>
      <c r="AG49" s="769">
        <f t="shared" ca="1" si="52"/>
        <v>2.8958186864014799</v>
      </c>
      <c r="AH49" s="799">
        <f t="shared" ca="1" si="53"/>
        <v>2.8958186864014799</v>
      </c>
      <c r="AI49" s="801">
        <f t="shared" ca="1" si="54"/>
        <v>1</v>
      </c>
      <c r="AJ49" s="794">
        <f t="shared" ca="1" si="55"/>
        <v>2</v>
      </c>
      <c r="AK49" s="769">
        <f t="shared" ca="1" si="56"/>
        <v>0.92506938020351503</v>
      </c>
      <c r="AL49" s="769">
        <f t="shared" ca="1" si="57"/>
        <v>0</v>
      </c>
      <c r="AM49" s="804">
        <f t="shared" ca="1" si="6"/>
        <v>0.18666666666666665</v>
      </c>
      <c r="AN49" s="795">
        <f t="shared" ca="1" si="7"/>
        <v>0</v>
      </c>
      <c r="AO49" s="251"/>
      <c r="AP49" s="770">
        <f t="shared" si="58"/>
        <v>0</v>
      </c>
      <c r="AQ49" s="771">
        <f t="shared" ca="1" si="59"/>
        <v>0</v>
      </c>
      <c r="AR49" s="771">
        <f t="shared" ca="1" si="60"/>
        <v>4</v>
      </c>
      <c r="AS49" s="772">
        <f t="shared" ca="1" si="61"/>
        <v>4</v>
      </c>
      <c r="AT49" s="231"/>
      <c r="AU49" s="770">
        <f>'Main Results - IRR DC Operator'!$F$16</f>
        <v>2</v>
      </c>
      <c r="AV49" s="773">
        <f>'Main Results - IRR DC Operator'!$F$15</f>
        <v>1</v>
      </c>
      <c r="AW49" s="771">
        <f t="shared" ca="1" si="62"/>
        <v>4</v>
      </c>
      <c r="AX49" s="772">
        <f t="shared" si="63"/>
        <v>0</v>
      </c>
      <c r="AY49" s="231"/>
      <c r="AZ49" s="770" cm="1">
        <f t="array" aca="1" ref="AZ49" ca="1">INDIRECT("'Definition of Typical Day'!"&amp; ADDRESS($D49+29*(AZ$16-1),$E49))+$AZ$17</f>
        <v>81.459999999999994</v>
      </c>
      <c r="BA49" s="771" cm="1">
        <f t="array" aca="1" ref="BA49" ca="1">INDIRECT("'Definition of Typical Day'!"&amp; ADDRESS($D49+29*(BA$16-1),$E49))+$BA$17</f>
        <v>81.459999999999994</v>
      </c>
      <c r="BB49" s="772" cm="1">
        <f t="array" aca="1" ref="BB49" ca="1">INDIRECT("'Definition of Typical Day'!"&amp;ADDRESS(BB$16,$E49))</f>
        <v>71</v>
      </c>
      <c r="BC49" s="776" cm="1">
        <f t="array" aca="1" ref="BC49" ca="1">INDIRECT("'Definition of Typical Day'!"&amp; ADDRESS($D49+29*(BC$16-1),$E49))</f>
        <v>80.459999999999994</v>
      </c>
      <c r="BD49" s="777" cm="1">
        <f t="array" aca="1" ref="BD49" ca="1">INDIRECT("'Definition of Typical Day'!"&amp; ADDRESS($D49+29*(BD$16-1),$E49))</f>
        <v>0.7</v>
      </c>
      <c r="BE49" s="776">
        <f t="shared" si="64"/>
        <v>0</v>
      </c>
      <c r="BF49" s="771">
        <f t="shared" ca="1" si="75"/>
        <v>75.356151711378331</v>
      </c>
      <c r="BG49" s="771">
        <f t="shared" ca="1" si="65"/>
        <v>4.1535985198889911</v>
      </c>
      <c r="BH49" s="771">
        <f t="shared" ca="1" si="66"/>
        <v>0</v>
      </c>
      <c r="BI49" s="776">
        <f t="shared" ca="1" si="67"/>
        <v>15.019199999999998</v>
      </c>
      <c r="BJ49" s="776">
        <f t="shared" ca="1" si="68"/>
        <v>0</v>
      </c>
      <c r="BK49" s="776">
        <f t="shared" ca="1" si="69"/>
        <v>0</v>
      </c>
      <c r="BL49" s="776">
        <f t="shared" ca="1" si="70"/>
        <v>0</v>
      </c>
      <c r="BM49" s="135"/>
      <c r="BN49" s="776">
        <f t="shared" ca="1" si="71"/>
        <v>83.509750231267319</v>
      </c>
      <c r="BO49" s="778">
        <f t="shared" ca="1" si="8"/>
        <v>28.838045221346924</v>
      </c>
      <c r="BP49" s="770">
        <f t="shared" ca="1" si="9"/>
        <v>79.509750231267319</v>
      </c>
      <c r="BQ49" s="771">
        <f t="shared" ca="1" si="10"/>
        <v>0</v>
      </c>
      <c r="BR49" s="771">
        <f t="shared" ca="1" si="11"/>
        <v>0</v>
      </c>
      <c r="BS49" s="776">
        <f t="shared" ca="1" si="72"/>
        <v>83.509750231267319</v>
      </c>
      <c r="BT49" s="776">
        <f t="shared" ca="1" si="12"/>
        <v>79.509750231267319</v>
      </c>
      <c r="BU49" s="783">
        <f t="shared" ca="1" si="13"/>
        <v>27.456743270785008</v>
      </c>
      <c r="BV49" s="783">
        <f t="shared" ca="1" si="14"/>
        <v>27.456743270785008</v>
      </c>
      <c r="BW49" s="1019">
        <f t="shared" ca="1" si="73"/>
        <v>27.456743270785008</v>
      </c>
      <c r="BX49" s="771" cm="1">
        <f t="array" aca="1" ref="BX49" ca="1">INDIRECT("'Definition of Typical Day'!"&amp; ADDRESS($D49+29*(BX$16-1),$E49))</f>
        <v>60</v>
      </c>
      <c r="BY49" s="771">
        <f t="shared" ca="1" si="74"/>
        <v>1</v>
      </c>
      <c r="BZ49" s="781">
        <f t="shared" ca="1" si="15"/>
        <v>1</v>
      </c>
      <c r="CA49" s="781">
        <f t="shared" ca="1" si="16"/>
        <v>0.97502312673450497</v>
      </c>
      <c r="CB49" s="776">
        <f t="shared" ca="1" si="17"/>
        <v>173.74912118408878</v>
      </c>
      <c r="CC49" s="782">
        <f t="shared" si="18"/>
        <v>2</v>
      </c>
      <c r="CD49" s="782">
        <f t="shared" si="19"/>
        <v>5</v>
      </c>
      <c r="CE49" s="784" t="str" cm="1">
        <f t="array" aca="1" ref="CE49" ca="1">INDIRECT("'Definition of Typical Day'!"&amp;ADDRESS(CE$16,$E49))</f>
        <v>Spring / fall weekday</v>
      </c>
      <c r="CF49" s="135"/>
      <c r="CG49" s="135"/>
      <c r="CH49" s="776">
        <f t="shared" ca="1" si="20"/>
        <v>2</v>
      </c>
      <c r="CI49" s="806">
        <f t="shared" ca="1" si="21"/>
        <v>6</v>
      </c>
      <c r="CJ49" s="770">
        <f t="shared" ca="1" si="22"/>
        <v>2.8958186864014799</v>
      </c>
      <c r="CK49" s="771">
        <f t="shared" ca="1" si="23"/>
        <v>2</v>
      </c>
      <c r="CL49" s="771">
        <f t="shared" ca="1" si="24"/>
        <v>0.92506938020351503</v>
      </c>
      <c r="CM49" s="772">
        <f t="shared" ca="1" si="25"/>
        <v>0</v>
      </c>
      <c r="CN49" s="135"/>
      <c r="CO49" s="770">
        <f t="shared" ca="1" si="76"/>
        <v>1.05</v>
      </c>
      <c r="CP49" s="771">
        <f t="shared" ca="1" si="27"/>
        <v>0.98</v>
      </c>
      <c r="CQ49" s="771">
        <f t="shared" ca="1" si="28"/>
        <v>0.96</v>
      </c>
      <c r="CR49" s="771">
        <f t="shared" ca="1" si="29"/>
        <v>0.95</v>
      </c>
      <c r="CS49" s="771">
        <f t="shared" ca="1" si="30"/>
        <v>1.02</v>
      </c>
      <c r="CT49" s="772">
        <f t="shared" ca="1" si="31"/>
        <v>0.02</v>
      </c>
      <c r="CU49" s="135"/>
      <c r="CV49" s="135"/>
      <c r="CW49" s="135"/>
      <c r="CX49" s="135"/>
      <c r="CY49" s="135"/>
      <c r="CZ49" s="135"/>
      <c r="DA49" s="135"/>
      <c r="DB49" s="135"/>
      <c r="DC49" s="135"/>
      <c r="DD49" s="135"/>
      <c r="DE49" s="135"/>
      <c r="DF49" s="135"/>
      <c r="DG49" s="135"/>
      <c r="DH49" s="135"/>
      <c r="DI49" s="135"/>
      <c r="DJ49" s="135"/>
      <c r="DK49" s="135"/>
      <c r="DL49" s="135"/>
      <c r="DM49" s="135"/>
      <c r="DN49" s="135"/>
      <c r="DO49" s="135"/>
      <c r="DP49" s="135"/>
      <c r="DQ49" s="135"/>
      <c r="DR49" s="135"/>
      <c r="DS49" s="135"/>
      <c r="DT49" s="135"/>
      <c r="DU49" s="135"/>
      <c r="DV49" s="135"/>
      <c r="DX49" s="135"/>
      <c r="DY49" s="135"/>
      <c r="DZ49" s="135"/>
      <c r="EA49" s="135"/>
      <c r="EB49" s="135"/>
      <c r="EC49" s="135"/>
      <c r="ED49" s="135"/>
      <c r="EE49" s="135"/>
      <c r="EF49" s="135"/>
      <c r="EG49" s="135"/>
      <c r="EH49" s="135"/>
      <c r="EI49" s="135"/>
      <c r="EJ49" s="135"/>
      <c r="EK49" s="135"/>
      <c r="EL49" s="135"/>
      <c r="EM49" s="135"/>
      <c r="EN49" s="135"/>
      <c r="EO49" s="135"/>
      <c r="EP49" s="135"/>
      <c r="EQ49" s="135"/>
      <c r="ER49" s="135"/>
      <c r="ES49" s="135"/>
      <c r="ET49" s="135"/>
      <c r="EU49" s="135"/>
      <c r="EV49" s="135"/>
      <c r="EW49" s="135"/>
      <c r="EX49" s="135"/>
      <c r="EY49" s="135"/>
      <c r="EZ49" s="135"/>
      <c r="FA49" s="135"/>
      <c r="FB49" s="135"/>
      <c r="FC49" s="135"/>
      <c r="FD49" s="135"/>
      <c r="FE49" s="135"/>
      <c r="FF49" s="135"/>
      <c r="FG49" s="135"/>
    </row>
    <row r="50" spans="1:163" s="57" customFormat="1" ht="11.25" outlineLevel="1">
      <c r="A50" s="765">
        <f t="shared" si="77"/>
        <v>2</v>
      </c>
      <c r="B50" s="715" t="str" cm="1">
        <f t="array" aca="1" ref="B50" ca="1">INDIRECT("'Definition of Typical Day'!"&amp;ADDRESS(B$16,$E50))</f>
        <v>Spring / fall weekday</v>
      </c>
      <c r="C50" s="766">
        <f t="shared" si="78"/>
        <v>6</v>
      </c>
      <c r="D50" s="715">
        <f t="shared" si="78"/>
        <v>40</v>
      </c>
      <c r="E50" s="715">
        <f t="shared" si="5"/>
        <v>6</v>
      </c>
      <c r="F50" s="767" cm="1">
        <f t="array" aca="1" ref="F50" ca="1">INDIRECT("'Definition of Typical Day'!D"&amp;D50)</f>
        <v>6</v>
      </c>
      <c r="G50" s="767" cm="1">
        <f t="array" aca="1" ref="G50" ca="1">INDIRECT("'Definition of Typical Day'!"&amp;ADDRESS(13,E50))</f>
        <v>2</v>
      </c>
      <c r="H50" s="768" cm="1">
        <f t="array" aca="1" ref="H50" ca="1">INDIRECT("'Definition of Typical Day'!"&amp; ADDRESS($D50+28*(H$16-1),$E50))</f>
        <v>2</v>
      </c>
      <c r="I50" s="715" cm="1">
        <f t="array" aca="1" ref="I50" ca="1">INDIRECT("'Definition of Typical Day'!"&amp; ADDRESS($D50+29*(I$16-1),$E50))</f>
        <v>40</v>
      </c>
      <c r="J50" s="715">
        <f t="shared" ca="1" si="32"/>
        <v>37</v>
      </c>
      <c r="K50" s="785">
        <f t="shared" si="33"/>
        <v>28</v>
      </c>
      <c r="L50" s="786" cm="1">
        <f t="array" aca="1" ref="L50" ca="1">INDIRECT("'Definition of Typical Day'!"&amp; ADDRESS($D50+29*(L$16-1),$E50))</f>
        <v>6</v>
      </c>
      <c r="M50" s="768" cm="1">
        <f t="array" aca="1" ref="M50" ca="1">INDIRECT("'Definition of Typical Day'!"&amp; ADDRESS($D50+29*(M$16-1),$E50))</f>
        <v>88.333333333333329</v>
      </c>
      <c r="N50" s="715">
        <f t="shared" si="34"/>
        <v>3</v>
      </c>
      <c r="O50" s="715">
        <f t="shared" ca="1" si="35"/>
        <v>91.333333333333329</v>
      </c>
      <c r="P50" s="715" cm="1">
        <f t="array" aca="1" ref="P50" ca="1">INDIRECT("'Definition of Typical Day'!"&amp; ADDRESS($D50+29*(P$16-1),$E50))</f>
        <v>45</v>
      </c>
      <c r="Q50" s="787">
        <f t="shared" ca="1" si="36"/>
        <v>48</v>
      </c>
      <c r="R50" s="792">
        <f t="shared" ca="1" si="37"/>
        <v>91.333333333333329</v>
      </c>
      <c r="S50" s="769">
        <f t="shared" si="38"/>
        <v>3</v>
      </c>
      <c r="T50" s="769">
        <f t="shared" ca="1" si="39"/>
        <v>0.24</v>
      </c>
      <c r="U50" s="769">
        <f t="shared" ca="1" si="40"/>
        <v>-3.466666666666654E-2</v>
      </c>
      <c r="V50" s="769">
        <f t="shared" ca="1" si="41"/>
        <v>0</v>
      </c>
      <c r="W50" s="769">
        <f t="shared" ca="1" si="42"/>
        <v>3.2053333333333338</v>
      </c>
      <c r="X50" s="794">
        <f t="shared" si="43"/>
        <v>3</v>
      </c>
      <c r="Y50" s="769">
        <f t="shared" ca="1" si="44"/>
        <v>3</v>
      </c>
      <c r="Z50" s="769">
        <f t="shared" ca="1" si="45"/>
        <v>2.9068923821039903</v>
      </c>
      <c r="AA50" s="795">
        <f t="shared" ca="1" si="46"/>
        <v>2.9068923821039903</v>
      </c>
      <c r="AB50" s="769">
        <f t="shared" ca="1" si="47"/>
        <v>0</v>
      </c>
      <c r="AC50" s="769">
        <f t="shared" ca="1" si="48"/>
        <v>0</v>
      </c>
      <c r="AD50" s="769">
        <f t="shared" ca="1" si="49"/>
        <v>0</v>
      </c>
      <c r="AE50" s="794">
        <f t="shared" ca="1" si="50"/>
        <v>2.9068923821039903</v>
      </c>
      <c r="AF50" s="769">
        <f t="shared" ca="1" si="51"/>
        <v>2.9068923821039903E-2</v>
      </c>
      <c r="AG50" s="769">
        <f t="shared" ca="1" si="52"/>
        <v>2.8778234582829505</v>
      </c>
      <c r="AH50" s="799">
        <f t="shared" ca="1" si="53"/>
        <v>2.8778234582829505</v>
      </c>
      <c r="AI50" s="801">
        <f t="shared" ca="1" si="54"/>
        <v>1</v>
      </c>
      <c r="AJ50" s="794">
        <f t="shared" ca="1" si="55"/>
        <v>2</v>
      </c>
      <c r="AK50" s="769">
        <f t="shared" ca="1" si="56"/>
        <v>0.90689238210399015</v>
      </c>
      <c r="AL50" s="769">
        <f t="shared" ca="1" si="57"/>
        <v>0</v>
      </c>
      <c r="AM50" s="804">
        <f t="shared" ca="1" si="6"/>
        <v>0.18666666666666665</v>
      </c>
      <c r="AN50" s="795">
        <f t="shared" ca="1" si="7"/>
        <v>0</v>
      </c>
      <c r="AO50" s="251"/>
      <c r="AP50" s="770">
        <f t="shared" si="58"/>
        <v>0</v>
      </c>
      <c r="AQ50" s="771">
        <f t="shared" ca="1" si="59"/>
        <v>0</v>
      </c>
      <c r="AR50" s="771">
        <f t="shared" ca="1" si="60"/>
        <v>4</v>
      </c>
      <c r="AS50" s="772">
        <f t="shared" ca="1" si="61"/>
        <v>4</v>
      </c>
      <c r="AT50" s="231"/>
      <c r="AU50" s="770">
        <f>'Main Results - IRR DC Operator'!$F$16</f>
        <v>2</v>
      </c>
      <c r="AV50" s="773">
        <f>'Main Results - IRR DC Operator'!$F$15</f>
        <v>1</v>
      </c>
      <c r="AW50" s="771">
        <f t="shared" ca="1" si="62"/>
        <v>4</v>
      </c>
      <c r="AX50" s="772">
        <f t="shared" si="63"/>
        <v>0</v>
      </c>
      <c r="AY50" s="231"/>
      <c r="AZ50" s="770" cm="1">
        <f t="array" aca="1" ref="AZ50" ca="1">INDIRECT("'Definition of Typical Day'!"&amp; ADDRESS($D50+29*(AZ$16-1),$E50))+$AZ$17</f>
        <v>84.91</v>
      </c>
      <c r="BA50" s="771" cm="1">
        <f t="array" aca="1" ref="BA50" ca="1">INDIRECT("'Definition of Typical Day'!"&amp; ADDRESS($D50+29*(BA$16-1),$E50))+$BA$17</f>
        <v>84.91</v>
      </c>
      <c r="BB50" s="772" cm="1">
        <f t="array" aca="1" ref="BB50" ca="1">INDIRECT("'Definition of Typical Day'!"&amp;ADDRESS(BB$16,$E50))</f>
        <v>71</v>
      </c>
      <c r="BC50" s="776" cm="1">
        <f t="array" aca="1" ref="BC50" ca="1">INDIRECT("'Definition of Typical Day'!"&amp; ADDRESS($D50+29*(BC$16-1),$E50))</f>
        <v>83.91</v>
      </c>
      <c r="BD50" s="777" cm="1">
        <f t="array" aca="1" ref="BD50" ca="1">INDIRECT("'Definition of Typical Day'!"&amp; ADDRESS($D50+29*(BD$16-1),$E50))</f>
        <v>0.7</v>
      </c>
      <c r="BE50" s="776">
        <f t="shared" si="64"/>
        <v>0</v>
      </c>
      <c r="BF50" s="771">
        <f t="shared" ca="1" si="75"/>
        <v>77.004232164449803</v>
      </c>
      <c r="BG50" s="771">
        <f t="shared" ca="1" si="65"/>
        <v>4.1277871825876664</v>
      </c>
      <c r="BH50" s="771">
        <f t="shared" ca="1" si="66"/>
        <v>0</v>
      </c>
      <c r="BI50" s="776">
        <f t="shared" ca="1" si="67"/>
        <v>15.663199999999998</v>
      </c>
      <c r="BJ50" s="776">
        <f t="shared" ca="1" si="68"/>
        <v>0</v>
      </c>
      <c r="BK50" s="776">
        <f t="shared" ca="1" si="69"/>
        <v>0</v>
      </c>
      <c r="BL50" s="776">
        <f t="shared" ca="1" si="70"/>
        <v>0</v>
      </c>
      <c r="BM50" s="135"/>
      <c r="BN50" s="776">
        <f t="shared" ca="1" si="71"/>
        <v>85.13201934703747</v>
      </c>
      <c r="BO50" s="778">
        <f t="shared" ca="1" si="8"/>
        <v>29.582085413200215</v>
      </c>
      <c r="BP50" s="770">
        <f t="shared" ca="1" si="9"/>
        <v>81.13201934703747</v>
      </c>
      <c r="BQ50" s="771">
        <f t="shared" ca="1" si="10"/>
        <v>0</v>
      </c>
      <c r="BR50" s="771">
        <f t="shared" ca="1" si="11"/>
        <v>0</v>
      </c>
      <c r="BS50" s="776">
        <f t="shared" ca="1" si="72"/>
        <v>85.13201934703747</v>
      </c>
      <c r="BT50" s="776">
        <f t="shared" ca="1" si="12"/>
        <v>81.13201934703747</v>
      </c>
      <c r="BU50" s="783">
        <f t="shared" ca="1" si="13"/>
        <v>28.192146086488844</v>
      </c>
      <c r="BV50" s="783">
        <f t="shared" ca="1" si="14"/>
        <v>28.192146086488844</v>
      </c>
      <c r="BW50" s="1019">
        <f t="shared" ca="1" si="73"/>
        <v>28.192146086488844</v>
      </c>
      <c r="BX50" s="771" cm="1">
        <f t="array" aca="1" ref="BX50" ca="1">INDIRECT("'Definition of Typical Day'!"&amp; ADDRESS($D50+29*(BX$16-1),$E50))</f>
        <v>60</v>
      </c>
      <c r="BY50" s="771">
        <f t="shared" ca="1" si="74"/>
        <v>1</v>
      </c>
      <c r="BZ50" s="781">
        <f t="shared" ca="1" si="15"/>
        <v>1</v>
      </c>
      <c r="CA50" s="781">
        <f t="shared" ca="1" si="16"/>
        <v>0.96896412736799675</v>
      </c>
      <c r="CB50" s="776">
        <f t="shared" ca="1" si="17"/>
        <v>172.66940749697704</v>
      </c>
      <c r="CC50" s="782">
        <f t="shared" si="18"/>
        <v>2</v>
      </c>
      <c r="CD50" s="782">
        <f t="shared" si="19"/>
        <v>6</v>
      </c>
      <c r="CE50" s="784" t="str" cm="1">
        <f t="array" aca="1" ref="CE50" ca="1">INDIRECT("'Definition of Typical Day'!"&amp;ADDRESS(CE$16,$E50))</f>
        <v>Spring / fall weekday</v>
      </c>
      <c r="CF50" s="135"/>
      <c r="CG50" s="135"/>
      <c r="CH50" s="776">
        <f t="shared" ca="1" si="20"/>
        <v>2</v>
      </c>
      <c r="CI50" s="806">
        <f t="shared" ca="1" si="21"/>
        <v>6</v>
      </c>
      <c r="CJ50" s="770">
        <f t="shared" ca="1" si="22"/>
        <v>2.8778234582829505</v>
      </c>
      <c r="CK50" s="771">
        <f t="shared" ca="1" si="23"/>
        <v>2</v>
      </c>
      <c r="CL50" s="771">
        <f t="shared" ca="1" si="24"/>
        <v>0.90689238210399015</v>
      </c>
      <c r="CM50" s="772">
        <f t="shared" ca="1" si="25"/>
        <v>0</v>
      </c>
      <c r="CN50" s="135"/>
      <c r="CO50" s="770">
        <f t="shared" ca="1" si="76"/>
        <v>1.05</v>
      </c>
      <c r="CP50" s="771">
        <f t="shared" ca="1" si="27"/>
        <v>0.98</v>
      </c>
      <c r="CQ50" s="771">
        <f t="shared" ca="1" si="28"/>
        <v>0.96</v>
      </c>
      <c r="CR50" s="771">
        <f t="shared" ca="1" si="29"/>
        <v>0.95</v>
      </c>
      <c r="CS50" s="771">
        <f t="shared" ca="1" si="30"/>
        <v>1.02</v>
      </c>
      <c r="CT50" s="772">
        <f t="shared" ca="1" si="31"/>
        <v>0.02</v>
      </c>
      <c r="CU50" s="135"/>
      <c r="CV50" s="135"/>
      <c r="CW50" s="135"/>
      <c r="CX50" s="135"/>
      <c r="CY50" s="135"/>
      <c r="CZ50" s="135"/>
      <c r="DA50" s="135"/>
      <c r="DB50" s="135"/>
      <c r="DC50" s="135"/>
      <c r="DD50" s="135"/>
      <c r="DE50" s="135"/>
      <c r="DF50" s="135"/>
      <c r="DG50" s="135"/>
      <c r="DH50" s="135"/>
      <c r="DI50" s="135"/>
      <c r="DJ50" s="135"/>
      <c r="DK50" s="135"/>
      <c r="DL50" s="135"/>
      <c r="DM50" s="135"/>
      <c r="DN50" s="135"/>
      <c r="DO50" s="135"/>
      <c r="DP50" s="135"/>
      <c r="DQ50" s="135"/>
      <c r="DR50" s="135"/>
      <c r="DS50" s="135"/>
      <c r="DT50" s="135"/>
      <c r="DU50" s="135"/>
      <c r="DV50" s="135"/>
      <c r="DX50" s="135"/>
      <c r="DY50" s="135"/>
      <c r="DZ50" s="135"/>
      <c r="EA50" s="135"/>
      <c r="EB50" s="135"/>
      <c r="EC50" s="135"/>
      <c r="ED50" s="135"/>
      <c r="EE50" s="135"/>
      <c r="EF50" s="135"/>
      <c r="EG50" s="135"/>
      <c r="EH50" s="135"/>
      <c r="EI50" s="135"/>
      <c r="EJ50" s="135"/>
      <c r="EK50" s="135"/>
      <c r="EL50" s="135"/>
      <c r="EM50" s="135"/>
      <c r="EN50" s="135"/>
      <c r="EO50" s="135"/>
      <c r="EP50" s="135"/>
      <c r="EQ50" s="135"/>
      <c r="ER50" s="135"/>
      <c r="ES50" s="135"/>
      <c r="ET50" s="135"/>
      <c r="EU50" s="135"/>
      <c r="EV50" s="135"/>
      <c r="EW50" s="135"/>
      <c r="EX50" s="135"/>
      <c r="EY50" s="135"/>
      <c r="EZ50" s="135"/>
      <c r="FA50" s="135"/>
      <c r="FB50" s="135"/>
      <c r="FC50" s="135"/>
      <c r="FD50" s="135"/>
      <c r="FE50" s="135"/>
      <c r="FF50" s="135"/>
      <c r="FG50" s="135"/>
    </row>
    <row r="51" spans="1:163" s="57" customFormat="1" ht="11.25" outlineLevel="1">
      <c r="A51" s="765">
        <f t="shared" si="77"/>
        <v>2</v>
      </c>
      <c r="B51" s="715" t="str" cm="1">
        <f t="array" aca="1" ref="B51" ca="1">INDIRECT("'Definition of Typical Day'!"&amp;ADDRESS(B$16,$E51))</f>
        <v>Spring / fall weekday</v>
      </c>
      <c r="C51" s="766">
        <f t="shared" si="78"/>
        <v>7</v>
      </c>
      <c r="D51" s="715">
        <f t="shared" si="78"/>
        <v>41</v>
      </c>
      <c r="E51" s="715">
        <f t="shared" si="5"/>
        <v>6</v>
      </c>
      <c r="F51" s="767" cm="1">
        <f t="array" aca="1" ref="F51" ca="1">INDIRECT("'Definition of Typical Day'!D"&amp;D51)</f>
        <v>7</v>
      </c>
      <c r="G51" s="767" cm="1">
        <f t="array" aca="1" ref="G51" ca="1">INDIRECT("'Definition of Typical Day'!"&amp;ADDRESS(13,E51))</f>
        <v>2</v>
      </c>
      <c r="H51" s="768" cm="1">
        <f t="array" aca="1" ref="H51" ca="1">INDIRECT("'Definition of Typical Day'!"&amp; ADDRESS($D51+28*(H$16-1),$E51))</f>
        <v>2</v>
      </c>
      <c r="I51" s="715" cm="1">
        <f t="array" aca="1" ref="I51" ca="1">INDIRECT("'Definition of Typical Day'!"&amp; ADDRESS($D51+29*(I$16-1),$E51))</f>
        <v>40</v>
      </c>
      <c r="J51" s="715">
        <f t="shared" ca="1" si="32"/>
        <v>37</v>
      </c>
      <c r="K51" s="785">
        <f t="shared" si="33"/>
        <v>28</v>
      </c>
      <c r="L51" s="786" cm="1">
        <f t="array" aca="1" ref="L51" ca="1">INDIRECT("'Definition of Typical Day'!"&amp; ADDRESS($D51+29*(L$16-1),$E51))</f>
        <v>6</v>
      </c>
      <c r="M51" s="768" cm="1">
        <f t="array" aca="1" ref="M51" ca="1">INDIRECT("'Definition of Typical Day'!"&amp; ADDRESS($D51+29*(M$16-1),$E51))</f>
        <v>88.333333333333329</v>
      </c>
      <c r="N51" s="715">
        <f t="shared" si="34"/>
        <v>3</v>
      </c>
      <c r="O51" s="715">
        <f t="shared" ca="1" si="35"/>
        <v>91.333333333333329</v>
      </c>
      <c r="P51" s="715" cm="1">
        <f t="array" aca="1" ref="P51" ca="1">INDIRECT("'Definition of Typical Day'!"&amp; ADDRESS($D51+29*(P$16-1),$E51))</f>
        <v>45</v>
      </c>
      <c r="Q51" s="787">
        <f t="shared" ca="1" si="36"/>
        <v>48</v>
      </c>
      <c r="R51" s="792">
        <f t="shared" ca="1" si="37"/>
        <v>91.333333333333329</v>
      </c>
      <c r="S51" s="769">
        <f t="shared" si="38"/>
        <v>3</v>
      </c>
      <c r="T51" s="769">
        <f t="shared" ca="1" si="39"/>
        <v>0.24</v>
      </c>
      <c r="U51" s="769">
        <f t="shared" ca="1" si="40"/>
        <v>-3.466666666666654E-2</v>
      </c>
      <c r="V51" s="769">
        <f t="shared" ca="1" si="41"/>
        <v>0</v>
      </c>
      <c r="W51" s="769">
        <f t="shared" ca="1" si="42"/>
        <v>3.2053333333333338</v>
      </c>
      <c r="X51" s="794">
        <f t="shared" si="43"/>
        <v>3</v>
      </c>
      <c r="Y51" s="769">
        <f t="shared" ca="1" si="44"/>
        <v>3</v>
      </c>
      <c r="Z51" s="769">
        <f t="shared" ca="1" si="45"/>
        <v>2.9068923821039903</v>
      </c>
      <c r="AA51" s="795">
        <f t="shared" ca="1" si="46"/>
        <v>2.9068923821039903</v>
      </c>
      <c r="AB51" s="769">
        <f t="shared" ca="1" si="47"/>
        <v>0</v>
      </c>
      <c r="AC51" s="769">
        <f t="shared" ca="1" si="48"/>
        <v>0</v>
      </c>
      <c r="AD51" s="769">
        <f t="shared" ca="1" si="49"/>
        <v>0</v>
      </c>
      <c r="AE51" s="794">
        <f t="shared" ca="1" si="50"/>
        <v>2.9068923821039903</v>
      </c>
      <c r="AF51" s="769">
        <f t="shared" ca="1" si="51"/>
        <v>2.9068923821039903E-2</v>
      </c>
      <c r="AG51" s="769">
        <f t="shared" ca="1" si="52"/>
        <v>2.8778234582829505</v>
      </c>
      <c r="AH51" s="799">
        <f t="shared" ca="1" si="53"/>
        <v>2.8778234582829505</v>
      </c>
      <c r="AI51" s="801">
        <f t="shared" ca="1" si="54"/>
        <v>1</v>
      </c>
      <c r="AJ51" s="794">
        <f t="shared" ca="1" si="55"/>
        <v>2</v>
      </c>
      <c r="AK51" s="769">
        <f t="shared" ca="1" si="56"/>
        <v>0.90689238210399015</v>
      </c>
      <c r="AL51" s="769">
        <f t="shared" ca="1" si="57"/>
        <v>0</v>
      </c>
      <c r="AM51" s="804">
        <f t="shared" ca="1" si="6"/>
        <v>0.18666666666666665</v>
      </c>
      <c r="AN51" s="795">
        <f t="shared" ca="1" si="7"/>
        <v>0</v>
      </c>
      <c r="AO51" s="251"/>
      <c r="AP51" s="770">
        <f t="shared" si="58"/>
        <v>0</v>
      </c>
      <c r="AQ51" s="771">
        <f t="shared" ca="1" si="59"/>
        <v>0</v>
      </c>
      <c r="AR51" s="771">
        <f t="shared" ca="1" si="60"/>
        <v>4</v>
      </c>
      <c r="AS51" s="772">
        <f t="shared" ca="1" si="61"/>
        <v>4</v>
      </c>
      <c r="AT51" s="231"/>
      <c r="AU51" s="770">
        <f>'Main Results - IRR DC Operator'!$F$16</f>
        <v>2</v>
      </c>
      <c r="AV51" s="773">
        <f>'Main Results - IRR DC Operator'!$F$15</f>
        <v>1</v>
      </c>
      <c r="AW51" s="771">
        <f t="shared" ca="1" si="62"/>
        <v>4</v>
      </c>
      <c r="AX51" s="772">
        <f t="shared" si="63"/>
        <v>0</v>
      </c>
      <c r="AY51" s="231"/>
      <c r="AZ51" s="770" cm="1">
        <f t="array" aca="1" ref="AZ51" ca="1">INDIRECT("'Definition of Typical Day'!"&amp; ADDRESS($D51+29*(AZ$16-1),$E51))+$AZ$17</f>
        <v>94.98</v>
      </c>
      <c r="BA51" s="771" cm="1">
        <f t="array" aca="1" ref="BA51" ca="1">INDIRECT("'Definition of Typical Day'!"&amp; ADDRESS($D51+29*(BA$16-1),$E51))+$BA$17</f>
        <v>94.98</v>
      </c>
      <c r="BB51" s="772" cm="1">
        <f t="array" aca="1" ref="BB51" ca="1">INDIRECT("'Definition of Typical Day'!"&amp;ADDRESS(BB$16,$E51))</f>
        <v>71</v>
      </c>
      <c r="BC51" s="776" cm="1">
        <f t="array" aca="1" ref="BC51" ca="1">INDIRECT("'Definition of Typical Day'!"&amp; ADDRESS($D51+29*(BC$16-1),$E51))</f>
        <v>93.98</v>
      </c>
      <c r="BD51" s="777" cm="1">
        <f t="array" aca="1" ref="BD51" ca="1">INDIRECT("'Definition of Typical Day'!"&amp; ADDRESS($D51+29*(BD$16-1),$E51))</f>
        <v>0.7</v>
      </c>
      <c r="BE51" s="776">
        <f t="shared" si="64"/>
        <v>0</v>
      </c>
      <c r="BF51" s="771">
        <f t="shared" ca="1" si="75"/>
        <v>86.136638452236994</v>
      </c>
      <c r="BG51" s="771">
        <f t="shared" ca="1" si="65"/>
        <v>4.1277871825876664</v>
      </c>
      <c r="BH51" s="771">
        <f t="shared" ca="1" si="66"/>
        <v>0</v>
      </c>
      <c r="BI51" s="776">
        <f t="shared" ca="1" si="67"/>
        <v>17.542933333333334</v>
      </c>
      <c r="BJ51" s="776">
        <f t="shared" ca="1" si="68"/>
        <v>0</v>
      </c>
      <c r="BK51" s="776">
        <f t="shared" ca="1" si="69"/>
        <v>0</v>
      </c>
      <c r="BL51" s="776">
        <f t="shared" ca="1" si="70"/>
        <v>0</v>
      </c>
      <c r="BM51" s="135"/>
      <c r="BN51" s="776">
        <f t="shared" ca="1" si="71"/>
        <v>94.264425634824661</v>
      </c>
      <c r="BO51" s="778">
        <f t="shared" ca="1" si="8"/>
        <v>32.755458074925627</v>
      </c>
      <c r="BP51" s="770">
        <f t="shared" ca="1" si="9"/>
        <v>90.264425634824661</v>
      </c>
      <c r="BQ51" s="771">
        <f t="shared" ca="1" si="10"/>
        <v>0</v>
      </c>
      <c r="BR51" s="771">
        <f t="shared" ca="1" si="11"/>
        <v>0</v>
      </c>
      <c r="BS51" s="776">
        <f t="shared" ca="1" si="72"/>
        <v>94.264425634824661</v>
      </c>
      <c r="BT51" s="776">
        <f t="shared" ca="1" si="12"/>
        <v>90.264425634824661</v>
      </c>
      <c r="BU51" s="783">
        <f t="shared" ca="1" si="13"/>
        <v>31.365518748214253</v>
      </c>
      <c r="BV51" s="783">
        <f t="shared" ca="1" si="14"/>
        <v>31.365518748214253</v>
      </c>
      <c r="BW51" s="1019">
        <f t="shared" ca="1" si="73"/>
        <v>31.365518748214253</v>
      </c>
      <c r="BX51" s="771" cm="1">
        <f t="array" aca="1" ref="BX51" ca="1">INDIRECT("'Definition of Typical Day'!"&amp; ADDRESS($D51+29*(BX$16-1),$E51))</f>
        <v>60</v>
      </c>
      <c r="BY51" s="771">
        <f t="shared" ca="1" si="74"/>
        <v>1</v>
      </c>
      <c r="BZ51" s="781">
        <f t="shared" ca="1" si="15"/>
        <v>1</v>
      </c>
      <c r="CA51" s="781">
        <f t="shared" ca="1" si="16"/>
        <v>0.96896412736799675</v>
      </c>
      <c r="CB51" s="776">
        <f t="shared" ca="1" si="17"/>
        <v>172.66940749697704</v>
      </c>
      <c r="CC51" s="782">
        <f t="shared" si="18"/>
        <v>2</v>
      </c>
      <c r="CD51" s="782">
        <f t="shared" si="19"/>
        <v>7</v>
      </c>
      <c r="CE51" s="784" t="str" cm="1">
        <f t="array" aca="1" ref="CE51" ca="1">INDIRECT("'Definition of Typical Day'!"&amp;ADDRESS(CE$16,$E51))</f>
        <v>Spring / fall weekday</v>
      </c>
      <c r="CF51" s="135"/>
      <c r="CG51" s="135"/>
      <c r="CH51" s="776">
        <f t="shared" ca="1" si="20"/>
        <v>2</v>
      </c>
      <c r="CI51" s="806">
        <f t="shared" ca="1" si="21"/>
        <v>6</v>
      </c>
      <c r="CJ51" s="770">
        <f t="shared" ca="1" si="22"/>
        <v>2.8778234582829505</v>
      </c>
      <c r="CK51" s="771">
        <f t="shared" ca="1" si="23"/>
        <v>2</v>
      </c>
      <c r="CL51" s="771">
        <f t="shared" ca="1" si="24"/>
        <v>0.90689238210399015</v>
      </c>
      <c r="CM51" s="772">
        <f t="shared" ca="1" si="25"/>
        <v>0</v>
      </c>
      <c r="CN51" s="135"/>
      <c r="CO51" s="770">
        <f t="shared" ca="1" si="76"/>
        <v>1.05</v>
      </c>
      <c r="CP51" s="771">
        <f t="shared" ca="1" si="27"/>
        <v>0.98</v>
      </c>
      <c r="CQ51" s="771">
        <f t="shared" ca="1" si="28"/>
        <v>0.96</v>
      </c>
      <c r="CR51" s="771">
        <f t="shared" ca="1" si="29"/>
        <v>0.95</v>
      </c>
      <c r="CS51" s="771">
        <f t="shared" ca="1" si="30"/>
        <v>1.02</v>
      </c>
      <c r="CT51" s="772">
        <f t="shared" ca="1" si="31"/>
        <v>0.02</v>
      </c>
      <c r="CU51" s="135"/>
      <c r="CV51" s="135"/>
      <c r="CW51" s="135"/>
      <c r="CX51" s="135"/>
      <c r="CY51" s="135"/>
      <c r="CZ51" s="135"/>
      <c r="DA51" s="135"/>
      <c r="DB51" s="135"/>
      <c r="DC51" s="135"/>
      <c r="DD51" s="135"/>
      <c r="DE51" s="135"/>
      <c r="DF51" s="135"/>
      <c r="DG51" s="135"/>
      <c r="DH51" s="135"/>
      <c r="DI51" s="135"/>
      <c r="DJ51" s="135"/>
      <c r="DK51" s="135"/>
      <c r="DL51" s="135"/>
      <c r="DM51" s="135"/>
      <c r="DN51" s="135"/>
      <c r="DO51" s="135"/>
      <c r="DP51" s="135"/>
      <c r="DQ51" s="135"/>
      <c r="DR51" s="135"/>
      <c r="DS51" s="135"/>
      <c r="DT51" s="135"/>
      <c r="DU51" s="135"/>
      <c r="DV51" s="135"/>
      <c r="DX51" s="135"/>
      <c r="DY51" s="135"/>
      <c r="DZ51" s="135"/>
      <c r="EA51" s="135"/>
      <c r="EB51" s="135"/>
      <c r="EC51" s="135"/>
      <c r="ED51" s="135"/>
      <c r="EE51" s="135"/>
      <c r="EF51" s="135"/>
      <c r="EG51" s="135"/>
      <c r="EH51" s="135"/>
      <c r="EI51" s="135"/>
      <c r="EJ51" s="135"/>
      <c r="EK51" s="135"/>
      <c r="EL51" s="135"/>
      <c r="EM51" s="135"/>
      <c r="EN51" s="135"/>
      <c r="EO51" s="135"/>
      <c r="EP51" s="135"/>
      <c r="EQ51" s="135"/>
      <c r="ER51" s="135"/>
      <c r="ES51" s="135"/>
      <c r="ET51" s="135"/>
      <c r="EU51" s="135"/>
      <c r="EV51" s="135"/>
      <c r="EW51" s="135"/>
      <c r="EX51" s="135"/>
      <c r="EY51" s="135"/>
      <c r="EZ51" s="135"/>
      <c r="FA51" s="135"/>
      <c r="FB51" s="135"/>
      <c r="FC51" s="135"/>
      <c r="FD51" s="135"/>
      <c r="FE51" s="135"/>
      <c r="FF51" s="135"/>
      <c r="FG51" s="135"/>
    </row>
    <row r="52" spans="1:163" s="57" customFormat="1" ht="11.25" outlineLevel="1">
      <c r="A52" s="765">
        <f t="shared" si="77"/>
        <v>2</v>
      </c>
      <c r="B52" s="715" t="str" cm="1">
        <f t="array" aca="1" ref="B52" ca="1">INDIRECT("'Definition of Typical Day'!"&amp;ADDRESS(B$16,$E52))</f>
        <v>Spring / fall weekday</v>
      </c>
      <c r="C52" s="766">
        <f t="shared" si="78"/>
        <v>8</v>
      </c>
      <c r="D52" s="715">
        <f t="shared" si="78"/>
        <v>42</v>
      </c>
      <c r="E52" s="715">
        <f t="shared" si="5"/>
        <v>6</v>
      </c>
      <c r="F52" s="767" cm="1">
        <f t="array" aca="1" ref="F52" ca="1">INDIRECT("'Definition of Typical Day'!D"&amp;D52)</f>
        <v>8</v>
      </c>
      <c r="G52" s="767" cm="1">
        <f t="array" aca="1" ref="G52" ca="1">INDIRECT("'Definition of Typical Day'!"&amp;ADDRESS(13,E52))</f>
        <v>2</v>
      </c>
      <c r="H52" s="768" cm="1">
        <f t="array" aca="1" ref="H52" ca="1">INDIRECT("'Definition of Typical Day'!"&amp; ADDRESS($D52+28*(H$16-1),$E52))</f>
        <v>2</v>
      </c>
      <c r="I52" s="715" cm="1">
        <f t="array" aca="1" ref="I52" ca="1">INDIRECT("'Definition of Typical Day'!"&amp; ADDRESS($D52+29*(I$16-1),$E52))</f>
        <v>40</v>
      </c>
      <c r="J52" s="715">
        <f t="shared" ca="1" si="32"/>
        <v>37</v>
      </c>
      <c r="K52" s="785">
        <f t="shared" si="33"/>
        <v>28</v>
      </c>
      <c r="L52" s="786" cm="1">
        <f t="array" aca="1" ref="L52" ca="1">INDIRECT("'Definition of Typical Day'!"&amp; ADDRESS($D52+29*(L$16-1),$E52))</f>
        <v>6</v>
      </c>
      <c r="M52" s="768" cm="1">
        <f t="array" aca="1" ref="M52" ca="1">INDIRECT("'Definition of Typical Day'!"&amp; ADDRESS($D52+29*(M$16-1),$E52))</f>
        <v>86.666666666666657</v>
      </c>
      <c r="N52" s="715">
        <f t="shared" si="34"/>
        <v>3</v>
      </c>
      <c r="O52" s="715">
        <f t="shared" ca="1" si="35"/>
        <v>89.666666666666657</v>
      </c>
      <c r="P52" s="715" cm="1">
        <f t="array" aca="1" ref="P52" ca="1">INDIRECT("'Definition of Typical Day'!"&amp; ADDRESS($D52+29*(P$16-1),$E52))</f>
        <v>45</v>
      </c>
      <c r="Q52" s="787">
        <f t="shared" ca="1" si="36"/>
        <v>48</v>
      </c>
      <c r="R52" s="792">
        <f t="shared" ca="1" si="37"/>
        <v>89.666666666666657</v>
      </c>
      <c r="S52" s="769">
        <f t="shared" si="38"/>
        <v>3</v>
      </c>
      <c r="T52" s="769">
        <f t="shared" ca="1" si="39"/>
        <v>0.24</v>
      </c>
      <c r="U52" s="769">
        <f t="shared" ca="1" si="40"/>
        <v>8.6666666666669126E-3</v>
      </c>
      <c r="V52" s="769">
        <f t="shared" ca="1" si="41"/>
        <v>0</v>
      </c>
      <c r="W52" s="769">
        <f t="shared" ca="1" si="42"/>
        <v>3.2486666666666673</v>
      </c>
      <c r="X52" s="794">
        <f t="shared" si="43"/>
        <v>3</v>
      </c>
      <c r="Y52" s="769">
        <f t="shared" ca="1" si="44"/>
        <v>3</v>
      </c>
      <c r="Z52" s="769">
        <f t="shared" ca="1" si="45"/>
        <v>2.8894159501927064</v>
      </c>
      <c r="AA52" s="795">
        <f t="shared" ca="1" si="46"/>
        <v>2.8894159501927064</v>
      </c>
      <c r="AB52" s="769">
        <f t="shared" ca="1" si="47"/>
        <v>0</v>
      </c>
      <c r="AC52" s="769">
        <f t="shared" ca="1" si="48"/>
        <v>0</v>
      </c>
      <c r="AD52" s="769">
        <f t="shared" ca="1" si="49"/>
        <v>0</v>
      </c>
      <c r="AE52" s="794">
        <f t="shared" ca="1" si="50"/>
        <v>2.8894159501927064</v>
      </c>
      <c r="AF52" s="769">
        <f t="shared" ca="1" si="51"/>
        <v>2.8894159501927065E-2</v>
      </c>
      <c r="AG52" s="769">
        <f t="shared" ca="1" si="52"/>
        <v>2.8605217906907794</v>
      </c>
      <c r="AH52" s="799">
        <f t="shared" ca="1" si="53"/>
        <v>2.8605217906907794</v>
      </c>
      <c r="AI52" s="801">
        <f t="shared" ca="1" si="54"/>
        <v>1</v>
      </c>
      <c r="AJ52" s="794">
        <f t="shared" ca="1" si="55"/>
        <v>2</v>
      </c>
      <c r="AK52" s="769">
        <f t="shared" ca="1" si="56"/>
        <v>0.88941595019270647</v>
      </c>
      <c r="AL52" s="769">
        <f t="shared" ca="1" si="57"/>
        <v>0</v>
      </c>
      <c r="AM52" s="804">
        <f t="shared" ca="1" si="6"/>
        <v>0.18666666666666665</v>
      </c>
      <c r="AN52" s="795">
        <f t="shared" ca="1" si="7"/>
        <v>0</v>
      </c>
      <c r="AO52" s="251"/>
      <c r="AP52" s="770">
        <f t="shared" si="58"/>
        <v>0</v>
      </c>
      <c r="AQ52" s="771">
        <f t="shared" ca="1" si="59"/>
        <v>0</v>
      </c>
      <c r="AR52" s="771">
        <f t="shared" ca="1" si="60"/>
        <v>4</v>
      </c>
      <c r="AS52" s="772">
        <f t="shared" ca="1" si="61"/>
        <v>4</v>
      </c>
      <c r="AT52" s="231"/>
      <c r="AU52" s="770">
        <f>'Main Results - IRR DC Operator'!$F$16</f>
        <v>2</v>
      </c>
      <c r="AV52" s="773">
        <f>'Main Results - IRR DC Operator'!$F$15</f>
        <v>1</v>
      </c>
      <c r="AW52" s="771">
        <f t="shared" ca="1" si="62"/>
        <v>4</v>
      </c>
      <c r="AX52" s="772">
        <f t="shared" si="63"/>
        <v>0</v>
      </c>
      <c r="AY52" s="231"/>
      <c r="AZ52" s="770" cm="1">
        <f t="array" aca="1" ref="AZ52" ca="1">INDIRECT("'Definition of Typical Day'!"&amp; ADDRESS($D52+29*(AZ$16-1),$E52))+$AZ$17</f>
        <v>117.64</v>
      </c>
      <c r="BA52" s="771" cm="1">
        <f t="array" aca="1" ref="BA52" ca="1">INDIRECT("'Definition of Typical Day'!"&amp; ADDRESS($D52+29*(BA$16-1),$E52))+$BA$17</f>
        <v>117.64</v>
      </c>
      <c r="BB52" s="772" cm="1">
        <f t="array" aca="1" ref="BB52" ca="1">INDIRECT("'Definition of Typical Day'!"&amp;ADDRESS(BB$16,$E52))</f>
        <v>71</v>
      </c>
      <c r="BC52" s="776" cm="1">
        <f t="array" aca="1" ref="BC52" ca="1">INDIRECT("'Definition of Typical Day'!"&amp; ADDRESS($D52+29*(BC$16-1),$E52))</f>
        <v>116.64</v>
      </c>
      <c r="BD52" s="777" cm="1">
        <f t="array" aca="1" ref="BD52" ca="1">INDIRECT("'Definition of Typical Day'!"&amp; ADDRESS($D52+29*(BD$16-1),$E52))</f>
        <v>0.7</v>
      </c>
      <c r="BE52" s="776">
        <f t="shared" si="64"/>
        <v>0</v>
      </c>
      <c r="BF52" s="771">
        <f t="shared" ca="1" si="75"/>
        <v>104.63089238066999</v>
      </c>
      <c r="BG52" s="771">
        <f t="shared" ca="1" si="65"/>
        <v>4.1029706492736429</v>
      </c>
      <c r="BH52" s="771">
        <f t="shared" ca="1" si="66"/>
        <v>0</v>
      </c>
      <c r="BI52" s="776">
        <f t="shared" ca="1" si="67"/>
        <v>21.772799999999997</v>
      </c>
      <c r="BJ52" s="776">
        <f t="shared" ca="1" si="68"/>
        <v>0</v>
      </c>
      <c r="BK52" s="776">
        <f t="shared" ca="1" si="69"/>
        <v>0</v>
      </c>
      <c r="BL52" s="776">
        <f t="shared" ca="1" si="70"/>
        <v>0</v>
      </c>
      <c r="BM52" s="135"/>
      <c r="BN52" s="776">
        <f t="shared" ca="1" si="71"/>
        <v>112.73386302994363</v>
      </c>
      <c r="BO52" s="778">
        <f t="shared" ca="1" si="8"/>
        <v>39.410244451492133</v>
      </c>
      <c r="BP52" s="770">
        <f t="shared" ca="1" si="9"/>
        <v>108.73386302994363</v>
      </c>
      <c r="BQ52" s="771">
        <f t="shared" ca="1" si="10"/>
        <v>0</v>
      </c>
      <c r="BR52" s="771">
        <f t="shared" ca="1" si="11"/>
        <v>0</v>
      </c>
      <c r="BS52" s="776">
        <f t="shared" ca="1" si="72"/>
        <v>112.73386302994363</v>
      </c>
      <c r="BT52" s="776">
        <f t="shared" ca="1" si="12"/>
        <v>108.73386302994363</v>
      </c>
      <c r="BU52" s="783">
        <f t="shared" ca="1" si="13"/>
        <v>38.011898173195107</v>
      </c>
      <c r="BV52" s="783">
        <f t="shared" ca="1" si="14"/>
        <v>38.011898173195107</v>
      </c>
      <c r="BW52" s="1019">
        <f t="shared" ca="1" si="73"/>
        <v>38.011898173195107</v>
      </c>
      <c r="BX52" s="771" cm="1">
        <f t="array" aca="1" ref="BX52" ca="1">INDIRECT("'Definition of Typical Day'!"&amp; ADDRESS($D52+29*(BX$16-1),$E52))</f>
        <v>60</v>
      </c>
      <c r="BY52" s="771">
        <f t="shared" ca="1" si="74"/>
        <v>1</v>
      </c>
      <c r="BZ52" s="781">
        <f t="shared" ca="1" si="15"/>
        <v>1</v>
      </c>
      <c r="CA52" s="781">
        <f t="shared" ca="1" si="16"/>
        <v>0.96313865006423549</v>
      </c>
      <c r="CB52" s="776">
        <f t="shared" ca="1" si="17"/>
        <v>171.63130744144675</v>
      </c>
      <c r="CC52" s="782">
        <f t="shared" si="18"/>
        <v>2</v>
      </c>
      <c r="CD52" s="782">
        <f t="shared" si="19"/>
        <v>8</v>
      </c>
      <c r="CE52" s="784" t="str" cm="1">
        <f t="array" aca="1" ref="CE52" ca="1">INDIRECT("'Definition of Typical Day'!"&amp;ADDRESS(CE$16,$E52))</f>
        <v>Spring / fall weekday</v>
      </c>
      <c r="CF52" s="135"/>
      <c r="CG52" s="135"/>
      <c r="CH52" s="776">
        <f t="shared" ca="1" si="20"/>
        <v>2</v>
      </c>
      <c r="CI52" s="806">
        <f t="shared" ca="1" si="21"/>
        <v>6</v>
      </c>
      <c r="CJ52" s="770">
        <f t="shared" ca="1" si="22"/>
        <v>2.8605217906907794</v>
      </c>
      <c r="CK52" s="771">
        <f t="shared" ca="1" si="23"/>
        <v>2</v>
      </c>
      <c r="CL52" s="771">
        <f t="shared" ca="1" si="24"/>
        <v>0.88941595019270647</v>
      </c>
      <c r="CM52" s="772">
        <f t="shared" ca="1" si="25"/>
        <v>0</v>
      </c>
      <c r="CN52" s="135"/>
      <c r="CO52" s="770">
        <f t="shared" ca="1" si="76"/>
        <v>1.05</v>
      </c>
      <c r="CP52" s="771">
        <f t="shared" ca="1" si="27"/>
        <v>0.98</v>
      </c>
      <c r="CQ52" s="771">
        <f t="shared" ca="1" si="28"/>
        <v>0.96</v>
      </c>
      <c r="CR52" s="771">
        <f t="shared" ca="1" si="29"/>
        <v>0.95</v>
      </c>
      <c r="CS52" s="771">
        <f t="shared" ca="1" si="30"/>
        <v>1.02</v>
      </c>
      <c r="CT52" s="772">
        <f t="shared" ca="1" si="31"/>
        <v>0.02</v>
      </c>
      <c r="CU52" s="135"/>
      <c r="CV52" s="135"/>
      <c r="CW52" s="135"/>
      <c r="CX52" s="135"/>
      <c r="CY52" s="135"/>
      <c r="CZ52" s="135"/>
      <c r="DA52" s="135"/>
      <c r="DB52" s="135"/>
      <c r="DC52" s="135"/>
      <c r="DD52" s="135"/>
      <c r="DE52" s="135"/>
      <c r="DF52" s="135"/>
      <c r="DG52" s="135"/>
      <c r="DH52" s="135"/>
      <c r="DI52" s="135"/>
      <c r="DJ52" s="135"/>
      <c r="DK52" s="135"/>
      <c r="DL52" s="135"/>
      <c r="DM52" s="135"/>
      <c r="DN52" s="135"/>
      <c r="DO52" s="135"/>
      <c r="DP52" s="135"/>
      <c r="DQ52" s="135"/>
      <c r="DR52" s="135"/>
      <c r="DS52" s="135"/>
      <c r="DT52" s="135"/>
      <c r="DU52" s="135"/>
      <c r="DV52" s="135"/>
      <c r="DX52" s="135"/>
      <c r="DY52" s="135"/>
      <c r="DZ52" s="135"/>
      <c r="EA52" s="135"/>
      <c r="EB52" s="135"/>
      <c r="EC52" s="135"/>
      <c r="ED52" s="135"/>
      <c r="EE52" s="135"/>
      <c r="EF52" s="135"/>
      <c r="EG52" s="135"/>
      <c r="EH52" s="135"/>
      <c r="EI52" s="135"/>
      <c r="EJ52" s="135"/>
      <c r="EK52" s="135"/>
      <c r="EL52" s="135"/>
      <c r="EM52" s="135"/>
      <c r="EN52" s="135"/>
      <c r="EO52" s="135"/>
      <c r="EP52" s="135"/>
      <c r="EQ52" s="135"/>
      <c r="ER52" s="135"/>
      <c r="ES52" s="135"/>
      <c r="ET52" s="135"/>
      <c r="EU52" s="135"/>
      <c r="EV52" s="135"/>
      <c r="EW52" s="135"/>
      <c r="EX52" s="135"/>
      <c r="EY52" s="135"/>
      <c r="EZ52" s="135"/>
      <c r="FA52" s="135"/>
      <c r="FB52" s="135"/>
      <c r="FC52" s="135"/>
      <c r="FD52" s="135"/>
      <c r="FE52" s="135"/>
      <c r="FF52" s="135"/>
      <c r="FG52" s="135"/>
    </row>
    <row r="53" spans="1:163" s="57" customFormat="1" ht="11.25" outlineLevel="1">
      <c r="A53" s="765">
        <f t="shared" si="77"/>
        <v>2</v>
      </c>
      <c r="B53" s="715" t="str" cm="1">
        <f t="array" aca="1" ref="B53" ca="1">INDIRECT("'Definition of Typical Day'!"&amp;ADDRESS(B$16,$E53))</f>
        <v>Spring / fall weekday</v>
      </c>
      <c r="C53" s="766">
        <f t="shared" si="78"/>
        <v>9</v>
      </c>
      <c r="D53" s="715">
        <f t="shared" si="78"/>
        <v>43</v>
      </c>
      <c r="E53" s="715">
        <f t="shared" si="5"/>
        <v>6</v>
      </c>
      <c r="F53" s="767" cm="1">
        <f t="array" aca="1" ref="F53" ca="1">INDIRECT("'Definition of Typical Day'!D"&amp;D53)</f>
        <v>9</v>
      </c>
      <c r="G53" s="767" cm="1">
        <f t="array" aca="1" ref="G53" ca="1">INDIRECT("'Definition of Typical Day'!"&amp;ADDRESS(13,E53))</f>
        <v>2</v>
      </c>
      <c r="H53" s="768" cm="1">
        <f t="array" aca="1" ref="H53" ca="1">INDIRECT("'Definition of Typical Day'!"&amp; ADDRESS($D53+28*(H$16-1),$E53))</f>
        <v>2</v>
      </c>
      <c r="I53" s="715" cm="1">
        <f t="array" aca="1" ref="I53" ca="1">INDIRECT("'Definition of Typical Day'!"&amp; ADDRESS($D53+29*(I$16-1),$E53))</f>
        <v>40</v>
      </c>
      <c r="J53" s="715">
        <f t="shared" ca="1" si="32"/>
        <v>37</v>
      </c>
      <c r="K53" s="785">
        <f t="shared" si="33"/>
        <v>28</v>
      </c>
      <c r="L53" s="786" cm="1">
        <f t="array" aca="1" ref="L53" ca="1">INDIRECT("'Definition of Typical Day'!"&amp; ADDRESS($D53+29*(L$16-1),$E53))</f>
        <v>6</v>
      </c>
      <c r="M53" s="768" cm="1">
        <f t="array" aca="1" ref="M53" ca="1">INDIRECT("'Definition of Typical Day'!"&amp; ADDRESS($D53+29*(M$16-1),$E53))</f>
        <v>85</v>
      </c>
      <c r="N53" s="715">
        <f t="shared" si="34"/>
        <v>3</v>
      </c>
      <c r="O53" s="715">
        <f t="shared" ca="1" si="35"/>
        <v>88</v>
      </c>
      <c r="P53" s="715" cm="1">
        <f t="array" aca="1" ref="P53" ca="1">INDIRECT("'Definition of Typical Day'!"&amp; ADDRESS($D53+29*(P$16-1),$E53))</f>
        <v>45</v>
      </c>
      <c r="Q53" s="787">
        <f t="shared" ca="1" si="36"/>
        <v>48</v>
      </c>
      <c r="R53" s="792">
        <f t="shared" ca="1" si="37"/>
        <v>88</v>
      </c>
      <c r="S53" s="769">
        <f t="shared" si="38"/>
        <v>3</v>
      </c>
      <c r="T53" s="769">
        <f t="shared" ca="1" si="39"/>
        <v>0.24</v>
      </c>
      <c r="U53" s="769">
        <f t="shared" ca="1" si="40"/>
        <v>5.1999999999999998E-2</v>
      </c>
      <c r="V53" s="769">
        <f t="shared" ca="1" si="41"/>
        <v>0</v>
      </c>
      <c r="W53" s="769">
        <f t="shared" ca="1" si="42"/>
        <v>3.2920000000000003</v>
      </c>
      <c r="X53" s="794">
        <f t="shared" si="43"/>
        <v>3</v>
      </c>
      <c r="Y53" s="769">
        <f t="shared" ca="1" si="44"/>
        <v>3</v>
      </c>
      <c r="Z53" s="769">
        <f t="shared" ca="1" si="45"/>
        <v>2.8726003490401397</v>
      </c>
      <c r="AA53" s="795">
        <f t="shared" ca="1" si="46"/>
        <v>2.8726003490401397</v>
      </c>
      <c r="AB53" s="769">
        <f t="shared" ca="1" si="47"/>
        <v>0</v>
      </c>
      <c r="AC53" s="769">
        <f t="shared" ca="1" si="48"/>
        <v>0</v>
      </c>
      <c r="AD53" s="769">
        <f t="shared" ca="1" si="49"/>
        <v>0</v>
      </c>
      <c r="AE53" s="794">
        <f t="shared" ca="1" si="50"/>
        <v>2.8726003490401397</v>
      </c>
      <c r="AF53" s="769">
        <f t="shared" ca="1" si="51"/>
        <v>2.8726003490401397E-2</v>
      </c>
      <c r="AG53" s="769">
        <f t="shared" ca="1" si="52"/>
        <v>2.8438743455497382</v>
      </c>
      <c r="AH53" s="799">
        <f t="shared" ca="1" si="53"/>
        <v>2.8438743455497382</v>
      </c>
      <c r="AI53" s="801">
        <f t="shared" ca="1" si="54"/>
        <v>1</v>
      </c>
      <c r="AJ53" s="794">
        <f t="shared" ca="1" si="55"/>
        <v>2.0000000000000004</v>
      </c>
      <c r="AK53" s="769">
        <f t="shared" ca="1" si="56"/>
        <v>0.87260034904013961</v>
      </c>
      <c r="AL53" s="769">
        <f t="shared" ca="1" si="57"/>
        <v>0</v>
      </c>
      <c r="AM53" s="804">
        <f t="shared" ca="1" si="6"/>
        <v>0.18666666666666668</v>
      </c>
      <c r="AN53" s="795">
        <f t="shared" ca="1" si="7"/>
        <v>-4.1448326252672507E-17</v>
      </c>
      <c r="AO53" s="251"/>
      <c r="AP53" s="770">
        <f t="shared" si="58"/>
        <v>0</v>
      </c>
      <c r="AQ53" s="771">
        <f t="shared" ca="1" si="59"/>
        <v>0</v>
      </c>
      <c r="AR53" s="771">
        <f t="shared" ca="1" si="60"/>
        <v>4.0000000000000009</v>
      </c>
      <c r="AS53" s="772">
        <f t="shared" ca="1" si="61"/>
        <v>4.0000000000000009</v>
      </c>
      <c r="AT53" s="231"/>
      <c r="AU53" s="770">
        <f>'Main Results - IRR DC Operator'!$F$16</f>
        <v>2</v>
      </c>
      <c r="AV53" s="773">
        <f>'Main Results - IRR DC Operator'!$F$15</f>
        <v>1</v>
      </c>
      <c r="AW53" s="771">
        <f t="shared" ca="1" si="62"/>
        <v>4</v>
      </c>
      <c r="AX53" s="772">
        <f t="shared" si="63"/>
        <v>0</v>
      </c>
      <c r="AY53" s="231"/>
      <c r="AZ53" s="770" cm="1">
        <f t="array" aca="1" ref="AZ53" ca="1">INDIRECT("'Definition of Typical Day'!"&amp; ADDRESS($D53+29*(AZ$16-1),$E53))+$AZ$17</f>
        <v>119.7</v>
      </c>
      <c r="BA53" s="771" cm="1">
        <f t="array" aca="1" ref="BA53" ca="1">INDIRECT("'Definition of Typical Day'!"&amp; ADDRESS($D53+29*(BA$16-1),$E53))+$BA$17</f>
        <v>119.7</v>
      </c>
      <c r="BB53" s="772" cm="1">
        <f t="array" aca="1" ref="BB53" ca="1">INDIRECT("'Definition of Typical Day'!"&amp;ADDRESS(BB$16,$E53))</f>
        <v>71</v>
      </c>
      <c r="BC53" s="776" cm="1">
        <f t="array" aca="1" ref="BC53" ca="1">INDIRECT("'Definition of Typical Day'!"&amp; ADDRESS($D53+29*(BC$16-1),$E53))</f>
        <v>118.7</v>
      </c>
      <c r="BD53" s="777" cm="1">
        <f t="array" aca="1" ref="BD53" ca="1">INDIRECT("'Definition of Typical Day'!"&amp; ADDRESS($D53+29*(BD$16-1),$E53))</f>
        <v>0.7</v>
      </c>
      <c r="BE53" s="776">
        <f t="shared" si="64"/>
        <v>0</v>
      </c>
      <c r="BF53" s="771">
        <f t="shared" ca="1" si="75"/>
        <v>104.45026178010471</v>
      </c>
      <c r="BG53" s="771">
        <f t="shared" ca="1" si="65"/>
        <v>4.0790924956369983</v>
      </c>
      <c r="BH53" s="771">
        <f t="shared" ca="1" si="66"/>
        <v>0</v>
      </c>
      <c r="BI53" s="776">
        <f t="shared" ca="1" si="67"/>
        <v>22.157333333333334</v>
      </c>
      <c r="BJ53" s="776">
        <f t="shared" ca="1" si="68"/>
        <v>-4.9199163261922263E-15</v>
      </c>
      <c r="BK53" s="776">
        <f t="shared" ca="1" si="69"/>
        <v>0</v>
      </c>
      <c r="BL53" s="776">
        <f t="shared" ca="1" si="70"/>
        <v>0</v>
      </c>
      <c r="BM53" s="135"/>
      <c r="BN53" s="776">
        <f t="shared" ca="1" si="71"/>
        <v>112.52935427574171</v>
      </c>
      <c r="BO53" s="778">
        <f t="shared" ca="1" si="8"/>
        <v>39.569031751291774</v>
      </c>
      <c r="BP53" s="770">
        <f t="shared" ca="1" si="9"/>
        <v>108.52935427574171</v>
      </c>
      <c r="BQ53" s="771">
        <f t="shared" ca="1" si="10"/>
        <v>0</v>
      </c>
      <c r="BR53" s="771">
        <f t="shared" ca="1" si="11"/>
        <v>0</v>
      </c>
      <c r="BS53" s="776">
        <f t="shared" ca="1" si="72"/>
        <v>112.52935427574171</v>
      </c>
      <c r="BT53" s="776">
        <f t="shared" ca="1" si="12"/>
        <v>108.52935427574171</v>
      </c>
      <c r="BU53" s="783">
        <f t="shared" ca="1" si="13"/>
        <v>38.16249984658247</v>
      </c>
      <c r="BV53" s="783">
        <f t="shared" ca="1" si="14"/>
        <v>38.16249984658247</v>
      </c>
      <c r="BW53" s="1019">
        <f t="shared" ca="1" si="73"/>
        <v>38.16249984658247</v>
      </c>
      <c r="BX53" s="771" cm="1">
        <f t="array" aca="1" ref="BX53" ca="1">INDIRECT("'Definition of Typical Day'!"&amp; ADDRESS($D53+29*(BX$16-1),$E53))</f>
        <v>60</v>
      </c>
      <c r="BY53" s="771">
        <f t="shared" ca="1" si="74"/>
        <v>1</v>
      </c>
      <c r="BZ53" s="781">
        <f t="shared" ca="1" si="15"/>
        <v>1</v>
      </c>
      <c r="CA53" s="781">
        <f t="shared" ca="1" si="16"/>
        <v>0.95753344968004672</v>
      </c>
      <c r="CB53" s="776">
        <f t="shared" ca="1" si="17"/>
        <v>170.6324607329843</v>
      </c>
      <c r="CC53" s="782">
        <f t="shared" si="18"/>
        <v>2</v>
      </c>
      <c r="CD53" s="782">
        <f t="shared" si="19"/>
        <v>9</v>
      </c>
      <c r="CE53" s="784" t="str" cm="1">
        <f t="array" aca="1" ref="CE53" ca="1">INDIRECT("'Definition of Typical Day'!"&amp;ADDRESS(CE$16,$E53))</f>
        <v>Spring / fall weekday</v>
      </c>
      <c r="CF53" s="135"/>
      <c r="CG53" s="135"/>
      <c r="CH53" s="776">
        <f t="shared" ca="1" si="20"/>
        <v>2</v>
      </c>
      <c r="CI53" s="806">
        <f t="shared" ca="1" si="21"/>
        <v>6</v>
      </c>
      <c r="CJ53" s="770">
        <f t="shared" ca="1" si="22"/>
        <v>2.8438743455497382</v>
      </c>
      <c r="CK53" s="771">
        <f t="shared" ca="1" si="23"/>
        <v>2.0000000000000004</v>
      </c>
      <c r="CL53" s="771">
        <f t="shared" ca="1" si="24"/>
        <v>0.87260034904013961</v>
      </c>
      <c r="CM53" s="772">
        <f t="shared" ca="1" si="25"/>
        <v>0</v>
      </c>
      <c r="CN53" s="135"/>
      <c r="CO53" s="770">
        <f t="shared" ca="1" si="76"/>
        <v>1.05</v>
      </c>
      <c r="CP53" s="771">
        <f t="shared" ca="1" si="27"/>
        <v>0.98</v>
      </c>
      <c r="CQ53" s="771">
        <f t="shared" ca="1" si="28"/>
        <v>0.96</v>
      </c>
      <c r="CR53" s="771">
        <f t="shared" ca="1" si="29"/>
        <v>0.95</v>
      </c>
      <c r="CS53" s="771">
        <f t="shared" ca="1" si="30"/>
        <v>1.02</v>
      </c>
      <c r="CT53" s="772">
        <f t="shared" ca="1" si="31"/>
        <v>0.02</v>
      </c>
      <c r="CU53" s="135"/>
      <c r="CV53" s="135"/>
      <c r="CW53" s="135"/>
      <c r="CX53" s="135"/>
      <c r="CY53" s="135"/>
      <c r="CZ53" s="135"/>
      <c r="DA53" s="135"/>
      <c r="DB53" s="135"/>
      <c r="DC53" s="135"/>
      <c r="DD53" s="135"/>
      <c r="DE53" s="135"/>
      <c r="DF53" s="135"/>
      <c r="DG53" s="135"/>
      <c r="DH53" s="135"/>
      <c r="DI53" s="135"/>
      <c r="DJ53" s="135"/>
      <c r="DK53" s="135"/>
      <c r="DL53" s="135"/>
      <c r="DM53" s="135"/>
      <c r="DN53" s="135"/>
      <c r="DO53" s="135"/>
      <c r="DP53" s="135"/>
      <c r="DQ53" s="135"/>
      <c r="DR53" s="135"/>
      <c r="DS53" s="135"/>
      <c r="DT53" s="135"/>
      <c r="DU53" s="135"/>
      <c r="DV53" s="135"/>
      <c r="DX53" s="135"/>
      <c r="DY53" s="135"/>
      <c r="DZ53" s="135"/>
      <c r="EA53" s="135"/>
      <c r="EB53" s="135"/>
      <c r="EC53" s="135"/>
      <c r="ED53" s="135"/>
      <c r="EE53" s="135"/>
      <c r="EF53" s="135"/>
      <c r="EG53" s="135"/>
      <c r="EH53" s="135"/>
      <c r="EI53" s="135"/>
      <c r="EJ53" s="135"/>
      <c r="EK53" s="135"/>
      <c r="EL53" s="135"/>
      <c r="EM53" s="135"/>
      <c r="EN53" s="135"/>
      <c r="EO53" s="135"/>
      <c r="EP53" s="135"/>
      <c r="EQ53" s="135"/>
      <c r="ER53" s="135"/>
      <c r="ES53" s="135"/>
      <c r="ET53" s="135"/>
      <c r="EU53" s="135"/>
      <c r="EV53" s="135"/>
      <c r="EW53" s="135"/>
      <c r="EX53" s="135"/>
      <c r="EY53" s="135"/>
      <c r="EZ53" s="135"/>
      <c r="FA53" s="135"/>
      <c r="FB53" s="135"/>
      <c r="FC53" s="135"/>
      <c r="FD53" s="135"/>
      <c r="FE53" s="135"/>
      <c r="FF53" s="135"/>
      <c r="FG53" s="135"/>
    </row>
    <row r="54" spans="1:163" s="57" customFormat="1" ht="11.25" outlineLevel="1">
      <c r="A54" s="765">
        <f t="shared" si="77"/>
        <v>2</v>
      </c>
      <c r="B54" s="715" t="str" cm="1">
        <f t="array" aca="1" ref="B54" ca="1">INDIRECT("'Definition of Typical Day'!"&amp;ADDRESS(B$16,$E54))</f>
        <v>Spring / fall weekday</v>
      </c>
      <c r="C54" s="766">
        <f t="shared" si="78"/>
        <v>10</v>
      </c>
      <c r="D54" s="715">
        <f t="shared" si="78"/>
        <v>44</v>
      </c>
      <c r="E54" s="715">
        <f t="shared" si="5"/>
        <v>6</v>
      </c>
      <c r="F54" s="767" cm="1">
        <f t="array" aca="1" ref="F54" ca="1">INDIRECT("'Definition of Typical Day'!D"&amp;D54)</f>
        <v>10</v>
      </c>
      <c r="G54" s="767" cm="1">
        <f t="array" aca="1" ref="G54" ca="1">INDIRECT("'Definition of Typical Day'!"&amp;ADDRESS(13,E54))</f>
        <v>2</v>
      </c>
      <c r="H54" s="768" cm="1">
        <f t="array" aca="1" ref="H54" ca="1">INDIRECT("'Definition of Typical Day'!"&amp; ADDRESS($D54+28*(H$16-1),$E54))</f>
        <v>2</v>
      </c>
      <c r="I54" s="715" cm="1">
        <f t="array" aca="1" ref="I54" ca="1">INDIRECT("'Definition of Typical Day'!"&amp; ADDRESS($D54+29*(I$16-1),$E54))</f>
        <v>40</v>
      </c>
      <c r="J54" s="715">
        <f t="shared" ca="1" si="32"/>
        <v>37</v>
      </c>
      <c r="K54" s="785">
        <f t="shared" si="33"/>
        <v>28</v>
      </c>
      <c r="L54" s="786" cm="1">
        <f t="array" aca="1" ref="L54" ca="1">INDIRECT("'Definition of Typical Day'!"&amp; ADDRESS($D54+29*(L$16-1),$E54))</f>
        <v>6</v>
      </c>
      <c r="M54" s="768" cm="1">
        <f t="array" aca="1" ref="M54" ca="1">INDIRECT("'Definition of Typical Day'!"&amp; ADDRESS($D54+29*(M$16-1),$E54))</f>
        <v>83.333333333333314</v>
      </c>
      <c r="N54" s="715">
        <f t="shared" si="34"/>
        <v>3</v>
      </c>
      <c r="O54" s="715">
        <f t="shared" ca="1" si="35"/>
        <v>86.333333333333314</v>
      </c>
      <c r="P54" s="715" cm="1">
        <f t="array" aca="1" ref="P54" ca="1">INDIRECT("'Definition of Typical Day'!"&amp; ADDRESS($D54+29*(P$16-1),$E54))</f>
        <v>45</v>
      </c>
      <c r="Q54" s="787">
        <f t="shared" ca="1" si="36"/>
        <v>48</v>
      </c>
      <c r="R54" s="792">
        <f t="shared" ca="1" si="37"/>
        <v>86.333333333333314</v>
      </c>
      <c r="S54" s="769">
        <f t="shared" si="38"/>
        <v>3</v>
      </c>
      <c r="T54" s="769">
        <f t="shared" ca="1" si="39"/>
        <v>0.24</v>
      </c>
      <c r="U54" s="769">
        <f t="shared" ca="1" si="40"/>
        <v>9.5333333333333825E-2</v>
      </c>
      <c r="V54" s="769">
        <f t="shared" ca="1" si="41"/>
        <v>0</v>
      </c>
      <c r="W54" s="769">
        <f t="shared" ca="1" si="42"/>
        <v>3.3353333333333341</v>
      </c>
      <c r="X54" s="794">
        <f t="shared" si="43"/>
        <v>3</v>
      </c>
      <c r="Y54" s="769">
        <f t="shared" ca="1" si="44"/>
        <v>3</v>
      </c>
      <c r="Z54" s="769">
        <f t="shared" ca="1" si="45"/>
        <v>2.8564087924636024</v>
      </c>
      <c r="AA54" s="795">
        <f t="shared" ca="1" si="46"/>
        <v>2.8564087924636024</v>
      </c>
      <c r="AB54" s="769">
        <f t="shared" ca="1" si="47"/>
        <v>0</v>
      </c>
      <c r="AC54" s="769">
        <f t="shared" ca="1" si="48"/>
        <v>0</v>
      </c>
      <c r="AD54" s="769">
        <f t="shared" ca="1" si="49"/>
        <v>0</v>
      </c>
      <c r="AE54" s="794">
        <f t="shared" ca="1" si="50"/>
        <v>2.8564087924636024</v>
      </c>
      <c r="AF54" s="769">
        <f t="shared" ca="1" si="51"/>
        <v>2.8564087924636022E-2</v>
      </c>
      <c r="AG54" s="769">
        <f t="shared" ca="1" si="52"/>
        <v>2.8278447045389665</v>
      </c>
      <c r="AH54" s="799">
        <f t="shared" ca="1" si="53"/>
        <v>2.8278447045389665</v>
      </c>
      <c r="AI54" s="801">
        <f t="shared" ca="1" si="54"/>
        <v>1</v>
      </c>
      <c r="AJ54" s="794">
        <f t="shared" ca="1" si="55"/>
        <v>2</v>
      </c>
      <c r="AK54" s="769">
        <f t="shared" ca="1" si="56"/>
        <v>0.85640879246360235</v>
      </c>
      <c r="AL54" s="769">
        <f t="shared" ca="1" si="57"/>
        <v>0</v>
      </c>
      <c r="AM54" s="804">
        <f t="shared" ca="1" si="6"/>
        <v>0.22666666666666666</v>
      </c>
      <c r="AN54" s="795">
        <f t="shared" ca="1" si="7"/>
        <v>0</v>
      </c>
      <c r="AO54" s="251"/>
      <c r="AP54" s="770">
        <f t="shared" si="58"/>
        <v>0</v>
      </c>
      <c r="AQ54" s="771">
        <f t="shared" ca="1" si="59"/>
        <v>0</v>
      </c>
      <c r="AR54" s="771">
        <f t="shared" ca="1" si="60"/>
        <v>4</v>
      </c>
      <c r="AS54" s="772">
        <f t="shared" ca="1" si="61"/>
        <v>4</v>
      </c>
      <c r="AT54" s="231"/>
      <c r="AU54" s="770">
        <f>'Main Results - IRR DC Operator'!$F$16</f>
        <v>2</v>
      </c>
      <c r="AV54" s="773">
        <f>'Main Results - IRR DC Operator'!$F$15</f>
        <v>1</v>
      </c>
      <c r="AW54" s="771">
        <f t="shared" ca="1" si="62"/>
        <v>4</v>
      </c>
      <c r="AX54" s="772">
        <f t="shared" si="63"/>
        <v>0</v>
      </c>
      <c r="AY54" s="231"/>
      <c r="AZ54" s="770" cm="1">
        <f t="array" aca="1" ref="AZ54" ca="1">INDIRECT("'Definition of Typical Day'!"&amp; ADDRESS($D54+29*(AZ$16-1),$E54))+$AZ$17</f>
        <v>98.21</v>
      </c>
      <c r="BA54" s="771" cm="1">
        <f t="array" aca="1" ref="BA54" ca="1">INDIRECT("'Definition of Typical Day'!"&amp; ADDRESS($D54+29*(BA$16-1),$E54))+$BA$17</f>
        <v>98.21</v>
      </c>
      <c r="BB54" s="772" cm="1">
        <f t="array" aca="1" ref="BB54" ca="1">INDIRECT("'Definition of Typical Day'!"&amp;ADDRESS(BB$16,$E54))</f>
        <v>71</v>
      </c>
      <c r="BC54" s="776" cm="1">
        <f t="array" aca="1" ref="BC54" ca="1">INDIRECT("'Definition of Typical Day'!"&amp; ADDRESS($D54+29*(BC$16-1),$E54))</f>
        <v>97.21</v>
      </c>
      <c r="BD54" s="777" cm="1">
        <f t="array" aca="1" ref="BD54" ca="1">INDIRECT("'Definition of Typical Day'!"&amp; ADDRESS($D54+29*(BD$16-1),$E54))</f>
        <v>0.85</v>
      </c>
      <c r="BE54" s="776">
        <f t="shared" si="64"/>
        <v>0</v>
      </c>
      <c r="BF54" s="771">
        <f t="shared" ca="1" si="75"/>
        <v>84.107907507850385</v>
      </c>
      <c r="BG54" s="771">
        <f t="shared" ca="1" si="65"/>
        <v>4.0561004852983151</v>
      </c>
      <c r="BH54" s="771">
        <f t="shared" ca="1" si="66"/>
        <v>0</v>
      </c>
      <c r="BI54" s="776">
        <f t="shared" ca="1" si="67"/>
        <v>22.034266666666664</v>
      </c>
      <c r="BJ54" s="776">
        <f t="shared" ca="1" si="68"/>
        <v>0</v>
      </c>
      <c r="BK54" s="776">
        <f t="shared" ca="1" si="69"/>
        <v>0</v>
      </c>
      <c r="BL54" s="776">
        <f t="shared" ca="1" si="70"/>
        <v>0</v>
      </c>
      <c r="BM54" s="135"/>
      <c r="BN54" s="776">
        <f t="shared" ca="1" si="71"/>
        <v>92.164007993148701</v>
      </c>
      <c r="BO54" s="778">
        <f t="shared" ca="1" si="8"/>
        <v>32.591608671160934</v>
      </c>
      <c r="BP54" s="770">
        <f t="shared" ca="1" si="9"/>
        <v>88.164007993148701</v>
      </c>
      <c r="BQ54" s="771">
        <f t="shared" ca="1" si="10"/>
        <v>0</v>
      </c>
      <c r="BR54" s="771">
        <f t="shared" ca="1" si="11"/>
        <v>0</v>
      </c>
      <c r="BS54" s="776">
        <f t="shared" ca="1" si="72"/>
        <v>92.164007993148701</v>
      </c>
      <c r="BT54" s="776">
        <f t="shared" ca="1" si="12"/>
        <v>88.164007993148701</v>
      </c>
      <c r="BU54" s="783">
        <f t="shared" ca="1" si="13"/>
        <v>31.177103838706866</v>
      </c>
      <c r="BV54" s="783">
        <f t="shared" ca="1" si="14"/>
        <v>31.177103838706866</v>
      </c>
      <c r="BW54" s="1019">
        <f t="shared" ca="1" si="73"/>
        <v>31.177103838706866</v>
      </c>
      <c r="BX54" s="771" cm="1">
        <f t="array" aca="1" ref="BX54" ca="1">INDIRECT("'Definition of Typical Day'!"&amp; ADDRESS($D54+29*(BX$16-1),$E54))</f>
        <v>60</v>
      </c>
      <c r="BY54" s="771">
        <f t="shared" ca="1" si="74"/>
        <v>1</v>
      </c>
      <c r="BZ54" s="781">
        <f t="shared" ca="1" si="15"/>
        <v>1</v>
      </c>
      <c r="CA54" s="781">
        <f t="shared" ca="1" si="16"/>
        <v>0.95213626415453412</v>
      </c>
      <c r="CB54" s="776">
        <f t="shared" ca="1" si="17"/>
        <v>169.67068227233798</v>
      </c>
      <c r="CC54" s="782">
        <f t="shared" si="18"/>
        <v>2</v>
      </c>
      <c r="CD54" s="782">
        <f t="shared" si="19"/>
        <v>10</v>
      </c>
      <c r="CE54" s="784" t="str" cm="1">
        <f t="array" aca="1" ref="CE54" ca="1">INDIRECT("'Definition of Typical Day'!"&amp;ADDRESS(CE$16,$E54))</f>
        <v>Spring / fall weekday</v>
      </c>
      <c r="CF54" s="135"/>
      <c r="CG54" s="135"/>
      <c r="CH54" s="776">
        <f t="shared" ca="1" si="20"/>
        <v>2</v>
      </c>
      <c r="CI54" s="806">
        <f t="shared" ca="1" si="21"/>
        <v>6</v>
      </c>
      <c r="CJ54" s="770">
        <f t="shared" ca="1" si="22"/>
        <v>2.8278447045389665</v>
      </c>
      <c r="CK54" s="771">
        <f t="shared" ca="1" si="23"/>
        <v>2</v>
      </c>
      <c r="CL54" s="771">
        <f t="shared" ca="1" si="24"/>
        <v>0.85640879246360235</v>
      </c>
      <c r="CM54" s="772">
        <f t="shared" ca="1" si="25"/>
        <v>0</v>
      </c>
      <c r="CN54" s="135"/>
      <c r="CO54" s="770">
        <f t="shared" ca="1" si="76"/>
        <v>1.05</v>
      </c>
      <c r="CP54" s="771">
        <f t="shared" ca="1" si="27"/>
        <v>0.98</v>
      </c>
      <c r="CQ54" s="771">
        <f t="shared" ca="1" si="28"/>
        <v>0.96</v>
      </c>
      <c r="CR54" s="771">
        <f t="shared" ca="1" si="29"/>
        <v>0.95</v>
      </c>
      <c r="CS54" s="771">
        <f t="shared" ca="1" si="30"/>
        <v>1.02</v>
      </c>
      <c r="CT54" s="772">
        <f t="shared" ca="1" si="31"/>
        <v>0.02</v>
      </c>
      <c r="CU54" s="135"/>
      <c r="CV54" s="135"/>
      <c r="CW54" s="135"/>
      <c r="CX54" s="135"/>
      <c r="CY54" s="135"/>
      <c r="CZ54" s="135"/>
      <c r="DA54" s="135"/>
      <c r="DB54" s="135"/>
      <c r="DC54" s="135"/>
      <c r="DD54" s="135"/>
      <c r="DE54" s="135"/>
      <c r="DF54" s="135"/>
      <c r="DG54" s="135"/>
      <c r="DH54" s="135"/>
      <c r="DI54" s="135"/>
      <c r="DJ54" s="135"/>
      <c r="DK54" s="135"/>
      <c r="DL54" s="135"/>
      <c r="DM54" s="135"/>
      <c r="DN54" s="135"/>
      <c r="DO54" s="135"/>
      <c r="DP54" s="135"/>
      <c r="DQ54" s="135"/>
      <c r="DR54" s="135"/>
      <c r="DS54" s="135"/>
      <c r="DT54" s="135"/>
      <c r="DU54" s="135"/>
      <c r="DV54" s="135"/>
      <c r="DX54" s="135"/>
      <c r="DY54" s="135"/>
      <c r="DZ54" s="135"/>
      <c r="EA54" s="135"/>
      <c r="EB54" s="135"/>
      <c r="EC54" s="135"/>
      <c r="ED54" s="135"/>
      <c r="EE54" s="135"/>
      <c r="EF54" s="135"/>
      <c r="EG54" s="135"/>
      <c r="EH54" s="135"/>
      <c r="EI54" s="135"/>
      <c r="EJ54" s="135"/>
      <c r="EK54" s="135"/>
      <c r="EL54" s="135"/>
      <c r="EM54" s="135"/>
      <c r="EN54" s="135"/>
      <c r="EO54" s="135"/>
      <c r="EP54" s="135"/>
      <c r="EQ54" s="135"/>
      <c r="ER54" s="135"/>
      <c r="ES54" s="135"/>
      <c r="ET54" s="135"/>
      <c r="EU54" s="135"/>
      <c r="EV54" s="135"/>
      <c r="EW54" s="135"/>
      <c r="EX54" s="135"/>
      <c r="EY54" s="135"/>
      <c r="EZ54" s="135"/>
      <c r="FA54" s="135"/>
      <c r="FB54" s="135"/>
      <c r="FC54" s="135"/>
      <c r="FD54" s="135"/>
      <c r="FE54" s="135"/>
      <c r="FF54" s="135"/>
      <c r="FG54" s="135"/>
    </row>
    <row r="55" spans="1:163" s="57" customFormat="1" ht="11.25" outlineLevel="1">
      <c r="A55" s="765">
        <f t="shared" si="77"/>
        <v>2</v>
      </c>
      <c r="B55" s="715" t="str" cm="1">
        <f t="array" aca="1" ref="B55" ca="1">INDIRECT("'Definition of Typical Day'!"&amp;ADDRESS(B$16,$E55))</f>
        <v>Spring / fall weekday</v>
      </c>
      <c r="C55" s="766">
        <f t="shared" si="78"/>
        <v>11</v>
      </c>
      <c r="D55" s="715">
        <f t="shared" si="78"/>
        <v>45</v>
      </c>
      <c r="E55" s="715">
        <f t="shared" si="5"/>
        <v>6</v>
      </c>
      <c r="F55" s="767" cm="1">
        <f t="array" aca="1" ref="F55" ca="1">INDIRECT("'Definition of Typical Day'!D"&amp;D55)</f>
        <v>11</v>
      </c>
      <c r="G55" s="767" cm="1">
        <f t="array" aca="1" ref="G55" ca="1">INDIRECT("'Definition of Typical Day'!"&amp;ADDRESS(13,E55))</f>
        <v>2</v>
      </c>
      <c r="H55" s="768" cm="1">
        <f t="array" aca="1" ref="H55" ca="1">INDIRECT("'Definition of Typical Day'!"&amp; ADDRESS($D55+28*(H$16-1),$E55))</f>
        <v>2</v>
      </c>
      <c r="I55" s="715" cm="1">
        <f t="array" aca="1" ref="I55" ca="1">INDIRECT("'Definition of Typical Day'!"&amp; ADDRESS($D55+29*(I$16-1),$E55))</f>
        <v>40</v>
      </c>
      <c r="J55" s="715">
        <f t="shared" ca="1" si="32"/>
        <v>37</v>
      </c>
      <c r="K55" s="785">
        <f t="shared" si="33"/>
        <v>28</v>
      </c>
      <c r="L55" s="786" cm="1">
        <f t="array" aca="1" ref="L55" ca="1">INDIRECT("'Definition of Typical Day'!"&amp; ADDRESS($D55+29*(L$16-1),$E55))</f>
        <v>6</v>
      </c>
      <c r="M55" s="768" cm="1">
        <f t="array" aca="1" ref="M55" ca="1">INDIRECT("'Definition of Typical Day'!"&amp; ADDRESS($D55+29*(M$16-1),$E55))</f>
        <v>81.666666666666643</v>
      </c>
      <c r="N55" s="715">
        <f t="shared" si="34"/>
        <v>3</v>
      </c>
      <c r="O55" s="715">
        <f t="shared" ca="1" si="35"/>
        <v>84.666666666666643</v>
      </c>
      <c r="P55" s="715" cm="1">
        <f t="array" aca="1" ref="P55" ca="1">INDIRECT("'Definition of Typical Day'!"&amp; ADDRESS($D55+29*(P$16-1),$E55))</f>
        <v>45</v>
      </c>
      <c r="Q55" s="787">
        <f t="shared" ca="1" si="36"/>
        <v>48</v>
      </c>
      <c r="R55" s="792">
        <f t="shared" ca="1" si="37"/>
        <v>84.666666666666643</v>
      </c>
      <c r="S55" s="769">
        <f t="shared" si="38"/>
        <v>3</v>
      </c>
      <c r="T55" s="769">
        <f t="shared" ca="1" si="39"/>
        <v>0.24</v>
      </c>
      <c r="U55" s="769">
        <f t="shared" ca="1" si="40"/>
        <v>0.13866666666666727</v>
      </c>
      <c r="V55" s="769">
        <f t="shared" ca="1" si="41"/>
        <v>0</v>
      </c>
      <c r="W55" s="769">
        <f t="shared" ca="1" si="42"/>
        <v>3.3786666666666676</v>
      </c>
      <c r="X55" s="794">
        <f t="shared" si="43"/>
        <v>3</v>
      </c>
      <c r="Y55" s="769">
        <f t="shared" ca="1" si="44"/>
        <v>3</v>
      </c>
      <c r="Z55" s="769">
        <f t="shared" ca="1" si="45"/>
        <v>2.840807174887892</v>
      </c>
      <c r="AA55" s="795">
        <f t="shared" ca="1" si="46"/>
        <v>2.840807174887892</v>
      </c>
      <c r="AB55" s="769">
        <f t="shared" ca="1" si="47"/>
        <v>0</v>
      </c>
      <c r="AC55" s="769">
        <f t="shared" ca="1" si="48"/>
        <v>0</v>
      </c>
      <c r="AD55" s="769">
        <f t="shared" ca="1" si="49"/>
        <v>0</v>
      </c>
      <c r="AE55" s="794">
        <f t="shared" ca="1" si="50"/>
        <v>2.840807174887892</v>
      </c>
      <c r="AF55" s="769">
        <f t="shared" ca="1" si="51"/>
        <v>2.8408071748878921E-2</v>
      </c>
      <c r="AG55" s="769">
        <f t="shared" ca="1" si="52"/>
        <v>2.812399103139013</v>
      </c>
      <c r="AH55" s="799">
        <f t="shared" ca="1" si="53"/>
        <v>2.812399103139013</v>
      </c>
      <c r="AI55" s="801">
        <f t="shared" ca="1" si="54"/>
        <v>1</v>
      </c>
      <c r="AJ55" s="794">
        <f t="shared" ca="1" si="55"/>
        <v>2</v>
      </c>
      <c r="AK55" s="769">
        <f t="shared" ca="1" si="56"/>
        <v>0.84080717488789203</v>
      </c>
      <c r="AL55" s="769">
        <f t="shared" ca="1" si="57"/>
        <v>0</v>
      </c>
      <c r="AM55" s="804">
        <f t="shared" ca="1" si="6"/>
        <v>0.22666666666666666</v>
      </c>
      <c r="AN55" s="795">
        <f t="shared" ca="1" si="7"/>
        <v>0</v>
      </c>
      <c r="AO55" s="251"/>
      <c r="AP55" s="770">
        <f t="shared" si="58"/>
        <v>0</v>
      </c>
      <c r="AQ55" s="771">
        <f t="shared" ca="1" si="59"/>
        <v>0</v>
      </c>
      <c r="AR55" s="771">
        <f t="shared" ca="1" si="60"/>
        <v>4</v>
      </c>
      <c r="AS55" s="772">
        <f t="shared" ca="1" si="61"/>
        <v>4</v>
      </c>
      <c r="AT55" s="231"/>
      <c r="AU55" s="770">
        <f>'Main Results - IRR DC Operator'!$F$16</f>
        <v>2</v>
      </c>
      <c r="AV55" s="773">
        <f>'Main Results - IRR DC Operator'!$F$15</f>
        <v>1</v>
      </c>
      <c r="AW55" s="771">
        <f t="shared" ca="1" si="62"/>
        <v>4</v>
      </c>
      <c r="AX55" s="772">
        <f t="shared" si="63"/>
        <v>0</v>
      </c>
      <c r="AY55" s="231"/>
      <c r="AZ55" s="770" cm="1">
        <f t="array" aca="1" ref="AZ55" ca="1">INDIRECT("'Definition of Typical Day'!"&amp; ADDRESS($D55+29*(AZ$16-1),$E55))+$AZ$17</f>
        <v>86.92</v>
      </c>
      <c r="BA55" s="771" cm="1">
        <f t="array" aca="1" ref="BA55" ca="1">INDIRECT("'Definition of Typical Day'!"&amp; ADDRESS($D55+29*(BA$16-1),$E55))+$BA$17</f>
        <v>86.92</v>
      </c>
      <c r="BB55" s="772" cm="1">
        <f t="array" aca="1" ref="BB55" ca="1">INDIRECT("'Definition of Typical Day'!"&amp;ADDRESS(BB$16,$E55))</f>
        <v>71</v>
      </c>
      <c r="BC55" s="776" cm="1">
        <f t="array" aca="1" ref="BC55" ca="1">INDIRECT("'Definition of Typical Day'!"&amp; ADDRESS($D55+29*(BC$16-1),$E55))</f>
        <v>85.92</v>
      </c>
      <c r="BD55" s="777" cm="1">
        <f t="array" aca="1" ref="BD55" ca="1">INDIRECT("'Definition of Typical Day'!"&amp; ADDRESS($D55+29*(BD$16-1),$E55))</f>
        <v>0.85</v>
      </c>
      <c r="BE55" s="776">
        <f t="shared" si="64"/>
        <v>0</v>
      </c>
      <c r="BF55" s="771">
        <f t="shared" ca="1" si="75"/>
        <v>73.08295964125557</v>
      </c>
      <c r="BG55" s="771">
        <f t="shared" ca="1" si="65"/>
        <v>4.0339461883408063</v>
      </c>
      <c r="BH55" s="771">
        <f t="shared" ca="1" si="66"/>
        <v>0</v>
      </c>
      <c r="BI55" s="776">
        <f t="shared" ca="1" si="67"/>
        <v>19.475200000000001</v>
      </c>
      <c r="BJ55" s="776">
        <f t="shared" ca="1" si="68"/>
        <v>0</v>
      </c>
      <c r="BK55" s="776">
        <f t="shared" ca="1" si="69"/>
        <v>0</v>
      </c>
      <c r="BL55" s="776">
        <f t="shared" ca="1" si="70"/>
        <v>0</v>
      </c>
      <c r="BM55" s="135"/>
      <c r="BN55" s="776">
        <f t="shared" ca="1" si="71"/>
        <v>81.116905829596377</v>
      </c>
      <c r="BO55" s="778">
        <f t="shared" ca="1" si="8"/>
        <v>28.842601229341554</v>
      </c>
      <c r="BP55" s="770">
        <f t="shared" ca="1" si="9"/>
        <v>77.116905829596377</v>
      </c>
      <c r="BQ55" s="771">
        <f t="shared" ca="1" si="10"/>
        <v>0</v>
      </c>
      <c r="BR55" s="771">
        <f t="shared" ca="1" si="11"/>
        <v>0</v>
      </c>
      <c r="BS55" s="776">
        <f t="shared" ca="1" si="72"/>
        <v>81.116905829596377</v>
      </c>
      <c r="BT55" s="776">
        <f t="shared" ca="1" si="12"/>
        <v>77.116905829596377</v>
      </c>
      <c r="BU55" s="783">
        <f t="shared" ca="1" si="13"/>
        <v>27.420327983863888</v>
      </c>
      <c r="BV55" s="783">
        <f t="shared" ca="1" si="14"/>
        <v>27.420327983863888</v>
      </c>
      <c r="BW55" s="1019">
        <f t="shared" ca="1" si="73"/>
        <v>27.420327983863888</v>
      </c>
      <c r="BX55" s="771" cm="1">
        <f t="array" aca="1" ref="BX55" ca="1">INDIRECT("'Definition of Typical Day'!"&amp; ADDRESS($D55+29*(BX$16-1),$E55))</f>
        <v>60</v>
      </c>
      <c r="BY55" s="771">
        <f t="shared" ca="1" si="74"/>
        <v>1</v>
      </c>
      <c r="BZ55" s="781">
        <f t="shared" ca="1" si="15"/>
        <v>1</v>
      </c>
      <c r="CA55" s="781">
        <f t="shared" ca="1" si="16"/>
        <v>0.94693572496263068</v>
      </c>
      <c r="CB55" s="776">
        <f t="shared" ca="1" si="17"/>
        <v>168.74394618834077</v>
      </c>
      <c r="CC55" s="782">
        <f t="shared" si="18"/>
        <v>2</v>
      </c>
      <c r="CD55" s="782">
        <f t="shared" si="19"/>
        <v>11</v>
      </c>
      <c r="CE55" s="784" t="str" cm="1">
        <f t="array" aca="1" ref="CE55" ca="1">INDIRECT("'Definition of Typical Day'!"&amp;ADDRESS(CE$16,$E55))</f>
        <v>Spring / fall weekday</v>
      </c>
      <c r="CF55" s="135"/>
      <c r="CG55" s="135"/>
      <c r="CH55" s="776">
        <f t="shared" ca="1" si="20"/>
        <v>2</v>
      </c>
      <c r="CI55" s="806">
        <f t="shared" ca="1" si="21"/>
        <v>6</v>
      </c>
      <c r="CJ55" s="770">
        <f t="shared" ca="1" si="22"/>
        <v>2.812399103139013</v>
      </c>
      <c r="CK55" s="771">
        <f t="shared" ca="1" si="23"/>
        <v>2</v>
      </c>
      <c r="CL55" s="771">
        <f t="shared" ca="1" si="24"/>
        <v>0.84080717488789203</v>
      </c>
      <c r="CM55" s="772">
        <f t="shared" ca="1" si="25"/>
        <v>0</v>
      </c>
      <c r="CN55" s="135"/>
      <c r="CO55" s="770">
        <f t="shared" ca="1" si="76"/>
        <v>1.05</v>
      </c>
      <c r="CP55" s="771">
        <f t="shared" ca="1" si="27"/>
        <v>0.98</v>
      </c>
      <c r="CQ55" s="771">
        <f t="shared" ca="1" si="28"/>
        <v>0.96</v>
      </c>
      <c r="CR55" s="771">
        <f t="shared" ca="1" si="29"/>
        <v>0.95</v>
      </c>
      <c r="CS55" s="771">
        <f t="shared" ca="1" si="30"/>
        <v>1.02</v>
      </c>
      <c r="CT55" s="772">
        <f t="shared" ca="1" si="31"/>
        <v>0.02</v>
      </c>
      <c r="CU55" s="135"/>
      <c r="CV55" s="135"/>
      <c r="CW55" s="135"/>
      <c r="CX55" s="135"/>
      <c r="CY55" s="135"/>
      <c r="CZ55" s="135"/>
      <c r="DA55" s="135"/>
      <c r="DB55" s="135"/>
      <c r="DC55" s="135"/>
      <c r="DD55" s="135"/>
      <c r="DE55" s="135"/>
      <c r="DF55" s="135"/>
      <c r="DG55" s="135"/>
      <c r="DH55" s="135"/>
      <c r="DI55" s="135"/>
      <c r="DJ55" s="135"/>
      <c r="DK55" s="135"/>
      <c r="DL55" s="135"/>
      <c r="DM55" s="135"/>
      <c r="DN55" s="135"/>
      <c r="DO55" s="135"/>
      <c r="DP55" s="135"/>
      <c r="DQ55" s="135"/>
      <c r="DR55" s="135"/>
      <c r="DS55" s="135"/>
      <c r="DT55" s="135"/>
      <c r="DU55" s="135"/>
      <c r="DV55" s="135"/>
      <c r="DX55" s="135"/>
      <c r="DY55" s="135"/>
      <c r="DZ55" s="135"/>
      <c r="EA55" s="135"/>
      <c r="EB55" s="135"/>
      <c r="EC55" s="135"/>
      <c r="ED55" s="135"/>
      <c r="EE55" s="135"/>
      <c r="EF55" s="135"/>
      <c r="EG55" s="135"/>
      <c r="EH55" s="135"/>
      <c r="EI55" s="135"/>
      <c r="EJ55" s="135"/>
      <c r="EK55" s="135"/>
      <c r="EL55" s="135"/>
      <c r="EM55" s="135"/>
      <c r="EN55" s="135"/>
      <c r="EO55" s="135"/>
      <c r="EP55" s="135"/>
      <c r="EQ55" s="135"/>
      <c r="ER55" s="135"/>
      <c r="ES55" s="135"/>
      <c r="ET55" s="135"/>
      <c r="EU55" s="135"/>
      <c r="EV55" s="135"/>
      <c r="EW55" s="135"/>
      <c r="EX55" s="135"/>
      <c r="EY55" s="135"/>
      <c r="EZ55" s="135"/>
      <c r="FA55" s="135"/>
      <c r="FB55" s="135"/>
      <c r="FC55" s="135"/>
      <c r="FD55" s="135"/>
      <c r="FE55" s="135"/>
      <c r="FF55" s="135"/>
      <c r="FG55" s="135"/>
    </row>
    <row r="56" spans="1:163" s="57" customFormat="1" ht="11.25" outlineLevel="1">
      <c r="A56" s="765">
        <f t="shared" si="77"/>
        <v>2</v>
      </c>
      <c r="B56" s="715" t="str" cm="1">
        <f t="array" aca="1" ref="B56" ca="1">INDIRECT("'Definition of Typical Day'!"&amp;ADDRESS(B$16,$E56))</f>
        <v>Spring / fall weekday</v>
      </c>
      <c r="C56" s="766">
        <f t="shared" si="78"/>
        <v>12</v>
      </c>
      <c r="D56" s="715">
        <f t="shared" si="78"/>
        <v>46</v>
      </c>
      <c r="E56" s="715">
        <f t="shared" si="5"/>
        <v>6</v>
      </c>
      <c r="F56" s="767" cm="1">
        <f t="array" aca="1" ref="F56" ca="1">INDIRECT("'Definition of Typical Day'!D"&amp;D56)</f>
        <v>12</v>
      </c>
      <c r="G56" s="767" cm="1">
        <f t="array" aca="1" ref="G56" ca="1">INDIRECT("'Definition of Typical Day'!"&amp;ADDRESS(13,E56))</f>
        <v>2</v>
      </c>
      <c r="H56" s="768" cm="1">
        <f t="array" aca="1" ref="H56" ca="1">INDIRECT("'Definition of Typical Day'!"&amp; ADDRESS($D56+28*(H$16-1),$E56))</f>
        <v>2</v>
      </c>
      <c r="I56" s="715" cm="1">
        <f t="array" aca="1" ref="I56" ca="1">INDIRECT("'Definition of Typical Day'!"&amp; ADDRESS($D56+29*(I$16-1),$E56))</f>
        <v>40</v>
      </c>
      <c r="J56" s="715">
        <f t="shared" ca="1" si="32"/>
        <v>37</v>
      </c>
      <c r="K56" s="785">
        <f t="shared" si="33"/>
        <v>28</v>
      </c>
      <c r="L56" s="786" cm="1">
        <f t="array" aca="1" ref="L56" ca="1">INDIRECT("'Definition of Typical Day'!"&amp; ADDRESS($D56+29*(L$16-1),$E56))</f>
        <v>6</v>
      </c>
      <c r="M56" s="768" cm="1">
        <f t="array" aca="1" ref="M56" ca="1">INDIRECT("'Definition of Typical Day'!"&amp; ADDRESS($D56+29*(M$16-1),$E56))</f>
        <v>80</v>
      </c>
      <c r="N56" s="715">
        <f t="shared" si="34"/>
        <v>3</v>
      </c>
      <c r="O56" s="715">
        <f t="shared" ca="1" si="35"/>
        <v>83</v>
      </c>
      <c r="P56" s="715" cm="1">
        <f t="array" aca="1" ref="P56" ca="1">INDIRECT("'Definition of Typical Day'!"&amp; ADDRESS($D56+29*(P$16-1),$E56))</f>
        <v>45</v>
      </c>
      <c r="Q56" s="787">
        <f t="shared" ca="1" si="36"/>
        <v>48</v>
      </c>
      <c r="R56" s="792">
        <f t="shared" ca="1" si="37"/>
        <v>83</v>
      </c>
      <c r="S56" s="769">
        <f t="shared" si="38"/>
        <v>3</v>
      </c>
      <c r="T56" s="769">
        <f t="shared" ca="1" si="39"/>
        <v>0.24</v>
      </c>
      <c r="U56" s="769">
        <f t="shared" ca="1" si="40"/>
        <v>0.182</v>
      </c>
      <c r="V56" s="769">
        <f t="shared" ca="1" si="41"/>
        <v>0</v>
      </c>
      <c r="W56" s="769">
        <f t="shared" ca="1" si="42"/>
        <v>3.4220000000000002</v>
      </c>
      <c r="X56" s="794">
        <f t="shared" si="43"/>
        <v>3</v>
      </c>
      <c r="Y56" s="769">
        <f t="shared" ca="1" si="44"/>
        <v>3</v>
      </c>
      <c r="Z56" s="769">
        <f t="shared" ca="1" si="45"/>
        <v>2.8257638315441782</v>
      </c>
      <c r="AA56" s="795">
        <f t="shared" ca="1" si="46"/>
        <v>2.8257638315441782</v>
      </c>
      <c r="AB56" s="769">
        <f t="shared" ca="1" si="47"/>
        <v>0</v>
      </c>
      <c r="AC56" s="769">
        <f t="shared" ca="1" si="48"/>
        <v>0</v>
      </c>
      <c r="AD56" s="769">
        <f t="shared" ca="1" si="49"/>
        <v>0</v>
      </c>
      <c r="AE56" s="794">
        <f t="shared" ca="1" si="50"/>
        <v>2.8257638315441782</v>
      </c>
      <c r="AF56" s="769">
        <f t="shared" ca="1" si="51"/>
        <v>2.8257638315441782E-2</v>
      </c>
      <c r="AG56" s="769">
        <f t="shared" ca="1" si="52"/>
        <v>2.7975061932287364</v>
      </c>
      <c r="AH56" s="799">
        <f t="shared" ca="1" si="53"/>
        <v>2.7975061932287364</v>
      </c>
      <c r="AI56" s="801">
        <f t="shared" ca="1" si="54"/>
        <v>1</v>
      </c>
      <c r="AJ56" s="794">
        <f t="shared" ca="1" si="55"/>
        <v>2</v>
      </c>
      <c r="AK56" s="769">
        <f t="shared" ca="1" si="56"/>
        <v>0.82576383154417832</v>
      </c>
      <c r="AL56" s="769">
        <f t="shared" ca="1" si="57"/>
        <v>0</v>
      </c>
      <c r="AM56" s="804">
        <f t="shared" ca="1" si="6"/>
        <v>0.22666666666666666</v>
      </c>
      <c r="AN56" s="795">
        <f t="shared" ca="1" si="7"/>
        <v>0</v>
      </c>
      <c r="AO56" s="251"/>
      <c r="AP56" s="770">
        <f t="shared" si="58"/>
        <v>0</v>
      </c>
      <c r="AQ56" s="771">
        <f t="shared" ca="1" si="59"/>
        <v>0</v>
      </c>
      <c r="AR56" s="771">
        <f t="shared" ca="1" si="60"/>
        <v>4</v>
      </c>
      <c r="AS56" s="772">
        <f t="shared" ca="1" si="61"/>
        <v>4</v>
      </c>
      <c r="AT56" s="231"/>
      <c r="AU56" s="770">
        <f>'Main Results - IRR DC Operator'!$F$16</f>
        <v>2</v>
      </c>
      <c r="AV56" s="773">
        <f>'Main Results - IRR DC Operator'!$F$15</f>
        <v>1</v>
      </c>
      <c r="AW56" s="771">
        <f t="shared" ca="1" si="62"/>
        <v>4</v>
      </c>
      <c r="AX56" s="772">
        <f t="shared" si="63"/>
        <v>0</v>
      </c>
      <c r="AY56" s="231"/>
      <c r="AZ56" s="770" cm="1">
        <f t="array" aca="1" ref="AZ56" ca="1">INDIRECT("'Definition of Typical Day'!"&amp; ADDRESS($D56+29*(AZ$16-1),$E56))+$AZ$17</f>
        <v>83.02</v>
      </c>
      <c r="BA56" s="771" cm="1">
        <f t="array" aca="1" ref="BA56" ca="1">INDIRECT("'Definition of Typical Day'!"&amp; ADDRESS($D56+29*(BA$16-1),$E56))+$BA$17</f>
        <v>83.02</v>
      </c>
      <c r="BB56" s="772" cm="1">
        <f t="array" aca="1" ref="BB56" ca="1">INDIRECT("'Definition of Typical Day'!"&amp;ADDRESS(BB$16,$E56))</f>
        <v>71</v>
      </c>
      <c r="BC56" s="776" cm="1">
        <f t="array" aca="1" ref="BC56" ca="1">INDIRECT("'Definition of Typical Day'!"&amp; ADDRESS($D56+29*(BC$16-1),$E56))</f>
        <v>82.02</v>
      </c>
      <c r="BD56" s="777" cm="1">
        <f t="array" aca="1" ref="BD56" ca="1">INDIRECT("'Definition of Typical Day'!"&amp; ADDRESS($D56+29*(BD$16-1),$E56))</f>
        <v>0.85</v>
      </c>
      <c r="BE56" s="776">
        <f t="shared" si="64"/>
        <v>0</v>
      </c>
      <c r="BF56" s="771">
        <f t="shared" ca="1" si="75"/>
        <v>68.554913294797686</v>
      </c>
      <c r="BG56" s="771">
        <f t="shared" ca="1" si="65"/>
        <v>4.012584640792733</v>
      </c>
      <c r="BH56" s="771">
        <f t="shared" ca="1" si="66"/>
        <v>0</v>
      </c>
      <c r="BI56" s="776">
        <f t="shared" ca="1" si="67"/>
        <v>18.591199999999997</v>
      </c>
      <c r="BJ56" s="776">
        <f t="shared" ca="1" si="68"/>
        <v>0</v>
      </c>
      <c r="BK56" s="776">
        <f t="shared" ca="1" si="69"/>
        <v>0</v>
      </c>
      <c r="BL56" s="776">
        <f t="shared" ca="1" si="70"/>
        <v>0</v>
      </c>
      <c r="BM56" s="135"/>
      <c r="BN56" s="776">
        <f t="shared" ca="1" si="71"/>
        <v>76.567497935590424</v>
      </c>
      <c r="BO56" s="778">
        <f t="shared" ca="1" si="8"/>
        <v>27.369911859683924</v>
      </c>
      <c r="BP56" s="770">
        <f t="shared" ca="1" si="9"/>
        <v>72.567497935590424</v>
      </c>
      <c r="BQ56" s="771">
        <f t="shared" ca="1" si="10"/>
        <v>0</v>
      </c>
      <c r="BR56" s="771">
        <f t="shared" ca="1" si="11"/>
        <v>0</v>
      </c>
      <c r="BS56" s="776">
        <f t="shared" ca="1" si="72"/>
        <v>76.567497935590424</v>
      </c>
      <c r="BT56" s="776">
        <f t="shared" ca="1" si="12"/>
        <v>72.567497935590424</v>
      </c>
      <c r="BU56" s="783">
        <f t="shared" ca="1" si="13"/>
        <v>25.940066946495939</v>
      </c>
      <c r="BV56" s="783">
        <f t="shared" ca="1" si="14"/>
        <v>25.940066946495939</v>
      </c>
      <c r="BW56" s="1019">
        <f t="shared" ca="1" si="73"/>
        <v>25.940066946495939</v>
      </c>
      <c r="BX56" s="771" cm="1">
        <f t="array" aca="1" ref="BX56" ca="1">INDIRECT("'Definition of Typical Day'!"&amp; ADDRESS($D56+29*(BX$16-1),$E56))</f>
        <v>60</v>
      </c>
      <c r="BY56" s="771">
        <f t="shared" ca="1" si="74"/>
        <v>1</v>
      </c>
      <c r="BZ56" s="781">
        <f t="shared" ca="1" si="15"/>
        <v>1</v>
      </c>
      <c r="CA56" s="781">
        <f t="shared" ca="1" si="16"/>
        <v>0.94192127718139274</v>
      </c>
      <c r="CB56" s="776">
        <f t="shared" ca="1" si="17"/>
        <v>167.85037159372419</v>
      </c>
      <c r="CC56" s="782">
        <f t="shared" si="18"/>
        <v>2</v>
      </c>
      <c r="CD56" s="782">
        <f t="shared" si="19"/>
        <v>12</v>
      </c>
      <c r="CE56" s="784" t="str" cm="1">
        <f t="array" aca="1" ref="CE56" ca="1">INDIRECT("'Definition of Typical Day'!"&amp;ADDRESS(CE$16,$E56))</f>
        <v>Spring / fall weekday</v>
      </c>
      <c r="CF56" s="135"/>
      <c r="CG56" s="135"/>
      <c r="CH56" s="776">
        <f t="shared" ca="1" si="20"/>
        <v>2</v>
      </c>
      <c r="CI56" s="806">
        <f t="shared" ca="1" si="21"/>
        <v>6</v>
      </c>
      <c r="CJ56" s="770">
        <f t="shared" ca="1" si="22"/>
        <v>2.7975061932287364</v>
      </c>
      <c r="CK56" s="771">
        <f t="shared" ca="1" si="23"/>
        <v>2</v>
      </c>
      <c r="CL56" s="771">
        <f t="shared" ca="1" si="24"/>
        <v>0.82576383154417832</v>
      </c>
      <c r="CM56" s="772">
        <f t="shared" ca="1" si="25"/>
        <v>0</v>
      </c>
      <c r="CN56" s="135"/>
      <c r="CO56" s="770">
        <f t="shared" ca="1" si="76"/>
        <v>1.05</v>
      </c>
      <c r="CP56" s="771">
        <f t="shared" ca="1" si="27"/>
        <v>0.98</v>
      </c>
      <c r="CQ56" s="771">
        <f t="shared" ca="1" si="28"/>
        <v>0.96</v>
      </c>
      <c r="CR56" s="771">
        <f t="shared" ca="1" si="29"/>
        <v>0.95</v>
      </c>
      <c r="CS56" s="771">
        <f t="shared" ca="1" si="30"/>
        <v>1.02</v>
      </c>
      <c r="CT56" s="772">
        <f t="shared" ca="1" si="31"/>
        <v>0.02</v>
      </c>
      <c r="CU56" s="135"/>
      <c r="CV56" s="135"/>
      <c r="CW56" s="135"/>
      <c r="CX56" s="135"/>
      <c r="CY56" s="135"/>
      <c r="CZ56" s="135"/>
      <c r="DA56" s="135"/>
      <c r="DB56" s="135"/>
      <c r="DC56" s="135"/>
      <c r="DD56" s="135"/>
      <c r="DE56" s="135"/>
      <c r="DF56" s="135"/>
      <c r="DG56" s="135"/>
      <c r="DH56" s="135"/>
      <c r="DI56" s="135"/>
      <c r="DJ56" s="135"/>
      <c r="DK56" s="135"/>
      <c r="DL56" s="135"/>
      <c r="DM56" s="135"/>
      <c r="DN56" s="135"/>
      <c r="DO56" s="135"/>
      <c r="DP56" s="135"/>
      <c r="DQ56" s="135"/>
      <c r="DR56" s="135"/>
      <c r="DS56" s="135"/>
      <c r="DT56" s="135"/>
      <c r="DU56" s="135"/>
      <c r="DV56" s="135"/>
      <c r="DX56" s="135"/>
      <c r="DY56" s="135"/>
      <c r="DZ56" s="135"/>
      <c r="EA56" s="135"/>
      <c r="EB56" s="135"/>
      <c r="EC56" s="135"/>
      <c r="ED56" s="135"/>
      <c r="EE56" s="135"/>
      <c r="EF56" s="135"/>
      <c r="EG56" s="135"/>
      <c r="EH56" s="135"/>
      <c r="EI56" s="135"/>
      <c r="EJ56" s="135"/>
      <c r="EK56" s="135"/>
      <c r="EL56" s="135"/>
      <c r="EM56" s="135"/>
      <c r="EN56" s="135"/>
      <c r="EO56" s="135"/>
      <c r="EP56" s="135"/>
      <c r="EQ56" s="135"/>
      <c r="ER56" s="135"/>
      <c r="ES56" s="135"/>
      <c r="ET56" s="135"/>
      <c r="EU56" s="135"/>
      <c r="EV56" s="135"/>
      <c r="EW56" s="135"/>
      <c r="EX56" s="135"/>
      <c r="EY56" s="135"/>
      <c r="EZ56" s="135"/>
      <c r="FA56" s="135"/>
      <c r="FB56" s="135"/>
      <c r="FC56" s="135"/>
      <c r="FD56" s="135"/>
      <c r="FE56" s="135"/>
      <c r="FF56" s="135"/>
      <c r="FG56" s="135"/>
    </row>
    <row r="57" spans="1:163" s="57" customFormat="1" ht="11.25" outlineLevel="1">
      <c r="A57" s="765">
        <f t="shared" si="77"/>
        <v>2</v>
      </c>
      <c r="B57" s="715" t="str" cm="1">
        <f t="array" aca="1" ref="B57" ca="1">INDIRECT("'Definition of Typical Day'!"&amp;ADDRESS(B$16,$E57))</f>
        <v>Spring / fall weekday</v>
      </c>
      <c r="C57" s="766">
        <f t="shared" si="78"/>
        <v>13</v>
      </c>
      <c r="D57" s="715">
        <f t="shared" si="78"/>
        <v>47</v>
      </c>
      <c r="E57" s="715">
        <f t="shared" si="5"/>
        <v>6</v>
      </c>
      <c r="F57" s="767" cm="1">
        <f t="array" aca="1" ref="F57" ca="1">INDIRECT("'Definition of Typical Day'!D"&amp;D57)</f>
        <v>13</v>
      </c>
      <c r="G57" s="767" cm="1">
        <f t="array" aca="1" ref="G57" ca="1">INDIRECT("'Definition of Typical Day'!"&amp;ADDRESS(13,E57))</f>
        <v>2</v>
      </c>
      <c r="H57" s="768" cm="1">
        <f t="array" aca="1" ref="H57" ca="1">INDIRECT("'Definition of Typical Day'!"&amp; ADDRESS($D57+28*(H$16-1),$E57))</f>
        <v>2</v>
      </c>
      <c r="I57" s="715" cm="1">
        <f t="array" aca="1" ref="I57" ca="1">INDIRECT("'Definition of Typical Day'!"&amp; ADDRESS($D57+29*(I$16-1),$E57))</f>
        <v>40</v>
      </c>
      <c r="J57" s="715">
        <f t="shared" ca="1" si="32"/>
        <v>37</v>
      </c>
      <c r="K57" s="785">
        <f t="shared" si="33"/>
        <v>28</v>
      </c>
      <c r="L57" s="786" cm="1">
        <f t="array" aca="1" ref="L57" ca="1">INDIRECT("'Definition of Typical Day'!"&amp; ADDRESS($D57+29*(L$16-1),$E57))</f>
        <v>6</v>
      </c>
      <c r="M57" s="768" cm="1">
        <f t="array" aca="1" ref="M57" ca="1">INDIRECT("'Definition of Typical Day'!"&amp; ADDRESS($D57+29*(M$16-1),$E57))</f>
        <v>78.3333333333333</v>
      </c>
      <c r="N57" s="715">
        <f t="shared" si="34"/>
        <v>3</v>
      </c>
      <c r="O57" s="715">
        <f t="shared" ca="1" si="35"/>
        <v>81.3333333333333</v>
      </c>
      <c r="P57" s="715" cm="1">
        <f t="array" aca="1" ref="P57" ca="1">INDIRECT("'Definition of Typical Day'!"&amp; ADDRESS($D57+29*(P$16-1),$E57))</f>
        <v>45</v>
      </c>
      <c r="Q57" s="787">
        <f t="shared" ca="1" si="36"/>
        <v>48</v>
      </c>
      <c r="R57" s="792">
        <f t="shared" ca="1" si="37"/>
        <v>81.3333333333333</v>
      </c>
      <c r="S57" s="769">
        <f t="shared" si="38"/>
        <v>3</v>
      </c>
      <c r="T57" s="769">
        <f t="shared" ca="1" si="39"/>
        <v>0.24</v>
      </c>
      <c r="U57" s="769">
        <f t="shared" ca="1" si="40"/>
        <v>0.22533333333333419</v>
      </c>
      <c r="V57" s="769">
        <f t="shared" ca="1" si="41"/>
        <v>0</v>
      </c>
      <c r="W57" s="769">
        <f t="shared" ca="1" si="42"/>
        <v>3.4653333333333345</v>
      </c>
      <c r="X57" s="794">
        <f t="shared" si="43"/>
        <v>3</v>
      </c>
      <c r="Y57" s="769">
        <f t="shared" ca="1" si="44"/>
        <v>3</v>
      </c>
      <c r="Z57" s="769">
        <f t="shared" ca="1" si="45"/>
        <v>2.8112493239588963</v>
      </c>
      <c r="AA57" s="795">
        <f t="shared" ca="1" si="46"/>
        <v>2.8112493239588963</v>
      </c>
      <c r="AB57" s="769">
        <f t="shared" ca="1" si="47"/>
        <v>0</v>
      </c>
      <c r="AC57" s="769">
        <f t="shared" ca="1" si="48"/>
        <v>0</v>
      </c>
      <c r="AD57" s="769">
        <f t="shared" ca="1" si="49"/>
        <v>0</v>
      </c>
      <c r="AE57" s="794">
        <f t="shared" ca="1" si="50"/>
        <v>2.8112493239588963</v>
      </c>
      <c r="AF57" s="769">
        <f t="shared" ca="1" si="51"/>
        <v>2.8112493239588962E-2</v>
      </c>
      <c r="AG57" s="769">
        <f t="shared" ca="1" si="52"/>
        <v>2.7831368307193074</v>
      </c>
      <c r="AH57" s="799">
        <f t="shared" ca="1" si="53"/>
        <v>2.7831368307193074</v>
      </c>
      <c r="AI57" s="801">
        <f t="shared" ca="1" si="54"/>
        <v>1</v>
      </c>
      <c r="AJ57" s="794">
        <f t="shared" ca="1" si="55"/>
        <v>2</v>
      </c>
      <c r="AK57" s="769">
        <f t="shared" ca="1" si="56"/>
        <v>0.81124932395889626</v>
      </c>
      <c r="AL57" s="769">
        <f t="shared" ca="1" si="57"/>
        <v>0</v>
      </c>
      <c r="AM57" s="804">
        <f t="shared" ca="1" si="6"/>
        <v>0.22666666666666666</v>
      </c>
      <c r="AN57" s="795">
        <f t="shared" ca="1" si="7"/>
        <v>0</v>
      </c>
      <c r="AO57" s="251"/>
      <c r="AP57" s="770">
        <f t="shared" si="58"/>
        <v>0</v>
      </c>
      <c r="AQ57" s="771">
        <f t="shared" ca="1" si="59"/>
        <v>0</v>
      </c>
      <c r="AR57" s="771">
        <f t="shared" ca="1" si="60"/>
        <v>4</v>
      </c>
      <c r="AS57" s="772">
        <f t="shared" ca="1" si="61"/>
        <v>4</v>
      </c>
      <c r="AT57" s="231"/>
      <c r="AU57" s="770">
        <f>'Main Results - IRR DC Operator'!$F$16</f>
        <v>2</v>
      </c>
      <c r="AV57" s="773">
        <f>'Main Results - IRR DC Operator'!$F$15</f>
        <v>1</v>
      </c>
      <c r="AW57" s="771">
        <f t="shared" ca="1" si="62"/>
        <v>4</v>
      </c>
      <c r="AX57" s="772">
        <f t="shared" si="63"/>
        <v>0</v>
      </c>
      <c r="AY57" s="231"/>
      <c r="AZ57" s="770" cm="1">
        <f t="array" aca="1" ref="AZ57" ca="1">INDIRECT("'Definition of Typical Day'!"&amp; ADDRESS($D57+29*(AZ$16-1),$E57))+$AZ$17</f>
        <v>80.349999999999994</v>
      </c>
      <c r="BA57" s="771" cm="1">
        <f t="array" aca="1" ref="BA57" ca="1">INDIRECT("'Definition of Typical Day'!"&amp; ADDRESS($D57+29*(BA$16-1),$E57))+$BA$17</f>
        <v>80.349999999999994</v>
      </c>
      <c r="BB57" s="772" cm="1">
        <f t="array" aca="1" ref="BB57" ca="1">INDIRECT("'Definition of Typical Day'!"&amp;ADDRESS(BB$16,$E57))</f>
        <v>71</v>
      </c>
      <c r="BC57" s="776" cm="1">
        <f t="array" aca="1" ref="BC57" ca="1">INDIRECT("'Definition of Typical Day'!"&amp; ADDRESS($D57+29*(BC$16-1),$E57))</f>
        <v>79.349999999999994</v>
      </c>
      <c r="BD57" s="777" cm="1">
        <f t="array" aca="1" ref="BD57" ca="1">INDIRECT("'Definition of Typical Day'!"&amp; ADDRESS($D57+29*(BD$16-1),$E57))</f>
        <v>0.85</v>
      </c>
      <c r="BE57" s="776">
        <f t="shared" si="64"/>
        <v>0</v>
      </c>
      <c r="BF57" s="771">
        <f t="shared" ca="1" si="75"/>
        <v>65.183883180097311</v>
      </c>
      <c r="BG57" s="771">
        <f t="shared" ca="1" si="65"/>
        <v>3.9919740400216326</v>
      </c>
      <c r="BH57" s="771">
        <f t="shared" ca="1" si="66"/>
        <v>0</v>
      </c>
      <c r="BI57" s="776">
        <f t="shared" ca="1" si="67"/>
        <v>17.985999999999997</v>
      </c>
      <c r="BJ57" s="776">
        <f t="shared" ca="1" si="68"/>
        <v>0</v>
      </c>
      <c r="BK57" s="776">
        <f t="shared" ca="1" si="69"/>
        <v>0</v>
      </c>
      <c r="BL57" s="776">
        <f t="shared" ca="1" si="70"/>
        <v>0</v>
      </c>
      <c r="BM57" s="135"/>
      <c r="BN57" s="776">
        <f t="shared" ca="1" si="71"/>
        <v>73.175857220118942</v>
      </c>
      <c r="BO57" s="778">
        <f t="shared" ca="1" si="8"/>
        <v>26.292583394545677</v>
      </c>
      <c r="BP57" s="770">
        <f t="shared" ca="1" si="9"/>
        <v>69.175857220118942</v>
      </c>
      <c r="BQ57" s="771">
        <f t="shared" ca="1" si="10"/>
        <v>0</v>
      </c>
      <c r="BR57" s="771">
        <f t="shared" ca="1" si="11"/>
        <v>0</v>
      </c>
      <c r="BS57" s="776">
        <f t="shared" ca="1" si="72"/>
        <v>73.175857220118942</v>
      </c>
      <c r="BT57" s="776">
        <f t="shared" ca="1" si="12"/>
        <v>69.175857220118942</v>
      </c>
      <c r="BU57" s="783">
        <f t="shared" ca="1" si="13"/>
        <v>24.855356178172634</v>
      </c>
      <c r="BV57" s="783">
        <f t="shared" ca="1" si="14"/>
        <v>24.855356178172634</v>
      </c>
      <c r="BW57" s="1019">
        <f t="shared" ca="1" si="73"/>
        <v>24.855356178172634</v>
      </c>
      <c r="BX57" s="771" cm="1">
        <f t="array" aca="1" ref="BX57" ca="1">INDIRECT("'Definition of Typical Day'!"&amp; ADDRESS($D57+29*(BX$16-1),$E57))</f>
        <v>60</v>
      </c>
      <c r="BY57" s="771">
        <f t="shared" ca="1" si="74"/>
        <v>1</v>
      </c>
      <c r="BZ57" s="781">
        <f t="shared" ca="1" si="15"/>
        <v>1</v>
      </c>
      <c r="CA57" s="781">
        <f t="shared" ca="1" si="16"/>
        <v>0.93708310798629879</v>
      </c>
      <c r="CB57" s="776">
        <f t="shared" ca="1" si="17"/>
        <v>166.98820984315844</v>
      </c>
      <c r="CC57" s="782">
        <f t="shared" si="18"/>
        <v>2</v>
      </c>
      <c r="CD57" s="782">
        <f t="shared" si="19"/>
        <v>13</v>
      </c>
      <c r="CE57" s="784" t="str" cm="1">
        <f t="array" aca="1" ref="CE57" ca="1">INDIRECT("'Definition of Typical Day'!"&amp;ADDRESS(CE$16,$E57))</f>
        <v>Spring / fall weekday</v>
      </c>
      <c r="CF57" s="135"/>
      <c r="CG57" s="135"/>
      <c r="CH57" s="776">
        <f t="shared" ca="1" si="20"/>
        <v>2</v>
      </c>
      <c r="CI57" s="806">
        <f t="shared" ca="1" si="21"/>
        <v>6</v>
      </c>
      <c r="CJ57" s="770">
        <f t="shared" ca="1" si="22"/>
        <v>2.7831368307193074</v>
      </c>
      <c r="CK57" s="771">
        <f t="shared" ca="1" si="23"/>
        <v>2</v>
      </c>
      <c r="CL57" s="771">
        <f t="shared" ca="1" si="24"/>
        <v>0.81124932395889626</v>
      </c>
      <c r="CM57" s="772">
        <f t="shared" ca="1" si="25"/>
        <v>0</v>
      </c>
      <c r="CN57" s="135"/>
      <c r="CO57" s="770">
        <f t="shared" ca="1" si="76"/>
        <v>1.05</v>
      </c>
      <c r="CP57" s="771">
        <f t="shared" ca="1" si="27"/>
        <v>0.98</v>
      </c>
      <c r="CQ57" s="771">
        <f t="shared" ca="1" si="28"/>
        <v>0.96</v>
      </c>
      <c r="CR57" s="771">
        <f t="shared" ca="1" si="29"/>
        <v>0.95</v>
      </c>
      <c r="CS57" s="771">
        <f t="shared" ca="1" si="30"/>
        <v>1.02</v>
      </c>
      <c r="CT57" s="772">
        <f t="shared" ca="1" si="31"/>
        <v>0.02</v>
      </c>
      <c r="CU57" s="135"/>
      <c r="CV57" s="135"/>
      <c r="CW57" s="135"/>
      <c r="CX57" s="135"/>
      <c r="CY57" s="135"/>
      <c r="CZ57" s="135"/>
      <c r="DA57" s="135"/>
      <c r="DB57" s="135"/>
      <c r="DC57" s="135"/>
      <c r="DD57" s="135"/>
      <c r="DE57" s="135"/>
      <c r="DF57" s="135"/>
      <c r="DG57" s="135"/>
      <c r="DH57" s="135"/>
      <c r="DI57" s="135"/>
      <c r="DJ57" s="135"/>
      <c r="DK57" s="135"/>
      <c r="DL57" s="135"/>
      <c r="DM57" s="135"/>
      <c r="DN57" s="135"/>
      <c r="DO57" s="135"/>
      <c r="DP57" s="135"/>
      <c r="DQ57" s="135"/>
      <c r="DR57" s="135"/>
      <c r="DS57" s="135"/>
      <c r="DT57" s="135"/>
      <c r="DU57" s="135"/>
      <c r="DV57" s="135"/>
      <c r="DX57" s="135"/>
      <c r="DY57" s="135"/>
      <c r="DZ57" s="135"/>
      <c r="EA57" s="135"/>
      <c r="EB57" s="135"/>
      <c r="EC57" s="135"/>
      <c r="ED57" s="135"/>
      <c r="EE57" s="135"/>
      <c r="EF57" s="135"/>
      <c r="EG57" s="135"/>
      <c r="EH57" s="135"/>
      <c r="EI57" s="135"/>
      <c r="EJ57" s="135"/>
      <c r="EK57" s="135"/>
      <c r="EL57" s="135"/>
      <c r="EM57" s="135"/>
      <c r="EN57" s="135"/>
      <c r="EO57" s="135"/>
      <c r="EP57" s="135"/>
      <c r="EQ57" s="135"/>
      <c r="ER57" s="135"/>
      <c r="ES57" s="135"/>
      <c r="ET57" s="135"/>
      <c r="EU57" s="135"/>
      <c r="EV57" s="135"/>
      <c r="EW57" s="135"/>
      <c r="EX57" s="135"/>
      <c r="EY57" s="135"/>
      <c r="EZ57" s="135"/>
      <c r="FA57" s="135"/>
      <c r="FB57" s="135"/>
      <c r="FC57" s="135"/>
      <c r="FD57" s="135"/>
      <c r="FE57" s="135"/>
      <c r="FF57" s="135"/>
      <c r="FG57" s="135"/>
    </row>
    <row r="58" spans="1:163" s="57" customFormat="1" ht="11.25" outlineLevel="1">
      <c r="A58" s="765">
        <f t="shared" si="77"/>
        <v>2</v>
      </c>
      <c r="B58" s="715" t="str" cm="1">
        <f t="array" aca="1" ref="B58" ca="1">INDIRECT("'Definition of Typical Day'!"&amp;ADDRESS(B$16,$E58))</f>
        <v>Spring / fall weekday</v>
      </c>
      <c r="C58" s="766">
        <f t="shared" si="78"/>
        <v>14</v>
      </c>
      <c r="D58" s="715">
        <f t="shared" si="78"/>
        <v>48</v>
      </c>
      <c r="E58" s="715">
        <f t="shared" si="5"/>
        <v>6</v>
      </c>
      <c r="F58" s="767" cm="1">
        <f t="array" aca="1" ref="F58" ca="1">INDIRECT("'Definition of Typical Day'!D"&amp;D58)</f>
        <v>14</v>
      </c>
      <c r="G58" s="767" cm="1">
        <f t="array" aca="1" ref="G58" ca="1">INDIRECT("'Definition of Typical Day'!"&amp;ADDRESS(13,E58))</f>
        <v>2</v>
      </c>
      <c r="H58" s="768" cm="1">
        <f t="array" aca="1" ref="H58" ca="1">INDIRECT("'Definition of Typical Day'!"&amp; ADDRESS($D58+28*(H$16-1),$E58))</f>
        <v>2</v>
      </c>
      <c r="I58" s="715" cm="1">
        <f t="array" aca="1" ref="I58" ca="1">INDIRECT("'Definition of Typical Day'!"&amp; ADDRESS($D58+29*(I$16-1),$E58))</f>
        <v>40</v>
      </c>
      <c r="J58" s="715">
        <f t="shared" ca="1" si="32"/>
        <v>37</v>
      </c>
      <c r="K58" s="785">
        <f t="shared" si="33"/>
        <v>28</v>
      </c>
      <c r="L58" s="786" cm="1">
        <f t="array" aca="1" ref="L58" ca="1">INDIRECT("'Definition of Typical Day'!"&amp; ADDRESS($D58+29*(L$16-1),$E58))</f>
        <v>6</v>
      </c>
      <c r="M58" s="768" cm="1">
        <f t="array" aca="1" ref="M58" ca="1">INDIRECT("'Definition of Typical Day'!"&amp; ADDRESS($D58+29*(M$16-1),$E58))</f>
        <v>76.666666666666629</v>
      </c>
      <c r="N58" s="715">
        <f t="shared" si="34"/>
        <v>3</v>
      </c>
      <c r="O58" s="715">
        <f t="shared" ca="1" si="35"/>
        <v>79.666666666666629</v>
      </c>
      <c r="P58" s="715" cm="1">
        <f t="array" aca="1" ref="P58" ca="1">INDIRECT("'Definition of Typical Day'!"&amp; ADDRESS($D58+29*(P$16-1),$E58))</f>
        <v>45</v>
      </c>
      <c r="Q58" s="787">
        <f t="shared" ca="1" si="36"/>
        <v>48</v>
      </c>
      <c r="R58" s="792">
        <f t="shared" ca="1" si="37"/>
        <v>79.666666666666629</v>
      </c>
      <c r="S58" s="769">
        <f t="shared" si="38"/>
        <v>3</v>
      </c>
      <c r="T58" s="769">
        <f t="shared" ca="1" si="39"/>
        <v>0.24</v>
      </c>
      <c r="U58" s="769">
        <f t="shared" ca="1" si="40"/>
        <v>0.26866666666666766</v>
      </c>
      <c r="V58" s="769">
        <f t="shared" ca="1" si="41"/>
        <v>0</v>
      </c>
      <c r="W58" s="769">
        <f t="shared" ca="1" si="42"/>
        <v>3.5086666666666679</v>
      </c>
      <c r="X58" s="794">
        <f t="shared" si="43"/>
        <v>3</v>
      </c>
      <c r="Y58" s="769">
        <f t="shared" ca="1" si="44"/>
        <v>3</v>
      </c>
      <c r="Z58" s="769">
        <f t="shared" ca="1" si="45"/>
        <v>2.7972362476747272</v>
      </c>
      <c r="AA58" s="795">
        <f t="shared" ca="1" si="46"/>
        <v>2.7972362476747272</v>
      </c>
      <c r="AB58" s="769">
        <f t="shared" ca="1" si="47"/>
        <v>0</v>
      </c>
      <c r="AC58" s="769">
        <f t="shared" ca="1" si="48"/>
        <v>0</v>
      </c>
      <c r="AD58" s="769">
        <f t="shared" ca="1" si="49"/>
        <v>0</v>
      </c>
      <c r="AE58" s="794">
        <f t="shared" ca="1" si="50"/>
        <v>2.7972362476747272</v>
      </c>
      <c r="AF58" s="769">
        <f t="shared" ca="1" si="51"/>
        <v>2.7972362476747271E-2</v>
      </c>
      <c r="AG58" s="769">
        <f t="shared" ca="1" si="52"/>
        <v>2.7692638851979798</v>
      </c>
      <c r="AH58" s="799">
        <f t="shared" ca="1" si="53"/>
        <v>2.7692638851979798</v>
      </c>
      <c r="AI58" s="801">
        <f t="shared" ca="1" si="54"/>
        <v>1</v>
      </c>
      <c r="AJ58" s="794">
        <f t="shared" ca="1" si="55"/>
        <v>2</v>
      </c>
      <c r="AK58" s="769">
        <f t="shared" ca="1" si="56"/>
        <v>0.79723624767472723</v>
      </c>
      <c r="AL58" s="769">
        <f t="shared" ca="1" si="57"/>
        <v>0</v>
      </c>
      <c r="AM58" s="804">
        <f t="shared" ca="1" si="6"/>
        <v>0.22666666666666666</v>
      </c>
      <c r="AN58" s="795">
        <f t="shared" ca="1" si="7"/>
        <v>0</v>
      </c>
      <c r="AO58" s="251"/>
      <c r="AP58" s="770">
        <f t="shared" si="58"/>
        <v>0</v>
      </c>
      <c r="AQ58" s="771">
        <f t="shared" ca="1" si="59"/>
        <v>0</v>
      </c>
      <c r="AR58" s="771">
        <f t="shared" ca="1" si="60"/>
        <v>4</v>
      </c>
      <c r="AS58" s="772">
        <f t="shared" ca="1" si="61"/>
        <v>4</v>
      </c>
      <c r="AT58" s="231"/>
      <c r="AU58" s="770">
        <f>'Main Results - IRR DC Operator'!$F$16</f>
        <v>2</v>
      </c>
      <c r="AV58" s="773">
        <f>'Main Results - IRR DC Operator'!$F$15</f>
        <v>1</v>
      </c>
      <c r="AW58" s="771">
        <f t="shared" ca="1" si="62"/>
        <v>4</v>
      </c>
      <c r="AX58" s="772">
        <f t="shared" si="63"/>
        <v>0</v>
      </c>
      <c r="AY58" s="231"/>
      <c r="AZ58" s="770" cm="1">
        <f t="array" aca="1" ref="AZ58" ca="1">INDIRECT("'Definition of Typical Day'!"&amp; ADDRESS($D58+29*(AZ$16-1),$E58))+$AZ$17</f>
        <v>80.290000000000006</v>
      </c>
      <c r="BA58" s="771" cm="1">
        <f t="array" aca="1" ref="BA58" ca="1">INDIRECT("'Definition of Typical Day'!"&amp; ADDRESS($D58+29*(BA$16-1),$E58))+$BA$17</f>
        <v>80.290000000000006</v>
      </c>
      <c r="BB58" s="772" cm="1">
        <f t="array" aca="1" ref="BB58" ca="1">INDIRECT("'Definition of Typical Day'!"&amp;ADDRESS(BB$16,$E58))</f>
        <v>71</v>
      </c>
      <c r="BC58" s="776" cm="1">
        <f t="array" aca="1" ref="BC58" ca="1">INDIRECT("'Definition of Typical Day'!"&amp; ADDRESS($D58+29*(BC$16-1),$E58))</f>
        <v>79.290000000000006</v>
      </c>
      <c r="BD58" s="777" cm="1">
        <f t="array" aca="1" ref="BD58" ca="1">INDIRECT("'Definition of Typical Day'!"&amp; ADDRESS($D58+29*(BD$16-1),$E58))</f>
        <v>0.85</v>
      </c>
      <c r="BE58" s="776">
        <f t="shared" si="64"/>
        <v>0</v>
      </c>
      <c r="BF58" s="771">
        <f t="shared" ca="1" si="75"/>
        <v>64.010098325803853</v>
      </c>
      <c r="BG58" s="771">
        <f t="shared" ca="1" si="65"/>
        <v>3.9720754716981124</v>
      </c>
      <c r="BH58" s="771">
        <f t="shared" ca="1" si="66"/>
        <v>0</v>
      </c>
      <c r="BI58" s="776">
        <f t="shared" ca="1" si="67"/>
        <v>17.9724</v>
      </c>
      <c r="BJ58" s="776">
        <f t="shared" ca="1" si="68"/>
        <v>0</v>
      </c>
      <c r="BK58" s="776">
        <f t="shared" ca="1" si="69"/>
        <v>0</v>
      </c>
      <c r="BL58" s="776">
        <f t="shared" ca="1" si="70"/>
        <v>0</v>
      </c>
      <c r="BM58" s="135"/>
      <c r="BN58" s="776">
        <f t="shared" ca="1" si="71"/>
        <v>71.982173797501972</v>
      </c>
      <c r="BO58" s="778">
        <f t="shared" ca="1" si="8"/>
        <v>25.99325191876968</v>
      </c>
      <c r="BP58" s="770">
        <f t="shared" ca="1" si="9"/>
        <v>67.982173797501972</v>
      </c>
      <c r="BQ58" s="771">
        <f t="shared" ca="1" si="10"/>
        <v>0</v>
      </c>
      <c r="BR58" s="771">
        <f t="shared" ca="1" si="11"/>
        <v>0</v>
      </c>
      <c r="BS58" s="776">
        <f t="shared" ca="1" si="72"/>
        <v>71.982173797501972</v>
      </c>
      <c r="BT58" s="776">
        <f t="shared" ca="1" si="12"/>
        <v>67.982173797501972</v>
      </c>
      <c r="BU58" s="783">
        <f t="shared" ca="1" si="13"/>
        <v>24.548824747570706</v>
      </c>
      <c r="BV58" s="783">
        <f t="shared" ca="1" si="14"/>
        <v>24.548824747570706</v>
      </c>
      <c r="BW58" s="1019">
        <f t="shared" ca="1" si="73"/>
        <v>24.548824747570706</v>
      </c>
      <c r="BX58" s="771" cm="1">
        <f t="array" aca="1" ref="BX58" ca="1">INDIRECT("'Definition of Typical Day'!"&amp; ADDRESS($D58+29*(BX$16-1),$E58))</f>
        <v>60</v>
      </c>
      <c r="BY58" s="771">
        <f t="shared" ca="1" si="74"/>
        <v>1</v>
      </c>
      <c r="BZ58" s="781">
        <f t="shared" ca="1" si="15"/>
        <v>1</v>
      </c>
      <c r="CA58" s="781">
        <f t="shared" ca="1" si="16"/>
        <v>0.93241208255824237</v>
      </c>
      <c r="CB58" s="776">
        <f t="shared" ca="1" si="17"/>
        <v>166.15583311187879</v>
      </c>
      <c r="CC58" s="782">
        <f t="shared" si="18"/>
        <v>2</v>
      </c>
      <c r="CD58" s="782">
        <f t="shared" si="19"/>
        <v>14</v>
      </c>
      <c r="CE58" s="784" t="str" cm="1">
        <f t="array" aca="1" ref="CE58" ca="1">INDIRECT("'Definition of Typical Day'!"&amp;ADDRESS(CE$16,$E58))</f>
        <v>Spring / fall weekday</v>
      </c>
      <c r="CF58" s="135"/>
      <c r="CG58" s="135"/>
      <c r="CH58" s="776">
        <f t="shared" ca="1" si="20"/>
        <v>2</v>
      </c>
      <c r="CI58" s="806">
        <f t="shared" ca="1" si="21"/>
        <v>6</v>
      </c>
      <c r="CJ58" s="770">
        <f t="shared" ca="1" si="22"/>
        <v>2.7692638851979798</v>
      </c>
      <c r="CK58" s="771">
        <f t="shared" ca="1" si="23"/>
        <v>2</v>
      </c>
      <c r="CL58" s="771">
        <f t="shared" ca="1" si="24"/>
        <v>0.79723624767472723</v>
      </c>
      <c r="CM58" s="772">
        <f t="shared" ca="1" si="25"/>
        <v>0</v>
      </c>
      <c r="CN58" s="135"/>
      <c r="CO58" s="770">
        <f t="shared" ca="1" si="76"/>
        <v>1.05</v>
      </c>
      <c r="CP58" s="771">
        <f t="shared" ca="1" si="27"/>
        <v>0.98</v>
      </c>
      <c r="CQ58" s="771">
        <f t="shared" ca="1" si="28"/>
        <v>0.96</v>
      </c>
      <c r="CR58" s="771">
        <f t="shared" ca="1" si="29"/>
        <v>0.95</v>
      </c>
      <c r="CS58" s="771">
        <f t="shared" ca="1" si="30"/>
        <v>1.02</v>
      </c>
      <c r="CT58" s="772">
        <f t="shared" ca="1" si="31"/>
        <v>0.02</v>
      </c>
      <c r="CU58" s="135"/>
      <c r="CV58" s="135"/>
      <c r="CW58" s="135"/>
      <c r="CX58" s="135"/>
      <c r="CY58" s="135"/>
      <c r="CZ58" s="135"/>
      <c r="DA58" s="135"/>
      <c r="DB58" s="135"/>
      <c r="DC58" s="135"/>
      <c r="DD58" s="135"/>
      <c r="DE58" s="135"/>
      <c r="DF58" s="135"/>
      <c r="DG58" s="135"/>
      <c r="DH58" s="135"/>
      <c r="DI58" s="135"/>
      <c r="DJ58" s="135"/>
      <c r="DK58" s="135"/>
      <c r="DL58" s="135"/>
      <c r="DM58" s="135"/>
      <c r="DN58" s="135"/>
      <c r="DO58" s="135"/>
      <c r="DP58" s="135"/>
      <c r="DQ58" s="135"/>
      <c r="DR58" s="135"/>
      <c r="DS58" s="135"/>
      <c r="DT58" s="135"/>
      <c r="DU58" s="135"/>
      <c r="DV58" s="135"/>
      <c r="DX58" s="135"/>
      <c r="DY58" s="135"/>
      <c r="DZ58" s="135"/>
      <c r="EA58" s="135"/>
      <c r="EB58" s="135"/>
      <c r="EC58" s="135"/>
      <c r="ED58" s="135"/>
      <c r="EE58" s="135"/>
      <c r="EF58" s="135"/>
      <c r="EG58" s="135"/>
      <c r="EH58" s="135"/>
      <c r="EI58" s="135"/>
      <c r="EJ58" s="135"/>
      <c r="EK58" s="135"/>
      <c r="EL58" s="135"/>
      <c r="EM58" s="135"/>
      <c r="EN58" s="135"/>
      <c r="EO58" s="135"/>
      <c r="EP58" s="135"/>
      <c r="EQ58" s="135"/>
      <c r="ER58" s="135"/>
      <c r="ES58" s="135"/>
      <c r="ET58" s="135"/>
      <c r="EU58" s="135"/>
      <c r="EV58" s="135"/>
      <c r="EW58" s="135"/>
      <c r="EX58" s="135"/>
      <c r="EY58" s="135"/>
      <c r="EZ58" s="135"/>
      <c r="FA58" s="135"/>
      <c r="FB58" s="135"/>
      <c r="FC58" s="135"/>
      <c r="FD58" s="135"/>
      <c r="FE58" s="135"/>
      <c r="FF58" s="135"/>
      <c r="FG58" s="135"/>
    </row>
    <row r="59" spans="1:163" s="57" customFormat="1" ht="11.25" outlineLevel="1">
      <c r="A59" s="765">
        <f t="shared" si="77"/>
        <v>2</v>
      </c>
      <c r="B59" s="715" t="str" cm="1">
        <f t="array" aca="1" ref="B59" ca="1">INDIRECT("'Definition of Typical Day'!"&amp;ADDRESS(B$16,$E59))</f>
        <v>Spring / fall weekday</v>
      </c>
      <c r="C59" s="766">
        <f t="shared" si="78"/>
        <v>15</v>
      </c>
      <c r="D59" s="715">
        <f t="shared" si="78"/>
        <v>49</v>
      </c>
      <c r="E59" s="715">
        <f t="shared" si="5"/>
        <v>6</v>
      </c>
      <c r="F59" s="767" cm="1">
        <f t="array" aca="1" ref="F59" ca="1">INDIRECT("'Definition of Typical Day'!D"&amp;D59)</f>
        <v>15</v>
      </c>
      <c r="G59" s="767" cm="1">
        <f t="array" aca="1" ref="G59" ca="1">INDIRECT("'Definition of Typical Day'!"&amp;ADDRESS(13,E59))</f>
        <v>2</v>
      </c>
      <c r="H59" s="768" cm="1">
        <f t="array" aca="1" ref="H59" ca="1">INDIRECT("'Definition of Typical Day'!"&amp; ADDRESS($D59+28*(H$16-1),$E59))</f>
        <v>2</v>
      </c>
      <c r="I59" s="715" cm="1">
        <f t="array" aca="1" ref="I59" ca="1">INDIRECT("'Definition of Typical Day'!"&amp; ADDRESS($D59+29*(I$16-1),$E59))</f>
        <v>40</v>
      </c>
      <c r="J59" s="715">
        <f t="shared" ca="1" si="32"/>
        <v>37</v>
      </c>
      <c r="K59" s="785">
        <f t="shared" si="33"/>
        <v>28</v>
      </c>
      <c r="L59" s="786" cm="1">
        <f t="array" aca="1" ref="L59" ca="1">INDIRECT("'Definition of Typical Day'!"&amp; ADDRESS($D59+29*(L$16-1),$E59))</f>
        <v>6</v>
      </c>
      <c r="M59" s="768" cm="1">
        <f t="array" aca="1" ref="M59" ca="1">INDIRECT("'Definition of Typical Day'!"&amp; ADDRESS($D59+29*(M$16-1),$E59))</f>
        <v>76.666666666666629</v>
      </c>
      <c r="N59" s="715">
        <f t="shared" si="34"/>
        <v>3</v>
      </c>
      <c r="O59" s="715">
        <f t="shared" ca="1" si="35"/>
        <v>79.666666666666629</v>
      </c>
      <c r="P59" s="715" cm="1">
        <f t="array" aca="1" ref="P59" ca="1">INDIRECT("'Definition of Typical Day'!"&amp; ADDRESS($D59+29*(P$16-1),$E59))</f>
        <v>45</v>
      </c>
      <c r="Q59" s="787">
        <f t="shared" ca="1" si="36"/>
        <v>48</v>
      </c>
      <c r="R59" s="792">
        <f t="shared" ca="1" si="37"/>
        <v>79.666666666666629</v>
      </c>
      <c r="S59" s="769">
        <f t="shared" si="38"/>
        <v>3</v>
      </c>
      <c r="T59" s="769">
        <f t="shared" ca="1" si="39"/>
        <v>0.24</v>
      </c>
      <c r="U59" s="769">
        <f t="shared" ca="1" si="40"/>
        <v>0.26866666666666766</v>
      </c>
      <c r="V59" s="769">
        <f t="shared" ca="1" si="41"/>
        <v>0</v>
      </c>
      <c r="W59" s="769">
        <f t="shared" ca="1" si="42"/>
        <v>3.5086666666666679</v>
      </c>
      <c r="X59" s="794">
        <f t="shared" si="43"/>
        <v>3</v>
      </c>
      <c r="Y59" s="769">
        <f t="shared" ca="1" si="44"/>
        <v>3</v>
      </c>
      <c r="Z59" s="769">
        <f t="shared" ca="1" si="45"/>
        <v>2.7972362476747272</v>
      </c>
      <c r="AA59" s="795">
        <f t="shared" ca="1" si="46"/>
        <v>2.7972362476747272</v>
      </c>
      <c r="AB59" s="769">
        <f t="shared" ca="1" si="47"/>
        <v>0</v>
      </c>
      <c r="AC59" s="769">
        <f t="shared" ca="1" si="48"/>
        <v>0</v>
      </c>
      <c r="AD59" s="769">
        <f t="shared" ca="1" si="49"/>
        <v>0</v>
      </c>
      <c r="AE59" s="794">
        <f t="shared" ca="1" si="50"/>
        <v>2.7972362476747272</v>
      </c>
      <c r="AF59" s="769">
        <f t="shared" ca="1" si="51"/>
        <v>2.7972362476747271E-2</v>
      </c>
      <c r="AG59" s="769">
        <f t="shared" ca="1" si="52"/>
        <v>2.7692638851979798</v>
      </c>
      <c r="AH59" s="799">
        <f t="shared" ca="1" si="53"/>
        <v>2.7692638851979798</v>
      </c>
      <c r="AI59" s="801">
        <f t="shared" ca="1" si="54"/>
        <v>1</v>
      </c>
      <c r="AJ59" s="794">
        <f t="shared" ca="1" si="55"/>
        <v>2</v>
      </c>
      <c r="AK59" s="769">
        <f t="shared" ca="1" si="56"/>
        <v>0.79723624767472723</v>
      </c>
      <c r="AL59" s="769">
        <f t="shared" ca="1" si="57"/>
        <v>0</v>
      </c>
      <c r="AM59" s="804">
        <f t="shared" ca="1" si="6"/>
        <v>0.22666666666666666</v>
      </c>
      <c r="AN59" s="795">
        <f t="shared" ca="1" si="7"/>
        <v>0</v>
      </c>
      <c r="AO59" s="251"/>
      <c r="AP59" s="770">
        <f t="shared" si="58"/>
        <v>0</v>
      </c>
      <c r="AQ59" s="771">
        <f t="shared" ca="1" si="59"/>
        <v>0</v>
      </c>
      <c r="AR59" s="771">
        <f t="shared" ca="1" si="60"/>
        <v>4</v>
      </c>
      <c r="AS59" s="772">
        <f t="shared" ca="1" si="61"/>
        <v>4</v>
      </c>
      <c r="AT59" s="231"/>
      <c r="AU59" s="770">
        <f>'Main Results - IRR DC Operator'!$F$16</f>
        <v>2</v>
      </c>
      <c r="AV59" s="773">
        <f>'Main Results - IRR DC Operator'!$F$15</f>
        <v>1</v>
      </c>
      <c r="AW59" s="771">
        <f t="shared" ca="1" si="62"/>
        <v>4</v>
      </c>
      <c r="AX59" s="772">
        <f t="shared" si="63"/>
        <v>0</v>
      </c>
      <c r="AY59" s="231"/>
      <c r="AZ59" s="770" cm="1">
        <f t="array" aca="1" ref="AZ59" ca="1">INDIRECT("'Definition of Typical Day'!"&amp; ADDRESS($D59+29*(AZ$16-1),$E59))+$AZ$17</f>
        <v>81.64</v>
      </c>
      <c r="BA59" s="771" cm="1">
        <f t="array" aca="1" ref="BA59" ca="1">INDIRECT("'Definition of Typical Day'!"&amp; ADDRESS($D59+29*(BA$16-1),$E59))+$BA$17</f>
        <v>81.64</v>
      </c>
      <c r="BB59" s="772" cm="1">
        <f t="array" aca="1" ref="BB59" ca="1">INDIRECT("'Definition of Typical Day'!"&amp;ADDRESS(BB$16,$E59))</f>
        <v>71</v>
      </c>
      <c r="BC59" s="776" cm="1">
        <f t="array" aca="1" ref="BC59" ca="1">INDIRECT("'Definition of Typical Day'!"&amp; ADDRESS($D59+29*(BC$16-1),$E59))</f>
        <v>80.64</v>
      </c>
      <c r="BD59" s="777" cm="1">
        <f t="array" aca="1" ref="BD59" ca="1">INDIRECT("'Definition of Typical Day'!"&amp; ADDRESS($D59+29*(BD$16-1),$E59))</f>
        <v>0.85</v>
      </c>
      <c r="BE59" s="776">
        <f t="shared" si="64"/>
        <v>0</v>
      </c>
      <c r="BF59" s="771">
        <f t="shared" ca="1" si="75"/>
        <v>65.086367260164735</v>
      </c>
      <c r="BG59" s="771">
        <f t="shared" ca="1" si="65"/>
        <v>3.9720754716981124</v>
      </c>
      <c r="BH59" s="771">
        <f t="shared" ca="1" si="66"/>
        <v>0</v>
      </c>
      <c r="BI59" s="776">
        <f t="shared" ca="1" si="67"/>
        <v>18.278399999999998</v>
      </c>
      <c r="BJ59" s="776">
        <f t="shared" ca="1" si="68"/>
        <v>0</v>
      </c>
      <c r="BK59" s="776">
        <f t="shared" ca="1" si="69"/>
        <v>0</v>
      </c>
      <c r="BL59" s="776">
        <f t="shared" ca="1" si="70"/>
        <v>0</v>
      </c>
      <c r="BM59" s="135"/>
      <c r="BN59" s="776">
        <f t="shared" ca="1" si="71"/>
        <v>73.058442731862854</v>
      </c>
      <c r="BO59" s="778">
        <f t="shared" ca="1" si="8"/>
        <v>26.381899941846736</v>
      </c>
      <c r="BP59" s="770">
        <f t="shared" ca="1" si="9"/>
        <v>69.058442731862854</v>
      </c>
      <c r="BQ59" s="771">
        <f t="shared" ca="1" si="10"/>
        <v>0</v>
      </c>
      <c r="BR59" s="771">
        <f t="shared" ca="1" si="11"/>
        <v>0</v>
      </c>
      <c r="BS59" s="776">
        <f t="shared" ca="1" si="72"/>
        <v>73.058442731862854</v>
      </c>
      <c r="BT59" s="776">
        <f t="shared" ca="1" si="12"/>
        <v>69.058442731862854</v>
      </c>
      <c r="BU59" s="783">
        <f t="shared" ca="1" si="13"/>
        <v>24.937472770647762</v>
      </c>
      <c r="BV59" s="783">
        <f t="shared" ca="1" si="14"/>
        <v>24.937472770647762</v>
      </c>
      <c r="BW59" s="1019">
        <f t="shared" ca="1" si="73"/>
        <v>24.937472770647762</v>
      </c>
      <c r="BX59" s="771" cm="1">
        <f t="array" aca="1" ref="BX59" ca="1">INDIRECT("'Definition of Typical Day'!"&amp; ADDRESS($D59+29*(BX$16-1),$E59))</f>
        <v>60</v>
      </c>
      <c r="BY59" s="771">
        <f t="shared" ca="1" si="74"/>
        <v>1</v>
      </c>
      <c r="BZ59" s="781">
        <f t="shared" ca="1" si="15"/>
        <v>1</v>
      </c>
      <c r="CA59" s="781">
        <f t="shared" ca="1" si="16"/>
        <v>0.93241208255824237</v>
      </c>
      <c r="CB59" s="776">
        <f t="shared" ca="1" si="17"/>
        <v>166.15583311187879</v>
      </c>
      <c r="CC59" s="782">
        <f t="shared" si="18"/>
        <v>2</v>
      </c>
      <c r="CD59" s="782">
        <f t="shared" si="19"/>
        <v>15</v>
      </c>
      <c r="CE59" s="784" t="str" cm="1">
        <f t="array" aca="1" ref="CE59" ca="1">INDIRECT("'Definition of Typical Day'!"&amp;ADDRESS(CE$16,$E59))</f>
        <v>Spring / fall weekday</v>
      </c>
      <c r="CF59" s="135"/>
      <c r="CG59" s="135"/>
      <c r="CH59" s="776">
        <f t="shared" ca="1" si="20"/>
        <v>2</v>
      </c>
      <c r="CI59" s="806">
        <f t="shared" ca="1" si="21"/>
        <v>6</v>
      </c>
      <c r="CJ59" s="770">
        <f t="shared" ca="1" si="22"/>
        <v>2.7692638851979798</v>
      </c>
      <c r="CK59" s="771">
        <f t="shared" ca="1" si="23"/>
        <v>2</v>
      </c>
      <c r="CL59" s="771">
        <f t="shared" ca="1" si="24"/>
        <v>0.79723624767472723</v>
      </c>
      <c r="CM59" s="772">
        <f t="shared" ca="1" si="25"/>
        <v>0</v>
      </c>
      <c r="CN59" s="135"/>
      <c r="CO59" s="770">
        <f t="shared" ca="1" si="76"/>
        <v>1.05</v>
      </c>
      <c r="CP59" s="771">
        <f t="shared" ca="1" si="27"/>
        <v>0.98</v>
      </c>
      <c r="CQ59" s="771">
        <f t="shared" ca="1" si="28"/>
        <v>0.96</v>
      </c>
      <c r="CR59" s="771">
        <f t="shared" ca="1" si="29"/>
        <v>0.95</v>
      </c>
      <c r="CS59" s="771">
        <f t="shared" ca="1" si="30"/>
        <v>1.02</v>
      </c>
      <c r="CT59" s="772">
        <f t="shared" ca="1" si="31"/>
        <v>0.02</v>
      </c>
      <c r="CU59" s="135"/>
      <c r="CV59" s="135"/>
      <c r="CW59" s="135"/>
      <c r="CX59" s="135"/>
      <c r="CY59" s="135"/>
      <c r="CZ59" s="135"/>
      <c r="DA59" s="135"/>
      <c r="DB59" s="135"/>
      <c r="DC59" s="135"/>
      <c r="DD59" s="135"/>
      <c r="DE59" s="135"/>
      <c r="DF59" s="135"/>
      <c r="DG59" s="135"/>
      <c r="DH59" s="135"/>
      <c r="DI59" s="135"/>
      <c r="DJ59" s="135"/>
      <c r="DK59" s="135"/>
      <c r="DL59" s="135"/>
      <c r="DM59" s="135"/>
      <c r="DN59" s="135"/>
      <c r="DO59" s="135"/>
      <c r="DP59" s="135"/>
      <c r="DQ59" s="135"/>
      <c r="DR59" s="135"/>
      <c r="DS59" s="135"/>
      <c r="DT59" s="135"/>
      <c r="DU59" s="135"/>
      <c r="DV59" s="135"/>
      <c r="DX59" s="135"/>
      <c r="DY59" s="135"/>
      <c r="DZ59" s="135"/>
      <c r="EA59" s="135"/>
      <c r="EB59" s="135"/>
      <c r="EC59" s="135"/>
      <c r="ED59" s="135"/>
      <c r="EE59" s="135"/>
      <c r="EF59" s="135"/>
      <c r="EG59" s="135"/>
      <c r="EH59" s="135"/>
      <c r="EI59" s="135"/>
      <c r="EJ59" s="135"/>
      <c r="EK59" s="135"/>
      <c r="EL59" s="135"/>
      <c r="EM59" s="135"/>
      <c r="EN59" s="135"/>
      <c r="EO59" s="135"/>
      <c r="EP59" s="135"/>
      <c r="EQ59" s="135"/>
      <c r="ER59" s="135"/>
      <c r="ES59" s="135"/>
      <c r="ET59" s="135"/>
      <c r="EU59" s="135"/>
      <c r="EV59" s="135"/>
      <c r="EW59" s="135"/>
      <c r="EX59" s="135"/>
      <c r="EY59" s="135"/>
      <c r="EZ59" s="135"/>
      <c r="FA59" s="135"/>
      <c r="FB59" s="135"/>
      <c r="FC59" s="135"/>
      <c r="FD59" s="135"/>
      <c r="FE59" s="135"/>
      <c r="FF59" s="135"/>
      <c r="FG59" s="135"/>
    </row>
    <row r="60" spans="1:163" s="57" customFormat="1" ht="11.25" outlineLevel="1">
      <c r="A60" s="765">
        <f t="shared" si="77"/>
        <v>2</v>
      </c>
      <c r="B60" s="715" t="str" cm="1">
        <f t="array" aca="1" ref="B60" ca="1">INDIRECT("'Definition of Typical Day'!"&amp;ADDRESS(B$16,$E60))</f>
        <v>Spring / fall weekday</v>
      </c>
      <c r="C60" s="766">
        <f t="shared" si="78"/>
        <v>16</v>
      </c>
      <c r="D60" s="715">
        <f t="shared" si="78"/>
        <v>50</v>
      </c>
      <c r="E60" s="715">
        <f t="shared" si="5"/>
        <v>6</v>
      </c>
      <c r="F60" s="767" cm="1">
        <f t="array" aca="1" ref="F60" ca="1">INDIRECT("'Definition of Typical Day'!D"&amp;D60)</f>
        <v>16</v>
      </c>
      <c r="G60" s="767" cm="1">
        <f t="array" aca="1" ref="G60" ca="1">INDIRECT("'Definition of Typical Day'!"&amp;ADDRESS(13,E60))</f>
        <v>2</v>
      </c>
      <c r="H60" s="768" cm="1">
        <f t="array" aca="1" ref="H60" ca="1">INDIRECT("'Definition of Typical Day'!"&amp; ADDRESS($D60+28*(H$16-1),$E60))</f>
        <v>2</v>
      </c>
      <c r="I60" s="715" cm="1">
        <f t="array" aca="1" ref="I60" ca="1">INDIRECT("'Definition of Typical Day'!"&amp; ADDRESS($D60+29*(I$16-1),$E60))</f>
        <v>40</v>
      </c>
      <c r="J60" s="715">
        <f t="shared" ca="1" si="32"/>
        <v>37</v>
      </c>
      <c r="K60" s="785">
        <f t="shared" si="33"/>
        <v>28</v>
      </c>
      <c r="L60" s="786" cm="1">
        <f t="array" aca="1" ref="L60" ca="1">INDIRECT("'Definition of Typical Day'!"&amp; ADDRESS($D60+29*(L$16-1),$E60))</f>
        <v>6</v>
      </c>
      <c r="M60" s="768" cm="1">
        <f t="array" aca="1" ref="M60" ca="1">INDIRECT("'Definition of Typical Day'!"&amp; ADDRESS($D60+29*(M$16-1),$E60))</f>
        <v>75</v>
      </c>
      <c r="N60" s="715">
        <f t="shared" si="34"/>
        <v>3</v>
      </c>
      <c r="O60" s="715">
        <f t="shared" ca="1" si="35"/>
        <v>78</v>
      </c>
      <c r="P60" s="715" cm="1">
        <f t="array" aca="1" ref="P60" ca="1">INDIRECT("'Definition of Typical Day'!"&amp; ADDRESS($D60+29*(P$16-1),$E60))</f>
        <v>45</v>
      </c>
      <c r="Q60" s="787">
        <f t="shared" ca="1" si="36"/>
        <v>48</v>
      </c>
      <c r="R60" s="792">
        <f t="shared" ca="1" si="37"/>
        <v>78</v>
      </c>
      <c r="S60" s="769">
        <f t="shared" si="38"/>
        <v>3</v>
      </c>
      <c r="T60" s="769">
        <f t="shared" ca="1" si="39"/>
        <v>0.24</v>
      </c>
      <c r="U60" s="769">
        <f t="shared" ca="1" si="40"/>
        <v>0.312</v>
      </c>
      <c r="V60" s="769">
        <f t="shared" ca="1" si="41"/>
        <v>0</v>
      </c>
      <c r="W60" s="769">
        <f t="shared" ca="1" si="42"/>
        <v>3.552</v>
      </c>
      <c r="X60" s="794">
        <f t="shared" si="43"/>
        <v>3</v>
      </c>
      <c r="Y60" s="769">
        <f t="shared" ca="1" si="44"/>
        <v>3</v>
      </c>
      <c r="Z60" s="769">
        <f t="shared" ca="1" si="45"/>
        <v>2.7836990595611284</v>
      </c>
      <c r="AA60" s="795">
        <f t="shared" ca="1" si="46"/>
        <v>2.7836990595611284</v>
      </c>
      <c r="AB60" s="769">
        <f t="shared" ca="1" si="47"/>
        <v>0</v>
      </c>
      <c r="AC60" s="769">
        <f t="shared" ca="1" si="48"/>
        <v>0</v>
      </c>
      <c r="AD60" s="769">
        <f t="shared" ca="1" si="49"/>
        <v>0</v>
      </c>
      <c r="AE60" s="794">
        <f t="shared" ca="1" si="50"/>
        <v>2.7836990595611284</v>
      </c>
      <c r="AF60" s="769">
        <f t="shared" ca="1" si="51"/>
        <v>2.7836990595611285E-2</v>
      </c>
      <c r="AG60" s="769">
        <f t="shared" ca="1" si="52"/>
        <v>2.7558620689655173</v>
      </c>
      <c r="AH60" s="799">
        <f t="shared" ca="1" si="53"/>
        <v>2.7558620689655173</v>
      </c>
      <c r="AI60" s="801">
        <f t="shared" ca="1" si="54"/>
        <v>1</v>
      </c>
      <c r="AJ60" s="794">
        <f t="shared" ca="1" si="55"/>
        <v>2</v>
      </c>
      <c r="AK60" s="769">
        <f t="shared" ca="1" si="56"/>
        <v>0.78369905956112851</v>
      </c>
      <c r="AL60" s="769">
        <f t="shared" ca="1" si="57"/>
        <v>0</v>
      </c>
      <c r="AM60" s="804">
        <f t="shared" ca="1" si="6"/>
        <v>0.22666666666666666</v>
      </c>
      <c r="AN60" s="795">
        <f t="shared" ca="1" si="7"/>
        <v>0</v>
      </c>
      <c r="AO60" s="251"/>
      <c r="AP60" s="770">
        <f t="shared" si="58"/>
        <v>0</v>
      </c>
      <c r="AQ60" s="771">
        <f t="shared" ca="1" si="59"/>
        <v>0</v>
      </c>
      <c r="AR60" s="771">
        <f t="shared" ca="1" si="60"/>
        <v>4</v>
      </c>
      <c r="AS60" s="772">
        <f t="shared" ca="1" si="61"/>
        <v>4</v>
      </c>
      <c r="AT60" s="231"/>
      <c r="AU60" s="770">
        <f>'Main Results - IRR DC Operator'!$F$16</f>
        <v>2</v>
      </c>
      <c r="AV60" s="773">
        <f>'Main Results - IRR DC Operator'!$F$15</f>
        <v>1</v>
      </c>
      <c r="AW60" s="771">
        <f t="shared" ca="1" si="62"/>
        <v>4</v>
      </c>
      <c r="AX60" s="772">
        <f t="shared" si="63"/>
        <v>0</v>
      </c>
      <c r="AY60" s="231"/>
      <c r="AZ60" s="770" cm="1">
        <f t="array" aca="1" ref="AZ60" ca="1">INDIRECT("'Definition of Typical Day'!"&amp; ADDRESS($D60+29*(AZ$16-1),$E60))+$AZ$17</f>
        <v>83.26</v>
      </c>
      <c r="BA60" s="771" cm="1">
        <f t="array" aca="1" ref="BA60" ca="1">INDIRECT("'Definition of Typical Day'!"&amp; ADDRESS($D60+29*(BA$16-1),$E60))+$BA$17</f>
        <v>83.26</v>
      </c>
      <c r="BB60" s="772" cm="1">
        <f t="array" aca="1" ref="BB60" ca="1">INDIRECT("'Definition of Typical Day'!"&amp;ADDRESS(BB$16,$E60))</f>
        <v>71</v>
      </c>
      <c r="BC60" s="776" cm="1">
        <f t="array" aca="1" ref="BC60" ca="1">INDIRECT("'Definition of Typical Day'!"&amp; ADDRESS($D60+29*(BC$16-1),$E60))</f>
        <v>82.26</v>
      </c>
      <c r="BD60" s="777" cm="1">
        <f t="array" aca="1" ref="BD60" ca="1">INDIRECT("'Definition of Typical Day'!"&amp; ADDRESS($D60+29*(BD$16-1),$E60))</f>
        <v>0.85</v>
      </c>
      <c r="BE60" s="776">
        <f t="shared" si="64"/>
        <v>0</v>
      </c>
      <c r="BF60" s="771">
        <f t="shared" ca="1" si="75"/>
        <v>65.250783699059568</v>
      </c>
      <c r="BG60" s="771">
        <f t="shared" ca="1" si="65"/>
        <v>3.9528526645768025</v>
      </c>
      <c r="BH60" s="771">
        <f t="shared" ca="1" si="66"/>
        <v>0</v>
      </c>
      <c r="BI60" s="776">
        <f t="shared" ca="1" si="67"/>
        <v>18.645600000000002</v>
      </c>
      <c r="BJ60" s="776">
        <f t="shared" ca="1" si="68"/>
        <v>0</v>
      </c>
      <c r="BK60" s="776">
        <f t="shared" ca="1" si="69"/>
        <v>0</v>
      </c>
      <c r="BL60" s="776">
        <f t="shared" ca="1" si="70"/>
        <v>0</v>
      </c>
      <c r="BM60" s="135"/>
      <c r="BN60" s="776">
        <f t="shared" ca="1" si="71"/>
        <v>73.203636363636377</v>
      </c>
      <c r="BO60" s="778">
        <f t="shared" ca="1" si="8"/>
        <v>26.562881062881068</v>
      </c>
      <c r="BP60" s="770">
        <f t="shared" ca="1" si="9"/>
        <v>69.203636363636377</v>
      </c>
      <c r="BQ60" s="771">
        <f t="shared" ca="1" si="10"/>
        <v>0</v>
      </c>
      <c r="BR60" s="771">
        <f t="shared" ca="1" si="11"/>
        <v>0</v>
      </c>
      <c r="BS60" s="776">
        <f t="shared" ca="1" si="72"/>
        <v>73.203636363636377</v>
      </c>
      <c r="BT60" s="776">
        <f t="shared" ca="1" si="12"/>
        <v>69.203636363636377</v>
      </c>
      <c r="BU60" s="783">
        <f t="shared" ca="1" si="13"/>
        <v>25.111429611429614</v>
      </c>
      <c r="BV60" s="783">
        <f t="shared" ca="1" si="14"/>
        <v>25.111429611429614</v>
      </c>
      <c r="BW60" s="1019">
        <f t="shared" ca="1" si="73"/>
        <v>25.111429611429614</v>
      </c>
      <c r="BX60" s="771" cm="1">
        <f t="array" aca="1" ref="BX60" ca="1">INDIRECT("'Definition of Typical Day'!"&amp; ADDRESS($D60+29*(BX$16-1),$E60))</f>
        <v>60</v>
      </c>
      <c r="BY60" s="771">
        <f t="shared" ca="1" si="74"/>
        <v>1</v>
      </c>
      <c r="BZ60" s="781">
        <f t="shared" ca="1" si="15"/>
        <v>1</v>
      </c>
      <c r="CA60" s="781">
        <f t="shared" ca="1" si="16"/>
        <v>0.92789968652037613</v>
      </c>
      <c r="CB60" s="776">
        <f t="shared" ca="1" si="17"/>
        <v>165.35172413793103</v>
      </c>
      <c r="CC60" s="782">
        <f t="shared" si="18"/>
        <v>2</v>
      </c>
      <c r="CD60" s="782">
        <f t="shared" si="19"/>
        <v>16</v>
      </c>
      <c r="CE60" s="784" t="str" cm="1">
        <f t="array" aca="1" ref="CE60" ca="1">INDIRECT("'Definition of Typical Day'!"&amp;ADDRESS(CE$16,$E60))</f>
        <v>Spring / fall weekday</v>
      </c>
      <c r="CF60" s="135"/>
      <c r="CG60" s="135"/>
      <c r="CH60" s="776">
        <f t="shared" ca="1" si="20"/>
        <v>2</v>
      </c>
      <c r="CI60" s="806">
        <f t="shared" ca="1" si="21"/>
        <v>6</v>
      </c>
      <c r="CJ60" s="770">
        <f t="shared" ca="1" si="22"/>
        <v>2.7558620689655173</v>
      </c>
      <c r="CK60" s="771">
        <f t="shared" ca="1" si="23"/>
        <v>2</v>
      </c>
      <c r="CL60" s="771">
        <f t="shared" ca="1" si="24"/>
        <v>0.78369905956112851</v>
      </c>
      <c r="CM60" s="772">
        <f t="shared" ca="1" si="25"/>
        <v>0</v>
      </c>
      <c r="CN60" s="135"/>
      <c r="CO60" s="770">
        <f t="shared" ca="1" si="76"/>
        <v>1.05</v>
      </c>
      <c r="CP60" s="771">
        <f t="shared" ca="1" si="27"/>
        <v>0.98</v>
      </c>
      <c r="CQ60" s="771">
        <f t="shared" ca="1" si="28"/>
        <v>0.96</v>
      </c>
      <c r="CR60" s="771">
        <f t="shared" ca="1" si="29"/>
        <v>0.95</v>
      </c>
      <c r="CS60" s="771">
        <f t="shared" ca="1" si="30"/>
        <v>1.02</v>
      </c>
      <c r="CT60" s="772">
        <f t="shared" ca="1" si="31"/>
        <v>0.02</v>
      </c>
      <c r="CU60" s="135"/>
      <c r="CV60" s="135"/>
      <c r="CW60" s="135"/>
      <c r="CX60" s="135"/>
      <c r="CY60" s="135"/>
      <c r="CZ60" s="135"/>
      <c r="DA60" s="135"/>
      <c r="DB60" s="135"/>
      <c r="DC60" s="135"/>
      <c r="DD60" s="135"/>
      <c r="DE60" s="135"/>
      <c r="DF60" s="135"/>
      <c r="DG60" s="135"/>
      <c r="DH60" s="135"/>
      <c r="DI60" s="135"/>
      <c r="DJ60" s="135"/>
      <c r="DK60" s="135"/>
      <c r="DL60" s="135"/>
      <c r="DM60" s="135"/>
      <c r="DN60" s="135"/>
      <c r="DO60" s="135"/>
      <c r="DP60" s="135"/>
      <c r="DQ60" s="135"/>
      <c r="DR60" s="135"/>
      <c r="DS60" s="135"/>
      <c r="DT60" s="135"/>
      <c r="DU60" s="135"/>
      <c r="DV60" s="135"/>
      <c r="DX60" s="135"/>
      <c r="DY60" s="135"/>
      <c r="DZ60" s="135"/>
      <c r="EA60" s="135"/>
      <c r="EB60" s="135"/>
      <c r="EC60" s="135"/>
      <c r="ED60" s="135"/>
      <c r="EE60" s="135"/>
      <c r="EF60" s="135"/>
      <c r="EG60" s="135"/>
      <c r="EH60" s="135"/>
      <c r="EI60" s="135"/>
      <c r="EJ60" s="135"/>
      <c r="EK60" s="135"/>
      <c r="EL60" s="135"/>
      <c r="EM60" s="135"/>
      <c r="EN60" s="135"/>
      <c r="EO60" s="135"/>
      <c r="EP60" s="135"/>
      <c r="EQ60" s="135"/>
      <c r="ER60" s="135"/>
      <c r="ES60" s="135"/>
      <c r="ET60" s="135"/>
      <c r="EU60" s="135"/>
      <c r="EV60" s="135"/>
      <c r="EW60" s="135"/>
      <c r="EX60" s="135"/>
      <c r="EY60" s="135"/>
      <c r="EZ60" s="135"/>
      <c r="FA60" s="135"/>
      <c r="FB60" s="135"/>
      <c r="FC60" s="135"/>
      <c r="FD60" s="135"/>
      <c r="FE60" s="135"/>
      <c r="FF60" s="135"/>
      <c r="FG60" s="135"/>
    </row>
    <row r="61" spans="1:163" s="57" customFormat="1" ht="11.25" outlineLevel="1">
      <c r="A61" s="765">
        <f t="shared" si="77"/>
        <v>2</v>
      </c>
      <c r="B61" s="715" t="str" cm="1">
        <f t="array" aca="1" ref="B61" ca="1">INDIRECT("'Definition of Typical Day'!"&amp;ADDRESS(B$16,$E61))</f>
        <v>Spring / fall weekday</v>
      </c>
      <c r="C61" s="766">
        <f t="shared" si="78"/>
        <v>17</v>
      </c>
      <c r="D61" s="715">
        <f t="shared" si="78"/>
        <v>51</v>
      </c>
      <c r="E61" s="715">
        <f t="shared" si="5"/>
        <v>6</v>
      </c>
      <c r="F61" s="767" cm="1">
        <f t="array" aca="1" ref="F61" ca="1">INDIRECT("'Definition of Typical Day'!D"&amp;D61)</f>
        <v>17</v>
      </c>
      <c r="G61" s="767" cm="1">
        <f t="array" aca="1" ref="G61" ca="1">INDIRECT("'Definition of Typical Day'!"&amp;ADDRESS(13,E61))</f>
        <v>2</v>
      </c>
      <c r="H61" s="768" cm="1">
        <f t="array" aca="1" ref="H61" ca="1">INDIRECT("'Definition of Typical Day'!"&amp; ADDRESS($D61+28*(H$16-1),$E61))</f>
        <v>2</v>
      </c>
      <c r="I61" s="715" cm="1">
        <f t="array" aca="1" ref="I61" ca="1">INDIRECT("'Definition of Typical Day'!"&amp; ADDRESS($D61+29*(I$16-1),$E61))</f>
        <v>40</v>
      </c>
      <c r="J61" s="715">
        <f t="shared" ca="1" si="32"/>
        <v>37</v>
      </c>
      <c r="K61" s="785">
        <f t="shared" si="33"/>
        <v>28</v>
      </c>
      <c r="L61" s="786" cm="1">
        <f t="array" aca="1" ref="L61" ca="1">INDIRECT("'Definition of Typical Day'!"&amp; ADDRESS($D61+29*(L$16-1),$E61))</f>
        <v>6</v>
      </c>
      <c r="M61" s="768" cm="1">
        <f t="array" aca="1" ref="M61" ca="1">INDIRECT("'Definition of Typical Day'!"&amp; ADDRESS($D61+29*(M$16-1),$E61))</f>
        <v>76.666666666666629</v>
      </c>
      <c r="N61" s="715">
        <f t="shared" si="34"/>
        <v>3</v>
      </c>
      <c r="O61" s="715">
        <f t="shared" ca="1" si="35"/>
        <v>79.666666666666629</v>
      </c>
      <c r="P61" s="715" cm="1">
        <f t="array" aca="1" ref="P61" ca="1">INDIRECT("'Definition of Typical Day'!"&amp; ADDRESS($D61+29*(P$16-1),$E61))</f>
        <v>45</v>
      </c>
      <c r="Q61" s="787">
        <f t="shared" ca="1" si="36"/>
        <v>48</v>
      </c>
      <c r="R61" s="792">
        <f t="shared" ca="1" si="37"/>
        <v>79.666666666666629</v>
      </c>
      <c r="S61" s="769">
        <f t="shared" si="38"/>
        <v>3</v>
      </c>
      <c r="T61" s="769">
        <f t="shared" ca="1" si="39"/>
        <v>0.24</v>
      </c>
      <c r="U61" s="769">
        <f t="shared" ca="1" si="40"/>
        <v>0.26866666666666766</v>
      </c>
      <c r="V61" s="769">
        <f t="shared" ca="1" si="41"/>
        <v>0</v>
      </c>
      <c r="W61" s="769">
        <f t="shared" ca="1" si="42"/>
        <v>3.5086666666666679</v>
      </c>
      <c r="X61" s="794">
        <f t="shared" si="43"/>
        <v>3</v>
      </c>
      <c r="Y61" s="769">
        <f t="shared" ca="1" si="44"/>
        <v>3</v>
      </c>
      <c r="Z61" s="769">
        <f t="shared" ca="1" si="45"/>
        <v>2.7972362476747272</v>
      </c>
      <c r="AA61" s="795">
        <f t="shared" ca="1" si="46"/>
        <v>2.7972362476747272</v>
      </c>
      <c r="AB61" s="769">
        <f t="shared" ca="1" si="47"/>
        <v>0</v>
      </c>
      <c r="AC61" s="769">
        <f t="shared" ca="1" si="48"/>
        <v>0</v>
      </c>
      <c r="AD61" s="769">
        <f t="shared" ca="1" si="49"/>
        <v>0</v>
      </c>
      <c r="AE61" s="794">
        <f t="shared" ca="1" si="50"/>
        <v>2.7972362476747272</v>
      </c>
      <c r="AF61" s="769">
        <f t="shared" ca="1" si="51"/>
        <v>2.7972362476747271E-2</v>
      </c>
      <c r="AG61" s="769">
        <f t="shared" ca="1" si="52"/>
        <v>2.7692638851979798</v>
      </c>
      <c r="AH61" s="799">
        <f t="shared" ca="1" si="53"/>
        <v>2.7692638851979798</v>
      </c>
      <c r="AI61" s="801">
        <f t="shared" ca="1" si="54"/>
        <v>1</v>
      </c>
      <c r="AJ61" s="794">
        <f t="shared" ca="1" si="55"/>
        <v>2</v>
      </c>
      <c r="AK61" s="769">
        <f t="shared" ca="1" si="56"/>
        <v>0.79723624767472723</v>
      </c>
      <c r="AL61" s="769">
        <f t="shared" ca="1" si="57"/>
        <v>0</v>
      </c>
      <c r="AM61" s="804">
        <f t="shared" ca="1" si="6"/>
        <v>0.22666666666666666</v>
      </c>
      <c r="AN61" s="795">
        <f t="shared" ca="1" si="7"/>
        <v>0</v>
      </c>
      <c r="AO61" s="251"/>
      <c r="AP61" s="770">
        <f t="shared" si="58"/>
        <v>0</v>
      </c>
      <c r="AQ61" s="771">
        <f t="shared" ca="1" si="59"/>
        <v>0</v>
      </c>
      <c r="AR61" s="771">
        <f t="shared" ca="1" si="60"/>
        <v>4</v>
      </c>
      <c r="AS61" s="772">
        <f t="shared" ca="1" si="61"/>
        <v>4</v>
      </c>
      <c r="AT61" s="231"/>
      <c r="AU61" s="770">
        <f>'Main Results - IRR DC Operator'!$F$16</f>
        <v>2</v>
      </c>
      <c r="AV61" s="773">
        <f>'Main Results - IRR DC Operator'!$F$15</f>
        <v>1</v>
      </c>
      <c r="AW61" s="771">
        <f t="shared" ca="1" si="62"/>
        <v>4</v>
      </c>
      <c r="AX61" s="772">
        <f t="shared" si="63"/>
        <v>0</v>
      </c>
      <c r="AY61" s="231"/>
      <c r="AZ61" s="770" cm="1">
        <f t="array" aca="1" ref="AZ61" ca="1">INDIRECT("'Definition of Typical Day'!"&amp; ADDRESS($D61+29*(AZ$16-1),$E61))+$AZ$17</f>
        <v>92.06</v>
      </c>
      <c r="BA61" s="771" cm="1">
        <f t="array" aca="1" ref="BA61" ca="1">INDIRECT("'Definition of Typical Day'!"&amp; ADDRESS($D61+29*(BA$16-1),$E61))+$BA$17</f>
        <v>92.06</v>
      </c>
      <c r="BB61" s="772" cm="1">
        <f t="array" aca="1" ref="BB61" ca="1">INDIRECT("'Definition of Typical Day'!"&amp;ADDRESS(BB$16,$E61))</f>
        <v>71</v>
      </c>
      <c r="BC61" s="776" cm="1">
        <f t="array" aca="1" ref="BC61" ca="1">INDIRECT("'Definition of Typical Day'!"&amp; ADDRESS($D61+29*(BC$16-1),$E61))</f>
        <v>91.06</v>
      </c>
      <c r="BD61" s="777" cm="1">
        <f t="array" aca="1" ref="BD61" ca="1">INDIRECT("'Definition of Typical Day'!"&amp; ADDRESS($D61+29*(BD$16-1),$E61))</f>
        <v>0.85</v>
      </c>
      <c r="BE61" s="776">
        <f t="shared" si="64"/>
        <v>0</v>
      </c>
      <c r="BF61" s="771">
        <f t="shared" ca="1" si="75"/>
        <v>73.393568960935397</v>
      </c>
      <c r="BG61" s="771">
        <f t="shared" ca="1" si="65"/>
        <v>3.9720754716981124</v>
      </c>
      <c r="BH61" s="771">
        <f t="shared" ca="1" si="66"/>
        <v>0</v>
      </c>
      <c r="BI61" s="776">
        <f t="shared" ca="1" si="67"/>
        <v>20.640266666666665</v>
      </c>
      <c r="BJ61" s="776">
        <f t="shared" ca="1" si="68"/>
        <v>0</v>
      </c>
      <c r="BK61" s="776">
        <f t="shared" ca="1" si="69"/>
        <v>0</v>
      </c>
      <c r="BL61" s="776">
        <f t="shared" ca="1" si="70"/>
        <v>0</v>
      </c>
      <c r="BM61" s="135"/>
      <c r="BN61" s="776">
        <f ca="1">SUM(AW61:AX61,BF61:BH61)-BL61</f>
        <v>81.365644432633516</v>
      </c>
      <c r="BO61" s="778">
        <f t="shared" ca="1" si="8"/>
        <v>29.381686905152606</v>
      </c>
      <c r="BP61" s="770">
        <f t="shared" ca="1" si="9"/>
        <v>77.365644432633516</v>
      </c>
      <c r="BQ61" s="771">
        <f t="shared" ca="1" si="10"/>
        <v>0</v>
      </c>
      <c r="BR61" s="771">
        <f t="shared" ca="1" si="11"/>
        <v>0</v>
      </c>
      <c r="BS61" s="776">
        <f t="shared" ca="1" si="72"/>
        <v>81.365644432633516</v>
      </c>
      <c r="BT61" s="776">
        <f t="shared" ca="1" si="12"/>
        <v>77.365644432633516</v>
      </c>
      <c r="BU61" s="783">
        <f t="shared" ca="1" si="13"/>
        <v>27.937259733953631</v>
      </c>
      <c r="BV61" s="783">
        <f t="shared" ca="1" si="14"/>
        <v>27.937259733953631</v>
      </c>
      <c r="BW61" s="1019">
        <f t="shared" ca="1" si="73"/>
        <v>27.937259733953631</v>
      </c>
      <c r="BX61" s="771" cm="1">
        <f t="array" aca="1" ref="BX61" ca="1">INDIRECT("'Definition of Typical Day'!"&amp; ADDRESS($D61+29*(BX$16-1),$E61))</f>
        <v>60</v>
      </c>
      <c r="BY61" s="771">
        <f t="shared" ca="1" si="74"/>
        <v>1</v>
      </c>
      <c r="BZ61" s="781">
        <f t="shared" ca="1" si="15"/>
        <v>1</v>
      </c>
      <c r="CA61" s="781">
        <f t="shared" ca="1" si="16"/>
        <v>0.93241208255824237</v>
      </c>
      <c r="CB61" s="776">
        <f t="shared" ca="1" si="17"/>
        <v>166.15583311187879</v>
      </c>
      <c r="CC61" s="782">
        <f t="shared" si="18"/>
        <v>2</v>
      </c>
      <c r="CD61" s="782">
        <f t="shared" si="19"/>
        <v>17</v>
      </c>
      <c r="CE61" s="784" t="str" cm="1">
        <f t="array" aca="1" ref="CE61" ca="1">INDIRECT("'Definition of Typical Day'!"&amp;ADDRESS(CE$16,$E61))</f>
        <v>Spring / fall weekday</v>
      </c>
      <c r="CF61" s="135"/>
      <c r="CG61" s="135"/>
      <c r="CH61" s="776">
        <f t="shared" ca="1" si="20"/>
        <v>2</v>
      </c>
      <c r="CI61" s="806">
        <f t="shared" ca="1" si="21"/>
        <v>6</v>
      </c>
      <c r="CJ61" s="770">
        <f t="shared" ca="1" si="22"/>
        <v>2.7692638851979798</v>
      </c>
      <c r="CK61" s="771">
        <f t="shared" ca="1" si="23"/>
        <v>2</v>
      </c>
      <c r="CL61" s="771">
        <f t="shared" ca="1" si="24"/>
        <v>0.79723624767472723</v>
      </c>
      <c r="CM61" s="772">
        <f t="shared" ca="1" si="25"/>
        <v>0</v>
      </c>
      <c r="CN61" s="135"/>
      <c r="CO61" s="770">
        <f t="shared" ca="1" si="76"/>
        <v>1.05</v>
      </c>
      <c r="CP61" s="771">
        <f t="shared" ca="1" si="27"/>
        <v>0.98</v>
      </c>
      <c r="CQ61" s="771">
        <f t="shared" ca="1" si="28"/>
        <v>0.96</v>
      </c>
      <c r="CR61" s="771">
        <f t="shared" ca="1" si="29"/>
        <v>0.95</v>
      </c>
      <c r="CS61" s="771">
        <f t="shared" ca="1" si="30"/>
        <v>1.02</v>
      </c>
      <c r="CT61" s="772">
        <f t="shared" ca="1" si="31"/>
        <v>0.02</v>
      </c>
      <c r="CU61" s="135"/>
      <c r="CV61" s="135"/>
      <c r="CW61" s="135"/>
      <c r="CX61" s="135"/>
      <c r="CY61" s="135"/>
      <c r="CZ61" s="135"/>
      <c r="DA61" s="135"/>
      <c r="DB61" s="135"/>
      <c r="DC61" s="135"/>
      <c r="DD61" s="135"/>
      <c r="DE61" s="135"/>
      <c r="DF61" s="135"/>
      <c r="DG61" s="135"/>
      <c r="DH61" s="135"/>
      <c r="DI61" s="135"/>
      <c r="DJ61" s="135"/>
      <c r="DK61" s="135"/>
      <c r="DL61" s="135"/>
      <c r="DM61" s="135"/>
      <c r="DN61" s="135"/>
      <c r="DO61" s="135"/>
      <c r="DP61" s="135"/>
      <c r="DQ61" s="135"/>
      <c r="DR61" s="135"/>
      <c r="DS61" s="135"/>
      <c r="DT61" s="135"/>
      <c r="DU61" s="135"/>
      <c r="DV61" s="135"/>
      <c r="DX61" s="135"/>
      <c r="DY61" s="135"/>
      <c r="DZ61" s="135"/>
      <c r="EA61" s="135"/>
      <c r="EB61" s="135"/>
      <c r="EC61" s="135"/>
      <c r="ED61" s="135"/>
      <c r="EE61" s="135"/>
      <c r="EF61" s="135"/>
      <c r="EG61" s="135"/>
      <c r="EH61" s="135"/>
      <c r="EI61" s="135"/>
      <c r="EJ61" s="135"/>
      <c r="EK61" s="135"/>
      <c r="EL61" s="135"/>
      <c r="EM61" s="135"/>
      <c r="EN61" s="135"/>
      <c r="EO61" s="135"/>
      <c r="EP61" s="135"/>
      <c r="EQ61" s="135"/>
      <c r="ER61" s="135"/>
      <c r="ES61" s="135"/>
      <c r="ET61" s="135"/>
      <c r="EU61" s="135"/>
      <c r="EV61" s="135"/>
      <c r="EW61" s="135"/>
      <c r="EX61" s="135"/>
      <c r="EY61" s="135"/>
      <c r="EZ61" s="135"/>
      <c r="FA61" s="135"/>
      <c r="FB61" s="135"/>
      <c r="FC61" s="135"/>
      <c r="FD61" s="135"/>
      <c r="FE61" s="135"/>
      <c r="FF61" s="135"/>
      <c r="FG61" s="135"/>
    </row>
    <row r="62" spans="1:163" s="57" customFormat="1" ht="11.25" outlineLevel="1">
      <c r="A62" s="765">
        <f t="shared" si="77"/>
        <v>2</v>
      </c>
      <c r="B62" s="715" t="str" cm="1">
        <f t="array" aca="1" ref="B62" ca="1">INDIRECT("'Definition of Typical Day'!"&amp;ADDRESS(B$16,$E62))</f>
        <v>Spring / fall weekday</v>
      </c>
      <c r="C62" s="766">
        <f t="shared" si="78"/>
        <v>18</v>
      </c>
      <c r="D62" s="715">
        <f t="shared" si="78"/>
        <v>52</v>
      </c>
      <c r="E62" s="715">
        <f t="shared" si="5"/>
        <v>6</v>
      </c>
      <c r="F62" s="767" cm="1">
        <f t="array" aca="1" ref="F62" ca="1">INDIRECT("'Definition of Typical Day'!D"&amp;D62)</f>
        <v>18</v>
      </c>
      <c r="G62" s="767" cm="1">
        <f t="array" aca="1" ref="G62" ca="1">INDIRECT("'Definition of Typical Day'!"&amp;ADDRESS(13,E62))</f>
        <v>2</v>
      </c>
      <c r="H62" s="768" cm="1">
        <f t="array" aca="1" ref="H62" ca="1">INDIRECT("'Definition of Typical Day'!"&amp; ADDRESS($D62+28*(H$16-1),$E62))</f>
        <v>2</v>
      </c>
      <c r="I62" s="715" cm="1">
        <f t="array" aca="1" ref="I62" ca="1">INDIRECT("'Definition of Typical Day'!"&amp; ADDRESS($D62+29*(I$16-1),$E62))</f>
        <v>40</v>
      </c>
      <c r="J62" s="715">
        <f t="shared" ca="1" si="32"/>
        <v>37</v>
      </c>
      <c r="K62" s="785">
        <f t="shared" si="33"/>
        <v>28</v>
      </c>
      <c r="L62" s="786" cm="1">
        <f t="array" aca="1" ref="L62" ca="1">INDIRECT("'Definition of Typical Day'!"&amp; ADDRESS($D62+29*(L$16-1),$E62))</f>
        <v>6</v>
      </c>
      <c r="M62" s="768" cm="1">
        <f t="array" aca="1" ref="M62" ca="1">INDIRECT("'Definition of Typical Day'!"&amp; ADDRESS($D62+29*(M$16-1),$E62))</f>
        <v>78.3333333333333</v>
      </c>
      <c r="N62" s="715">
        <f t="shared" si="34"/>
        <v>3</v>
      </c>
      <c r="O62" s="715">
        <f t="shared" ca="1" si="35"/>
        <v>81.3333333333333</v>
      </c>
      <c r="P62" s="715" cm="1">
        <f t="array" aca="1" ref="P62" ca="1">INDIRECT("'Definition of Typical Day'!"&amp; ADDRESS($D62+29*(P$16-1),$E62))</f>
        <v>45</v>
      </c>
      <c r="Q62" s="787">
        <f t="shared" ca="1" si="36"/>
        <v>48</v>
      </c>
      <c r="R62" s="792">
        <f t="shared" ca="1" si="37"/>
        <v>81.3333333333333</v>
      </c>
      <c r="S62" s="769">
        <f t="shared" si="38"/>
        <v>3</v>
      </c>
      <c r="T62" s="769">
        <f t="shared" ca="1" si="39"/>
        <v>0.24</v>
      </c>
      <c r="U62" s="769">
        <f t="shared" ca="1" si="40"/>
        <v>0.22533333333333419</v>
      </c>
      <c r="V62" s="769">
        <f t="shared" ca="1" si="41"/>
        <v>0</v>
      </c>
      <c r="W62" s="769">
        <f t="shared" ca="1" si="42"/>
        <v>3.4653333333333345</v>
      </c>
      <c r="X62" s="794">
        <f t="shared" si="43"/>
        <v>3</v>
      </c>
      <c r="Y62" s="769">
        <f t="shared" ca="1" si="44"/>
        <v>3</v>
      </c>
      <c r="Z62" s="769">
        <f t="shared" ca="1" si="45"/>
        <v>2.8112493239588963</v>
      </c>
      <c r="AA62" s="795">
        <f t="shared" ca="1" si="46"/>
        <v>2.8112493239588963</v>
      </c>
      <c r="AB62" s="769">
        <f t="shared" ca="1" si="47"/>
        <v>0</v>
      </c>
      <c r="AC62" s="769">
        <f t="shared" ca="1" si="48"/>
        <v>0</v>
      </c>
      <c r="AD62" s="769">
        <f t="shared" ca="1" si="49"/>
        <v>0</v>
      </c>
      <c r="AE62" s="794">
        <f t="shared" ca="1" si="50"/>
        <v>2.8112493239588963</v>
      </c>
      <c r="AF62" s="769">
        <f t="shared" ca="1" si="51"/>
        <v>2.8112493239588962E-2</v>
      </c>
      <c r="AG62" s="769">
        <f t="shared" ca="1" si="52"/>
        <v>2.7831368307193074</v>
      </c>
      <c r="AH62" s="799">
        <f t="shared" ca="1" si="53"/>
        <v>2.7831368307193074</v>
      </c>
      <c r="AI62" s="801">
        <f t="shared" ca="1" si="54"/>
        <v>1</v>
      </c>
      <c r="AJ62" s="794">
        <f t="shared" ca="1" si="55"/>
        <v>2</v>
      </c>
      <c r="AK62" s="769">
        <f t="shared" ca="1" si="56"/>
        <v>0.81124932395889626</v>
      </c>
      <c r="AL62" s="769">
        <f t="shared" ca="1" si="57"/>
        <v>0</v>
      </c>
      <c r="AM62" s="804">
        <f t="shared" ca="1" si="6"/>
        <v>0.2</v>
      </c>
      <c r="AN62" s="795">
        <f t="shared" ca="1" si="7"/>
        <v>0</v>
      </c>
      <c r="AO62" s="251"/>
      <c r="AP62" s="770">
        <f t="shared" si="58"/>
        <v>0</v>
      </c>
      <c r="AQ62" s="771">
        <f t="shared" ca="1" si="59"/>
        <v>0</v>
      </c>
      <c r="AR62" s="771">
        <f t="shared" ca="1" si="60"/>
        <v>4</v>
      </c>
      <c r="AS62" s="772">
        <f t="shared" ca="1" si="61"/>
        <v>4</v>
      </c>
      <c r="AT62" s="231"/>
      <c r="AU62" s="770">
        <f>'Main Results - IRR DC Operator'!$F$16</f>
        <v>2</v>
      </c>
      <c r="AV62" s="773">
        <f>'Main Results - IRR DC Operator'!$F$15</f>
        <v>1</v>
      </c>
      <c r="AW62" s="771">
        <f t="shared" ca="1" si="62"/>
        <v>4</v>
      </c>
      <c r="AX62" s="772">
        <f t="shared" si="63"/>
        <v>0</v>
      </c>
      <c r="AY62" s="231"/>
      <c r="AZ62" s="770" cm="1">
        <f t="array" aca="1" ref="AZ62" ca="1">INDIRECT("'Definition of Typical Day'!"&amp; ADDRESS($D62+29*(AZ$16-1),$E62))+$AZ$17</f>
        <v>111</v>
      </c>
      <c r="BA62" s="771" cm="1">
        <f t="array" aca="1" ref="BA62" ca="1">INDIRECT("'Definition of Typical Day'!"&amp; ADDRESS($D62+29*(BA$16-1),$E62))+$BA$17</f>
        <v>111</v>
      </c>
      <c r="BB62" s="772" cm="1">
        <f t="array" aca="1" ref="BB62" ca="1">INDIRECT("'Definition of Typical Day'!"&amp;ADDRESS(BB$16,$E62))</f>
        <v>71</v>
      </c>
      <c r="BC62" s="776" cm="1">
        <f t="array" aca="1" ref="BC62" ca="1">INDIRECT("'Definition of Typical Day'!"&amp; ADDRESS($D62+29*(BC$16-1),$E62))</f>
        <v>110</v>
      </c>
      <c r="BD62" s="777" cm="1">
        <f t="array" aca="1" ref="BD62" ca="1">INDIRECT("'Definition of Typical Day'!"&amp; ADDRESS($D62+29*(BD$16-1),$E62))</f>
        <v>0.75</v>
      </c>
      <c r="BE62" s="776">
        <f t="shared" si="64"/>
        <v>0</v>
      </c>
      <c r="BF62" s="771">
        <f t="shared" ca="1" si="75"/>
        <v>90.048674959437491</v>
      </c>
      <c r="BG62" s="771">
        <f t="shared" ca="1" si="65"/>
        <v>3.9919740400216326</v>
      </c>
      <c r="BH62" s="771">
        <f t="shared" ca="1" si="66"/>
        <v>0</v>
      </c>
      <c r="BI62" s="776">
        <f t="shared" ca="1" si="67"/>
        <v>22</v>
      </c>
      <c r="BJ62" s="776">
        <f t="shared" ca="1" si="68"/>
        <v>0</v>
      </c>
      <c r="BK62" s="776">
        <f t="shared" ca="1" si="69"/>
        <v>0</v>
      </c>
      <c r="BL62" s="776">
        <f t="shared" ca="1" si="70"/>
        <v>0</v>
      </c>
      <c r="BM62" s="135"/>
      <c r="BN62" s="776">
        <f t="shared" ca="1" si="71"/>
        <v>98.040648999459123</v>
      </c>
      <c r="BO62" s="778">
        <f t="shared" ca="1" si="8"/>
        <v>35.226672263224771</v>
      </c>
      <c r="BP62" s="770">
        <f t="shared" ca="1" si="9"/>
        <v>94.040648999459123</v>
      </c>
      <c r="BQ62" s="771">
        <f t="shared" ca="1" si="10"/>
        <v>0</v>
      </c>
      <c r="BR62" s="771">
        <f t="shared" ca="1" si="11"/>
        <v>0</v>
      </c>
      <c r="BS62" s="776">
        <f t="shared" ca="1" si="72"/>
        <v>98.040648999459123</v>
      </c>
      <c r="BT62" s="776">
        <f t="shared" ca="1" si="12"/>
        <v>94.040648999459123</v>
      </c>
      <c r="BU62" s="783">
        <f t="shared" ca="1" si="13"/>
        <v>33.789445046851732</v>
      </c>
      <c r="BV62" s="783">
        <f t="shared" ca="1" si="14"/>
        <v>33.789445046851732</v>
      </c>
      <c r="BW62" s="1019">
        <f t="shared" ca="1" si="73"/>
        <v>33.789445046851732</v>
      </c>
      <c r="BX62" s="771" cm="1">
        <f t="array" aca="1" ref="BX62" ca="1">INDIRECT("'Definition of Typical Day'!"&amp; ADDRESS($D62+29*(BX$16-1),$E62))</f>
        <v>60</v>
      </c>
      <c r="BY62" s="771">
        <f t="shared" ca="1" si="74"/>
        <v>1</v>
      </c>
      <c r="BZ62" s="781">
        <f t="shared" ca="1" si="15"/>
        <v>1</v>
      </c>
      <c r="CA62" s="781">
        <f t="shared" ca="1" si="16"/>
        <v>0.93708310798629879</v>
      </c>
      <c r="CB62" s="776">
        <f t="shared" ca="1" si="17"/>
        <v>166.98820984315844</v>
      </c>
      <c r="CC62" s="782">
        <f t="shared" si="18"/>
        <v>2</v>
      </c>
      <c r="CD62" s="782">
        <f t="shared" si="19"/>
        <v>18</v>
      </c>
      <c r="CE62" s="784" t="str" cm="1">
        <f t="array" aca="1" ref="CE62" ca="1">INDIRECT("'Definition of Typical Day'!"&amp;ADDRESS(CE$16,$E62))</f>
        <v>Spring / fall weekday</v>
      </c>
      <c r="CF62" s="135"/>
      <c r="CG62" s="135"/>
      <c r="CH62" s="776">
        <f t="shared" ca="1" si="20"/>
        <v>2</v>
      </c>
      <c r="CI62" s="806">
        <f t="shared" ca="1" si="21"/>
        <v>6</v>
      </c>
      <c r="CJ62" s="770">
        <f t="shared" ca="1" si="22"/>
        <v>2.7831368307193074</v>
      </c>
      <c r="CK62" s="771">
        <f t="shared" ca="1" si="23"/>
        <v>2</v>
      </c>
      <c r="CL62" s="771">
        <f t="shared" ca="1" si="24"/>
        <v>0.81124932395889626</v>
      </c>
      <c r="CM62" s="772">
        <f t="shared" ca="1" si="25"/>
        <v>0</v>
      </c>
      <c r="CN62" s="135"/>
      <c r="CO62" s="770">
        <f t="shared" ca="1" si="76"/>
        <v>1.05</v>
      </c>
      <c r="CP62" s="771">
        <f t="shared" ca="1" si="27"/>
        <v>0.98</v>
      </c>
      <c r="CQ62" s="771">
        <f t="shared" ca="1" si="28"/>
        <v>0.96</v>
      </c>
      <c r="CR62" s="771">
        <f t="shared" ca="1" si="29"/>
        <v>0.95</v>
      </c>
      <c r="CS62" s="771">
        <f t="shared" ca="1" si="30"/>
        <v>1.02</v>
      </c>
      <c r="CT62" s="772">
        <f t="shared" ca="1" si="31"/>
        <v>0.02</v>
      </c>
      <c r="CU62" s="135"/>
      <c r="CV62" s="135"/>
      <c r="CW62" s="135"/>
      <c r="CX62" s="135"/>
      <c r="CY62" s="135"/>
      <c r="CZ62" s="135"/>
      <c r="DA62" s="135"/>
      <c r="DB62" s="135"/>
      <c r="DC62" s="135"/>
      <c r="DD62" s="135"/>
      <c r="DE62" s="135"/>
      <c r="DF62" s="135"/>
      <c r="DG62" s="135"/>
      <c r="DH62" s="135"/>
      <c r="DI62" s="135"/>
      <c r="DJ62" s="135"/>
      <c r="DK62" s="135"/>
      <c r="DL62" s="135"/>
      <c r="DM62" s="135"/>
      <c r="DN62" s="135"/>
      <c r="DO62" s="135"/>
      <c r="DP62" s="135"/>
      <c r="DQ62" s="135"/>
      <c r="DR62" s="135"/>
      <c r="DS62" s="135"/>
      <c r="DT62" s="135"/>
      <c r="DU62" s="135"/>
      <c r="DV62" s="135"/>
      <c r="DX62" s="135"/>
      <c r="DY62" s="135"/>
      <c r="DZ62" s="135"/>
      <c r="EA62" s="135"/>
      <c r="EB62" s="135"/>
      <c r="EC62" s="135"/>
      <c r="ED62" s="135"/>
      <c r="EE62" s="135"/>
      <c r="EF62" s="135"/>
      <c r="EG62" s="135"/>
      <c r="EH62" s="135"/>
      <c r="EI62" s="135"/>
      <c r="EJ62" s="135"/>
      <c r="EK62" s="135"/>
      <c r="EL62" s="135"/>
      <c r="EM62" s="135"/>
      <c r="EN62" s="135"/>
      <c r="EO62" s="135"/>
      <c r="EP62" s="135"/>
      <c r="EQ62" s="135"/>
      <c r="ER62" s="135"/>
      <c r="ES62" s="135"/>
      <c r="ET62" s="135"/>
      <c r="EU62" s="135"/>
      <c r="EV62" s="135"/>
      <c r="EW62" s="135"/>
      <c r="EX62" s="135"/>
      <c r="EY62" s="135"/>
      <c r="EZ62" s="135"/>
      <c r="FA62" s="135"/>
      <c r="FB62" s="135"/>
      <c r="FC62" s="135"/>
      <c r="FD62" s="135"/>
      <c r="FE62" s="135"/>
      <c r="FF62" s="135"/>
      <c r="FG62" s="135"/>
    </row>
    <row r="63" spans="1:163" s="57" customFormat="1" ht="11.25" outlineLevel="1">
      <c r="A63" s="765">
        <f t="shared" si="77"/>
        <v>2</v>
      </c>
      <c r="B63" s="715" t="str" cm="1">
        <f t="array" aca="1" ref="B63" ca="1">INDIRECT("'Definition of Typical Day'!"&amp;ADDRESS(B$16,$E63))</f>
        <v>Spring / fall weekday</v>
      </c>
      <c r="C63" s="766">
        <f t="shared" si="78"/>
        <v>19</v>
      </c>
      <c r="D63" s="715">
        <f t="shared" si="78"/>
        <v>53</v>
      </c>
      <c r="E63" s="715">
        <f t="shared" si="5"/>
        <v>6</v>
      </c>
      <c r="F63" s="767" cm="1">
        <f t="array" aca="1" ref="F63" ca="1">INDIRECT("'Definition of Typical Day'!D"&amp;D63)</f>
        <v>19</v>
      </c>
      <c r="G63" s="767" cm="1">
        <f t="array" aca="1" ref="G63" ca="1">INDIRECT("'Definition of Typical Day'!"&amp;ADDRESS(13,E63))</f>
        <v>2</v>
      </c>
      <c r="H63" s="768" cm="1">
        <f t="array" aca="1" ref="H63" ca="1">INDIRECT("'Definition of Typical Day'!"&amp; ADDRESS($D63+28*(H$16-1),$E63))</f>
        <v>2</v>
      </c>
      <c r="I63" s="715" cm="1">
        <f t="array" aca="1" ref="I63" ca="1">INDIRECT("'Definition of Typical Day'!"&amp; ADDRESS($D63+29*(I$16-1),$E63))</f>
        <v>40</v>
      </c>
      <c r="J63" s="715">
        <f t="shared" ca="1" si="32"/>
        <v>37</v>
      </c>
      <c r="K63" s="785">
        <f t="shared" si="33"/>
        <v>28</v>
      </c>
      <c r="L63" s="786" cm="1">
        <f t="array" aca="1" ref="L63" ca="1">INDIRECT("'Definition of Typical Day'!"&amp; ADDRESS($D63+29*(L$16-1),$E63))</f>
        <v>6</v>
      </c>
      <c r="M63" s="768" cm="1">
        <f t="array" aca="1" ref="M63" ca="1">INDIRECT("'Definition of Typical Day'!"&amp; ADDRESS($D63+29*(M$16-1),$E63))</f>
        <v>80</v>
      </c>
      <c r="N63" s="715">
        <f t="shared" si="34"/>
        <v>3</v>
      </c>
      <c r="O63" s="715">
        <f t="shared" ca="1" si="35"/>
        <v>83</v>
      </c>
      <c r="P63" s="715" cm="1">
        <f t="array" aca="1" ref="P63" ca="1">INDIRECT("'Definition of Typical Day'!"&amp; ADDRESS($D63+29*(P$16-1),$E63))</f>
        <v>45</v>
      </c>
      <c r="Q63" s="787">
        <f t="shared" ca="1" si="36"/>
        <v>48</v>
      </c>
      <c r="R63" s="792">
        <f t="shared" ca="1" si="37"/>
        <v>83</v>
      </c>
      <c r="S63" s="769">
        <f t="shared" si="38"/>
        <v>3</v>
      </c>
      <c r="T63" s="769">
        <f t="shared" ca="1" si="39"/>
        <v>0.24</v>
      </c>
      <c r="U63" s="769">
        <f t="shared" ca="1" si="40"/>
        <v>0.182</v>
      </c>
      <c r="V63" s="769">
        <f t="shared" ca="1" si="41"/>
        <v>0</v>
      </c>
      <c r="W63" s="769">
        <f t="shared" ca="1" si="42"/>
        <v>3.4220000000000002</v>
      </c>
      <c r="X63" s="794">
        <f t="shared" si="43"/>
        <v>3</v>
      </c>
      <c r="Y63" s="769">
        <f t="shared" ca="1" si="44"/>
        <v>3</v>
      </c>
      <c r="Z63" s="769">
        <f t="shared" ca="1" si="45"/>
        <v>2.8257638315441782</v>
      </c>
      <c r="AA63" s="795">
        <f t="shared" ca="1" si="46"/>
        <v>2.8257638315441782</v>
      </c>
      <c r="AB63" s="769">
        <f t="shared" ca="1" si="47"/>
        <v>0</v>
      </c>
      <c r="AC63" s="769">
        <f t="shared" ca="1" si="48"/>
        <v>0</v>
      </c>
      <c r="AD63" s="769">
        <f t="shared" ca="1" si="49"/>
        <v>0</v>
      </c>
      <c r="AE63" s="794">
        <f t="shared" ca="1" si="50"/>
        <v>2.8257638315441782</v>
      </c>
      <c r="AF63" s="769">
        <f t="shared" ca="1" si="51"/>
        <v>2.8257638315441782E-2</v>
      </c>
      <c r="AG63" s="769">
        <f t="shared" ca="1" si="52"/>
        <v>2.7975061932287364</v>
      </c>
      <c r="AH63" s="799">
        <f t="shared" ca="1" si="53"/>
        <v>2.7975061932287364</v>
      </c>
      <c r="AI63" s="801">
        <f t="shared" ca="1" si="54"/>
        <v>1</v>
      </c>
      <c r="AJ63" s="794">
        <f t="shared" ca="1" si="55"/>
        <v>2</v>
      </c>
      <c r="AK63" s="769">
        <f t="shared" ca="1" si="56"/>
        <v>0.82576383154417832</v>
      </c>
      <c r="AL63" s="769">
        <f t="shared" ca="1" si="57"/>
        <v>0</v>
      </c>
      <c r="AM63" s="804">
        <f t="shared" ca="1" si="6"/>
        <v>0.2</v>
      </c>
      <c r="AN63" s="795">
        <f t="shared" ca="1" si="7"/>
        <v>0</v>
      </c>
      <c r="AO63" s="251"/>
      <c r="AP63" s="770">
        <f t="shared" si="58"/>
        <v>0</v>
      </c>
      <c r="AQ63" s="771">
        <f t="shared" ca="1" si="59"/>
        <v>0</v>
      </c>
      <c r="AR63" s="771">
        <f t="shared" ca="1" si="60"/>
        <v>4</v>
      </c>
      <c r="AS63" s="772">
        <f t="shared" ca="1" si="61"/>
        <v>4</v>
      </c>
      <c r="AT63" s="231"/>
      <c r="AU63" s="770">
        <f>'Main Results - IRR DC Operator'!$F$16</f>
        <v>2</v>
      </c>
      <c r="AV63" s="773">
        <f>'Main Results - IRR DC Operator'!$F$15</f>
        <v>1</v>
      </c>
      <c r="AW63" s="771">
        <f t="shared" ca="1" si="62"/>
        <v>4</v>
      </c>
      <c r="AX63" s="772">
        <f t="shared" si="63"/>
        <v>0</v>
      </c>
      <c r="AY63" s="231"/>
      <c r="AZ63" s="770" cm="1">
        <f t="array" aca="1" ref="AZ63" ca="1">INDIRECT("'Definition of Typical Day'!"&amp; ADDRESS($D63+29*(AZ$16-1),$E63))+$AZ$17</f>
        <v>130.57999999999998</v>
      </c>
      <c r="BA63" s="771" cm="1">
        <f t="array" aca="1" ref="BA63" ca="1">INDIRECT("'Definition of Typical Day'!"&amp; ADDRESS($D63+29*(BA$16-1),$E63))+$BA$17</f>
        <v>130.57999999999998</v>
      </c>
      <c r="BB63" s="772" cm="1">
        <f t="array" aca="1" ref="BB63" ca="1">INDIRECT("'Definition of Typical Day'!"&amp;ADDRESS(BB$16,$E63))</f>
        <v>71</v>
      </c>
      <c r="BC63" s="776" cm="1">
        <f t="array" aca="1" ref="BC63" ca="1">INDIRECT("'Definition of Typical Day'!"&amp; ADDRESS($D63+29*(BC$16-1),$E63))</f>
        <v>129.57999999999998</v>
      </c>
      <c r="BD63" s="777" cm="1">
        <f t="array" aca="1" ref="BD63" ca="1">INDIRECT("'Definition of Typical Day'!"&amp; ADDRESS($D63+29*(BD$16-1),$E63))</f>
        <v>0.75</v>
      </c>
      <c r="BE63" s="776">
        <f t="shared" si="64"/>
        <v>0</v>
      </c>
      <c r="BF63" s="771">
        <f t="shared" ca="1" si="75"/>
        <v>107.82824112303879</v>
      </c>
      <c r="BG63" s="771">
        <f t="shared" ca="1" si="65"/>
        <v>4.012584640792733</v>
      </c>
      <c r="BH63" s="771">
        <f t="shared" ca="1" si="66"/>
        <v>0</v>
      </c>
      <c r="BI63" s="776">
        <f t="shared" ca="1" si="67"/>
        <v>25.915999999999997</v>
      </c>
      <c r="BJ63" s="776">
        <f t="shared" ca="1" si="68"/>
        <v>0</v>
      </c>
      <c r="BK63" s="776">
        <f t="shared" ca="1" si="69"/>
        <v>0</v>
      </c>
      <c r="BL63" s="776">
        <f t="shared" ca="1" si="70"/>
        <v>0</v>
      </c>
      <c r="BM63" s="135"/>
      <c r="BN63" s="776">
        <f t="shared" ca="1" si="71"/>
        <v>115.84082576383153</v>
      </c>
      <c r="BO63" s="778">
        <f t="shared" ca="1" si="8"/>
        <v>41.40860386447762</v>
      </c>
      <c r="BP63" s="770">
        <f t="shared" ca="1" si="9"/>
        <v>111.84082576383153</v>
      </c>
      <c r="BQ63" s="771">
        <f t="shared" ca="1" si="10"/>
        <v>0</v>
      </c>
      <c r="BR63" s="771">
        <f t="shared" ca="1" si="11"/>
        <v>0</v>
      </c>
      <c r="BS63" s="776">
        <f t="shared" ca="1" si="72"/>
        <v>115.84082576383153</v>
      </c>
      <c r="BT63" s="776">
        <f t="shared" ca="1" si="12"/>
        <v>111.84082576383153</v>
      </c>
      <c r="BU63" s="783">
        <f t="shared" ca="1" si="13"/>
        <v>39.978758951289635</v>
      </c>
      <c r="BV63" s="783">
        <f t="shared" ca="1" si="14"/>
        <v>39.978758951289635</v>
      </c>
      <c r="BW63" s="1019">
        <f t="shared" ca="1" si="73"/>
        <v>39.978758951289635</v>
      </c>
      <c r="BX63" s="771" cm="1">
        <f t="array" aca="1" ref="BX63" ca="1">INDIRECT("'Definition of Typical Day'!"&amp; ADDRESS($D63+29*(BX$16-1),$E63))</f>
        <v>60</v>
      </c>
      <c r="BY63" s="771">
        <f t="shared" ca="1" si="74"/>
        <v>1</v>
      </c>
      <c r="BZ63" s="781">
        <f t="shared" ca="1" si="15"/>
        <v>1</v>
      </c>
      <c r="CA63" s="781">
        <f t="shared" ca="1" si="16"/>
        <v>0.94192127718139274</v>
      </c>
      <c r="CB63" s="776">
        <f t="shared" ca="1" si="17"/>
        <v>167.85037159372419</v>
      </c>
      <c r="CC63" s="782">
        <f t="shared" si="18"/>
        <v>2</v>
      </c>
      <c r="CD63" s="782">
        <f t="shared" si="19"/>
        <v>19</v>
      </c>
      <c r="CE63" s="784" t="str" cm="1">
        <f t="array" aca="1" ref="CE63" ca="1">INDIRECT("'Definition of Typical Day'!"&amp;ADDRESS(CE$16,$E63))</f>
        <v>Spring / fall weekday</v>
      </c>
      <c r="CF63" s="135"/>
      <c r="CG63" s="135"/>
      <c r="CH63" s="776">
        <f t="shared" ca="1" si="20"/>
        <v>2</v>
      </c>
      <c r="CI63" s="806">
        <f t="shared" ca="1" si="21"/>
        <v>6</v>
      </c>
      <c r="CJ63" s="770">
        <f t="shared" ca="1" si="22"/>
        <v>2.7975061932287364</v>
      </c>
      <c r="CK63" s="771">
        <f t="shared" ca="1" si="23"/>
        <v>2</v>
      </c>
      <c r="CL63" s="771">
        <f t="shared" ca="1" si="24"/>
        <v>0.82576383154417832</v>
      </c>
      <c r="CM63" s="772">
        <f t="shared" ca="1" si="25"/>
        <v>0</v>
      </c>
      <c r="CN63" s="135"/>
      <c r="CO63" s="770">
        <f t="shared" ca="1" si="76"/>
        <v>1.05</v>
      </c>
      <c r="CP63" s="771">
        <f t="shared" ca="1" si="27"/>
        <v>0.98</v>
      </c>
      <c r="CQ63" s="771">
        <f t="shared" ca="1" si="28"/>
        <v>0.96</v>
      </c>
      <c r="CR63" s="771">
        <f t="shared" ca="1" si="29"/>
        <v>0.95</v>
      </c>
      <c r="CS63" s="771">
        <f t="shared" ca="1" si="30"/>
        <v>1.02</v>
      </c>
      <c r="CT63" s="772">
        <f t="shared" ca="1" si="31"/>
        <v>0.02</v>
      </c>
      <c r="CU63" s="135"/>
      <c r="CV63" s="135"/>
      <c r="CW63" s="135"/>
      <c r="CX63" s="135"/>
      <c r="CY63" s="135"/>
      <c r="CZ63" s="135"/>
      <c r="DA63" s="135"/>
      <c r="DB63" s="135"/>
      <c r="DC63" s="135"/>
      <c r="DD63" s="135"/>
      <c r="DE63" s="135"/>
      <c r="DF63" s="135"/>
      <c r="DG63" s="135"/>
      <c r="DH63" s="135"/>
      <c r="DI63" s="135"/>
      <c r="DJ63" s="135"/>
      <c r="DK63" s="135"/>
      <c r="DL63" s="135"/>
      <c r="DM63" s="135"/>
      <c r="DN63" s="135"/>
      <c r="DO63" s="135"/>
      <c r="DP63" s="135"/>
      <c r="DQ63" s="135"/>
      <c r="DR63" s="135"/>
      <c r="DS63" s="135"/>
      <c r="DT63" s="135"/>
      <c r="DU63" s="135"/>
      <c r="DV63" s="135"/>
      <c r="DX63" s="135"/>
      <c r="DY63" s="135"/>
      <c r="DZ63" s="135"/>
      <c r="EA63" s="135"/>
      <c r="EB63" s="135"/>
      <c r="EC63" s="135"/>
      <c r="ED63" s="135"/>
      <c r="EE63" s="135"/>
      <c r="EF63" s="135"/>
      <c r="EG63" s="135"/>
      <c r="EH63" s="135"/>
      <c r="EI63" s="135"/>
      <c r="EJ63" s="135"/>
      <c r="EK63" s="135"/>
      <c r="EL63" s="135"/>
      <c r="EM63" s="135"/>
      <c r="EN63" s="135"/>
      <c r="EO63" s="135"/>
      <c r="EP63" s="135"/>
      <c r="EQ63" s="135"/>
      <c r="ER63" s="135"/>
      <c r="ES63" s="135"/>
      <c r="ET63" s="135"/>
      <c r="EU63" s="135"/>
      <c r="EV63" s="135"/>
      <c r="EW63" s="135"/>
      <c r="EX63" s="135"/>
      <c r="EY63" s="135"/>
      <c r="EZ63" s="135"/>
      <c r="FA63" s="135"/>
      <c r="FB63" s="135"/>
      <c r="FC63" s="135"/>
      <c r="FD63" s="135"/>
      <c r="FE63" s="135"/>
      <c r="FF63" s="135"/>
      <c r="FG63" s="135"/>
    </row>
    <row r="64" spans="1:163" s="57" customFormat="1" ht="11.25" outlineLevel="1">
      <c r="A64" s="765">
        <f t="shared" si="77"/>
        <v>2</v>
      </c>
      <c r="B64" s="715" t="str" cm="1">
        <f t="array" aca="1" ref="B64" ca="1">INDIRECT("'Definition of Typical Day'!"&amp;ADDRESS(B$16,$E64))</f>
        <v>Spring / fall weekday</v>
      </c>
      <c r="C64" s="766">
        <f t="shared" si="78"/>
        <v>20</v>
      </c>
      <c r="D64" s="715">
        <f t="shared" si="78"/>
        <v>54</v>
      </c>
      <c r="E64" s="715">
        <f t="shared" si="5"/>
        <v>6</v>
      </c>
      <c r="F64" s="767" cm="1">
        <f t="array" aca="1" ref="F64" ca="1">INDIRECT("'Definition of Typical Day'!D"&amp;D64)</f>
        <v>20</v>
      </c>
      <c r="G64" s="767" cm="1">
        <f t="array" aca="1" ref="G64" ca="1">INDIRECT("'Definition of Typical Day'!"&amp;ADDRESS(13,E64))</f>
        <v>2</v>
      </c>
      <c r="H64" s="768" cm="1">
        <f t="array" aca="1" ref="H64" ca="1">INDIRECT("'Definition of Typical Day'!"&amp; ADDRESS($D64+28*(H$16-1),$E64))</f>
        <v>2</v>
      </c>
      <c r="I64" s="715" cm="1">
        <f t="array" aca="1" ref="I64" ca="1">INDIRECT("'Definition of Typical Day'!"&amp; ADDRESS($D64+29*(I$16-1),$E64))</f>
        <v>40</v>
      </c>
      <c r="J64" s="715">
        <f t="shared" ca="1" si="32"/>
        <v>37</v>
      </c>
      <c r="K64" s="785">
        <f t="shared" si="33"/>
        <v>28</v>
      </c>
      <c r="L64" s="786" cm="1">
        <f t="array" aca="1" ref="L64" ca="1">INDIRECT("'Definition of Typical Day'!"&amp; ADDRESS($D64+29*(L$16-1),$E64))</f>
        <v>6</v>
      </c>
      <c r="M64" s="768" cm="1">
        <f t="array" aca="1" ref="M64" ca="1">INDIRECT("'Definition of Typical Day'!"&amp; ADDRESS($D64+29*(M$16-1),$E64))</f>
        <v>81.666666666666643</v>
      </c>
      <c r="N64" s="715">
        <f t="shared" si="34"/>
        <v>3</v>
      </c>
      <c r="O64" s="715">
        <f t="shared" ca="1" si="35"/>
        <v>84.666666666666643</v>
      </c>
      <c r="P64" s="715" cm="1">
        <f t="array" aca="1" ref="P64" ca="1">INDIRECT("'Definition of Typical Day'!"&amp; ADDRESS($D64+29*(P$16-1),$E64))</f>
        <v>45</v>
      </c>
      <c r="Q64" s="787">
        <f t="shared" ca="1" si="36"/>
        <v>48</v>
      </c>
      <c r="R64" s="792">
        <f t="shared" ca="1" si="37"/>
        <v>84.666666666666643</v>
      </c>
      <c r="S64" s="769">
        <f t="shared" si="38"/>
        <v>3</v>
      </c>
      <c r="T64" s="769">
        <f t="shared" ca="1" si="39"/>
        <v>0.24</v>
      </c>
      <c r="U64" s="769">
        <f t="shared" ca="1" si="40"/>
        <v>0.13866666666666727</v>
      </c>
      <c r="V64" s="769">
        <f t="shared" ca="1" si="41"/>
        <v>0</v>
      </c>
      <c r="W64" s="769">
        <f t="shared" ca="1" si="42"/>
        <v>3.3786666666666676</v>
      </c>
      <c r="X64" s="794">
        <f t="shared" si="43"/>
        <v>3</v>
      </c>
      <c r="Y64" s="769">
        <f t="shared" ca="1" si="44"/>
        <v>3</v>
      </c>
      <c r="Z64" s="769">
        <f t="shared" ca="1" si="45"/>
        <v>2.840807174887892</v>
      </c>
      <c r="AA64" s="795">
        <f t="shared" ca="1" si="46"/>
        <v>2.840807174887892</v>
      </c>
      <c r="AB64" s="769">
        <f t="shared" ca="1" si="47"/>
        <v>0</v>
      </c>
      <c r="AC64" s="769">
        <f t="shared" ca="1" si="48"/>
        <v>0</v>
      </c>
      <c r="AD64" s="769">
        <f t="shared" ca="1" si="49"/>
        <v>0</v>
      </c>
      <c r="AE64" s="794">
        <f t="shared" ca="1" si="50"/>
        <v>2.840807174887892</v>
      </c>
      <c r="AF64" s="769">
        <f t="shared" ca="1" si="51"/>
        <v>2.8408071748878921E-2</v>
      </c>
      <c r="AG64" s="769">
        <f t="shared" ca="1" si="52"/>
        <v>2.812399103139013</v>
      </c>
      <c r="AH64" s="799">
        <f t="shared" ca="1" si="53"/>
        <v>2.812399103139013</v>
      </c>
      <c r="AI64" s="801">
        <f t="shared" ca="1" si="54"/>
        <v>1</v>
      </c>
      <c r="AJ64" s="794">
        <f t="shared" ca="1" si="55"/>
        <v>2</v>
      </c>
      <c r="AK64" s="769">
        <f t="shared" ca="1" si="56"/>
        <v>0.84080717488789203</v>
      </c>
      <c r="AL64" s="769">
        <f t="shared" ca="1" si="57"/>
        <v>0</v>
      </c>
      <c r="AM64" s="804">
        <f t="shared" ca="1" si="6"/>
        <v>0.2</v>
      </c>
      <c r="AN64" s="795">
        <f t="shared" ca="1" si="7"/>
        <v>0</v>
      </c>
      <c r="AO64" s="251"/>
      <c r="AP64" s="770">
        <f t="shared" si="58"/>
        <v>0</v>
      </c>
      <c r="AQ64" s="771">
        <f t="shared" ca="1" si="59"/>
        <v>0</v>
      </c>
      <c r="AR64" s="771">
        <f t="shared" ca="1" si="60"/>
        <v>4</v>
      </c>
      <c r="AS64" s="772">
        <f t="shared" ca="1" si="61"/>
        <v>4</v>
      </c>
      <c r="AT64" s="231"/>
      <c r="AU64" s="770">
        <f>'Main Results - IRR DC Operator'!$F$16</f>
        <v>2</v>
      </c>
      <c r="AV64" s="773">
        <f>'Main Results - IRR DC Operator'!$F$15</f>
        <v>1</v>
      </c>
      <c r="AW64" s="771">
        <f t="shared" ca="1" si="62"/>
        <v>4</v>
      </c>
      <c r="AX64" s="772">
        <f t="shared" si="63"/>
        <v>0</v>
      </c>
      <c r="AY64" s="231"/>
      <c r="AZ64" s="770" cm="1">
        <f t="array" aca="1" ref="AZ64" ca="1">INDIRECT("'Definition of Typical Day'!"&amp; ADDRESS($D64+29*(AZ$16-1),$E64))+$AZ$17</f>
        <v>130.25</v>
      </c>
      <c r="BA64" s="771" cm="1">
        <f t="array" aca="1" ref="BA64" ca="1">INDIRECT("'Definition of Typical Day'!"&amp; ADDRESS($D64+29*(BA$16-1),$E64))+$BA$17</f>
        <v>130.25</v>
      </c>
      <c r="BB64" s="772" cm="1">
        <f t="array" aca="1" ref="BB64" ca="1">INDIRECT("'Definition of Typical Day'!"&amp;ADDRESS(BB$16,$E64))</f>
        <v>71</v>
      </c>
      <c r="BC64" s="776" cm="1">
        <f t="array" aca="1" ref="BC64" ca="1">INDIRECT("'Definition of Typical Day'!"&amp; ADDRESS($D64+29*(BC$16-1),$E64))</f>
        <v>129.25</v>
      </c>
      <c r="BD64" s="777" cm="1">
        <f t="array" aca="1" ref="BD64" ca="1">INDIRECT("'Definition of Typical Day'!"&amp; ADDRESS($D64+29*(BD$16-1),$E64))</f>
        <v>0.75</v>
      </c>
      <c r="BE64" s="776">
        <f t="shared" si="64"/>
        <v>0</v>
      </c>
      <c r="BF64" s="771">
        <f t="shared" ca="1" si="75"/>
        <v>109.51513452914794</v>
      </c>
      <c r="BG64" s="771">
        <f t="shared" ca="1" si="65"/>
        <v>4.0339461883408063</v>
      </c>
      <c r="BH64" s="771">
        <f t="shared" ca="1" si="66"/>
        <v>0</v>
      </c>
      <c r="BI64" s="776">
        <f t="shared" ca="1" si="67"/>
        <v>25.85</v>
      </c>
      <c r="BJ64" s="776">
        <f t="shared" ca="1" si="68"/>
        <v>0</v>
      </c>
      <c r="BK64" s="776">
        <f t="shared" ca="1" si="69"/>
        <v>0</v>
      </c>
      <c r="BL64" s="776">
        <f t="shared" ca="1" si="70"/>
        <v>0</v>
      </c>
      <c r="BM64" s="135"/>
      <c r="BN64" s="776">
        <f t="shared" ca="1" si="71"/>
        <v>117.54908071748875</v>
      </c>
      <c r="BO64" s="778">
        <f t="shared" ca="1" si="8"/>
        <v>41.796728133744701</v>
      </c>
      <c r="BP64" s="770">
        <f t="shared" ca="1" si="9"/>
        <v>113.54908071748875</v>
      </c>
      <c r="BQ64" s="771">
        <f t="shared" ca="1" si="10"/>
        <v>0</v>
      </c>
      <c r="BR64" s="771">
        <f t="shared" ca="1" si="11"/>
        <v>0</v>
      </c>
      <c r="BS64" s="776">
        <f t="shared" ca="1" si="72"/>
        <v>117.54908071748875</v>
      </c>
      <c r="BT64" s="776">
        <f t="shared" ca="1" si="12"/>
        <v>113.54908071748875</v>
      </c>
      <c r="BU64" s="783">
        <f t="shared" ca="1" si="13"/>
        <v>40.374454888267039</v>
      </c>
      <c r="BV64" s="783">
        <f t="shared" ca="1" si="14"/>
        <v>40.374454888267039</v>
      </c>
      <c r="BW64" s="1019">
        <f t="shared" ca="1" si="73"/>
        <v>40.374454888267039</v>
      </c>
      <c r="BX64" s="771" cm="1">
        <f t="array" aca="1" ref="BX64" ca="1">INDIRECT("'Definition of Typical Day'!"&amp; ADDRESS($D64+29*(BX$16-1),$E64))</f>
        <v>60</v>
      </c>
      <c r="BY64" s="771">
        <f t="shared" ca="1" si="74"/>
        <v>1</v>
      </c>
      <c r="BZ64" s="781">
        <f t="shared" ca="1" si="15"/>
        <v>1</v>
      </c>
      <c r="CA64" s="781">
        <f t="shared" ca="1" si="16"/>
        <v>0.94693572496263068</v>
      </c>
      <c r="CB64" s="776">
        <f t="shared" ca="1" si="17"/>
        <v>168.74394618834077</v>
      </c>
      <c r="CC64" s="782">
        <f t="shared" si="18"/>
        <v>2</v>
      </c>
      <c r="CD64" s="782">
        <f t="shared" si="19"/>
        <v>20</v>
      </c>
      <c r="CE64" s="784" t="str" cm="1">
        <f t="array" aca="1" ref="CE64" ca="1">INDIRECT("'Definition of Typical Day'!"&amp;ADDRESS(CE$16,$E64))</f>
        <v>Spring / fall weekday</v>
      </c>
      <c r="CF64" s="135"/>
      <c r="CG64" s="135"/>
      <c r="CH64" s="776">
        <f t="shared" ca="1" si="20"/>
        <v>2</v>
      </c>
      <c r="CI64" s="806">
        <f t="shared" ca="1" si="21"/>
        <v>6</v>
      </c>
      <c r="CJ64" s="770">
        <f t="shared" ca="1" si="22"/>
        <v>2.812399103139013</v>
      </c>
      <c r="CK64" s="771">
        <f t="shared" ca="1" si="23"/>
        <v>2</v>
      </c>
      <c r="CL64" s="771">
        <f t="shared" ca="1" si="24"/>
        <v>0.84080717488789203</v>
      </c>
      <c r="CM64" s="772">
        <f t="shared" ca="1" si="25"/>
        <v>0</v>
      </c>
      <c r="CN64" s="135"/>
      <c r="CO64" s="770">
        <f t="shared" ca="1" si="76"/>
        <v>1.05</v>
      </c>
      <c r="CP64" s="771">
        <f t="shared" ca="1" si="27"/>
        <v>0.98</v>
      </c>
      <c r="CQ64" s="771">
        <f t="shared" ca="1" si="28"/>
        <v>0.96</v>
      </c>
      <c r="CR64" s="771">
        <f t="shared" ca="1" si="29"/>
        <v>0.95</v>
      </c>
      <c r="CS64" s="771">
        <f t="shared" ca="1" si="30"/>
        <v>1.02</v>
      </c>
      <c r="CT64" s="772">
        <f t="shared" ca="1" si="31"/>
        <v>0.02</v>
      </c>
      <c r="CU64" s="135"/>
      <c r="CV64" s="135"/>
      <c r="CW64" s="135"/>
      <c r="CX64" s="135"/>
      <c r="CY64" s="135"/>
      <c r="CZ64" s="135"/>
      <c r="DA64" s="135"/>
      <c r="DB64" s="135"/>
      <c r="DC64" s="135"/>
      <c r="DD64" s="135"/>
      <c r="DE64" s="135"/>
      <c r="DF64" s="135"/>
      <c r="DG64" s="135"/>
      <c r="DH64" s="135"/>
      <c r="DI64" s="135"/>
      <c r="DJ64" s="135"/>
      <c r="DK64" s="135"/>
      <c r="DL64" s="135"/>
      <c r="DM64" s="135"/>
      <c r="DN64" s="135"/>
      <c r="DO64" s="135"/>
      <c r="DP64" s="135"/>
      <c r="DQ64" s="135"/>
      <c r="DR64" s="135"/>
      <c r="DS64" s="135"/>
      <c r="DT64" s="135"/>
      <c r="DU64" s="135"/>
      <c r="DV64" s="135"/>
      <c r="DX64" s="135"/>
      <c r="DY64" s="135"/>
      <c r="DZ64" s="135"/>
      <c r="EA64" s="135"/>
      <c r="EB64" s="135"/>
      <c r="EC64" s="135"/>
      <c r="ED64" s="135"/>
      <c r="EE64" s="135"/>
      <c r="EF64" s="135"/>
      <c r="EG64" s="135"/>
      <c r="EH64" s="135"/>
      <c r="EI64" s="135"/>
      <c r="EJ64" s="135"/>
      <c r="EK64" s="135"/>
      <c r="EL64" s="135"/>
      <c r="EM64" s="135"/>
      <c r="EN64" s="135"/>
      <c r="EO64" s="135"/>
      <c r="EP64" s="135"/>
      <c r="EQ64" s="135"/>
      <c r="ER64" s="135"/>
      <c r="ES64" s="135"/>
      <c r="ET64" s="135"/>
      <c r="EU64" s="135"/>
      <c r="EV64" s="135"/>
      <c r="EW64" s="135"/>
      <c r="EX64" s="135"/>
      <c r="EY64" s="135"/>
      <c r="EZ64" s="135"/>
      <c r="FA64" s="135"/>
      <c r="FB64" s="135"/>
      <c r="FC64" s="135"/>
      <c r="FD64" s="135"/>
      <c r="FE64" s="135"/>
      <c r="FF64" s="135"/>
      <c r="FG64" s="135"/>
    </row>
    <row r="65" spans="1:163" s="57" customFormat="1" ht="11.25" outlineLevel="1">
      <c r="A65" s="765">
        <f t="shared" si="77"/>
        <v>2</v>
      </c>
      <c r="B65" s="715" t="str" cm="1">
        <f t="array" aca="1" ref="B65" ca="1">INDIRECT("'Definition of Typical Day'!"&amp;ADDRESS(B$16,$E65))</f>
        <v>Spring / fall weekday</v>
      </c>
      <c r="C65" s="766">
        <f t="shared" si="78"/>
        <v>21</v>
      </c>
      <c r="D65" s="715">
        <f t="shared" si="78"/>
        <v>55</v>
      </c>
      <c r="E65" s="715">
        <f t="shared" si="5"/>
        <v>6</v>
      </c>
      <c r="F65" s="767" cm="1">
        <f t="array" aca="1" ref="F65" ca="1">INDIRECT("'Definition of Typical Day'!D"&amp;D65)</f>
        <v>21</v>
      </c>
      <c r="G65" s="767" cm="1">
        <f t="array" aca="1" ref="G65" ca="1">INDIRECT("'Definition of Typical Day'!"&amp;ADDRESS(13,E65))</f>
        <v>2</v>
      </c>
      <c r="H65" s="768" cm="1">
        <f t="array" aca="1" ref="H65" ca="1">INDIRECT("'Definition of Typical Day'!"&amp; ADDRESS($D65+28*(H$16-1),$E65))</f>
        <v>2</v>
      </c>
      <c r="I65" s="715" cm="1">
        <f t="array" aca="1" ref="I65" ca="1">INDIRECT("'Definition of Typical Day'!"&amp; ADDRESS($D65+29*(I$16-1),$E65))</f>
        <v>40</v>
      </c>
      <c r="J65" s="715">
        <f t="shared" ca="1" si="32"/>
        <v>37</v>
      </c>
      <c r="K65" s="785">
        <f t="shared" si="33"/>
        <v>28</v>
      </c>
      <c r="L65" s="786" cm="1">
        <f t="array" aca="1" ref="L65" ca="1">INDIRECT("'Definition of Typical Day'!"&amp; ADDRESS($D65+29*(L$16-1),$E65))</f>
        <v>6</v>
      </c>
      <c r="M65" s="768" cm="1">
        <f t="array" aca="1" ref="M65" ca="1">INDIRECT("'Definition of Typical Day'!"&amp; ADDRESS($D65+29*(M$16-1),$E65))</f>
        <v>83.333333333333314</v>
      </c>
      <c r="N65" s="715">
        <f t="shared" si="34"/>
        <v>3</v>
      </c>
      <c r="O65" s="715">
        <f t="shared" ca="1" si="35"/>
        <v>86.333333333333314</v>
      </c>
      <c r="P65" s="715" cm="1">
        <f t="array" aca="1" ref="P65" ca="1">INDIRECT("'Definition of Typical Day'!"&amp; ADDRESS($D65+29*(P$16-1),$E65))</f>
        <v>45</v>
      </c>
      <c r="Q65" s="787">
        <f t="shared" ca="1" si="36"/>
        <v>48</v>
      </c>
      <c r="R65" s="792">
        <f t="shared" ca="1" si="37"/>
        <v>86.333333333333314</v>
      </c>
      <c r="S65" s="769">
        <f t="shared" si="38"/>
        <v>3</v>
      </c>
      <c r="T65" s="769">
        <f t="shared" ca="1" si="39"/>
        <v>0.24</v>
      </c>
      <c r="U65" s="769">
        <f t="shared" ca="1" si="40"/>
        <v>9.5333333333333825E-2</v>
      </c>
      <c r="V65" s="769">
        <f t="shared" ca="1" si="41"/>
        <v>0</v>
      </c>
      <c r="W65" s="769">
        <f t="shared" ca="1" si="42"/>
        <v>3.3353333333333341</v>
      </c>
      <c r="X65" s="794">
        <f t="shared" si="43"/>
        <v>3</v>
      </c>
      <c r="Y65" s="769">
        <f t="shared" ca="1" si="44"/>
        <v>3</v>
      </c>
      <c r="Z65" s="769">
        <f t="shared" ca="1" si="45"/>
        <v>2.8564087924636024</v>
      </c>
      <c r="AA65" s="795">
        <f t="shared" ca="1" si="46"/>
        <v>2.8564087924636024</v>
      </c>
      <c r="AB65" s="769">
        <f t="shared" ca="1" si="47"/>
        <v>0</v>
      </c>
      <c r="AC65" s="769">
        <f t="shared" ca="1" si="48"/>
        <v>0</v>
      </c>
      <c r="AD65" s="769">
        <f t="shared" ca="1" si="49"/>
        <v>0</v>
      </c>
      <c r="AE65" s="794">
        <f t="shared" ca="1" si="50"/>
        <v>2.8564087924636024</v>
      </c>
      <c r="AF65" s="769">
        <f t="shared" ca="1" si="51"/>
        <v>2.8564087924636022E-2</v>
      </c>
      <c r="AG65" s="769">
        <f t="shared" ca="1" si="52"/>
        <v>2.8278447045389665</v>
      </c>
      <c r="AH65" s="799">
        <f t="shared" ca="1" si="53"/>
        <v>2.8278447045389665</v>
      </c>
      <c r="AI65" s="801">
        <f t="shared" ca="1" si="54"/>
        <v>1</v>
      </c>
      <c r="AJ65" s="794">
        <f t="shared" ca="1" si="55"/>
        <v>2</v>
      </c>
      <c r="AK65" s="769">
        <f t="shared" ca="1" si="56"/>
        <v>0.85640879246360235</v>
      </c>
      <c r="AL65" s="769">
        <f t="shared" ca="1" si="57"/>
        <v>0</v>
      </c>
      <c r="AM65" s="804">
        <f t="shared" ca="1" si="6"/>
        <v>0.2</v>
      </c>
      <c r="AN65" s="795">
        <f t="shared" ca="1" si="7"/>
        <v>0</v>
      </c>
      <c r="AO65" s="251"/>
      <c r="AP65" s="770">
        <f t="shared" si="58"/>
        <v>0</v>
      </c>
      <c r="AQ65" s="771">
        <f t="shared" ca="1" si="59"/>
        <v>0</v>
      </c>
      <c r="AR65" s="771">
        <f t="shared" ca="1" si="60"/>
        <v>4</v>
      </c>
      <c r="AS65" s="772">
        <f t="shared" ca="1" si="61"/>
        <v>4</v>
      </c>
      <c r="AT65" s="231"/>
      <c r="AU65" s="770">
        <f>'Main Results - IRR DC Operator'!$F$16</f>
        <v>2</v>
      </c>
      <c r="AV65" s="773">
        <f>'Main Results - IRR DC Operator'!$F$15</f>
        <v>1</v>
      </c>
      <c r="AW65" s="771">
        <f t="shared" ca="1" si="62"/>
        <v>4</v>
      </c>
      <c r="AX65" s="772">
        <f t="shared" si="63"/>
        <v>0</v>
      </c>
      <c r="AY65" s="231"/>
      <c r="AZ65" s="770" cm="1">
        <f t="array" aca="1" ref="AZ65" ca="1">INDIRECT("'Definition of Typical Day'!"&amp; ADDRESS($D65+29*(AZ$16-1),$E65))+$AZ$17</f>
        <v>104.4</v>
      </c>
      <c r="BA65" s="771" cm="1">
        <f t="array" aca="1" ref="BA65" ca="1">INDIRECT("'Definition of Typical Day'!"&amp; ADDRESS($D65+29*(BA$16-1),$E65))+$BA$17</f>
        <v>104.4</v>
      </c>
      <c r="BB65" s="772" cm="1">
        <f t="array" aca="1" ref="BB65" ca="1">INDIRECT("'Definition of Typical Day'!"&amp;ADDRESS(BB$16,$E65))</f>
        <v>71</v>
      </c>
      <c r="BC65" s="776" cm="1">
        <f t="array" aca="1" ref="BC65" ca="1">INDIRECT("'Definition of Typical Day'!"&amp; ADDRESS($D65+29*(BC$16-1),$E65))</f>
        <v>103.4</v>
      </c>
      <c r="BD65" s="777" cm="1">
        <f t="array" aca="1" ref="BD65" ca="1">INDIRECT("'Definition of Typical Day'!"&amp; ADDRESS($D65+29*(BD$16-1),$E65))</f>
        <v>0.75</v>
      </c>
      <c r="BE65" s="776">
        <f t="shared" si="64"/>
        <v>0</v>
      </c>
      <c r="BF65" s="771">
        <f t="shared" ca="1" si="75"/>
        <v>89.409077933200095</v>
      </c>
      <c r="BG65" s="771">
        <f t="shared" ca="1" si="65"/>
        <v>4.0561004852983151</v>
      </c>
      <c r="BH65" s="771">
        <f t="shared" ca="1" si="66"/>
        <v>0</v>
      </c>
      <c r="BI65" s="776">
        <f t="shared" ca="1" si="67"/>
        <v>20.680000000000003</v>
      </c>
      <c r="BJ65" s="776">
        <f t="shared" ca="1" si="68"/>
        <v>0</v>
      </c>
      <c r="BK65" s="776">
        <f t="shared" ca="1" si="69"/>
        <v>0</v>
      </c>
      <c r="BL65" s="776">
        <f t="shared" ca="1" si="70"/>
        <v>0</v>
      </c>
      <c r="BM65" s="135"/>
      <c r="BN65" s="776">
        <f t="shared" ca="1" si="71"/>
        <v>97.465178418498411</v>
      </c>
      <c r="BO65" s="778">
        <f t="shared" ca="1" si="8"/>
        <v>34.466241467240863</v>
      </c>
      <c r="BP65" s="770">
        <f t="shared" ca="1" si="9"/>
        <v>93.465178418498411</v>
      </c>
      <c r="BQ65" s="771">
        <f t="shared" ca="1" si="10"/>
        <v>0</v>
      </c>
      <c r="BR65" s="771">
        <f t="shared" ca="1" si="11"/>
        <v>0</v>
      </c>
      <c r="BS65" s="776">
        <f t="shared" ca="1" si="72"/>
        <v>97.465178418498411</v>
      </c>
      <c r="BT65" s="776">
        <f t="shared" ca="1" si="12"/>
        <v>93.465178418498411</v>
      </c>
      <c r="BU65" s="783">
        <f t="shared" ca="1" si="13"/>
        <v>33.051736634786799</v>
      </c>
      <c r="BV65" s="783">
        <f t="shared" ca="1" si="14"/>
        <v>33.051736634786799</v>
      </c>
      <c r="BW65" s="1019">
        <f t="shared" ca="1" si="73"/>
        <v>33.051736634786799</v>
      </c>
      <c r="BX65" s="771" cm="1">
        <f t="array" aca="1" ref="BX65" ca="1">INDIRECT("'Definition of Typical Day'!"&amp; ADDRESS($D65+29*(BX$16-1),$E65))</f>
        <v>60</v>
      </c>
      <c r="BY65" s="771">
        <f t="shared" ca="1" si="74"/>
        <v>1</v>
      </c>
      <c r="BZ65" s="781">
        <f t="shared" ca="1" si="15"/>
        <v>1</v>
      </c>
      <c r="CA65" s="781">
        <f t="shared" ca="1" si="16"/>
        <v>0.95213626415453412</v>
      </c>
      <c r="CB65" s="776">
        <f t="shared" ca="1" si="17"/>
        <v>169.67068227233798</v>
      </c>
      <c r="CC65" s="782">
        <f t="shared" si="18"/>
        <v>2</v>
      </c>
      <c r="CD65" s="782">
        <f t="shared" si="19"/>
        <v>21</v>
      </c>
      <c r="CE65" s="784" t="str" cm="1">
        <f t="array" aca="1" ref="CE65" ca="1">INDIRECT("'Definition of Typical Day'!"&amp;ADDRESS(CE$16,$E65))</f>
        <v>Spring / fall weekday</v>
      </c>
      <c r="CF65" s="135"/>
      <c r="CG65" s="135"/>
      <c r="CH65" s="776">
        <f t="shared" ca="1" si="20"/>
        <v>2</v>
      </c>
      <c r="CI65" s="806">
        <f t="shared" ca="1" si="21"/>
        <v>6</v>
      </c>
      <c r="CJ65" s="770">
        <f t="shared" ca="1" si="22"/>
        <v>2.8278447045389665</v>
      </c>
      <c r="CK65" s="771">
        <f t="shared" ca="1" si="23"/>
        <v>2</v>
      </c>
      <c r="CL65" s="771">
        <f t="shared" ca="1" si="24"/>
        <v>0.85640879246360235</v>
      </c>
      <c r="CM65" s="772">
        <f t="shared" ca="1" si="25"/>
        <v>0</v>
      </c>
      <c r="CN65" s="135"/>
      <c r="CO65" s="770">
        <f t="shared" ca="1" si="76"/>
        <v>1.05</v>
      </c>
      <c r="CP65" s="771">
        <f t="shared" ca="1" si="27"/>
        <v>0.98</v>
      </c>
      <c r="CQ65" s="771">
        <f t="shared" ca="1" si="28"/>
        <v>0.96</v>
      </c>
      <c r="CR65" s="771">
        <f t="shared" ca="1" si="29"/>
        <v>0.95</v>
      </c>
      <c r="CS65" s="771">
        <f t="shared" ca="1" si="30"/>
        <v>1.02</v>
      </c>
      <c r="CT65" s="772">
        <f t="shared" ca="1" si="31"/>
        <v>0.02</v>
      </c>
      <c r="CU65" s="135"/>
      <c r="CV65" s="135"/>
      <c r="CW65" s="135"/>
      <c r="CX65" s="135"/>
      <c r="CY65" s="135"/>
      <c r="CZ65" s="135"/>
      <c r="DA65" s="135"/>
      <c r="DB65" s="135"/>
      <c r="DC65" s="135"/>
      <c r="DD65" s="135"/>
      <c r="DE65" s="135"/>
      <c r="DF65" s="135"/>
      <c r="DG65" s="135"/>
      <c r="DH65" s="135"/>
      <c r="DI65" s="135"/>
      <c r="DJ65" s="135"/>
      <c r="DK65" s="135"/>
      <c r="DL65" s="135"/>
      <c r="DX65" s="135"/>
      <c r="DY65" s="135"/>
      <c r="DZ65" s="135"/>
      <c r="EA65" s="135"/>
      <c r="EB65" s="135"/>
      <c r="EC65" s="135"/>
      <c r="ED65" s="135"/>
      <c r="EE65" s="135"/>
      <c r="EF65" s="135"/>
      <c r="EG65" s="135"/>
      <c r="EH65" s="135"/>
      <c r="EI65" s="135"/>
      <c r="EJ65" s="135"/>
      <c r="EK65" s="135"/>
      <c r="EL65" s="135"/>
      <c r="EM65" s="135"/>
      <c r="EN65" s="135"/>
      <c r="EO65" s="135"/>
      <c r="EP65" s="135"/>
      <c r="EQ65" s="135"/>
      <c r="ER65" s="135"/>
      <c r="ES65" s="135"/>
      <c r="ET65" s="135"/>
      <c r="EU65" s="135"/>
      <c r="EV65" s="135"/>
      <c r="EW65" s="135"/>
      <c r="EX65" s="135"/>
      <c r="EY65" s="135"/>
      <c r="EZ65" s="135"/>
      <c r="FA65" s="135"/>
      <c r="FB65" s="135"/>
      <c r="FC65" s="135"/>
      <c r="FD65" s="135"/>
      <c r="FE65" s="135"/>
      <c r="FF65" s="135"/>
      <c r="FG65" s="135"/>
    </row>
    <row r="66" spans="1:163" s="57" customFormat="1" ht="11.25" outlineLevel="1">
      <c r="A66" s="765">
        <f t="shared" si="77"/>
        <v>2</v>
      </c>
      <c r="B66" s="715" t="str" cm="1">
        <f t="array" aca="1" ref="B66" ca="1">INDIRECT("'Definition of Typical Day'!"&amp;ADDRESS(B$16,$E66))</f>
        <v>Spring / fall weekday</v>
      </c>
      <c r="C66" s="766">
        <f t="shared" si="78"/>
        <v>22</v>
      </c>
      <c r="D66" s="715">
        <f t="shared" si="78"/>
        <v>56</v>
      </c>
      <c r="E66" s="715">
        <f t="shared" si="5"/>
        <v>6</v>
      </c>
      <c r="F66" s="767" cm="1">
        <f t="array" aca="1" ref="F66" ca="1">INDIRECT("'Definition of Typical Day'!D"&amp;D66)</f>
        <v>22</v>
      </c>
      <c r="G66" s="767" cm="1">
        <f t="array" aca="1" ref="G66" ca="1">INDIRECT("'Definition of Typical Day'!"&amp;ADDRESS(13,E66))</f>
        <v>2</v>
      </c>
      <c r="H66" s="768" cm="1">
        <f t="array" aca="1" ref="H66" ca="1">INDIRECT("'Definition of Typical Day'!"&amp; ADDRESS($D66+28*(H$16-1),$E66))</f>
        <v>2</v>
      </c>
      <c r="I66" s="715" cm="1">
        <f t="array" aca="1" ref="I66" ca="1">INDIRECT("'Definition of Typical Day'!"&amp; ADDRESS($D66+29*(I$16-1),$E66))</f>
        <v>40</v>
      </c>
      <c r="J66" s="715">
        <f t="shared" ca="1" si="32"/>
        <v>37</v>
      </c>
      <c r="K66" s="785">
        <f t="shared" si="33"/>
        <v>28</v>
      </c>
      <c r="L66" s="786" cm="1">
        <f t="array" aca="1" ref="L66" ca="1">INDIRECT("'Definition of Typical Day'!"&amp; ADDRESS($D66+29*(L$16-1),$E66))</f>
        <v>6</v>
      </c>
      <c r="M66" s="768" cm="1">
        <f t="array" aca="1" ref="M66" ca="1">INDIRECT("'Definition of Typical Day'!"&amp; ADDRESS($D66+29*(M$16-1),$E66))</f>
        <v>84.999999999999986</v>
      </c>
      <c r="N66" s="715">
        <f t="shared" si="34"/>
        <v>3</v>
      </c>
      <c r="O66" s="715">
        <f t="shared" ca="1" si="35"/>
        <v>87.999999999999986</v>
      </c>
      <c r="P66" s="715" cm="1">
        <f t="array" aca="1" ref="P66" ca="1">INDIRECT("'Definition of Typical Day'!"&amp; ADDRESS($D66+29*(P$16-1),$E66))</f>
        <v>45</v>
      </c>
      <c r="Q66" s="787">
        <f t="shared" ca="1" si="36"/>
        <v>48</v>
      </c>
      <c r="R66" s="792">
        <f t="shared" ca="1" si="37"/>
        <v>87.999999999999986</v>
      </c>
      <c r="S66" s="769">
        <f t="shared" si="38"/>
        <v>3</v>
      </c>
      <c r="T66" s="769">
        <f t="shared" ca="1" si="39"/>
        <v>0.24</v>
      </c>
      <c r="U66" s="769">
        <f t="shared" ca="1" si="40"/>
        <v>5.2000000000000365E-2</v>
      </c>
      <c r="V66" s="769">
        <f t="shared" ca="1" si="41"/>
        <v>0</v>
      </c>
      <c r="W66" s="769">
        <f t="shared" ca="1" si="42"/>
        <v>3.2920000000000007</v>
      </c>
      <c r="X66" s="794">
        <f t="shared" si="43"/>
        <v>3</v>
      </c>
      <c r="Y66" s="769">
        <f t="shared" ca="1" si="44"/>
        <v>3</v>
      </c>
      <c r="Z66" s="769">
        <f t="shared" ca="1" si="45"/>
        <v>2.8726003490401393</v>
      </c>
      <c r="AA66" s="795">
        <f t="shared" ca="1" si="46"/>
        <v>2.8726003490401393</v>
      </c>
      <c r="AB66" s="769">
        <f t="shared" ca="1" si="47"/>
        <v>0</v>
      </c>
      <c r="AC66" s="769">
        <f t="shared" ca="1" si="48"/>
        <v>0</v>
      </c>
      <c r="AD66" s="769">
        <f t="shared" ca="1" si="49"/>
        <v>0</v>
      </c>
      <c r="AE66" s="794">
        <f t="shared" ca="1" si="50"/>
        <v>2.8726003490401393</v>
      </c>
      <c r="AF66" s="769">
        <f t="shared" ca="1" si="51"/>
        <v>2.8726003490401393E-2</v>
      </c>
      <c r="AG66" s="769">
        <f t="shared" ca="1" si="52"/>
        <v>2.8438743455497377</v>
      </c>
      <c r="AH66" s="799">
        <f t="shared" ca="1" si="53"/>
        <v>2.8438743455497377</v>
      </c>
      <c r="AI66" s="801">
        <f t="shared" ca="1" si="54"/>
        <v>1</v>
      </c>
      <c r="AJ66" s="794">
        <f t="shared" ca="1" si="55"/>
        <v>2</v>
      </c>
      <c r="AK66" s="769">
        <f t="shared" ca="1" si="56"/>
        <v>0.87260034904013928</v>
      </c>
      <c r="AL66" s="769">
        <f t="shared" ca="1" si="57"/>
        <v>0</v>
      </c>
      <c r="AM66" s="804">
        <f t="shared" ca="1" si="6"/>
        <v>0.2</v>
      </c>
      <c r="AN66" s="795">
        <f t="shared" ca="1" si="7"/>
        <v>0</v>
      </c>
      <c r="AO66" s="251"/>
      <c r="AP66" s="770">
        <f t="shared" si="58"/>
        <v>0</v>
      </c>
      <c r="AQ66" s="771">
        <f t="shared" ca="1" si="59"/>
        <v>0</v>
      </c>
      <c r="AR66" s="771">
        <f t="shared" ca="1" si="60"/>
        <v>4</v>
      </c>
      <c r="AS66" s="772">
        <f t="shared" ca="1" si="61"/>
        <v>4</v>
      </c>
      <c r="AT66" s="231"/>
      <c r="AU66" s="770">
        <f>'Main Results - IRR DC Operator'!$F$16</f>
        <v>2</v>
      </c>
      <c r="AV66" s="773">
        <f>'Main Results - IRR DC Operator'!$F$15</f>
        <v>1</v>
      </c>
      <c r="AW66" s="771">
        <f t="shared" ca="1" si="62"/>
        <v>4</v>
      </c>
      <c r="AX66" s="772">
        <f t="shared" si="63"/>
        <v>0</v>
      </c>
      <c r="AY66" s="231"/>
      <c r="AZ66" s="770" cm="1">
        <f t="array" aca="1" ref="AZ66" ca="1">INDIRECT("'Definition of Typical Day'!"&amp; ADDRESS($D66+29*(AZ$16-1),$E66))+$AZ$17</f>
        <v>91.15</v>
      </c>
      <c r="BA66" s="771" cm="1">
        <f t="array" aca="1" ref="BA66" ca="1">INDIRECT("'Definition of Typical Day'!"&amp; ADDRESS($D66+29*(BA$16-1),$E66))+$BA$17</f>
        <v>91.15</v>
      </c>
      <c r="BB66" s="772" cm="1">
        <f t="array" aca="1" ref="BB66" ca="1">INDIRECT("'Definition of Typical Day'!"&amp;ADDRESS(BB$16,$E66))</f>
        <v>71</v>
      </c>
      <c r="BC66" s="776" cm="1">
        <f t="array" aca="1" ref="BC66" ca="1">INDIRECT("'Definition of Typical Day'!"&amp; ADDRESS($D66+29*(BC$16-1),$E66))</f>
        <v>90.15</v>
      </c>
      <c r="BD66" s="777" cm="1">
        <f t="array" aca="1" ref="BD66" ca="1">INDIRECT("'Definition of Typical Day'!"&amp; ADDRESS($D66+29*(BD$16-1),$E66))</f>
        <v>0.75</v>
      </c>
      <c r="BE66" s="776">
        <f t="shared" si="64"/>
        <v>0</v>
      </c>
      <c r="BF66" s="771">
        <f t="shared" ca="1" si="75"/>
        <v>79.537521815008702</v>
      </c>
      <c r="BG66" s="771">
        <f t="shared" ca="1" si="65"/>
        <v>4.0790924956369974</v>
      </c>
      <c r="BH66" s="771">
        <f t="shared" ca="1" si="66"/>
        <v>0</v>
      </c>
      <c r="BI66" s="776">
        <f t="shared" ca="1" si="67"/>
        <v>18.03</v>
      </c>
      <c r="BJ66" s="776">
        <f t="shared" ca="1" si="68"/>
        <v>0</v>
      </c>
      <c r="BK66" s="776">
        <f t="shared" ca="1" si="69"/>
        <v>0</v>
      </c>
      <c r="BL66" s="776">
        <f t="shared" ca="1" si="70"/>
        <v>0</v>
      </c>
      <c r="BM66" s="135"/>
      <c r="BN66" s="776">
        <f t="shared" ca="1" si="71"/>
        <v>87.616614310645701</v>
      </c>
      <c r="BO66" s="778">
        <f t="shared" ca="1" si="8"/>
        <v>30.808890852633255</v>
      </c>
      <c r="BP66" s="770">
        <f t="shared" ca="1" si="9"/>
        <v>83.616614310645701</v>
      </c>
      <c r="BQ66" s="771">
        <f t="shared" ca="1" si="10"/>
        <v>0</v>
      </c>
      <c r="BR66" s="771">
        <f t="shared" ca="1" si="11"/>
        <v>0</v>
      </c>
      <c r="BS66" s="776">
        <f t="shared" ca="1" si="72"/>
        <v>87.616614310645701</v>
      </c>
      <c r="BT66" s="776">
        <f t="shared" ca="1" si="12"/>
        <v>83.616614310645701</v>
      </c>
      <c r="BU66" s="783">
        <f t="shared" ca="1" si="13"/>
        <v>29.40235894792395</v>
      </c>
      <c r="BV66" s="783">
        <f t="shared" ca="1" si="14"/>
        <v>29.40235894792395</v>
      </c>
      <c r="BW66" s="1019">
        <f t="shared" ca="1" si="73"/>
        <v>29.40235894792395</v>
      </c>
      <c r="BX66" s="771" cm="1">
        <f t="array" aca="1" ref="BX66" ca="1">INDIRECT("'Definition of Typical Day'!"&amp; ADDRESS($D66+29*(BX$16-1),$E66))</f>
        <v>60</v>
      </c>
      <c r="BY66" s="771">
        <f t="shared" ca="1" si="74"/>
        <v>1</v>
      </c>
      <c r="BZ66" s="781">
        <f t="shared" ca="1" si="15"/>
        <v>1</v>
      </c>
      <c r="CA66" s="781">
        <f t="shared" ca="1" si="16"/>
        <v>0.95753344968004639</v>
      </c>
      <c r="CB66" s="776">
        <f t="shared" ca="1" si="17"/>
        <v>170.63246073298427</v>
      </c>
      <c r="CC66" s="782">
        <f t="shared" si="18"/>
        <v>2</v>
      </c>
      <c r="CD66" s="782">
        <f t="shared" si="19"/>
        <v>22</v>
      </c>
      <c r="CE66" s="784" t="str" cm="1">
        <f t="array" aca="1" ref="CE66" ca="1">INDIRECT("'Definition of Typical Day'!"&amp;ADDRESS(CE$16,$E66))</f>
        <v>Spring / fall weekday</v>
      </c>
      <c r="CF66" s="135"/>
      <c r="CG66" s="135"/>
      <c r="CH66" s="776">
        <f t="shared" ca="1" si="20"/>
        <v>2</v>
      </c>
      <c r="CI66" s="806">
        <f t="shared" ca="1" si="21"/>
        <v>6</v>
      </c>
      <c r="CJ66" s="770">
        <f t="shared" ca="1" si="22"/>
        <v>2.8438743455497377</v>
      </c>
      <c r="CK66" s="771">
        <f t="shared" ca="1" si="23"/>
        <v>2</v>
      </c>
      <c r="CL66" s="771">
        <f t="shared" ca="1" si="24"/>
        <v>0.87260034904013928</v>
      </c>
      <c r="CM66" s="772">
        <f t="shared" ca="1" si="25"/>
        <v>0</v>
      </c>
      <c r="CN66" s="135"/>
      <c r="CO66" s="770">
        <f t="shared" ca="1" si="76"/>
        <v>1.05</v>
      </c>
      <c r="CP66" s="771">
        <f t="shared" ca="1" si="27"/>
        <v>0.98</v>
      </c>
      <c r="CQ66" s="771">
        <f t="shared" ca="1" si="28"/>
        <v>0.96</v>
      </c>
      <c r="CR66" s="771">
        <f t="shared" ca="1" si="29"/>
        <v>0.95</v>
      </c>
      <c r="CS66" s="771">
        <f t="shared" ca="1" si="30"/>
        <v>1.02</v>
      </c>
      <c r="CT66" s="772">
        <f t="shared" ca="1" si="31"/>
        <v>0.02</v>
      </c>
      <c r="CU66" s="135"/>
      <c r="CV66" s="135"/>
      <c r="CW66" s="135"/>
      <c r="CX66" s="135"/>
      <c r="CY66" s="135"/>
      <c r="CZ66" s="135"/>
      <c r="DA66" s="135"/>
      <c r="DB66" s="135"/>
      <c r="DC66" s="135"/>
      <c r="DD66" s="135"/>
      <c r="DE66" s="135"/>
      <c r="DF66" s="135"/>
      <c r="DG66" s="135"/>
      <c r="DH66" s="135"/>
      <c r="DI66" s="135"/>
      <c r="DJ66" s="135"/>
      <c r="DK66" s="135"/>
      <c r="DL66" s="135"/>
      <c r="DX66" s="135"/>
      <c r="DY66" s="135"/>
      <c r="DZ66" s="135"/>
      <c r="EA66" s="135"/>
      <c r="EB66" s="135"/>
      <c r="EC66" s="135"/>
      <c r="ED66" s="135"/>
      <c r="EE66" s="135"/>
      <c r="EF66" s="135"/>
      <c r="EG66" s="135"/>
      <c r="EH66" s="135"/>
      <c r="EI66" s="135"/>
      <c r="EJ66" s="135"/>
      <c r="EK66" s="135"/>
      <c r="EL66" s="135"/>
      <c r="EM66" s="135"/>
      <c r="EN66" s="135"/>
      <c r="EO66" s="135"/>
      <c r="EP66" s="135"/>
      <c r="EQ66" s="135"/>
      <c r="ER66" s="135"/>
      <c r="ES66" s="135"/>
      <c r="ET66" s="135"/>
      <c r="EU66" s="135"/>
      <c r="EV66" s="135"/>
      <c r="EW66" s="135"/>
      <c r="EX66" s="135"/>
      <c r="EY66" s="135"/>
      <c r="EZ66" s="135"/>
      <c r="FA66" s="135"/>
      <c r="FB66" s="135"/>
      <c r="FC66" s="135"/>
      <c r="FD66" s="135"/>
      <c r="FE66" s="135"/>
      <c r="FF66" s="135"/>
      <c r="FG66" s="135"/>
    </row>
    <row r="67" spans="1:163" s="57" customFormat="1" ht="11.25" outlineLevel="1">
      <c r="A67" s="765">
        <f t="shared" si="77"/>
        <v>2</v>
      </c>
      <c r="B67" s="715" t="str" cm="1">
        <f t="array" aca="1" ref="B67" ca="1">INDIRECT("'Definition of Typical Day'!"&amp;ADDRESS(B$16,$E67))</f>
        <v>Spring / fall weekday</v>
      </c>
      <c r="C67" s="766">
        <f t="shared" si="78"/>
        <v>23</v>
      </c>
      <c r="D67" s="715">
        <f t="shared" si="78"/>
        <v>57</v>
      </c>
      <c r="E67" s="715">
        <f t="shared" si="5"/>
        <v>6</v>
      </c>
      <c r="F67" s="767" cm="1">
        <f t="array" aca="1" ref="F67" ca="1">INDIRECT("'Definition of Typical Day'!D"&amp;D67)</f>
        <v>23</v>
      </c>
      <c r="G67" s="767" cm="1">
        <f t="array" aca="1" ref="G67" ca="1">INDIRECT("'Definition of Typical Day'!"&amp;ADDRESS(13,E67))</f>
        <v>2</v>
      </c>
      <c r="H67" s="768" cm="1">
        <f t="array" aca="1" ref="H67" ca="1">INDIRECT("'Definition of Typical Day'!"&amp; ADDRESS($D67+28*(H$16-1),$E67))</f>
        <v>2</v>
      </c>
      <c r="I67" s="715" cm="1">
        <f t="array" aca="1" ref="I67" ca="1">INDIRECT("'Definition of Typical Day'!"&amp; ADDRESS($D67+29*(I$16-1),$E67))</f>
        <v>40</v>
      </c>
      <c r="J67" s="715">
        <f t="shared" ca="1" si="32"/>
        <v>37</v>
      </c>
      <c r="K67" s="785">
        <f t="shared" si="33"/>
        <v>28</v>
      </c>
      <c r="L67" s="786" cm="1">
        <f t="array" aca="1" ref="L67" ca="1">INDIRECT("'Definition of Typical Day'!"&amp; ADDRESS($D67+29*(L$16-1),$E67))</f>
        <v>6</v>
      </c>
      <c r="M67" s="768" cm="1">
        <f t="array" aca="1" ref="M67" ca="1">INDIRECT("'Definition of Typical Day'!"&amp; ADDRESS($D67+29*(M$16-1),$E67))</f>
        <v>84.999999999999986</v>
      </c>
      <c r="N67" s="715">
        <f t="shared" si="34"/>
        <v>3</v>
      </c>
      <c r="O67" s="715">
        <f t="shared" ca="1" si="35"/>
        <v>87.999999999999986</v>
      </c>
      <c r="P67" s="715" cm="1">
        <f t="array" aca="1" ref="P67" ca="1">INDIRECT("'Definition of Typical Day'!"&amp; ADDRESS($D67+29*(P$16-1),$E67))</f>
        <v>45</v>
      </c>
      <c r="Q67" s="787">
        <f t="shared" ca="1" si="36"/>
        <v>48</v>
      </c>
      <c r="R67" s="792">
        <f t="shared" ca="1" si="37"/>
        <v>87.999999999999986</v>
      </c>
      <c r="S67" s="769">
        <f t="shared" si="38"/>
        <v>3</v>
      </c>
      <c r="T67" s="769">
        <f t="shared" ca="1" si="39"/>
        <v>0.24</v>
      </c>
      <c r="U67" s="769">
        <f t="shared" ca="1" si="40"/>
        <v>5.2000000000000365E-2</v>
      </c>
      <c r="V67" s="769">
        <f t="shared" ca="1" si="41"/>
        <v>0</v>
      </c>
      <c r="W67" s="769">
        <f t="shared" ca="1" si="42"/>
        <v>3.2920000000000007</v>
      </c>
      <c r="X67" s="794">
        <f t="shared" si="43"/>
        <v>3</v>
      </c>
      <c r="Y67" s="769">
        <f t="shared" ca="1" si="44"/>
        <v>3</v>
      </c>
      <c r="Z67" s="769">
        <f t="shared" ca="1" si="45"/>
        <v>2.8726003490401393</v>
      </c>
      <c r="AA67" s="795">
        <f t="shared" ca="1" si="46"/>
        <v>2.8726003490401393</v>
      </c>
      <c r="AB67" s="769">
        <f t="shared" ca="1" si="47"/>
        <v>0</v>
      </c>
      <c r="AC67" s="769">
        <f t="shared" ca="1" si="48"/>
        <v>0</v>
      </c>
      <c r="AD67" s="769">
        <f t="shared" ca="1" si="49"/>
        <v>0</v>
      </c>
      <c r="AE67" s="794">
        <f t="shared" ca="1" si="50"/>
        <v>2.8726003490401393</v>
      </c>
      <c r="AF67" s="769">
        <f t="shared" ca="1" si="51"/>
        <v>2.8726003490401393E-2</v>
      </c>
      <c r="AG67" s="769">
        <f t="shared" ca="1" si="52"/>
        <v>2.8438743455497377</v>
      </c>
      <c r="AH67" s="799">
        <f t="shared" ca="1" si="53"/>
        <v>2.8438743455497377</v>
      </c>
      <c r="AI67" s="801">
        <f t="shared" ca="1" si="54"/>
        <v>1</v>
      </c>
      <c r="AJ67" s="794">
        <f t="shared" ca="1" si="55"/>
        <v>2</v>
      </c>
      <c r="AK67" s="769">
        <f t="shared" ca="1" si="56"/>
        <v>0.87260034904013928</v>
      </c>
      <c r="AL67" s="769">
        <f t="shared" ca="1" si="57"/>
        <v>0</v>
      </c>
      <c r="AM67" s="804">
        <f t="shared" ca="1" si="6"/>
        <v>0.2</v>
      </c>
      <c r="AN67" s="795">
        <f t="shared" ca="1" si="7"/>
        <v>0</v>
      </c>
      <c r="AO67" s="251"/>
      <c r="AP67" s="770">
        <f t="shared" si="58"/>
        <v>0</v>
      </c>
      <c r="AQ67" s="771">
        <f t="shared" ca="1" si="59"/>
        <v>0</v>
      </c>
      <c r="AR67" s="771">
        <f t="shared" ca="1" si="60"/>
        <v>4</v>
      </c>
      <c r="AS67" s="772">
        <f t="shared" ca="1" si="61"/>
        <v>4</v>
      </c>
      <c r="AT67" s="231"/>
      <c r="AU67" s="770">
        <f>'Main Results - IRR DC Operator'!$F$16</f>
        <v>2</v>
      </c>
      <c r="AV67" s="773">
        <f>'Main Results - IRR DC Operator'!$F$15</f>
        <v>1</v>
      </c>
      <c r="AW67" s="771">
        <f t="shared" ca="1" si="62"/>
        <v>4</v>
      </c>
      <c r="AX67" s="772">
        <f t="shared" si="63"/>
        <v>0</v>
      </c>
      <c r="AY67" s="231"/>
      <c r="AZ67" s="770" cm="1">
        <f t="array" aca="1" ref="AZ67" ca="1">INDIRECT("'Definition of Typical Day'!"&amp; ADDRESS($D67+29*(AZ$16-1),$E67))+$AZ$17</f>
        <v>88.98</v>
      </c>
      <c r="BA67" s="771" cm="1">
        <f t="array" aca="1" ref="BA67" ca="1">INDIRECT("'Definition of Typical Day'!"&amp; ADDRESS($D67+29*(BA$16-1),$E67))+$BA$17</f>
        <v>88.98</v>
      </c>
      <c r="BB67" s="772" cm="1">
        <f t="array" aca="1" ref="BB67" ca="1">INDIRECT("'Definition of Typical Day'!"&amp;ADDRESS(BB$16,$E67))</f>
        <v>71</v>
      </c>
      <c r="BC67" s="776" cm="1">
        <f t="array" aca="1" ref="BC67" ca="1">INDIRECT("'Definition of Typical Day'!"&amp; ADDRESS($D67+29*(BC$16-1),$E67))</f>
        <v>87.98</v>
      </c>
      <c r="BD67" s="777" cm="1">
        <f t="array" aca="1" ref="BD67" ca="1">INDIRECT("'Definition of Typical Day'!"&amp; ADDRESS($D67+29*(BD$16-1),$E67))</f>
        <v>0.75</v>
      </c>
      <c r="BE67" s="776">
        <f t="shared" si="64"/>
        <v>0</v>
      </c>
      <c r="BF67" s="771">
        <f t="shared" ca="1" si="75"/>
        <v>77.643979057591594</v>
      </c>
      <c r="BG67" s="771">
        <f t="shared" ca="1" si="65"/>
        <v>4.0790924956369974</v>
      </c>
      <c r="BH67" s="771">
        <f t="shared" ca="1" si="66"/>
        <v>0</v>
      </c>
      <c r="BI67" s="776">
        <f t="shared" ca="1" si="67"/>
        <v>17.596</v>
      </c>
      <c r="BJ67" s="776">
        <f t="shared" ca="1" si="68"/>
        <v>0</v>
      </c>
      <c r="BK67" s="776">
        <f t="shared" ca="1" si="69"/>
        <v>0</v>
      </c>
      <c r="BL67" s="776">
        <f t="shared" ca="1" si="70"/>
        <v>0</v>
      </c>
      <c r="BM67" s="135"/>
      <c r="BN67" s="776">
        <f t="shared" ca="1" si="71"/>
        <v>85.723071553228593</v>
      </c>
      <c r="BO67" s="778">
        <f t="shared" ca="1" si="8"/>
        <v>30.143058777323656</v>
      </c>
      <c r="BP67" s="770">
        <f t="shared" ca="1" si="9"/>
        <v>81.723071553228593</v>
      </c>
      <c r="BQ67" s="771">
        <f t="shared" ca="1" si="10"/>
        <v>0</v>
      </c>
      <c r="BR67" s="771">
        <f t="shared" ca="1" si="11"/>
        <v>0</v>
      </c>
      <c r="BS67" s="776">
        <f t="shared" ca="1" si="72"/>
        <v>85.723071553228593</v>
      </c>
      <c r="BT67" s="776">
        <f t="shared" ca="1" si="12"/>
        <v>81.723071553228593</v>
      </c>
      <c r="BU67" s="783">
        <f t="shared" ca="1" si="13"/>
        <v>28.736526872614352</v>
      </c>
      <c r="BV67" s="783">
        <f t="shared" ca="1" si="14"/>
        <v>28.736526872614352</v>
      </c>
      <c r="BW67" s="1019">
        <f t="shared" ca="1" si="73"/>
        <v>28.736526872614352</v>
      </c>
      <c r="BX67" s="771" cm="1">
        <f t="array" aca="1" ref="BX67" ca="1">INDIRECT("'Definition of Typical Day'!"&amp; ADDRESS($D67+29*(BX$16-1),$E67))</f>
        <v>60</v>
      </c>
      <c r="BY67" s="771">
        <f t="shared" ca="1" si="74"/>
        <v>1</v>
      </c>
      <c r="BZ67" s="781">
        <f t="shared" ca="1" si="15"/>
        <v>1</v>
      </c>
      <c r="CA67" s="781">
        <f t="shared" ca="1" si="16"/>
        <v>0.95753344968004639</v>
      </c>
      <c r="CB67" s="776">
        <f t="shared" ca="1" si="17"/>
        <v>170.63246073298427</v>
      </c>
      <c r="CC67" s="782">
        <f t="shared" si="18"/>
        <v>2</v>
      </c>
      <c r="CD67" s="782">
        <f t="shared" si="19"/>
        <v>23</v>
      </c>
      <c r="CE67" s="784" t="str" cm="1">
        <f t="array" aca="1" ref="CE67" ca="1">INDIRECT("'Definition of Typical Day'!"&amp;ADDRESS(CE$16,$E67))</f>
        <v>Spring / fall weekday</v>
      </c>
      <c r="CF67" s="135"/>
      <c r="CG67" s="135"/>
      <c r="CH67" s="776">
        <f t="shared" ca="1" si="20"/>
        <v>2</v>
      </c>
      <c r="CI67" s="806">
        <f t="shared" ca="1" si="21"/>
        <v>6</v>
      </c>
      <c r="CJ67" s="770">
        <f t="shared" ca="1" si="22"/>
        <v>2.8438743455497377</v>
      </c>
      <c r="CK67" s="771">
        <f t="shared" ca="1" si="23"/>
        <v>2</v>
      </c>
      <c r="CL67" s="771">
        <f t="shared" ca="1" si="24"/>
        <v>0.87260034904013928</v>
      </c>
      <c r="CM67" s="772">
        <f t="shared" ca="1" si="25"/>
        <v>0</v>
      </c>
      <c r="CN67" s="135"/>
      <c r="CO67" s="770">
        <f t="shared" ca="1" si="76"/>
        <v>1.05</v>
      </c>
      <c r="CP67" s="771">
        <f t="shared" ca="1" si="27"/>
        <v>0.98</v>
      </c>
      <c r="CQ67" s="771">
        <f t="shared" ca="1" si="28"/>
        <v>0.96</v>
      </c>
      <c r="CR67" s="771">
        <f t="shared" ca="1" si="29"/>
        <v>0.95</v>
      </c>
      <c r="CS67" s="771">
        <f t="shared" ca="1" si="30"/>
        <v>1.02</v>
      </c>
      <c r="CT67" s="772">
        <f t="shared" ca="1" si="31"/>
        <v>0.02</v>
      </c>
      <c r="CU67" s="135"/>
      <c r="CV67" s="135"/>
      <c r="CW67" s="135"/>
      <c r="CX67" s="135"/>
      <c r="CY67" s="135"/>
      <c r="CZ67" s="135"/>
      <c r="DA67" s="135"/>
      <c r="DB67" s="135"/>
      <c r="DC67" s="135"/>
      <c r="DD67" s="135"/>
      <c r="DE67" s="135"/>
      <c r="DF67" s="135"/>
      <c r="DG67" s="135"/>
      <c r="DH67" s="135"/>
      <c r="DI67" s="135"/>
      <c r="DJ67" s="135"/>
      <c r="DK67" s="135"/>
      <c r="DL67" s="135"/>
      <c r="DX67" s="135"/>
      <c r="DY67" s="135"/>
      <c r="DZ67" s="135"/>
      <c r="EA67" s="135"/>
      <c r="EB67" s="135"/>
      <c r="EC67" s="135"/>
      <c r="ED67" s="135"/>
      <c r="EE67" s="135"/>
      <c r="EF67" s="135"/>
      <c r="EG67" s="135"/>
      <c r="EH67" s="135"/>
      <c r="EI67" s="135"/>
      <c r="EJ67" s="135"/>
      <c r="EK67" s="135"/>
      <c r="EL67" s="135"/>
      <c r="EM67" s="135"/>
      <c r="EN67" s="135"/>
      <c r="EO67" s="135"/>
      <c r="EP67" s="135"/>
      <c r="EQ67" s="135"/>
      <c r="ER67" s="135"/>
      <c r="ES67" s="135"/>
      <c r="ET67" s="135"/>
      <c r="EU67" s="135"/>
      <c r="EV67" s="135"/>
      <c r="EW67" s="135"/>
      <c r="EX67" s="135"/>
      <c r="EY67" s="135"/>
      <c r="EZ67" s="135"/>
      <c r="FA67" s="135"/>
      <c r="FB67" s="135"/>
      <c r="FC67" s="135"/>
      <c r="FD67" s="135"/>
      <c r="FE67" s="135"/>
      <c r="FF67" s="135"/>
      <c r="FG67" s="135"/>
    </row>
    <row r="68" spans="1:163" s="57" customFormat="1" ht="11.25" outlineLevel="1">
      <c r="A68" s="765">
        <f t="shared" si="77"/>
        <v>2</v>
      </c>
      <c r="B68" s="715" t="str" cm="1">
        <f t="array" aca="1" ref="B68" ca="1">INDIRECT("'Definition of Typical Day'!"&amp;ADDRESS(B$16,$E68))</f>
        <v>Spring / fall weekday</v>
      </c>
      <c r="C68" s="766">
        <f t="shared" si="78"/>
        <v>24</v>
      </c>
      <c r="D68" s="715">
        <f t="shared" si="78"/>
        <v>58</v>
      </c>
      <c r="E68" s="715">
        <f t="shared" si="5"/>
        <v>6</v>
      </c>
      <c r="F68" s="767" cm="1">
        <f t="array" aca="1" ref="F68" ca="1">INDIRECT("'Definition of Typical Day'!D"&amp;D68)</f>
        <v>24</v>
      </c>
      <c r="G68" s="767" cm="1">
        <f t="array" aca="1" ref="G68" ca="1">INDIRECT("'Definition of Typical Day'!"&amp;ADDRESS(13,E68))</f>
        <v>2</v>
      </c>
      <c r="H68" s="768" cm="1">
        <f t="array" aca="1" ref="H68" ca="1">INDIRECT("'Definition of Typical Day'!"&amp; ADDRESS($D68+28*(H$16-1),$E68))</f>
        <v>2</v>
      </c>
      <c r="I68" s="715" cm="1">
        <f t="array" aca="1" ref="I68" ca="1">INDIRECT("'Definition of Typical Day'!"&amp; ADDRESS($D68+29*(I$16-1),$E68))</f>
        <v>40</v>
      </c>
      <c r="J68" s="715">
        <f t="shared" ca="1" si="32"/>
        <v>37</v>
      </c>
      <c r="K68" s="785">
        <f t="shared" si="33"/>
        <v>28</v>
      </c>
      <c r="L68" s="786" cm="1">
        <f t="array" aca="1" ref="L68" ca="1">INDIRECT("'Definition of Typical Day'!"&amp; ADDRESS($D68+29*(L$16-1),$E68))</f>
        <v>6</v>
      </c>
      <c r="M68" s="768" cm="1">
        <f t="array" aca="1" ref="M68" ca="1">INDIRECT("'Definition of Typical Day'!"&amp; ADDRESS($D68+29*(M$16-1),$E68))</f>
        <v>86.666666666666657</v>
      </c>
      <c r="N68" s="715">
        <f t="shared" si="34"/>
        <v>3</v>
      </c>
      <c r="O68" s="715">
        <f t="shared" ca="1" si="35"/>
        <v>89.666666666666657</v>
      </c>
      <c r="P68" s="715" cm="1">
        <f t="array" aca="1" ref="P68" ca="1">INDIRECT("'Definition of Typical Day'!"&amp; ADDRESS($D68+29*(P$16-1),$E68))</f>
        <v>45</v>
      </c>
      <c r="Q68" s="787">
        <f t="shared" ca="1" si="36"/>
        <v>48</v>
      </c>
      <c r="R68" s="792">
        <f t="shared" ca="1" si="37"/>
        <v>89.666666666666657</v>
      </c>
      <c r="S68" s="769">
        <f t="shared" si="38"/>
        <v>3</v>
      </c>
      <c r="T68" s="769">
        <f t="shared" ca="1" si="39"/>
        <v>0.24</v>
      </c>
      <c r="U68" s="769">
        <f t="shared" ca="1" si="40"/>
        <v>8.6666666666669126E-3</v>
      </c>
      <c r="V68" s="769">
        <f t="shared" ca="1" si="41"/>
        <v>0</v>
      </c>
      <c r="W68" s="769">
        <f t="shared" ca="1" si="42"/>
        <v>3.2486666666666673</v>
      </c>
      <c r="X68" s="794">
        <f t="shared" si="43"/>
        <v>3</v>
      </c>
      <c r="Y68" s="769">
        <f t="shared" ca="1" si="44"/>
        <v>3</v>
      </c>
      <c r="Z68" s="769">
        <f t="shared" ca="1" si="45"/>
        <v>2.8894159501927064</v>
      </c>
      <c r="AA68" s="795">
        <f t="shared" ca="1" si="46"/>
        <v>2.8894159501927064</v>
      </c>
      <c r="AB68" s="769">
        <f t="shared" ca="1" si="47"/>
        <v>0</v>
      </c>
      <c r="AC68" s="769">
        <f t="shared" ca="1" si="48"/>
        <v>0</v>
      </c>
      <c r="AD68" s="769">
        <f t="shared" ca="1" si="49"/>
        <v>0</v>
      </c>
      <c r="AE68" s="794">
        <f t="shared" ca="1" si="50"/>
        <v>2.8894159501927064</v>
      </c>
      <c r="AF68" s="769">
        <f t="shared" ca="1" si="51"/>
        <v>2.8894159501927065E-2</v>
      </c>
      <c r="AG68" s="769">
        <f t="shared" ca="1" si="52"/>
        <v>2.8605217906907794</v>
      </c>
      <c r="AH68" s="799">
        <f t="shared" ca="1" si="53"/>
        <v>2.8605217906907794</v>
      </c>
      <c r="AI68" s="801">
        <f t="shared" ca="1" si="54"/>
        <v>1</v>
      </c>
      <c r="AJ68" s="794">
        <f t="shared" ca="1" si="55"/>
        <v>2</v>
      </c>
      <c r="AK68" s="769">
        <f t="shared" ca="1" si="56"/>
        <v>0.88941595019270647</v>
      </c>
      <c r="AL68" s="769">
        <f t="shared" ca="1" si="57"/>
        <v>0</v>
      </c>
      <c r="AM68" s="804">
        <f t="shared" ca="1" si="6"/>
        <v>0.2</v>
      </c>
      <c r="AN68" s="795">
        <f t="shared" ca="1" si="7"/>
        <v>0</v>
      </c>
      <c r="AO68" s="251"/>
      <c r="AP68" s="770">
        <f t="shared" si="58"/>
        <v>0</v>
      </c>
      <c r="AQ68" s="771">
        <f t="shared" ca="1" si="59"/>
        <v>0</v>
      </c>
      <c r="AR68" s="771">
        <f t="shared" ca="1" si="60"/>
        <v>4</v>
      </c>
      <c r="AS68" s="772">
        <f t="shared" ca="1" si="61"/>
        <v>4</v>
      </c>
      <c r="AT68" s="231"/>
      <c r="AU68" s="770">
        <f>'Main Results - IRR DC Operator'!$F$16</f>
        <v>2</v>
      </c>
      <c r="AV68" s="773">
        <f>'Main Results - IRR DC Operator'!$F$15</f>
        <v>1</v>
      </c>
      <c r="AW68" s="771">
        <f t="shared" ca="1" si="62"/>
        <v>4</v>
      </c>
      <c r="AX68" s="772">
        <f t="shared" si="63"/>
        <v>0</v>
      </c>
      <c r="AY68" s="231"/>
      <c r="AZ68" s="770" cm="1">
        <f t="array" aca="1" ref="AZ68" ca="1">INDIRECT("'Definition of Typical Day'!"&amp; ADDRESS($D68+29*(AZ$16-1),$E68))+$AZ$17</f>
        <v>85.34</v>
      </c>
      <c r="BA68" s="771" cm="1">
        <f t="array" aca="1" ref="BA68" ca="1">INDIRECT("'Definition of Typical Day'!"&amp; ADDRESS($D68+29*(BA$16-1),$E68))+$BA$17</f>
        <v>85.34</v>
      </c>
      <c r="BB68" s="772" cm="1">
        <f t="array" aca="1" ref="BB68" ca="1">INDIRECT("'Definition of Typical Day'!"&amp;ADDRESS(BB$16,$E68))</f>
        <v>71</v>
      </c>
      <c r="BC68" s="776" cm="1">
        <f t="array" aca="1" ref="BC68" ca="1">INDIRECT("'Definition of Typical Day'!"&amp; ADDRESS($D68+29*(BC$16-1),$E68))</f>
        <v>84.34</v>
      </c>
      <c r="BD68" s="777" cm="1">
        <f t="array" aca="1" ref="BD68" ca="1">INDIRECT("'Definition of Typical Day'!"&amp; ADDRESS($D68+29*(BD$16-1),$E68))</f>
        <v>0.75</v>
      </c>
      <c r="BE68" s="776">
        <f t="shared" si="64"/>
        <v>0</v>
      </c>
      <c r="BF68" s="771">
        <f t="shared" ca="1" si="75"/>
        <v>75.90275718944558</v>
      </c>
      <c r="BG68" s="771">
        <f t="shared" ca="1" si="65"/>
        <v>4.1029706492736429</v>
      </c>
      <c r="BH68" s="771">
        <f t="shared" ca="1" si="66"/>
        <v>0</v>
      </c>
      <c r="BI68" s="776">
        <f t="shared" ca="1" si="67"/>
        <v>16.868000000000002</v>
      </c>
      <c r="BJ68" s="776">
        <f t="shared" ca="1" si="68"/>
        <v>0</v>
      </c>
      <c r="BK68" s="776">
        <f t="shared" ca="1" si="69"/>
        <v>0</v>
      </c>
      <c r="BL68" s="776">
        <f t="shared" ca="1" si="70"/>
        <v>0</v>
      </c>
      <c r="BM68" s="135"/>
      <c r="BN68" s="776">
        <f t="shared" ca="1" si="71"/>
        <v>84.005727838719224</v>
      </c>
      <c r="BO68" s="778">
        <f t="shared" ca="1" si="8"/>
        <v>29.367274219726504</v>
      </c>
      <c r="BP68" s="770">
        <f t="shared" ca="1" si="9"/>
        <v>80.005727838719224</v>
      </c>
      <c r="BQ68" s="771">
        <f t="shared" ca="1" si="10"/>
        <v>0</v>
      </c>
      <c r="BR68" s="771">
        <f t="shared" ca="1" si="11"/>
        <v>0</v>
      </c>
      <c r="BS68" s="776">
        <f t="shared" ca="1" si="72"/>
        <v>84.005727838719224</v>
      </c>
      <c r="BT68" s="776">
        <f t="shared" ca="1" si="12"/>
        <v>80.005727838719224</v>
      </c>
      <c r="BU68" s="783">
        <f t="shared" ca="1" si="13"/>
        <v>27.968927941429477</v>
      </c>
      <c r="BV68" s="783">
        <f t="shared" ca="1" si="14"/>
        <v>27.968927941429477</v>
      </c>
      <c r="BW68" s="1019">
        <f t="shared" ca="1" si="73"/>
        <v>27.968927941429477</v>
      </c>
      <c r="BX68" s="771" cm="1">
        <f t="array" aca="1" ref="BX68" ca="1">INDIRECT("'Definition of Typical Day'!"&amp; ADDRESS($D68+29*(BX$16-1),$E68))</f>
        <v>60</v>
      </c>
      <c r="BY68" s="771">
        <f t="shared" ca="1" si="74"/>
        <v>1</v>
      </c>
      <c r="BZ68" s="781">
        <f t="shared" ca="1" si="15"/>
        <v>1</v>
      </c>
      <c r="CA68" s="781">
        <f t="shared" ca="1" si="16"/>
        <v>0.96313865006423549</v>
      </c>
      <c r="CB68" s="776">
        <f t="shared" ca="1" si="17"/>
        <v>171.63130744144675</v>
      </c>
      <c r="CC68" s="782">
        <f t="shared" si="18"/>
        <v>2</v>
      </c>
      <c r="CD68" s="782">
        <f t="shared" si="19"/>
        <v>24</v>
      </c>
      <c r="CE68" s="784" t="str" cm="1">
        <f t="array" aca="1" ref="CE68" ca="1">INDIRECT("'Definition of Typical Day'!"&amp;ADDRESS(CE$16,$E68))</f>
        <v>Spring / fall weekday</v>
      </c>
      <c r="CF68" s="135"/>
      <c r="CG68" s="135"/>
      <c r="CH68" s="776">
        <f t="shared" ca="1" si="20"/>
        <v>2</v>
      </c>
      <c r="CI68" s="806">
        <f t="shared" ca="1" si="21"/>
        <v>6</v>
      </c>
      <c r="CJ68" s="770">
        <f t="shared" ca="1" si="22"/>
        <v>2.8605217906907794</v>
      </c>
      <c r="CK68" s="771">
        <f t="shared" ca="1" si="23"/>
        <v>2</v>
      </c>
      <c r="CL68" s="771">
        <f t="shared" ca="1" si="24"/>
        <v>0.88941595019270647</v>
      </c>
      <c r="CM68" s="772">
        <f t="shared" ca="1" si="25"/>
        <v>0</v>
      </c>
      <c r="CN68" s="135"/>
      <c r="CO68" s="770">
        <f t="shared" ca="1" si="76"/>
        <v>1.05</v>
      </c>
      <c r="CP68" s="771">
        <f t="shared" ca="1" si="27"/>
        <v>0.98</v>
      </c>
      <c r="CQ68" s="771">
        <f t="shared" ca="1" si="28"/>
        <v>0.96</v>
      </c>
      <c r="CR68" s="771">
        <f t="shared" ca="1" si="29"/>
        <v>0.95</v>
      </c>
      <c r="CS68" s="771">
        <f t="shared" ca="1" si="30"/>
        <v>1.02</v>
      </c>
      <c r="CT68" s="772">
        <f t="shared" ca="1" si="31"/>
        <v>0.02</v>
      </c>
      <c r="CU68" s="135"/>
      <c r="CV68" s="135"/>
      <c r="CW68" s="135"/>
      <c r="CX68" s="135"/>
      <c r="CY68" s="135"/>
      <c r="CZ68" s="135"/>
      <c r="DA68" s="135"/>
      <c r="DB68" s="135"/>
      <c r="DC68" s="135"/>
      <c r="DD68" s="135"/>
      <c r="DE68" s="135"/>
      <c r="DF68" s="135"/>
      <c r="DG68" s="135"/>
      <c r="DH68" s="135"/>
      <c r="DI68" s="135"/>
      <c r="DJ68" s="135"/>
      <c r="DK68" s="135"/>
      <c r="DL68" s="135"/>
      <c r="DX68" s="135"/>
      <c r="DY68" s="135"/>
      <c r="DZ68" s="135"/>
      <c r="EA68" s="135"/>
      <c r="EB68" s="135"/>
      <c r="EC68" s="135"/>
      <c r="ED68" s="135"/>
      <c r="EE68" s="135"/>
      <c r="EF68" s="135"/>
      <c r="EG68" s="135"/>
      <c r="EH68" s="135"/>
      <c r="EI68" s="135"/>
      <c r="EJ68" s="135"/>
      <c r="EK68" s="135"/>
      <c r="EL68" s="135"/>
      <c r="EM68" s="135"/>
      <c r="EN68" s="135"/>
      <c r="EO68" s="135"/>
      <c r="EP68" s="135"/>
      <c r="EQ68" s="135"/>
      <c r="ER68" s="135"/>
      <c r="ES68" s="135"/>
      <c r="ET68" s="135"/>
      <c r="EU68" s="135"/>
      <c r="EV68" s="135"/>
      <c r="EW68" s="135"/>
      <c r="EX68" s="135"/>
      <c r="EY68" s="135"/>
      <c r="EZ68" s="135"/>
      <c r="FA68" s="135"/>
      <c r="FB68" s="135"/>
      <c r="FC68" s="135"/>
      <c r="FD68" s="135"/>
      <c r="FE68" s="135"/>
      <c r="FF68" s="135"/>
      <c r="FG68" s="135"/>
    </row>
    <row r="69" spans="1:163" s="57" customFormat="1" ht="11.25">
      <c r="A69" s="765">
        <f t="shared" si="77"/>
        <v>3</v>
      </c>
      <c r="B69" s="715" t="str" cm="1">
        <f t="array" aca="1" ref="B69" ca="1">INDIRECT("'Definition of Typical Day'!"&amp;ADDRESS(B$16,$E69))</f>
        <v>Spring / fall weekend</v>
      </c>
      <c r="C69" s="766">
        <f t="shared" si="78"/>
        <v>1</v>
      </c>
      <c r="D69" s="715">
        <f t="shared" si="78"/>
        <v>35</v>
      </c>
      <c r="E69" s="715">
        <f t="shared" si="5"/>
        <v>7</v>
      </c>
      <c r="F69" s="767" cm="1">
        <f t="array" aca="1" ref="F69" ca="1">INDIRECT("'Definition of Typical Day'!D"&amp;D69)</f>
        <v>1</v>
      </c>
      <c r="G69" s="767" cm="1">
        <f t="array" aca="1" ref="G69" ca="1">INDIRECT("'Definition of Typical Day'!"&amp;ADDRESS(13,E69))</f>
        <v>3</v>
      </c>
      <c r="H69" s="768" cm="1">
        <f t="array" aca="1" ref="H69" ca="1">INDIRECT("'Definition of Typical Day'!"&amp; ADDRESS($D69+28*(H$16-1),$E69))</f>
        <v>2</v>
      </c>
      <c r="I69" s="715" cm="1">
        <f t="array" aca="1" ref="I69" ca="1">INDIRECT("'Definition of Typical Day'!"&amp; ADDRESS($D69+29*(I$16-1),$E69))</f>
        <v>40</v>
      </c>
      <c r="J69" s="715">
        <f t="shared" ca="1" si="32"/>
        <v>37</v>
      </c>
      <c r="K69" s="785">
        <f t="shared" si="33"/>
        <v>28</v>
      </c>
      <c r="L69" s="786" cm="1">
        <f t="array" aca="1" ref="L69" ca="1">INDIRECT("'Definition of Typical Day'!"&amp; ADDRESS($D69+29*(L$16-1),$E69))</f>
        <v>6</v>
      </c>
      <c r="M69" s="768" cm="1">
        <f t="array" aca="1" ref="M69" ca="1">INDIRECT("'Definition of Typical Day'!"&amp; ADDRESS($D69+29*(M$16-1),$E69))</f>
        <v>86.666666666666657</v>
      </c>
      <c r="N69" s="715">
        <f t="shared" si="34"/>
        <v>3</v>
      </c>
      <c r="O69" s="715">
        <f t="shared" ca="1" si="35"/>
        <v>89.666666666666657</v>
      </c>
      <c r="P69" s="715" cm="1">
        <f t="array" aca="1" ref="P69" ca="1">INDIRECT("'Definition of Typical Day'!"&amp; ADDRESS($D69+29*(P$16-1),$E69))</f>
        <v>45</v>
      </c>
      <c r="Q69" s="787">
        <f t="shared" ca="1" si="36"/>
        <v>48</v>
      </c>
      <c r="R69" s="792">
        <f t="shared" ca="1" si="37"/>
        <v>89.666666666666657</v>
      </c>
      <c r="S69" s="769">
        <f t="shared" si="38"/>
        <v>3</v>
      </c>
      <c r="T69" s="769">
        <f t="shared" ca="1" si="39"/>
        <v>0.24</v>
      </c>
      <c r="U69" s="769">
        <f t="shared" ca="1" si="40"/>
        <v>8.6666666666669126E-3</v>
      </c>
      <c r="V69" s="769">
        <f t="shared" ca="1" si="41"/>
        <v>0</v>
      </c>
      <c r="W69" s="769">
        <f t="shared" ca="1" si="42"/>
        <v>3.2486666666666673</v>
      </c>
      <c r="X69" s="794">
        <f t="shared" si="43"/>
        <v>3</v>
      </c>
      <c r="Y69" s="769">
        <f t="shared" ca="1" si="44"/>
        <v>3</v>
      </c>
      <c r="Z69" s="769">
        <f t="shared" ca="1" si="45"/>
        <v>2.8894159501927064</v>
      </c>
      <c r="AA69" s="795">
        <f t="shared" ca="1" si="46"/>
        <v>2.8894159501927064</v>
      </c>
      <c r="AB69" s="769">
        <f t="shared" ca="1" si="47"/>
        <v>0</v>
      </c>
      <c r="AC69" s="769">
        <f t="shared" ca="1" si="48"/>
        <v>0</v>
      </c>
      <c r="AD69" s="769">
        <f t="shared" ca="1" si="49"/>
        <v>0</v>
      </c>
      <c r="AE69" s="794">
        <f t="shared" ca="1" si="50"/>
        <v>2.8894159501927064</v>
      </c>
      <c r="AF69" s="769">
        <f t="shared" ca="1" si="51"/>
        <v>2.8894159501927065E-2</v>
      </c>
      <c r="AG69" s="769">
        <f t="shared" ca="1" si="52"/>
        <v>2.8605217906907794</v>
      </c>
      <c r="AH69" s="799">
        <f t="shared" ca="1" si="53"/>
        <v>2.8605217906907794</v>
      </c>
      <c r="AI69" s="801">
        <f t="shared" ca="1" si="54"/>
        <v>1</v>
      </c>
      <c r="AJ69" s="794">
        <f t="shared" ca="1" si="55"/>
        <v>2</v>
      </c>
      <c r="AK69" s="769">
        <f t="shared" ca="1" si="56"/>
        <v>0.88941595019270647</v>
      </c>
      <c r="AL69" s="769">
        <f t="shared" ca="1" si="57"/>
        <v>0</v>
      </c>
      <c r="AM69" s="804">
        <f t="shared" ca="1" si="6"/>
        <v>0.18666666666666665</v>
      </c>
      <c r="AN69" s="795">
        <f t="shared" ca="1" si="7"/>
        <v>0</v>
      </c>
      <c r="AO69" s="251"/>
      <c r="AP69" s="770">
        <f t="shared" si="58"/>
        <v>0</v>
      </c>
      <c r="AQ69" s="771">
        <f t="shared" ca="1" si="59"/>
        <v>0</v>
      </c>
      <c r="AR69" s="771">
        <f t="shared" ca="1" si="60"/>
        <v>4</v>
      </c>
      <c r="AS69" s="772">
        <f t="shared" ca="1" si="61"/>
        <v>4</v>
      </c>
      <c r="AT69" s="231"/>
      <c r="AU69" s="770">
        <f>'Main Results - IRR DC Operator'!$F$16</f>
        <v>2</v>
      </c>
      <c r="AV69" s="773">
        <f>'Main Results - IRR DC Operator'!$F$15</f>
        <v>1</v>
      </c>
      <c r="AW69" s="771">
        <f t="shared" ca="1" si="62"/>
        <v>4</v>
      </c>
      <c r="AX69" s="772">
        <f t="shared" si="63"/>
        <v>0</v>
      </c>
      <c r="AY69" s="231"/>
      <c r="AZ69" s="770" cm="1">
        <f t="array" aca="1" ref="AZ69" ca="1">INDIRECT("'Definition of Typical Day'!"&amp; ADDRESS($D69+29*(AZ$16-1),$E69))+$AZ$17</f>
        <v>92.85</v>
      </c>
      <c r="BA69" s="771" cm="1">
        <f t="array" aca="1" ref="BA69" ca="1">INDIRECT("'Definition of Typical Day'!"&amp; ADDRESS($D69+29*(BA$16-1),$E69))+$BA$17</f>
        <v>92.85</v>
      </c>
      <c r="BB69" s="772" cm="1">
        <f t="array" aca="1" ref="BB69" ca="1">INDIRECT("'Definition of Typical Day'!"&amp;ADDRESS(BB$16,$E69))</f>
        <v>71</v>
      </c>
      <c r="BC69" s="776" cm="1">
        <f t="array" aca="1" ref="BC69" ca="1">INDIRECT("'Definition of Typical Day'!"&amp; ADDRESS($D69+29*(BC$16-1),$E69))</f>
        <v>91.85</v>
      </c>
      <c r="BD69" s="777" cm="1">
        <f t="array" aca="1" ref="BD69" ca="1">INDIRECT("'Definition of Typical Day'!"&amp; ADDRESS($D69+29*(BD$16-1),$E69))</f>
        <v>0.7</v>
      </c>
      <c r="BE69" s="776">
        <f t="shared" si="64"/>
        <v>0</v>
      </c>
      <c r="BF69" s="771">
        <f t="shared" ca="1" si="75"/>
        <v>82.582270975392788</v>
      </c>
      <c r="BG69" s="771">
        <f t="shared" ca="1" si="65"/>
        <v>4.1029706492736429</v>
      </c>
      <c r="BH69" s="771">
        <f t="shared" ca="1" si="66"/>
        <v>0</v>
      </c>
      <c r="BI69" s="776">
        <f t="shared" ca="1" si="67"/>
        <v>17.14533333333333</v>
      </c>
      <c r="BJ69" s="776">
        <f t="shared" ca="1" si="68"/>
        <v>0</v>
      </c>
      <c r="BK69" s="776">
        <f t="shared" ca="1" si="69"/>
        <v>0</v>
      </c>
      <c r="BL69" s="776">
        <f t="shared" ca="1" si="70"/>
        <v>0</v>
      </c>
      <c r="BM69" s="135"/>
      <c r="BN69" s="776">
        <f t="shared" ca="1" si="71"/>
        <v>90.685241624666432</v>
      </c>
      <c r="BO69" s="778">
        <f t="shared" ca="1" si="8"/>
        <v>31.702342530579745</v>
      </c>
      <c r="BP69" s="770">
        <f t="shared" ca="1" si="9"/>
        <v>86.685241624666432</v>
      </c>
      <c r="BQ69" s="771">
        <f t="shared" ca="1" si="10"/>
        <v>0</v>
      </c>
      <c r="BR69" s="771">
        <f t="shared" ca="1" si="11"/>
        <v>0</v>
      </c>
      <c r="BS69" s="776">
        <f t="shared" ca="1" si="72"/>
        <v>90.685241624666432</v>
      </c>
      <c r="BT69" s="776">
        <f t="shared" ca="1" si="12"/>
        <v>86.685241624666432</v>
      </c>
      <c r="BU69" s="783">
        <f t="shared" ca="1" si="13"/>
        <v>30.303996252282719</v>
      </c>
      <c r="BV69" s="783">
        <f t="shared" ca="1" si="14"/>
        <v>30.303996252282719</v>
      </c>
      <c r="BW69" s="1019">
        <f t="shared" ca="1" si="73"/>
        <v>30.303996252282719</v>
      </c>
      <c r="BX69" s="771" cm="1">
        <f t="array" aca="1" ref="BX69" ca="1">INDIRECT("'Definition of Typical Day'!"&amp; ADDRESS($D69+29*(BX$16-1),$E69))</f>
        <v>60</v>
      </c>
      <c r="BY69" s="771">
        <f t="shared" ca="1" si="74"/>
        <v>1</v>
      </c>
      <c r="BZ69" s="781">
        <f t="shared" ca="1" si="15"/>
        <v>1</v>
      </c>
      <c r="CA69" s="781">
        <f t="shared" ca="1" si="16"/>
        <v>0.96313865006423549</v>
      </c>
      <c r="CB69" s="776">
        <f t="shared" ca="1" si="17"/>
        <v>171.63130744144675</v>
      </c>
      <c r="CC69" s="782">
        <f t="shared" si="18"/>
        <v>3</v>
      </c>
      <c r="CD69" s="782">
        <f t="shared" si="19"/>
        <v>1</v>
      </c>
      <c r="CE69" s="784" t="str" cm="1">
        <f t="array" aca="1" ref="CE69" ca="1">INDIRECT("'Definition of Typical Day'!"&amp;ADDRESS(CE$16,$E69))</f>
        <v>Spring / fall weekend</v>
      </c>
      <c r="CF69" s="135"/>
      <c r="CG69" s="135"/>
      <c r="CH69" s="776">
        <f t="shared" ca="1" si="20"/>
        <v>2</v>
      </c>
      <c r="CI69" s="806">
        <f t="shared" ca="1" si="21"/>
        <v>6</v>
      </c>
      <c r="CJ69" s="770">
        <f t="shared" ca="1" si="22"/>
        <v>2.8605217906907794</v>
      </c>
      <c r="CK69" s="771">
        <f t="shared" ca="1" si="23"/>
        <v>2</v>
      </c>
      <c r="CL69" s="771">
        <f t="shared" ca="1" si="24"/>
        <v>0.88941595019270647</v>
      </c>
      <c r="CM69" s="772">
        <f t="shared" ca="1" si="25"/>
        <v>0</v>
      </c>
      <c r="CN69" s="135"/>
      <c r="CO69" s="770">
        <f t="shared" ca="1" si="76"/>
        <v>1.05</v>
      </c>
      <c r="CP69" s="771">
        <f t="shared" ca="1" si="27"/>
        <v>0.98</v>
      </c>
      <c r="CQ69" s="771">
        <f t="shared" ca="1" si="28"/>
        <v>0.96</v>
      </c>
      <c r="CR69" s="771">
        <f t="shared" ca="1" si="29"/>
        <v>0.95</v>
      </c>
      <c r="CS69" s="771">
        <f t="shared" ca="1" si="30"/>
        <v>1.02</v>
      </c>
      <c r="CT69" s="772">
        <f t="shared" ca="1" si="31"/>
        <v>0.02</v>
      </c>
      <c r="CU69" s="135"/>
      <c r="CV69" s="135"/>
      <c r="CW69" s="135"/>
      <c r="CX69" s="135"/>
      <c r="CY69" s="135"/>
      <c r="CZ69" s="135"/>
      <c r="DA69" s="135"/>
      <c r="DB69" s="135"/>
      <c r="DC69" s="135"/>
      <c r="DD69" s="135"/>
      <c r="DE69" s="135"/>
      <c r="DF69" s="135"/>
      <c r="DG69" s="135"/>
      <c r="DH69" s="135"/>
      <c r="DI69" s="135"/>
      <c r="DJ69" s="135"/>
      <c r="DK69" s="135"/>
      <c r="DL69" s="135"/>
      <c r="DX69" s="135"/>
      <c r="DY69" s="135"/>
      <c r="DZ69" s="135"/>
      <c r="EA69" s="135"/>
      <c r="EB69" s="135"/>
      <c r="EC69" s="135"/>
      <c r="ED69" s="135"/>
      <c r="EE69" s="135"/>
      <c r="EF69" s="135"/>
      <c r="EG69" s="135"/>
      <c r="EH69" s="135"/>
      <c r="EI69" s="135"/>
      <c r="EJ69" s="135"/>
      <c r="EK69" s="135"/>
      <c r="EL69" s="135"/>
      <c r="EM69" s="135"/>
      <c r="EN69" s="135"/>
      <c r="EO69" s="135"/>
      <c r="EP69" s="135"/>
      <c r="EQ69" s="135"/>
      <c r="ER69" s="135"/>
      <c r="ES69" s="135"/>
      <c r="ET69" s="135"/>
      <c r="EU69" s="135"/>
      <c r="EV69" s="135"/>
      <c r="EW69" s="135"/>
      <c r="EX69" s="135"/>
      <c r="EY69" s="135"/>
      <c r="EZ69" s="135"/>
      <c r="FA69" s="135"/>
      <c r="FB69" s="135"/>
      <c r="FC69" s="135"/>
      <c r="FD69" s="135"/>
      <c r="FE69" s="135"/>
      <c r="FF69" s="135"/>
      <c r="FG69" s="135"/>
    </row>
    <row r="70" spans="1:163" s="57" customFormat="1" ht="11.25" outlineLevel="1">
      <c r="A70" s="765">
        <f t="shared" si="77"/>
        <v>3</v>
      </c>
      <c r="B70" s="715" t="str" cm="1">
        <f t="array" aca="1" ref="B70" ca="1">INDIRECT("'Definition of Typical Day'!"&amp;ADDRESS(B$16,$E70))</f>
        <v>Spring / fall weekend</v>
      </c>
      <c r="C70" s="766">
        <f t="shared" si="78"/>
        <v>2</v>
      </c>
      <c r="D70" s="715">
        <f t="shared" si="78"/>
        <v>36</v>
      </c>
      <c r="E70" s="715">
        <f t="shared" si="5"/>
        <v>7</v>
      </c>
      <c r="F70" s="767" cm="1">
        <f t="array" aca="1" ref="F70" ca="1">INDIRECT("'Definition of Typical Day'!D"&amp;D70)</f>
        <v>2</v>
      </c>
      <c r="G70" s="767" cm="1">
        <f t="array" aca="1" ref="G70" ca="1">INDIRECT("'Definition of Typical Day'!"&amp;ADDRESS(13,E70))</f>
        <v>3</v>
      </c>
      <c r="H70" s="768" cm="1">
        <f t="array" aca="1" ref="H70" ca="1">INDIRECT("'Definition of Typical Day'!"&amp; ADDRESS($D70+28*(H$16-1),$E70))</f>
        <v>2</v>
      </c>
      <c r="I70" s="715" cm="1">
        <f t="array" aca="1" ref="I70" ca="1">INDIRECT("'Definition of Typical Day'!"&amp; ADDRESS($D70+29*(I$16-1),$E70))</f>
        <v>40</v>
      </c>
      <c r="J70" s="715">
        <f t="shared" ca="1" si="32"/>
        <v>37</v>
      </c>
      <c r="K70" s="785">
        <f t="shared" si="33"/>
        <v>28</v>
      </c>
      <c r="L70" s="786" cm="1">
        <f t="array" aca="1" ref="L70" ca="1">INDIRECT("'Definition of Typical Day'!"&amp; ADDRESS($D70+29*(L$16-1),$E70))</f>
        <v>6</v>
      </c>
      <c r="M70" s="768" cm="1">
        <f t="array" aca="1" ref="M70" ca="1">INDIRECT("'Definition of Typical Day'!"&amp; ADDRESS($D70+29*(M$16-1),$E70))</f>
        <v>86.666666666666657</v>
      </c>
      <c r="N70" s="715">
        <f t="shared" si="34"/>
        <v>3</v>
      </c>
      <c r="O70" s="715">
        <f t="shared" ca="1" si="35"/>
        <v>89.666666666666657</v>
      </c>
      <c r="P70" s="715" cm="1">
        <f t="array" aca="1" ref="P70" ca="1">INDIRECT("'Definition of Typical Day'!"&amp; ADDRESS($D70+29*(P$16-1),$E70))</f>
        <v>45</v>
      </c>
      <c r="Q70" s="787">
        <f t="shared" ca="1" si="36"/>
        <v>48</v>
      </c>
      <c r="R70" s="792">
        <f t="shared" ca="1" si="37"/>
        <v>89.666666666666657</v>
      </c>
      <c r="S70" s="769">
        <f t="shared" si="38"/>
        <v>3</v>
      </c>
      <c r="T70" s="769">
        <f t="shared" ca="1" si="39"/>
        <v>0.24</v>
      </c>
      <c r="U70" s="769">
        <f t="shared" ca="1" si="40"/>
        <v>8.6666666666669126E-3</v>
      </c>
      <c r="V70" s="769">
        <f t="shared" ca="1" si="41"/>
        <v>0</v>
      </c>
      <c r="W70" s="769">
        <f t="shared" ca="1" si="42"/>
        <v>3.2486666666666673</v>
      </c>
      <c r="X70" s="794">
        <f t="shared" si="43"/>
        <v>3</v>
      </c>
      <c r="Y70" s="769">
        <f t="shared" ca="1" si="44"/>
        <v>3</v>
      </c>
      <c r="Z70" s="769">
        <f t="shared" ca="1" si="45"/>
        <v>2.8894159501927064</v>
      </c>
      <c r="AA70" s="795">
        <f t="shared" ca="1" si="46"/>
        <v>2.8894159501927064</v>
      </c>
      <c r="AB70" s="769">
        <f t="shared" ca="1" si="47"/>
        <v>0</v>
      </c>
      <c r="AC70" s="769">
        <f t="shared" ca="1" si="48"/>
        <v>0</v>
      </c>
      <c r="AD70" s="769">
        <f t="shared" ca="1" si="49"/>
        <v>0</v>
      </c>
      <c r="AE70" s="794">
        <f t="shared" ca="1" si="50"/>
        <v>2.8894159501927064</v>
      </c>
      <c r="AF70" s="769">
        <f t="shared" ca="1" si="51"/>
        <v>2.8894159501927065E-2</v>
      </c>
      <c r="AG70" s="769">
        <f t="shared" ca="1" si="52"/>
        <v>2.8605217906907794</v>
      </c>
      <c r="AH70" s="799">
        <f t="shared" ca="1" si="53"/>
        <v>2.8605217906907794</v>
      </c>
      <c r="AI70" s="801">
        <f t="shared" ca="1" si="54"/>
        <v>1</v>
      </c>
      <c r="AJ70" s="794">
        <f t="shared" ca="1" si="55"/>
        <v>2</v>
      </c>
      <c r="AK70" s="769">
        <f t="shared" ca="1" si="56"/>
        <v>0.88941595019270647</v>
      </c>
      <c r="AL70" s="769">
        <f t="shared" ca="1" si="57"/>
        <v>0</v>
      </c>
      <c r="AM70" s="804">
        <f t="shared" ca="1" si="6"/>
        <v>0.18666666666666665</v>
      </c>
      <c r="AN70" s="795">
        <f t="shared" ca="1" si="7"/>
        <v>0</v>
      </c>
      <c r="AO70" s="251"/>
      <c r="AP70" s="770">
        <f t="shared" si="58"/>
        <v>0</v>
      </c>
      <c r="AQ70" s="771">
        <f t="shared" ca="1" si="59"/>
        <v>0</v>
      </c>
      <c r="AR70" s="771">
        <f t="shared" ca="1" si="60"/>
        <v>4</v>
      </c>
      <c r="AS70" s="772">
        <f t="shared" ca="1" si="61"/>
        <v>4</v>
      </c>
      <c r="AT70" s="231"/>
      <c r="AU70" s="770">
        <f>'Main Results - IRR DC Operator'!$F$16</f>
        <v>2</v>
      </c>
      <c r="AV70" s="773">
        <f>'Main Results - IRR DC Operator'!$F$15</f>
        <v>1</v>
      </c>
      <c r="AW70" s="771">
        <f t="shared" ca="1" si="62"/>
        <v>4</v>
      </c>
      <c r="AX70" s="772">
        <f t="shared" si="63"/>
        <v>0</v>
      </c>
      <c r="AY70" s="231"/>
      <c r="AZ70" s="770" cm="1">
        <f t="array" aca="1" ref="AZ70" ca="1">INDIRECT("'Definition of Typical Day'!"&amp; ADDRESS($D70+29*(AZ$16-1),$E70))+$AZ$17</f>
        <v>81.59</v>
      </c>
      <c r="BA70" s="771" cm="1">
        <f t="array" aca="1" ref="BA70" ca="1">INDIRECT("'Definition of Typical Day'!"&amp; ADDRESS($D70+29*(BA$16-1),$E70))+$BA$17</f>
        <v>81.59</v>
      </c>
      <c r="BB70" s="772" cm="1">
        <f t="array" aca="1" ref="BB70" ca="1">INDIRECT("'Definition of Typical Day'!"&amp;ADDRESS(BB$16,$E70))</f>
        <v>71</v>
      </c>
      <c r="BC70" s="776" cm="1">
        <f t="array" aca="1" ref="BC70" ca="1">INDIRECT("'Definition of Typical Day'!"&amp; ADDRESS($D70+29*(BC$16-1),$E70))</f>
        <v>80.59</v>
      </c>
      <c r="BD70" s="777" cm="1">
        <f t="array" aca="1" ref="BD70" ca="1">INDIRECT("'Definition of Typical Day'!"&amp; ADDRESS($D70+29*(BD$16-1),$E70))</f>
        <v>0.7</v>
      </c>
      <c r="BE70" s="776">
        <f t="shared" si="64"/>
        <v>0</v>
      </c>
      <c r="BF70" s="771">
        <f t="shared" ca="1" si="75"/>
        <v>72.56744737622293</v>
      </c>
      <c r="BG70" s="771">
        <f t="shared" ca="1" si="65"/>
        <v>4.1029706492736429</v>
      </c>
      <c r="BH70" s="771">
        <f t="shared" ca="1" si="66"/>
        <v>0</v>
      </c>
      <c r="BI70" s="776">
        <f t="shared" ca="1" si="67"/>
        <v>15.043466666666665</v>
      </c>
      <c r="BJ70" s="776">
        <f t="shared" ca="1" si="68"/>
        <v>0</v>
      </c>
      <c r="BK70" s="776">
        <f t="shared" ca="1" si="69"/>
        <v>0</v>
      </c>
      <c r="BL70" s="776">
        <f t="shared" ca="1" si="70"/>
        <v>0</v>
      </c>
      <c r="BM70" s="135"/>
      <c r="BN70" s="776">
        <f t="shared" ca="1" si="71"/>
        <v>80.670418025496573</v>
      </c>
      <c r="BO70" s="778">
        <f t="shared" ca="1" si="8"/>
        <v>28.201294703654643</v>
      </c>
      <c r="BP70" s="770">
        <f t="shared" ca="1" si="9"/>
        <v>76.670418025496573</v>
      </c>
      <c r="BQ70" s="771">
        <f t="shared" ca="1" si="10"/>
        <v>0</v>
      </c>
      <c r="BR70" s="771">
        <f t="shared" ca="1" si="11"/>
        <v>0</v>
      </c>
      <c r="BS70" s="776">
        <f t="shared" ca="1" si="72"/>
        <v>80.670418025496573</v>
      </c>
      <c r="BT70" s="776">
        <f t="shared" ca="1" si="12"/>
        <v>76.670418025496573</v>
      </c>
      <c r="BU70" s="783">
        <f t="shared" ca="1" si="13"/>
        <v>26.802948425357616</v>
      </c>
      <c r="BV70" s="783">
        <f t="shared" ca="1" si="14"/>
        <v>26.802948425357616</v>
      </c>
      <c r="BW70" s="1019">
        <f t="shared" ca="1" si="73"/>
        <v>26.802948425357616</v>
      </c>
      <c r="BX70" s="771" cm="1">
        <f t="array" aca="1" ref="BX70" ca="1">INDIRECT("'Definition of Typical Day'!"&amp; ADDRESS($D70+29*(BX$16-1),$E70))</f>
        <v>60</v>
      </c>
      <c r="BY70" s="771">
        <f t="shared" ca="1" si="74"/>
        <v>1</v>
      </c>
      <c r="BZ70" s="781">
        <f t="shared" ca="1" si="15"/>
        <v>1</v>
      </c>
      <c r="CA70" s="781">
        <f t="shared" ca="1" si="16"/>
        <v>0.96313865006423549</v>
      </c>
      <c r="CB70" s="776">
        <f t="shared" ca="1" si="17"/>
        <v>171.63130744144675</v>
      </c>
      <c r="CC70" s="782">
        <f t="shared" si="18"/>
        <v>3</v>
      </c>
      <c r="CD70" s="782">
        <f t="shared" si="19"/>
        <v>2</v>
      </c>
      <c r="CE70" s="784" t="str" cm="1">
        <f t="array" aca="1" ref="CE70" ca="1">INDIRECT("'Definition of Typical Day'!"&amp;ADDRESS(CE$16,$E70))</f>
        <v>Spring / fall weekend</v>
      </c>
      <c r="CF70" s="135"/>
      <c r="CG70" s="135"/>
      <c r="CH70" s="776">
        <f t="shared" ca="1" si="20"/>
        <v>2</v>
      </c>
      <c r="CI70" s="806">
        <f t="shared" ca="1" si="21"/>
        <v>6</v>
      </c>
      <c r="CJ70" s="770">
        <f t="shared" ca="1" si="22"/>
        <v>2.8605217906907794</v>
      </c>
      <c r="CK70" s="771">
        <f t="shared" ca="1" si="23"/>
        <v>2</v>
      </c>
      <c r="CL70" s="771">
        <f t="shared" ca="1" si="24"/>
        <v>0.88941595019270647</v>
      </c>
      <c r="CM70" s="772">
        <f t="shared" ca="1" si="25"/>
        <v>0</v>
      </c>
      <c r="CN70" s="135"/>
      <c r="CO70" s="770">
        <f t="shared" ca="1" si="76"/>
        <v>1.05</v>
      </c>
      <c r="CP70" s="771">
        <f t="shared" ca="1" si="27"/>
        <v>0.98</v>
      </c>
      <c r="CQ70" s="771">
        <f t="shared" ca="1" si="28"/>
        <v>0.96</v>
      </c>
      <c r="CR70" s="771">
        <f t="shared" ca="1" si="29"/>
        <v>0.95</v>
      </c>
      <c r="CS70" s="771">
        <f t="shared" ca="1" si="30"/>
        <v>1.02</v>
      </c>
      <c r="CT70" s="772">
        <f t="shared" ca="1" si="31"/>
        <v>0.02</v>
      </c>
      <c r="CU70" s="135"/>
      <c r="CV70" s="135"/>
      <c r="CW70" s="135"/>
      <c r="CX70" s="135"/>
      <c r="CY70" s="135"/>
      <c r="CZ70" s="135"/>
      <c r="DA70" s="135"/>
      <c r="DB70" s="135"/>
      <c r="DC70" s="135"/>
      <c r="DD70" s="135"/>
      <c r="DE70" s="135"/>
      <c r="DF70" s="135"/>
      <c r="DG70" s="135"/>
      <c r="DH70" s="135"/>
      <c r="DI70" s="135"/>
      <c r="DJ70" s="135"/>
      <c r="DK70" s="135"/>
      <c r="DL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row>
    <row r="71" spans="1:163" s="57" customFormat="1" ht="11.25" outlineLevel="1">
      <c r="A71" s="765">
        <f t="shared" si="77"/>
        <v>3</v>
      </c>
      <c r="B71" s="715" t="str" cm="1">
        <f t="array" aca="1" ref="B71" ca="1">INDIRECT("'Definition of Typical Day'!"&amp;ADDRESS(B$16,$E71))</f>
        <v>Spring / fall weekend</v>
      </c>
      <c r="C71" s="766">
        <f t="shared" si="78"/>
        <v>3</v>
      </c>
      <c r="D71" s="715">
        <f t="shared" si="78"/>
        <v>37</v>
      </c>
      <c r="E71" s="715">
        <f t="shared" si="5"/>
        <v>7</v>
      </c>
      <c r="F71" s="767" cm="1">
        <f t="array" aca="1" ref="F71" ca="1">INDIRECT("'Definition of Typical Day'!D"&amp;D71)</f>
        <v>3</v>
      </c>
      <c r="G71" s="767" cm="1">
        <f t="array" aca="1" ref="G71" ca="1">INDIRECT("'Definition of Typical Day'!"&amp;ADDRESS(13,E71))</f>
        <v>3</v>
      </c>
      <c r="H71" s="768" cm="1">
        <f t="array" aca="1" ref="H71" ca="1">INDIRECT("'Definition of Typical Day'!"&amp; ADDRESS($D71+28*(H$16-1),$E71))</f>
        <v>2</v>
      </c>
      <c r="I71" s="715" cm="1">
        <f t="array" aca="1" ref="I71" ca="1">INDIRECT("'Definition of Typical Day'!"&amp; ADDRESS($D71+29*(I$16-1),$E71))</f>
        <v>40</v>
      </c>
      <c r="J71" s="715">
        <f t="shared" ca="1" si="32"/>
        <v>37</v>
      </c>
      <c r="K71" s="785">
        <f t="shared" si="33"/>
        <v>28</v>
      </c>
      <c r="L71" s="786" cm="1">
        <f t="array" aca="1" ref="L71" ca="1">INDIRECT("'Definition of Typical Day'!"&amp; ADDRESS($D71+29*(L$16-1),$E71))</f>
        <v>6</v>
      </c>
      <c r="M71" s="768" cm="1">
        <f t="array" aca="1" ref="M71" ca="1">INDIRECT("'Definition of Typical Day'!"&amp; ADDRESS($D71+29*(M$16-1),$E71))</f>
        <v>86.666666666666657</v>
      </c>
      <c r="N71" s="715">
        <f t="shared" si="34"/>
        <v>3</v>
      </c>
      <c r="O71" s="715">
        <f t="shared" ca="1" si="35"/>
        <v>89.666666666666657</v>
      </c>
      <c r="P71" s="715" cm="1">
        <f t="array" aca="1" ref="P71" ca="1">INDIRECT("'Definition of Typical Day'!"&amp; ADDRESS($D71+29*(P$16-1),$E71))</f>
        <v>45</v>
      </c>
      <c r="Q71" s="787">
        <f t="shared" ca="1" si="36"/>
        <v>48</v>
      </c>
      <c r="R71" s="792">
        <f t="shared" ca="1" si="37"/>
        <v>89.666666666666657</v>
      </c>
      <c r="S71" s="769">
        <f t="shared" si="38"/>
        <v>3</v>
      </c>
      <c r="T71" s="769">
        <f t="shared" ca="1" si="39"/>
        <v>0.24</v>
      </c>
      <c r="U71" s="769">
        <f t="shared" ca="1" si="40"/>
        <v>8.6666666666669126E-3</v>
      </c>
      <c r="V71" s="769">
        <f t="shared" ca="1" si="41"/>
        <v>0</v>
      </c>
      <c r="W71" s="769">
        <f t="shared" ca="1" si="42"/>
        <v>3.2486666666666673</v>
      </c>
      <c r="X71" s="794">
        <f t="shared" si="43"/>
        <v>3</v>
      </c>
      <c r="Y71" s="769">
        <f t="shared" ca="1" si="44"/>
        <v>3</v>
      </c>
      <c r="Z71" s="769">
        <f t="shared" ca="1" si="45"/>
        <v>2.8894159501927064</v>
      </c>
      <c r="AA71" s="795">
        <f t="shared" ca="1" si="46"/>
        <v>2.8894159501927064</v>
      </c>
      <c r="AB71" s="769">
        <f t="shared" ca="1" si="47"/>
        <v>0</v>
      </c>
      <c r="AC71" s="769">
        <f t="shared" ca="1" si="48"/>
        <v>0</v>
      </c>
      <c r="AD71" s="769">
        <f t="shared" ca="1" si="49"/>
        <v>0</v>
      </c>
      <c r="AE71" s="794">
        <f t="shared" ca="1" si="50"/>
        <v>2.8894159501927064</v>
      </c>
      <c r="AF71" s="769">
        <f t="shared" ca="1" si="51"/>
        <v>2.8894159501927065E-2</v>
      </c>
      <c r="AG71" s="769">
        <f t="shared" ca="1" si="52"/>
        <v>2.8605217906907794</v>
      </c>
      <c r="AH71" s="799">
        <f t="shared" ca="1" si="53"/>
        <v>2.8605217906907794</v>
      </c>
      <c r="AI71" s="801">
        <f t="shared" ca="1" si="54"/>
        <v>1</v>
      </c>
      <c r="AJ71" s="794">
        <f t="shared" ca="1" si="55"/>
        <v>2</v>
      </c>
      <c r="AK71" s="769">
        <f t="shared" ca="1" si="56"/>
        <v>0.88941595019270647</v>
      </c>
      <c r="AL71" s="769">
        <f t="shared" ca="1" si="57"/>
        <v>0</v>
      </c>
      <c r="AM71" s="804">
        <f t="shared" ca="1" si="6"/>
        <v>0.18666666666666665</v>
      </c>
      <c r="AN71" s="795">
        <f t="shared" ca="1" si="7"/>
        <v>0</v>
      </c>
      <c r="AO71" s="251"/>
      <c r="AP71" s="770">
        <f t="shared" si="58"/>
        <v>0</v>
      </c>
      <c r="AQ71" s="771">
        <f t="shared" ca="1" si="59"/>
        <v>0</v>
      </c>
      <c r="AR71" s="771">
        <f t="shared" ca="1" si="60"/>
        <v>4</v>
      </c>
      <c r="AS71" s="772">
        <f t="shared" ca="1" si="61"/>
        <v>4</v>
      </c>
      <c r="AT71" s="231"/>
      <c r="AU71" s="770">
        <f>'Main Results - IRR DC Operator'!$F$16</f>
        <v>2</v>
      </c>
      <c r="AV71" s="773">
        <f>'Main Results - IRR DC Operator'!$F$15</f>
        <v>1</v>
      </c>
      <c r="AW71" s="771">
        <f t="shared" ca="1" si="62"/>
        <v>4</v>
      </c>
      <c r="AX71" s="772">
        <f t="shared" si="63"/>
        <v>0</v>
      </c>
      <c r="AY71" s="231"/>
      <c r="AZ71" s="770" cm="1">
        <f t="array" aca="1" ref="AZ71" ca="1">INDIRECT("'Definition of Typical Day'!"&amp; ADDRESS($D71+29*(AZ$16-1),$E71))+$AZ$17</f>
        <v>80.53</v>
      </c>
      <c r="BA71" s="771" cm="1">
        <f t="array" aca="1" ref="BA71" ca="1">INDIRECT("'Definition of Typical Day'!"&amp; ADDRESS($D71+29*(BA$16-1),$E71))+$BA$17</f>
        <v>80.53</v>
      </c>
      <c r="BB71" s="772" cm="1">
        <f t="array" aca="1" ref="BB71" ca="1">INDIRECT("'Definition of Typical Day'!"&amp;ADDRESS(BB$16,$E71))</f>
        <v>71</v>
      </c>
      <c r="BC71" s="776" cm="1">
        <f t="array" aca="1" ref="BC71" ca="1">INDIRECT("'Definition of Typical Day'!"&amp; ADDRESS($D71+29*(BC$16-1),$E71))</f>
        <v>79.53</v>
      </c>
      <c r="BD71" s="777" cm="1">
        <f t="array" aca="1" ref="BD71" ca="1">INDIRECT("'Definition of Typical Day'!"&amp; ADDRESS($D71+29*(BD$16-1),$E71))</f>
        <v>0.7</v>
      </c>
      <c r="BE71" s="776">
        <f t="shared" si="64"/>
        <v>0</v>
      </c>
      <c r="BF71" s="771">
        <f t="shared" ca="1" si="75"/>
        <v>71.624666469018649</v>
      </c>
      <c r="BG71" s="771">
        <f t="shared" ca="1" si="65"/>
        <v>4.1029706492736429</v>
      </c>
      <c r="BH71" s="771">
        <f t="shared" ca="1" si="66"/>
        <v>0</v>
      </c>
      <c r="BI71" s="776">
        <f t="shared" ca="1" si="67"/>
        <v>14.845599999999999</v>
      </c>
      <c r="BJ71" s="776">
        <f t="shared" ca="1" si="68"/>
        <v>0</v>
      </c>
      <c r="BK71" s="776">
        <f t="shared" ca="1" si="69"/>
        <v>0</v>
      </c>
      <c r="BL71" s="776">
        <f t="shared" ca="1" si="70"/>
        <v>0</v>
      </c>
      <c r="BM71" s="135"/>
      <c r="BN71" s="776">
        <f t="shared" ca="1" si="71"/>
        <v>79.727637118292293</v>
      </c>
      <c r="BO71" s="778">
        <f t="shared" ca="1" si="8"/>
        <v>27.871711160444992</v>
      </c>
      <c r="BP71" s="770">
        <f t="shared" ca="1" si="9"/>
        <v>75.727637118292293</v>
      </c>
      <c r="BQ71" s="771">
        <f t="shared" ca="1" si="10"/>
        <v>0</v>
      </c>
      <c r="BR71" s="771">
        <f t="shared" ca="1" si="11"/>
        <v>0</v>
      </c>
      <c r="BS71" s="776">
        <f t="shared" ca="1" si="72"/>
        <v>79.727637118292293</v>
      </c>
      <c r="BT71" s="776">
        <f t="shared" ca="1" si="12"/>
        <v>75.727637118292293</v>
      </c>
      <c r="BU71" s="783">
        <f t="shared" ca="1" si="13"/>
        <v>26.473364882147965</v>
      </c>
      <c r="BV71" s="783">
        <f t="shared" ca="1" si="14"/>
        <v>26.473364882147965</v>
      </c>
      <c r="BW71" s="1019">
        <f t="shared" ca="1" si="73"/>
        <v>26.473364882147965</v>
      </c>
      <c r="BX71" s="771" cm="1">
        <f t="array" aca="1" ref="BX71" ca="1">INDIRECT("'Definition of Typical Day'!"&amp; ADDRESS($D71+29*(BX$16-1),$E71))</f>
        <v>60</v>
      </c>
      <c r="BY71" s="771">
        <f t="shared" ca="1" si="74"/>
        <v>1</v>
      </c>
      <c r="BZ71" s="781">
        <f t="shared" ca="1" si="15"/>
        <v>1</v>
      </c>
      <c r="CA71" s="781">
        <f t="shared" ca="1" si="16"/>
        <v>0.96313865006423549</v>
      </c>
      <c r="CB71" s="776">
        <f t="shared" ca="1" si="17"/>
        <v>171.63130744144675</v>
      </c>
      <c r="CC71" s="782">
        <f t="shared" si="18"/>
        <v>3</v>
      </c>
      <c r="CD71" s="782">
        <f t="shared" si="19"/>
        <v>3</v>
      </c>
      <c r="CE71" s="784" t="str" cm="1">
        <f t="array" aca="1" ref="CE71" ca="1">INDIRECT("'Definition of Typical Day'!"&amp;ADDRESS(CE$16,$E71))</f>
        <v>Spring / fall weekend</v>
      </c>
      <c r="CF71" s="135"/>
      <c r="CG71" s="135"/>
      <c r="CH71" s="776">
        <f t="shared" ca="1" si="20"/>
        <v>2</v>
      </c>
      <c r="CI71" s="806">
        <f t="shared" ca="1" si="21"/>
        <v>6</v>
      </c>
      <c r="CJ71" s="770">
        <f t="shared" ca="1" si="22"/>
        <v>2.8605217906907794</v>
      </c>
      <c r="CK71" s="771">
        <f t="shared" ca="1" si="23"/>
        <v>2</v>
      </c>
      <c r="CL71" s="771">
        <f t="shared" ca="1" si="24"/>
        <v>0.88941595019270647</v>
      </c>
      <c r="CM71" s="772">
        <f t="shared" ca="1" si="25"/>
        <v>0</v>
      </c>
      <c r="CN71" s="135"/>
      <c r="CO71" s="770">
        <f t="shared" ca="1" si="76"/>
        <v>1.05</v>
      </c>
      <c r="CP71" s="771">
        <f t="shared" ca="1" si="27"/>
        <v>0.98</v>
      </c>
      <c r="CQ71" s="771">
        <f t="shared" ca="1" si="28"/>
        <v>0.96</v>
      </c>
      <c r="CR71" s="771">
        <f t="shared" ca="1" si="29"/>
        <v>0.95</v>
      </c>
      <c r="CS71" s="771">
        <f t="shared" ca="1" si="30"/>
        <v>1.02</v>
      </c>
      <c r="CT71" s="772">
        <f t="shared" ca="1" si="31"/>
        <v>0.02</v>
      </c>
      <c r="CU71" s="135"/>
      <c r="CV71" s="135"/>
      <c r="CW71" s="135"/>
      <c r="CX71" s="135"/>
      <c r="CY71" s="135"/>
      <c r="CZ71" s="135"/>
      <c r="DA71" s="135"/>
      <c r="DB71" s="135"/>
      <c r="DC71" s="135"/>
      <c r="DD71" s="135"/>
      <c r="DE71" s="135"/>
      <c r="DF71" s="135"/>
      <c r="DG71" s="135"/>
      <c r="DH71" s="135"/>
      <c r="DI71" s="135"/>
      <c r="DJ71" s="135"/>
      <c r="DK71" s="135"/>
      <c r="DL71" s="135"/>
      <c r="DX71" s="135"/>
      <c r="DY71" s="135"/>
      <c r="DZ71" s="135"/>
      <c r="EA71" s="135"/>
      <c r="EB71" s="135"/>
      <c r="EC71" s="135"/>
      <c r="ED71" s="135"/>
      <c r="EE71" s="135"/>
      <c r="EF71" s="135"/>
      <c r="EG71" s="135"/>
      <c r="EH71" s="135"/>
      <c r="EI71" s="135"/>
      <c r="EJ71" s="135"/>
      <c r="EK71" s="135"/>
      <c r="EL71" s="135"/>
      <c r="EM71" s="135"/>
      <c r="EN71" s="135"/>
      <c r="EO71" s="135"/>
      <c r="EP71" s="135"/>
      <c r="EQ71" s="135"/>
      <c r="ER71" s="135"/>
      <c r="ES71" s="135"/>
      <c r="ET71" s="135"/>
      <c r="EU71" s="135"/>
      <c r="EV71" s="135"/>
      <c r="EW71" s="135"/>
      <c r="EX71" s="135"/>
      <c r="EY71" s="135"/>
      <c r="EZ71" s="135"/>
      <c r="FA71" s="135"/>
      <c r="FB71" s="135"/>
      <c r="FC71" s="135"/>
      <c r="FD71" s="135"/>
      <c r="FE71" s="135"/>
      <c r="FF71" s="135"/>
      <c r="FG71" s="135"/>
    </row>
    <row r="72" spans="1:163" s="57" customFormat="1" ht="11.25" outlineLevel="1">
      <c r="A72" s="765">
        <f t="shared" si="77"/>
        <v>3</v>
      </c>
      <c r="B72" s="715" t="str" cm="1">
        <f t="array" aca="1" ref="B72" ca="1">INDIRECT("'Definition of Typical Day'!"&amp;ADDRESS(B$16,$E72))</f>
        <v>Spring / fall weekend</v>
      </c>
      <c r="C72" s="766">
        <f t="shared" si="78"/>
        <v>4</v>
      </c>
      <c r="D72" s="715">
        <f t="shared" si="78"/>
        <v>38</v>
      </c>
      <c r="E72" s="715">
        <f t="shared" si="5"/>
        <v>7</v>
      </c>
      <c r="F72" s="767" cm="1">
        <f t="array" aca="1" ref="F72" ca="1">INDIRECT("'Definition of Typical Day'!D"&amp;D72)</f>
        <v>4</v>
      </c>
      <c r="G72" s="767" cm="1">
        <f t="array" aca="1" ref="G72" ca="1">INDIRECT("'Definition of Typical Day'!"&amp;ADDRESS(13,E72))</f>
        <v>3</v>
      </c>
      <c r="H72" s="768" cm="1">
        <f t="array" aca="1" ref="H72" ca="1">INDIRECT("'Definition of Typical Day'!"&amp; ADDRESS($D72+28*(H$16-1),$E72))</f>
        <v>2</v>
      </c>
      <c r="I72" s="715" cm="1">
        <f t="array" aca="1" ref="I72" ca="1">INDIRECT("'Definition of Typical Day'!"&amp; ADDRESS($D72+29*(I$16-1),$E72))</f>
        <v>40</v>
      </c>
      <c r="J72" s="715">
        <f t="shared" ca="1" si="32"/>
        <v>37</v>
      </c>
      <c r="K72" s="785">
        <f t="shared" si="33"/>
        <v>28</v>
      </c>
      <c r="L72" s="786" cm="1">
        <f t="array" aca="1" ref="L72" ca="1">INDIRECT("'Definition of Typical Day'!"&amp; ADDRESS($D72+29*(L$16-1),$E72))</f>
        <v>6</v>
      </c>
      <c r="M72" s="768" cm="1">
        <f t="array" aca="1" ref="M72" ca="1">INDIRECT("'Definition of Typical Day'!"&amp; ADDRESS($D72+29*(M$16-1),$E72))</f>
        <v>88.333333333333329</v>
      </c>
      <c r="N72" s="715">
        <f t="shared" si="34"/>
        <v>3</v>
      </c>
      <c r="O72" s="715">
        <f t="shared" ca="1" si="35"/>
        <v>91.333333333333329</v>
      </c>
      <c r="P72" s="715" cm="1">
        <f t="array" aca="1" ref="P72" ca="1">INDIRECT("'Definition of Typical Day'!"&amp; ADDRESS($D72+29*(P$16-1),$E72))</f>
        <v>45</v>
      </c>
      <c r="Q72" s="787">
        <f t="shared" ca="1" si="36"/>
        <v>48</v>
      </c>
      <c r="R72" s="792">
        <f t="shared" ca="1" si="37"/>
        <v>91.333333333333329</v>
      </c>
      <c r="S72" s="769">
        <f t="shared" si="38"/>
        <v>3</v>
      </c>
      <c r="T72" s="769">
        <f t="shared" ca="1" si="39"/>
        <v>0.24</v>
      </c>
      <c r="U72" s="769">
        <f t="shared" ca="1" si="40"/>
        <v>-3.466666666666654E-2</v>
      </c>
      <c r="V72" s="769">
        <f t="shared" ca="1" si="41"/>
        <v>0</v>
      </c>
      <c r="W72" s="769">
        <f t="shared" ca="1" si="42"/>
        <v>3.2053333333333338</v>
      </c>
      <c r="X72" s="794">
        <f t="shared" si="43"/>
        <v>3</v>
      </c>
      <c r="Y72" s="769">
        <f t="shared" ca="1" si="44"/>
        <v>3</v>
      </c>
      <c r="Z72" s="769">
        <f t="shared" ca="1" si="45"/>
        <v>2.9068923821039903</v>
      </c>
      <c r="AA72" s="795">
        <f t="shared" ca="1" si="46"/>
        <v>2.9068923821039903</v>
      </c>
      <c r="AB72" s="769">
        <f t="shared" ca="1" si="47"/>
        <v>0</v>
      </c>
      <c r="AC72" s="769">
        <f t="shared" ca="1" si="48"/>
        <v>0</v>
      </c>
      <c r="AD72" s="769">
        <f t="shared" ca="1" si="49"/>
        <v>0</v>
      </c>
      <c r="AE72" s="794">
        <f t="shared" ca="1" si="50"/>
        <v>2.9068923821039903</v>
      </c>
      <c r="AF72" s="769">
        <f t="shared" ca="1" si="51"/>
        <v>2.9068923821039903E-2</v>
      </c>
      <c r="AG72" s="769">
        <f t="shared" ca="1" si="52"/>
        <v>2.8778234582829505</v>
      </c>
      <c r="AH72" s="799">
        <f t="shared" ca="1" si="53"/>
        <v>2.8778234582829505</v>
      </c>
      <c r="AI72" s="801">
        <f t="shared" ca="1" si="54"/>
        <v>1</v>
      </c>
      <c r="AJ72" s="794">
        <f t="shared" ca="1" si="55"/>
        <v>2</v>
      </c>
      <c r="AK72" s="769">
        <f t="shared" ca="1" si="56"/>
        <v>0.90689238210399015</v>
      </c>
      <c r="AL72" s="769">
        <f t="shared" ca="1" si="57"/>
        <v>0</v>
      </c>
      <c r="AM72" s="804">
        <f t="shared" ca="1" si="6"/>
        <v>0.18666666666666665</v>
      </c>
      <c r="AN72" s="795">
        <f t="shared" ca="1" si="7"/>
        <v>0</v>
      </c>
      <c r="AO72" s="251"/>
      <c r="AP72" s="770">
        <f t="shared" si="58"/>
        <v>0</v>
      </c>
      <c r="AQ72" s="771">
        <f t="shared" ca="1" si="59"/>
        <v>0</v>
      </c>
      <c r="AR72" s="771">
        <f t="shared" ca="1" si="60"/>
        <v>4</v>
      </c>
      <c r="AS72" s="772">
        <f t="shared" ca="1" si="61"/>
        <v>4</v>
      </c>
      <c r="AT72" s="231"/>
      <c r="AU72" s="770">
        <f>'Main Results - IRR DC Operator'!$F$16</f>
        <v>2</v>
      </c>
      <c r="AV72" s="773">
        <f>'Main Results - IRR DC Operator'!$F$15</f>
        <v>1</v>
      </c>
      <c r="AW72" s="771">
        <f t="shared" ca="1" si="62"/>
        <v>4</v>
      </c>
      <c r="AX72" s="772">
        <f t="shared" si="63"/>
        <v>0</v>
      </c>
      <c r="AY72" s="231"/>
      <c r="AZ72" s="770" cm="1">
        <f t="array" aca="1" ref="AZ72" ca="1">INDIRECT("'Definition of Typical Day'!"&amp; ADDRESS($D72+29*(AZ$16-1),$E72))+$AZ$17</f>
        <v>75.400000000000006</v>
      </c>
      <c r="BA72" s="771" cm="1">
        <f t="array" aca="1" ref="BA72" ca="1">INDIRECT("'Definition of Typical Day'!"&amp; ADDRESS($D72+29*(BA$16-1),$E72))+$BA$17</f>
        <v>75.400000000000006</v>
      </c>
      <c r="BB72" s="772" cm="1">
        <f t="array" aca="1" ref="BB72" ca="1">INDIRECT("'Definition of Typical Day'!"&amp;ADDRESS(BB$16,$E72))</f>
        <v>71</v>
      </c>
      <c r="BC72" s="776" cm="1">
        <f t="array" aca="1" ref="BC72" ca="1">INDIRECT("'Definition of Typical Day'!"&amp; ADDRESS($D72+29*(BC$16-1),$E72))</f>
        <v>74.400000000000006</v>
      </c>
      <c r="BD72" s="777" cm="1">
        <f t="array" aca="1" ref="BD72" ca="1">INDIRECT("'Definition of Typical Day'!"&amp; ADDRESS($D72+29*(BD$16-1),$E72))</f>
        <v>0.7</v>
      </c>
      <c r="BE72" s="776">
        <f t="shared" si="64"/>
        <v>0</v>
      </c>
      <c r="BF72" s="771">
        <f t="shared" ca="1" si="75"/>
        <v>68.379685610640863</v>
      </c>
      <c r="BG72" s="771">
        <f t="shared" ca="1" si="65"/>
        <v>4.1277871825876664</v>
      </c>
      <c r="BH72" s="771">
        <f t="shared" ca="1" si="66"/>
        <v>0</v>
      </c>
      <c r="BI72" s="776">
        <f t="shared" ca="1" si="67"/>
        <v>13.888</v>
      </c>
      <c r="BJ72" s="776">
        <f t="shared" ca="1" si="68"/>
        <v>0</v>
      </c>
      <c r="BK72" s="776">
        <f t="shared" ca="1" si="69"/>
        <v>0</v>
      </c>
      <c r="BL72" s="776">
        <f t="shared" ca="1" si="70"/>
        <v>0</v>
      </c>
      <c r="BM72" s="135"/>
      <c r="BN72" s="776">
        <f t="shared" ca="1" si="71"/>
        <v>76.50747279322853</v>
      </c>
      <c r="BO72" s="778">
        <f t="shared" ca="1" si="8"/>
        <v>26.585186305652194</v>
      </c>
      <c r="BP72" s="770">
        <f t="shared" ca="1" si="9"/>
        <v>72.50747279322853</v>
      </c>
      <c r="BQ72" s="771">
        <f t="shared" ca="1" si="10"/>
        <v>0</v>
      </c>
      <c r="BR72" s="771">
        <f t="shared" ca="1" si="11"/>
        <v>0</v>
      </c>
      <c r="BS72" s="776">
        <f t="shared" ca="1" si="72"/>
        <v>76.50747279322853</v>
      </c>
      <c r="BT72" s="776">
        <f t="shared" ca="1" si="12"/>
        <v>72.50747279322853</v>
      </c>
      <c r="BU72" s="783">
        <f t="shared" ca="1" si="13"/>
        <v>25.195246978940819</v>
      </c>
      <c r="BV72" s="783">
        <f t="shared" ca="1" si="14"/>
        <v>25.195246978940819</v>
      </c>
      <c r="BW72" s="1019">
        <f t="shared" ca="1" si="73"/>
        <v>25.195246978940819</v>
      </c>
      <c r="BX72" s="771" cm="1">
        <f t="array" aca="1" ref="BX72" ca="1">INDIRECT("'Definition of Typical Day'!"&amp; ADDRESS($D72+29*(BX$16-1),$E72))</f>
        <v>60</v>
      </c>
      <c r="BY72" s="771">
        <f t="shared" ca="1" si="74"/>
        <v>1</v>
      </c>
      <c r="BZ72" s="781">
        <f t="shared" ca="1" si="15"/>
        <v>1</v>
      </c>
      <c r="CA72" s="781">
        <f t="shared" ca="1" si="16"/>
        <v>0.96896412736799675</v>
      </c>
      <c r="CB72" s="776">
        <f t="shared" ca="1" si="17"/>
        <v>172.66940749697704</v>
      </c>
      <c r="CC72" s="782">
        <f t="shared" si="18"/>
        <v>3</v>
      </c>
      <c r="CD72" s="782">
        <f t="shared" si="19"/>
        <v>4</v>
      </c>
      <c r="CE72" s="784" t="str" cm="1">
        <f t="array" aca="1" ref="CE72" ca="1">INDIRECT("'Definition of Typical Day'!"&amp;ADDRESS(CE$16,$E72))</f>
        <v>Spring / fall weekend</v>
      </c>
      <c r="CF72" s="135"/>
      <c r="CG72" s="135"/>
      <c r="CH72" s="776">
        <f t="shared" ca="1" si="20"/>
        <v>2</v>
      </c>
      <c r="CI72" s="806">
        <f t="shared" ca="1" si="21"/>
        <v>6</v>
      </c>
      <c r="CJ72" s="770">
        <f t="shared" ca="1" si="22"/>
        <v>2.8778234582829505</v>
      </c>
      <c r="CK72" s="771">
        <f t="shared" ca="1" si="23"/>
        <v>2</v>
      </c>
      <c r="CL72" s="771">
        <f t="shared" ca="1" si="24"/>
        <v>0.90689238210399015</v>
      </c>
      <c r="CM72" s="772">
        <f t="shared" ca="1" si="25"/>
        <v>0</v>
      </c>
      <c r="CN72" s="135"/>
      <c r="CO72" s="770">
        <f t="shared" ca="1" si="76"/>
        <v>1.05</v>
      </c>
      <c r="CP72" s="771">
        <f t="shared" ca="1" si="27"/>
        <v>0.98</v>
      </c>
      <c r="CQ72" s="771">
        <f t="shared" ca="1" si="28"/>
        <v>0.96</v>
      </c>
      <c r="CR72" s="771">
        <f t="shared" ca="1" si="29"/>
        <v>0.95</v>
      </c>
      <c r="CS72" s="771">
        <f t="shared" ca="1" si="30"/>
        <v>1.02</v>
      </c>
      <c r="CT72" s="772">
        <f t="shared" ca="1" si="31"/>
        <v>0.02</v>
      </c>
      <c r="CU72" s="135"/>
      <c r="CV72" s="135"/>
      <c r="CW72" s="135"/>
      <c r="CX72" s="135"/>
      <c r="CY72" s="135"/>
      <c r="CZ72" s="135"/>
      <c r="DA72" s="135"/>
      <c r="DB72" s="135"/>
      <c r="DC72" s="135"/>
      <c r="DD72" s="135"/>
      <c r="DE72" s="135"/>
      <c r="DF72" s="135"/>
      <c r="DG72" s="135"/>
      <c r="DH72" s="135"/>
      <c r="DI72" s="135"/>
      <c r="DJ72" s="135"/>
      <c r="DK72" s="135"/>
      <c r="DL72" s="135"/>
      <c r="DX72" s="135"/>
      <c r="DY72" s="135"/>
      <c r="DZ72" s="135"/>
      <c r="EA72" s="135"/>
      <c r="EB72" s="135"/>
      <c r="EC72" s="135"/>
      <c r="ED72" s="135"/>
      <c r="EE72" s="135"/>
      <c r="EF72" s="135"/>
      <c r="EG72" s="135"/>
      <c r="EH72" s="135"/>
      <c r="EI72" s="135"/>
      <c r="EJ72" s="135"/>
      <c r="EK72" s="135"/>
      <c r="EL72" s="135"/>
      <c r="EM72" s="135"/>
      <c r="EN72" s="135"/>
      <c r="EO72" s="135"/>
      <c r="EP72" s="135"/>
      <c r="EQ72" s="135"/>
      <c r="ER72" s="135"/>
      <c r="ES72" s="135"/>
      <c r="ET72" s="135"/>
      <c r="EU72" s="135"/>
      <c r="EV72" s="135"/>
      <c r="EW72" s="135"/>
      <c r="EX72" s="135"/>
      <c r="EY72" s="135"/>
      <c r="EZ72" s="135"/>
      <c r="FA72" s="135"/>
      <c r="FB72" s="135"/>
      <c r="FC72" s="135"/>
      <c r="FD72" s="135"/>
      <c r="FE72" s="135"/>
      <c r="FF72" s="135"/>
      <c r="FG72" s="135"/>
    </row>
    <row r="73" spans="1:163" s="57" customFormat="1" ht="11.25" outlineLevel="1">
      <c r="A73" s="765">
        <f t="shared" si="77"/>
        <v>3</v>
      </c>
      <c r="B73" s="715" t="str" cm="1">
        <f t="array" aca="1" ref="B73" ca="1">INDIRECT("'Definition of Typical Day'!"&amp;ADDRESS(B$16,$E73))</f>
        <v>Spring / fall weekend</v>
      </c>
      <c r="C73" s="766">
        <f t="shared" si="78"/>
        <v>5</v>
      </c>
      <c r="D73" s="715">
        <f t="shared" si="78"/>
        <v>39</v>
      </c>
      <c r="E73" s="715">
        <f t="shared" si="5"/>
        <v>7</v>
      </c>
      <c r="F73" s="767" cm="1">
        <f t="array" aca="1" ref="F73" ca="1">INDIRECT("'Definition of Typical Day'!D"&amp;D73)</f>
        <v>5</v>
      </c>
      <c r="G73" s="767" cm="1">
        <f t="array" aca="1" ref="G73" ca="1">INDIRECT("'Definition of Typical Day'!"&amp;ADDRESS(13,E73))</f>
        <v>3</v>
      </c>
      <c r="H73" s="768" cm="1">
        <f t="array" aca="1" ref="H73" ca="1">INDIRECT("'Definition of Typical Day'!"&amp; ADDRESS($D73+28*(H$16-1),$E73))</f>
        <v>2</v>
      </c>
      <c r="I73" s="715" cm="1">
        <f t="array" aca="1" ref="I73" ca="1">INDIRECT("'Definition of Typical Day'!"&amp; ADDRESS($D73+29*(I$16-1),$E73))</f>
        <v>40</v>
      </c>
      <c r="J73" s="715">
        <f t="shared" ca="1" si="32"/>
        <v>37</v>
      </c>
      <c r="K73" s="785">
        <f t="shared" si="33"/>
        <v>28</v>
      </c>
      <c r="L73" s="786" cm="1">
        <f t="array" aca="1" ref="L73" ca="1">INDIRECT("'Definition of Typical Day'!"&amp; ADDRESS($D73+29*(L$16-1),$E73))</f>
        <v>6</v>
      </c>
      <c r="M73" s="768" cm="1">
        <f t="array" aca="1" ref="M73" ca="1">INDIRECT("'Definition of Typical Day'!"&amp; ADDRESS($D73+29*(M$16-1),$E73))</f>
        <v>90</v>
      </c>
      <c r="N73" s="715">
        <f t="shared" si="34"/>
        <v>3</v>
      </c>
      <c r="O73" s="715">
        <f t="shared" ca="1" si="35"/>
        <v>93</v>
      </c>
      <c r="P73" s="715" cm="1">
        <f t="array" aca="1" ref="P73" ca="1">INDIRECT("'Definition of Typical Day'!"&amp; ADDRESS($D73+29*(P$16-1),$E73))</f>
        <v>45</v>
      </c>
      <c r="Q73" s="787">
        <f t="shared" ca="1" si="36"/>
        <v>48</v>
      </c>
      <c r="R73" s="792">
        <f t="shared" ca="1" si="37"/>
        <v>93</v>
      </c>
      <c r="S73" s="769">
        <f t="shared" si="38"/>
        <v>3</v>
      </c>
      <c r="T73" s="769">
        <f t="shared" ca="1" si="39"/>
        <v>0.24</v>
      </c>
      <c r="U73" s="769">
        <f t="shared" ca="1" si="40"/>
        <v>-7.8E-2</v>
      </c>
      <c r="V73" s="769">
        <f t="shared" ca="1" si="41"/>
        <v>0</v>
      </c>
      <c r="W73" s="769">
        <f t="shared" ca="1" si="42"/>
        <v>3.1620000000000004</v>
      </c>
      <c r="X73" s="794">
        <f t="shared" si="43"/>
        <v>3</v>
      </c>
      <c r="Y73" s="769">
        <f t="shared" ca="1" si="44"/>
        <v>3</v>
      </c>
      <c r="Z73" s="769">
        <f t="shared" ca="1" si="45"/>
        <v>2.925069380203515</v>
      </c>
      <c r="AA73" s="795">
        <f t="shared" ca="1" si="46"/>
        <v>2.925069380203515</v>
      </c>
      <c r="AB73" s="769">
        <f t="shared" ca="1" si="47"/>
        <v>0</v>
      </c>
      <c r="AC73" s="769">
        <f t="shared" ca="1" si="48"/>
        <v>0</v>
      </c>
      <c r="AD73" s="769">
        <f t="shared" ca="1" si="49"/>
        <v>0</v>
      </c>
      <c r="AE73" s="794">
        <f t="shared" ca="1" si="50"/>
        <v>2.925069380203515</v>
      </c>
      <c r="AF73" s="769">
        <f t="shared" ca="1" si="51"/>
        <v>2.9250693802035151E-2</v>
      </c>
      <c r="AG73" s="769">
        <f t="shared" ca="1" si="52"/>
        <v>2.8958186864014799</v>
      </c>
      <c r="AH73" s="799">
        <f t="shared" ca="1" si="53"/>
        <v>2.8958186864014799</v>
      </c>
      <c r="AI73" s="801">
        <f t="shared" ca="1" si="54"/>
        <v>1</v>
      </c>
      <c r="AJ73" s="794">
        <f t="shared" ca="1" si="55"/>
        <v>2</v>
      </c>
      <c r="AK73" s="769">
        <f t="shared" ca="1" si="56"/>
        <v>0.92506938020351503</v>
      </c>
      <c r="AL73" s="769">
        <f t="shared" ca="1" si="57"/>
        <v>0</v>
      </c>
      <c r="AM73" s="804">
        <f t="shared" ca="1" si="6"/>
        <v>0.18666666666666665</v>
      </c>
      <c r="AN73" s="795">
        <f t="shared" ca="1" si="7"/>
        <v>0</v>
      </c>
      <c r="AO73" s="251"/>
      <c r="AP73" s="770">
        <f t="shared" si="58"/>
        <v>0</v>
      </c>
      <c r="AQ73" s="771">
        <f t="shared" ca="1" si="59"/>
        <v>0</v>
      </c>
      <c r="AR73" s="771">
        <f t="shared" ca="1" si="60"/>
        <v>4</v>
      </c>
      <c r="AS73" s="772">
        <f t="shared" ca="1" si="61"/>
        <v>4</v>
      </c>
      <c r="AT73" s="231"/>
      <c r="AU73" s="770">
        <f>'Main Results - IRR DC Operator'!$F$16</f>
        <v>2</v>
      </c>
      <c r="AV73" s="773">
        <f>'Main Results - IRR DC Operator'!$F$15</f>
        <v>1</v>
      </c>
      <c r="AW73" s="771">
        <f t="shared" ca="1" si="62"/>
        <v>4</v>
      </c>
      <c r="AX73" s="772">
        <f t="shared" si="63"/>
        <v>0</v>
      </c>
      <c r="AY73" s="231"/>
      <c r="AZ73" s="770" cm="1">
        <f t="array" aca="1" ref="AZ73" ca="1">INDIRECT("'Definition of Typical Day'!"&amp; ADDRESS($D73+29*(AZ$16-1),$E73))+$AZ$17</f>
        <v>74.88</v>
      </c>
      <c r="BA73" s="771" cm="1">
        <f t="array" aca="1" ref="BA73" ca="1">INDIRECT("'Definition of Typical Day'!"&amp; ADDRESS($D73+29*(BA$16-1),$E73))+$BA$17</f>
        <v>74.88</v>
      </c>
      <c r="BB73" s="772" cm="1">
        <f t="array" aca="1" ref="BB73" ca="1">INDIRECT("'Definition of Typical Day'!"&amp;ADDRESS(BB$16,$E73))</f>
        <v>71</v>
      </c>
      <c r="BC73" s="776" cm="1">
        <f t="array" aca="1" ref="BC73" ca="1">INDIRECT("'Definition of Typical Day'!"&amp; ADDRESS($D73+29*(BC$16-1),$E73))</f>
        <v>73.88</v>
      </c>
      <c r="BD73" s="777" cm="1">
        <f t="array" aca="1" ref="BD73" ca="1">INDIRECT("'Definition of Typical Day'!"&amp; ADDRESS($D73+29*(BD$16-1),$E73))</f>
        <v>0.7</v>
      </c>
      <c r="BE73" s="776">
        <f t="shared" si="64"/>
        <v>0</v>
      </c>
      <c r="BF73" s="771">
        <f t="shared" ca="1" si="75"/>
        <v>69.269195189639206</v>
      </c>
      <c r="BG73" s="771">
        <f t="shared" ca="1" si="65"/>
        <v>4.1535985198889911</v>
      </c>
      <c r="BH73" s="771">
        <f t="shared" ca="1" si="66"/>
        <v>0</v>
      </c>
      <c r="BI73" s="776">
        <f t="shared" ca="1" si="67"/>
        <v>13.790933333333331</v>
      </c>
      <c r="BJ73" s="776">
        <f t="shared" ca="1" si="68"/>
        <v>0</v>
      </c>
      <c r="BK73" s="776">
        <f t="shared" ca="1" si="69"/>
        <v>0</v>
      </c>
      <c r="BL73" s="776">
        <f t="shared" ca="1" si="70"/>
        <v>0</v>
      </c>
      <c r="BM73" s="135"/>
      <c r="BN73" s="776">
        <f t="shared" ca="1" si="71"/>
        <v>77.422793709528193</v>
      </c>
      <c r="BO73" s="778">
        <f t="shared" ca="1" si="8"/>
        <v>26.736063992230971</v>
      </c>
      <c r="BP73" s="770">
        <f t="shared" ca="1" si="9"/>
        <v>73.422793709528193</v>
      </c>
      <c r="BQ73" s="771">
        <f t="shared" ca="1" si="10"/>
        <v>0</v>
      </c>
      <c r="BR73" s="771">
        <f t="shared" ca="1" si="11"/>
        <v>0</v>
      </c>
      <c r="BS73" s="776">
        <f t="shared" ca="1" si="72"/>
        <v>77.422793709528193</v>
      </c>
      <c r="BT73" s="776">
        <f t="shared" ca="1" si="12"/>
        <v>73.422793709528193</v>
      </c>
      <c r="BU73" s="783">
        <f t="shared" ca="1" si="13"/>
        <v>25.354762041669058</v>
      </c>
      <c r="BV73" s="783">
        <f t="shared" ca="1" si="14"/>
        <v>25.354762041669058</v>
      </c>
      <c r="BW73" s="1019">
        <f t="shared" ca="1" si="73"/>
        <v>25.354762041669058</v>
      </c>
      <c r="BX73" s="771" cm="1">
        <f t="array" aca="1" ref="BX73" ca="1">INDIRECT("'Definition of Typical Day'!"&amp; ADDRESS($D73+29*(BX$16-1),$E73))</f>
        <v>60</v>
      </c>
      <c r="BY73" s="771">
        <f t="shared" ca="1" si="74"/>
        <v>1</v>
      </c>
      <c r="BZ73" s="781">
        <f t="shared" ca="1" si="15"/>
        <v>1</v>
      </c>
      <c r="CA73" s="781">
        <f t="shared" ca="1" si="16"/>
        <v>0.97502312673450497</v>
      </c>
      <c r="CB73" s="776">
        <f t="shared" ca="1" si="17"/>
        <v>173.74912118408878</v>
      </c>
      <c r="CC73" s="782">
        <f t="shared" si="18"/>
        <v>3</v>
      </c>
      <c r="CD73" s="782">
        <f t="shared" si="19"/>
        <v>5</v>
      </c>
      <c r="CE73" s="784" t="str" cm="1">
        <f t="array" aca="1" ref="CE73" ca="1">INDIRECT("'Definition of Typical Day'!"&amp;ADDRESS(CE$16,$E73))</f>
        <v>Spring / fall weekend</v>
      </c>
      <c r="CF73" s="135"/>
      <c r="CG73" s="135"/>
      <c r="CH73" s="776">
        <f t="shared" ca="1" si="20"/>
        <v>2</v>
      </c>
      <c r="CI73" s="806">
        <f t="shared" ca="1" si="21"/>
        <v>6</v>
      </c>
      <c r="CJ73" s="770">
        <f t="shared" ca="1" si="22"/>
        <v>2.8958186864014799</v>
      </c>
      <c r="CK73" s="771">
        <f t="shared" ca="1" si="23"/>
        <v>2</v>
      </c>
      <c r="CL73" s="771">
        <f t="shared" ca="1" si="24"/>
        <v>0.92506938020351503</v>
      </c>
      <c r="CM73" s="772">
        <f t="shared" ca="1" si="25"/>
        <v>0</v>
      </c>
      <c r="CN73" s="135"/>
      <c r="CO73" s="770">
        <f t="shared" ca="1" si="76"/>
        <v>1.05</v>
      </c>
      <c r="CP73" s="771">
        <f t="shared" ca="1" si="27"/>
        <v>0.98</v>
      </c>
      <c r="CQ73" s="771">
        <f t="shared" ca="1" si="28"/>
        <v>0.96</v>
      </c>
      <c r="CR73" s="771">
        <f t="shared" ca="1" si="29"/>
        <v>0.95</v>
      </c>
      <c r="CS73" s="771">
        <f t="shared" ca="1" si="30"/>
        <v>1.02</v>
      </c>
      <c r="CT73" s="772">
        <f t="shared" ca="1" si="31"/>
        <v>0.02</v>
      </c>
      <c r="CU73" s="135"/>
      <c r="CV73" s="135"/>
      <c r="CW73" s="135"/>
      <c r="CX73" s="135"/>
      <c r="CY73" s="135"/>
      <c r="CZ73" s="135"/>
      <c r="DA73" s="135"/>
      <c r="DB73" s="135"/>
      <c r="DC73" s="135"/>
      <c r="DD73" s="135"/>
      <c r="DE73" s="135"/>
      <c r="DF73" s="135"/>
      <c r="DG73" s="135"/>
      <c r="DH73" s="135"/>
      <c r="DI73" s="135"/>
      <c r="DJ73" s="135"/>
      <c r="DK73" s="135"/>
      <c r="DL73" s="135"/>
      <c r="DX73" s="135"/>
      <c r="DY73" s="135"/>
      <c r="DZ73" s="135"/>
      <c r="EA73" s="135"/>
      <c r="EB73" s="135"/>
      <c r="EC73" s="135"/>
      <c r="ED73" s="135"/>
      <c r="EE73" s="135"/>
      <c r="EF73" s="135"/>
      <c r="EG73" s="135"/>
      <c r="EH73" s="135"/>
      <c r="EI73" s="135"/>
      <c r="EJ73" s="135"/>
      <c r="EK73" s="135"/>
      <c r="EL73" s="135"/>
      <c r="EM73" s="135"/>
      <c r="EN73" s="135"/>
      <c r="EO73" s="135"/>
      <c r="EP73" s="135"/>
      <c r="EQ73" s="135"/>
      <c r="ER73" s="135"/>
      <c r="ES73" s="135"/>
      <c r="ET73" s="135"/>
      <c r="EU73" s="135"/>
      <c r="EV73" s="135"/>
      <c r="EW73" s="135"/>
      <c r="EX73" s="135"/>
      <c r="EY73" s="135"/>
      <c r="EZ73" s="135"/>
      <c r="FA73" s="135"/>
      <c r="FB73" s="135"/>
      <c r="FC73" s="135"/>
      <c r="FD73" s="135"/>
      <c r="FE73" s="135"/>
      <c r="FF73" s="135"/>
      <c r="FG73" s="135"/>
    </row>
    <row r="74" spans="1:163" s="57" customFormat="1" ht="11.25" outlineLevel="1">
      <c r="A74" s="765">
        <f t="shared" si="77"/>
        <v>3</v>
      </c>
      <c r="B74" s="715" t="str" cm="1">
        <f t="array" aca="1" ref="B74" ca="1">INDIRECT("'Definition of Typical Day'!"&amp;ADDRESS(B$16,$E74))</f>
        <v>Spring / fall weekend</v>
      </c>
      <c r="C74" s="766">
        <f t="shared" si="78"/>
        <v>6</v>
      </c>
      <c r="D74" s="715">
        <f t="shared" si="78"/>
        <v>40</v>
      </c>
      <c r="E74" s="715">
        <f t="shared" si="5"/>
        <v>7</v>
      </c>
      <c r="F74" s="767" cm="1">
        <f t="array" aca="1" ref="F74" ca="1">INDIRECT("'Definition of Typical Day'!D"&amp;D74)</f>
        <v>6</v>
      </c>
      <c r="G74" s="767" cm="1">
        <f t="array" aca="1" ref="G74" ca="1">INDIRECT("'Definition of Typical Day'!"&amp;ADDRESS(13,E74))</f>
        <v>3</v>
      </c>
      <c r="H74" s="768" cm="1">
        <f t="array" aca="1" ref="H74" ca="1">INDIRECT("'Definition of Typical Day'!"&amp; ADDRESS($D74+28*(H$16-1),$E74))</f>
        <v>2</v>
      </c>
      <c r="I74" s="715" cm="1">
        <f t="array" aca="1" ref="I74" ca="1">INDIRECT("'Definition of Typical Day'!"&amp; ADDRESS($D74+29*(I$16-1),$E74))</f>
        <v>40</v>
      </c>
      <c r="J74" s="715">
        <f t="shared" ca="1" si="32"/>
        <v>37</v>
      </c>
      <c r="K74" s="785">
        <f t="shared" si="33"/>
        <v>28</v>
      </c>
      <c r="L74" s="786" cm="1">
        <f t="array" aca="1" ref="L74" ca="1">INDIRECT("'Definition of Typical Day'!"&amp; ADDRESS($D74+29*(L$16-1),$E74))</f>
        <v>6</v>
      </c>
      <c r="M74" s="768" cm="1">
        <f t="array" aca="1" ref="M74" ca="1">INDIRECT("'Definition of Typical Day'!"&amp; ADDRESS($D74+29*(M$16-1),$E74))</f>
        <v>88.333333333333329</v>
      </c>
      <c r="N74" s="715">
        <f t="shared" si="34"/>
        <v>3</v>
      </c>
      <c r="O74" s="715">
        <f t="shared" ca="1" si="35"/>
        <v>91.333333333333329</v>
      </c>
      <c r="P74" s="715" cm="1">
        <f t="array" aca="1" ref="P74" ca="1">INDIRECT("'Definition of Typical Day'!"&amp; ADDRESS($D74+29*(P$16-1),$E74))</f>
        <v>45</v>
      </c>
      <c r="Q74" s="787">
        <f t="shared" ca="1" si="36"/>
        <v>48</v>
      </c>
      <c r="R74" s="792">
        <f t="shared" ca="1" si="37"/>
        <v>91.333333333333329</v>
      </c>
      <c r="S74" s="769">
        <f t="shared" si="38"/>
        <v>3</v>
      </c>
      <c r="T74" s="769">
        <f t="shared" ca="1" si="39"/>
        <v>0.24</v>
      </c>
      <c r="U74" s="769">
        <f t="shared" ca="1" si="40"/>
        <v>-3.466666666666654E-2</v>
      </c>
      <c r="V74" s="769">
        <f t="shared" ca="1" si="41"/>
        <v>0</v>
      </c>
      <c r="W74" s="769">
        <f t="shared" ca="1" si="42"/>
        <v>3.2053333333333338</v>
      </c>
      <c r="X74" s="794">
        <f t="shared" si="43"/>
        <v>3</v>
      </c>
      <c r="Y74" s="769">
        <f t="shared" ca="1" si="44"/>
        <v>3</v>
      </c>
      <c r="Z74" s="769">
        <f t="shared" ca="1" si="45"/>
        <v>2.9068923821039903</v>
      </c>
      <c r="AA74" s="795">
        <f t="shared" ca="1" si="46"/>
        <v>2.9068923821039903</v>
      </c>
      <c r="AB74" s="769">
        <f t="shared" ca="1" si="47"/>
        <v>0</v>
      </c>
      <c r="AC74" s="769">
        <f t="shared" ca="1" si="48"/>
        <v>0</v>
      </c>
      <c r="AD74" s="769">
        <f t="shared" ca="1" si="49"/>
        <v>0</v>
      </c>
      <c r="AE74" s="794">
        <f t="shared" ca="1" si="50"/>
        <v>2.9068923821039903</v>
      </c>
      <c r="AF74" s="769">
        <f t="shared" ca="1" si="51"/>
        <v>2.9068923821039903E-2</v>
      </c>
      <c r="AG74" s="769">
        <f t="shared" ca="1" si="52"/>
        <v>2.8778234582829505</v>
      </c>
      <c r="AH74" s="799">
        <f t="shared" ca="1" si="53"/>
        <v>2.8778234582829505</v>
      </c>
      <c r="AI74" s="801">
        <f t="shared" ca="1" si="54"/>
        <v>1</v>
      </c>
      <c r="AJ74" s="794">
        <f t="shared" ca="1" si="55"/>
        <v>2</v>
      </c>
      <c r="AK74" s="769">
        <f t="shared" ca="1" si="56"/>
        <v>0.90689238210399015</v>
      </c>
      <c r="AL74" s="769">
        <f t="shared" ca="1" si="57"/>
        <v>0</v>
      </c>
      <c r="AM74" s="804">
        <f t="shared" ca="1" si="6"/>
        <v>0.18666666666666665</v>
      </c>
      <c r="AN74" s="795">
        <f t="shared" ca="1" si="7"/>
        <v>0</v>
      </c>
      <c r="AO74" s="251"/>
      <c r="AP74" s="770">
        <f t="shared" si="58"/>
        <v>0</v>
      </c>
      <c r="AQ74" s="771">
        <f t="shared" ca="1" si="59"/>
        <v>0</v>
      </c>
      <c r="AR74" s="771">
        <f t="shared" ca="1" si="60"/>
        <v>4</v>
      </c>
      <c r="AS74" s="772">
        <f t="shared" ca="1" si="61"/>
        <v>4</v>
      </c>
      <c r="AT74" s="231"/>
      <c r="AU74" s="770">
        <f>'Main Results - IRR DC Operator'!$F$16</f>
        <v>2</v>
      </c>
      <c r="AV74" s="773">
        <f>'Main Results - IRR DC Operator'!$F$15</f>
        <v>1</v>
      </c>
      <c r="AW74" s="771">
        <f t="shared" ca="1" si="62"/>
        <v>4</v>
      </c>
      <c r="AX74" s="772">
        <f t="shared" si="63"/>
        <v>0</v>
      </c>
      <c r="AY74" s="231"/>
      <c r="AZ74" s="770" cm="1">
        <f t="array" aca="1" ref="AZ74" ca="1">INDIRECT("'Definition of Typical Day'!"&amp; ADDRESS($D74+29*(AZ$16-1),$E74))+$AZ$17</f>
        <v>74.62</v>
      </c>
      <c r="BA74" s="771" cm="1">
        <f t="array" aca="1" ref="BA74" ca="1">INDIRECT("'Definition of Typical Day'!"&amp; ADDRESS($D74+29*(BA$16-1),$E74))+$BA$17</f>
        <v>74.62</v>
      </c>
      <c r="BB74" s="772" cm="1">
        <f t="array" aca="1" ref="BB74" ca="1">INDIRECT("'Definition of Typical Day'!"&amp;ADDRESS(BB$16,$E74))</f>
        <v>71</v>
      </c>
      <c r="BC74" s="776" cm="1">
        <f t="array" aca="1" ref="BC74" ca="1">INDIRECT("'Definition of Typical Day'!"&amp; ADDRESS($D74+29*(BC$16-1),$E74))</f>
        <v>73.62</v>
      </c>
      <c r="BD74" s="777" cm="1">
        <f t="array" aca="1" ref="BD74" ca="1">INDIRECT("'Definition of Typical Day'!"&amp; ADDRESS($D74+29*(BD$16-1),$E74))</f>
        <v>0.7</v>
      </c>
      <c r="BE74" s="776">
        <f t="shared" si="64"/>
        <v>0</v>
      </c>
      <c r="BF74" s="771">
        <f t="shared" ca="1" si="75"/>
        <v>67.672309552599742</v>
      </c>
      <c r="BG74" s="771">
        <f t="shared" ca="1" si="65"/>
        <v>4.1277871825876664</v>
      </c>
      <c r="BH74" s="771">
        <f t="shared" ca="1" si="66"/>
        <v>0</v>
      </c>
      <c r="BI74" s="776">
        <f t="shared" ca="1" si="67"/>
        <v>13.7424</v>
      </c>
      <c r="BJ74" s="776">
        <f t="shared" ca="1" si="68"/>
        <v>0</v>
      </c>
      <c r="BK74" s="776">
        <f t="shared" ca="1" si="69"/>
        <v>0</v>
      </c>
      <c r="BL74" s="776">
        <f t="shared" ca="1" si="70"/>
        <v>0</v>
      </c>
      <c r="BM74" s="135"/>
      <c r="BN74" s="776">
        <f t="shared" ca="1" si="71"/>
        <v>75.80009673518741</v>
      </c>
      <c r="BO74" s="778">
        <f t="shared" ca="1" si="8"/>
        <v>26.339383855190839</v>
      </c>
      <c r="BP74" s="770">
        <f t="shared" ca="1" si="9"/>
        <v>71.80009673518741</v>
      </c>
      <c r="BQ74" s="771">
        <f t="shared" ca="1" si="10"/>
        <v>0</v>
      </c>
      <c r="BR74" s="771">
        <f t="shared" ca="1" si="11"/>
        <v>0</v>
      </c>
      <c r="BS74" s="776">
        <f t="shared" ca="1" si="72"/>
        <v>75.80009673518741</v>
      </c>
      <c r="BT74" s="776">
        <f t="shared" ca="1" si="12"/>
        <v>71.80009673518741</v>
      </c>
      <c r="BU74" s="783">
        <f t="shared" ca="1" si="13"/>
        <v>24.949444528479464</v>
      </c>
      <c r="BV74" s="783">
        <f t="shared" ca="1" si="14"/>
        <v>24.949444528479464</v>
      </c>
      <c r="BW74" s="1019">
        <f t="shared" ca="1" si="73"/>
        <v>24.949444528479464</v>
      </c>
      <c r="BX74" s="771" cm="1">
        <f t="array" aca="1" ref="BX74" ca="1">INDIRECT("'Definition of Typical Day'!"&amp; ADDRESS($D74+29*(BX$16-1),$E74))</f>
        <v>60</v>
      </c>
      <c r="BY74" s="771">
        <f t="shared" ca="1" si="74"/>
        <v>1</v>
      </c>
      <c r="BZ74" s="781">
        <f t="shared" ca="1" si="15"/>
        <v>1</v>
      </c>
      <c r="CA74" s="781">
        <f t="shared" ca="1" si="16"/>
        <v>0.96896412736799675</v>
      </c>
      <c r="CB74" s="776">
        <f t="shared" ca="1" si="17"/>
        <v>172.66940749697704</v>
      </c>
      <c r="CC74" s="782">
        <f t="shared" si="18"/>
        <v>3</v>
      </c>
      <c r="CD74" s="782">
        <f t="shared" si="19"/>
        <v>6</v>
      </c>
      <c r="CE74" s="784" t="str" cm="1">
        <f t="array" aca="1" ref="CE74" ca="1">INDIRECT("'Definition of Typical Day'!"&amp;ADDRESS(CE$16,$E74))</f>
        <v>Spring / fall weekend</v>
      </c>
      <c r="CF74" s="135"/>
      <c r="CG74" s="135"/>
      <c r="CH74" s="776">
        <f t="shared" ca="1" si="20"/>
        <v>2</v>
      </c>
      <c r="CI74" s="806">
        <f t="shared" ca="1" si="21"/>
        <v>6</v>
      </c>
      <c r="CJ74" s="770">
        <f t="shared" ca="1" si="22"/>
        <v>2.8778234582829505</v>
      </c>
      <c r="CK74" s="771">
        <f t="shared" ca="1" si="23"/>
        <v>2</v>
      </c>
      <c r="CL74" s="771">
        <f t="shared" ca="1" si="24"/>
        <v>0.90689238210399015</v>
      </c>
      <c r="CM74" s="772">
        <f t="shared" ca="1" si="25"/>
        <v>0</v>
      </c>
      <c r="CN74" s="135"/>
      <c r="CO74" s="770">
        <f t="shared" ca="1" si="76"/>
        <v>1.05</v>
      </c>
      <c r="CP74" s="771">
        <f t="shared" ca="1" si="27"/>
        <v>0.98</v>
      </c>
      <c r="CQ74" s="771">
        <f t="shared" ca="1" si="28"/>
        <v>0.96</v>
      </c>
      <c r="CR74" s="771">
        <f t="shared" ca="1" si="29"/>
        <v>0.95</v>
      </c>
      <c r="CS74" s="771">
        <f t="shared" ca="1" si="30"/>
        <v>1.02</v>
      </c>
      <c r="CT74" s="772">
        <f t="shared" ca="1" si="31"/>
        <v>0.02</v>
      </c>
      <c r="CU74" s="135"/>
      <c r="CV74" s="135"/>
      <c r="CW74" s="135"/>
      <c r="CX74" s="135"/>
      <c r="CY74" s="135"/>
      <c r="CZ74" s="135"/>
      <c r="DA74" s="135"/>
      <c r="DB74" s="135"/>
      <c r="DC74" s="135"/>
      <c r="DD74" s="135"/>
      <c r="DE74" s="135"/>
      <c r="DF74" s="135"/>
      <c r="DG74" s="135"/>
      <c r="DH74" s="135"/>
      <c r="DI74" s="135"/>
      <c r="DJ74" s="135"/>
      <c r="DK74" s="135"/>
      <c r="DL74" s="135"/>
      <c r="DX74" s="135"/>
      <c r="DY74" s="135"/>
      <c r="DZ74" s="135"/>
      <c r="EA74" s="135"/>
      <c r="EB74" s="135"/>
      <c r="EC74" s="135"/>
      <c r="ED74" s="135"/>
      <c r="EE74" s="135"/>
      <c r="EF74" s="135"/>
      <c r="EG74" s="135"/>
      <c r="EH74" s="135"/>
      <c r="EI74" s="135"/>
      <c r="EJ74" s="135"/>
      <c r="EK74" s="135"/>
      <c r="EL74" s="135"/>
      <c r="EM74" s="135"/>
      <c r="EN74" s="135"/>
      <c r="EO74" s="135"/>
      <c r="EP74" s="135"/>
      <c r="EQ74" s="135"/>
      <c r="ER74" s="135"/>
      <c r="ES74" s="135"/>
      <c r="ET74" s="135"/>
      <c r="EU74" s="135"/>
      <c r="EV74" s="135"/>
      <c r="EW74" s="135"/>
      <c r="EX74" s="135"/>
      <c r="EY74" s="135"/>
      <c r="EZ74" s="135"/>
      <c r="FA74" s="135"/>
      <c r="FB74" s="135"/>
      <c r="FC74" s="135"/>
      <c r="FD74" s="135"/>
      <c r="FE74" s="135"/>
      <c r="FF74" s="135"/>
      <c r="FG74" s="135"/>
    </row>
    <row r="75" spans="1:163" s="57" customFormat="1" ht="11.25" outlineLevel="1">
      <c r="A75" s="765">
        <f t="shared" si="77"/>
        <v>3</v>
      </c>
      <c r="B75" s="715" t="str" cm="1">
        <f t="array" aca="1" ref="B75" ca="1">INDIRECT("'Definition of Typical Day'!"&amp;ADDRESS(B$16,$E75))</f>
        <v>Spring / fall weekend</v>
      </c>
      <c r="C75" s="766">
        <f t="shared" si="78"/>
        <v>7</v>
      </c>
      <c r="D75" s="715">
        <f t="shared" si="78"/>
        <v>41</v>
      </c>
      <c r="E75" s="715">
        <f t="shared" si="5"/>
        <v>7</v>
      </c>
      <c r="F75" s="767" cm="1">
        <f t="array" aca="1" ref="F75" ca="1">INDIRECT("'Definition of Typical Day'!D"&amp;D75)</f>
        <v>7</v>
      </c>
      <c r="G75" s="767" cm="1">
        <f t="array" aca="1" ref="G75" ca="1">INDIRECT("'Definition of Typical Day'!"&amp;ADDRESS(13,E75))</f>
        <v>3</v>
      </c>
      <c r="H75" s="768" cm="1">
        <f t="array" aca="1" ref="H75" ca="1">INDIRECT("'Definition of Typical Day'!"&amp; ADDRESS($D75+28*(H$16-1),$E75))</f>
        <v>2</v>
      </c>
      <c r="I75" s="715" cm="1">
        <f t="array" aca="1" ref="I75" ca="1">INDIRECT("'Definition of Typical Day'!"&amp; ADDRESS($D75+29*(I$16-1),$E75))</f>
        <v>40</v>
      </c>
      <c r="J75" s="715">
        <f t="shared" ca="1" si="32"/>
        <v>37</v>
      </c>
      <c r="K75" s="785">
        <f t="shared" si="33"/>
        <v>28</v>
      </c>
      <c r="L75" s="786" cm="1">
        <f t="array" aca="1" ref="L75" ca="1">INDIRECT("'Definition of Typical Day'!"&amp; ADDRESS($D75+29*(L$16-1),$E75))</f>
        <v>6</v>
      </c>
      <c r="M75" s="768" cm="1">
        <f t="array" aca="1" ref="M75" ca="1">INDIRECT("'Definition of Typical Day'!"&amp; ADDRESS($D75+29*(M$16-1),$E75))</f>
        <v>88.333333333333329</v>
      </c>
      <c r="N75" s="715">
        <f t="shared" si="34"/>
        <v>3</v>
      </c>
      <c r="O75" s="715">
        <f t="shared" ca="1" si="35"/>
        <v>91.333333333333329</v>
      </c>
      <c r="P75" s="715" cm="1">
        <f t="array" aca="1" ref="P75" ca="1">INDIRECT("'Definition of Typical Day'!"&amp; ADDRESS($D75+29*(P$16-1),$E75))</f>
        <v>45</v>
      </c>
      <c r="Q75" s="787">
        <f t="shared" ca="1" si="36"/>
        <v>48</v>
      </c>
      <c r="R75" s="792">
        <f t="shared" ca="1" si="37"/>
        <v>91.333333333333329</v>
      </c>
      <c r="S75" s="769">
        <f t="shared" si="38"/>
        <v>3</v>
      </c>
      <c r="T75" s="769">
        <f t="shared" ca="1" si="39"/>
        <v>0.24</v>
      </c>
      <c r="U75" s="769">
        <f t="shared" ca="1" si="40"/>
        <v>-3.466666666666654E-2</v>
      </c>
      <c r="V75" s="769">
        <f t="shared" ca="1" si="41"/>
        <v>0</v>
      </c>
      <c r="W75" s="769">
        <f t="shared" ca="1" si="42"/>
        <v>3.2053333333333338</v>
      </c>
      <c r="X75" s="794">
        <f t="shared" si="43"/>
        <v>3</v>
      </c>
      <c r="Y75" s="769">
        <f t="shared" ca="1" si="44"/>
        <v>3</v>
      </c>
      <c r="Z75" s="769">
        <f t="shared" ca="1" si="45"/>
        <v>2.9068923821039903</v>
      </c>
      <c r="AA75" s="795">
        <f t="shared" ca="1" si="46"/>
        <v>2.9068923821039903</v>
      </c>
      <c r="AB75" s="769">
        <f t="shared" ca="1" si="47"/>
        <v>0</v>
      </c>
      <c r="AC75" s="769">
        <f t="shared" ca="1" si="48"/>
        <v>0</v>
      </c>
      <c r="AD75" s="769">
        <f t="shared" ca="1" si="49"/>
        <v>0</v>
      </c>
      <c r="AE75" s="794">
        <f t="shared" ca="1" si="50"/>
        <v>2.9068923821039903</v>
      </c>
      <c r="AF75" s="769">
        <f t="shared" ca="1" si="51"/>
        <v>2.9068923821039903E-2</v>
      </c>
      <c r="AG75" s="769">
        <f t="shared" ca="1" si="52"/>
        <v>2.8778234582829505</v>
      </c>
      <c r="AH75" s="799">
        <f t="shared" ca="1" si="53"/>
        <v>2.8778234582829505</v>
      </c>
      <c r="AI75" s="801">
        <f t="shared" ca="1" si="54"/>
        <v>1</v>
      </c>
      <c r="AJ75" s="794">
        <f t="shared" ca="1" si="55"/>
        <v>2</v>
      </c>
      <c r="AK75" s="769">
        <f t="shared" ca="1" si="56"/>
        <v>0.90689238210399015</v>
      </c>
      <c r="AL75" s="769">
        <f t="shared" ca="1" si="57"/>
        <v>0</v>
      </c>
      <c r="AM75" s="804">
        <f t="shared" ca="1" si="6"/>
        <v>0.18666666666666665</v>
      </c>
      <c r="AN75" s="795">
        <f t="shared" ca="1" si="7"/>
        <v>0</v>
      </c>
      <c r="AO75" s="251"/>
      <c r="AP75" s="770">
        <f t="shared" si="58"/>
        <v>0</v>
      </c>
      <c r="AQ75" s="771">
        <f t="shared" ca="1" si="59"/>
        <v>0</v>
      </c>
      <c r="AR75" s="771">
        <f t="shared" ca="1" si="60"/>
        <v>4</v>
      </c>
      <c r="AS75" s="772">
        <f t="shared" ca="1" si="61"/>
        <v>4</v>
      </c>
      <c r="AT75" s="231"/>
      <c r="AU75" s="770">
        <f>'Main Results - IRR DC Operator'!$F$16</f>
        <v>2</v>
      </c>
      <c r="AV75" s="773">
        <f>'Main Results - IRR DC Operator'!$F$15</f>
        <v>1</v>
      </c>
      <c r="AW75" s="771">
        <f t="shared" ca="1" si="62"/>
        <v>4</v>
      </c>
      <c r="AX75" s="772">
        <f t="shared" si="63"/>
        <v>0</v>
      </c>
      <c r="AY75" s="231"/>
      <c r="AZ75" s="770" cm="1">
        <f t="array" aca="1" ref="AZ75" ca="1">INDIRECT("'Definition of Typical Day'!"&amp; ADDRESS($D75+29*(AZ$16-1),$E75))+$AZ$17</f>
        <v>75.430000000000007</v>
      </c>
      <c r="BA75" s="771" cm="1">
        <f t="array" aca="1" ref="BA75" ca="1">INDIRECT("'Definition of Typical Day'!"&amp; ADDRESS($D75+29*(BA$16-1),$E75))+$BA$17</f>
        <v>75.430000000000007</v>
      </c>
      <c r="BB75" s="772" cm="1">
        <f t="array" aca="1" ref="BB75" ca="1">INDIRECT("'Definition of Typical Day'!"&amp;ADDRESS(BB$16,$E75))</f>
        <v>71</v>
      </c>
      <c r="BC75" s="776" cm="1">
        <f t="array" aca="1" ref="BC75" ca="1">INDIRECT("'Definition of Typical Day'!"&amp; ADDRESS($D75+29*(BC$16-1),$E75))</f>
        <v>74.430000000000007</v>
      </c>
      <c r="BD75" s="777" cm="1">
        <f t="array" aca="1" ref="BD75" ca="1">INDIRECT("'Definition of Typical Day'!"&amp; ADDRESS($D75+29*(BD$16-1),$E75))</f>
        <v>0.7</v>
      </c>
      <c r="BE75" s="776">
        <f t="shared" si="64"/>
        <v>0</v>
      </c>
      <c r="BF75" s="771">
        <f t="shared" ca="1" si="75"/>
        <v>68.406892382103976</v>
      </c>
      <c r="BG75" s="771">
        <f t="shared" ca="1" si="65"/>
        <v>4.1277871825876664</v>
      </c>
      <c r="BH75" s="771">
        <f t="shared" ca="1" si="66"/>
        <v>0</v>
      </c>
      <c r="BI75" s="776">
        <f t="shared" ca="1" si="67"/>
        <v>13.893599999999999</v>
      </c>
      <c r="BJ75" s="776">
        <f t="shared" ca="1" si="68"/>
        <v>0</v>
      </c>
      <c r="BK75" s="776">
        <f t="shared" ca="1" si="69"/>
        <v>0</v>
      </c>
      <c r="BL75" s="776">
        <f t="shared" ca="1" si="70"/>
        <v>0</v>
      </c>
      <c r="BM75" s="135"/>
      <c r="BN75" s="776">
        <f t="shared" ca="1" si="71"/>
        <v>76.534679564691643</v>
      </c>
      <c r="BO75" s="778">
        <f t="shared" ca="1" si="8"/>
        <v>26.594640246054549</v>
      </c>
      <c r="BP75" s="770">
        <f t="shared" ca="1" si="9"/>
        <v>72.534679564691643</v>
      </c>
      <c r="BQ75" s="771">
        <f t="shared" ca="1" si="10"/>
        <v>0</v>
      </c>
      <c r="BR75" s="771">
        <f t="shared" ca="1" si="11"/>
        <v>0</v>
      </c>
      <c r="BS75" s="776">
        <f t="shared" ca="1" si="72"/>
        <v>76.534679564691643</v>
      </c>
      <c r="BT75" s="776">
        <f t="shared" ca="1" si="12"/>
        <v>72.534679564691643</v>
      </c>
      <c r="BU75" s="783">
        <f t="shared" ca="1" si="13"/>
        <v>25.204700919343178</v>
      </c>
      <c r="BV75" s="783">
        <f t="shared" ca="1" si="14"/>
        <v>25.204700919343178</v>
      </c>
      <c r="BW75" s="1019">
        <f t="shared" ca="1" si="73"/>
        <v>25.204700919343178</v>
      </c>
      <c r="BX75" s="771" cm="1">
        <f t="array" aca="1" ref="BX75" ca="1">INDIRECT("'Definition of Typical Day'!"&amp; ADDRESS($D75+29*(BX$16-1),$E75))</f>
        <v>60</v>
      </c>
      <c r="BY75" s="771">
        <f t="shared" ca="1" si="74"/>
        <v>1</v>
      </c>
      <c r="BZ75" s="781">
        <f t="shared" ca="1" si="15"/>
        <v>1</v>
      </c>
      <c r="CA75" s="781">
        <f t="shared" ca="1" si="16"/>
        <v>0.96896412736799675</v>
      </c>
      <c r="CB75" s="776">
        <f t="shared" ca="1" si="17"/>
        <v>172.66940749697704</v>
      </c>
      <c r="CC75" s="782">
        <f t="shared" si="18"/>
        <v>3</v>
      </c>
      <c r="CD75" s="782">
        <f t="shared" si="19"/>
        <v>7</v>
      </c>
      <c r="CE75" s="784" t="str" cm="1">
        <f t="array" aca="1" ref="CE75" ca="1">INDIRECT("'Definition of Typical Day'!"&amp;ADDRESS(CE$16,$E75))</f>
        <v>Spring / fall weekend</v>
      </c>
      <c r="CF75" s="135"/>
      <c r="CG75" s="135"/>
      <c r="CH75" s="776">
        <f t="shared" ca="1" si="20"/>
        <v>2</v>
      </c>
      <c r="CI75" s="806">
        <f t="shared" ca="1" si="21"/>
        <v>6</v>
      </c>
      <c r="CJ75" s="770">
        <f t="shared" ca="1" si="22"/>
        <v>2.8778234582829505</v>
      </c>
      <c r="CK75" s="771">
        <f t="shared" ca="1" si="23"/>
        <v>2</v>
      </c>
      <c r="CL75" s="771">
        <f t="shared" ca="1" si="24"/>
        <v>0.90689238210399015</v>
      </c>
      <c r="CM75" s="772">
        <f t="shared" ca="1" si="25"/>
        <v>0</v>
      </c>
      <c r="CN75" s="135"/>
      <c r="CO75" s="770">
        <f t="shared" ca="1" si="76"/>
        <v>1.05</v>
      </c>
      <c r="CP75" s="771">
        <f t="shared" ca="1" si="27"/>
        <v>0.98</v>
      </c>
      <c r="CQ75" s="771">
        <f t="shared" ca="1" si="28"/>
        <v>0.96</v>
      </c>
      <c r="CR75" s="771">
        <f t="shared" ca="1" si="29"/>
        <v>0.95</v>
      </c>
      <c r="CS75" s="771">
        <f t="shared" ca="1" si="30"/>
        <v>1.02</v>
      </c>
      <c r="CT75" s="772">
        <f t="shared" ca="1" si="31"/>
        <v>0.02</v>
      </c>
      <c r="CU75" s="135"/>
      <c r="CV75" s="135"/>
      <c r="CW75" s="135"/>
      <c r="CX75" s="135"/>
      <c r="CY75" s="135"/>
      <c r="CZ75" s="135"/>
      <c r="DA75" s="135"/>
      <c r="DB75" s="135"/>
      <c r="DC75" s="135"/>
      <c r="DD75" s="135"/>
      <c r="DE75" s="135"/>
      <c r="DF75" s="135"/>
      <c r="DG75" s="135"/>
      <c r="DH75" s="135"/>
      <c r="DI75" s="135"/>
      <c r="DJ75" s="135"/>
      <c r="DK75" s="135"/>
      <c r="DL75" s="135"/>
      <c r="DX75" s="135"/>
      <c r="DY75" s="135"/>
      <c r="DZ75" s="135"/>
      <c r="EA75" s="135"/>
      <c r="EB75" s="135"/>
      <c r="EC75" s="135"/>
      <c r="ED75" s="135"/>
      <c r="EE75" s="135"/>
      <c r="EF75" s="135"/>
      <c r="EG75" s="135"/>
      <c r="EH75" s="135"/>
      <c r="EI75" s="135"/>
      <c r="EJ75" s="135"/>
      <c r="EK75" s="135"/>
      <c r="EL75" s="135"/>
      <c r="EM75" s="135"/>
      <c r="EN75" s="135"/>
      <c r="EO75" s="135"/>
      <c r="EP75" s="135"/>
      <c r="EQ75" s="135"/>
      <c r="ER75" s="135"/>
      <c r="ES75" s="135"/>
      <c r="ET75" s="135"/>
      <c r="EU75" s="135"/>
      <c r="EV75" s="135"/>
      <c r="EW75" s="135"/>
      <c r="EX75" s="135"/>
      <c r="EY75" s="135"/>
      <c r="EZ75" s="135"/>
      <c r="FA75" s="135"/>
      <c r="FB75" s="135"/>
      <c r="FC75" s="135"/>
      <c r="FD75" s="135"/>
      <c r="FE75" s="135"/>
      <c r="FF75" s="135"/>
      <c r="FG75" s="135"/>
    </row>
    <row r="76" spans="1:163" s="57" customFormat="1" ht="11.25" outlineLevel="1">
      <c r="A76" s="765">
        <f t="shared" si="77"/>
        <v>3</v>
      </c>
      <c r="B76" s="715" t="str" cm="1">
        <f t="array" aca="1" ref="B76" ca="1">INDIRECT("'Definition of Typical Day'!"&amp;ADDRESS(B$16,$E76))</f>
        <v>Spring / fall weekend</v>
      </c>
      <c r="C76" s="766">
        <f t="shared" si="78"/>
        <v>8</v>
      </c>
      <c r="D76" s="715">
        <f t="shared" si="78"/>
        <v>42</v>
      </c>
      <c r="E76" s="715">
        <f t="shared" si="5"/>
        <v>7</v>
      </c>
      <c r="F76" s="767" cm="1">
        <f t="array" aca="1" ref="F76" ca="1">INDIRECT("'Definition of Typical Day'!D"&amp;D76)</f>
        <v>8</v>
      </c>
      <c r="G76" s="767" cm="1">
        <f t="array" aca="1" ref="G76" ca="1">INDIRECT("'Definition of Typical Day'!"&amp;ADDRESS(13,E76))</f>
        <v>3</v>
      </c>
      <c r="H76" s="768" cm="1">
        <f t="array" aca="1" ref="H76" ca="1">INDIRECT("'Definition of Typical Day'!"&amp; ADDRESS($D76+28*(H$16-1),$E76))</f>
        <v>2</v>
      </c>
      <c r="I76" s="715" cm="1">
        <f t="array" aca="1" ref="I76" ca="1">INDIRECT("'Definition of Typical Day'!"&amp; ADDRESS($D76+29*(I$16-1),$E76))</f>
        <v>40</v>
      </c>
      <c r="J76" s="715">
        <f t="shared" ca="1" si="32"/>
        <v>37</v>
      </c>
      <c r="K76" s="785">
        <f t="shared" si="33"/>
        <v>28</v>
      </c>
      <c r="L76" s="786" cm="1">
        <f t="array" aca="1" ref="L76" ca="1">INDIRECT("'Definition of Typical Day'!"&amp; ADDRESS($D76+29*(L$16-1),$E76))</f>
        <v>6</v>
      </c>
      <c r="M76" s="768" cm="1">
        <f t="array" aca="1" ref="M76" ca="1">INDIRECT("'Definition of Typical Day'!"&amp; ADDRESS($D76+29*(M$16-1),$E76))</f>
        <v>86.666666666666657</v>
      </c>
      <c r="N76" s="715">
        <f t="shared" si="34"/>
        <v>3</v>
      </c>
      <c r="O76" s="715">
        <f t="shared" ca="1" si="35"/>
        <v>89.666666666666657</v>
      </c>
      <c r="P76" s="715" cm="1">
        <f t="array" aca="1" ref="P76" ca="1">INDIRECT("'Definition of Typical Day'!"&amp; ADDRESS($D76+29*(P$16-1),$E76))</f>
        <v>45</v>
      </c>
      <c r="Q76" s="787">
        <f t="shared" ca="1" si="36"/>
        <v>48</v>
      </c>
      <c r="R76" s="792">
        <f t="shared" ca="1" si="37"/>
        <v>89.666666666666657</v>
      </c>
      <c r="S76" s="769">
        <f t="shared" si="38"/>
        <v>3</v>
      </c>
      <c r="T76" s="769">
        <f t="shared" ca="1" si="39"/>
        <v>0.24</v>
      </c>
      <c r="U76" s="769">
        <f t="shared" ca="1" si="40"/>
        <v>8.6666666666669126E-3</v>
      </c>
      <c r="V76" s="769">
        <f t="shared" ca="1" si="41"/>
        <v>0</v>
      </c>
      <c r="W76" s="769">
        <f t="shared" ca="1" si="42"/>
        <v>3.2486666666666673</v>
      </c>
      <c r="X76" s="794">
        <f t="shared" si="43"/>
        <v>3</v>
      </c>
      <c r="Y76" s="769">
        <f t="shared" ca="1" si="44"/>
        <v>3</v>
      </c>
      <c r="Z76" s="769">
        <f t="shared" ca="1" si="45"/>
        <v>2.8894159501927064</v>
      </c>
      <c r="AA76" s="795">
        <f t="shared" ca="1" si="46"/>
        <v>2.8894159501927064</v>
      </c>
      <c r="AB76" s="769">
        <f t="shared" ca="1" si="47"/>
        <v>0</v>
      </c>
      <c r="AC76" s="769">
        <f t="shared" ca="1" si="48"/>
        <v>0</v>
      </c>
      <c r="AD76" s="769">
        <f t="shared" ca="1" si="49"/>
        <v>0</v>
      </c>
      <c r="AE76" s="794">
        <f t="shared" ca="1" si="50"/>
        <v>2.8894159501927064</v>
      </c>
      <c r="AF76" s="769">
        <f t="shared" ca="1" si="51"/>
        <v>2.8894159501927065E-2</v>
      </c>
      <c r="AG76" s="769">
        <f t="shared" ca="1" si="52"/>
        <v>2.8605217906907794</v>
      </c>
      <c r="AH76" s="799">
        <f t="shared" ca="1" si="53"/>
        <v>2.8605217906907794</v>
      </c>
      <c r="AI76" s="801">
        <f t="shared" ca="1" si="54"/>
        <v>1</v>
      </c>
      <c r="AJ76" s="794">
        <f t="shared" ca="1" si="55"/>
        <v>2</v>
      </c>
      <c r="AK76" s="769">
        <f t="shared" ca="1" si="56"/>
        <v>0.88941595019270647</v>
      </c>
      <c r="AL76" s="769">
        <f t="shared" ca="1" si="57"/>
        <v>0</v>
      </c>
      <c r="AM76" s="804">
        <f t="shared" ca="1" si="6"/>
        <v>0.18666666666666665</v>
      </c>
      <c r="AN76" s="795">
        <f t="shared" ca="1" si="7"/>
        <v>0</v>
      </c>
      <c r="AO76" s="251"/>
      <c r="AP76" s="770">
        <f t="shared" si="58"/>
        <v>0</v>
      </c>
      <c r="AQ76" s="771">
        <f t="shared" ca="1" si="59"/>
        <v>0</v>
      </c>
      <c r="AR76" s="771">
        <f t="shared" ca="1" si="60"/>
        <v>4</v>
      </c>
      <c r="AS76" s="772">
        <f t="shared" ca="1" si="61"/>
        <v>4</v>
      </c>
      <c r="AT76" s="231"/>
      <c r="AU76" s="770">
        <f>'Main Results - IRR DC Operator'!$F$16</f>
        <v>2</v>
      </c>
      <c r="AV76" s="773">
        <f>'Main Results - IRR DC Operator'!$F$15</f>
        <v>1</v>
      </c>
      <c r="AW76" s="771">
        <f t="shared" ca="1" si="62"/>
        <v>4</v>
      </c>
      <c r="AX76" s="772">
        <f t="shared" si="63"/>
        <v>0</v>
      </c>
      <c r="AY76" s="231"/>
      <c r="AZ76" s="770" cm="1">
        <f t="array" aca="1" ref="AZ76" ca="1">INDIRECT("'Definition of Typical Day'!"&amp; ADDRESS($D76+29*(AZ$16-1),$E76))+$AZ$17</f>
        <v>71.53</v>
      </c>
      <c r="BA76" s="771" cm="1">
        <f t="array" aca="1" ref="BA76" ca="1">INDIRECT("'Definition of Typical Day'!"&amp; ADDRESS($D76+29*(BA$16-1),$E76))+$BA$17</f>
        <v>71.53</v>
      </c>
      <c r="BB76" s="772" cm="1">
        <f t="array" aca="1" ref="BB76" ca="1">INDIRECT("'Definition of Typical Day'!"&amp;ADDRESS(BB$16,$E76))</f>
        <v>71</v>
      </c>
      <c r="BC76" s="776" cm="1">
        <f t="array" aca="1" ref="BC76" ca="1">INDIRECT("'Definition of Typical Day'!"&amp; ADDRESS($D76+29*(BC$16-1),$E76))</f>
        <v>70.53</v>
      </c>
      <c r="BD76" s="777" cm="1">
        <f t="array" aca="1" ref="BD76" ca="1">INDIRECT("'Definition of Typical Day'!"&amp; ADDRESS($D76+29*(BD$16-1),$E76))</f>
        <v>0.7</v>
      </c>
      <c r="BE76" s="776">
        <f t="shared" si="64"/>
        <v>0</v>
      </c>
      <c r="BF76" s="771">
        <f t="shared" ca="1" si="75"/>
        <v>63.619922917284292</v>
      </c>
      <c r="BG76" s="771">
        <f t="shared" ca="1" si="65"/>
        <v>4.1029706492736429</v>
      </c>
      <c r="BH76" s="771">
        <f t="shared" ca="1" si="66"/>
        <v>0</v>
      </c>
      <c r="BI76" s="776">
        <f t="shared" ca="1" si="67"/>
        <v>13.1656</v>
      </c>
      <c r="BJ76" s="776">
        <f t="shared" ca="1" si="68"/>
        <v>0</v>
      </c>
      <c r="BK76" s="776">
        <f t="shared" ca="1" si="69"/>
        <v>0</v>
      </c>
      <c r="BL76" s="776">
        <f t="shared" ca="1" si="70"/>
        <v>0</v>
      </c>
      <c r="BM76" s="135"/>
      <c r="BN76" s="776">
        <f t="shared" ca="1" si="71"/>
        <v>71.722893566557943</v>
      </c>
      <c r="BO76" s="778">
        <f t="shared" ca="1" si="8"/>
        <v>25.073360321872528</v>
      </c>
      <c r="BP76" s="770">
        <f t="shared" ca="1" si="9"/>
        <v>67.722893566557929</v>
      </c>
      <c r="BQ76" s="771">
        <f t="shared" ca="1" si="10"/>
        <v>0</v>
      </c>
      <c r="BR76" s="771">
        <f t="shared" ca="1" si="11"/>
        <v>0</v>
      </c>
      <c r="BS76" s="776">
        <f t="shared" ca="1" si="72"/>
        <v>71.722893566557943</v>
      </c>
      <c r="BT76" s="776">
        <f t="shared" ca="1" si="12"/>
        <v>67.722893566557929</v>
      </c>
      <c r="BU76" s="783">
        <f t="shared" ca="1" si="13"/>
        <v>23.675014043575498</v>
      </c>
      <c r="BV76" s="783">
        <f t="shared" ca="1" si="14"/>
        <v>23.675014043575498</v>
      </c>
      <c r="BW76" s="1019">
        <f t="shared" ca="1" si="73"/>
        <v>23.675014043575498</v>
      </c>
      <c r="BX76" s="771" cm="1">
        <f t="array" aca="1" ref="BX76" ca="1">INDIRECT("'Definition of Typical Day'!"&amp; ADDRESS($D76+29*(BX$16-1),$E76))</f>
        <v>60</v>
      </c>
      <c r="BY76" s="771">
        <f t="shared" ca="1" si="74"/>
        <v>1</v>
      </c>
      <c r="BZ76" s="781">
        <f t="shared" ca="1" si="15"/>
        <v>1</v>
      </c>
      <c r="CA76" s="781">
        <f t="shared" ca="1" si="16"/>
        <v>0.96313865006423549</v>
      </c>
      <c r="CB76" s="776">
        <f t="shared" ca="1" si="17"/>
        <v>171.63130744144675</v>
      </c>
      <c r="CC76" s="782">
        <f t="shared" si="18"/>
        <v>3</v>
      </c>
      <c r="CD76" s="782">
        <f t="shared" si="19"/>
        <v>8</v>
      </c>
      <c r="CE76" s="784" t="str" cm="1">
        <f t="array" aca="1" ref="CE76" ca="1">INDIRECT("'Definition of Typical Day'!"&amp;ADDRESS(CE$16,$E76))</f>
        <v>Spring / fall weekend</v>
      </c>
      <c r="CF76" s="135"/>
      <c r="CG76" s="135"/>
      <c r="CH76" s="776">
        <f t="shared" ca="1" si="20"/>
        <v>2</v>
      </c>
      <c r="CI76" s="806">
        <f t="shared" ca="1" si="21"/>
        <v>6</v>
      </c>
      <c r="CJ76" s="770">
        <f t="shared" ca="1" si="22"/>
        <v>2.8605217906907794</v>
      </c>
      <c r="CK76" s="771">
        <f t="shared" ca="1" si="23"/>
        <v>2</v>
      </c>
      <c r="CL76" s="771">
        <f t="shared" ca="1" si="24"/>
        <v>0.88941595019270647</v>
      </c>
      <c r="CM76" s="772">
        <f t="shared" ca="1" si="25"/>
        <v>0</v>
      </c>
      <c r="CN76" s="135"/>
      <c r="CO76" s="770">
        <f t="shared" ca="1" si="76"/>
        <v>1.05</v>
      </c>
      <c r="CP76" s="771">
        <f t="shared" ca="1" si="27"/>
        <v>0.98</v>
      </c>
      <c r="CQ76" s="771">
        <f t="shared" ca="1" si="28"/>
        <v>0.96</v>
      </c>
      <c r="CR76" s="771">
        <f t="shared" ca="1" si="29"/>
        <v>0.95</v>
      </c>
      <c r="CS76" s="771">
        <f t="shared" ca="1" si="30"/>
        <v>1.02</v>
      </c>
      <c r="CT76" s="772">
        <f t="shared" ca="1" si="31"/>
        <v>0.02</v>
      </c>
      <c r="CU76" s="135"/>
      <c r="CV76" s="135"/>
      <c r="CW76" s="135"/>
      <c r="CX76" s="135"/>
      <c r="CY76" s="135"/>
      <c r="CZ76" s="135"/>
      <c r="DA76" s="135"/>
      <c r="DB76" s="135"/>
      <c r="DC76" s="135"/>
      <c r="DD76" s="135"/>
      <c r="DE76" s="135"/>
      <c r="DF76" s="135"/>
      <c r="DG76" s="135"/>
      <c r="DH76" s="135"/>
      <c r="DI76" s="135"/>
      <c r="DJ76" s="135"/>
      <c r="DK76" s="135"/>
      <c r="DL76" s="135"/>
      <c r="DX76" s="135"/>
      <c r="DY76" s="135"/>
      <c r="DZ76" s="135"/>
      <c r="EA76" s="135"/>
      <c r="EB76" s="135"/>
      <c r="EC76" s="135"/>
      <c r="ED76" s="135"/>
      <c r="EE76" s="135"/>
      <c r="EF76" s="135"/>
      <c r="EG76" s="135"/>
      <c r="EH76" s="135"/>
      <c r="EI76" s="135"/>
      <c r="EJ76" s="135"/>
      <c r="EK76" s="135"/>
      <c r="EL76" s="135"/>
      <c r="EM76" s="135"/>
      <c r="EN76" s="135"/>
      <c r="EO76" s="135"/>
      <c r="EP76" s="135"/>
      <c r="EQ76" s="135"/>
      <c r="ER76" s="135"/>
      <c r="ES76" s="135"/>
      <c r="ET76" s="135"/>
      <c r="EU76" s="135"/>
      <c r="EV76" s="135"/>
      <c r="EW76" s="135"/>
      <c r="EX76" s="135"/>
      <c r="EY76" s="135"/>
      <c r="EZ76" s="135"/>
      <c r="FA76" s="135"/>
      <c r="FB76" s="135"/>
      <c r="FC76" s="135"/>
      <c r="FD76" s="135"/>
      <c r="FE76" s="135"/>
      <c r="FF76" s="135"/>
      <c r="FG76" s="135"/>
    </row>
    <row r="77" spans="1:163" s="57" customFormat="1" ht="11.25" outlineLevel="1">
      <c r="A77" s="765">
        <f t="shared" si="77"/>
        <v>3</v>
      </c>
      <c r="B77" s="715" t="str" cm="1">
        <f t="array" aca="1" ref="B77" ca="1">INDIRECT("'Definition of Typical Day'!"&amp;ADDRESS(B$16,$E77))</f>
        <v>Spring / fall weekend</v>
      </c>
      <c r="C77" s="766">
        <f t="shared" si="78"/>
        <v>9</v>
      </c>
      <c r="D77" s="715">
        <f t="shared" si="78"/>
        <v>43</v>
      </c>
      <c r="E77" s="715">
        <f t="shared" si="5"/>
        <v>7</v>
      </c>
      <c r="F77" s="767" cm="1">
        <f t="array" aca="1" ref="F77" ca="1">INDIRECT("'Definition of Typical Day'!D"&amp;D77)</f>
        <v>9</v>
      </c>
      <c r="G77" s="767" cm="1">
        <f t="array" aca="1" ref="G77" ca="1">INDIRECT("'Definition of Typical Day'!"&amp;ADDRESS(13,E77))</f>
        <v>3</v>
      </c>
      <c r="H77" s="768" cm="1">
        <f t="array" aca="1" ref="H77" ca="1">INDIRECT("'Definition of Typical Day'!"&amp; ADDRESS($D77+28*(H$16-1),$E77))</f>
        <v>2</v>
      </c>
      <c r="I77" s="715" cm="1">
        <f t="array" aca="1" ref="I77" ca="1">INDIRECT("'Definition of Typical Day'!"&amp; ADDRESS($D77+29*(I$16-1),$E77))</f>
        <v>40</v>
      </c>
      <c r="J77" s="715">
        <f t="shared" ca="1" si="32"/>
        <v>37</v>
      </c>
      <c r="K77" s="785">
        <f t="shared" si="33"/>
        <v>28</v>
      </c>
      <c r="L77" s="786" cm="1">
        <f t="array" aca="1" ref="L77" ca="1">INDIRECT("'Definition of Typical Day'!"&amp; ADDRESS($D77+29*(L$16-1),$E77))</f>
        <v>6</v>
      </c>
      <c r="M77" s="768" cm="1">
        <f t="array" aca="1" ref="M77" ca="1">INDIRECT("'Definition of Typical Day'!"&amp; ADDRESS($D77+29*(M$16-1),$E77))</f>
        <v>85</v>
      </c>
      <c r="N77" s="715">
        <f t="shared" si="34"/>
        <v>3</v>
      </c>
      <c r="O77" s="715">
        <f t="shared" ca="1" si="35"/>
        <v>88</v>
      </c>
      <c r="P77" s="715" cm="1">
        <f t="array" aca="1" ref="P77" ca="1">INDIRECT("'Definition of Typical Day'!"&amp; ADDRESS($D77+29*(P$16-1),$E77))</f>
        <v>45</v>
      </c>
      <c r="Q77" s="787">
        <f t="shared" ca="1" si="36"/>
        <v>48</v>
      </c>
      <c r="R77" s="792">
        <f t="shared" ca="1" si="37"/>
        <v>88</v>
      </c>
      <c r="S77" s="769">
        <f t="shared" si="38"/>
        <v>3</v>
      </c>
      <c r="T77" s="769">
        <f t="shared" ca="1" si="39"/>
        <v>0.24</v>
      </c>
      <c r="U77" s="769">
        <f t="shared" ca="1" si="40"/>
        <v>5.1999999999999998E-2</v>
      </c>
      <c r="V77" s="769">
        <f t="shared" ca="1" si="41"/>
        <v>0</v>
      </c>
      <c r="W77" s="769">
        <f t="shared" ca="1" si="42"/>
        <v>3.2920000000000003</v>
      </c>
      <c r="X77" s="794">
        <f t="shared" si="43"/>
        <v>3</v>
      </c>
      <c r="Y77" s="769">
        <f t="shared" ca="1" si="44"/>
        <v>3</v>
      </c>
      <c r="Z77" s="769">
        <f t="shared" ca="1" si="45"/>
        <v>2.8726003490401397</v>
      </c>
      <c r="AA77" s="795">
        <f t="shared" ca="1" si="46"/>
        <v>2.8726003490401397</v>
      </c>
      <c r="AB77" s="769">
        <f t="shared" ca="1" si="47"/>
        <v>0</v>
      </c>
      <c r="AC77" s="769">
        <f t="shared" ca="1" si="48"/>
        <v>0</v>
      </c>
      <c r="AD77" s="769">
        <f t="shared" ca="1" si="49"/>
        <v>0</v>
      </c>
      <c r="AE77" s="794">
        <f t="shared" ca="1" si="50"/>
        <v>2.8726003490401397</v>
      </c>
      <c r="AF77" s="769">
        <f t="shared" ca="1" si="51"/>
        <v>2.8726003490401397E-2</v>
      </c>
      <c r="AG77" s="769">
        <f t="shared" ca="1" si="52"/>
        <v>2.8438743455497382</v>
      </c>
      <c r="AH77" s="799">
        <f t="shared" ca="1" si="53"/>
        <v>2.8438743455497382</v>
      </c>
      <c r="AI77" s="801">
        <f t="shared" ca="1" si="54"/>
        <v>1</v>
      </c>
      <c r="AJ77" s="794">
        <f t="shared" ca="1" si="55"/>
        <v>2.0000000000000004</v>
      </c>
      <c r="AK77" s="769">
        <f t="shared" ca="1" si="56"/>
        <v>0.87260034904013961</v>
      </c>
      <c r="AL77" s="769">
        <f t="shared" ca="1" si="57"/>
        <v>0</v>
      </c>
      <c r="AM77" s="804">
        <f t="shared" ca="1" si="6"/>
        <v>0.18666666666666668</v>
      </c>
      <c r="AN77" s="795">
        <f t="shared" ca="1" si="7"/>
        <v>-4.1448326252672507E-17</v>
      </c>
      <c r="AO77" s="251"/>
      <c r="AP77" s="770">
        <f t="shared" si="58"/>
        <v>0</v>
      </c>
      <c r="AQ77" s="771">
        <f t="shared" ca="1" si="59"/>
        <v>0</v>
      </c>
      <c r="AR77" s="771">
        <f t="shared" ca="1" si="60"/>
        <v>4.0000000000000009</v>
      </c>
      <c r="AS77" s="772">
        <f t="shared" ca="1" si="61"/>
        <v>4.0000000000000009</v>
      </c>
      <c r="AT77" s="231"/>
      <c r="AU77" s="770">
        <f>'Main Results - IRR DC Operator'!$F$16</f>
        <v>2</v>
      </c>
      <c r="AV77" s="773">
        <f>'Main Results - IRR DC Operator'!$F$15</f>
        <v>1</v>
      </c>
      <c r="AW77" s="771">
        <f t="shared" ca="1" si="62"/>
        <v>4</v>
      </c>
      <c r="AX77" s="772">
        <f t="shared" si="63"/>
        <v>0</v>
      </c>
      <c r="AY77" s="231"/>
      <c r="AZ77" s="770" cm="1">
        <f t="array" aca="1" ref="AZ77" ca="1">INDIRECT("'Definition of Typical Day'!"&amp; ADDRESS($D77+29*(AZ$16-1),$E77))+$AZ$17</f>
        <v>71.88</v>
      </c>
      <c r="BA77" s="771" cm="1">
        <f t="array" aca="1" ref="BA77" ca="1">INDIRECT("'Definition of Typical Day'!"&amp; ADDRESS($D77+29*(BA$16-1),$E77))+$BA$17</f>
        <v>71.88</v>
      </c>
      <c r="BB77" s="772" cm="1">
        <f t="array" aca="1" ref="BB77" ca="1">INDIRECT("'Definition of Typical Day'!"&amp;ADDRESS(BB$16,$E77))</f>
        <v>71</v>
      </c>
      <c r="BC77" s="776" cm="1">
        <f t="array" aca="1" ref="BC77" ca="1">INDIRECT("'Definition of Typical Day'!"&amp; ADDRESS($D77+29*(BC$16-1),$E77))</f>
        <v>70.88</v>
      </c>
      <c r="BD77" s="777" cm="1">
        <f t="array" aca="1" ref="BD77" ca="1">INDIRECT("'Definition of Typical Day'!"&amp; ADDRESS($D77+29*(BD$16-1),$E77))</f>
        <v>0.7</v>
      </c>
      <c r="BE77" s="776">
        <f t="shared" si="64"/>
        <v>0</v>
      </c>
      <c r="BF77" s="771">
        <f t="shared" ca="1" si="75"/>
        <v>62.722513089005233</v>
      </c>
      <c r="BG77" s="771">
        <f t="shared" ca="1" si="65"/>
        <v>4.0790924956369983</v>
      </c>
      <c r="BH77" s="771">
        <f t="shared" ca="1" si="66"/>
        <v>0</v>
      </c>
      <c r="BI77" s="776">
        <f t="shared" ca="1" si="67"/>
        <v>13.230933333333333</v>
      </c>
      <c r="BJ77" s="776">
        <f t="shared" ca="1" si="68"/>
        <v>-2.937857364789427E-15</v>
      </c>
      <c r="BK77" s="776">
        <f t="shared" ca="1" si="69"/>
        <v>0</v>
      </c>
      <c r="BL77" s="776">
        <f t="shared" ca="1" si="70"/>
        <v>0</v>
      </c>
      <c r="BM77" s="135"/>
      <c r="BN77" s="776">
        <f t="shared" ca="1" si="71"/>
        <v>70.801605584642232</v>
      </c>
      <c r="BO77" s="778">
        <f t="shared" ca="1" si="8"/>
        <v>24.896179289860942</v>
      </c>
      <c r="BP77" s="770">
        <f t="shared" ca="1" si="9"/>
        <v>66.801605584642232</v>
      </c>
      <c r="BQ77" s="771">
        <f t="shared" ca="1" si="10"/>
        <v>0</v>
      </c>
      <c r="BR77" s="771">
        <f t="shared" ca="1" si="11"/>
        <v>0</v>
      </c>
      <c r="BS77" s="776">
        <f t="shared" ca="1" si="72"/>
        <v>70.801605584642232</v>
      </c>
      <c r="BT77" s="776">
        <f t="shared" ca="1" si="12"/>
        <v>66.801605584642232</v>
      </c>
      <c r="BU77" s="783">
        <f t="shared" ca="1" si="13"/>
        <v>23.489647385151638</v>
      </c>
      <c r="BV77" s="783">
        <f t="shared" ca="1" si="14"/>
        <v>23.489647385151638</v>
      </c>
      <c r="BW77" s="1019">
        <f t="shared" ca="1" si="73"/>
        <v>23.489647385151638</v>
      </c>
      <c r="BX77" s="771" cm="1">
        <f t="array" aca="1" ref="BX77" ca="1">INDIRECT("'Definition of Typical Day'!"&amp; ADDRESS($D77+29*(BX$16-1),$E77))</f>
        <v>60</v>
      </c>
      <c r="BY77" s="771">
        <f t="shared" ca="1" si="74"/>
        <v>1</v>
      </c>
      <c r="BZ77" s="781">
        <f t="shared" ca="1" si="15"/>
        <v>1</v>
      </c>
      <c r="CA77" s="781">
        <f t="shared" ca="1" si="16"/>
        <v>0.95753344968004672</v>
      </c>
      <c r="CB77" s="776">
        <f t="shared" ca="1" si="17"/>
        <v>170.6324607329843</v>
      </c>
      <c r="CC77" s="782">
        <f t="shared" si="18"/>
        <v>3</v>
      </c>
      <c r="CD77" s="782">
        <f t="shared" si="19"/>
        <v>9</v>
      </c>
      <c r="CE77" s="784" t="str" cm="1">
        <f t="array" aca="1" ref="CE77" ca="1">INDIRECT("'Definition of Typical Day'!"&amp;ADDRESS(CE$16,$E77))</f>
        <v>Spring / fall weekend</v>
      </c>
      <c r="CF77" s="135"/>
      <c r="CG77" s="135"/>
      <c r="CH77" s="776">
        <f t="shared" ca="1" si="20"/>
        <v>2</v>
      </c>
      <c r="CI77" s="806">
        <f t="shared" ca="1" si="21"/>
        <v>6</v>
      </c>
      <c r="CJ77" s="770">
        <f t="shared" ca="1" si="22"/>
        <v>2.8438743455497382</v>
      </c>
      <c r="CK77" s="771">
        <f t="shared" ca="1" si="23"/>
        <v>2.0000000000000004</v>
      </c>
      <c r="CL77" s="771">
        <f t="shared" ca="1" si="24"/>
        <v>0.87260034904013961</v>
      </c>
      <c r="CM77" s="772">
        <f t="shared" ca="1" si="25"/>
        <v>0</v>
      </c>
      <c r="CN77" s="135"/>
      <c r="CO77" s="770">
        <f t="shared" ca="1" si="76"/>
        <v>1.05</v>
      </c>
      <c r="CP77" s="771">
        <f t="shared" ca="1" si="27"/>
        <v>0.98</v>
      </c>
      <c r="CQ77" s="771">
        <f t="shared" ca="1" si="28"/>
        <v>0.96</v>
      </c>
      <c r="CR77" s="771">
        <f t="shared" ca="1" si="29"/>
        <v>0.95</v>
      </c>
      <c r="CS77" s="771">
        <f t="shared" ca="1" si="30"/>
        <v>1.02</v>
      </c>
      <c r="CT77" s="772">
        <f t="shared" ca="1" si="31"/>
        <v>0.02</v>
      </c>
      <c r="CU77" s="135"/>
      <c r="CV77" s="135"/>
      <c r="CW77" s="135"/>
      <c r="CX77" s="135"/>
      <c r="CY77" s="135"/>
      <c r="CZ77" s="135"/>
      <c r="DA77" s="135"/>
      <c r="DB77" s="135"/>
      <c r="DC77" s="135"/>
      <c r="DD77" s="135"/>
      <c r="DE77" s="135"/>
      <c r="DF77" s="135"/>
      <c r="DG77" s="135"/>
      <c r="DH77" s="135"/>
      <c r="DI77" s="135"/>
      <c r="DJ77" s="135"/>
      <c r="DK77" s="135"/>
      <c r="DL77" s="135"/>
      <c r="DX77" s="135"/>
      <c r="DY77" s="135"/>
      <c r="DZ77" s="135"/>
      <c r="EA77" s="135"/>
      <c r="EB77" s="135"/>
      <c r="EC77" s="135"/>
      <c r="ED77" s="135"/>
      <c r="EE77" s="135"/>
      <c r="EF77" s="135"/>
      <c r="EG77" s="135"/>
      <c r="EH77" s="135"/>
      <c r="EI77" s="135"/>
      <c r="EJ77" s="135"/>
      <c r="EK77" s="135"/>
      <c r="EL77" s="135"/>
      <c r="EM77" s="135"/>
      <c r="EN77" s="135"/>
      <c r="EO77" s="135"/>
      <c r="EP77" s="135"/>
      <c r="EQ77" s="135"/>
      <c r="ER77" s="135"/>
      <c r="ES77" s="135"/>
      <c r="ET77" s="135"/>
      <c r="EU77" s="135"/>
      <c r="EV77" s="135"/>
      <c r="EW77" s="135"/>
      <c r="EX77" s="135"/>
      <c r="EY77" s="135"/>
      <c r="EZ77" s="135"/>
      <c r="FA77" s="135"/>
      <c r="FB77" s="135"/>
      <c r="FC77" s="135"/>
      <c r="FD77" s="135"/>
      <c r="FE77" s="135"/>
      <c r="FF77" s="135"/>
      <c r="FG77" s="135"/>
    </row>
    <row r="78" spans="1:163" s="57" customFormat="1" ht="11.25" outlineLevel="1">
      <c r="A78" s="765">
        <f t="shared" si="77"/>
        <v>3</v>
      </c>
      <c r="B78" s="715" t="str" cm="1">
        <f t="array" aca="1" ref="B78" ca="1">INDIRECT("'Definition of Typical Day'!"&amp;ADDRESS(B$16,$E78))</f>
        <v>Spring / fall weekend</v>
      </c>
      <c r="C78" s="766">
        <f t="shared" si="78"/>
        <v>10</v>
      </c>
      <c r="D78" s="715">
        <f t="shared" si="78"/>
        <v>44</v>
      </c>
      <c r="E78" s="715">
        <f t="shared" si="5"/>
        <v>7</v>
      </c>
      <c r="F78" s="767" cm="1">
        <f t="array" aca="1" ref="F78" ca="1">INDIRECT("'Definition of Typical Day'!D"&amp;D78)</f>
        <v>10</v>
      </c>
      <c r="G78" s="767" cm="1">
        <f t="array" aca="1" ref="G78" ca="1">INDIRECT("'Definition of Typical Day'!"&amp;ADDRESS(13,E78))</f>
        <v>3</v>
      </c>
      <c r="H78" s="768" cm="1">
        <f t="array" aca="1" ref="H78" ca="1">INDIRECT("'Definition of Typical Day'!"&amp; ADDRESS($D78+28*(H$16-1),$E78))</f>
        <v>2</v>
      </c>
      <c r="I78" s="715" cm="1">
        <f t="array" aca="1" ref="I78" ca="1">INDIRECT("'Definition of Typical Day'!"&amp; ADDRESS($D78+29*(I$16-1),$E78))</f>
        <v>40</v>
      </c>
      <c r="J78" s="715">
        <f t="shared" ca="1" si="32"/>
        <v>37</v>
      </c>
      <c r="K78" s="785">
        <f t="shared" si="33"/>
        <v>28</v>
      </c>
      <c r="L78" s="786" cm="1">
        <f t="array" aca="1" ref="L78" ca="1">INDIRECT("'Definition of Typical Day'!"&amp; ADDRESS($D78+29*(L$16-1),$E78))</f>
        <v>6</v>
      </c>
      <c r="M78" s="768" cm="1">
        <f t="array" aca="1" ref="M78" ca="1">INDIRECT("'Definition of Typical Day'!"&amp; ADDRESS($D78+29*(M$16-1),$E78))</f>
        <v>83.333333333333314</v>
      </c>
      <c r="N78" s="715">
        <f t="shared" si="34"/>
        <v>3</v>
      </c>
      <c r="O78" s="715">
        <f t="shared" ca="1" si="35"/>
        <v>86.333333333333314</v>
      </c>
      <c r="P78" s="715" cm="1">
        <f t="array" aca="1" ref="P78" ca="1">INDIRECT("'Definition of Typical Day'!"&amp; ADDRESS($D78+29*(P$16-1),$E78))</f>
        <v>45</v>
      </c>
      <c r="Q78" s="787">
        <f t="shared" ca="1" si="36"/>
        <v>48</v>
      </c>
      <c r="R78" s="792">
        <f t="shared" ca="1" si="37"/>
        <v>86.333333333333314</v>
      </c>
      <c r="S78" s="769">
        <f t="shared" si="38"/>
        <v>3</v>
      </c>
      <c r="T78" s="769">
        <f t="shared" ca="1" si="39"/>
        <v>0.24</v>
      </c>
      <c r="U78" s="769">
        <f t="shared" ca="1" si="40"/>
        <v>9.5333333333333825E-2</v>
      </c>
      <c r="V78" s="769">
        <f t="shared" ca="1" si="41"/>
        <v>0</v>
      </c>
      <c r="W78" s="769">
        <f t="shared" ca="1" si="42"/>
        <v>3.3353333333333341</v>
      </c>
      <c r="X78" s="794">
        <f t="shared" si="43"/>
        <v>3</v>
      </c>
      <c r="Y78" s="769">
        <f t="shared" ca="1" si="44"/>
        <v>3</v>
      </c>
      <c r="Z78" s="769">
        <f t="shared" ca="1" si="45"/>
        <v>2.8564087924636024</v>
      </c>
      <c r="AA78" s="795">
        <f t="shared" ca="1" si="46"/>
        <v>2.8564087924636024</v>
      </c>
      <c r="AB78" s="769">
        <f t="shared" ca="1" si="47"/>
        <v>0</v>
      </c>
      <c r="AC78" s="769">
        <f t="shared" ca="1" si="48"/>
        <v>0</v>
      </c>
      <c r="AD78" s="769">
        <f t="shared" ca="1" si="49"/>
        <v>0</v>
      </c>
      <c r="AE78" s="794">
        <f t="shared" ca="1" si="50"/>
        <v>2.8564087924636024</v>
      </c>
      <c r="AF78" s="769">
        <f t="shared" ca="1" si="51"/>
        <v>2.8564087924636022E-2</v>
      </c>
      <c r="AG78" s="769">
        <f t="shared" ca="1" si="52"/>
        <v>2.8278447045389665</v>
      </c>
      <c r="AH78" s="799">
        <f t="shared" ca="1" si="53"/>
        <v>2.8278447045389665</v>
      </c>
      <c r="AI78" s="801">
        <f t="shared" ca="1" si="54"/>
        <v>1</v>
      </c>
      <c r="AJ78" s="794">
        <f t="shared" ca="1" si="55"/>
        <v>2</v>
      </c>
      <c r="AK78" s="769">
        <f t="shared" ca="1" si="56"/>
        <v>0.85640879246360235</v>
      </c>
      <c r="AL78" s="769">
        <f t="shared" ca="1" si="57"/>
        <v>0</v>
      </c>
      <c r="AM78" s="804">
        <f t="shared" ca="1" si="6"/>
        <v>0.22666666666666666</v>
      </c>
      <c r="AN78" s="795">
        <f t="shared" ca="1" si="7"/>
        <v>0</v>
      </c>
      <c r="AO78" s="251"/>
      <c r="AP78" s="770">
        <f t="shared" si="58"/>
        <v>0</v>
      </c>
      <c r="AQ78" s="771">
        <f t="shared" ca="1" si="59"/>
        <v>0</v>
      </c>
      <c r="AR78" s="771">
        <f t="shared" ca="1" si="60"/>
        <v>4</v>
      </c>
      <c r="AS78" s="772">
        <f t="shared" ca="1" si="61"/>
        <v>4</v>
      </c>
      <c r="AT78" s="231"/>
      <c r="AU78" s="770">
        <f>'Main Results - IRR DC Operator'!$F$16</f>
        <v>2</v>
      </c>
      <c r="AV78" s="773">
        <f>'Main Results - IRR DC Operator'!$F$15</f>
        <v>1</v>
      </c>
      <c r="AW78" s="771">
        <f t="shared" ca="1" si="62"/>
        <v>4</v>
      </c>
      <c r="AX78" s="772">
        <f t="shared" si="63"/>
        <v>0</v>
      </c>
      <c r="AY78" s="231"/>
      <c r="AZ78" s="770" cm="1">
        <f t="array" aca="1" ref="AZ78" ca="1">INDIRECT("'Definition of Typical Day'!"&amp; ADDRESS($D78+29*(AZ$16-1),$E78))+$AZ$17</f>
        <v>66.38</v>
      </c>
      <c r="BA78" s="771" cm="1">
        <f t="array" aca="1" ref="BA78" ca="1">INDIRECT("'Definition of Typical Day'!"&amp; ADDRESS($D78+29*(BA$16-1),$E78))+$BA$17</f>
        <v>66.38</v>
      </c>
      <c r="BB78" s="772" cm="1">
        <f t="array" aca="1" ref="BB78" ca="1">INDIRECT("'Definition of Typical Day'!"&amp;ADDRESS(BB$16,$E78))</f>
        <v>71</v>
      </c>
      <c r="BC78" s="776" cm="1">
        <f t="array" aca="1" ref="BC78" ca="1">INDIRECT("'Definition of Typical Day'!"&amp; ADDRESS($D78+29*(BC$16-1),$E78))</f>
        <v>65.38</v>
      </c>
      <c r="BD78" s="777" cm="1">
        <f t="array" aca="1" ref="BD78" ca="1">INDIRECT("'Definition of Typical Day'!"&amp; ADDRESS($D78+29*(BD$16-1),$E78))</f>
        <v>0.85</v>
      </c>
      <c r="BE78" s="776">
        <f t="shared" si="64"/>
        <v>0</v>
      </c>
      <c r="BF78" s="771">
        <f t="shared" ca="1" si="75"/>
        <v>56.848415643733922</v>
      </c>
      <c r="BG78" s="771">
        <f t="shared" ca="1" si="65"/>
        <v>4.0561004852983151</v>
      </c>
      <c r="BH78" s="771">
        <f t="shared" ca="1" si="66"/>
        <v>0</v>
      </c>
      <c r="BI78" s="776">
        <f t="shared" ca="1" si="67"/>
        <v>14.819466666666665</v>
      </c>
      <c r="BJ78" s="776">
        <f t="shared" ca="1" si="68"/>
        <v>0</v>
      </c>
      <c r="BK78" s="776">
        <f t="shared" ca="1" si="69"/>
        <v>0</v>
      </c>
      <c r="BL78" s="776">
        <f t="shared" ca="1" si="70"/>
        <v>0</v>
      </c>
      <c r="BM78" s="135"/>
      <c r="BN78" s="776">
        <f t="shared" ca="1" si="71"/>
        <v>64.904516129032231</v>
      </c>
      <c r="BO78" s="778">
        <f t="shared" ca="1" si="8"/>
        <v>22.951937928152191</v>
      </c>
      <c r="BP78" s="770">
        <f t="shared" ca="1" si="9"/>
        <v>60.904516129032238</v>
      </c>
      <c r="BQ78" s="771">
        <f t="shared" ca="1" si="10"/>
        <v>0</v>
      </c>
      <c r="BR78" s="771">
        <f t="shared" ca="1" si="11"/>
        <v>0</v>
      </c>
      <c r="BS78" s="776">
        <f t="shared" ca="1" si="72"/>
        <v>64.904516129032231</v>
      </c>
      <c r="BT78" s="776">
        <f t="shared" ca="1" si="12"/>
        <v>60.904516129032238</v>
      </c>
      <c r="BU78" s="783">
        <f t="shared" ca="1" si="13"/>
        <v>21.53743309569813</v>
      </c>
      <c r="BV78" s="783">
        <f t="shared" ca="1" si="14"/>
        <v>21.53743309569813</v>
      </c>
      <c r="BW78" s="1019">
        <f t="shared" ca="1" si="73"/>
        <v>21.53743309569813</v>
      </c>
      <c r="BX78" s="771" cm="1">
        <f t="array" aca="1" ref="BX78" ca="1">INDIRECT("'Definition of Typical Day'!"&amp; ADDRESS($D78+29*(BX$16-1),$E78))</f>
        <v>60</v>
      </c>
      <c r="BY78" s="771">
        <f t="shared" ca="1" si="74"/>
        <v>1</v>
      </c>
      <c r="BZ78" s="781">
        <f t="shared" ca="1" si="15"/>
        <v>1</v>
      </c>
      <c r="CA78" s="781">
        <f t="shared" ca="1" si="16"/>
        <v>0.95213626415453412</v>
      </c>
      <c r="CB78" s="776">
        <f t="shared" ca="1" si="17"/>
        <v>169.67068227233798</v>
      </c>
      <c r="CC78" s="782">
        <f t="shared" si="18"/>
        <v>3</v>
      </c>
      <c r="CD78" s="782">
        <f t="shared" si="19"/>
        <v>10</v>
      </c>
      <c r="CE78" s="784" t="str" cm="1">
        <f t="array" aca="1" ref="CE78" ca="1">INDIRECT("'Definition of Typical Day'!"&amp;ADDRESS(CE$16,$E78))</f>
        <v>Spring / fall weekend</v>
      </c>
      <c r="CF78" s="135"/>
      <c r="CG78" s="135"/>
      <c r="CH78" s="776">
        <f t="shared" ca="1" si="20"/>
        <v>2</v>
      </c>
      <c r="CI78" s="806">
        <f t="shared" ca="1" si="21"/>
        <v>6</v>
      </c>
      <c r="CJ78" s="770">
        <f t="shared" ca="1" si="22"/>
        <v>2.8278447045389665</v>
      </c>
      <c r="CK78" s="771">
        <f t="shared" ca="1" si="23"/>
        <v>2</v>
      </c>
      <c r="CL78" s="771">
        <f t="shared" ca="1" si="24"/>
        <v>0.85640879246360235</v>
      </c>
      <c r="CM78" s="772">
        <f t="shared" ca="1" si="25"/>
        <v>0</v>
      </c>
      <c r="CN78" s="135"/>
      <c r="CO78" s="770">
        <f t="shared" ca="1" si="76"/>
        <v>1.05</v>
      </c>
      <c r="CP78" s="771">
        <f t="shared" ca="1" si="27"/>
        <v>0.98</v>
      </c>
      <c r="CQ78" s="771">
        <f t="shared" ca="1" si="28"/>
        <v>0.96</v>
      </c>
      <c r="CR78" s="771">
        <f t="shared" ca="1" si="29"/>
        <v>0.95</v>
      </c>
      <c r="CS78" s="771">
        <f t="shared" ca="1" si="30"/>
        <v>1.02</v>
      </c>
      <c r="CT78" s="772">
        <f t="shared" ca="1" si="31"/>
        <v>0.02</v>
      </c>
      <c r="CU78" s="135"/>
      <c r="CV78" s="135"/>
      <c r="CW78" s="135"/>
      <c r="CX78" s="135"/>
      <c r="CY78" s="135"/>
      <c r="CZ78" s="135"/>
      <c r="DA78" s="135"/>
      <c r="DB78" s="135"/>
      <c r="DC78" s="135"/>
      <c r="DD78" s="135"/>
      <c r="DE78" s="135"/>
      <c r="DF78" s="135"/>
      <c r="DG78" s="135"/>
      <c r="DH78" s="135"/>
      <c r="DI78" s="135"/>
      <c r="DJ78" s="135"/>
      <c r="DK78" s="135"/>
      <c r="DL78" s="135"/>
      <c r="DX78" s="135"/>
      <c r="DY78" s="135"/>
      <c r="DZ78" s="135"/>
      <c r="EA78" s="135"/>
      <c r="EB78" s="135"/>
      <c r="EC78" s="135"/>
      <c r="ED78" s="135"/>
      <c r="EE78" s="135"/>
      <c r="EF78" s="135"/>
      <c r="EG78" s="135"/>
      <c r="EH78" s="135"/>
      <c r="EI78" s="135"/>
      <c r="EJ78" s="135"/>
      <c r="EK78" s="135"/>
      <c r="EL78" s="135"/>
      <c r="EM78" s="135"/>
      <c r="EN78" s="135"/>
      <c r="EO78" s="135"/>
      <c r="EP78" s="135"/>
      <c r="EQ78" s="135"/>
      <c r="ER78" s="135"/>
      <c r="ES78" s="135"/>
      <c r="ET78" s="135"/>
      <c r="EU78" s="135"/>
      <c r="EV78" s="135"/>
      <c r="EW78" s="135"/>
      <c r="EX78" s="135"/>
      <c r="EY78" s="135"/>
      <c r="EZ78" s="135"/>
      <c r="FA78" s="135"/>
      <c r="FB78" s="135"/>
      <c r="FC78" s="135"/>
      <c r="FD78" s="135"/>
      <c r="FE78" s="135"/>
      <c r="FF78" s="135"/>
      <c r="FG78" s="135"/>
    </row>
    <row r="79" spans="1:163" s="57" customFormat="1" ht="11.25" outlineLevel="1">
      <c r="A79" s="765">
        <f t="shared" si="77"/>
        <v>3</v>
      </c>
      <c r="B79" s="715" t="str" cm="1">
        <f t="array" aca="1" ref="B79" ca="1">INDIRECT("'Definition of Typical Day'!"&amp;ADDRESS(B$16,$E79))</f>
        <v>Spring / fall weekend</v>
      </c>
      <c r="C79" s="766">
        <f t="shared" si="78"/>
        <v>11</v>
      </c>
      <c r="D79" s="715">
        <f t="shared" si="78"/>
        <v>45</v>
      </c>
      <c r="E79" s="715">
        <f t="shared" si="5"/>
        <v>7</v>
      </c>
      <c r="F79" s="767" cm="1">
        <f t="array" aca="1" ref="F79" ca="1">INDIRECT("'Definition of Typical Day'!D"&amp;D79)</f>
        <v>11</v>
      </c>
      <c r="G79" s="767" cm="1">
        <f t="array" aca="1" ref="G79" ca="1">INDIRECT("'Definition of Typical Day'!"&amp;ADDRESS(13,E79))</f>
        <v>3</v>
      </c>
      <c r="H79" s="768" cm="1">
        <f t="array" aca="1" ref="H79" ca="1">INDIRECT("'Definition of Typical Day'!"&amp; ADDRESS($D79+28*(H$16-1),$E79))</f>
        <v>2</v>
      </c>
      <c r="I79" s="715" cm="1">
        <f t="array" aca="1" ref="I79" ca="1">INDIRECT("'Definition of Typical Day'!"&amp; ADDRESS($D79+29*(I$16-1),$E79))</f>
        <v>40</v>
      </c>
      <c r="J79" s="715">
        <f t="shared" ca="1" si="32"/>
        <v>37</v>
      </c>
      <c r="K79" s="785">
        <f t="shared" si="33"/>
        <v>28</v>
      </c>
      <c r="L79" s="786" cm="1">
        <f t="array" aca="1" ref="L79" ca="1">INDIRECT("'Definition of Typical Day'!"&amp; ADDRESS($D79+29*(L$16-1),$E79))</f>
        <v>6</v>
      </c>
      <c r="M79" s="768" cm="1">
        <f t="array" aca="1" ref="M79" ca="1">INDIRECT("'Definition of Typical Day'!"&amp; ADDRESS($D79+29*(M$16-1),$E79))</f>
        <v>81.666666666666643</v>
      </c>
      <c r="N79" s="715">
        <f t="shared" si="34"/>
        <v>3</v>
      </c>
      <c r="O79" s="715">
        <f t="shared" ca="1" si="35"/>
        <v>84.666666666666643</v>
      </c>
      <c r="P79" s="715" cm="1">
        <f t="array" aca="1" ref="P79" ca="1">INDIRECT("'Definition of Typical Day'!"&amp; ADDRESS($D79+29*(P$16-1),$E79))</f>
        <v>45</v>
      </c>
      <c r="Q79" s="787">
        <f t="shared" ca="1" si="36"/>
        <v>48</v>
      </c>
      <c r="R79" s="792">
        <f t="shared" ca="1" si="37"/>
        <v>84.666666666666643</v>
      </c>
      <c r="S79" s="769">
        <f t="shared" si="38"/>
        <v>3</v>
      </c>
      <c r="T79" s="769">
        <f t="shared" ca="1" si="39"/>
        <v>0.24</v>
      </c>
      <c r="U79" s="769">
        <f t="shared" ca="1" si="40"/>
        <v>0.13866666666666727</v>
      </c>
      <c r="V79" s="769">
        <f t="shared" ca="1" si="41"/>
        <v>0</v>
      </c>
      <c r="W79" s="769">
        <f t="shared" ca="1" si="42"/>
        <v>3.3786666666666676</v>
      </c>
      <c r="X79" s="794">
        <f t="shared" si="43"/>
        <v>3</v>
      </c>
      <c r="Y79" s="769">
        <f t="shared" ca="1" si="44"/>
        <v>3</v>
      </c>
      <c r="Z79" s="769">
        <f t="shared" ca="1" si="45"/>
        <v>2.840807174887892</v>
      </c>
      <c r="AA79" s="795">
        <f t="shared" ca="1" si="46"/>
        <v>2.840807174887892</v>
      </c>
      <c r="AB79" s="769">
        <f t="shared" ca="1" si="47"/>
        <v>0</v>
      </c>
      <c r="AC79" s="769">
        <f t="shared" ca="1" si="48"/>
        <v>0</v>
      </c>
      <c r="AD79" s="769">
        <f t="shared" ca="1" si="49"/>
        <v>0</v>
      </c>
      <c r="AE79" s="794">
        <f t="shared" ca="1" si="50"/>
        <v>2.840807174887892</v>
      </c>
      <c r="AF79" s="769">
        <f t="shared" ca="1" si="51"/>
        <v>2.8408071748878921E-2</v>
      </c>
      <c r="AG79" s="769">
        <f t="shared" ca="1" si="52"/>
        <v>2.812399103139013</v>
      </c>
      <c r="AH79" s="799">
        <f t="shared" ca="1" si="53"/>
        <v>2.812399103139013</v>
      </c>
      <c r="AI79" s="801">
        <f t="shared" ca="1" si="54"/>
        <v>1</v>
      </c>
      <c r="AJ79" s="794">
        <f t="shared" ca="1" si="55"/>
        <v>2</v>
      </c>
      <c r="AK79" s="769">
        <f t="shared" ca="1" si="56"/>
        <v>0.84080717488789203</v>
      </c>
      <c r="AL79" s="769">
        <f t="shared" ca="1" si="57"/>
        <v>0</v>
      </c>
      <c r="AM79" s="804">
        <f t="shared" ca="1" si="6"/>
        <v>0.22666666666666666</v>
      </c>
      <c r="AN79" s="795">
        <f t="shared" ca="1" si="7"/>
        <v>0</v>
      </c>
      <c r="AO79" s="251"/>
      <c r="AP79" s="770">
        <f t="shared" si="58"/>
        <v>0</v>
      </c>
      <c r="AQ79" s="771">
        <f t="shared" ca="1" si="59"/>
        <v>0</v>
      </c>
      <c r="AR79" s="771">
        <f t="shared" ca="1" si="60"/>
        <v>4</v>
      </c>
      <c r="AS79" s="772">
        <f t="shared" ca="1" si="61"/>
        <v>4</v>
      </c>
      <c r="AT79" s="231"/>
      <c r="AU79" s="770">
        <f>'Main Results - IRR DC Operator'!$F$16</f>
        <v>2</v>
      </c>
      <c r="AV79" s="773">
        <f>'Main Results - IRR DC Operator'!$F$15</f>
        <v>1</v>
      </c>
      <c r="AW79" s="771">
        <f t="shared" ca="1" si="62"/>
        <v>4</v>
      </c>
      <c r="AX79" s="772">
        <f t="shared" si="63"/>
        <v>0</v>
      </c>
      <c r="AY79" s="231"/>
      <c r="AZ79" s="770" cm="1">
        <f t="array" aca="1" ref="AZ79" ca="1">INDIRECT("'Definition of Typical Day'!"&amp; ADDRESS($D79+29*(AZ$16-1),$E79))+$AZ$17</f>
        <v>43.99</v>
      </c>
      <c r="BA79" s="771" cm="1">
        <f t="array" aca="1" ref="BA79" ca="1">INDIRECT("'Definition of Typical Day'!"&amp; ADDRESS($D79+29*(BA$16-1),$E79))+$BA$17</f>
        <v>43.99</v>
      </c>
      <c r="BB79" s="772" cm="1">
        <f t="array" aca="1" ref="BB79" ca="1">INDIRECT("'Definition of Typical Day'!"&amp;ADDRESS(BB$16,$E79))</f>
        <v>71</v>
      </c>
      <c r="BC79" s="776" cm="1">
        <f t="array" aca="1" ref="BC79" ca="1">INDIRECT("'Definition of Typical Day'!"&amp; ADDRESS($D79+29*(BC$16-1),$E79))</f>
        <v>42.99</v>
      </c>
      <c r="BD79" s="777" cm="1">
        <f t="array" aca="1" ref="BD79" ca="1">INDIRECT("'Definition of Typical Day'!"&amp; ADDRESS($D79+29*(BD$16-1),$E79))</f>
        <v>0.85</v>
      </c>
      <c r="BE79" s="776">
        <f t="shared" si="64"/>
        <v>0</v>
      </c>
      <c r="BF79" s="771">
        <f t="shared" ca="1" si="75"/>
        <v>36.987107623318373</v>
      </c>
      <c r="BG79" s="771">
        <f t="shared" ca="1" si="65"/>
        <v>4.0339461883408063</v>
      </c>
      <c r="BH79" s="771">
        <f t="shared" ca="1" si="66"/>
        <v>0</v>
      </c>
      <c r="BI79" s="776">
        <f t="shared" ca="1" si="67"/>
        <v>9.7444000000000006</v>
      </c>
      <c r="BJ79" s="776">
        <f t="shared" ca="1" si="68"/>
        <v>0</v>
      </c>
      <c r="BK79" s="776">
        <f t="shared" ca="1" si="69"/>
        <v>0</v>
      </c>
      <c r="BL79" s="776">
        <f t="shared" ca="1" si="70"/>
        <v>0</v>
      </c>
      <c r="BM79" s="135"/>
      <c r="BN79" s="776">
        <f t="shared" ca="1" si="71"/>
        <v>45.021053811659179</v>
      </c>
      <c r="BO79" s="778">
        <f t="shared" ca="1" si="8"/>
        <v>16.008060079883283</v>
      </c>
      <c r="BP79" s="770">
        <f t="shared" ca="1" si="9"/>
        <v>41.021053811659179</v>
      </c>
      <c r="BQ79" s="771">
        <f t="shared" ca="1" si="10"/>
        <v>0</v>
      </c>
      <c r="BR79" s="771">
        <f t="shared" ca="1" si="11"/>
        <v>0</v>
      </c>
      <c r="BS79" s="776">
        <f t="shared" ca="1" si="72"/>
        <v>45.021053811659179</v>
      </c>
      <c r="BT79" s="776">
        <f t="shared" ca="1" si="12"/>
        <v>41.021053811659179</v>
      </c>
      <c r="BU79" s="783">
        <f t="shared" ca="1" si="13"/>
        <v>14.585786834405617</v>
      </c>
      <c r="BV79" s="783">
        <f t="shared" ca="1" si="14"/>
        <v>14.585786834405617</v>
      </c>
      <c r="BW79" s="1019">
        <f t="shared" ca="1" si="73"/>
        <v>14.585786834405617</v>
      </c>
      <c r="BX79" s="771" cm="1">
        <f t="array" aca="1" ref="BX79" ca="1">INDIRECT("'Definition of Typical Day'!"&amp; ADDRESS($D79+29*(BX$16-1),$E79))</f>
        <v>60</v>
      </c>
      <c r="BY79" s="771">
        <f t="shared" ca="1" si="74"/>
        <v>1</v>
      </c>
      <c r="BZ79" s="781">
        <f t="shared" ca="1" si="15"/>
        <v>1</v>
      </c>
      <c r="CA79" s="781">
        <f t="shared" ca="1" si="16"/>
        <v>0.94693572496263068</v>
      </c>
      <c r="CB79" s="776">
        <f t="shared" ca="1" si="17"/>
        <v>168.74394618834077</v>
      </c>
      <c r="CC79" s="782">
        <f t="shared" si="18"/>
        <v>3</v>
      </c>
      <c r="CD79" s="782">
        <f t="shared" si="19"/>
        <v>11</v>
      </c>
      <c r="CE79" s="784" t="str" cm="1">
        <f t="array" aca="1" ref="CE79" ca="1">INDIRECT("'Definition of Typical Day'!"&amp;ADDRESS(CE$16,$E79))</f>
        <v>Spring / fall weekend</v>
      </c>
      <c r="CF79" s="232"/>
      <c r="CG79" s="232"/>
      <c r="CH79" s="776">
        <f t="shared" ca="1" si="20"/>
        <v>2</v>
      </c>
      <c r="CI79" s="806">
        <f t="shared" ca="1" si="21"/>
        <v>6</v>
      </c>
      <c r="CJ79" s="770">
        <f t="shared" ca="1" si="22"/>
        <v>2.812399103139013</v>
      </c>
      <c r="CK79" s="771">
        <f t="shared" ca="1" si="23"/>
        <v>2</v>
      </c>
      <c r="CL79" s="771">
        <f t="shared" ca="1" si="24"/>
        <v>0.84080717488789203</v>
      </c>
      <c r="CM79" s="772">
        <f t="shared" ca="1" si="25"/>
        <v>0</v>
      </c>
      <c r="CN79" s="135"/>
      <c r="CO79" s="770">
        <f t="shared" ca="1" si="76"/>
        <v>1.05</v>
      </c>
      <c r="CP79" s="771">
        <f t="shared" ca="1" si="27"/>
        <v>0.98</v>
      </c>
      <c r="CQ79" s="771">
        <f t="shared" ca="1" si="28"/>
        <v>0.96</v>
      </c>
      <c r="CR79" s="771">
        <f t="shared" ca="1" si="29"/>
        <v>0.95</v>
      </c>
      <c r="CS79" s="771">
        <f t="shared" ca="1" si="30"/>
        <v>1.02</v>
      </c>
      <c r="CT79" s="772">
        <f t="shared" ca="1" si="31"/>
        <v>0.02</v>
      </c>
      <c r="CU79" s="135"/>
      <c r="CV79" s="135"/>
      <c r="CW79" s="135"/>
      <c r="CX79" s="135"/>
      <c r="CY79" s="135"/>
      <c r="CZ79" s="135"/>
      <c r="DA79" s="135"/>
      <c r="DB79" s="135"/>
      <c r="DC79" s="135"/>
      <c r="DD79" s="135"/>
      <c r="DE79" s="135"/>
      <c r="DF79" s="135"/>
      <c r="DG79" s="135"/>
      <c r="DH79" s="135"/>
      <c r="DI79" s="135"/>
      <c r="DJ79" s="135"/>
      <c r="DK79" s="135"/>
      <c r="DL79" s="135"/>
      <c r="DX79" s="135"/>
      <c r="DY79" s="135"/>
      <c r="DZ79" s="135"/>
      <c r="EA79" s="135"/>
      <c r="EB79" s="135"/>
      <c r="EC79" s="135"/>
      <c r="ED79" s="135"/>
      <c r="EE79" s="135"/>
      <c r="EF79" s="135"/>
      <c r="EG79" s="135"/>
      <c r="EH79" s="135"/>
      <c r="EI79" s="135"/>
      <c r="EJ79" s="135"/>
      <c r="EK79" s="135"/>
      <c r="EL79" s="135"/>
      <c r="EM79" s="135"/>
      <c r="EN79" s="135"/>
      <c r="EO79" s="135"/>
      <c r="EP79" s="135"/>
      <c r="EQ79" s="135"/>
      <c r="ER79" s="135"/>
      <c r="ES79" s="135"/>
      <c r="ET79" s="135"/>
      <c r="EU79" s="135"/>
      <c r="EV79" s="135"/>
      <c r="EW79" s="135"/>
      <c r="EX79" s="135"/>
      <c r="EY79" s="135"/>
      <c r="EZ79" s="135"/>
      <c r="FA79" s="135"/>
      <c r="FB79" s="135"/>
      <c r="FC79" s="135"/>
      <c r="FD79" s="135"/>
      <c r="FE79" s="135"/>
      <c r="FF79" s="135"/>
      <c r="FG79" s="135"/>
    </row>
    <row r="80" spans="1:163" s="57" customFormat="1" ht="11.25" outlineLevel="1">
      <c r="A80" s="765">
        <f t="shared" si="77"/>
        <v>3</v>
      </c>
      <c r="B80" s="715" t="str" cm="1">
        <f t="array" aca="1" ref="B80" ca="1">INDIRECT("'Definition of Typical Day'!"&amp;ADDRESS(B$16,$E80))</f>
        <v>Spring / fall weekend</v>
      </c>
      <c r="C80" s="766">
        <f t="shared" si="78"/>
        <v>12</v>
      </c>
      <c r="D80" s="715">
        <f t="shared" si="78"/>
        <v>46</v>
      </c>
      <c r="E80" s="715">
        <f t="shared" si="5"/>
        <v>7</v>
      </c>
      <c r="F80" s="767" cm="1">
        <f t="array" aca="1" ref="F80" ca="1">INDIRECT("'Definition of Typical Day'!D"&amp;D80)</f>
        <v>12</v>
      </c>
      <c r="G80" s="767" cm="1">
        <f t="array" aca="1" ref="G80" ca="1">INDIRECT("'Definition of Typical Day'!"&amp;ADDRESS(13,E80))</f>
        <v>3</v>
      </c>
      <c r="H80" s="768" cm="1">
        <f t="array" aca="1" ref="H80" ca="1">INDIRECT("'Definition of Typical Day'!"&amp; ADDRESS($D80+28*(H$16-1),$E80))</f>
        <v>2</v>
      </c>
      <c r="I80" s="715" cm="1">
        <f t="array" aca="1" ref="I80" ca="1">INDIRECT("'Definition of Typical Day'!"&amp; ADDRESS($D80+29*(I$16-1),$E80))</f>
        <v>40</v>
      </c>
      <c r="J80" s="715">
        <f t="shared" ca="1" si="32"/>
        <v>37</v>
      </c>
      <c r="K80" s="785">
        <f t="shared" si="33"/>
        <v>28</v>
      </c>
      <c r="L80" s="786" cm="1">
        <f t="array" aca="1" ref="L80" ca="1">INDIRECT("'Definition of Typical Day'!"&amp; ADDRESS($D80+29*(L$16-1),$E80))</f>
        <v>6</v>
      </c>
      <c r="M80" s="768" cm="1">
        <f t="array" aca="1" ref="M80" ca="1">INDIRECT("'Definition of Typical Day'!"&amp; ADDRESS($D80+29*(M$16-1),$E80))</f>
        <v>80</v>
      </c>
      <c r="N80" s="715">
        <f t="shared" si="34"/>
        <v>3</v>
      </c>
      <c r="O80" s="715">
        <f t="shared" ca="1" si="35"/>
        <v>83</v>
      </c>
      <c r="P80" s="715" cm="1">
        <f t="array" aca="1" ref="P80" ca="1">INDIRECT("'Definition of Typical Day'!"&amp; ADDRESS($D80+29*(P$16-1),$E80))</f>
        <v>45</v>
      </c>
      <c r="Q80" s="787">
        <f t="shared" ca="1" si="36"/>
        <v>48</v>
      </c>
      <c r="R80" s="792">
        <f t="shared" ca="1" si="37"/>
        <v>83</v>
      </c>
      <c r="S80" s="769">
        <f t="shared" si="38"/>
        <v>3</v>
      </c>
      <c r="T80" s="769">
        <f t="shared" ca="1" si="39"/>
        <v>0.24</v>
      </c>
      <c r="U80" s="769">
        <f t="shared" ca="1" si="40"/>
        <v>0.182</v>
      </c>
      <c r="V80" s="769">
        <f t="shared" ca="1" si="41"/>
        <v>0</v>
      </c>
      <c r="W80" s="769">
        <f t="shared" ca="1" si="42"/>
        <v>3.4220000000000002</v>
      </c>
      <c r="X80" s="794">
        <f t="shared" si="43"/>
        <v>3</v>
      </c>
      <c r="Y80" s="769">
        <f t="shared" ca="1" si="44"/>
        <v>3</v>
      </c>
      <c r="Z80" s="769">
        <f t="shared" ca="1" si="45"/>
        <v>2.8257638315441782</v>
      </c>
      <c r="AA80" s="795">
        <f t="shared" ca="1" si="46"/>
        <v>2.8257638315441782</v>
      </c>
      <c r="AB80" s="769">
        <f t="shared" ca="1" si="47"/>
        <v>0</v>
      </c>
      <c r="AC80" s="769">
        <f t="shared" ca="1" si="48"/>
        <v>0</v>
      </c>
      <c r="AD80" s="769">
        <f t="shared" ca="1" si="49"/>
        <v>0</v>
      </c>
      <c r="AE80" s="794">
        <f t="shared" ca="1" si="50"/>
        <v>2.8257638315441782</v>
      </c>
      <c r="AF80" s="769">
        <f t="shared" ca="1" si="51"/>
        <v>2.8257638315441782E-2</v>
      </c>
      <c r="AG80" s="769">
        <f t="shared" ca="1" si="52"/>
        <v>2.7975061932287364</v>
      </c>
      <c r="AH80" s="799">
        <f t="shared" ca="1" si="53"/>
        <v>2.7975061932287364</v>
      </c>
      <c r="AI80" s="801">
        <f t="shared" ca="1" si="54"/>
        <v>1</v>
      </c>
      <c r="AJ80" s="794">
        <f t="shared" ca="1" si="55"/>
        <v>2</v>
      </c>
      <c r="AK80" s="769">
        <f t="shared" ca="1" si="56"/>
        <v>0.82576383154417832</v>
      </c>
      <c r="AL80" s="769">
        <f t="shared" ca="1" si="57"/>
        <v>0</v>
      </c>
      <c r="AM80" s="804">
        <f t="shared" ca="1" si="6"/>
        <v>0.22666666666666666</v>
      </c>
      <c r="AN80" s="795">
        <f t="shared" ca="1" si="7"/>
        <v>0</v>
      </c>
      <c r="AO80" s="251"/>
      <c r="AP80" s="770">
        <f t="shared" si="58"/>
        <v>0</v>
      </c>
      <c r="AQ80" s="771">
        <f t="shared" ca="1" si="59"/>
        <v>0</v>
      </c>
      <c r="AR80" s="771">
        <f t="shared" ca="1" si="60"/>
        <v>4</v>
      </c>
      <c r="AS80" s="772">
        <f t="shared" ca="1" si="61"/>
        <v>4</v>
      </c>
      <c r="AT80" s="231"/>
      <c r="AU80" s="770">
        <f>'Main Results - IRR DC Operator'!$F$16</f>
        <v>2</v>
      </c>
      <c r="AV80" s="773">
        <f>'Main Results - IRR DC Operator'!$F$15</f>
        <v>1</v>
      </c>
      <c r="AW80" s="771">
        <f t="shared" ca="1" si="62"/>
        <v>4</v>
      </c>
      <c r="AX80" s="772">
        <f t="shared" si="63"/>
        <v>0</v>
      </c>
      <c r="AY80" s="231"/>
      <c r="AZ80" s="770" cm="1">
        <f t="array" aca="1" ref="AZ80" ca="1">INDIRECT("'Definition of Typical Day'!"&amp; ADDRESS($D80+29*(AZ$16-1),$E80))+$AZ$17</f>
        <v>47.96</v>
      </c>
      <c r="BA80" s="771" cm="1">
        <f t="array" aca="1" ref="BA80" ca="1">INDIRECT("'Definition of Typical Day'!"&amp; ADDRESS($D80+29*(BA$16-1),$E80))+$BA$17</f>
        <v>47.96</v>
      </c>
      <c r="BB80" s="772" cm="1">
        <f t="array" aca="1" ref="BB80" ca="1">INDIRECT("'Definition of Typical Day'!"&amp;ADDRESS(BB$16,$E80))</f>
        <v>71</v>
      </c>
      <c r="BC80" s="776" cm="1">
        <f t="array" aca="1" ref="BC80" ca="1">INDIRECT("'Definition of Typical Day'!"&amp; ADDRESS($D80+29*(BC$16-1),$E80))</f>
        <v>46.96</v>
      </c>
      <c r="BD80" s="777" cm="1">
        <f t="array" aca="1" ref="BD80" ca="1">INDIRECT("'Definition of Typical Day'!"&amp; ADDRESS($D80+29*(BD$16-1),$E80))</f>
        <v>0.85</v>
      </c>
      <c r="BE80" s="776">
        <f t="shared" si="64"/>
        <v>0</v>
      </c>
      <c r="BF80" s="771">
        <f t="shared" ca="1" si="75"/>
        <v>39.603633360858794</v>
      </c>
      <c r="BG80" s="771">
        <f t="shared" ca="1" si="65"/>
        <v>4.012584640792733</v>
      </c>
      <c r="BH80" s="771">
        <f t="shared" ca="1" si="66"/>
        <v>0</v>
      </c>
      <c r="BI80" s="776">
        <f t="shared" ca="1" si="67"/>
        <v>10.644266666666667</v>
      </c>
      <c r="BJ80" s="776">
        <f t="shared" ca="1" si="68"/>
        <v>0</v>
      </c>
      <c r="BK80" s="776">
        <f t="shared" ca="1" si="69"/>
        <v>0</v>
      </c>
      <c r="BL80" s="776">
        <f t="shared" ca="1" si="70"/>
        <v>0</v>
      </c>
      <c r="BM80" s="135"/>
      <c r="BN80" s="776">
        <f t="shared" ca="1" si="71"/>
        <v>47.616218001651525</v>
      </c>
      <c r="BO80" s="778">
        <f t="shared" ca="1" si="8"/>
        <v>17.02095177372793</v>
      </c>
      <c r="BP80" s="770">
        <f t="shared" ca="1" si="9"/>
        <v>43.616218001651525</v>
      </c>
      <c r="BQ80" s="771">
        <f t="shared" ca="1" si="10"/>
        <v>0</v>
      </c>
      <c r="BR80" s="771">
        <f t="shared" ca="1" si="11"/>
        <v>0</v>
      </c>
      <c r="BS80" s="776">
        <f t="shared" ca="1" si="72"/>
        <v>47.616218001651525</v>
      </c>
      <c r="BT80" s="776">
        <f t="shared" ca="1" si="12"/>
        <v>43.616218001651525</v>
      </c>
      <c r="BU80" s="783">
        <f t="shared" ca="1" si="13"/>
        <v>15.591106860539941</v>
      </c>
      <c r="BV80" s="783">
        <f t="shared" ca="1" si="14"/>
        <v>15.591106860539941</v>
      </c>
      <c r="BW80" s="1019">
        <f t="shared" ca="1" si="73"/>
        <v>15.591106860539941</v>
      </c>
      <c r="BX80" s="771" cm="1">
        <f t="array" aca="1" ref="BX80" ca="1">INDIRECT("'Definition of Typical Day'!"&amp; ADDRESS($D80+29*(BX$16-1),$E80))</f>
        <v>60</v>
      </c>
      <c r="BY80" s="771">
        <f t="shared" ca="1" si="74"/>
        <v>1</v>
      </c>
      <c r="BZ80" s="781">
        <f t="shared" ca="1" si="15"/>
        <v>1</v>
      </c>
      <c r="CA80" s="781">
        <f t="shared" ca="1" si="16"/>
        <v>0.94192127718139274</v>
      </c>
      <c r="CB80" s="776">
        <f t="shared" ca="1" si="17"/>
        <v>167.85037159372419</v>
      </c>
      <c r="CC80" s="782">
        <f t="shared" si="18"/>
        <v>3</v>
      </c>
      <c r="CD80" s="782">
        <f t="shared" si="19"/>
        <v>12</v>
      </c>
      <c r="CE80" s="784" t="str" cm="1">
        <f t="array" aca="1" ref="CE80" ca="1">INDIRECT("'Definition of Typical Day'!"&amp;ADDRESS(CE$16,$E80))</f>
        <v>Spring / fall weekend</v>
      </c>
      <c r="CF80" s="232"/>
      <c r="CG80" s="232"/>
      <c r="CH80" s="776">
        <f t="shared" ca="1" si="20"/>
        <v>2</v>
      </c>
      <c r="CI80" s="806">
        <f t="shared" ca="1" si="21"/>
        <v>6</v>
      </c>
      <c r="CJ80" s="770">
        <f t="shared" ca="1" si="22"/>
        <v>2.7975061932287364</v>
      </c>
      <c r="CK80" s="771">
        <f t="shared" ca="1" si="23"/>
        <v>2</v>
      </c>
      <c r="CL80" s="771">
        <f t="shared" ca="1" si="24"/>
        <v>0.82576383154417832</v>
      </c>
      <c r="CM80" s="772">
        <f t="shared" ca="1" si="25"/>
        <v>0</v>
      </c>
      <c r="CN80" s="135"/>
      <c r="CO80" s="770">
        <f t="shared" ca="1" si="76"/>
        <v>1.05</v>
      </c>
      <c r="CP80" s="771">
        <f t="shared" ca="1" si="27"/>
        <v>0.98</v>
      </c>
      <c r="CQ80" s="771">
        <f t="shared" ca="1" si="28"/>
        <v>0.96</v>
      </c>
      <c r="CR80" s="771">
        <f t="shared" ca="1" si="29"/>
        <v>0.95</v>
      </c>
      <c r="CS80" s="771">
        <f t="shared" ca="1" si="30"/>
        <v>1.02</v>
      </c>
      <c r="CT80" s="772">
        <f t="shared" ca="1" si="31"/>
        <v>0.02</v>
      </c>
      <c r="CU80" s="135"/>
      <c r="CV80" s="135"/>
      <c r="CW80" s="135"/>
      <c r="CX80" s="135"/>
      <c r="CY80" s="135"/>
      <c r="CZ80" s="135"/>
      <c r="DA80" s="135"/>
      <c r="DB80" s="135"/>
      <c r="DC80" s="135"/>
      <c r="DD80" s="135"/>
      <c r="DE80" s="135"/>
      <c r="DF80" s="135"/>
      <c r="DG80" s="135"/>
      <c r="DH80" s="135"/>
      <c r="DI80" s="135"/>
      <c r="DJ80" s="135"/>
      <c r="DK80" s="135"/>
      <c r="DL80" s="135"/>
      <c r="DX80" s="135"/>
      <c r="DY80" s="135"/>
      <c r="DZ80" s="135"/>
      <c r="EA80" s="135"/>
      <c r="EB80" s="135"/>
      <c r="EC80" s="135"/>
      <c r="ED80" s="135"/>
      <c r="EE80" s="135"/>
      <c r="EF80" s="135"/>
      <c r="EG80" s="135"/>
      <c r="EH80" s="135"/>
      <c r="EI80" s="135"/>
      <c r="EJ80" s="135"/>
      <c r="EK80" s="135"/>
      <c r="EL80" s="135"/>
      <c r="EM80" s="135"/>
      <c r="EN80" s="135"/>
      <c r="EO80" s="135"/>
      <c r="EP80" s="135"/>
      <c r="EQ80" s="135"/>
      <c r="ER80" s="135"/>
      <c r="ES80" s="135"/>
      <c r="ET80" s="135"/>
      <c r="EU80" s="135"/>
      <c r="EV80" s="135"/>
      <c r="EW80" s="135"/>
      <c r="EX80" s="135"/>
      <c r="EY80" s="135"/>
      <c r="EZ80" s="135"/>
      <c r="FA80" s="135"/>
      <c r="FB80" s="135"/>
      <c r="FC80" s="135"/>
      <c r="FD80" s="135"/>
      <c r="FE80" s="135"/>
      <c r="FF80" s="135"/>
      <c r="FG80" s="135"/>
    </row>
    <row r="81" spans="1:163" s="57" customFormat="1" ht="11.25" outlineLevel="1">
      <c r="A81" s="765">
        <f t="shared" si="77"/>
        <v>3</v>
      </c>
      <c r="B81" s="715" t="str" cm="1">
        <f t="array" aca="1" ref="B81" ca="1">INDIRECT("'Definition of Typical Day'!"&amp;ADDRESS(B$16,$E81))</f>
        <v>Spring / fall weekend</v>
      </c>
      <c r="C81" s="766">
        <f t="shared" si="78"/>
        <v>13</v>
      </c>
      <c r="D81" s="715">
        <f t="shared" si="78"/>
        <v>47</v>
      </c>
      <c r="E81" s="715">
        <f t="shared" si="5"/>
        <v>7</v>
      </c>
      <c r="F81" s="767" cm="1">
        <f t="array" aca="1" ref="F81" ca="1">INDIRECT("'Definition of Typical Day'!D"&amp;D81)</f>
        <v>13</v>
      </c>
      <c r="G81" s="767" cm="1">
        <f t="array" aca="1" ref="G81" ca="1">INDIRECT("'Definition of Typical Day'!"&amp;ADDRESS(13,E81))</f>
        <v>3</v>
      </c>
      <c r="H81" s="768" cm="1">
        <f t="array" aca="1" ref="H81" ca="1">INDIRECT("'Definition of Typical Day'!"&amp; ADDRESS($D81+28*(H$16-1),$E81))</f>
        <v>2</v>
      </c>
      <c r="I81" s="715" cm="1">
        <f t="array" aca="1" ref="I81" ca="1">INDIRECT("'Definition of Typical Day'!"&amp; ADDRESS($D81+29*(I$16-1),$E81))</f>
        <v>40</v>
      </c>
      <c r="J81" s="715">
        <f t="shared" ca="1" si="32"/>
        <v>37</v>
      </c>
      <c r="K81" s="785">
        <f t="shared" si="33"/>
        <v>28</v>
      </c>
      <c r="L81" s="786" cm="1">
        <f t="array" aca="1" ref="L81" ca="1">INDIRECT("'Definition of Typical Day'!"&amp; ADDRESS($D81+29*(L$16-1),$E81))</f>
        <v>6</v>
      </c>
      <c r="M81" s="768" cm="1">
        <f t="array" aca="1" ref="M81" ca="1">INDIRECT("'Definition of Typical Day'!"&amp; ADDRESS($D81+29*(M$16-1),$E81))</f>
        <v>78.3333333333333</v>
      </c>
      <c r="N81" s="715">
        <f t="shared" si="34"/>
        <v>3</v>
      </c>
      <c r="O81" s="715">
        <f t="shared" ca="1" si="35"/>
        <v>81.3333333333333</v>
      </c>
      <c r="P81" s="715" cm="1">
        <f t="array" aca="1" ref="P81" ca="1">INDIRECT("'Definition of Typical Day'!"&amp; ADDRESS($D81+29*(P$16-1),$E81))</f>
        <v>45</v>
      </c>
      <c r="Q81" s="787">
        <f t="shared" ca="1" si="36"/>
        <v>48</v>
      </c>
      <c r="R81" s="792">
        <f t="shared" ca="1" si="37"/>
        <v>81.3333333333333</v>
      </c>
      <c r="S81" s="769">
        <f t="shared" si="38"/>
        <v>3</v>
      </c>
      <c r="T81" s="769">
        <f t="shared" ca="1" si="39"/>
        <v>0.24</v>
      </c>
      <c r="U81" s="769">
        <f t="shared" ca="1" si="40"/>
        <v>0.22533333333333419</v>
      </c>
      <c r="V81" s="769">
        <f t="shared" ca="1" si="41"/>
        <v>0</v>
      </c>
      <c r="W81" s="769">
        <f t="shared" ca="1" si="42"/>
        <v>3.4653333333333345</v>
      </c>
      <c r="X81" s="794">
        <f t="shared" si="43"/>
        <v>3</v>
      </c>
      <c r="Y81" s="769">
        <f t="shared" ca="1" si="44"/>
        <v>3</v>
      </c>
      <c r="Z81" s="769">
        <f t="shared" ca="1" si="45"/>
        <v>2.8112493239588963</v>
      </c>
      <c r="AA81" s="795">
        <f t="shared" ca="1" si="46"/>
        <v>2.8112493239588963</v>
      </c>
      <c r="AB81" s="769">
        <f t="shared" ca="1" si="47"/>
        <v>0</v>
      </c>
      <c r="AC81" s="769">
        <f t="shared" ca="1" si="48"/>
        <v>0</v>
      </c>
      <c r="AD81" s="769">
        <f t="shared" ca="1" si="49"/>
        <v>0</v>
      </c>
      <c r="AE81" s="794">
        <f t="shared" ca="1" si="50"/>
        <v>2.8112493239588963</v>
      </c>
      <c r="AF81" s="769">
        <f t="shared" ca="1" si="51"/>
        <v>2.8112493239588962E-2</v>
      </c>
      <c r="AG81" s="769">
        <f t="shared" ca="1" si="52"/>
        <v>2.7831368307193074</v>
      </c>
      <c r="AH81" s="799">
        <f t="shared" ca="1" si="53"/>
        <v>2.7831368307193074</v>
      </c>
      <c r="AI81" s="801">
        <f t="shared" ca="1" si="54"/>
        <v>1</v>
      </c>
      <c r="AJ81" s="794">
        <f t="shared" ca="1" si="55"/>
        <v>2</v>
      </c>
      <c r="AK81" s="769">
        <f t="shared" ca="1" si="56"/>
        <v>0.81124932395889626</v>
      </c>
      <c r="AL81" s="769">
        <f t="shared" ca="1" si="57"/>
        <v>0</v>
      </c>
      <c r="AM81" s="804">
        <f t="shared" ca="1" si="6"/>
        <v>0.22666666666666666</v>
      </c>
      <c r="AN81" s="795">
        <f t="shared" ca="1" si="7"/>
        <v>0</v>
      </c>
      <c r="AO81" s="251"/>
      <c r="AP81" s="770">
        <f t="shared" si="58"/>
        <v>0</v>
      </c>
      <c r="AQ81" s="771">
        <f t="shared" ca="1" si="59"/>
        <v>0</v>
      </c>
      <c r="AR81" s="771">
        <f t="shared" ca="1" si="60"/>
        <v>4</v>
      </c>
      <c r="AS81" s="772">
        <f t="shared" ca="1" si="61"/>
        <v>4</v>
      </c>
      <c r="AT81" s="231"/>
      <c r="AU81" s="770">
        <f>'Main Results - IRR DC Operator'!$F$16</f>
        <v>2</v>
      </c>
      <c r="AV81" s="773">
        <f>'Main Results - IRR DC Operator'!$F$15</f>
        <v>1</v>
      </c>
      <c r="AW81" s="771">
        <f t="shared" ca="1" si="62"/>
        <v>4</v>
      </c>
      <c r="AX81" s="772">
        <f t="shared" si="63"/>
        <v>0</v>
      </c>
      <c r="AY81" s="231"/>
      <c r="AZ81" s="770" cm="1">
        <f t="array" aca="1" ref="AZ81" ca="1">INDIRECT("'Definition of Typical Day'!"&amp; ADDRESS($D81+29*(AZ$16-1),$E81))+$AZ$17</f>
        <v>17.059999999999999</v>
      </c>
      <c r="BA81" s="771" cm="1">
        <f t="array" aca="1" ref="BA81" ca="1">INDIRECT("'Definition of Typical Day'!"&amp; ADDRESS($D81+29*(BA$16-1),$E81))+$BA$17</f>
        <v>17.059999999999999</v>
      </c>
      <c r="BB81" s="772" cm="1">
        <f t="array" aca="1" ref="BB81" ca="1">INDIRECT("'Definition of Typical Day'!"&amp;ADDRESS(BB$16,$E81))</f>
        <v>71</v>
      </c>
      <c r="BC81" s="776" cm="1">
        <f t="array" aca="1" ref="BC81" ca="1">INDIRECT("'Definition of Typical Day'!"&amp; ADDRESS($D81+29*(BC$16-1),$E81))</f>
        <v>16.059999999999999</v>
      </c>
      <c r="BD81" s="777" cm="1">
        <f t="array" aca="1" ref="BD81" ca="1">INDIRECT("'Definition of Typical Day'!"&amp; ADDRESS($D81+29*(BD$16-1),$E81))</f>
        <v>0.85</v>
      </c>
      <c r="BE81" s="776">
        <f t="shared" si="64"/>
        <v>0</v>
      </c>
      <c r="BF81" s="771">
        <f t="shared" ca="1" si="75"/>
        <v>13.83991346673877</v>
      </c>
      <c r="BG81" s="771">
        <f t="shared" ca="1" si="65"/>
        <v>3.9919740400216326</v>
      </c>
      <c r="BH81" s="771">
        <f t="shared" ca="1" si="66"/>
        <v>0</v>
      </c>
      <c r="BI81" s="776">
        <f t="shared" ca="1" si="67"/>
        <v>3.6402666666666663</v>
      </c>
      <c r="BJ81" s="776">
        <f t="shared" ca="1" si="68"/>
        <v>0</v>
      </c>
      <c r="BK81" s="776">
        <f t="shared" ca="1" si="69"/>
        <v>0</v>
      </c>
      <c r="BL81" s="776">
        <f t="shared" ca="1" si="70"/>
        <v>0</v>
      </c>
      <c r="BM81" s="135"/>
      <c r="BN81" s="776">
        <f t="shared" ca="1" si="71"/>
        <v>21.831887506760403</v>
      </c>
      <c r="BO81" s="778">
        <f t="shared" ca="1" si="8"/>
        <v>7.8443457273776609</v>
      </c>
      <c r="BP81" s="770">
        <f t="shared" ca="1" si="9"/>
        <v>17.831887506760403</v>
      </c>
      <c r="BQ81" s="771">
        <f t="shared" ca="1" si="10"/>
        <v>0</v>
      </c>
      <c r="BR81" s="771">
        <f t="shared" ca="1" si="11"/>
        <v>0</v>
      </c>
      <c r="BS81" s="776">
        <f t="shared" ca="1" si="72"/>
        <v>21.831887506760403</v>
      </c>
      <c r="BT81" s="776">
        <f t="shared" ca="1" si="12"/>
        <v>17.831887506760403</v>
      </c>
      <c r="BU81" s="783">
        <f t="shared" ca="1" si="13"/>
        <v>6.4071185110046187</v>
      </c>
      <c r="BV81" s="783">
        <f t="shared" ca="1" si="14"/>
        <v>6.4071185110046187</v>
      </c>
      <c r="BW81" s="1019">
        <f t="shared" ca="1" si="73"/>
        <v>6.4071185110046187</v>
      </c>
      <c r="BX81" s="771" cm="1">
        <f t="array" aca="1" ref="BX81" ca="1">INDIRECT("'Definition of Typical Day'!"&amp; ADDRESS($D81+29*(BX$16-1),$E81))</f>
        <v>60</v>
      </c>
      <c r="BY81" s="771">
        <f t="shared" ca="1" si="74"/>
        <v>1</v>
      </c>
      <c r="BZ81" s="781">
        <f t="shared" ca="1" si="15"/>
        <v>1</v>
      </c>
      <c r="CA81" s="781">
        <f t="shared" ca="1" si="16"/>
        <v>0.93708310798629879</v>
      </c>
      <c r="CB81" s="776">
        <f t="shared" ca="1" si="17"/>
        <v>166.98820984315844</v>
      </c>
      <c r="CC81" s="782">
        <f t="shared" si="18"/>
        <v>3</v>
      </c>
      <c r="CD81" s="782">
        <f t="shared" si="19"/>
        <v>13</v>
      </c>
      <c r="CE81" s="784" t="str" cm="1">
        <f t="array" aca="1" ref="CE81" ca="1">INDIRECT("'Definition of Typical Day'!"&amp;ADDRESS(CE$16,$E81))</f>
        <v>Spring / fall weekend</v>
      </c>
      <c r="CF81" s="232"/>
      <c r="CG81" s="232"/>
      <c r="CH81" s="776">
        <f t="shared" ca="1" si="20"/>
        <v>2</v>
      </c>
      <c r="CI81" s="806">
        <f t="shared" ca="1" si="21"/>
        <v>6</v>
      </c>
      <c r="CJ81" s="770">
        <f t="shared" ca="1" si="22"/>
        <v>2.7831368307193074</v>
      </c>
      <c r="CK81" s="771">
        <f t="shared" ca="1" si="23"/>
        <v>2</v>
      </c>
      <c r="CL81" s="771">
        <f t="shared" ca="1" si="24"/>
        <v>0.81124932395889626</v>
      </c>
      <c r="CM81" s="772">
        <f t="shared" ca="1" si="25"/>
        <v>0</v>
      </c>
      <c r="CN81" s="135"/>
      <c r="CO81" s="770">
        <f t="shared" ca="1" si="76"/>
        <v>1.05</v>
      </c>
      <c r="CP81" s="771">
        <f t="shared" ca="1" si="27"/>
        <v>0.98</v>
      </c>
      <c r="CQ81" s="771">
        <f t="shared" ca="1" si="28"/>
        <v>0.96</v>
      </c>
      <c r="CR81" s="771">
        <f t="shared" ca="1" si="29"/>
        <v>0.95</v>
      </c>
      <c r="CS81" s="771">
        <f t="shared" ca="1" si="30"/>
        <v>1.02</v>
      </c>
      <c r="CT81" s="772">
        <f t="shared" ca="1" si="31"/>
        <v>0.02</v>
      </c>
      <c r="CU81" s="135"/>
      <c r="CV81" s="135"/>
      <c r="CW81" s="135"/>
      <c r="CX81" s="135"/>
      <c r="CY81" s="135"/>
      <c r="CZ81" s="135"/>
      <c r="DA81" s="135"/>
      <c r="DB81" s="135"/>
      <c r="DC81" s="135"/>
      <c r="DD81" s="135"/>
      <c r="DE81" s="135"/>
      <c r="DF81" s="135"/>
      <c r="DG81" s="135"/>
      <c r="DH81" s="135"/>
      <c r="DI81" s="135"/>
      <c r="DJ81" s="135"/>
      <c r="DK81" s="135"/>
      <c r="DL81" s="135"/>
      <c r="DX81" s="135"/>
      <c r="DY81" s="135"/>
      <c r="DZ81" s="135"/>
      <c r="EA81" s="135"/>
      <c r="EB81" s="135"/>
      <c r="EC81" s="135"/>
      <c r="ED81" s="135"/>
      <c r="EE81" s="135"/>
      <c r="EF81" s="135"/>
      <c r="EG81" s="135"/>
      <c r="EH81" s="135"/>
      <c r="EI81" s="135"/>
      <c r="EJ81" s="135"/>
      <c r="EK81" s="135"/>
      <c r="EL81" s="135"/>
      <c r="EM81" s="135"/>
      <c r="EN81" s="135"/>
      <c r="EO81" s="135"/>
      <c r="EP81" s="135"/>
      <c r="EQ81" s="135"/>
      <c r="ER81" s="135"/>
      <c r="ES81" s="135"/>
      <c r="ET81" s="135"/>
      <c r="EU81" s="135"/>
      <c r="EV81" s="135"/>
      <c r="EW81" s="135"/>
      <c r="EX81" s="135"/>
      <c r="EY81" s="135"/>
      <c r="EZ81" s="135"/>
      <c r="FA81" s="135"/>
      <c r="FB81" s="135"/>
      <c r="FC81" s="135"/>
      <c r="FD81" s="135"/>
      <c r="FE81" s="135"/>
      <c r="FF81" s="135"/>
      <c r="FG81" s="135"/>
    </row>
    <row r="82" spans="1:163" s="57" customFormat="1" ht="11.25" outlineLevel="1">
      <c r="A82" s="765">
        <f t="shared" si="77"/>
        <v>3</v>
      </c>
      <c r="B82" s="715" t="str" cm="1">
        <f t="array" aca="1" ref="B82" ca="1">INDIRECT("'Definition of Typical Day'!"&amp;ADDRESS(B$16,$E82))</f>
        <v>Spring / fall weekend</v>
      </c>
      <c r="C82" s="766">
        <f t="shared" si="78"/>
        <v>14</v>
      </c>
      <c r="D82" s="715">
        <f t="shared" si="78"/>
        <v>48</v>
      </c>
      <c r="E82" s="715">
        <f t="shared" si="5"/>
        <v>7</v>
      </c>
      <c r="F82" s="767" cm="1">
        <f t="array" aca="1" ref="F82" ca="1">INDIRECT("'Definition of Typical Day'!D"&amp;D82)</f>
        <v>14</v>
      </c>
      <c r="G82" s="767" cm="1">
        <f t="array" aca="1" ref="G82" ca="1">INDIRECT("'Definition of Typical Day'!"&amp;ADDRESS(13,E82))</f>
        <v>3</v>
      </c>
      <c r="H82" s="768" cm="1">
        <f t="array" aca="1" ref="H82" ca="1">INDIRECT("'Definition of Typical Day'!"&amp; ADDRESS($D82+28*(H$16-1),$E82))</f>
        <v>2</v>
      </c>
      <c r="I82" s="715" cm="1">
        <f t="array" aca="1" ref="I82" ca="1">INDIRECT("'Definition of Typical Day'!"&amp; ADDRESS($D82+29*(I$16-1),$E82))</f>
        <v>40</v>
      </c>
      <c r="J82" s="715">
        <f t="shared" ca="1" si="32"/>
        <v>37</v>
      </c>
      <c r="K82" s="785">
        <f t="shared" si="33"/>
        <v>28</v>
      </c>
      <c r="L82" s="786" cm="1">
        <f t="array" aca="1" ref="L82" ca="1">INDIRECT("'Definition of Typical Day'!"&amp; ADDRESS($D82+29*(L$16-1),$E82))</f>
        <v>6</v>
      </c>
      <c r="M82" s="768" cm="1">
        <f t="array" aca="1" ref="M82" ca="1">INDIRECT("'Definition of Typical Day'!"&amp; ADDRESS($D82+29*(M$16-1),$E82))</f>
        <v>76.666666666666629</v>
      </c>
      <c r="N82" s="715">
        <f t="shared" si="34"/>
        <v>3</v>
      </c>
      <c r="O82" s="715">
        <f t="shared" ca="1" si="35"/>
        <v>79.666666666666629</v>
      </c>
      <c r="P82" s="715" cm="1">
        <f t="array" aca="1" ref="P82" ca="1">INDIRECT("'Definition of Typical Day'!"&amp; ADDRESS($D82+29*(P$16-1),$E82))</f>
        <v>45</v>
      </c>
      <c r="Q82" s="787">
        <f t="shared" ca="1" si="36"/>
        <v>48</v>
      </c>
      <c r="R82" s="792">
        <f t="shared" ca="1" si="37"/>
        <v>79.666666666666629</v>
      </c>
      <c r="S82" s="769">
        <f t="shared" si="38"/>
        <v>3</v>
      </c>
      <c r="T82" s="769">
        <f t="shared" ca="1" si="39"/>
        <v>0.24</v>
      </c>
      <c r="U82" s="769">
        <f t="shared" ca="1" si="40"/>
        <v>0.26866666666666766</v>
      </c>
      <c r="V82" s="769">
        <f t="shared" ca="1" si="41"/>
        <v>0</v>
      </c>
      <c r="W82" s="769">
        <f t="shared" ca="1" si="42"/>
        <v>3.5086666666666679</v>
      </c>
      <c r="X82" s="794">
        <f t="shared" si="43"/>
        <v>3</v>
      </c>
      <c r="Y82" s="769">
        <f t="shared" ca="1" si="44"/>
        <v>3</v>
      </c>
      <c r="Z82" s="769">
        <f t="shared" ca="1" si="45"/>
        <v>2.7972362476747272</v>
      </c>
      <c r="AA82" s="795">
        <f t="shared" ca="1" si="46"/>
        <v>2.7972362476747272</v>
      </c>
      <c r="AB82" s="769">
        <f t="shared" ca="1" si="47"/>
        <v>0</v>
      </c>
      <c r="AC82" s="769">
        <f t="shared" ca="1" si="48"/>
        <v>0</v>
      </c>
      <c r="AD82" s="769">
        <f t="shared" ca="1" si="49"/>
        <v>0</v>
      </c>
      <c r="AE82" s="794">
        <f t="shared" ca="1" si="50"/>
        <v>2.7972362476747272</v>
      </c>
      <c r="AF82" s="769">
        <f t="shared" ca="1" si="51"/>
        <v>2.7972362476747271E-2</v>
      </c>
      <c r="AG82" s="769">
        <f t="shared" ca="1" si="52"/>
        <v>2.7692638851979798</v>
      </c>
      <c r="AH82" s="799">
        <f t="shared" ca="1" si="53"/>
        <v>2.7692638851979798</v>
      </c>
      <c r="AI82" s="801">
        <f t="shared" ca="1" si="54"/>
        <v>1</v>
      </c>
      <c r="AJ82" s="794">
        <f t="shared" ca="1" si="55"/>
        <v>2</v>
      </c>
      <c r="AK82" s="769">
        <f t="shared" ca="1" si="56"/>
        <v>0.79723624767472723</v>
      </c>
      <c r="AL82" s="769">
        <f t="shared" ca="1" si="57"/>
        <v>0</v>
      </c>
      <c r="AM82" s="804">
        <f t="shared" ca="1" si="6"/>
        <v>0.22666666666666666</v>
      </c>
      <c r="AN82" s="795">
        <f t="shared" ca="1" si="7"/>
        <v>0</v>
      </c>
      <c r="AO82" s="251"/>
      <c r="AP82" s="770">
        <f t="shared" si="58"/>
        <v>0</v>
      </c>
      <c r="AQ82" s="771">
        <f t="shared" ca="1" si="59"/>
        <v>0</v>
      </c>
      <c r="AR82" s="771">
        <f t="shared" ca="1" si="60"/>
        <v>4</v>
      </c>
      <c r="AS82" s="772">
        <f t="shared" ca="1" si="61"/>
        <v>4</v>
      </c>
      <c r="AT82" s="231"/>
      <c r="AU82" s="770">
        <f>'Main Results - IRR DC Operator'!$F$16</f>
        <v>2</v>
      </c>
      <c r="AV82" s="773">
        <f>'Main Results - IRR DC Operator'!$F$15</f>
        <v>1</v>
      </c>
      <c r="AW82" s="771">
        <f t="shared" ca="1" si="62"/>
        <v>4</v>
      </c>
      <c r="AX82" s="772">
        <f t="shared" si="63"/>
        <v>0</v>
      </c>
      <c r="AY82" s="231"/>
      <c r="AZ82" s="770" cm="1">
        <f t="array" aca="1" ref="AZ82" ca="1">INDIRECT("'Definition of Typical Day'!"&amp; ADDRESS($D82+29*(AZ$16-1),$E82))+$AZ$17</f>
        <v>11.28</v>
      </c>
      <c r="BA82" s="771" cm="1">
        <f t="array" aca="1" ref="BA82" ca="1">INDIRECT("'Definition of Typical Day'!"&amp; ADDRESS($D82+29*(BA$16-1),$E82))+$BA$17</f>
        <v>11.28</v>
      </c>
      <c r="BB82" s="772" cm="1">
        <f t="array" aca="1" ref="BB82" ca="1">INDIRECT("'Definition of Typical Day'!"&amp;ADDRESS(BB$16,$E82))</f>
        <v>71</v>
      </c>
      <c r="BC82" s="776" cm="1">
        <f t="array" aca="1" ref="BC82" ca="1">INDIRECT("'Definition of Typical Day'!"&amp; ADDRESS($D82+29*(BC$16-1),$E82))</f>
        <v>10.28</v>
      </c>
      <c r="BD82" s="777" cm="1">
        <f t="array" aca="1" ref="BD82" ca="1">INDIRECT("'Definition of Typical Day'!"&amp; ADDRESS($D82+29*(BD$16-1),$E82))</f>
        <v>0.85</v>
      </c>
      <c r="BE82" s="776">
        <f t="shared" si="64"/>
        <v>0</v>
      </c>
      <c r="BF82" s="771">
        <f t="shared" ca="1" si="75"/>
        <v>8.9928248737709229</v>
      </c>
      <c r="BG82" s="771">
        <f t="shared" ca="1" si="65"/>
        <v>3.9720754716981124</v>
      </c>
      <c r="BH82" s="771">
        <f t="shared" ca="1" si="66"/>
        <v>0</v>
      </c>
      <c r="BI82" s="776">
        <f t="shared" ca="1" si="67"/>
        <v>2.3301333333333329</v>
      </c>
      <c r="BJ82" s="776">
        <f t="shared" ca="1" si="68"/>
        <v>0</v>
      </c>
      <c r="BK82" s="776">
        <f t="shared" ca="1" si="69"/>
        <v>0</v>
      </c>
      <c r="BL82" s="776">
        <f t="shared" ca="1" si="70"/>
        <v>0</v>
      </c>
      <c r="BM82" s="135"/>
      <c r="BN82" s="776">
        <f t="shared" ca="1" si="71"/>
        <v>16.964900345469037</v>
      </c>
      <c r="BO82" s="778">
        <f t="shared" ca="1" si="8"/>
        <v>6.1261407539195867</v>
      </c>
      <c r="BP82" s="770">
        <f t="shared" ca="1" si="9"/>
        <v>12.964900345469035</v>
      </c>
      <c r="BQ82" s="771">
        <f t="shared" ca="1" si="10"/>
        <v>0</v>
      </c>
      <c r="BR82" s="771">
        <f t="shared" ca="1" si="11"/>
        <v>0</v>
      </c>
      <c r="BS82" s="776">
        <f t="shared" ca="1" si="72"/>
        <v>16.964900345469037</v>
      </c>
      <c r="BT82" s="776">
        <f t="shared" ca="1" si="12"/>
        <v>12.964900345469035</v>
      </c>
      <c r="BU82" s="783">
        <f t="shared" ca="1" si="13"/>
        <v>4.6817135827206116</v>
      </c>
      <c r="BV82" s="783">
        <f t="shared" ca="1" si="14"/>
        <v>4.6817135827206116</v>
      </c>
      <c r="BW82" s="1019">
        <f t="shared" ca="1" si="73"/>
        <v>4.6817135827206116</v>
      </c>
      <c r="BX82" s="771" cm="1">
        <f t="array" aca="1" ref="BX82" ca="1">INDIRECT("'Definition of Typical Day'!"&amp; ADDRESS($D82+29*(BX$16-1),$E82))</f>
        <v>60</v>
      </c>
      <c r="BY82" s="771">
        <f t="shared" ca="1" si="74"/>
        <v>1</v>
      </c>
      <c r="BZ82" s="781">
        <f t="shared" ca="1" si="15"/>
        <v>1</v>
      </c>
      <c r="CA82" s="781">
        <f t="shared" ca="1" si="16"/>
        <v>0.93241208255824237</v>
      </c>
      <c r="CB82" s="776">
        <f t="shared" ca="1" si="17"/>
        <v>166.15583311187879</v>
      </c>
      <c r="CC82" s="782">
        <f t="shared" si="18"/>
        <v>3</v>
      </c>
      <c r="CD82" s="782">
        <f t="shared" si="19"/>
        <v>14</v>
      </c>
      <c r="CE82" s="784" t="str" cm="1">
        <f t="array" aca="1" ref="CE82" ca="1">INDIRECT("'Definition of Typical Day'!"&amp;ADDRESS(CE$16,$E82))</f>
        <v>Spring / fall weekend</v>
      </c>
      <c r="CF82" s="232"/>
      <c r="CG82" s="232"/>
      <c r="CH82" s="776">
        <f t="shared" ca="1" si="20"/>
        <v>2</v>
      </c>
      <c r="CI82" s="806">
        <f t="shared" ca="1" si="21"/>
        <v>6</v>
      </c>
      <c r="CJ82" s="770">
        <f t="shared" ca="1" si="22"/>
        <v>2.7692638851979798</v>
      </c>
      <c r="CK82" s="771">
        <f t="shared" ca="1" si="23"/>
        <v>2</v>
      </c>
      <c r="CL82" s="771">
        <f t="shared" ca="1" si="24"/>
        <v>0.79723624767472723</v>
      </c>
      <c r="CM82" s="772">
        <f t="shared" ca="1" si="25"/>
        <v>0</v>
      </c>
      <c r="CN82" s="135"/>
      <c r="CO82" s="770">
        <f t="shared" ca="1" si="76"/>
        <v>1.05</v>
      </c>
      <c r="CP82" s="771">
        <f t="shared" ca="1" si="27"/>
        <v>0.98</v>
      </c>
      <c r="CQ82" s="771">
        <f t="shared" ca="1" si="28"/>
        <v>0.96</v>
      </c>
      <c r="CR82" s="771">
        <f t="shared" ca="1" si="29"/>
        <v>0.95</v>
      </c>
      <c r="CS82" s="771">
        <f t="shared" ca="1" si="30"/>
        <v>1.02</v>
      </c>
      <c r="CT82" s="772">
        <f t="shared" ca="1" si="31"/>
        <v>0.02</v>
      </c>
      <c r="CU82" s="135"/>
      <c r="CV82" s="135"/>
      <c r="CW82" s="135"/>
      <c r="CX82" s="135"/>
      <c r="CY82" s="135"/>
      <c r="CZ82" s="135"/>
      <c r="DA82" s="135"/>
      <c r="DB82" s="135"/>
      <c r="DC82" s="135"/>
      <c r="DD82" s="135"/>
      <c r="DE82" s="135"/>
      <c r="DF82" s="135"/>
      <c r="DG82" s="135"/>
      <c r="DH82" s="135"/>
      <c r="DI82" s="135"/>
      <c r="DJ82" s="135"/>
      <c r="DK82" s="135"/>
      <c r="DL82" s="135"/>
      <c r="DX82" s="135"/>
      <c r="DY82" s="135"/>
      <c r="DZ82" s="135"/>
      <c r="EA82" s="135"/>
      <c r="EB82" s="135"/>
      <c r="EC82" s="135"/>
      <c r="ED82" s="135"/>
      <c r="EE82" s="135"/>
      <c r="EF82" s="135"/>
      <c r="EG82" s="135"/>
      <c r="EH82" s="135"/>
      <c r="EI82" s="135"/>
      <c r="EJ82" s="135"/>
      <c r="EK82" s="135"/>
      <c r="EL82" s="135"/>
      <c r="EM82" s="135"/>
      <c r="EN82" s="135"/>
      <c r="EO82" s="135"/>
      <c r="EP82" s="135"/>
      <c r="EQ82" s="135"/>
      <c r="ER82" s="135"/>
      <c r="ES82" s="135"/>
      <c r="ET82" s="135"/>
      <c r="EU82" s="135"/>
      <c r="EV82" s="135"/>
      <c r="EW82" s="135"/>
      <c r="EX82" s="135"/>
      <c r="EY82" s="135"/>
      <c r="EZ82" s="135"/>
      <c r="FA82" s="135"/>
      <c r="FB82" s="135"/>
      <c r="FC82" s="135"/>
      <c r="FD82" s="135"/>
      <c r="FE82" s="135"/>
      <c r="FF82" s="135"/>
      <c r="FG82" s="135"/>
    </row>
    <row r="83" spans="1:163" s="57" customFormat="1" ht="11.25" outlineLevel="1">
      <c r="A83" s="765">
        <f t="shared" si="77"/>
        <v>3</v>
      </c>
      <c r="B83" s="715" t="str" cm="1">
        <f t="array" aca="1" ref="B83" ca="1">INDIRECT("'Definition of Typical Day'!"&amp;ADDRESS(B$16,$E83))</f>
        <v>Spring / fall weekend</v>
      </c>
      <c r="C83" s="766">
        <f t="shared" si="78"/>
        <v>15</v>
      </c>
      <c r="D83" s="715">
        <f t="shared" si="78"/>
        <v>49</v>
      </c>
      <c r="E83" s="715">
        <f t="shared" si="5"/>
        <v>7</v>
      </c>
      <c r="F83" s="767" cm="1">
        <f t="array" aca="1" ref="F83" ca="1">INDIRECT("'Definition of Typical Day'!D"&amp;D83)</f>
        <v>15</v>
      </c>
      <c r="G83" s="767" cm="1">
        <f t="array" aca="1" ref="G83" ca="1">INDIRECT("'Definition of Typical Day'!"&amp;ADDRESS(13,E83))</f>
        <v>3</v>
      </c>
      <c r="H83" s="768" cm="1">
        <f t="array" aca="1" ref="H83" ca="1">INDIRECT("'Definition of Typical Day'!"&amp; ADDRESS($D83+28*(H$16-1),$E83))</f>
        <v>2</v>
      </c>
      <c r="I83" s="715" cm="1">
        <f t="array" aca="1" ref="I83" ca="1">INDIRECT("'Definition of Typical Day'!"&amp; ADDRESS($D83+29*(I$16-1),$E83))</f>
        <v>40</v>
      </c>
      <c r="J83" s="715">
        <f t="shared" ca="1" si="32"/>
        <v>37</v>
      </c>
      <c r="K83" s="785">
        <f t="shared" si="33"/>
        <v>28</v>
      </c>
      <c r="L83" s="786" cm="1">
        <f t="array" aca="1" ref="L83" ca="1">INDIRECT("'Definition of Typical Day'!"&amp; ADDRESS($D83+29*(L$16-1),$E83))</f>
        <v>6</v>
      </c>
      <c r="M83" s="768" cm="1">
        <f t="array" aca="1" ref="M83" ca="1">INDIRECT("'Definition of Typical Day'!"&amp; ADDRESS($D83+29*(M$16-1),$E83))</f>
        <v>76.666666666666629</v>
      </c>
      <c r="N83" s="715">
        <f t="shared" si="34"/>
        <v>3</v>
      </c>
      <c r="O83" s="715">
        <f t="shared" ca="1" si="35"/>
        <v>79.666666666666629</v>
      </c>
      <c r="P83" s="715" cm="1">
        <f t="array" aca="1" ref="P83" ca="1">INDIRECT("'Definition of Typical Day'!"&amp; ADDRESS($D83+29*(P$16-1),$E83))</f>
        <v>45</v>
      </c>
      <c r="Q83" s="787">
        <f t="shared" ca="1" si="36"/>
        <v>48</v>
      </c>
      <c r="R83" s="792">
        <f t="shared" ca="1" si="37"/>
        <v>79.666666666666629</v>
      </c>
      <c r="S83" s="769">
        <f t="shared" si="38"/>
        <v>3</v>
      </c>
      <c r="T83" s="769">
        <f t="shared" ca="1" si="39"/>
        <v>0.24</v>
      </c>
      <c r="U83" s="769">
        <f t="shared" ca="1" si="40"/>
        <v>0.26866666666666766</v>
      </c>
      <c r="V83" s="769">
        <f t="shared" ca="1" si="41"/>
        <v>0</v>
      </c>
      <c r="W83" s="769">
        <f t="shared" ca="1" si="42"/>
        <v>3.5086666666666679</v>
      </c>
      <c r="X83" s="794">
        <f t="shared" si="43"/>
        <v>3</v>
      </c>
      <c r="Y83" s="769">
        <f t="shared" ca="1" si="44"/>
        <v>3</v>
      </c>
      <c r="Z83" s="769">
        <f t="shared" ca="1" si="45"/>
        <v>2.7972362476747272</v>
      </c>
      <c r="AA83" s="795">
        <f t="shared" ca="1" si="46"/>
        <v>2.7972362476747272</v>
      </c>
      <c r="AB83" s="769">
        <f t="shared" ca="1" si="47"/>
        <v>0</v>
      </c>
      <c r="AC83" s="769">
        <f t="shared" ca="1" si="48"/>
        <v>0</v>
      </c>
      <c r="AD83" s="769">
        <f t="shared" ca="1" si="49"/>
        <v>0</v>
      </c>
      <c r="AE83" s="794">
        <f t="shared" ca="1" si="50"/>
        <v>2.7972362476747272</v>
      </c>
      <c r="AF83" s="769">
        <f t="shared" ca="1" si="51"/>
        <v>2.7972362476747271E-2</v>
      </c>
      <c r="AG83" s="769">
        <f t="shared" ca="1" si="52"/>
        <v>2.7692638851979798</v>
      </c>
      <c r="AH83" s="799">
        <f t="shared" ca="1" si="53"/>
        <v>2.7692638851979798</v>
      </c>
      <c r="AI83" s="801">
        <f t="shared" ca="1" si="54"/>
        <v>1</v>
      </c>
      <c r="AJ83" s="794">
        <f t="shared" ca="1" si="55"/>
        <v>2</v>
      </c>
      <c r="AK83" s="769">
        <f t="shared" ca="1" si="56"/>
        <v>0.79723624767472723</v>
      </c>
      <c r="AL83" s="769">
        <f t="shared" ca="1" si="57"/>
        <v>0</v>
      </c>
      <c r="AM83" s="804">
        <f t="shared" ca="1" si="6"/>
        <v>0.22666666666666666</v>
      </c>
      <c r="AN83" s="795">
        <f t="shared" ca="1" si="7"/>
        <v>0</v>
      </c>
      <c r="AO83" s="251"/>
      <c r="AP83" s="770">
        <f t="shared" si="58"/>
        <v>0</v>
      </c>
      <c r="AQ83" s="771">
        <f t="shared" ca="1" si="59"/>
        <v>0</v>
      </c>
      <c r="AR83" s="771">
        <f t="shared" ca="1" si="60"/>
        <v>4</v>
      </c>
      <c r="AS83" s="772">
        <f t="shared" ca="1" si="61"/>
        <v>4</v>
      </c>
      <c r="AT83" s="231"/>
      <c r="AU83" s="770">
        <f>'Main Results - IRR DC Operator'!$F$16</f>
        <v>2</v>
      </c>
      <c r="AV83" s="773">
        <f>'Main Results - IRR DC Operator'!$F$15</f>
        <v>1</v>
      </c>
      <c r="AW83" s="771">
        <f t="shared" ca="1" si="62"/>
        <v>4</v>
      </c>
      <c r="AX83" s="772">
        <f t="shared" si="63"/>
        <v>0</v>
      </c>
      <c r="AY83" s="231"/>
      <c r="AZ83" s="770" cm="1">
        <f t="array" aca="1" ref="AZ83" ca="1">INDIRECT("'Definition of Typical Day'!"&amp; ADDRESS($D83+29*(AZ$16-1),$E83))+$AZ$17</f>
        <v>10.1</v>
      </c>
      <c r="BA83" s="771" cm="1">
        <f t="array" aca="1" ref="BA83" ca="1">INDIRECT("'Definition of Typical Day'!"&amp; ADDRESS($D83+29*(BA$16-1),$E83))+$BA$17</f>
        <v>10.1</v>
      </c>
      <c r="BB83" s="772" cm="1">
        <f t="array" aca="1" ref="BB83" ca="1">INDIRECT("'Definition of Typical Day'!"&amp;ADDRESS(BB$16,$E83))</f>
        <v>71</v>
      </c>
      <c r="BC83" s="776" cm="1">
        <f t="array" aca="1" ref="BC83" ca="1">INDIRECT("'Definition of Typical Day'!"&amp; ADDRESS($D83+29*(BC$16-1),$E83))</f>
        <v>9.1</v>
      </c>
      <c r="BD83" s="777" cm="1">
        <f t="array" aca="1" ref="BD83" ca="1">INDIRECT("'Definition of Typical Day'!"&amp; ADDRESS($D83+29*(BD$16-1),$E83))</f>
        <v>0.85</v>
      </c>
      <c r="BE83" s="776">
        <f t="shared" si="64"/>
        <v>0</v>
      </c>
      <c r="BF83" s="771">
        <f t="shared" ca="1" si="75"/>
        <v>8.0520861015147442</v>
      </c>
      <c r="BG83" s="771">
        <f t="shared" ca="1" si="65"/>
        <v>3.9720754716981124</v>
      </c>
      <c r="BH83" s="771">
        <f t="shared" ca="1" si="66"/>
        <v>0</v>
      </c>
      <c r="BI83" s="776">
        <f t="shared" ca="1" si="67"/>
        <v>2.0626666666666664</v>
      </c>
      <c r="BJ83" s="776">
        <f t="shared" ca="1" si="68"/>
        <v>0</v>
      </c>
      <c r="BK83" s="776">
        <f t="shared" ca="1" si="69"/>
        <v>0</v>
      </c>
      <c r="BL83" s="776">
        <f t="shared" ca="1" si="70"/>
        <v>0</v>
      </c>
      <c r="BM83" s="135"/>
      <c r="BN83" s="776">
        <f t="shared" ca="1" si="71"/>
        <v>16.024161573212858</v>
      </c>
      <c r="BO83" s="778">
        <f t="shared" ca="1" si="8"/>
        <v>5.7864335930077901</v>
      </c>
      <c r="BP83" s="770">
        <f t="shared" ca="1" si="9"/>
        <v>12.024161573212856</v>
      </c>
      <c r="BQ83" s="771">
        <f t="shared" ca="1" si="10"/>
        <v>0</v>
      </c>
      <c r="BR83" s="771">
        <f t="shared" ca="1" si="11"/>
        <v>0</v>
      </c>
      <c r="BS83" s="776">
        <f t="shared" ca="1" si="72"/>
        <v>16.024161573212858</v>
      </c>
      <c r="BT83" s="776">
        <f t="shared" ca="1" si="12"/>
        <v>12.024161573212856</v>
      </c>
      <c r="BU83" s="783">
        <f t="shared" ca="1" si="13"/>
        <v>4.3420064218088141</v>
      </c>
      <c r="BV83" s="783">
        <f t="shared" ca="1" si="14"/>
        <v>4.3420064218088141</v>
      </c>
      <c r="BW83" s="1019">
        <f t="shared" ca="1" si="73"/>
        <v>4.3420064218088141</v>
      </c>
      <c r="BX83" s="771" cm="1">
        <f t="array" aca="1" ref="BX83" ca="1">INDIRECT("'Definition of Typical Day'!"&amp; ADDRESS($D83+29*(BX$16-1),$E83))</f>
        <v>60</v>
      </c>
      <c r="BY83" s="771">
        <f t="shared" ca="1" si="74"/>
        <v>1</v>
      </c>
      <c r="BZ83" s="781">
        <f t="shared" ca="1" si="15"/>
        <v>1</v>
      </c>
      <c r="CA83" s="781">
        <f t="shared" ca="1" si="16"/>
        <v>0.93241208255824237</v>
      </c>
      <c r="CB83" s="776">
        <f t="shared" ca="1" si="17"/>
        <v>166.15583311187879</v>
      </c>
      <c r="CC83" s="782">
        <f t="shared" si="18"/>
        <v>3</v>
      </c>
      <c r="CD83" s="782">
        <f t="shared" si="19"/>
        <v>15</v>
      </c>
      <c r="CE83" s="784" t="str" cm="1">
        <f t="array" aca="1" ref="CE83" ca="1">INDIRECT("'Definition of Typical Day'!"&amp;ADDRESS(CE$16,$E83))</f>
        <v>Spring / fall weekend</v>
      </c>
      <c r="CF83" s="232"/>
      <c r="CG83" s="232"/>
      <c r="CH83" s="776">
        <f t="shared" ca="1" si="20"/>
        <v>2</v>
      </c>
      <c r="CI83" s="806">
        <f t="shared" ca="1" si="21"/>
        <v>6</v>
      </c>
      <c r="CJ83" s="770">
        <f t="shared" ca="1" si="22"/>
        <v>2.7692638851979798</v>
      </c>
      <c r="CK83" s="771">
        <f t="shared" ca="1" si="23"/>
        <v>2</v>
      </c>
      <c r="CL83" s="771">
        <f t="shared" ca="1" si="24"/>
        <v>0.79723624767472723</v>
      </c>
      <c r="CM83" s="772">
        <f t="shared" ca="1" si="25"/>
        <v>0</v>
      </c>
      <c r="CN83" s="135"/>
      <c r="CO83" s="770">
        <f t="shared" ca="1" si="76"/>
        <v>1.05</v>
      </c>
      <c r="CP83" s="771">
        <f t="shared" ca="1" si="27"/>
        <v>0.98</v>
      </c>
      <c r="CQ83" s="771">
        <f t="shared" ca="1" si="28"/>
        <v>0.96</v>
      </c>
      <c r="CR83" s="771">
        <f t="shared" ca="1" si="29"/>
        <v>0.95</v>
      </c>
      <c r="CS83" s="771">
        <f t="shared" ca="1" si="30"/>
        <v>1.02</v>
      </c>
      <c r="CT83" s="772">
        <f t="shared" ca="1" si="31"/>
        <v>0.02</v>
      </c>
      <c r="CU83" s="135"/>
      <c r="CV83" s="135"/>
      <c r="CW83" s="135"/>
      <c r="CX83" s="135"/>
      <c r="CY83" s="135"/>
      <c r="CZ83" s="135"/>
      <c r="DA83" s="135"/>
      <c r="DB83" s="135"/>
      <c r="DC83" s="135"/>
      <c r="DD83" s="135"/>
      <c r="DE83" s="135"/>
      <c r="DF83" s="135"/>
      <c r="DG83" s="135"/>
      <c r="DH83" s="135"/>
      <c r="DI83" s="135"/>
      <c r="DJ83" s="135"/>
      <c r="DK83" s="135"/>
      <c r="DL83" s="135"/>
      <c r="DX83" s="135"/>
      <c r="DY83" s="135"/>
      <c r="DZ83" s="135"/>
      <c r="EA83" s="135"/>
      <c r="EB83" s="135"/>
      <c r="EC83" s="135"/>
      <c r="ED83" s="135"/>
      <c r="EE83" s="135"/>
      <c r="EF83" s="135"/>
      <c r="EG83" s="135"/>
      <c r="EH83" s="135"/>
      <c r="EI83" s="135"/>
      <c r="EJ83" s="135"/>
      <c r="EK83" s="135"/>
      <c r="EL83" s="135"/>
      <c r="EM83" s="135"/>
      <c r="EN83" s="135"/>
      <c r="EO83" s="135"/>
      <c r="EP83" s="135"/>
      <c r="EQ83" s="135"/>
      <c r="ER83" s="135"/>
      <c r="ES83" s="135"/>
      <c r="ET83" s="135"/>
      <c r="EU83" s="135"/>
      <c r="EV83" s="135"/>
      <c r="EW83" s="135"/>
      <c r="EX83" s="135"/>
      <c r="EY83" s="135"/>
      <c r="EZ83" s="135"/>
      <c r="FA83" s="135"/>
      <c r="FB83" s="135"/>
      <c r="FC83" s="135"/>
      <c r="FD83" s="135"/>
      <c r="FE83" s="135"/>
      <c r="FF83" s="135"/>
      <c r="FG83" s="135"/>
    </row>
    <row r="84" spans="1:163" s="57" customFormat="1" ht="11.25" outlineLevel="1">
      <c r="A84" s="765">
        <f t="shared" si="77"/>
        <v>3</v>
      </c>
      <c r="B84" s="715" t="str" cm="1">
        <f t="array" aca="1" ref="B84" ca="1">INDIRECT("'Definition of Typical Day'!"&amp;ADDRESS(B$16,$E84))</f>
        <v>Spring / fall weekend</v>
      </c>
      <c r="C84" s="766">
        <f t="shared" si="78"/>
        <v>16</v>
      </c>
      <c r="D84" s="715">
        <f t="shared" si="78"/>
        <v>50</v>
      </c>
      <c r="E84" s="715">
        <f t="shared" si="5"/>
        <v>7</v>
      </c>
      <c r="F84" s="767" cm="1">
        <f t="array" aca="1" ref="F84" ca="1">INDIRECT("'Definition of Typical Day'!D"&amp;D84)</f>
        <v>16</v>
      </c>
      <c r="G84" s="767" cm="1">
        <f t="array" aca="1" ref="G84" ca="1">INDIRECT("'Definition of Typical Day'!"&amp;ADDRESS(13,E84))</f>
        <v>3</v>
      </c>
      <c r="H84" s="768" cm="1">
        <f t="array" aca="1" ref="H84" ca="1">INDIRECT("'Definition of Typical Day'!"&amp; ADDRESS($D84+28*(H$16-1),$E84))</f>
        <v>2</v>
      </c>
      <c r="I84" s="715" cm="1">
        <f t="array" aca="1" ref="I84" ca="1">INDIRECT("'Definition of Typical Day'!"&amp; ADDRESS($D84+29*(I$16-1),$E84))</f>
        <v>40</v>
      </c>
      <c r="J84" s="715">
        <f t="shared" ca="1" si="32"/>
        <v>37</v>
      </c>
      <c r="K84" s="785">
        <f t="shared" si="33"/>
        <v>28</v>
      </c>
      <c r="L84" s="786" cm="1">
        <f t="array" aca="1" ref="L84" ca="1">INDIRECT("'Definition of Typical Day'!"&amp; ADDRESS($D84+29*(L$16-1),$E84))</f>
        <v>6</v>
      </c>
      <c r="M84" s="768" cm="1">
        <f t="array" aca="1" ref="M84" ca="1">INDIRECT("'Definition of Typical Day'!"&amp; ADDRESS($D84+29*(M$16-1),$E84))</f>
        <v>75</v>
      </c>
      <c r="N84" s="715">
        <f t="shared" si="34"/>
        <v>3</v>
      </c>
      <c r="O84" s="715">
        <f t="shared" ca="1" si="35"/>
        <v>78</v>
      </c>
      <c r="P84" s="715" cm="1">
        <f t="array" aca="1" ref="P84" ca="1">INDIRECT("'Definition of Typical Day'!"&amp; ADDRESS($D84+29*(P$16-1),$E84))</f>
        <v>45</v>
      </c>
      <c r="Q84" s="787">
        <f t="shared" ca="1" si="36"/>
        <v>48</v>
      </c>
      <c r="R84" s="792">
        <f t="shared" ca="1" si="37"/>
        <v>78</v>
      </c>
      <c r="S84" s="769">
        <f t="shared" si="38"/>
        <v>3</v>
      </c>
      <c r="T84" s="769">
        <f t="shared" ca="1" si="39"/>
        <v>0.24</v>
      </c>
      <c r="U84" s="769">
        <f t="shared" ca="1" si="40"/>
        <v>0.312</v>
      </c>
      <c r="V84" s="769">
        <f t="shared" ca="1" si="41"/>
        <v>0</v>
      </c>
      <c r="W84" s="769">
        <f t="shared" ca="1" si="42"/>
        <v>3.552</v>
      </c>
      <c r="X84" s="794">
        <f t="shared" si="43"/>
        <v>3</v>
      </c>
      <c r="Y84" s="769">
        <f t="shared" ca="1" si="44"/>
        <v>3</v>
      </c>
      <c r="Z84" s="769">
        <f t="shared" ca="1" si="45"/>
        <v>2.7836990595611284</v>
      </c>
      <c r="AA84" s="795">
        <f t="shared" ca="1" si="46"/>
        <v>2.7836990595611284</v>
      </c>
      <c r="AB84" s="769">
        <f t="shared" ca="1" si="47"/>
        <v>0</v>
      </c>
      <c r="AC84" s="769">
        <f t="shared" ca="1" si="48"/>
        <v>0</v>
      </c>
      <c r="AD84" s="769">
        <f t="shared" ca="1" si="49"/>
        <v>0</v>
      </c>
      <c r="AE84" s="794">
        <f t="shared" ca="1" si="50"/>
        <v>2.7836990595611284</v>
      </c>
      <c r="AF84" s="769">
        <f t="shared" ca="1" si="51"/>
        <v>2.7836990595611285E-2</v>
      </c>
      <c r="AG84" s="769">
        <f t="shared" ca="1" si="52"/>
        <v>2.7558620689655173</v>
      </c>
      <c r="AH84" s="799">
        <f t="shared" ca="1" si="53"/>
        <v>2.7558620689655173</v>
      </c>
      <c r="AI84" s="801">
        <f t="shared" ca="1" si="54"/>
        <v>1</v>
      </c>
      <c r="AJ84" s="794">
        <f t="shared" ca="1" si="55"/>
        <v>2</v>
      </c>
      <c r="AK84" s="769">
        <f t="shared" ca="1" si="56"/>
        <v>0.78369905956112851</v>
      </c>
      <c r="AL84" s="769">
        <f t="shared" ca="1" si="57"/>
        <v>0</v>
      </c>
      <c r="AM84" s="804">
        <f t="shared" ca="1" si="6"/>
        <v>0.22666666666666666</v>
      </c>
      <c r="AN84" s="795">
        <f t="shared" ca="1" si="7"/>
        <v>0</v>
      </c>
      <c r="AO84" s="251"/>
      <c r="AP84" s="770">
        <f t="shared" si="58"/>
        <v>0</v>
      </c>
      <c r="AQ84" s="771">
        <f t="shared" ca="1" si="59"/>
        <v>0</v>
      </c>
      <c r="AR84" s="771">
        <f t="shared" ca="1" si="60"/>
        <v>4</v>
      </c>
      <c r="AS84" s="772">
        <f t="shared" ca="1" si="61"/>
        <v>4</v>
      </c>
      <c r="AT84" s="231"/>
      <c r="AU84" s="770">
        <f>'Main Results - IRR DC Operator'!$F$16</f>
        <v>2</v>
      </c>
      <c r="AV84" s="773">
        <f>'Main Results - IRR DC Operator'!$F$15</f>
        <v>1</v>
      </c>
      <c r="AW84" s="771">
        <f t="shared" ca="1" si="62"/>
        <v>4</v>
      </c>
      <c r="AX84" s="772">
        <f t="shared" si="63"/>
        <v>0</v>
      </c>
      <c r="AY84" s="231"/>
      <c r="AZ84" s="770" cm="1">
        <f t="array" aca="1" ref="AZ84" ca="1">INDIRECT("'Definition of Typical Day'!"&amp; ADDRESS($D84+29*(AZ$16-1),$E84))+$AZ$17</f>
        <v>11.75</v>
      </c>
      <c r="BA84" s="771" cm="1">
        <f t="array" aca="1" ref="BA84" ca="1">INDIRECT("'Definition of Typical Day'!"&amp; ADDRESS($D84+29*(BA$16-1),$E84))+$BA$17</f>
        <v>11.75</v>
      </c>
      <c r="BB84" s="772" cm="1">
        <f t="array" aca="1" ref="BB84" ca="1">INDIRECT("'Definition of Typical Day'!"&amp;ADDRESS(BB$16,$E84))</f>
        <v>71</v>
      </c>
      <c r="BC84" s="776" cm="1">
        <f t="array" aca="1" ref="BC84" ca="1">INDIRECT("'Definition of Typical Day'!"&amp; ADDRESS($D84+29*(BC$16-1),$E84))</f>
        <v>10.75</v>
      </c>
      <c r="BD84" s="777" cm="1">
        <f t="array" aca="1" ref="BD84" ca="1">INDIRECT("'Definition of Typical Day'!"&amp; ADDRESS($D84+29*(BD$16-1),$E84))</f>
        <v>0.85</v>
      </c>
      <c r="BE84" s="776">
        <f t="shared" si="64"/>
        <v>0</v>
      </c>
      <c r="BF84" s="771">
        <f t="shared" ca="1" si="75"/>
        <v>9.2084639498432601</v>
      </c>
      <c r="BG84" s="771">
        <f t="shared" ca="1" si="65"/>
        <v>3.9528526645768025</v>
      </c>
      <c r="BH84" s="771">
        <f t="shared" ca="1" si="66"/>
        <v>0</v>
      </c>
      <c r="BI84" s="776">
        <f t="shared" ca="1" si="67"/>
        <v>2.4366666666666665</v>
      </c>
      <c r="BJ84" s="776">
        <f t="shared" ca="1" si="68"/>
        <v>0</v>
      </c>
      <c r="BK84" s="776">
        <f t="shared" ca="1" si="69"/>
        <v>0</v>
      </c>
      <c r="BL84" s="776">
        <f t="shared" ca="1" si="70"/>
        <v>0</v>
      </c>
      <c r="BM84" s="135"/>
      <c r="BN84" s="776">
        <f t="shared" ca="1" si="71"/>
        <v>17.161316614420063</v>
      </c>
      <c r="BO84" s="778">
        <f t="shared" ca="1" si="8"/>
        <v>6.2272044772044772</v>
      </c>
      <c r="BP84" s="770">
        <f t="shared" ca="1" si="9"/>
        <v>13.161316614420063</v>
      </c>
      <c r="BQ84" s="771">
        <f t="shared" ca="1" si="10"/>
        <v>0</v>
      </c>
      <c r="BR84" s="771">
        <f t="shared" ca="1" si="11"/>
        <v>0</v>
      </c>
      <c r="BS84" s="776">
        <f t="shared" ca="1" si="72"/>
        <v>17.161316614420063</v>
      </c>
      <c r="BT84" s="776">
        <f t="shared" ca="1" si="12"/>
        <v>13.161316614420063</v>
      </c>
      <c r="BU84" s="783">
        <f t="shared" ca="1" si="13"/>
        <v>4.7757530257530254</v>
      </c>
      <c r="BV84" s="783">
        <f t="shared" ca="1" si="14"/>
        <v>4.7757530257530254</v>
      </c>
      <c r="BW84" s="1019">
        <f t="shared" ca="1" si="73"/>
        <v>4.7757530257530254</v>
      </c>
      <c r="BX84" s="771" cm="1">
        <f t="array" aca="1" ref="BX84" ca="1">INDIRECT("'Definition of Typical Day'!"&amp; ADDRESS($D84+29*(BX$16-1),$E84))</f>
        <v>60</v>
      </c>
      <c r="BY84" s="771">
        <f t="shared" ca="1" si="74"/>
        <v>1</v>
      </c>
      <c r="BZ84" s="781">
        <f t="shared" ca="1" si="15"/>
        <v>1</v>
      </c>
      <c r="CA84" s="781">
        <f t="shared" ca="1" si="16"/>
        <v>0.92789968652037613</v>
      </c>
      <c r="CB84" s="776">
        <f t="shared" ca="1" si="17"/>
        <v>165.35172413793103</v>
      </c>
      <c r="CC84" s="782">
        <f t="shared" si="18"/>
        <v>3</v>
      </c>
      <c r="CD84" s="782">
        <f t="shared" si="19"/>
        <v>16</v>
      </c>
      <c r="CE84" s="784" t="str" cm="1">
        <f t="array" aca="1" ref="CE84" ca="1">INDIRECT("'Definition of Typical Day'!"&amp;ADDRESS(CE$16,$E84))</f>
        <v>Spring / fall weekend</v>
      </c>
      <c r="CF84" s="232"/>
      <c r="CG84" s="232"/>
      <c r="CH84" s="776">
        <f t="shared" ca="1" si="20"/>
        <v>2</v>
      </c>
      <c r="CI84" s="806">
        <f t="shared" ca="1" si="21"/>
        <v>6</v>
      </c>
      <c r="CJ84" s="770">
        <f t="shared" ca="1" si="22"/>
        <v>2.7558620689655173</v>
      </c>
      <c r="CK84" s="771">
        <f t="shared" ca="1" si="23"/>
        <v>2</v>
      </c>
      <c r="CL84" s="771">
        <f t="shared" ca="1" si="24"/>
        <v>0.78369905956112851</v>
      </c>
      <c r="CM84" s="772">
        <f t="shared" ca="1" si="25"/>
        <v>0</v>
      </c>
      <c r="CN84" s="135"/>
      <c r="CO84" s="770">
        <f t="shared" ca="1" si="76"/>
        <v>1.05</v>
      </c>
      <c r="CP84" s="771">
        <f t="shared" ca="1" si="27"/>
        <v>0.98</v>
      </c>
      <c r="CQ84" s="771">
        <f t="shared" ca="1" si="28"/>
        <v>0.96</v>
      </c>
      <c r="CR84" s="771">
        <f t="shared" ca="1" si="29"/>
        <v>0.95</v>
      </c>
      <c r="CS84" s="771">
        <f t="shared" ca="1" si="30"/>
        <v>1.02</v>
      </c>
      <c r="CT84" s="772">
        <f t="shared" ca="1" si="31"/>
        <v>0.02</v>
      </c>
      <c r="CU84" s="135"/>
      <c r="CV84" s="135"/>
      <c r="CW84" s="135"/>
      <c r="CX84" s="135"/>
      <c r="CY84" s="135"/>
      <c r="CZ84" s="135"/>
      <c r="DA84" s="135"/>
      <c r="DB84" s="135"/>
      <c r="DC84" s="135"/>
      <c r="DD84" s="135"/>
      <c r="DE84" s="135"/>
      <c r="DF84" s="135"/>
      <c r="DG84" s="135"/>
      <c r="DH84" s="135"/>
      <c r="DI84" s="135"/>
      <c r="DJ84" s="135"/>
      <c r="DK84" s="135"/>
      <c r="DL84" s="135"/>
      <c r="DX84" s="135"/>
      <c r="DY84" s="135"/>
      <c r="DZ84" s="135"/>
      <c r="EA84" s="135"/>
      <c r="EB84" s="135"/>
      <c r="EC84" s="135"/>
      <c r="ED84" s="135"/>
      <c r="EE84" s="135"/>
      <c r="EF84" s="135"/>
      <c r="EG84" s="135"/>
      <c r="EH84" s="135"/>
      <c r="EI84" s="135"/>
      <c r="EJ84" s="135"/>
      <c r="EK84" s="135"/>
      <c r="EL84" s="135"/>
      <c r="EM84" s="135"/>
      <c r="EN84" s="135"/>
      <c r="EO84" s="135"/>
      <c r="EP84" s="135"/>
      <c r="EQ84" s="135"/>
      <c r="ER84" s="135"/>
      <c r="ES84" s="135"/>
      <c r="ET84" s="135"/>
      <c r="EU84" s="135"/>
      <c r="EV84" s="135"/>
      <c r="EW84" s="135"/>
      <c r="EX84" s="135"/>
      <c r="EY84" s="135"/>
      <c r="EZ84" s="135"/>
      <c r="FA84" s="135"/>
      <c r="FB84" s="135"/>
      <c r="FC84" s="135"/>
      <c r="FD84" s="135"/>
      <c r="FE84" s="135"/>
      <c r="FF84" s="135"/>
      <c r="FG84" s="135"/>
    </row>
    <row r="85" spans="1:163" s="57" customFormat="1" ht="11.25" outlineLevel="1">
      <c r="A85" s="765">
        <f t="shared" si="77"/>
        <v>3</v>
      </c>
      <c r="B85" s="715" t="str" cm="1">
        <f t="array" aca="1" ref="B85" ca="1">INDIRECT("'Definition of Typical Day'!"&amp;ADDRESS(B$16,$E85))</f>
        <v>Spring / fall weekend</v>
      </c>
      <c r="C85" s="766">
        <f t="shared" si="78"/>
        <v>17</v>
      </c>
      <c r="D85" s="715">
        <f t="shared" si="78"/>
        <v>51</v>
      </c>
      <c r="E85" s="715">
        <f t="shared" ref="E85:E148" si="79">A85+4</f>
        <v>7</v>
      </c>
      <c r="F85" s="767" cm="1">
        <f t="array" aca="1" ref="F85" ca="1">INDIRECT("'Definition of Typical Day'!D"&amp;D85)</f>
        <v>17</v>
      </c>
      <c r="G85" s="767" cm="1">
        <f t="array" aca="1" ref="G85" ca="1">INDIRECT("'Definition of Typical Day'!"&amp;ADDRESS(13,E85))</f>
        <v>3</v>
      </c>
      <c r="H85" s="768" cm="1">
        <f t="array" aca="1" ref="H85" ca="1">INDIRECT("'Definition of Typical Day'!"&amp; ADDRESS($D85+28*(H$16-1),$E85))</f>
        <v>2</v>
      </c>
      <c r="I85" s="715" cm="1">
        <f t="array" aca="1" ref="I85" ca="1">INDIRECT("'Definition of Typical Day'!"&amp; ADDRESS($D85+29*(I$16-1),$E85))</f>
        <v>40</v>
      </c>
      <c r="J85" s="715">
        <f t="shared" ca="1" si="32"/>
        <v>37</v>
      </c>
      <c r="K85" s="785">
        <f t="shared" si="33"/>
        <v>28</v>
      </c>
      <c r="L85" s="786" cm="1">
        <f t="array" aca="1" ref="L85" ca="1">INDIRECT("'Definition of Typical Day'!"&amp; ADDRESS($D85+29*(L$16-1),$E85))</f>
        <v>6</v>
      </c>
      <c r="M85" s="768" cm="1">
        <f t="array" aca="1" ref="M85" ca="1">INDIRECT("'Definition of Typical Day'!"&amp; ADDRESS($D85+29*(M$16-1),$E85))</f>
        <v>76.666666666666629</v>
      </c>
      <c r="N85" s="715">
        <f t="shared" si="34"/>
        <v>3</v>
      </c>
      <c r="O85" s="715">
        <f t="shared" ca="1" si="35"/>
        <v>79.666666666666629</v>
      </c>
      <c r="P85" s="715" cm="1">
        <f t="array" aca="1" ref="P85" ca="1">INDIRECT("'Definition of Typical Day'!"&amp; ADDRESS($D85+29*(P$16-1),$E85))</f>
        <v>45</v>
      </c>
      <c r="Q85" s="787">
        <f t="shared" ca="1" si="36"/>
        <v>48</v>
      </c>
      <c r="R85" s="792">
        <f t="shared" ca="1" si="37"/>
        <v>79.666666666666629</v>
      </c>
      <c r="S85" s="769">
        <f t="shared" si="38"/>
        <v>3</v>
      </c>
      <c r="T85" s="769">
        <f t="shared" ca="1" si="39"/>
        <v>0.24</v>
      </c>
      <c r="U85" s="769">
        <f t="shared" ca="1" si="40"/>
        <v>0.26866666666666766</v>
      </c>
      <c r="V85" s="769">
        <f t="shared" ca="1" si="41"/>
        <v>0</v>
      </c>
      <c r="W85" s="769">
        <f t="shared" ca="1" si="42"/>
        <v>3.5086666666666679</v>
      </c>
      <c r="X85" s="794">
        <f t="shared" si="43"/>
        <v>3</v>
      </c>
      <c r="Y85" s="769">
        <f t="shared" ca="1" si="44"/>
        <v>3</v>
      </c>
      <c r="Z85" s="769">
        <f t="shared" ca="1" si="45"/>
        <v>2.7972362476747272</v>
      </c>
      <c r="AA85" s="795">
        <f t="shared" ca="1" si="46"/>
        <v>2.7972362476747272</v>
      </c>
      <c r="AB85" s="769">
        <f t="shared" ca="1" si="47"/>
        <v>0</v>
      </c>
      <c r="AC85" s="769">
        <f t="shared" ca="1" si="48"/>
        <v>0</v>
      </c>
      <c r="AD85" s="769">
        <f t="shared" ca="1" si="49"/>
        <v>0</v>
      </c>
      <c r="AE85" s="794">
        <f t="shared" ca="1" si="50"/>
        <v>2.7972362476747272</v>
      </c>
      <c r="AF85" s="769">
        <f t="shared" ca="1" si="51"/>
        <v>2.7972362476747271E-2</v>
      </c>
      <c r="AG85" s="769">
        <f t="shared" ca="1" si="52"/>
        <v>2.7692638851979798</v>
      </c>
      <c r="AH85" s="799">
        <f t="shared" ca="1" si="53"/>
        <v>2.7692638851979798</v>
      </c>
      <c r="AI85" s="801">
        <f t="shared" ca="1" si="54"/>
        <v>1</v>
      </c>
      <c r="AJ85" s="794">
        <f t="shared" ca="1" si="55"/>
        <v>2</v>
      </c>
      <c r="AK85" s="769">
        <f t="shared" ca="1" si="56"/>
        <v>0.79723624767472723</v>
      </c>
      <c r="AL85" s="769">
        <f t="shared" ca="1" si="57"/>
        <v>0</v>
      </c>
      <c r="AM85" s="804">
        <f t="shared" ref="AM85:AM148" ca="1" si="80">IF($BY85=1,$AJ85,0)*$BD85/AM$16</f>
        <v>0.22666666666666666</v>
      </c>
      <c r="AN85" s="795">
        <f t="shared" ref="AN85:AN148" ca="1" si="81">(H85-IF($BY85=1,$AJ85,0))*$BD85/AN$16</f>
        <v>0</v>
      </c>
      <c r="AO85" s="251"/>
      <c r="AP85" s="770">
        <f t="shared" si="58"/>
        <v>0</v>
      </c>
      <c r="AQ85" s="771">
        <f t="shared" ca="1" si="59"/>
        <v>0</v>
      </c>
      <c r="AR85" s="771">
        <f t="shared" ca="1" si="60"/>
        <v>4</v>
      </c>
      <c r="AS85" s="772">
        <f t="shared" ca="1" si="61"/>
        <v>4</v>
      </c>
      <c r="AT85" s="231"/>
      <c r="AU85" s="770">
        <f>'Main Results - IRR DC Operator'!$F$16</f>
        <v>2</v>
      </c>
      <c r="AV85" s="773">
        <f>'Main Results - IRR DC Operator'!$F$15</f>
        <v>1</v>
      </c>
      <c r="AW85" s="771">
        <f t="shared" ca="1" si="62"/>
        <v>4</v>
      </c>
      <c r="AX85" s="772">
        <f t="shared" si="63"/>
        <v>0</v>
      </c>
      <c r="AY85" s="231"/>
      <c r="AZ85" s="770" cm="1">
        <f t="array" aca="1" ref="AZ85" ca="1">INDIRECT("'Definition of Typical Day'!"&amp; ADDRESS($D85+29*(AZ$16-1),$E85))+$AZ$17</f>
        <v>17.009999999999998</v>
      </c>
      <c r="BA85" s="771" cm="1">
        <f t="array" aca="1" ref="BA85" ca="1">INDIRECT("'Definition of Typical Day'!"&amp; ADDRESS($D85+29*(BA$16-1),$E85))+$BA$17</f>
        <v>17.009999999999998</v>
      </c>
      <c r="BB85" s="772" cm="1">
        <f t="array" aca="1" ref="BB85" ca="1">INDIRECT("'Definition of Typical Day'!"&amp;ADDRESS(BB$16,$E85))</f>
        <v>71</v>
      </c>
      <c r="BC85" s="776" cm="1">
        <f t="array" aca="1" ref="BC85" ca="1">INDIRECT("'Definition of Typical Day'!"&amp; ADDRESS($D85+29*(BC$16-1),$E85))</f>
        <v>16.009999999999998</v>
      </c>
      <c r="BD85" s="777" cm="1">
        <f t="array" aca="1" ref="BD85" ca="1">INDIRECT("'Definition of Typical Day'!"&amp; ADDRESS($D85+29*(BD$16-1),$E85))</f>
        <v>0.85</v>
      </c>
      <c r="BE85" s="776">
        <f t="shared" si="64"/>
        <v>0</v>
      </c>
      <c r="BF85" s="771">
        <f t="shared" ca="1" si="75"/>
        <v>13.560988572947108</v>
      </c>
      <c r="BG85" s="771">
        <f t="shared" ca="1" si="65"/>
        <v>3.9720754716981124</v>
      </c>
      <c r="BH85" s="771">
        <f t="shared" ca="1" si="66"/>
        <v>0</v>
      </c>
      <c r="BI85" s="776">
        <f t="shared" ca="1" si="67"/>
        <v>3.6289333333333329</v>
      </c>
      <c r="BJ85" s="776">
        <f t="shared" ca="1" si="68"/>
        <v>0</v>
      </c>
      <c r="BK85" s="776">
        <f t="shared" ca="1" si="69"/>
        <v>0</v>
      </c>
      <c r="BL85" s="776">
        <f t="shared" ca="1" si="70"/>
        <v>0</v>
      </c>
      <c r="BM85" s="135"/>
      <c r="BN85" s="776">
        <f t="shared" ca="1" si="71"/>
        <v>21.533064044645222</v>
      </c>
      <c r="BO85" s="778">
        <f t="shared" ref="BO85:BO148" ca="1" si="82">BN85/MAX(0.0001,AH85)</f>
        <v>7.775735696313312</v>
      </c>
      <c r="BP85" s="770">
        <f t="shared" ref="BP85:BP148" ca="1" si="83">SUM(AX85,BF85:BH85)</f>
        <v>17.533064044645222</v>
      </c>
      <c r="BQ85" s="771">
        <f t="shared" ref="BQ85:BQ148" ca="1" si="84">$BQ$16*AH85</f>
        <v>0</v>
      </c>
      <c r="BR85" s="771">
        <f t="shared" ref="BR85:BR148" ca="1" si="85">$BR$16*AD85</f>
        <v>0</v>
      </c>
      <c r="BS85" s="776">
        <f t="shared" ca="1" si="72"/>
        <v>21.533064044645222</v>
      </c>
      <c r="BT85" s="776">
        <f t="shared" ref="BT85:BT148" ca="1" si="86">BP85+BQ85+BR85</f>
        <v>17.533064044645222</v>
      </c>
      <c r="BU85" s="783">
        <f t="shared" ref="BU85:BU148" ca="1" si="87">BT85/MAX(0.0001,AH85)</f>
        <v>6.3313085251143377</v>
      </c>
      <c r="BV85" s="783">
        <f t="shared" ref="BV85:BV148" ca="1" si="88">(BT85-BL85)/MAX(0.0001,AH85)</f>
        <v>6.3313085251143377</v>
      </c>
      <c r="BW85" s="1019">
        <f t="shared" ca="1" si="73"/>
        <v>6.3313085251143377</v>
      </c>
      <c r="BX85" s="771" cm="1">
        <f t="array" aca="1" ref="BX85" ca="1">INDIRECT("'Definition of Typical Day'!"&amp; ADDRESS($D85+29*(BX$16-1),$E85))</f>
        <v>60</v>
      </c>
      <c r="BY85" s="771">
        <f t="shared" ca="1" si="74"/>
        <v>1</v>
      </c>
      <c r="BZ85" s="781">
        <f t="shared" ref="BZ85:BZ148" ca="1" si="89">IF(AND(AJ85&gt;0,BY85&gt;0),1,0)</f>
        <v>1</v>
      </c>
      <c r="CA85" s="781">
        <f t="shared" ref="CA85:CA148" ca="1" si="90">IF(BY85&gt;0,(AJ85+AK85)/X$16,0)</f>
        <v>0.93241208255824237</v>
      </c>
      <c r="CB85" s="776">
        <f t="shared" ref="CB85:CB148" ca="1" si="91">BX85*AH85</f>
        <v>166.15583311187879</v>
      </c>
      <c r="CC85" s="782">
        <f t="shared" ref="CC85:CC148" si="92">A85</f>
        <v>3</v>
      </c>
      <c r="CD85" s="782">
        <f t="shared" ref="CD85:CD148" si="93">C85</f>
        <v>17</v>
      </c>
      <c r="CE85" s="784" t="str" cm="1">
        <f t="array" aca="1" ref="CE85" ca="1">INDIRECT("'Definition of Typical Day'!"&amp;ADDRESS(CE$16,$E85))</f>
        <v>Spring / fall weekend</v>
      </c>
      <c r="CF85" s="232"/>
      <c r="CG85" s="232"/>
      <c r="CH85" s="776">
        <f t="shared" ref="CH85:CH148" ca="1" si="94">H85</f>
        <v>2</v>
      </c>
      <c r="CI85" s="806">
        <f t="shared" ref="CI85:CI148" ca="1" si="95">L85</f>
        <v>6</v>
      </c>
      <c r="CJ85" s="770">
        <f t="shared" ref="CJ85:CJ148" ca="1" si="96">AH85*$BY85</f>
        <v>2.7692638851979798</v>
      </c>
      <c r="CK85" s="771">
        <f t="shared" ref="CK85:CK148" ca="1" si="97">AJ85*$BY85</f>
        <v>2</v>
      </c>
      <c r="CL85" s="771">
        <f t="shared" ref="CL85:CL148" ca="1" si="98">AK85*$BY85</f>
        <v>0.79723624767472723</v>
      </c>
      <c r="CM85" s="772">
        <f t="shared" ref="CM85:CM148" ca="1" si="99">AL85*$BY85</f>
        <v>0</v>
      </c>
      <c r="CN85" s="135"/>
      <c r="CO85" s="770">
        <f t="shared" ca="1" si="76"/>
        <v>1.05</v>
      </c>
      <c r="CP85" s="771">
        <f t="shared" ref="CP85:CP148" ca="1" si="100">IF(L85&lt;0.01,2%,98%)</f>
        <v>0.98</v>
      </c>
      <c r="CQ85" s="771">
        <f t="shared" ref="CQ85:CQ148" ca="1" si="101">IF(H85&lt;0.01,-2.5%,96%)</f>
        <v>0.96</v>
      </c>
      <c r="CR85" s="771">
        <f t="shared" ref="CR85:CR148" ca="1" si="102">IF(OR(AB85=0,AD85&gt;0),95%,5%)</f>
        <v>0.95</v>
      </c>
      <c r="CS85" s="771">
        <f t="shared" ref="CS85:CS148" ca="1" si="103">IF(AJ85&gt;0.01,102%,3%)</f>
        <v>1.02</v>
      </c>
      <c r="CT85" s="772">
        <f t="shared" ref="CT85:CT148" ca="1" si="104">IF(AL85&gt;0.01,101%,2%)</f>
        <v>0.02</v>
      </c>
      <c r="CU85" s="135"/>
      <c r="CV85" s="135"/>
      <c r="CW85" s="135"/>
      <c r="CX85" s="135"/>
      <c r="CY85" s="135"/>
      <c r="CZ85" s="135"/>
      <c r="DA85" s="135"/>
      <c r="DB85" s="135"/>
      <c r="DC85" s="135"/>
      <c r="DD85" s="135"/>
      <c r="DE85" s="135"/>
      <c r="DF85" s="135"/>
      <c r="DG85" s="135"/>
      <c r="DH85" s="135"/>
      <c r="DI85" s="135"/>
      <c r="DJ85" s="135"/>
      <c r="DK85" s="135"/>
      <c r="DL85" s="135"/>
      <c r="DX85" s="135"/>
      <c r="DY85" s="135"/>
      <c r="DZ85" s="135"/>
      <c r="EA85" s="135"/>
      <c r="EB85" s="135"/>
      <c r="EC85" s="135"/>
      <c r="ED85" s="135"/>
      <c r="EE85" s="135"/>
      <c r="EF85" s="135"/>
      <c r="EG85" s="135"/>
      <c r="EH85" s="135"/>
      <c r="EI85" s="135"/>
      <c r="EJ85" s="135"/>
      <c r="EK85" s="135"/>
      <c r="EL85" s="135"/>
      <c r="EM85" s="135"/>
      <c r="EN85" s="135"/>
      <c r="EO85" s="135"/>
      <c r="EP85" s="135"/>
      <c r="EQ85" s="135"/>
      <c r="ER85" s="135"/>
      <c r="ES85" s="135"/>
      <c r="ET85" s="135"/>
      <c r="EU85" s="135"/>
      <c r="EV85" s="135"/>
      <c r="EW85" s="135"/>
      <c r="EX85" s="135"/>
      <c r="EY85" s="135"/>
      <c r="EZ85" s="135"/>
      <c r="FA85" s="135"/>
      <c r="FB85" s="135"/>
      <c r="FC85" s="135"/>
      <c r="FD85" s="135"/>
      <c r="FE85" s="135"/>
      <c r="FF85" s="135"/>
      <c r="FG85" s="135"/>
    </row>
    <row r="86" spans="1:163" s="57" customFormat="1" ht="11.25" outlineLevel="1">
      <c r="A86" s="765">
        <f t="shared" si="77"/>
        <v>3</v>
      </c>
      <c r="B86" s="715" t="str" cm="1">
        <f t="array" aca="1" ref="B86" ca="1">INDIRECT("'Definition of Typical Day'!"&amp;ADDRESS(B$16,$E86))</f>
        <v>Spring / fall weekend</v>
      </c>
      <c r="C86" s="766">
        <f t="shared" si="78"/>
        <v>18</v>
      </c>
      <c r="D86" s="715">
        <f t="shared" si="78"/>
        <v>52</v>
      </c>
      <c r="E86" s="715">
        <f t="shared" si="79"/>
        <v>7</v>
      </c>
      <c r="F86" s="767" cm="1">
        <f t="array" aca="1" ref="F86" ca="1">INDIRECT("'Definition of Typical Day'!D"&amp;D86)</f>
        <v>18</v>
      </c>
      <c r="G86" s="767" cm="1">
        <f t="array" aca="1" ref="G86" ca="1">INDIRECT("'Definition of Typical Day'!"&amp;ADDRESS(13,E86))</f>
        <v>3</v>
      </c>
      <c r="H86" s="768" cm="1">
        <f t="array" aca="1" ref="H86" ca="1">INDIRECT("'Definition of Typical Day'!"&amp; ADDRESS($D86+28*(H$16-1),$E86))</f>
        <v>2</v>
      </c>
      <c r="I86" s="715" cm="1">
        <f t="array" aca="1" ref="I86" ca="1">INDIRECT("'Definition of Typical Day'!"&amp; ADDRESS($D86+29*(I$16-1),$E86))</f>
        <v>40</v>
      </c>
      <c r="J86" s="715">
        <f t="shared" ref="J86:J149" ca="1" si="105">IF(I86&lt;K86,0,I86-$J$16)</f>
        <v>37</v>
      </c>
      <c r="K86" s="785">
        <f t="shared" ref="K86:K149" si="106">$K$16</f>
        <v>28</v>
      </c>
      <c r="L86" s="786" cm="1">
        <f t="array" aca="1" ref="L86" ca="1">INDIRECT("'Definition of Typical Day'!"&amp; ADDRESS($D86+29*(L$16-1),$E86))</f>
        <v>6</v>
      </c>
      <c r="M86" s="768" cm="1">
        <f t="array" aca="1" ref="M86" ca="1">INDIRECT("'Definition of Typical Day'!"&amp; ADDRESS($D86+29*(M$16-1),$E86))</f>
        <v>78.3333333333333</v>
      </c>
      <c r="N86" s="715">
        <f t="shared" ref="N86:N149" si="107">$N$16</f>
        <v>3</v>
      </c>
      <c r="O86" s="715">
        <f t="shared" ref="O86:O149" ca="1" si="108">N86+M86</f>
        <v>81.3333333333333</v>
      </c>
      <c r="P86" s="715" cm="1">
        <f t="array" aca="1" ref="P86" ca="1">INDIRECT("'Definition of Typical Day'!"&amp; ADDRESS($D86+29*(P$16-1),$E86))</f>
        <v>45</v>
      </c>
      <c r="Q86" s="787">
        <f t="shared" ref="Q86:Q149" ca="1" si="109">P86+N86</f>
        <v>48</v>
      </c>
      <c r="R86" s="792">
        <f t="shared" ref="R86:R149" ca="1" si="110">MIN($R$16,O86)</f>
        <v>81.3333333333333</v>
      </c>
      <c r="S86" s="769">
        <f t="shared" ref="S86:S149" si="111">$S$16</f>
        <v>3</v>
      </c>
      <c r="T86" s="769">
        <f t="shared" ref="T86:T149" ca="1" si="112">ABS($T$16)*(J86-$T$17)</f>
        <v>0.24</v>
      </c>
      <c r="U86" s="769">
        <f t="shared" ref="U86:U149" ca="1" si="113">ABS($U$16)*($U$17-R86)</f>
        <v>0.22533333333333419</v>
      </c>
      <c r="V86" s="769">
        <f t="shared" ref="V86:V149" ca="1" si="114">($V$16)*(Q86-$V$17)</f>
        <v>0</v>
      </c>
      <c r="W86" s="769">
        <f t="shared" ref="W86:W149" ca="1" si="115">SUM(S86:V86)</f>
        <v>3.4653333333333345</v>
      </c>
      <c r="X86" s="794">
        <f t="shared" ref="X86:X149" si="116">$X$16</f>
        <v>3</v>
      </c>
      <c r="Y86" s="769">
        <f t="shared" ref="Y86:Y149" ca="1" si="117">X86*MIN(1,(MAX(1,R86-Q86)/$Y$16)^$Y$17)</f>
        <v>3</v>
      </c>
      <c r="Z86" s="769">
        <f t="shared" ref="Z86:Z149" ca="1" si="118">MIN(H86*W86/(W86-1),Y86)</f>
        <v>2.8112493239588963</v>
      </c>
      <c r="AA86" s="795">
        <f t="shared" ref="AA86:AA149" ca="1" si="119">(0.00001 + AD86)/(0.00001+AC86)*Z86</f>
        <v>2.8112493239588963</v>
      </c>
      <c r="AB86" s="769">
        <f t="shared" ref="AB86:AB149" ca="1" si="120">MAX(0, O86-R86)</f>
        <v>0</v>
      </c>
      <c r="AC86" s="769">
        <f t="shared" ref="AC86:AC149" ca="1" si="121">(AB86/MAX(1,R86-Q86)*Z86)</f>
        <v>0</v>
      </c>
      <c r="AD86" s="769">
        <f t="shared" ref="AD86:AD149" ca="1" si="122">MIN(AC86,$AD$16)</f>
        <v>0</v>
      </c>
      <c r="AE86" s="794">
        <f t="shared" ref="AE86:AE149" ca="1" si="123">AD86+AA86</f>
        <v>2.8112493239588963</v>
      </c>
      <c r="AF86" s="769">
        <f t="shared" ref="AF86:AF149" ca="1" si="124">AE86*$AF$16/100</f>
        <v>2.8112493239588962E-2</v>
      </c>
      <c r="AG86" s="769">
        <f t="shared" ref="AG86:AG149" ca="1" si="125">AE86-AF86</f>
        <v>2.7831368307193074</v>
      </c>
      <c r="AH86" s="799">
        <f t="shared" ref="AH86:AH149" ca="1" si="126">MIN(AG86,L86)</f>
        <v>2.7831368307193074</v>
      </c>
      <c r="AI86" s="801">
        <f t="shared" ref="AI86:AI149" ca="1" si="127">(0.00001 + AH86)/(0.00001+AG86)</f>
        <v>1</v>
      </c>
      <c r="AJ86" s="794">
        <f t="shared" ref="AJ86:AJ149" ca="1" si="128">AA86*(W86-1)/(W86)*$AI86</f>
        <v>2</v>
      </c>
      <c r="AK86" s="769">
        <f t="shared" ref="AK86:AK149" ca="1" si="129">AA86/(W86)*$AI86</f>
        <v>0.81124932395889626</v>
      </c>
      <c r="AL86" s="769">
        <f t="shared" ref="AL86:AL149" ca="1" si="130">AD86/MAX(0.001, $AL$16/100)*$AI86</f>
        <v>0</v>
      </c>
      <c r="AM86" s="804">
        <f t="shared" ca="1" si="80"/>
        <v>0.2</v>
      </c>
      <c r="AN86" s="795">
        <f t="shared" ca="1" si="81"/>
        <v>0</v>
      </c>
      <c r="AO86" s="251"/>
      <c r="AP86" s="770">
        <f t="shared" ref="AP86:AP149" si="131">$AP$16</f>
        <v>0</v>
      </c>
      <c r="AQ86" s="771">
        <f t="shared" ref="AQ86:AQ149" ca="1" si="132">AP86*H86</f>
        <v>0</v>
      </c>
      <c r="AR86" s="771">
        <f t="shared" ref="AR86:AR149" ca="1" si="133">$AR$16*AJ86</f>
        <v>4</v>
      </c>
      <c r="AS86" s="772">
        <f t="shared" ref="AS86:AS149" ca="1" si="134">AR86+AQ86</f>
        <v>4</v>
      </c>
      <c r="AT86" s="231"/>
      <c r="AU86" s="770">
        <f>'Main Results - IRR DC Operator'!$F$16</f>
        <v>2</v>
      </c>
      <c r="AV86" s="773">
        <f>'Main Results - IRR DC Operator'!$F$15</f>
        <v>1</v>
      </c>
      <c r="AW86" s="771">
        <f t="shared" ref="AW86:AW149" ca="1" si="135">IF(AV86=1,H86*AU86,0)</f>
        <v>4</v>
      </c>
      <c r="AX86" s="772">
        <f t="shared" ref="AX86:AX149" si="136">IF(AV86=2,AJ86*AU86,0)</f>
        <v>0</v>
      </c>
      <c r="AY86" s="231"/>
      <c r="AZ86" s="770" cm="1">
        <f t="array" aca="1" ref="AZ86" ca="1">INDIRECT("'Definition of Typical Day'!"&amp; ADDRESS($D86+29*(AZ$16-1),$E86))+$AZ$17</f>
        <v>69.22</v>
      </c>
      <c r="BA86" s="771" cm="1">
        <f t="array" aca="1" ref="BA86" ca="1">INDIRECT("'Definition of Typical Day'!"&amp; ADDRESS($D86+29*(BA$16-1),$E86))+$BA$17</f>
        <v>69.22</v>
      </c>
      <c r="BB86" s="772" cm="1">
        <f t="array" aca="1" ref="BB86" ca="1">INDIRECT("'Definition of Typical Day'!"&amp;ADDRESS(BB$16,$E86))</f>
        <v>71</v>
      </c>
      <c r="BC86" s="776" cm="1">
        <f t="array" aca="1" ref="BC86" ca="1">INDIRECT("'Definition of Typical Day'!"&amp; ADDRESS($D86+29*(BC$16-1),$E86))</f>
        <v>68.22</v>
      </c>
      <c r="BD86" s="777" cm="1">
        <f t="array" aca="1" ref="BD86" ca="1">INDIRECT("'Definition of Typical Day'!"&amp; ADDRESS($D86+29*(BD$16-1),$E86))</f>
        <v>0.75</v>
      </c>
      <c r="BE86" s="776">
        <f t="shared" ref="BE86:BE149" si="137">$BE$16</f>
        <v>0</v>
      </c>
      <c r="BF86" s="771">
        <f t="shared" ref="BF86:BF149" ca="1" si="138">AZ86*AK86</f>
        <v>56.154678204434795</v>
      </c>
      <c r="BG86" s="771">
        <f t="shared" ref="BG86:BG149" ca="1" si="139">AE86*BG$16/100*BB86*AI86</f>
        <v>3.9919740400216326</v>
      </c>
      <c r="BH86" s="771">
        <f t="shared" ref="BH86:BH149" ca="1" si="140">BA86*AL86</f>
        <v>0</v>
      </c>
      <c r="BI86" s="776">
        <f t="shared" ref="BI86:BI149" ca="1" si="141">AM86*$BC86</f>
        <v>13.644</v>
      </c>
      <c r="BJ86" s="776">
        <f t="shared" ref="BJ86:BJ149" ca="1" si="142">AN86*$BC86</f>
        <v>0</v>
      </c>
      <c r="BK86" s="776">
        <f t="shared" ref="BK86:BK149" ca="1" si="143">BE86*AJ86</f>
        <v>0</v>
      </c>
      <c r="BL86" s="776">
        <f t="shared" ref="BL86:BL149" ca="1" si="144">MIN(MAX(SUM(BF86:BG86),0), BK86)</f>
        <v>0</v>
      </c>
      <c r="BM86" s="135"/>
      <c r="BN86" s="776">
        <f t="shared" ref="BN86:BN149" ca="1" si="145">SUM(AW86:AX86,BF86:BH86)-BL86</f>
        <v>64.146652244456433</v>
      </c>
      <c r="BO86" s="778">
        <f t="shared" ca="1" si="82"/>
        <v>23.048328611237416</v>
      </c>
      <c r="BP86" s="770">
        <f t="shared" ca="1" si="83"/>
        <v>60.146652244456426</v>
      </c>
      <c r="BQ86" s="771">
        <f t="shared" ca="1" si="84"/>
        <v>0</v>
      </c>
      <c r="BR86" s="771">
        <f t="shared" ca="1" si="85"/>
        <v>0</v>
      </c>
      <c r="BS86" s="776">
        <f t="shared" ref="BS86:BS149" ca="1" si="146">BN86+BQ86+BR86</f>
        <v>64.146652244456433</v>
      </c>
      <c r="BT86" s="776">
        <f t="shared" ca="1" si="86"/>
        <v>60.146652244456426</v>
      </c>
      <c r="BU86" s="783">
        <f t="shared" ca="1" si="87"/>
        <v>21.61110139486437</v>
      </c>
      <c r="BV86" s="783">
        <f t="shared" ca="1" si="88"/>
        <v>21.61110139486437</v>
      </c>
      <c r="BW86" s="1019">
        <f t="shared" ref="BW86:BW149" ca="1" si="147">IF(BW$16=1,BV86,BU86)</f>
        <v>21.61110139486437</v>
      </c>
      <c r="BX86" s="771" cm="1">
        <f t="array" aca="1" ref="BX86" ca="1">INDIRECT("'Definition of Typical Day'!"&amp; ADDRESS($D86+29*(BX$16-1),$E86))</f>
        <v>60</v>
      </c>
      <c r="BY86" s="771">
        <f t="shared" ref="BY86:BY149" ca="1" si="148">IF(OR(BW86&gt;BX86,SUM(AJ86:AL86)&lt;0.01),0%,100%)</f>
        <v>1</v>
      </c>
      <c r="BZ86" s="781">
        <f t="shared" ca="1" si="89"/>
        <v>1</v>
      </c>
      <c r="CA86" s="781">
        <f t="shared" ca="1" si="90"/>
        <v>0.93708310798629879</v>
      </c>
      <c r="CB86" s="776">
        <f t="shared" ca="1" si="91"/>
        <v>166.98820984315844</v>
      </c>
      <c r="CC86" s="782">
        <f t="shared" si="92"/>
        <v>3</v>
      </c>
      <c r="CD86" s="782">
        <f t="shared" si="93"/>
        <v>18</v>
      </c>
      <c r="CE86" s="784" t="str" cm="1">
        <f t="array" aca="1" ref="CE86" ca="1">INDIRECT("'Definition of Typical Day'!"&amp;ADDRESS(CE$16,$E86))</f>
        <v>Spring / fall weekend</v>
      </c>
      <c r="CF86" s="232"/>
      <c r="CG86" s="232"/>
      <c r="CH86" s="776">
        <f t="shared" ca="1" si="94"/>
        <v>2</v>
      </c>
      <c r="CI86" s="806">
        <f t="shared" ca="1" si="95"/>
        <v>6</v>
      </c>
      <c r="CJ86" s="770">
        <f t="shared" ca="1" si="96"/>
        <v>2.7831368307193074</v>
      </c>
      <c r="CK86" s="771">
        <f t="shared" ca="1" si="97"/>
        <v>2</v>
      </c>
      <c r="CL86" s="771">
        <f t="shared" ca="1" si="98"/>
        <v>0.81124932395889626</v>
      </c>
      <c r="CM86" s="772">
        <f t="shared" ca="1" si="99"/>
        <v>0</v>
      </c>
      <c r="CN86" s="135"/>
      <c r="CO86" s="770">
        <f t="shared" ca="1" si="76"/>
        <v>1.05</v>
      </c>
      <c r="CP86" s="771">
        <f t="shared" ca="1" si="100"/>
        <v>0.98</v>
      </c>
      <c r="CQ86" s="771">
        <f t="shared" ca="1" si="101"/>
        <v>0.96</v>
      </c>
      <c r="CR86" s="771">
        <f t="shared" ca="1" si="102"/>
        <v>0.95</v>
      </c>
      <c r="CS86" s="771">
        <f t="shared" ca="1" si="103"/>
        <v>1.02</v>
      </c>
      <c r="CT86" s="772">
        <f t="shared" ca="1" si="104"/>
        <v>0.02</v>
      </c>
      <c r="CU86" s="135"/>
      <c r="CV86" s="135"/>
      <c r="CW86" s="135"/>
      <c r="CX86" s="135"/>
      <c r="CY86" s="135"/>
      <c r="CZ86" s="135"/>
      <c r="DA86" s="135"/>
      <c r="DB86" s="135"/>
      <c r="DC86" s="135"/>
      <c r="DD86" s="135"/>
      <c r="DE86" s="135"/>
      <c r="DF86" s="135"/>
      <c r="DG86" s="135"/>
      <c r="DH86" s="135"/>
      <c r="DI86" s="135"/>
      <c r="DJ86" s="135"/>
      <c r="DK86" s="135"/>
      <c r="DL86" s="135"/>
      <c r="DX86" s="135"/>
      <c r="DY86" s="135"/>
      <c r="DZ86" s="135"/>
      <c r="EA86" s="135"/>
      <c r="EB86" s="135"/>
      <c r="EC86" s="135"/>
      <c r="ED86" s="135"/>
      <c r="EE86" s="135"/>
      <c r="EF86" s="135"/>
      <c r="EG86" s="135"/>
      <c r="EH86" s="135"/>
      <c r="EI86" s="135"/>
      <c r="EJ86" s="135"/>
      <c r="EK86" s="135"/>
      <c r="EL86" s="135"/>
      <c r="EM86" s="135"/>
      <c r="EN86" s="135"/>
      <c r="EO86" s="135"/>
      <c r="EP86" s="135"/>
      <c r="EQ86" s="135"/>
      <c r="ER86" s="135"/>
      <c r="ES86" s="135"/>
      <c r="ET86" s="135"/>
      <c r="EU86" s="135"/>
      <c r="EV86" s="135"/>
      <c r="EW86" s="135"/>
      <c r="EX86" s="135"/>
      <c r="EY86" s="135"/>
      <c r="EZ86" s="135"/>
      <c r="FA86" s="135"/>
      <c r="FB86" s="135"/>
      <c r="FC86" s="135"/>
      <c r="FD86" s="135"/>
      <c r="FE86" s="135"/>
      <c r="FF86" s="135"/>
      <c r="FG86" s="135"/>
    </row>
    <row r="87" spans="1:163" s="57" customFormat="1" ht="11.25" outlineLevel="1">
      <c r="A87" s="765">
        <f t="shared" si="77"/>
        <v>3</v>
      </c>
      <c r="B87" s="715" t="str" cm="1">
        <f t="array" aca="1" ref="B87" ca="1">INDIRECT("'Definition of Typical Day'!"&amp;ADDRESS(B$16,$E87))</f>
        <v>Spring / fall weekend</v>
      </c>
      <c r="C87" s="766">
        <f t="shared" si="78"/>
        <v>19</v>
      </c>
      <c r="D87" s="715">
        <f t="shared" si="78"/>
        <v>53</v>
      </c>
      <c r="E87" s="715">
        <f t="shared" si="79"/>
        <v>7</v>
      </c>
      <c r="F87" s="767" cm="1">
        <f t="array" aca="1" ref="F87" ca="1">INDIRECT("'Definition of Typical Day'!D"&amp;D87)</f>
        <v>19</v>
      </c>
      <c r="G87" s="767" cm="1">
        <f t="array" aca="1" ref="G87" ca="1">INDIRECT("'Definition of Typical Day'!"&amp;ADDRESS(13,E87))</f>
        <v>3</v>
      </c>
      <c r="H87" s="768" cm="1">
        <f t="array" aca="1" ref="H87" ca="1">INDIRECT("'Definition of Typical Day'!"&amp; ADDRESS($D87+28*(H$16-1),$E87))</f>
        <v>2</v>
      </c>
      <c r="I87" s="715" cm="1">
        <f t="array" aca="1" ref="I87" ca="1">INDIRECT("'Definition of Typical Day'!"&amp; ADDRESS($D87+29*(I$16-1),$E87))</f>
        <v>40</v>
      </c>
      <c r="J87" s="715">
        <f t="shared" ca="1" si="105"/>
        <v>37</v>
      </c>
      <c r="K87" s="785">
        <f t="shared" si="106"/>
        <v>28</v>
      </c>
      <c r="L87" s="786" cm="1">
        <f t="array" aca="1" ref="L87" ca="1">INDIRECT("'Definition of Typical Day'!"&amp; ADDRESS($D87+29*(L$16-1),$E87))</f>
        <v>6</v>
      </c>
      <c r="M87" s="768" cm="1">
        <f t="array" aca="1" ref="M87" ca="1">INDIRECT("'Definition of Typical Day'!"&amp; ADDRESS($D87+29*(M$16-1),$E87))</f>
        <v>80</v>
      </c>
      <c r="N87" s="715">
        <f t="shared" si="107"/>
        <v>3</v>
      </c>
      <c r="O87" s="715">
        <f t="shared" ca="1" si="108"/>
        <v>83</v>
      </c>
      <c r="P87" s="715" cm="1">
        <f t="array" aca="1" ref="P87" ca="1">INDIRECT("'Definition of Typical Day'!"&amp; ADDRESS($D87+29*(P$16-1),$E87))</f>
        <v>45</v>
      </c>
      <c r="Q87" s="787">
        <f t="shared" ca="1" si="109"/>
        <v>48</v>
      </c>
      <c r="R87" s="792">
        <f t="shared" ca="1" si="110"/>
        <v>83</v>
      </c>
      <c r="S87" s="769">
        <f t="shared" si="111"/>
        <v>3</v>
      </c>
      <c r="T87" s="769">
        <f t="shared" ca="1" si="112"/>
        <v>0.24</v>
      </c>
      <c r="U87" s="769">
        <f t="shared" ca="1" si="113"/>
        <v>0.182</v>
      </c>
      <c r="V87" s="769">
        <f t="shared" ca="1" si="114"/>
        <v>0</v>
      </c>
      <c r="W87" s="769">
        <f t="shared" ca="1" si="115"/>
        <v>3.4220000000000002</v>
      </c>
      <c r="X87" s="794">
        <f t="shared" si="116"/>
        <v>3</v>
      </c>
      <c r="Y87" s="769">
        <f t="shared" ca="1" si="117"/>
        <v>3</v>
      </c>
      <c r="Z87" s="769">
        <f t="shared" ca="1" si="118"/>
        <v>2.8257638315441782</v>
      </c>
      <c r="AA87" s="795">
        <f t="shared" ca="1" si="119"/>
        <v>2.8257638315441782</v>
      </c>
      <c r="AB87" s="769">
        <f t="shared" ca="1" si="120"/>
        <v>0</v>
      </c>
      <c r="AC87" s="769">
        <f t="shared" ca="1" si="121"/>
        <v>0</v>
      </c>
      <c r="AD87" s="769">
        <f t="shared" ca="1" si="122"/>
        <v>0</v>
      </c>
      <c r="AE87" s="794">
        <f t="shared" ca="1" si="123"/>
        <v>2.8257638315441782</v>
      </c>
      <c r="AF87" s="769">
        <f t="shared" ca="1" si="124"/>
        <v>2.8257638315441782E-2</v>
      </c>
      <c r="AG87" s="769">
        <f t="shared" ca="1" si="125"/>
        <v>2.7975061932287364</v>
      </c>
      <c r="AH87" s="799">
        <f t="shared" ca="1" si="126"/>
        <v>2.7975061932287364</v>
      </c>
      <c r="AI87" s="801">
        <f t="shared" ca="1" si="127"/>
        <v>1</v>
      </c>
      <c r="AJ87" s="794">
        <f t="shared" ca="1" si="128"/>
        <v>2</v>
      </c>
      <c r="AK87" s="769">
        <f t="shared" ca="1" si="129"/>
        <v>0.82576383154417832</v>
      </c>
      <c r="AL87" s="769">
        <f t="shared" ca="1" si="130"/>
        <v>0</v>
      </c>
      <c r="AM87" s="804">
        <f t="shared" ca="1" si="80"/>
        <v>0.2</v>
      </c>
      <c r="AN87" s="795">
        <f t="shared" ca="1" si="81"/>
        <v>0</v>
      </c>
      <c r="AO87" s="251"/>
      <c r="AP87" s="770">
        <f t="shared" si="131"/>
        <v>0</v>
      </c>
      <c r="AQ87" s="771">
        <f t="shared" ca="1" si="132"/>
        <v>0</v>
      </c>
      <c r="AR87" s="771">
        <f t="shared" ca="1" si="133"/>
        <v>4</v>
      </c>
      <c r="AS87" s="772">
        <f t="shared" ca="1" si="134"/>
        <v>4</v>
      </c>
      <c r="AT87" s="231"/>
      <c r="AU87" s="770">
        <f>'Main Results - IRR DC Operator'!$F$16</f>
        <v>2</v>
      </c>
      <c r="AV87" s="773">
        <f>'Main Results - IRR DC Operator'!$F$15</f>
        <v>1</v>
      </c>
      <c r="AW87" s="771">
        <f t="shared" ca="1" si="135"/>
        <v>4</v>
      </c>
      <c r="AX87" s="772">
        <f t="shared" si="136"/>
        <v>0</v>
      </c>
      <c r="AY87" s="231"/>
      <c r="AZ87" s="770" cm="1">
        <f t="array" aca="1" ref="AZ87" ca="1">INDIRECT("'Definition of Typical Day'!"&amp; ADDRESS($D87+29*(AZ$16-1),$E87))+$AZ$17</f>
        <v>85.6</v>
      </c>
      <c r="BA87" s="771" cm="1">
        <f t="array" aca="1" ref="BA87" ca="1">INDIRECT("'Definition of Typical Day'!"&amp; ADDRESS($D87+29*(BA$16-1),$E87))+$BA$17</f>
        <v>85.6</v>
      </c>
      <c r="BB87" s="772" cm="1">
        <f t="array" aca="1" ref="BB87" ca="1">INDIRECT("'Definition of Typical Day'!"&amp;ADDRESS(BB$16,$E87))</f>
        <v>71</v>
      </c>
      <c r="BC87" s="776" cm="1">
        <f t="array" aca="1" ref="BC87" ca="1">INDIRECT("'Definition of Typical Day'!"&amp; ADDRESS($D87+29*(BC$16-1),$E87))</f>
        <v>84.6</v>
      </c>
      <c r="BD87" s="777" cm="1">
        <f t="array" aca="1" ref="BD87" ca="1">INDIRECT("'Definition of Typical Day'!"&amp; ADDRESS($D87+29*(BD$16-1),$E87))</f>
        <v>0.75</v>
      </c>
      <c r="BE87" s="776">
        <f t="shared" si="137"/>
        <v>0</v>
      </c>
      <c r="BF87" s="771">
        <f t="shared" ca="1" si="138"/>
        <v>70.685383980181655</v>
      </c>
      <c r="BG87" s="771">
        <f t="shared" ca="1" si="139"/>
        <v>4.012584640792733</v>
      </c>
      <c r="BH87" s="771">
        <f t="shared" ca="1" si="140"/>
        <v>0</v>
      </c>
      <c r="BI87" s="776">
        <f t="shared" ca="1" si="141"/>
        <v>16.919999999999998</v>
      </c>
      <c r="BJ87" s="776">
        <f t="shared" ca="1" si="142"/>
        <v>0</v>
      </c>
      <c r="BK87" s="776">
        <f t="shared" ca="1" si="143"/>
        <v>0</v>
      </c>
      <c r="BL87" s="776">
        <f t="shared" ca="1" si="144"/>
        <v>0</v>
      </c>
      <c r="BM87" s="135"/>
      <c r="BN87" s="776">
        <f t="shared" ca="1" si="145"/>
        <v>78.697968620974393</v>
      </c>
      <c r="BO87" s="778">
        <f t="shared" ca="1" si="82"/>
        <v>28.131472527732026</v>
      </c>
      <c r="BP87" s="770">
        <f t="shared" ca="1" si="83"/>
        <v>74.697968620974393</v>
      </c>
      <c r="BQ87" s="771">
        <f t="shared" ca="1" si="84"/>
        <v>0</v>
      </c>
      <c r="BR87" s="771">
        <f t="shared" ca="1" si="85"/>
        <v>0</v>
      </c>
      <c r="BS87" s="776">
        <f t="shared" ca="1" si="146"/>
        <v>78.697968620974393</v>
      </c>
      <c r="BT87" s="776">
        <f t="shared" ca="1" si="86"/>
        <v>74.697968620974393</v>
      </c>
      <c r="BU87" s="783">
        <f t="shared" ca="1" si="87"/>
        <v>26.701627614544037</v>
      </c>
      <c r="BV87" s="783">
        <f t="shared" ca="1" si="88"/>
        <v>26.701627614544037</v>
      </c>
      <c r="BW87" s="1019">
        <f t="shared" ca="1" si="147"/>
        <v>26.701627614544037</v>
      </c>
      <c r="BX87" s="771" cm="1">
        <f t="array" aca="1" ref="BX87" ca="1">INDIRECT("'Definition of Typical Day'!"&amp; ADDRESS($D87+29*(BX$16-1),$E87))</f>
        <v>60</v>
      </c>
      <c r="BY87" s="771">
        <f t="shared" ca="1" si="148"/>
        <v>1</v>
      </c>
      <c r="BZ87" s="781">
        <f t="shared" ca="1" si="89"/>
        <v>1</v>
      </c>
      <c r="CA87" s="781">
        <f t="shared" ca="1" si="90"/>
        <v>0.94192127718139274</v>
      </c>
      <c r="CB87" s="776">
        <f t="shared" ca="1" si="91"/>
        <v>167.85037159372419</v>
      </c>
      <c r="CC87" s="782">
        <f t="shared" si="92"/>
        <v>3</v>
      </c>
      <c r="CD87" s="782">
        <f t="shared" si="93"/>
        <v>19</v>
      </c>
      <c r="CE87" s="784" t="str" cm="1">
        <f t="array" aca="1" ref="CE87" ca="1">INDIRECT("'Definition of Typical Day'!"&amp;ADDRESS(CE$16,$E87))</f>
        <v>Spring / fall weekend</v>
      </c>
      <c r="CF87" s="232"/>
      <c r="CG87" s="232"/>
      <c r="CH87" s="776">
        <f t="shared" ca="1" si="94"/>
        <v>2</v>
      </c>
      <c r="CI87" s="806">
        <f t="shared" ca="1" si="95"/>
        <v>6</v>
      </c>
      <c r="CJ87" s="770">
        <f t="shared" ca="1" si="96"/>
        <v>2.7975061932287364</v>
      </c>
      <c r="CK87" s="771">
        <f t="shared" ca="1" si="97"/>
        <v>2</v>
      </c>
      <c r="CL87" s="771">
        <f t="shared" ca="1" si="98"/>
        <v>0.82576383154417832</v>
      </c>
      <c r="CM87" s="772">
        <f t="shared" ca="1" si="99"/>
        <v>0</v>
      </c>
      <c r="CN87" s="135"/>
      <c r="CO87" s="770">
        <f t="shared" ca="1" si="76"/>
        <v>1.05</v>
      </c>
      <c r="CP87" s="771">
        <f t="shared" ca="1" si="100"/>
        <v>0.98</v>
      </c>
      <c r="CQ87" s="771">
        <f t="shared" ca="1" si="101"/>
        <v>0.96</v>
      </c>
      <c r="CR87" s="771">
        <f t="shared" ca="1" si="102"/>
        <v>0.95</v>
      </c>
      <c r="CS87" s="771">
        <f t="shared" ca="1" si="103"/>
        <v>1.02</v>
      </c>
      <c r="CT87" s="772">
        <f t="shared" ca="1" si="104"/>
        <v>0.02</v>
      </c>
      <c r="CU87" s="135"/>
      <c r="CV87" s="135"/>
      <c r="CW87" s="135"/>
      <c r="CX87" s="135"/>
      <c r="CY87" s="135"/>
      <c r="CZ87" s="135"/>
      <c r="DA87" s="135"/>
      <c r="DB87" s="135"/>
      <c r="DC87" s="135"/>
      <c r="DD87" s="135"/>
      <c r="DE87" s="135"/>
      <c r="DF87" s="135"/>
      <c r="DG87" s="135"/>
      <c r="DH87" s="135"/>
      <c r="DI87" s="135"/>
      <c r="DJ87" s="135"/>
      <c r="DK87" s="135"/>
      <c r="DL87" s="135"/>
      <c r="DX87" s="135"/>
      <c r="DY87" s="135"/>
      <c r="DZ87" s="135"/>
      <c r="EA87" s="135"/>
      <c r="EB87" s="135"/>
      <c r="EC87" s="135"/>
      <c r="ED87" s="135"/>
      <c r="EE87" s="135"/>
      <c r="EF87" s="135"/>
      <c r="EG87" s="135"/>
      <c r="EH87" s="135"/>
      <c r="EI87" s="135"/>
      <c r="EJ87" s="135"/>
      <c r="EK87" s="135"/>
      <c r="EL87" s="135"/>
      <c r="EM87" s="135"/>
      <c r="EN87" s="135"/>
      <c r="EO87" s="135"/>
      <c r="EP87" s="135"/>
      <c r="EQ87" s="135"/>
      <c r="ER87" s="135"/>
      <c r="ES87" s="135"/>
      <c r="ET87" s="135"/>
      <c r="EU87" s="135"/>
      <c r="EV87" s="135"/>
      <c r="EW87" s="135"/>
      <c r="EX87" s="135"/>
      <c r="EY87" s="135"/>
      <c r="EZ87" s="135"/>
      <c r="FA87" s="135"/>
      <c r="FB87" s="135"/>
      <c r="FC87" s="135"/>
      <c r="FD87" s="135"/>
      <c r="FE87" s="135"/>
      <c r="FF87" s="135"/>
      <c r="FG87" s="135"/>
    </row>
    <row r="88" spans="1:163" s="57" customFormat="1" ht="11.25" outlineLevel="1">
      <c r="A88" s="765">
        <f t="shared" si="77"/>
        <v>3</v>
      </c>
      <c r="B88" s="715" t="str" cm="1">
        <f t="array" aca="1" ref="B88" ca="1">INDIRECT("'Definition of Typical Day'!"&amp;ADDRESS(B$16,$E88))</f>
        <v>Spring / fall weekend</v>
      </c>
      <c r="C88" s="766">
        <f t="shared" si="78"/>
        <v>20</v>
      </c>
      <c r="D88" s="715">
        <f t="shared" si="78"/>
        <v>54</v>
      </c>
      <c r="E88" s="715">
        <f t="shared" si="79"/>
        <v>7</v>
      </c>
      <c r="F88" s="767" cm="1">
        <f t="array" aca="1" ref="F88" ca="1">INDIRECT("'Definition of Typical Day'!D"&amp;D88)</f>
        <v>20</v>
      </c>
      <c r="G88" s="767" cm="1">
        <f t="array" aca="1" ref="G88" ca="1">INDIRECT("'Definition of Typical Day'!"&amp;ADDRESS(13,E88))</f>
        <v>3</v>
      </c>
      <c r="H88" s="768" cm="1">
        <f t="array" aca="1" ref="H88" ca="1">INDIRECT("'Definition of Typical Day'!"&amp; ADDRESS($D88+28*(H$16-1),$E88))</f>
        <v>2</v>
      </c>
      <c r="I88" s="715" cm="1">
        <f t="array" aca="1" ref="I88" ca="1">INDIRECT("'Definition of Typical Day'!"&amp; ADDRESS($D88+29*(I$16-1),$E88))</f>
        <v>40</v>
      </c>
      <c r="J88" s="715">
        <f t="shared" ca="1" si="105"/>
        <v>37</v>
      </c>
      <c r="K88" s="785">
        <f t="shared" si="106"/>
        <v>28</v>
      </c>
      <c r="L88" s="786" cm="1">
        <f t="array" aca="1" ref="L88" ca="1">INDIRECT("'Definition of Typical Day'!"&amp; ADDRESS($D88+29*(L$16-1),$E88))</f>
        <v>6</v>
      </c>
      <c r="M88" s="768" cm="1">
        <f t="array" aca="1" ref="M88" ca="1">INDIRECT("'Definition of Typical Day'!"&amp; ADDRESS($D88+29*(M$16-1),$E88))</f>
        <v>81.666666666666643</v>
      </c>
      <c r="N88" s="715">
        <f t="shared" si="107"/>
        <v>3</v>
      </c>
      <c r="O88" s="715">
        <f t="shared" ca="1" si="108"/>
        <v>84.666666666666643</v>
      </c>
      <c r="P88" s="715" cm="1">
        <f t="array" aca="1" ref="P88" ca="1">INDIRECT("'Definition of Typical Day'!"&amp; ADDRESS($D88+29*(P$16-1),$E88))</f>
        <v>45</v>
      </c>
      <c r="Q88" s="787">
        <f t="shared" ca="1" si="109"/>
        <v>48</v>
      </c>
      <c r="R88" s="792">
        <f t="shared" ca="1" si="110"/>
        <v>84.666666666666643</v>
      </c>
      <c r="S88" s="769">
        <f t="shared" si="111"/>
        <v>3</v>
      </c>
      <c r="T88" s="769">
        <f t="shared" ca="1" si="112"/>
        <v>0.24</v>
      </c>
      <c r="U88" s="769">
        <f t="shared" ca="1" si="113"/>
        <v>0.13866666666666727</v>
      </c>
      <c r="V88" s="769">
        <f t="shared" ca="1" si="114"/>
        <v>0</v>
      </c>
      <c r="W88" s="769">
        <f t="shared" ca="1" si="115"/>
        <v>3.3786666666666676</v>
      </c>
      <c r="X88" s="794">
        <f t="shared" si="116"/>
        <v>3</v>
      </c>
      <c r="Y88" s="769">
        <f t="shared" ca="1" si="117"/>
        <v>3</v>
      </c>
      <c r="Z88" s="769">
        <f t="shared" ca="1" si="118"/>
        <v>2.840807174887892</v>
      </c>
      <c r="AA88" s="795">
        <f t="shared" ca="1" si="119"/>
        <v>2.840807174887892</v>
      </c>
      <c r="AB88" s="769">
        <f t="shared" ca="1" si="120"/>
        <v>0</v>
      </c>
      <c r="AC88" s="769">
        <f t="shared" ca="1" si="121"/>
        <v>0</v>
      </c>
      <c r="AD88" s="769">
        <f t="shared" ca="1" si="122"/>
        <v>0</v>
      </c>
      <c r="AE88" s="794">
        <f t="shared" ca="1" si="123"/>
        <v>2.840807174887892</v>
      </c>
      <c r="AF88" s="769">
        <f t="shared" ca="1" si="124"/>
        <v>2.8408071748878921E-2</v>
      </c>
      <c r="AG88" s="769">
        <f t="shared" ca="1" si="125"/>
        <v>2.812399103139013</v>
      </c>
      <c r="AH88" s="799">
        <f t="shared" ca="1" si="126"/>
        <v>2.812399103139013</v>
      </c>
      <c r="AI88" s="801">
        <f t="shared" ca="1" si="127"/>
        <v>1</v>
      </c>
      <c r="AJ88" s="794">
        <f t="shared" ca="1" si="128"/>
        <v>2</v>
      </c>
      <c r="AK88" s="769">
        <f t="shared" ca="1" si="129"/>
        <v>0.84080717488789203</v>
      </c>
      <c r="AL88" s="769">
        <f t="shared" ca="1" si="130"/>
        <v>0</v>
      </c>
      <c r="AM88" s="804">
        <f t="shared" ca="1" si="80"/>
        <v>0.2</v>
      </c>
      <c r="AN88" s="795">
        <f t="shared" ca="1" si="81"/>
        <v>0</v>
      </c>
      <c r="AO88" s="251"/>
      <c r="AP88" s="770">
        <f t="shared" si="131"/>
        <v>0</v>
      </c>
      <c r="AQ88" s="771">
        <f t="shared" ca="1" si="132"/>
        <v>0</v>
      </c>
      <c r="AR88" s="771">
        <f t="shared" ca="1" si="133"/>
        <v>4</v>
      </c>
      <c r="AS88" s="772">
        <f t="shared" ca="1" si="134"/>
        <v>4</v>
      </c>
      <c r="AT88" s="231"/>
      <c r="AU88" s="770">
        <f>'Main Results - IRR DC Operator'!$F$16</f>
        <v>2</v>
      </c>
      <c r="AV88" s="773">
        <f>'Main Results - IRR DC Operator'!$F$15</f>
        <v>1</v>
      </c>
      <c r="AW88" s="771">
        <f t="shared" ca="1" si="135"/>
        <v>4</v>
      </c>
      <c r="AX88" s="772">
        <f t="shared" si="136"/>
        <v>0</v>
      </c>
      <c r="AY88" s="231"/>
      <c r="AZ88" s="770" cm="1">
        <f t="array" aca="1" ref="AZ88" ca="1">INDIRECT("'Definition of Typical Day'!"&amp; ADDRESS($D88+29*(AZ$16-1),$E88))+$AZ$17</f>
        <v>100.36</v>
      </c>
      <c r="BA88" s="771" cm="1">
        <f t="array" aca="1" ref="BA88" ca="1">INDIRECT("'Definition of Typical Day'!"&amp; ADDRESS($D88+29*(BA$16-1),$E88))+$BA$17</f>
        <v>100.36</v>
      </c>
      <c r="BB88" s="772" cm="1">
        <f t="array" aca="1" ref="BB88" ca="1">INDIRECT("'Definition of Typical Day'!"&amp;ADDRESS(BB$16,$E88))</f>
        <v>71</v>
      </c>
      <c r="BC88" s="776" cm="1">
        <f t="array" aca="1" ref="BC88" ca="1">INDIRECT("'Definition of Typical Day'!"&amp; ADDRESS($D88+29*(BC$16-1),$E88))</f>
        <v>99.36</v>
      </c>
      <c r="BD88" s="777" cm="1">
        <f t="array" aca="1" ref="BD88" ca="1">INDIRECT("'Definition of Typical Day'!"&amp; ADDRESS($D88+29*(BD$16-1),$E88))</f>
        <v>0.75</v>
      </c>
      <c r="BE88" s="776">
        <f t="shared" si="137"/>
        <v>0</v>
      </c>
      <c r="BF88" s="771">
        <f t="shared" ca="1" si="138"/>
        <v>84.383408071748846</v>
      </c>
      <c r="BG88" s="771">
        <f t="shared" ca="1" si="139"/>
        <v>4.0339461883408063</v>
      </c>
      <c r="BH88" s="771">
        <f t="shared" ca="1" si="140"/>
        <v>0</v>
      </c>
      <c r="BI88" s="776">
        <f t="shared" ca="1" si="141"/>
        <v>19.872</v>
      </c>
      <c r="BJ88" s="776">
        <f t="shared" ca="1" si="142"/>
        <v>0</v>
      </c>
      <c r="BK88" s="776">
        <f t="shared" ca="1" si="143"/>
        <v>0</v>
      </c>
      <c r="BL88" s="776">
        <f t="shared" ca="1" si="144"/>
        <v>0</v>
      </c>
      <c r="BM88" s="135"/>
      <c r="BN88" s="776">
        <f t="shared" ca="1" si="145"/>
        <v>92.417354260089652</v>
      </c>
      <c r="BO88" s="778">
        <f t="shared" ca="1" si="82"/>
        <v>32.860682595489216</v>
      </c>
      <c r="BP88" s="770">
        <f t="shared" ca="1" si="83"/>
        <v>88.417354260089652</v>
      </c>
      <c r="BQ88" s="771">
        <f t="shared" ca="1" si="84"/>
        <v>0</v>
      </c>
      <c r="BR88" s="771">
        <f t="shared" ca="1" si="85"/>
        <v>0</v>
      </c>
      <c r="BS88" s="776">
        <f t="shared" ca="1" si="146"/>
        <v>92.417354260089652</v>
      </c>
      <c r="BT88" s="776">
        <f t="shared" ca="1" si="86"/>
        <v>88.417354260089652</v>
      </c>
      <c r="BU88" s="783">
        <f t="shared" ca="1" si="87"/>
        <v>31.438409350011554</v>
      </c>
      <c r="BV88" s="783">
        <f t="shared" ca="1" si="88"/>
        <v>31.438409350011554</v>
      </c>
      <c r="BW88" s="1019">
        <f t="shared" ca="1" si="147"/>
        <v>31.438409350011554</v>
      </c>
      <c r="BX88" s="771" cm="1">
        <f t="array" aca="1" ref="BX88" ca="1">INDIRECT("'Definition of Typical Day'!"&amp; ADDRESS($D88+29*(BX$16-1),$E88))</f>
        <v>60</v>
      </c>
      <c r="BY88" s="771">
        <f t="shared" ca="1" si="148"/>
        <v>1</v>
      </c>
      <c r="BZ88" s="781">
        <f t="shared" ca="1" si="89"/>
        <v>1</v>
      </c>
      <c r="CA88" s="781">
        <f t="shared" ca="1" si="90"/>
        <v>0.94693572496263068</v>
      </c>
      <c r="CB88" s="776">
        <f t="shared" ca="1" si="91"/>
        <v>168.74394618834077</v>
      </c>
      <c r="CC88" s="782">
        <f t="shared" si="92"/>
        <v>3</v>
      </c>
      <c r="CD88" s="782">
        <f t="shared" si="93"/>
        <v>20</v>
      </c>
      <c r="CE88" s="784" t="str" cm="1">
        <f t="array" aca="1" ref="CE88" ca="1">INDIRECT("'Definition of Typical Day'!"&amp;ADDRESS(CE$16,$E88))</f>
        <v>Spring / fall weekend</v>
      </c>
      <c r="CF88" s="232"/>
      <c r="CG88" s="232"/>
      <c r="CH88" s="776">
        <f t="shared" ca="1" si="94"/>
        <v>2</v>
      </c>
      <c r="CI88" s="806">
        <f t="shared" ca="1" si="95"/>
        <v>6</v>
      </c>
      <c r="CJ88" s="770">
        <f t="shared" ca="1" si="96"/>
        <v>2.812399103139013</v>
      </c>
      <c r="CK88" s="771">
        <f t="shared" ca="1" si="97"/>
        <v>2</v>
      </c>
      <c r="CL88" s="771">
        <f t="shared" ca="1" si="98"/>
        <v>0.84080717488789203</v>
      </c>
      <c r="CM88" s="772">
        <f t="shared" ca="1" si="99"/>
        <v>0</v>
      </c>
      <c r="CN88" s="135"/>
      <c r="CO88" s="770">
        <f t="shared" ca="1" si="76"/>
        <v>1.05</v>
      </c>
      <c r="CP88" s="771">
        <f t="shared" ca="1" si="100"/>
        <v>0.98</v>
      </c>
      <c r="CQ88" s="771">
        <f t="shared" ca="1" si="101"/>
        <v>0.96</v>
      </c>
      <c r="CR88" s="771">
        <f t="shared" ca="1" si="102"/>
        <v>0.95</v>
      </c>
      <c r="CS88" s="771">
        <f t="shared" ca="1" si="103"/>
        <v>1.02</v>
      </c>
      <c r="CT88" s="772">
        <f t="shared" ca="1" si="104"/>
        <v>0.02</v>
      </c>
      <c r="CU88" s="135"/>
      <c r="CV88" s="135"/>
      <c r="CW88" s="135"/>
      <c r="CX88" s="135"/>
      <c r="CY88" s="135"/>
      <c r="CZ88" s="135"/>
      <c r="DA88" s="135"/>
      <c r="DB88" s="135"/>
      <c r="DC88" s="135"/>
      <c r="DD88" s="135"/>
      <c r="DE88" s="135"/>
      <c r="DF88" s="135"/>
      <c r="DG88" s="135"/>
      <c r="DH88" s="135"/>
      <c r="DI88" s="135"/>
      <c r="DJ88" s="135"/>
      <c r="DK88" s="135"/>
      <c r="DL88" s="135"/>
      <c r="DX88" s="135"/>
      <c r="DY88" s="135"/>
      <c r="DZ88" s="135"/>
      <c r="EA88" s="135"/>
      <c r="EB88" s="135"/>
      <c r="EC88" s="135"/>
      <c r="ED88" s="135"/>
      <c r="EE88" s="135"/>
      <c r="EF88" s="135"/>
      <c r="EG88" s="135"/>
      <c r="EH88" s="135"/>
      <c r="EI88" s="135"/>
      <c r="EJ88" s="135"/>
      <c r="EK88" s="135"/>
      <c r="EL88" s="135"/>
      <c r="EM88" s="135"/>
      <c r="EN88" s="135"/>
      <c r="EO88" s="135"/>
      <c r="EP88" s="135"/>
      <c r="EQ88" s="135"/>
      <c r="ER88" s="135"/>
      <c r="ES88" s="135"/>
      <c r="ET88" s="135"/>
      <c r="EU88" s="135"/>
      <c r="EV88" s="135"/>
      <c r="EW88" s="135"/>
      <c r="EX88" s="135"/>
      <c r="EY88" s="135"/>
      <c r="EZ88" s="135"/>
      <c r="FA88" s="135"/>
      <c r="FB88" s="135"/>
      <c r="FC88" s="135"/>
      <c r="FD88" s="135"/>
      <c r="FE88" s="135"/>
      <c r="FF88" s="135"/>
      <c r="FG88" s="135"/>
    </row>
    <row r="89" spans="1:163" s="57" customFormat="1" ht="11.25" outlineLevel="1">
      <c r="A89" s="765">
        <f t="shared" si="77"/>
        <v>3</v>
      </c>
      <c r="B89" s="715" t="str" cm="1">
        <f t="array" aca="1" ref="B89" ca="1">INDIRECT("'Definition of Typical Day'!"&amp;ADDRESS(B$16,$E89))</f>
        <v>Spring / fall weekend</v>
      </c>
      <c r="C89" s="766">
        <f t="shared" si="78"/>
        <v>21</v>
      </c>
      <c r="D89" s="715">
        <f t="shared" si="78"/>
        <v>55</v>
      </c>
      <c r="E89" s="715">
        <f t="shared" si="79"/>
        <v>7</v>
      </c>
      <c r="F89" s="767" cm="1">
        <f t="array" aca="1" ref="F89" ca="1">INDIRECT("'Definition of Typical Day'!D"&amp;D89)</f>
        <v>21</v>
      </c>
      <c r="G89" s="767" cm="1">
        <f t="array" aca="1" ref="G89" ca="1">INDIRECT("'Definition of Typical Day'!"&amp;ADDRESS(13,E89))</f>
        <v>3</v>
      </c>
      <c r="H89" s="768" cm="1">
        <f t="array" aca="1" ref="H89" ca="1">INDIRECT("'Definition of Typical Day'!"&amp; ADDRESS($D89+28*(H$16-1),$E89))</f>
        <v>2</v>
      </c>
      <c r="I89" s="715" cm="1">
        <f t="array" aca="1" ref="I89" ca="1">INDIRECT("'Definition of Typical Day'!"&amp; ADDRESS($D89+29*(I$16-1),$E89))</f>
        <v>40</v>
      </c>
      <c r="J89" s="715">
        <f t="shared" ca="1" si="105"/>
        <v>37</v>
      </c>
      <c r="K89" s="785">
        <f t="shared" si="106"/>
        <v>28</v>
      </c>
      <c r="L89" s="786" cm="1">
        <f t="array" aca="1" ref="L89" ca="1">INDIRECT("'Definition of Typical Day'!"&amp; ADDRESS($D89+29*(L$16-1),$E89))</f>
        <v>6</v>
      </c>
      <c r="M89" s="768" cm="1">
        <f t="array" aca="1" ref="M89" ca="1">INDIRECT("'Definition of Typical Day'!"&amp; ADDRESS($D89+29*(M$16-1),$E89))</f>
        <v>83.333333333333314</v>
      </c>
      <c r="N89" s="715">
        <f t="shared" si="107"/>
        <v>3</v>
      </c>
      <c r="O89" s="715">
        <f t="shared" ca="1" si="108"/>
        <v>86.333333333333314</v>
      </c>
      <c r="P89" s="715" cm="1">
        <f t="array" aca="1" ref="P89" ca="1">INDIRECT("'Definition of Typical Day'!"&amp; ADDRESS($D89+29*(P$16-1),$E89))</f>
        <v>45</v>
      </c>
      <c r="Q89" s="787">
        <f t="shared" ca="1" si="109"/>
        <v>48</v>
      </c>
      <c r="R89" s="792">
        <f t="shared" ca="1" si="110"/>
        <v>86.333333333333314</v>
      </c>
      <c r="S89" s="769">
        <f t="shared" si="111"/>
        <v>3</v>
      </c>
      <c r="T89" s="769">
        <f t="shared" ca="1" si="112"/>
        <v>0.24</v>
      </c>
      <c r="U89" s="769">
        <f t="shared" ca="1" si="113"/>
        <v>9.5333333333333825E-2</v>
      </c>
      <c r="V89" s="769">
        <f t="shared" ca="1" si="114"/>
        <v>0</v>
      </c>
      <c r="W89" s="769">
        <f t="shared" ca="1" si="115"/>
        <v>3.3353333333333341</v>
      </c>
      <c r="X89" s="794">
        <f t="shared" si="116"/>
        <v>3</v>
      </c>
      <c r="Y89" s="769">
        <f t="shared" ca="1" si="117"/>
        <v>3</v>
      </c>
      <c r="Z89" s="769">
        <f t="shared" ca="1" si="118"/>
        <v>2.8564087924636024</v>
      </c>
      <c r="AA89" s="795">
        <f t="shared" ca="1" si="119"/>
        <v>2.8564087924636024</v>
      </c>
      <c r="AB89" s="769">
        <f t="shared" ca="1" si="120"/>
        <v>0</v>
      </c>
      <c r="AC89" s="769">
        <f t="shared" ca="1" si="121"/>
        <v>0</v>
      </c>
      <c r="AD89" s="769">
        <f t="shared" ca="1" si="122"/>
        <v>0</v>
      </c>
      <c r="AE89" s="794">
        <f t="shared" ca="1" si="123"/>
        <v>2.8564087924636024</v>
      </c>
      <c r="AF89" s="769">
        <f t="shared" ca="1" si="124"/>
        <v>2.8564087924636022E-2</v>
      </c>
      <c r="AG89" s="769">
        <f t="shared" ca="1" si="125"/>
        <v>2.8278447045389665</v>
      </c>
      <c r="AH89" s="799">
        <f t="shared" ca="1" si="126"/>
        <v>2.8278447045389665</v>
      </c>
      <c r="AI89" s="801">
        <f t="shared" ca="1" si="127"/>
        <v>1</v>
      </c>
      <c r="AJ89" s="794">
        <f t="shared" ca="1" si="128"/>
        <v>2</v>
      </c>
      <c r="AK89" s="769">
        <f t="shared" ca="1" si="129"/>
        <v>0.85640879246360235</v>
      </c>
      <c r="AL89" s="769">
        <f t="shared" ca="1" si="130"/>
        <v>0</v>
      </c>
      <c r="AM89" s="804">
        <f t="shared" ca="1" si="80"/>
        <v>0.2</v>
      </c>
      <c r="AN89" s="795">
        <f t="shared" ca="1" si="81"/>
        <v>0</v>
      </c>
      <c r="AO89" s="251"/>
      <c r="AP89" s="770">
        <f t="shared" si="131"/>
        <v>0</v>
      </c>
      <c r="AQ89" s="771">
        <f t="shared" ca="1" si="132"/>
        <v>0</v>
      </c>
      <c r="AR89" s="771">
        <f t="shared" ca="1" si="133"/>
        <v>4</v>
      </c>
      <c r="AS89" s="772">
        <f t="shared" ca="1" si="134"/>
        <v>4</v>
      </c>
      <c r="AT89" s="231"/>
      <c r="AU89" s="770">
        <f>'Main Results - IRR DC Operator'!$F$16</f>
        <v>2</v>
      </c>
      <c r="AV89" s="773">
        <f>'Main Results - IRR DC Operator'!$F$15</f>
        <v>1</v>
      </c>
      <c r="AW89" s="771">
        <f t="shared" ca="1" si="135"/>
        <v>4</v>
      </c>
      <c r="AX89" s="772">
        <f t="shared" si="136"/>
        <v>0</v>
      </c>
      <c r="AY89" s="231"/>
      <c r="AZ89" s="770" cm="1">
        <f t="array" aca="1" ref="AZ89" ca="1">INDIRECT("'Definition of Typical Day'!"&amp; ADDRESS($D89+29*(AZ$16-1),$E89))+$AZ$17</f>
        <v>106.26</v>
      </c>
      <c r="BA89" s="771" cm="1">
        <f t="array" aca="1" ref="BA89" ca="1">INDIRECT("'Definition of Typical Day'!"&amp; ADDRESS($D89+29*(BA$16-1),$E89))+$BA$17</f>
        <v>106.26</v>
      </c>
      <c r="BB89" s="772" cm="1">
        <f t="array" aca="1" ref="BB89" ca="1">INDIRECT("'Definition of Typical Day'!"&amp;ADDRESS(BB$16,$E89))</f>
        <v>71</v>
      </c>
      <c r="BC89" s="776" cm="1">
        <f t="array" aca="1" ref="BC89" ca="1">INDIRECT("'Definition of Typical Day'!"&amp; ADDRESS($D89+29*(BC$16-1),$E89))</f>
        <v>105.26</v>
      </c>
      <c r="BD89" s="777" cm="1">
        <f t="array" aca="1" ref="BD89" ca="1">INDIRECT("'Definition of Typical Day'!"&amp; ADDRESS($D89+29*(BD$16-1),$E89))</f>
        <v>0.75</v>
      </c>
      <c r="BE89" s="776">
        <f t="shared" si="137"/>
        <v>0</v>
      </c>
      <c r="BF89" s="771">
        <f t="shared" ca="1" si="138"/>
        <v>91.001998287182388</v>
      </c>
      <c r="BG89" s="771">
        <f t="shared" ca="1" si="139"/>
        <v>4.0561004852983151</v>
      </c>
      <c r="BH89" s="771">
        <f t="shared" ca="1" si="140"/>
        <v>0</v>
      </c>
      <c r="BI89" s="776">
        <f t="shared" ca="1" si="141"/>
        <v>21.052000000000003</v>
      </c>
      <c r="BJ89" s="776">
        <f t="shared" ca="1" si="142"/>
        <v>0</v>
      </c>
      <c r="BK89" s="776">
        <f t="shared" ca="1" si="143"/>
        <v>0</v>
      </c>
      <c r="BL89" s="776">
        <f t="shared" ca="1" si="144"/>
        <v>0</v>
      </c>
      <c r="BM89" s="135"/>
      <c r="BN89" s="776">
        <f t="shared" ca="1" si="145"/>
        <v>99.058098772480704</v>
      </c>
      <c r="BO89" s="778">
        <f t="shared" ca="1" si="82"/>
        <v>35.029539851846458</v>
      </c>
      <c r="BP89" s="770">
        <f t="shared" ca="1" si="83"/>
        <v>95.058098772480704</v>
      </c>
      <c r="BQ89" s="771">
        <f t="shared" ca="1" si="84"/>
        <v>0</v>
      </c>
      <c r="BR89" s="771">
        <f t="shared" ca="1" si="85"/>
        <v>0</v>
      </c>
      <c r="BS89" s="776">
        <f t="shared" ca="1" si="146"/>
        <v>99.058098772480704</v>
      </c>
      <c r="BT89" s="776">
        <f t="shared" ca="1" si="86"/>
        <v>95.058098772480704</v>
      </c>
      <c r="BU89" s="783">
        <f t="shared" ca="1" si="87"/>
        <v>33.615035019392394</v>
      </c>
      <c r="BV89" s="783">
        <f t="shared" ca="1" si="88"/>
        <v>33.615035019392394</v>
      </c>
      <c r="BW89" s="1019">
        <f t="shared" ca="1" si="147"/>
        <v>33.615035019392394</v>
      </c>
      <c r="BX89" s="771" cm="1">
        <f t="array" aca="1" ref="BX89" ca="1">INDIRECT("'Definition of Typical Day'!"&amp; ADDRESS($D89+29*(BX$16-1),$E89))</f>
        <v>60</v>
      </c>
      <c r="BY89" s="771">
        <f t="shared" ca="1" si="148"/>
        <v>1</v>
      </c>
      <c r="BZ89" s="781">
        <f t="shared" ca="1" si="89"/>
        <v>1</v>
      </c>
      <c r="CA89" s="781">
        <f t="shared" ca="1" si="90"/>
        <v>0.95213626415453412</v>
      </c>
      <c r="CB89" s="776">
        <f t="shared" ca="1" si="91"/>
        <v>169.67068227233798</v>
      </c>
      <c r="CC89" s="782">
        <f t="shared" si="92"/>
        <v>3</v>
      </c>
      <c r="CD89" s="782">
        <f t="shared" si="93"/>
        <v>21</v>
      </c>
      <c r="CE89" s="784" t="str" cm="1">
        <f t="array" aca="1" ref="CE89" ca="1">INDIRECT("'Definition of Typical Day'!"&amp;ADDRESS(CE$16,$E89))</f>
        <v>Spring / fall weekend</v>
      </c>
      <c r="CF89" s="232"/>
      <c r="CG89" s="232"/>
      <c r="CH89" s="776">
        <f t="shared" ca="1" si="94"/>
        <v>2</v>
      </c>
      <c r="CI89" s="806">
        <f t="shared" ca="1" si="95"/>
        <v>6</v>
      </c>
      <c r="CJ89" s="770">
        <f t="shared" ca="1" si="96"/>
        <v>2.8278447045389665</v>
      </c>
      <c r="CK89" s="771">
        <f t="shared" ca="1" si="97"/>
        <v>2</v>
      </c>
      <c r="CL89" s="771">
        <f t="shared" ca="1" si="98"/>
        <v>0.85640879246360235</v>
      </c>
      <c r="CM89" s="772">
        <f t="shared" ca="1" si="99"/>
        <v>0</v>
      </c>
      <c r="CN89" s="135"/>
      <c r="CO89" s="770">
        <f t="shared" ca="1" si="76"/>
        <v>1.05</v>
      </c>
      <c r="CP89" s="771">
        <f t="shared" ca="1" si="100"/>
        <v>0.98</v>
      </c>
      <c r="CQ89" s="771">
        <f t="shared" ca="1" si="101"/>
        <v>0.96</v>
      </c>
      <c r="CR89" s="771">
        <f t="shared" ca="1" si="102"/>
        <v>0.95</v>
      </c>
      <c r="CS89" s="771">
        <f t="shared" ca="1" si="103"/>
        <v>1.02</v>
      </c>
      <c r="CT89" s="772">
        <f t="shared" ca="1" si="104"/>
        <v>0.02</v>
      </c>
      <c r="CU89" s="135"/>
      <c r="CV89" s="135"/>
      <c r="CW89" s="135"/>
      <c r="CX89" s="135"/>
      <c r="CY89" s="135"/>
      <c r="CZ89" s="135"/>
      <c r="DA89" s="135"/>
      <c r="DB89" s="135"/>
      <c r="DC89" s="135"/>
      <c r="DD89" s="135"/>
      <c r="DE89" s="135"/>
      <c r="DF89" s="135"/>
      <c r="DG89" s="135"/>
      <c r="DH89" s="135"/>
      <c r="DI89" s="135"/>
      <c r="DJ89" s="135"/>
      <c r="DK89" s="135"/>
      <c r="DL89" s="135"/>
      <c r="DX89" s="135"/>
      <c r="DY89" s="135"/>
      <c r="DZ89" s="135"/>
      <c r="EA89" s="135"/>
      <c r="EB89" s="135"/>
      <c r="EC89" s="135"/>
      <c r="ED89" s="135"/>
      <c r="EE89" s="135"/>
      <c r="EF89" s="135"/>
      <c r="EG89" s="135"/>
      <c r="EH89" s="135"/>
      <c r="EI89" s="135"/>
      <c r="EJ89" s="135"/>
      <c r="EK89" s="135"/>
      <c r="EL89" s="135"/>
      <c r="EM89" s="135"/>
      <c r="EN89" s="135"/>
      <c r="EO89" s="135"/>
      <c r="EP89" s="135"/>
      <c r="EQ89" s="135"/>
      <c r="ER89" s="135"/>
      <c r="ES89" s="135"/>
      <c r="ET89" s="135"/>
      <c r="EU89" s="135"/>
      <c r="EV89" s="135"/>
      <c r="EW89" s="135"/>
      <c r="EX89" s="135"/>
      <c r="EY89" s="135"/>
      <c r="EZ89" s="135"/>
      <c r="FA89" s="135"/>
      <c r="FB89" s="135"/>
      <c r="FC89" s="135"/>
      <c r="FD89" s="135"/>
      <c r="FE89" s="135"/>
      <c r="FF89" s="135"/>
      <c r="FG89" s="135"/>
    </row>
    <row r="90" spans="1:163" s="57" customFormat="1" ht="11.25" outlineLevel="1">
      <c r="A90" s="765">
        <f t="shared" si="77"/>
        <v>3</v>
      </c>
      <c r="B90" s="715" t="str" cm="1">
        <f t="array" aca="1" ref="B90" ca="1">INDIRECT("'Definition of Typical Day'!"&amp;ADDRESS(B$16,$E90))</f>
        <v>Spring / fall weekend</v>
      </c>
      <c r="C90" s="766">
        <f t="shared" si="78"/>
        <v>22</v>
      </c>
      <c r="D90" s="715">
        <f t="shared" si="78"/>
        <v>56</v>
      </c>
      <c r="E90" s="715">
        <f t="shared" si="79"/>
        <v>7</v>
      </c>
      <c r="F90" s="767" cm="1">
        <f t="array" aca="1" ref="F90" ca="1">INDIRECT("'Definition of Typical Day'!D"&amp;D90)</f>
        <v>22</v>
      </c>
      <c r="G90" s="767" cm="1">
        <f t="array" aca="1" ref="G90" ca="1">INDIRECT("'Definition of Typical Day'!"&amp;ADDRESS(13,E90))</f>
        <v>3</v>
      </c>
      <c r="H90" s="768" cm="1">
        <f t="array" aca="1" ref="H90" ca="1">INDIRECT("'Definition of Typical Day'!"&amp; ADDRESS($D90+28*(H$16-1),$E90))</f>
        <v>2</v>
      </c>
      <c r="I90" s="715" cm="1">
        <f t="array" aca="1" ref="I90" ca="1">INDIRECT("'Definition of Typical Day'!"&amp; ADDRESS($D90+29*(I$16-1),$E90))</f>
        <v>40</v>
      </c>
      <c r="J90" s="715">
        <f t="shared" ca="1" si="105"/>
        <v>37</v>
      </c>
      <c r="K90" s="785">
        <f t="shared" si="106"/>
        <v>28</v>
      </c>
      <c r="L90" s="786" cm="1">
        <f t="array" aca="1" ref="L90" ca="1">INDIRECT("'Definition of Typical Day'!"&amp; ADDRESS($D90+29*(L$16-1),$E90))</f>
        <v>6</v>
      </c>
      <c r="M90" s="768" cm="1">
        <f t="array" aca="1" ref="M90" ca="1">INDIRECT("'Definition of Typical Day'!"&amp; ADDRESS($D90+29*(M$16-1),$E90))</f>
        <v>84.999999999999986</v>
      </c>
      <c r="N90" s="715">
        <f t="shared" si="107"/>
        <v>3</v>
      </c>
      <c r="O90" s="715">
        <f t="shared" ca="1" si="108"/>
        <v>87.999999999999986</v>
      </c>
      <c r="P90" s="715" cm="1">
        <f t="array" aca="1" ref="P90" ca="1">INDIRECT("'Definition of Typical Day'!"&amp; ADDRESS($D90+29*(P$16-1),$E90))</f>
        <v>45</v>
      </c>
      <c r="Q90" s="787">
        <f t="shared" ca="1" si="109"/>
        <v>48</v>
      </c>
      <c r="R90" s="792">
        <f t="shared" ca="1" si="110"/>
        <v>87.999999999999986</v>
      </c>
      <c r="S90" s="769">
        <f t="shared" si="111"/>
        <v>3</v>
      </c>
      <c r="T90" s="769">
        <f t="shared" ca="1" si="112"/>
        <v>0.24</v>
      </c>
      <c r="U90" s="769">
        <f t="shared" ca="1" si="113"/>
        <v>5.2000000000000365E-2</v>
      </c>
      <c r="V90" s="769">
        <f t="shared" ca="1" si="114"/>
        <v>0</v>
      </c>
      <c r="W90" s="769">
        <f t="shared" ca="1" si="115"/>
        <v>3.2920000000000007</v>
      </c>
      <c r="X90" s="794">
        <f t="shared" si="116"/>
        <v>3</v>
      </c>
      <c r="Y90" s="769">
        <f t="shared" ca="1" si="117"/>
        <v>3</v>
      </c>
      <c r="Z90" s="769">
        <f t="shared" ca="1" si="118"/>
        <v>2.8726003490401393</v>
      </c>
      <c r="AA90" s="795">
        <f t="shared" ca="1" si="119"/>
        <v>2.8726003490401393</v>
      </c>
      <c r="AB90" s="769">
        <f t="shared" ca="1" si="120"/>
        <v>0</v>
      </c>
      <c r="AC90" s="769">
        <f t="shared" ca="1" si="121"/>
        <v>0</v>
      </c>
      <c r="AD90" s="769">
        <f t="shared" ca="1" si="122"/>
        <v>0</v>
      </c>
      <c r="AE90" s="794">
        <f t="shared" ca="1" si="123"/>
        <v>2.8726003490401393</v>
      </c>
      <c r="AF90" s="769">
        <f t="shared" ca="1" si="124"/>
        <v>2.8726003490401393E-2</v>
      </c>
      <c r="AG90" s="769">
        <f t="shared" ca="1" si="125"/>
        <v>2.8438743455497377</v>
      </c>
      <c r="AH90" s="799">
        <f t="shared" ca="1" si="126"/>
        <v>2.8438743455497377</v>
      </c>
      <c r="AI90" s="801">
        <f t="shared" ca="1" si="127"/>
        <v>1</v>
      </c>
      <c r="AJ90" s="794">
        <f t="shared" ca="1" si="128"/>
        <v>2</v>
      </c>
      <c r="AK90" s="769">
        <f t="shared" ca="1" si="129"/>
        <v>0.87260034904013928</v>
      </c>
      <c r="AL90" s="769">
        <f t="shared" ca="1" si="130"/>
        <v>0</v>
      </c>
      <c r="AM90" s="804">
        <f t="shared" ca="1" si="80"/>
        <v>0.2</v>
      </c>
      <c r="AN90" s="795">
        <f t="shared" ca="1" si="81"/>
        <v>0</v>
      </c>
      <c r="AO90" s="251"/>
      <c r="AP90" s="770">
        <f t="shared" si="131"/>
        <v>0</v>
      </c>
      <c r="AQ90" s="771">
        <f t="shared" ca="1" si="132"/>
        <v>0</v>
      </c>
      <c r="AR90" s="771">
        <f t="shared" ca="1" si="133"/>
        <v>4</v>
      </c>
      <c r="AS90" s="772">
        <f t="shared" ca="1" si="134"/>
        <v>4</v>
      </c>
      <c r="AT90" s="231"/>
      <c r="AU90" s="770">
        <f>'Main Results - IRR DC Operator'!$F$16</f>
        <v>2</v>
      </c>
      <c r="AV90" s="773">
        <f>'Main Results - IRR DC Operator'!$F$15</f>
        <v>1</v>
      </c>
      <c r="AW90" s="771">
        <f t="shared" ca="1" si="135"/>
        <v>4</v>
      </c>
      <c r="AX90" s="772">
        <f t="shared" si="136"/>
        <v>0</v>
      </c>
      <c r="AY90" s="231"/>
      <c r="AZ90" s="770" cm="1">
        <f t="array" aca="1" ref="AZ90" ca="1">INDIRECT("'Definition of Typical Day'!"&amp; ADDRESS($D90+29*(AZ$16-1),$E90))+$AZ$17</f>
        <v>102.07</v>
      </c>
      <c r="BA90" s="771" cm="1">
        <f t="array" aca="1" ref="BA90" ca="1">INDIRECT("'Definition of Typical Day'!"&amp; ADDRESS($D90+29*(BA$16-1),$E90))+$BA$17</f>
        <v>102.07</v>
      </c>
      <c r="BB90" s="772" cm="1">
        <f t="array" aca="1" ref="BB90" ca="1">INDIRECT("'Definition of Typical Day'!"&amp;ADDRESS(BB$16,$E90))</f>
        <v>71</v>
      </c>
      <c r="BC90" s="776" cm="1">
        <f t="array" aca="1" ref="BC90" ca="1">INDIRECT("'Definition of Typical Day'!"&amp; ADDRESS($D90+29*(BC$16-1),$E90))</f>
        <v>101.07</v>
      </c>
      <c r="BD90" s="777" cm="1">
        <f t="array" aca="1" ref="BD90" ca="1">INDIRECT("'Definition of Typical Day'!"&amp; ADDRESS($D90+29*(BD$16-1),$E90))</f>
        <v>0.75</v>
      </c>
      <c r="BE90" s="776">
        <f t="shared" si="137"/>
        <v>0</v>
      </c>
      <c r="BF90" s="771">
        <f t="shared" ca="1" si="138"/>
        <v>89.06631762652701</v>
      </c>
      <c r="BG90" s="771">
        <f t="shared" ca="1" si="139"/>
        <v>4.0790924956369974</v>
      </c>
      <c r="BH90" s="771">
        <f t="shared" ca="1" si="140"/>
        <v>0</v>
      </c>
      <c r="BI90" s="776">
        <f t="shared" ca="1" si="141"/>
        <v>20.213999999999999</v>
      </c>
      <c r="BJ90" s="776">
        <f t="shared" ca="1" si="142"/>
        <v>0</v>
      </c>
      <c r="BK90" s="776">
        <f t="shared" ca="1" si="143"/>
        <v>0</v>
      </c>
      <c r="BL90" s="776">
        <f t="shared" ca="1" si="144"/>
        <v>0</v>
      </c>
      <c r="BM90" s="135"/>
      <c r="BN90" s="776">
        <f t="shared" ca="1" si="145"/>
        <v>97.145410122164009</v>
      </c>
      <c r="BO90" s="778">
        <f t="shared" ca="1" si="82"/>
        <v>34.159529683223475</v>
      </c>
      <c r="BP90" s="770">
        <f t="shared" ca="1" si="83"/>
        <v>93.145410122164009</v>
      </c>
      <c r="BQ90" s="771">
        <f t="shared" ca="1" si="84"/>
        <v>0</v>
      </c>
      <c r="BR90" s="771">
        <f t="shared" ca="1" si="85"/>
        <v>0</v>
      </c>
      <c r="BS90" s="776">
        <f t="shared" ca="1" si="146"/>
        <v>97.145410122164009</v>
      </c>
      <c r="BT90" s="776">
        <f t="shared" ca="1" si="86"/>
        <v>93.145410122164009</v>
      </c>
      <c r="BU90" s="783">
        <f t="shared" ca="1" si="87"/>
        <v>32.752997778514171</v>
      </c>
      <c r="BV90" s="783">
        <f t="shared" ca="1" si="88"/>
        <v>32.752997778514171</v>
      </c>
      <c r="BW90" s="1019">
        <f t="shared" ca="1" si="147"/>
        <v>32.752997778514171</v>
      </c>
      <c r="BX90" s="771" cm="1">
        <f t="array" aca="1" ref="BX90" ca="1">INDIRECT("'Definition of Typical Day'!"&amp; ADDRESS($D90+29*(BX$16-1),$E90))</f>
        <v>60</v>
      </c>
      <c r="BY90" s="771">
        <f t="shared" ca="1" si="148"/>
        <v>1</v>
      </c>
      <c r="BZ90" s="781">
        <f t="shared" ca="1" si="89"/>
        <v>1</v>
      </c>
      <c r="CA90" s="781">
        <f t="shared" ca="1" si="90"/>
        <v>0.95753344968004639</v>
      </c>
      <c r="CB90" s="776">
        <f t="shared" ca="1" si="91"/>
        <v>170.63246073298427</v>
      </c>
      <c r="CC90" s="782">
        <f t="shared" si="92"/>
        <v>3</v>
      </c>
      <c r="CD90" s="782">
        <f t="shared" si="93"/>
        <v>22</v>
      </c>
      <c r="CE90" s="784" t="str" cm="1">
        <f t="array" aca="1" ref="CE90" ca="1">INDIRECT("'Definition of Typical Day'!"&amp;ADDRESS(CE$16,$E90))</f>
        <v>Spring / fall weekend</v>
      </c>
      <c r="CF90" s="232"/>
      <c r="CG90" s="232"/>
      <c r="CH90" s="776">
        <f t="shared" ca="1" si="94"/>
        <v>2</v>
      </c>
      <c r="CI90" s="806">
        <f t="shared" ca="1" si="95"/>
        <v>6</v>
      </c>
      <c r="CJ90" s="770">
        <f t="shared" ca="1" si="96"/>
        <v>2.8438743455497377</v>
      </c>
      <c r="CK90" s="771">
        <f t="shared" ca="1" si="97"/>
        <v>2</v>
      </c>
      <c r="CL90" s="771">
        <f t="shared" ca="1" si="98"/>
        <v>0.87260034904013928</v>
      </c>
      <c r="CM90" s="772">
        <f t="shared" ca="1" si="99"/>
        <v>0</v>
      </c>
      <c r="CN90" s="135"/>
      <c r="CO90" s="770">
        <f t="shared" ca="1" si="76"/>
        <v>1.05</v>
      </c>
      <c r="CP90" s="771">
        <f t="shared" ca="1" si="100"/>
        <v>0.98</v>
      </c>
      <c r="CQ90" s="771">
        <f t="shared" ca="1" si="101"/>
        <v>0.96</v>
      </c>
      <c r="CR90" s="771">
        <f t="shared" ca="1" si="102"/>
        <v>0.95</v>
      </c>
      <c r="CS90" s="771">
        <f t="shared" ca="1" si="103"/>
        <v>1.02</v>
      </c>
      <c r="CT90" s="772">
        <f t="shared" ca="1" si="104"/>
        <v>0.02</v>
      </c>
      <c r="CU90" s="135"/>
      <c r="CV90" s="135"/>
      <c r="CW90" s="135"/>
      <c r="CX90" s="135"/>
      <c r="CY90" s="135"/>
      <c r="CZ90" s="135"/>
      <c r="DA90" s="135"/>
      <c r="DB90" s="135"/>
      <c r="DC90" s="135"/>
      <c r="DD90" s="135"/>
      <c r="DE90" s="135"/>
      <c r="DF90" s="135"/>
      <c r="DG90" s="135"/>
      <c r="DH90" s="135"/>
      <c r="DI90" s="135"/>
      <c r="DJ90" s="135"/>
      <c r="DK90" s="135"/>
      <c r="DL90" s="135"/>
      <c r="DX90" s="135"/>
      <c r="DY90" s="135"/>
      <c r="DZ90" s="135"/>
      <c r="EA90" s="135"/>
      <c r="EB90" s="135"/>
      <c r="EC90" s="135"/>
      <c r="ED90" s="135"/>
      <c r="EE90" s="135"/>
      <c r="EF90" s="135"/>
      <c r="EG90" s="135"/>
      <c r="EH90" s="135"/>
      <c r="EI90" s="135"/>
      <c r="EJ90" s="135"/>
      <c r="EK90" s="135"/>
      <c r="EL90" s="135"/>
      <c r="EM90" s="135"/>
      <c r="EN90" s="135"/>
      <c r="EO90" s="135"/>
      <c r="EP90" s="135"/>
      <c r="EQ90" s="135"/>
      <c r="ER90" s="135"/>
      <c r="ES90" s="135"/>
      <c r="ET90" s="135"/>
      <c r="EU90" s="135"/>
      <c r="EV90" s="135"/>
      <c r="EW90" s="135"/>
      <c r="EX90" s="135"/>
      <c r="EY90" s="135"/>
      <c r="EZ90" s="135"/>
      <c r="FA90" s="135"/>
      <c r="FB90" s="135"/>
      <c r="FC90" s="135"/>
      <c r="FD90" s="135"/>
      <c r="FE90" s="135"/>
      <c r="FF90" s="135"/>
      <c r="FG90" s="135"/>
    </row>
    <row r="91" spans="1:163" s="57" customFormat="1" ht="11.25" outlineLevel="1">
      <c r="A91" s="765">
        <f t="shared" si="77"/>
        <v>3</v>
      </c>
      <c r="B91" s="715" t="str" cm="1">
        <f t="array" aca="1" ref="B91" ca="1">INDIRECT("'Definition of Typical Day'!"&amp;ADDRESS(B$16,$E91))</f>
        <v>Spring / fall weekend</v>
      </c>
      <c r="C91" s="766">
        <f t="shared" si="78"/>
        <v>23</v>
      </c>
      <c r="D91" s="715">
        <f t="shared" si="78"/>
        <v>57</v>
      </c>
      <c r="E91" s="715">
        <f t="shared" si="79"/>
        <v>7</v>
      </c>
      <c r="F91" s="767" cm="1">
        <f t="array" aca="1" ref="F91" ca="1">INDIRECT("'Definition of Typical Day'!D"&amp;D91)</f>
        <v>23</v>
      </c>
      <c r="G91" s="767" cm="1">
        <f t="array" aca="1" ref="G91" ca="1">INDIRECT("'Definition of Typical Day'!"&amp;ADDRESS(13,E91))</f>
        <v>3</v>
      </c>
      <c r="H91" s="768" cm="1">
        <f t="array" aca="1" ref="H91" ca="1">INDIRECT("'Definition of Typical Day'!"&amp; ADDRESS($D91+28*(H$16-1),$E91))</f>
        <v>2</v>
      </c>
      <c r="I91" s="715" cm="1">
        <f t="array" aca="1" ref="I91" ca="1">INDIRECT("'Definition of Typical Day'!"&amp; ADDRESS($D91+29*(I$16-1),$E91))</f>
        <v>40</v>
      </c>
      <c r="J91" s="715">
        <f t="shared" ca="1" si="105"/>
        <v>37</v>
      </c>
      <c r="K91" s="785">
        <f t="shared" si="106"/>
        <v>28</v>
      </c>
      <c r="L91" s="786" cm="1">
        <f t="array" aca="1" ref="L91" ca="1">INDIRECT("'Definition of Typical Day'!"&amp; ADDRESS($D91+29*(L$16-1),$E91))</f>
        <v>6</v>
      </c>
      <c r="M91" s="768" cm="1">
        <f t="array" aca="1" ref="M91" ca="1">INDIRECT("'Definition of Typical Day'!"&amp; ADDRESS($D91+29*(M$16-1),$E91))</f>
        <v>84.999999999999986</v>
      </c>
      <c r="N91" s="715">
        <f t="shared" si="107"/>
        <v>3</v>
      </c>
      <c r="O91" s="715">
        <f t="shared" ca="1" si="108"/>
        <v>87.999999999999986</v>
      </c>
      <c r="P91" s="715" cm="1">
        <f t="array" aca="1" ref="P91" ca="1">INDIRECT("'Definition of Typical Day'!"&amp; ADDRESS($D91+29*(P$16-1),$E91))</f>
        <v>45</v>
      </c>
      <c r="Q91" s="787">
        <f t="shared" ca="1" si="109"/>
        <v>48</v>
      </c>
      <c r="R91" s="792">
        <f t="shared" ca="1" si="110"/>
        <v>87.999999999999986</v>
      </c>
      <c r="S91" s="769">
        <f t="shared" si="111"/>
        <v>3</v>
      </c>
      <c r="T91" s="769">
        <f t="shared" ca="1" si="112"/>
        <v>0.24</v>
      </c>
      <c r="U91" s="769">
        <f t="shared" ca="1" si="113"/>
        <v>5.2000000000000365E-2</v>
      </c>
      <c r="V91" s="769">
        <f t="shared" ca="1" si="114"/>
        <v>0</v>
      </c>
      <c r="W91" s="769">
        <f t="shared" ca="1" si="115"/>
        <v>3.2920000000000007</v>
      </c>
      <c r="X91" s="794">
        <f t="shared" si="116"/>
        <v>3</v>
      </c>
      <c r="Y91" s="769">
        <f t="shared" ca="1" si="117"/>
        <v>3</v>
      </c>
      <c r="Z91" s="769">
        <f t="shared" ca="1" si="118"/>
        <v>2.8726003490401393</v>
      </c>
      <c r="AA91" s="795">
        <f t="shared" ca="1" si="119"/>
        <v>2.8726003490401393</v>
      </c>
      <c r="AB91" s="769">
        <f t="shared" ca="1" si="120"/>
        <v>0</v>
      </c>
      <c r="AC91" s="769">
        <f t="shared" ca="1" si="121"/>
        <v>0</v>
      </c>
      <c r="AD91" s="769">
        <f t="shared" ca="1" si="122"/>
        <v>0</v>
      </c>
      <c r="AE91" s="794">
        <f t="shared" ca="1" si="123"/>
        <v>2.8726003490401393</v>
      </c>
      <c r="AF91" s="769">
        <f t="shared" ca="1" si="124"/>
        <v>2.8726003490401393E-2</v>
      </c>
      <c r="AG91" s="769">
        <f t="shared" ca="1" si="125"/>
        <v>2.8438743455497377</v>
      </c>
      <c r="AH91" s="799">
        <f t="shared" ca="1" si="126"/>
        <v>2.8438743455497377</v>
      </c>
      <c r="AI91" s="801">
        <f t="shared" ca="1" si="127"/>
        <v>1</v>
      </c>
      <c r="AJ91" s="794">
        <f t="shared" ca="1" si="128"/>
        <v>2</v>
      </c>
      <c r="AK91" s="769">
        <f t="shared" ca="1" si="129"/>
        <v>0.87260034904013928</v>
      </c>
      <c r="AL91" s="769">
        <f t="shared" ca="1" si="130"/>
        <v>0</v>
      </c>
      <c r="AM91" s="804">
        <f t="shared" ca="1" si="80"/>
        <v>0.2</v>
      </c>
      <c r="AN91" s="795">
        <f t="shared" ca="1" si="81"/>
        <v>0</v>
      </c>
      <c r="AO91" s="251"/>
      <c r="AP91" s="770">
        <f t="shared" si="131"/>
        <v>0</v>
      </c>
      <c r="AQ91" s="771">
        <f t="shared" ca="1" si="132"/>
        <v>0</v>
      </c>
      <c r="AR91" s="771">
        <f t="shared" ca="1" si="133"/>
        <v>4</v>
      </c>
      <c r="AS91" s="772">
        <f t="shared" ca="1" si="134"/>
        <v>4</v>
      </c>
      <c r="AT91" s="231"/>
      <c r="AU91" s="770">
        <f>'Main Results - IRR DC Operator'!$F$16</f>
        <v>2</v>
      </c>
      <c r="AV91" s="773">
        <f>'Main Results - IRR DC Operator'!$F$15</f>
        <v>1</v>
      </c>
      <c r="AW91" s="771">
        <f t="shared" ca="1" si="135"/>
        <v>4</v>
      </c>
      <c r="AX91" s="772">
        <f t="shared" si="136"/>
        <v>0</v>
      </c>
      <c r="AY91" s="231"/>
      <c r="AZ91" s="770" cm="1">
        <f t="array" aca="1" ref="AZ91" ca="1">INDIRECT("'Definition of Typical Day'!"&amp; ADDRESS($D91+29*(AZ$16-1),$E91))+$AZ$17</f>
        <v>100.41</v>
      </c>
      <c r="BA91" s="771" cm="1">
        <f t="array" aca="1" ref="BA91" ca="1">INDIRECT("'Definition of Typical Day'!"&amp; ADDRESS($D91+29*(BA$16-1),$E91))+$BA$17</f>
        <v>100.41</v>
      </c>
      <c r="BB91" s="772" cm="1">
        <f t="array" aca="1" ref="BB91" ca="1">INDIRECT("'Definition of Typical Day'!"&amp;ADDRESS(BB$16,$E91))</f>
        <v>71</v>
      </c>
      <c r="BC91" s="776" cm="1">
        <f t="array" aca="1" ref="BC91" ca="1">INDIRECT("'Definition of Typical Day'!"&amp; ADDRESS($D91+29*(BC$16-1),$E91))</f>
        <v>99.41</v>
      </c>
      <c r="BD91" s="777" cm="1">
        <f t="array" aca="1" ref="BD91" ca="1">INDIRECT("'Definition of Typical Day'!"&amp; ADDRESS($D91+29*(BD$16-1),$E91))</f>
        <v>0.75</v>
      </c>
      <c r="BE91" s="776">
        <f t="shared" si="137"/>
        <v>0</v>
      </c>
      <c r="BF91" s="771">
        <f t="shared" ca="1" si="138"/>
        <v>87.617801047120381</v>
      </c>
      <c r="BG91" s="771">
        <f t="shared" ca="1" si="139"/>
        <v>4.0790924956369974</v>
      </c>
      <c r="BH91" s="771">
        <f t="shared" ca="1" si="140"/>
        <v>0</v>
      </c>
      <c r="BI91" s="776">
        <f t="shared" ca="1" si="141"/>
        <v>19.882000000000001</v>
      </c>
      <c r="BJ91" s="776">
        <f t="shared" ca="1" si="142"/>
        <v>0</v>
      </c>
      <c r="BK91" s="776">
        <f t="shared" ca="1" si="143"/>
        <v>0</v>
      </c>
      <c r="BL91" s="776">
        <f t="shared" ca="1" si="144"/>
        <v>0</v>
      </c>
      <c r="BM91" s="135"/>
      <c r="BN91" s="776">
        <f t="shared" ca="1" si="145"/>
        <v>95.69689354275738</v>
      </c>
      <c r="BO91" s="778">
        <f t="shared" ca="1" si="82"/>
        <v>33.650183487364522</v>
      </c>
      <c r="BP91" s="770">
        <f t="shared" ca="1" si="83"/>
        <v>91.69689354275738</v>
      </c>
      <c r="BQ91" s="771">
        <f t="shared" ca="1" si="84"/>
        <v>0</v>
      </c>
      <c r="BR91" s="771">
        <f t="shared" ca="1" si="85"/>
        <v>0</v>
      </c>
      <c r="BS91" s="776">
        <f t="shared" ca="1" si="146"/>
        <v>95.69689354275738</v>
      </c>
      <c r="BT91" s="776">
        <f t="shared" ca="1" si="86"/>
        <v>91.69689354275738</v>
      </c>
      <c r="BU91" s="783">
        <f t="shared" ca="1" si="87"/>
        <v>32.243651582655218</v>
      </c>
      <c r="BV91" s="783">
        <f t="shared" ca="1" si="88"/>
        <v>32.243651582655218</v>
      </c>
      <c r="BW91" s="1019">
        <f t="shared" ca="1" si="147"/>
        <v>32.243651582655218</v>
      </c>
      <c r="BX91" s="771" cm="1">
        <f t="array" aca="1" ref="BX91" ca="1">INDIRECT("'Definition of Typical Day'!"&amp; ADDRESS($D91+29*(BX$16-1),$E91))</f>
        <v>60</v>
      </c>
      <c r="BY91" s="771">
        <f t="shared" ca="1" si="148"/>
        <v>1</v>
      </c>
      <c r="BZ91" s="781">
        <f t="shared" ca="1" si="89"/>
        <v>1</v>
      </c>
      <c r="CA91" s="781">
        <f t="shared" ca="1" si="90"/>
        <v>0.95753344968004639</v>
      </c>
      <c r="CB91" s="776">
        <f t="shared" ca="1" si="91"/>
        <v>170.63246073298427</v>
      </c>
      <c r="CC91" s="782">
        <f t="shared" si="92"/>
        <v>3</v>
      </c>
      <c r="CD91" s="782">
        <f t="shared" si="93"/>
        <v>23</v>
      </c>
      <c r="CE91" s="784" t="str" cm="1">
        <f t="array" aca="1" ref="CE91" ca="1">INDIRECT("'Definition of Typical Day'!"&amp;ADDRESS(CE$16,$E91))</f>
        <v>Spring / fall weekend</v>
      </c>
      <c r="CF91" s="232"/>
      <c r="CG91" s="232"/>
      <c r="CH91" s="776">
        <f t="shared" ca="1" si="94"/>
        <v>2</v>
      </c>
      <c r="CI91" s="806">
        <f t="shared" ca="1" si="95"/>
        <v>6</v>
      </c>
      <c r="CJ91" s="770">
        <f t="shared" ca="1" si="96"/>
        <v>2.8438743455497377</v>
      </c>
      <c r="CK91" s="771">
        <f t="shared" ca="1" si="97"/>
        <v>2</v>
      </c>
      <c r="CL91" s="771">
        <f t="shared" ca="1" si="98"/>
        <v>0.87260034904013928</v>
      </c>
      <c r="CM91" s="772">
        <f t="shared" ca="1" si="99"/>
        <v>0</v>
      </c>
      <c r="CN91" s="135"/>
      <c r="CO91" s="770">
        <f t="shared" ca="1" si="76"/>
        <v>1.05</v>
      </c>
      <c r="CP91" s="771">
        <f t="shared" ca="1" si="100"/>
        <v>0.98</v>
      </c>
      <c r="CQ91" s="771">
        <f t="shared" ca="1" si="101"/>
        <v>0.96</v>
      </c>
      <c r="CR91" s="771">
        <f t="shared" ca="1" si="102"/>
        <v>0.95</v>
      </c>
      <c r="CS91" s="771">
        <f t="shared" ca="1" si="103"/>
        <v>1.02</v>
      </c>
      <c r="CT91" s="772">
        <f t="shared" ca="1" si="104"/>
        <v>0.02</v>
      </c>
      <c r="CU91" s="135"/>
      <c r="CV91" s="135"/>
      <c r="CW91" s="135"/>
      <c r="CX91" s="135"/>
      <c r="CY91" s="135"/>
      <c r="CZ91" s="135"/>
      <c r="DA91" s="135"/>
      <c r="DB91" s="135"/>
      <c r="DC91" s="135"/>
      <c r="DD91" s="135"/>
      <c r="DE91" s="135"/>
      <c r="DF91" s="135"/>
      <c r="DG91" s="135"/>
      <c r="DH91" s="135"/>
      <c r="DI91" s="135"/>
      <c r="DJ91" s="135"/>
      <c r="DK91" s="135"/>
      <c r="DL91" s="135"/>
      <c r="DX91" s="135"/>
      <c r="DY91" s="135"/>
      <c r="DZ91" s="135"/>
      <c r="EA91" s="135"/>
      <c r="EB91" s="135"/>
      <c r="EC91" s="135"/>
      <c r="ED91" s="135"/>
      <c r="EE91" s="135"/>
      <c r="EF91" s="135"/>
      <c r="EG91" s="135"/>
      <c r="EH91" s="135"/>
      <c r="EI91" s="135"/>
      <c r="EJ91" s="135"/>
      <c r="EK91" s="135"/>
      <c r="EL91" s="135"/>
      <c r="EM91" s="135"/>
      <c r="EN91" s="135"/>
      <c r="EO91" s="135"/>
      <c r="EP91" s="135"/>
      <c r="EQ91" s="135"/>
      <c r="ER91" s="135"/>
      <c r="ES91" s="135"/>
      <c r="ET91" s="135"/>
      <c r="EU91" s="135"/>
      <c r="EV91" s="135"/>
      <c r="EW91" s="135"/>
      <c r="EX91" s="135"/>
      <c r="EY91" s="135"/>
      <c r="EZ91" s="135"/>
      <c r="FA91" s="135"/>
      <c r="FB91" s="135"/>
      <c r="FC91" s="135"/>
      <c r="FD91" s="135"/>
      <c r="FE91" s="135"/>
      <c r="FF91" s="135"/>
      <c r="FG91" s="135"/>
    </row>
    <row r="92" spans="1:163" s="57" customFormat="1" ht="11.25" outlineLevel="1">
      <c r="A92" s="765">
        <f t="shared" si="77"/>
        <v>3</v>
      </c>
      <c r="B92" s="715" t="str" cm="1">
        <f t="array" aca="1" ref="B92" ca="1">INDIRECT("'Definition of Typical Day'!"&amp;ADDRESS(B$16,$E92))</f>
        <v>Spring / fall weekend</v>
      </c>
      <c r="C92" s="766">
        <f t="shared" si="78"/>
        <v>24</v>
      </c>
      <c r="D92" s="715">
        <f t="shared" si="78"/>
        <v>58</v>
      </c>
      <c r="E92" s="715">
        <f t="shared" si="79"/>
        <v>7</v>
      </c>
      <c r="F92" s="767" cm="1">
        <f t="array" aca="1" ref="F92" ca="1">INDIRECT("'Definition of Typical Day'!D"&amp;D92)</f>
        <v>24</v>
      </c>
      <c r="G92" s="767" cm="1">
        <f t="array" aca="1" ref="G92" ca="1">INDIRECT("'Definition of Typical Day'!"&amp;ADDRESS(13,E92))</f>
        <v>3</v>
      </c>
      <c r="H92" s="768" cm="1">
        <f t="array" aca="1" ref="H92" ca="1">INDIRECT("'Definition of Typical Day'!"&amp; ADDRESS($D92+28*(H$16-1),$E92))</f>
        <v>2</v>
      </c>
      <c r="I92" s="715" cm="1">
        <f t="array" aca="1" ref="I92" ca="1">INDIRECT("'Definition of Typical Day'!"&amp; ADDRESS($D92+29*(I$16-1),$E92))</f>
        <v>40</v>
      </c>
      <c r="J92" s="715">
        <f t="shared" ca="1" si="105"/>
        <v>37</v>
      </c>
      <c r="K92" s="785">
        <f t="shared" si="106"/>
        <v>28</v>
      </c>
      <c r="L92" s="786" cm="1">
        <f t="array" aca="1" ref="L92" ca="1">INDIRECT("'Definition of Typical Day'!"&amp; ADDRESS($D92+29*(L$16-1),$E92))</f>
        <v>6</v>
      </c>
      <c r="M92" s="768" cm="1">
        <f t="array" aca="1" ref="M92" ca="1">INDIRECT("'Definition of Typical Day'!"&amp; ADDRESS($D92+29*(M$16-1),$E92))</f>
        <v>86.666666666666657</v>
      </c>
      <c r="N92" s="715">
        <f t="shared" si="107"/>
        <v>3</v>
      </c>
      <c r="O92" s="715">
        <f t="shared" ca="1" si="108"/>
        <v>89.666666666666657</v>
      </c>
      <c r="P92" s="715" cm="1">
        <f t="array" aca="1" ref="P92" ca="1">INDIRECT("'Definition of Typical Day'!"&amp; ADDRESS($D92+29*(P$16-1),$E92))</f>
        <v>45</v>
      </c>
      <c r="Q92" s="787">
        <f t="shared" ca="1" si="109"/>
        <v>48</v>
      </c>
      <c r="R92" s="792">
        <f t="shared" ca="1" si="110"/>
        <v>89.666666666666657</v>
      </c>
      <c r="S92" s="769">
        <f t="shared" si="111"/>
        <v>3</v>
      </c>
      <c r="T92" s="769">
        <f t="shared" ca="1" si="112"/>
        <v>0.24</v>
      </c>
      <c r="U92" s="769">
        <f t="shared" ca="1" si="113"/>
        <v>8.6666666666669126E-3</v>
      </c>
      <c r="V92" s="769">
        <f t="shared" ca="1" si="114"/>
        <v>0</v>
      </c>
      <c r="W92" s="769">
        <f t="shared" ca="1" si="115"/>
        <v>3.2486666666666673</v>
      </c>
      <c r="X92" s="794">
        <f t="shared" si="116"/>
        <v>3</v>
      </c>
      <c r="Y92" s="769">
        <f t="shared" ca="1" si="117"/>
        <v>3</v>
      </c>
      <c r="Z92" s="769">
        <f t="shared" ca="1" si="118"/>
        <v>2.8894159501927064</v>
      </c>
      <c r="AA92" s="795">
        <f t="shared" ca="1" si="119"/>
        <v>2.8894159501927064</v>
      </c>
      <c r="AB92" s="769">
        <f t="shared" ca="1" si="120"/>
        <v>0</v>
      </c>
      <c r="AC92" s="769">
        <f t="shared" ca="1" si="121"/>
        <v>0</v>
      </c>
      <c r="AD92" s="769">
        <f t="shared" ca="1" si="122"/>
        <v>0</v>
      </c>
      <c r="AE92" s="794">
        <f t="shared" ca="1" si="123"/>
        <v>2.8894159501927064</v>
      </c>
      <c r="AF92" s="769">
        <f t="shared" ca="1" si="124"/>
        <v>2.8894159501927065E-2</v>
      </c>
      <c r="AG92" s="769">
        <f t="shared" ca="1" si="125"/>
        <v>2.8605217906907794</v>
      </c>
      <c r="AH92" s="799">
        <f t="shared" ca="1" si="126"/>
        <v>2.8605217906907794</v>
      </c>
      <c r="AI92" s="801">
        <f t="shared" ca="1" si="127"/>
        <v>1</v>
      </c>
      <c r="AJ92" s="794">
        <f t="shared" ca="1" si="128"/>
        <v>2</v>
      </c>
      <c r="AK92" s="769">
        <f t="shared" ca="1" si="129"/>
        <v>0.88941595019270647</v>
      </c>
      <c r="AL92" s="769">
        <f t="shared" ca="1" si="130"/>
        <v>0</v>
      </c>
      <c r="AM92" s="804">
        <f t="shared" ca="1" si="80"/>
        <v>0.2</v>
      </c>
      <c r="AN92" s="795">
        <f t="shared" ca="1" si="81"/>
        <v>0</v>
      </c>
      <c r="AO92" s="251"/>
      <c r="AP92" s="770">
        <f t="shared" si="131"/>
        <v>0</v>
      </c>
      <c r="AQ92" s="771">
        <f t="shared" ca="1" si="132"/>
        <v>0</v>
      </c>
      <c r="AR92" s="771">
        <f t="shared" ca="1" si="133"/>
        <v>4</v>
      </c>
      <c r="AS92" s="772">
        <f t="shared" ca="1" si="134"/>
        <v>4</v>
      </c>
      <c r="AT92" s="231"/>
      <c r="AU92" s="770">
        <f>'Main Results - IRR DC Operator'!$F$16</f>
        <v>2</v>
      </c>
      <c r="AV92" s="773">
        <f>'Main Results - IRR DC Operator'!$F$15</f>
        <v>1</v>
      </c>
      <c r="AW92" s="771">
        <f t="shared" ca="1" si="135"/>
        <v>4</v>
      </c>
      <c r="AX92" s="772">
        <f t="shared" si="136"/>
        <v>0</v>
      </c>
      <c r="AY92" s="231"/>
      <c r="AZ92" s="770" cm="1">
        <f t="array" aca="1" ref="AZ92" ca="1">INDIRECT("'Definition of Typical Day'!"&amp; ADDRESS($D92+29*(AZ$16-1),$E92))+$AZ$17</f>
        <v>99.46</v>
      </c>
      <c r="BA92" s="771" cm="1">
        <f t="array" aca="1" ref="BA92" ca="1">INDIRECT("'Definition of Typical Day'!"&amp; ADDRESS($D92+29*(BA$16-1),$E92))+$BA$17</f>
        <v>99.46</v>
      </c>
      <c r="BB92" s="772" cm="1">
        <f t="array" aca="1" ref="BB92" ca="1">INDIRECT("'Definition of Typical Day'!"&amp;ADDRESS(BB$16,$E92))</f>
        <v>71</v>
      </c>
      <c r="BC92" s="776" cm="1">
        <f t="array" aca="1" ref="BC92" ca="1">INDIRECT("'Definition of Typical Day'!"&amp; ADDRESS($D92+29*(BC$16-1),$E92))</f>
        <v>98.46</v>
      </c>
      <c r="BD92" s="777" cm="1">
        <f t="array" aca="1" ref="BD92" ca="1">INDIRECT("'Definition of Typical Day'!"&amp; ADDRESS($D92+29*(BD$16-1),$E92))</f>
        <v>0.75</v>
      </c>
      <c r="BE92" s="776">
        <f t="shared" si="137"/>
        <v>0</v>
      </c>
      <c r="BF92" s="771">
        <f t="shared" ca="1" si="138"/>
        <v>88.461310406166575</v>
      </c>
      <c r="BG92" s="771">
        <f t="shared" ca="1" si="139"/>
        <v>4.1029706492736429</v>
      </c>
      <c r="BH92" s="771">
        <f t="shared" ca="1" si="140"/>
        <v>0</v>
      </c>
      <c r="BI92" s="776">
        <f t="shared" ca="1" si="141"/>
        <v>19.692</v>
      </c>
      <c r="BJ92" s="776">
        <f t="shared" ca="1" si="142"/>
        <v>0</v>
      </c>
      <c r="BK92" s="776">
        <f t="shared" ca="1" si="143"/>
        <v>0</v>
      </c>
      <c r="BL92" s="776">
        <f t="shared" ca="1" si="144"/>
        <v>0</v>
      </c>
      <c r="BM92" s="135"/>
      <c r="BN92" s="776">
        <f t="shared" ca="1" si="145"/>
        <v>96.564281055440219</v>
      </c>
      <c r="BO92" s="778">
        <f t="shared" ca="1" si="82"/>
        <v>33.757575757575744</v>
      </c>
      <c r="BP92" s="770">
        <f t="shared" ca="1" si="83"/>
        <v>92.564281055440219</v>
      </c>
      <c r="BQ92" s="771">
        <f t="shared" ca="1" si="84"/>
        <v>0</v>
      </c>
      <c r="BR92" s="771">
        <f t="shared" ca="1" si="85"/>
        <v>0</v>
      </c>
      <c r="BS92" s="776">
        <f t="shared" ca="1" si="146"/>
        <v>96.564281055440219</v>
      </c>
      <c r="BT92" s="776">
        <f t="shared" ca="1" si="86"/>
        <v>92.564281055440219</v>
      </c>
      <c r="BU92" s="783">
        <f t="shared" ca="1" si="87"/>
        <v>32.359229479278717</v>
      </c>
      <c r="BV92" s="783">
        <f t="shared" ca="1" si="88"/>
        <v>32.359229479278717</v>
      </c>
      <c r="BW92" s="1019">
        <f t="shared" ca="1" si="147"/>
        <v>32.359229479278717</v>
      </c>
      <c r="BX92" s="771" cm="1">
        <f t="array" aca="1" ref="BX92" ca="1">INDIRECT("'Definition of Typical Day'!"&amp; ADDRESS($D92+29*(BX$16-1),$E92))</f>
        <v>60</v>
      </c>
      <c r="BY92" s="771">
        <f t="shared" ca="1" si="148"/>
        <v>1</v>
      </c>
      <c r="BZ92" s="781">
        <f t="shared" ca="1" si="89"/>
        <v>1</v>
      </c>
      <c r="CA92" s="781">
        <f t="shared" ca="1" si="90"/>
        <v>0.96313865006423549</v>
      </c>
      <c r="CB92" s="776">
        <f t="shared" ca="1" si="91"/>
        <v>171.63130744144675</v>
      </c>
      <c r="CC92" s="782">
        <f t="shared" si="92"/>
        <v>3</v>
      </c>
      <c r="CD92" s="782">
        <f t="shared" si="93"/>
        <v>24</v>
      </c>
      <c r="CE92" s="784" t="str" cm="1">
        <f t="array" aca="1" ref="CE92" ca="1">INDIRECT("'Definition of Typical Day'!"&amp;ADDRESS(CE$16,$E92))</f>
        <v>Spring / fall weekend</v>
      </c>
      <c r="CF92" s="232"/>
      <c r="CG92" s="232"/>
      <c r="CH92" s="776">
        <f t="shared" ca="1" si="94"/>
        <v>2</v>
      </c>
      <c r="CI92" s="806">
        <f t="shared" ca="1" si="95"/>
        <v>6</v>
      </c>
      <c r="CJ92" s="770">
        <f t="shared" ca="1" si="96"/>
        <v>2.8605217906907794</v>
      </c>
      <c r="CK92" s="771">
        <f t="shared" ca="1" si="97"/>
        <v>2</v>
      </c>
      <c r="CL92" s="771">
        <f t="shared" ca="1" si="98"/>
        <v>0.88941595019270647</v>
      </c>
      <c r="CM92" s="772">
        <f t="shared" ca="1" si="99"/>
        <v>0</v>
      </c>
      <c r="CN92" s="135"/>
      <c r="CO92" s="770">
        <f t="shared" ca="1" si="76"/>
        <v>1.05</v>
      </c>
      <c r="CP92" s="771">
        <f t="shared" ca="1" si="100"/>
        <v>0.98</v>
      </c>
      <c r="CQ92" s="771">
        <f t="shared" ca="1" si="101"/>
        <v>0.96</v>
      </c>
      <c r="CR92" s="771">
        <f t="shared" ca="1" si="102"/>
        <v>0.95</v>
      </c>
      <c r="CS92" s="771">
        <f t="shared" ca="1" si="103"/>
        <v>1.02</v>
      </c>
      <c r="CT92" s="772">
        <f t="shared" ca="1" si="104"/>
        <v>0.02</v>
      </c>
      <c r="CU92" s="135"/>
      <c r="CV92" s="135"/>
      <c r="CW92" s="135"/>
      <c r="CX92" s="135"/>
      <c r="CY92" s="135"/>
      <c r="CZ92" s="135"/>
      <c r="DA92" s="135"/>
      <c r="DB92" s="135"/>
      <c r="DC92" s="135"/>
      <c r="DD92" s="135"/>
      <c r="DE92" s="135"/>
      <c r="DF92" s="135"/>
      <c r="DG92" s="135"/>
      <c r="DH92" s="135"/>
      <c r="DI92" s="135"/>
      <c r="DJ92" s="135"/>
      <c r="DK92" s="135"/>
      <c r="DL92" s="135"/>
      <c r="DX92" s="135"/>
      <c r="DY92" s="135"/>
      <c r="DZ92" s="135"/>
      <c r="EA92" s="135"/>
      <c r="EB92" s="135"/>
      <c r="EC92" s="135"/>
      <c r="ED92" s="135"/>
      <c r="EE92" s="135"/>
      <c r="EF92" s="135"/>
      <c r="EG92" s="135"/>
      <c r="EH92" s="135"/>
      <c r="EI92" s="135"/>
      <c r="EJ92" s="135"/>
      <c r="EK92" s="135"/>
      <c r="EL92" s="135"/>
      <c r="EM92" s="135"/>
      <c r="EN92" s="135"/>
      <c r="EO92" s="135"/>
      <c r="EP92" s="135"/>
      <c r="EQ92" s="135"/>
      <c r="ER92" s="135"/>
      <c r="ES92" s="135"/>
      <c r="ET92" s="135"/>
      <c r="EU92" s="135"/>
      <c r="EV92" s="135"/>
      <c r="EW92" s="135"/>
      <c r="EX92" s="135"/>
      <c r="EY92" s="135"/>
      <c r="EZ92" s="135"/>
      <c r="FA92" s="135"/>
      <c r="FB92" s="135"/>
      <c r="FC92" s="135"/>
      <c r="FD92" s="135"/>
      <c r="FE92" s="135"/>
      <c r="FF92" s="135"/>
      <c r="FG92" s="135"/>
    </row>
    <row r="93" spans="1:163" s="57" customFormat="1" ht="11.25">
      <c r="A93" s="765">
        <f t="shared" si="77"/>
        <v>4</v>
      </c>
      <c r="B93" s="715" t="str" cm="1">
        <f t="array" aca="1" ref="B93" ca="1">INDIRECT("'Definition of Typical Day'!"&amp;ADDRESS(B$16,$E93))</f>
        <v>Summer weekday</v>
      </c>
      <c r="C93" s="766">
        <f t="shared" si="78"/>
        <v>1</v>
      </c>
      <c r="D93" s="715">
        <f t="shared" si="78"/>
        <v>35</v>
      </c>
      <c r="E93" s="715">
        <f t="shared" si="79"/>
        <v>8</v>
      </c>
      <c r="F93" s="767" cm="1">
        <f t="array" aca="1" ref="F93" ca="1">INDIRECT("'Definition of Typical Day'!D"&amp;D93)</f>
        <v>1</v>
      </c>
      <c r="G93" s="767" cm="1">
        <f t="array" aca="1" ref="G93" ca="1">INDIRECT("'Definition of Typical Day'!"&amp;ADDRESS(13,E93))</f>
        <v>4</v>
      </c>
      <c r="H93" s="768" cm="1">
        <f t="array" aca="1" ref="H93" ca="1">INDIRECT("'Definition of Typical Day'!"&amp; ADDRESS($D93+28*(H$16-1),$E93))</f>
        <v>2</v>
      </c>
      <c r="I93" s="715" cm="1">
        <f t="array" aca="1" ref="I93" ca="1">INDIRECT("'Definition of Typical Day'!"&amp; ADDRESS($D93+29*(I$16-1),$E93))</f>
        <v>40</v>
      </c>
      <c r="J93" s="715">
        <f t="shared" ca="1" si="105"/>
        <v>37</v>
      </c>
      <c r="K93" s="785">
        <f t="shared" si="106"/>
        <v>28</v>
      </c>
      <c r="L93" s="786" cm="1">
        <f t="array" aca="1" ref="L93" ca="1">INDIRECT("'Definition of Typical Day'!"&amp; ADDRESS($D93+29*(L$16-1),$E93))</f>
        <v>6</v>
      </c>
      <c r="M93" s="768" cm="1">
        <f t="array" aca="1" ref="M93" ca="1">INDIRECT("'Definition of Typical Day'!"&amp; ADDRESS($D93+29*(M$16-1),$E93))</f>
        <v>60</v>
      </c>
      <c r="N93" s="715">
        <f t="shared" si="107"/>
        <v>3</v>
      </c>
      <c r="O93" s="715">
        <f t="shared" ca="1" si="108"/>
        <v>63</v>
      </c>
      <c r="P93" s="715" cm="1">
        <f t="array" aca="1" ref="P93" ca="1">INDIRECT("'Definition of Typical Day'!"&amp; ADDRESS($D93+29*(P$16-1),$E93))</f>
        <v>45</v>
      </c>
      <c r="Q93" s="787">
        <f t="shared" ca="1" si="109"/>
        <v>48</v>
      </c>
      <c r="R93" s="792">
        <f t="shared" ca="1" si="110"/>
        <v>63</v>
      </c>
      <c r="S93" s="769">
        <f t="shared" si="111"/>
        <v>3</v>
      </c>
      <c r="T93" s="769">
        <f t="shared" ca="1" si="112"/>
        <v>0.24</v>
      </c>
      <c r="U93" s="769">
        <f t="shared" ca="1" si="113"/>
        <v>0.70199999999999996</v>
      </c>
      <c r="V93" s="769">
        <f t="shared" ca="1" si="114"/>
        <v>0</v>
      </c>
      <c r="W93" s="769">
        <f t="shared" ca="1" si="115"/>
        <v>3.9420000000000002</v>
      </c>
      <c r="X93" s="794">
        <f t="shared" si="116"/>
        <v>3</v>
      </c>
      <c r="Y93" s="769">
        <f t="shared" ca="1" si="117"/>
        <v>2.1213203435596428</v>
      </c>
      <c r="Z93" s="769">
        <f t="shared" ca="1" si="118"/>
        <v>2.1213203435596428</v>
      </c>
      <c r="AA93" s="795">
        <f t="shared" ca="1" si="119"/>
        <v>2.1213203435596428</v>
      </c>
      <c r="AB93" s="769">
        <f t="shared" ca="1" si="120"/>
        <v>0</v>
      </c>
      <c r="AC93" s="769">
        <f t="shared" ca="1" si="121"/>
        <v>0</v>
      </c>
      <c r="AD93" s="769">
        <f t="shared" ca="1" si="122"/>
        <v>0</v>
      </c>
      <c r="AE93" s="794">
        <f t="shared" ca="1" si="123"/>
        <v>2.1213203435596428</v>
      </c>
      <c r="AF93" s="769">
        <f t="shared" ca="1" si="124"/>
        <v>2.1213203435596427E-2</v>
      </c>
      <c r="AG93" s="769">
        <f t="shared" ca="1" si="125"/>
        <v>2.1001071401240465</v>
      </c>
      <c r="AH93" s="799">
        <f t="shared" ca="1" si="126"/>
        <v>2.1001071401240465</v>
      </c>
      <c r="AI93" s="801">
        <f t="shared" ca="1" si="127"/>
        <v>1</v>
      </c>
      <c r="AJ93" s="794">
        <f t="shared" ca="1" si="128"/>
        <v>1.5831873289580085</v>
      </c>
      <c r="AK93" s="769">
        <f t="shared" ca="1" si="129"/>
        <v>0.53813301460163443</v>
      </c>
      <c r="AL93" s="769">
        <f t="shared" ca="1" si="130"/>
        <v>0</v>
      </c>
      <c r="AM93" s="804">
        <f t="shared" ca="1" si="80"/>
        <v>0.2110916438610678</v>
      </c>
      <c r="AN93" s="795">
        <f t="shared" ca="1" si="81"/>
        <v>5.5575022805598867E-2</v>
      </c>
      <c r="AO93" s="251"/>
      <c r="AP93" s="770">
        <f t="shared" si="131"/>
        <v>0</v>
      </c>
      <c r="AQ93" s="771">
        <f t="shared" ca="1" si="132"/>
        <v>0</v>
      </c>
      <c r="AR93" s="771">
        <f t="shared" ca="1" si="133"/>
        <v>3.166374657916017</v>
      </c>
      <c r="AS93" s="772">
        <f t="shared" ca="1" si="134"/>
        <v>3.166374657916017</v>
      </c>
      <c r="AT93" s="231"/>
      <c r="AU93" s="770">
        <f>'Main Results - IRR DC Operator'!$F$16</f>
        <v>2</v>
      </c>
      <c r="AV93" s="773">
        <f>'Main Results - IRR DC Operator'!$F$15</f>
        <v>1</v>
      </c>
      <c r="AW93" s="771">
        <f t="shared" ca="1" si="135"/>
        <v>4</v>
      </c>
      <c r="AX93" s="772">
        <f t="shared" si="136"/>
        <v>0</v>
      </c>
      <c r="AY93" s="231"/>
      <c r="AZ93" s="770" cm="1">
        <f t="array" aca="1" ref="AZ93" ca="1">INDIRECT("'Definition of Typical Day'!"&amp; ADDRESS($D93+29*(AZ$16-1),$E93))+$AZ$17</f>
        <v>101.11</v>
      </c>
      <c r="BA93" s="771" cm="1">
        <f t="array" aca="1" ref="BA93" ca="1">INDIRECT("'Definition of Typical Day'!"&amp; ADDRESS($D93+29*(BA$16-1),$E93))+$BA$17</f>
        <v>101.11</v>
      </c>
      <c r="BB93" s="772" cm="1">
        <f t="array" aca="1" ref="BB93" ca="1">INDIRECT("'Definition of Typical Day'!"&amp;ADDRESS(BB$16,$E93))</f>
        <v>60</v>
      </c>
      <c r="BC93" s="776" cm="1">
        <f t="array" aca="1" ref="BC93" ca="1">INDIRECT("'Definition of Typical Day'!"&amp; ADDRESS($D93+29*(BC$16-1),$E93))</f>
        <v>100.11</v>
      </c>
      <c r="BD93" s="777" cm="1">
        <f t="array" aca="1" ref="BD93" ca="1">INDIRECT("'Definition of Typical Day'!"&amp; ADDRESS($D93+29*(BD$16-1),$E93))</f>
        <v>1</v>
      </c>
      <c r="BE93" s="776">
        <f t="shared" si="137"/>
        <v>0</v>
      </c>
      <c r="BF93" s="771">
        <f t="shared" ca="1" si="138"/>
        <v>54.41062910637126</v>
      </c>
      <c r="BG93" s="771">
        <f t="shared" ca="1" si="139"/>
        <v>2.5455844122715714</v>
      </c>
      <c r="BH93" s="771">
        <f t="shared" ca="1" si="140"/>
        <v>0</v>
      </c>
      <c r="BI93" s="776">
        <f t="shared" ca="1" si="141"/>
        <v>21.132384466931498</v>
      </c>
      <c r="BJ93" s="776">
        <f t="shared" ca="1" si="142"/>
        <v>5.5636155330685026</v>
      </c>
      <c r="BK93" s="776">
        <f t="shared" ca="1" si="143"/>
        <v>0</v>
      </c>
      <c r="BL93" s="776">
        <f t="shared" ca="1" si="144"/>
        <v>0</v>
      </c>
      <c r="BM93" s="135"/>
      <c r="BN93" s="776">
        <f t="shared" ca="1" si="145"/>
        <v>60.956213518642834</v>
      </c>
      <c r="BO93" s="778">
        <f t="shared" ca="1" si="82"/>
        <v>29.025287497971341</v>
      </c>
      <c r="BP93" s="770">
        <f t="shared" ca="1" si="83"/>
        <v>56.956213518642834</v>
      </c>
      <c r="BQ93" s="771">
        <f t="shared" ca="1" si="84"/>
        <v>0</v>
      </c>
      <c r="BR93" s="771">
        <f t="shared" ca="1" si="85"/>
        <v>0</v>
      </c>
      <c r="BS93" s="776">
        <f t="shared" ca="1" si="146"/>
        <v>60.956213518642834</v>
      </c>
      <c r="BT93" s="776">
        <f t="shared" ca="1" si="86"/>
        <v>56.956213518642834</v>
      </c>
      <c r="BU93" s="783">
        <f t="shared" ca="1" si="87"/>
        <v>27.120622767502525</v>
      </c>
      <c r="BV93" s="783">
        <f t="shared" ca="1" si="88"/>
        <v>27.120622767502525</v>
      </c>
      <c r="BW93" s="1019">
        <f t="shared" ca="1" si="147"/>
        <v>27.120622767502525</v>
      </c>
      <c r="BX93" s="771" cm="1">
        <f t="array" aca="1" ref="BX93" ca="1">INDIRECT("'Definition of Typical Day'!"&amp; ADDRESS($D93+29*(BX$16-1),$E93))</f>
        <v>40</v>
      </c>
      <c r="BY93" s="771">
        <f t="shared" ca="1" si="148"/>
        <v>1</v>
      </c>
      <c r="BZ93" s="781">
        <f t="shared" ca="1" si="89"/>
        <v>1</v>
      </c>
      <c r="CA93" s="781">
        <f t="shared" ca="1" si="90"/>
        <v>0.70710678118654757</v>
      </c>
      <c r="CB93" s="776">
        <f t="shared" ca="1" si="91"/>
        <v>84.004285604961865</v>
      </c>
      <c r="CC93" s="782">
        <f t="shared" si="92"/>
        <v>4</v>
      </c>
      <c r="CD93" s="782">
        <f t="shared" si="93"/>
        <v>1</v>
      </c>
      <c r="CE93" s="784" t="str" cm="1">
        <f t="array" aca="1" ref="CE93" ca="1">INDIRECT("'Definition of Typical Day'!"&amp;ADDRESS(CE$16,$E93))</f>
        <v>Summer weekday</v>
      </c>
      <c r="CF93" s="232"/>
      <c r="CG93" s="232"/>
      <c r="CH93" s="776">
        <f t="shared" ca="1" si="94"/>
        <v>2</v>
      </c>
      <c r="CI93" s="806">
        <f t="shared" ca="1" si="95"/>
        <v>6</v>
      </c>
      <c r="CJ93" s="770">
        <f t="shared" ca="1" si="96"/>
        <v>2.1001071401240465</v>
      </c>
      <c r="CK93" s="771">
        <f t="shared" ca="1" si="97"/>
        <v>1.5831873289580085</v>
      </c>
      <c r="CL93" s="771">
        <f t="shared" ca="1" si="98"/>
        <v>0.53813301460163443</v>
      </c>
      <c r="CM93" s="772">
        <f t="shared" ca="1" si="99"/>
        <v>0</v>
      </c>
      <c r="CN93" s="135"/>
      <c r="CO93" s="770">
        <f t="shared" ca="1" si="76"/>
        <v>1.05</v>
      </c>
      <c r="CP93" s="771">
        <f t="shared" ca="1" si="100"/>
        <v>0.98</v>
      </c>
      <c r="CQ93" s="771">
        <f t="shared" ca="1" si="101"/>
        <v>0.96</v>
      </c>
      <c r="CR93" s="771">
        <f t="shared" ca="1" si="102"/>
        <v>0.95</v>
      </c>
      <c r="CS93" s="771">
        <f t="shared" ca="1" si="103"/>
        <v>1.02</v>
      </c>
      <c r="CT93" s="772">
        <f t="shared" ca="1" si="104"/>
        <v>0.02</v>
      </c>
      <c r="CU93" s="135"/>
      <c r="CV93" s="135"/>
      <c r="CW93" s="135"/>
      <c r="CX93" s="135"/>
      <c r="CY93" s="135"/>
      <c r="CZ93" s="135"/>
      <c r="DA93" s="135"/>
      <c r="DB93" s="135"/>
      <c r="DC93" s="135"/>
      <c r="DD93" s="135"/>
      <c r="DE93" s="135"/>
      <c r="DF93" s="135"/>
      <c r="DG93" s="135"/>
      <c r="DH93" s="135"/>
      <c r="DI93" s="135"/>
      <c r="DJ93" s="135"/>
      <c r="DK93" s="135"/>
      <c r="DL93" s="135"/>
      <c r="DX93" s="135"/>
      <c r="DY93" s="135"/>
      <c r="DZ93" s="135"/>
      <c r="EA93" s="135"/>
      <c r="EB93" s="135"/>
      <c r="EC93" s="135"/>
      <c r="ED93" s="135"/>
      <c r="EE93" s="135"/>
      <c r="EF93" s="135"/>
      <c r="EG93" s="135"/>
      <c r="EH93" s="135"/>
      <c r="EI93" s="135"/>
      <c r="EJ93" s="135"/>
      <c r="EK93" s="135"/>
      <c r="EL93" s="135"/>
      <c r="EM93" s="135"/>
      <c r="EN93" s="135"/>
      <c r="EO93" s="135"/>
      <c r="EP93" s="135"/>
      <c r="EQ93" s="135"/>
      <c r="ER93" s="135"/>
      <c r="ES93" s="135"/>
      <c r="ET93" s="135"/>
      <c r="EU93" s="135"/>
      <c r="EV93" s="135"/>
      <c r="EW93" s="135"/>
      <c r="EX93" s="135"/>
      <c r="EY93" s="135"/>
      <c r="EZ93" s="135"/>
      <c r="FA93" s="135"/>
      <c r="FB93" s="135"/>
      <c r="FC93" s="135"/>
      <c r="FD93" s="135"/>
      <c r="FE93" s="135"/>
      <c r="FF93" s="135"/>
      <c r="FG93" s="135"/>
    </row>
    <row r="94" spans="1:163" s="57" customFormat="1" ht="11.25" outlineLevel="1">
      <c r="A94" s="765">
        <f t="shared" si="77"/>
        <v>4</v>
      </c>
      <c r="B94" s="715" t="str" cm="1">
        <f t="array" aca="1" ref="B94" ca="1">INDIRECT("'Definition of Typical Day'!"&amp;ADDRESS(B$16,$E94))</f>
        <v>Summer weekday</v>
      </c>
      <c r="C94" s="766">
        <f t="shared" si="78"/>
        <v>2</v>
      </c>
      <c r="D94" s="715">
        <f t="shared" si="78"/>
        <v>36</v>
      </c>
      <c r="E94" s="715">
        <f t="shared" si="79"/>
        <v>8</v>
      </c>
      <c r="F94" s="767" cm="1">
        <f t="array" aca="1" ref="F94" ca="1">INDIRECT("'Definition of Typical Day'!D"&amp;D94)</f>
        <v>2</v>
      </c>
      <c r="G94" s="767" cm="1">
        <f t="array" aca="1" ref="G94" ca="1">INDIRECT("'Definition of Typical Day'!"&amp;ADDRESS(13,E94))</f>
        <v>4</v>
      </c>
      <c r="H94" s="768" cm="1">
        <f t="array" aca="1" ref="H94" ca="1">INDIRECT("'Definition of Typical Day'!"&amp; ADDRESS($D94+28*(H$16-1),$E94))</f>
        <v>2</v>
      </c>
      <c r="I94" s="715" cm="1">
        <f t="array" aca="1" ref="I94" ca="1">INDIRECT("'Definition of Typical Day'!"&amp; ADDRESS($D94+29*(I$16-1),$E94))</f>
        <v>40</v>
      </c>
      <c r="J94" s="715">
        <f t="shared" ca="1" si="105"/>
        <v>37</v>
      </c>
      <c r="K94" s="785">
        <f t="shared" si="106"/>
        <v>28</v>
      </c>
      <c r="L94" s="786" cm="1">
        <f t="array" aca="1" ref="L94" ca="1">INDIRECT("'Definition of Typical Day'!"&amp; ADDRESS($D94+29*(L$16-1),$E94))</f>
        <v>6</v>
      </c>
      <c r="M94" s="768" cm="1">
        <f t="array" aca="1" ref="M94" ca="1">INDIRECT("'Definition of Typical Day'!"&amp; ADDRESS($D94+29*(M$16-1),$E94))</f>
        <v>60</v>
      </c>
      <c r="N94" s="715">
        <f t="shared" si="107"/>
        <v>3</v>
      </c>
      <c r="O94" s="715">
        <f t="shared" ca="1" si="108"/>
        <v>63</v>
      </c>
      <c r="P94" s="715" cm="1">
        <f t="array" aca="1" ref="P94" ca="1">INDIRECT("'Definition of Typical Day'!"&amp; ADDRESS($D94+29*(P$16-1),$E94))</f>
        <v>45</v>
      </c>
      <c r="Q94" s="787">
        <f t="shared" ca="1" si="109"/>
        <v>48</v>
      </c>
      <c r="R94" s="792">
        <f t="shared" ca="1" si="110"/>
        <v>63</v>
      </c>
      <c r="S94" s="769">
        <f t="shared" si="111"/>
        <v>3</v>
      </c>
      <c r="T94" s="769">
        <f t="shared" ca="1" si="112"/>
        <v>0.24</v>
      </c>
      <c r="U94" s="769">
        <f t="shared" ca="1" si="113"/>
        <v>0.70199999999999996</v>
      </c>
      <c r="V94" s="769">
        <f t="shared" ca="1" si="114"/>
        <v>0</v>
      </c>
      <c r="W94" s="769">
        <f t="shared" ca="1" si="115"/>
        <v>3.9420000000000002</v>
      </c>
      <c r="X94" s="794">
        <f t="shared" si="116"/>
        <v>3</v>
      </c>
      <c r="Y94" s="769">
        <f t="shared" ca="1" si="117"/>
        <v>2.1213203435596428</v>
      </c>
      <c r="Z94" s="769">
        <f t="shared" ca="1" si="118"/>
        <v>2.1213203435596428</v>
      </c>
      <c r="AA94" s="795">
        <f t="shared" ca="1" si="119"/>
        <v>2.1213203435596428</v>
      </c>
      <c r="AB94" s="769">
        <f t="shared" ca="1" si="120"/>
        <v>0</v>
      </c>
      <c r="AC94" s="769">
        <f t="shared" ca="1" si="121"/>
        <v>0</v>
      </c>
      <c r="AD94" s="769">
        <f t="shared" ca="1" si="122"/>
        <v>0</v>
      </c>
      <c r="AE94" s="794">
        <f t="shared" ca="1" si="123"/>
        <v>2.1213203435596428</v>
      </c>
      <c r="AF94" s="769">
        <f t="shared" ca="1" si="124"/>
        <v>2.1213203435596427E-2</v>
      </c>
      <c r="AG94" s="769">
        <f t="shared" ca="1" si="125"/>
        <v>2.1001071401240465</v>
      </c>
      <c r="AH94" s="799">
        <f t="shared" ca="1" si="126"/>
        <v>2.1001071401240465</v>
      </c>
      <c r="AI94" s="801">
        <f t="shared" ca="1" si="127"/>
        <v>1</v>
      </c>
      <c r="AJ94" s="794">
        <f t="shared" ca="1" si="128"/>
        <v>1.5831873289580085</v>
      </c>
      <c r="AK94" s="769">
        <f t="shared" ca="1" si="129"/>
        <v>0.53813301460163443</v>
      </c>
      <c r="AL94" s="769">
        <f t="shared" ca="1" si="130"/>
        <v>0</v>
      </c>
      <c r="AM94" s="804">
        <f t="shared" ca="1" si="80"/>
        <v>0.2110916438610678</v>
      </c>
      <c r="AN94" s="795">
        <f t="shared" ca="1" si="81"/>
        <v>5.5575022805598867E-2</v>
      </c>
      <c r="AO94" s="251"/>
      <c r="AP94" s="770">
        <f t="shared" si="131"/>
        <v>0</v>
      </c>
      <c r="AQ94" s="771">
        <f t="shared" ca="1" si="132"/>
        <v>0</v>
      </c>
      <c r="AR94" s="771">
        <f t="shared" ca="1" si="133"/>
        <v>3.166374657916017</v>
      </c>
      <c r="AS94" s="772">
        <f t="shared" ca="1" si="134"/>
        <v>3.166374657916017</v>
      </c>
      <c r="AT94" s="231"/>
      <c r="AU94" s="770">
        <f>'Main Results - IRR DC Operator'!$F$16</f>
        <v>2</v>
      </c>
      <c r="AV94" s="773">
        <f>'Main Results - IRR DC Operator'!$F$15</f>
        <v>1</v>
      </c>
      <c r="AW94" s="771">
        <f t="shared" ca="1" si="135"/>
        <v>4</v>
      </c>
      <c r="AX94" s="772">
        <f t="shared" si="136"/>
        <v>0</v>
      </c>
      <c r="AY94" s="231"/>
      <c r="AZ94" s="770" cm="1">
        <f t="array" aca="1" ref="AZ94" ca="1">INDIRECT("'Definition of Typical Day'!"&amp; ADDRESS($D94+29*(AZ$16-1),$E94))+$AZ$17</f>
        <v>91.45</v>
      </c>
      <c r="BA94" s="771" cm="1">
        <f t="array" aca="1" ref="BA94" ca="1">INDIRECT("'Definition of Typical Day'!"&amp; ADDRESS($D94+29*(BA$16-1),$E94))+$BA$17</f>
        <v>91.45</v>
      </c>
      <c r="BB94" s="772" cm="1">
        <f t="array" aca="1" ref="BB94" ca="1">INDIRECT("'Definition of Typical Day'!"&amp;ADDRESS(BB$16,$E94))</f>
        <v>60</v>
      </c>
      <c r="BC94" s="776" cm="1">
        <f t="array" aca="1" ref="BC94" ca="1">INDIRECT("'Definition of Typical Day'!"&amp; ADDRESS($D94+29*(BC$16-1),$E94))</f>
        <v>90.45</v>
      </c>
      <c r="BD94" s="777" cm="1">
        <f t="array" aca="1" ref="BD94" ca="1">INDIRECT("'Definition of Typical Day'!"&amp; ADDRESS($D94+29*(BD$16-1),$E94))</f>
        <v>1</v>
      </c>
      <c r="BE94" s="776">
        <f t="shared" si="137"/>
        <v>0</v>
      </c>
      <c r="BF94" s="771">
        <f t="shared" ca="1" si="138"/>
        <v>49.212264185319469</v>
      </c>
      <c r="BG94" s="771">
        <f t="shared" ca="1" si="139"/>
        <v>2.5455844122715714</v>
      </c>
      <c r="BH94" s="771">
        <f t="shared" ca="1" si="140"/>
        <v>0</v>
      </c>
      <c r="BI94" s="776">
        <f t="shared" ca="1" si="141"/>
        <v>19.093239187233582</v>
      </c>
      <c r="BJ94" s="776">
        <f t="shared" ca="1" si="142"/>
        <v>5.0267608127664181</v>
      </c>
      <c r="BK94" s="776">
        <f t="shared" ca="1" si="143"/>
        <v>0</v>
      </c>
      <c r="BL94" s="776">
        <f t="shared" ca="1" si="144"/>
        <v>0</v>
      </c>
      <c r="BM94" s="135"/>
      <c r="BN94" s="776">
        <f t="shared" ca="1" si="145"/>
        <v>55.757848597591043</v>
      </c>
      <c r="BO94" s="778">
        <f t="shared" ca="1" si="82"/>
        <v>26.550001917662929</v>
      </c>
      <c r="BP94" s="770">
        <f t="shared" ca="1" si="83"/>
        <v>51.757848597591043</v>
      </c>
      <c r="BQ94" s="771">
        <f t="shared" ca="1" si="84"/>
        <v>0</v>
      </c>
      <c r="BR94" s="771">
        <f t="shared" ca="1" si="85"/>
        <v>0</v>
      </c>
      <c r="BS94" s="776">
        <f t="shared" ca="1" si="146"/>
        <v>55.757848597591043</v>
      </c>
      <c r="BT94" s="776">
        <f t="shared" ca="1" si="86"/>
        <v>51.757848597591043</v>
      </c>
      <c r="BU94" s="783">
        <f t="shared" ca="1" si="87"/>
        <v>24.645337187194112</v>
      </c>
      <c r="BV94" s="783">
        <f t="shared" ca="1" si="88"/>
        <v>24.645337187194112</v>
      </c>
      <c r="BW94" s="1019">
        <f t="shared" ca="1" si="147"/>
        <v>24.645337187194112</v>
      </c>
      <c r="BX94" s="771" cm="1">
        <f t="array" aca="1" ref="BX94" ca="1">INDIRECT("'Definition of Typical Day'!"&amp; ADDRESS($D94+29*(BX$16-1),$E94))</f>
        <v>40</v>
      </c>
      <c r="BY94" s="771">
        <f t="shared" ca="1" si="148"/>
        <v>1</v>
      </c>
      <c r="BZ94" s="781">
        <f t="shared" ca="1" si="89"/>
        <v>1</v>
      </c>
      <c r="CA94" s="781">
        <f t="shared" ca="1" si="90"/>
        <v>0.70710678118654757</v>
      </c>
      <c r="CB94" s="776">
        <f t="shared" ca="1" si="91"/>
        <v>84.004285604961865</v>
      </c>
      <c r="CC94" s="782">
        <f t="shared" si="92"/>
        <v>4</v>
      </c>
      <c r="CD94" s="782">
        <f t="shared" si="93"/>
        <v>2</v>
      </c>
      <c r="CE94" s="784" t="str" cm="1">
        <f t="array" aca="1" ref="CE94" ca="1">INDIRECT("'Definition of Typical Day'!"&amp;ADDRESS(CE$16,$E94))</f>
        <v>Summer weekday</v>
      </c>
      <c r="CF94" s="232"/>
      <c r="CG94" s="232"/>
      <c r="CH94" s="776">
        <f t="shared" ca="1" si="94"/>
        <v>2</v>
      </c>
      <c r="CI94" s="806">
        <f t="shared" ca="1" si="95"/>
        <v>6</v>
      </c>
      <c r="CJ94" s="770">
        <f t="shared" ca="1" si="96"/>
        <v>2.1001071401240465</v>
      </c>
      <c r="CK94" s="771">
        <f t="shared" ca="1" si="97"/>
        <v>1.5831873289580085</v>
      </c>
      <c r="CL94" s="771">
        <f t="shared" ca="1" si="98"/>
        <v>0.53813301460163443</v>
      </c>
      <c r="CM94" s="772">
        <f t="shared" ca="1" si="99"/>
        <v>0</v>
      </c>
      <c r="CN94" s="135"/>
      <c r="CO94" s="770">
        <f t="shared" ca="1" si="76"/>
        <v>1.05</v>
      </c>
      <c r="CP94" s="771">
        <f t="shared" ca="1" si="100"/>
        <v>0.98</v>
      </c>
      <c r="CQ94" s="771">
        <f t="shared" ca="1" si="101"/>
        <v>0.96</v>
      </c>
      <c r="CR94" s="771">
        <f t="shared" ca="1" si="102"/>
        <v>0.95</v>
      </c>
      <c r="CS94" s="771">
        <f t="shared" ca="1" si="103"/>
        <v>1.02</v>
      </c>
      <c r="CT94" s="772">
        <f t="shared" ca="1" si="104"/>
        <v>0.02</v>
      </c>
      <c r="CU94" s="135"/>
      <c r="CV94" s="135"/>
      <c r="CW94" s="135"/>
      <c r="CX94" s="135"/>
      <c r="CY94" s="135"/>
      <c r="CZ94" s="135"/>
      <c r="DA94" s="135"/>
      <c r="DB94" s="135"/>
      <c r="DC94" s="135"/>
      <c r="DD94" s="135"/>
      <c r="DE94" s="135"/>
      <c r="DF94" s="135"/>
      <c r="DG94" s="135"/>
      <c r="DH94" s="135"/>
      <c r="DI94" s="135"/>
      <c r="DJ94" s="135"/>
      <c r="DK94" s="135"/>
      <c r="DL94" s="135"/>
      <c r="DX94" s="135"/>
      <c r="DY94" s="135"/>
      <c r="DZ94" s="135"/>
      <c r="EA94" s="135"/>
      <c r="EB94" s="135"/>
      <c r="EC94" s="135"/>
      <c r="ED94" s="135"/>
      <c r="EE94" s="135"/>
      <c r="EF94" s="135"/>
      <c r="EG94" s="135"/>
      <c r="EH94" s="135"/>
      <c r="EI94" s="135"/>
      <c r="EJ94" s="135"/>
      <c r="EK94" s="135"/>
      <c r="EL94" s="135"/>
      <c r="EM94" s="135"/>
      <c r="EN94" s="135"/>
      <c r="EO94" s="135"/>
      <c r="EP94" s="135"/>
      <c r="EQ94" s="135"/>
      <c r="ER94" s="135"/>
      <c r="ES94" s="135"/>
      <c r="ET94" s="135"/>
      <c r="EU94" s="135"/>
      <c r="EV94" s="135"/>
      <c r="EW94" s="135"/>
      <c r="EX94" s="135"/>
      <c r="EY94" s="135"/>
      <c r="EZ94" s="135"/>
      <c r="FA94" s="135"/>
      <c r="FB94" s="135"/>
      <c r="FC94" s="135"/>
      <c r="FD94" s="135"/>
      <c r="FE94" s="135"/>
      <c r="FF94" s="135"/>
      <c r="FG94" s="135"/>
    </row>
    <row r="95" spans="1:163" s="57" customFormat="1" ht="11.25" outlineLevel="1">
      <c r="A95" s="765">
        <f t="shared" si="77"/>
        <v>4</v>
      </c>
      <c r="B95" s="715" t="str" cm="1">
        <f t="array" aca="1" ref="B95" ca="1">INDIRECT("'Definition of Typical Day'!"&amp;ADDRESS(B$16,$E95))</f>
        <v>Summer weekday</v>
      </c>
      <c r="C95" s="766">
        <f t="shared" si="78"/>
        <v>3</v>
      </c>
      <c r="D95" s="715">
        <f t="shared" si="78"/>
        <v>37</v>
      </c>
      <c r="E95" s="715">
        <f t="shared" si="79"/>
        <v>8</v>
      </c>
      <c r="F95" s="767" cm="1">
        <f t="array" aca="1" ref="F95" ca="1">INDIRECT("'Definition of Typical Day'!D"&amp;D95)</f>
        <v>3</v>
      </c>
      <c r="G95" s="767" cm="1">
        <f t="array" aca="1" ref="G95" ca="1">INDIRECT("'Definition of Typical Day'!"&amp;ADDRESS(13,E95))</f>
        <v>4</v>
      </c>
      <c r="H95" s="768" cm="1">
        <f t="array" aca="1" ref="H95" ca="1">INDIRECT("'Definition of Typical Day'!"&amp; ADDRESS($D95+28*(H$16-1),$E95))</f>
        <v>2</v>
      </c>
      <c r="I95" s="715" cm="1">
        <f t="array" aca="1" ref="I95" ca="1">INDIRECT("'Definition of Typical Day'!"&amp; ADDRESS($D95+29*(I$16-1),$E95))</f>
        <v>40</v>
      </c>
      <c r="J95" s="715">
        <f t="shared" ca="1" si="105"/>
        <v>37</v>
      </c>
      <c r="K95" s="785">
        <f t="shared" si="106"/>
        <v>28</v>
      </c>
      <c r="L95" s="786" cm="1">
        <f t="array" aca="1" ref="L95" ca="1">INDIRECT("'Definition of Typical Day'!"&amp; ADDRESS($D95+29*(L$16-1),$E95))</f>
        <v>6</v>
      </c>
      <c r="M95" s="768" cm="1">
        <f t="array" aca="1" ref="M95" ca="1">INDIRECT("'Definition of Typical Day'!"&amp; ADDRESS($D95+29*(M$16-1),$E95))</f>
        <v>60</v>
      </c>
      <c r="N95" s="715">
        <f t="shared" si="107"/>
        <v>3</v>
      </c>
      <c r="O95" s="715">
        <f t="shared" ca="1" si="108"/>
        <v>63</v>
      </c>
      <c r="P95" s="715" cm="1">
        <f t="array" aca="1" ref="P95" ca="1">INDIRECT("'Definition of Typical Day'!"&amp; ADDRESS($D95+29*(P$16-1),$E95))</f>
        <v>45</v>
      </c>
      <c r="Q95" s="787">
        <f t="shared" ca="1" si="109"/>
        <v>48</v>
      </c>
      <c r="R95" s="792">
        <f t="shared" ca="1" si="110"/>
        <v>63</v>
      </c>
      <c r="S95" s="769">
        <f t="shared" si="111"/>
        <v>3</v>
      </c>
      <c r="T95" s="769">
        <f t="shared" ca="1" si="112"/>
        <v>0.24</v>
      </c>
      <c r="U95" s="769">
        <f t="shared" ca="1" si="113"/>
        <v>0.70199999999999996</v>
      </c>
      <c r="V95" s="769">
        <f t="shared" ca="1" si="114"/>
        <v>0</v>
      </c>
      <c r="W95" s="769">
        <f t="shared" ca="1" si="115"/>
        <v>3.9420000000000002</v>
      </c>
      <c r="X95" s="794">
        <f t="shared" si="116"/>
        <v>3</v>
      </c>
      <c r="Y95" s="769">
        <f t="shared" ca="1" si="117"/>
        <v>2.1213203435596428</v>
      </c>
      <c r="Z95" s="769">
        <f t="shared" ca="1" si="118"/>
        <v>2.1213203435596428</v>
      </c>
      <c r="AA95" s="795">
        <f t="shared" ca="1" si="119"/>
        <v>2.1213203435596428</v>
      </c>
      <c r="AB95" s="769">
        <f t="shared" ca="1" si="120"/>
        <v>0</v>
      </c>
      <c r="AC95" s="769">
        <f t="shared" ca="1" si="121"/>
        <v>0</v>
      </c>
      <c r="AD95" s="769">
        <f t="shared" ca="1" si="122"/>
        <v>0</v>
      </c>
      <c r="AE95" s="794">
        <f t="shared" ca="1" si="123"/>
        <v>2.1213203435596428</v>
      </c>
      <c r="AF95" s="769">
        <f t="shared" ca="1" si="124"/>
        <v>2.1213203435596427E-2</v>
      </c>
      <c r="AG95" s="769">
        <f t="shared" ca="1" si="125"/>
        <v>2.1001071401240465</v>
      </c>
      <c r="AH95" s="799">
        <f t="shared" ca="1" si="126"/>
        <v>2.1001071401240465</v>
      </c>
      <c r="AI95" s="801">
        <f t="shared" ca="1" si="127"/>
        <v>1</v>
      </c>
      <c r="AJ95" s="794">
        <f t="shared" ca="1" si="128"/>
        <v>1.5831873289580085</v>
      </c>
      <c r="AK95" s="769">
        <f t="shared" ca="1" si="129"/>
        <v>0.53813301460163443</v>
      </c>
      <c r="AL95" s="769">
        <f t="shared" ca="1" si="130"/>
        <v>0</v>
      </c>
      <c r="AM95" s="804">
        <f t="shared" ca="1" si="80"/>
        <v>0.2110916438610678</v>
      </c>
      <c r="AN95" s="795">
        <f t="shared" ca="1" si="81"/>
        <v>5.5575022805598867E-2</v>
      </c>
      <c r="AO95" s="251"/>
      <c r="AP95" s="770">
        <f t="shared" si="131"/>
        <v>0</v>
      </c>
      <c r="AQ95" s="771">
        <f t="shared" ca="1" si="132"/>
        <v>0</v>
      </c>
      <c r="AR95" s="771">
        <f t="shared" ca="1" si="133"/>
        <v>3.166374657916017</v>
      </c>
      <c r="AS95" s="772">
        <f t="shared" ca="1" si="134"/>
        <v>3.166374657916017</v>
      </c>
      <c r="AT95" s="231"/>
      <c r="AU95" s="770">
        <f>'Main Results - IRR DC Operator'!$F$16</f>
        <v>2</v>
      </c>
      <c r="AV95" s="773">
        <f>'Main Results - IRR DC Operator'!$F$15</f>
        <v>1</v>
      </c>
      <c r="AW95" s="771">
        <f t="shared" ca="1" si="135"/>
        <v>4</v>
      </c>
      <c r="AX95" s="772">
        <f t="shared" si="136"/>
        <v>0</v>
      </c>
      <c r="AY95" s="231"/>
      <c r="AZ95" s="770" cm="1">
        <f t="array" aca="1" ref="AZ95" ca="1">INDIRECT("'Definition of Typical Day'!"&amp; ADDRESS($D95+29*(AZ$16-1),$E95))+$AZ$17</f>
        <v>90.91</v>
      </c>
      <c r="BA95" s="771" cm="1">
        <f t="array" aca="1" ref="BA95" ca="1">INDIRECT("'Definition of Typical Day'!"&amp; ADDRESS($D95+29*(BA$16-1),$E95))+$BA$17</f>
        <v>90.91</v>
      </c>
      <c r="BB95" s="772" cm="1">
        <f t="array" aca="1" ref="BB95" ca="1">INDIRECT("'Definition of Typical Day'!"&amp;ADDRESS(BB$16,$E95))</f>
        <v>60</v>
      </c>
      <c r="BC95" s="776" cm="1">
        <f t="array" aca="1" ref="BC95" ca="1">INDIRECT("'Definition of Typical Day'!"&amp; ADDRESS($D95+29*(BC$16-1),$E95))</f>
        <v>89.91</v>
      </c>
      <c r="BD95" s="777" cm="1">
        <f t="array" aca="1" ref="BD95" ca="1">INDIRECT("'Definition of Typical Day'!"&amp; ADDRESS($D95+29*(BD$16-1),$E95))</f>
        <v>1</v>
      </c>
      <c r="BE95" s="776">
        <f t="shared" si="137"/>
        <v>0</v>
      </c>
      <c r="BF95" s="771">
        <f t="shared" ca="1" si="138"/>
        <v>48.921672357434581</v>
      </c>
      <c r="BG95" s="771">
        <f t="shared" ca="1" si="139"/>
        <v>2.5455844122715714</v>
      </c>
      <c r="BH95" s="771">
        <f t="shared" ca="1" si="140"/>
        <v>0</v>
      </c>
      <c r="BI95" s="776">
        <f t="shared" ca="1" si="141"/>
        <v>18.979249699548603</v>
      </c>
      <c r="BJ95" s="776">
        <f t="shared" ca="1" si="142"/>
        <v>4.996750300451394</v>
      </c>
      <c r="BK95" s="776">
        <f t="shared" ca="1" si="143"/>
        <v>0</v>
      </c>
      <c r="BL95" s="776">
        <f t="shared" ca="1" si="144"/>
        <v>0</v>
      </c>
      <c r="BM95" s="135"/>
      <c r="BN95" s="776">
        <f t="shared" ca="1" si="145"/>
        <v>55.467256769706154</v>
      </c>
      <c r="BO95" s="778">
        <f t="shared" ca="1" si="82"/>
        <v>26.411631916279227</v>
      </c>
      <c r="BP95" s="770">
        <f t="shared" ca="1" si="83"/>
        <v>51.467256769706154</v>
      </c>
      <c r="BQ95" s="771">
        <f t="shared" ca="1" si="84"/>
        <v>0</v>
      </c>
      <c r="BR95" s="771">
        <f t="shared" ca="1" si="85"/>
        <v>0</v>
      </c>
      <c r="BS95" s="776">
        <f t="shared" ca="1" si="146"/>
        <v>55.467256769706154</v>
      </c>
      <c r="BT95" s="776">
        <f t="shared" ca="1" si="86"/>
        <v>51.467256769706154</v>
      </c>
      <c r="BU95" s="783">
        <f t="shared" ca="1" si="87"/>
        <v>24.50696718581041</v>
      </c>
      <c r="BV95" s="783">
        <f t="shared" ca="1" si="88"/>
        <v>24.50696718581041</v>
      </c>
      <c r="BW95" s="1019">
        <f t="shared" ca="1" si="147"/>
        <v>24.50696718581041</v>
      </c>
      <c r="BX95" s="771" cm="1">
        <f t="array" aca="1" ref="BX95" ca="1">INDIRECT("'Definition of Typical Day'!"&amp; ADDRESS($D95+29*(BX$16-1),$E95))</f>
        <v>40</v>
      </c>
      <c r="BY95" s="771">
        <f t="shared" ca="1" si="148"/>
        <v>1</v>
      </c>
      <c r="BZ95" s="781">
        <f t="shared" ca="1" si="89"/>
        <v>1</v>
      </c>
      <c r="CA95" s="781">
        <f t="shared" ca="1" si="90"/>
        <v>0.70710678118654757</v>
      </c>
      <c r="CB95" s="776">
        <f t="shared" ca="1" si="91"/>
        <v>84.004285604961865</v>
      </c>
      <c r="CC95" s="782">
        <f t="shared" si="92"/>
        <v>4</v>
      </c>
      <c r="CD95" s="782">
        <f t="shared" si="93"/>
        <v>3</v>
      </c>
      <c r="CE95" s="784" t="str" cm="1">
        <f t="array" aca="1" ref="CE95" ca="1">INDIRECT("'Definition of Typical Day'!"&amp;ADDRESS(CE$16,$E95))</f>
        <v>Summer weekday</v>
      </c>
      <c r="CF95" s="232"/>
      <c r="CG95" s="232"/>
      <c r="CH95" s="776">
        <f t="shared" ca="1" si="94"/>
        <v>2</v>
      </c>
      <c r="CI95" s="806">
        <f t="shared" ca="1" si="95"/>
        <v>6</v>
      </c>
      <c r="CJ95" s="770">
        <f t="shared" ca="1" si="96"/>
        <v>2.1001071401240465</v>
      </c>
      <c r="CK95" s="771">
        <f t="shared" ca="1" si="97"/>
        <v>1.5831873289580085</v>
      </c>
      <c r="CL95" s="771">
        <f t="shared" ca="1" si="98"/>
        <v>0.53813301460163443</v>
      </c>
      <c r="CM95" s="772">
        <f t="shared" ca="1" si="99"/>
        <v>0</v>
      </c>
      <c r="CN95" s="135"/>
      <c r="CO95" s="770">
        <f t="shared" ref="CO95:CO158" ca="1" si="149">IF(BU95&gt;BX95,3%,105%)</f>
        <v>1.05</v>
      </c>
      <c r="CP95" s="771">
        <f t="shared" ca="1" si="100"/>
        <v>0.98</v>
      </c>
      <c r="CQ95" s="771">
        <f t="shared" ca="1" si="101"/>
        <v>0.96</v>
      </c>
      <c r="CR95" s="771">
        <f t="shared" ca="1" si="102"/>
        <v>0.95</v>
      </c>
      <c r="CS95" s="771">
        <f t="shared" ca="1" si="103"/>
        <v>1.02</v>
      </c>
      <c r="CT95" s="772">
        <f t="shared" ca="1" si="104"/>
        <v>0.02</v>
      </c>
      <c r="CU95" s="135"/>
      <c r="CV95" s="135"/>
      <c r="CW95" s="135"/>
      <c r="CX95" s="135"/>
      <c r="CY95" s="135"/>
      <c r="CZ95" s="135"/>
      <c r="DA95" s="135"/>
      <c r="DB95" s="135"/>
      <c r="DC95" s="135"/>
      <c r="DD95" s="135"/>
      <c r="DE95" s="135"/>
      <c r="DF95" s="135"/>
      <c r="DG95" s="135"/>
      <c r="DH95" s="135"/>
      <c r="DI95" s="135"/>
      <c r="DJ95" s="135"/>
      <c r="DK95" s="135"/>
      <c r="DL95" s="135"/>
      <c r="DX95" s="135"/>
      <c r="DY95" s="135"/>
      <c r="DZ95" s="135"/>
      <c r="EA95" s="135"/>
      <c r="EB95" s="135"/>
      <c r="EC95" s="135"/>
      <c r="ED95" s="135"/>
      <c r="EE95" s="135"/>
      <c r="EF95" s="135"/>
      <c r="EG95" s="135"/>
      <c r="EH95" s="135"/>
      <c r="EI95" s="135"/>
      <c r="EJ95" s="135"/>
      <c r="EK95" s="135"/>
      <c r="EL95" s="135"/>
      <c r="EM95" s="135"/>
      <c r="EN95" s="135"/>
      <c r="EO95" s="135"/>
      <c r="EP95" s="135"/>
      <c r="EQ95" s="135"/>
      <c r="ER95" s="135"/>
      <c r="ES95" s="135"/>
      <c r="ET95" s="135"/>
      <c r="EU95" s="135"/>
      <c r="EV95" s="135"/>
      <c r="EW95" s="135"/>
      <c r="EX95" s="135"/>
      <c r="EY95" s="135"/>
      <c r="EZ95" s="135"/>
      <c r="FA95" s="135"/>
      <c r="FB95" s="135"/>
      <c r="FC95" s="135"/>
      <c r="FD95" s="135"/>
      <c r="FE95" s="135"/>
      <c r="FF95" s="135"/>
      <c r="FG95" s="135"/>
    </row>
    <row r="96" spans="1:163" s="57" customFormat="1" ht="11.25" outlineLevel="1">
      <c r="A96" s="765">
        <f t="shared" si="77"/>
        <v>4</v>
      </c>
      <c r="B96" s="715" t="str" cm="1">
        <f t="array" aca="1" ref="B96" ca="1">INDIRECT("'Definition of Typical Day'!"&amp;ADDRESS(B$16,$E96))</f>
        <v>Summer weekday</v>
      </c>
      <c r="C96" s="766">
        <f t="shared" si="78"/>
        <v>4</v>
      </c>
      <c r="D96" s="715">
        <f t="shared" si="78"/>
        <v>38</v>
      </c>
      <c r="E96" s="715">
        <f t="shared" si="79"/>
        <v>8</v>
      </c>
      <c r="F96" s="767" cm="1">
        <f t="array" aca="1" ref="F96" ca="1">INDIRECT("'Definition of Typical Day'!D"&amp;D96)</f>
        <v>4</v>
      </c>
      <c r="G96" s="767" cm="1">
        <f t="array" aca="1" ref="G96" ca="1">INDIRECT("'Definition of Typical Day'!"&amp;ADDRESS(13,E96))</f>
        <v>4</v>
      </c>
      <c r="H96" s="768" cm="1">
        <f t="array" aca="1" ref="H96" ca="1">INDIRECT("'Definition of Typical Day'!"&amp; ADDRESS($D96+28*(H$16-1),$E96))</f>
        <v>2</v>
      </c>
      <c r="I96" s="715" cm="1">
        <f t="array" aca="1" ref="I96" ca="1">INDIRECT("'Definition of Typical Day'!"&amp; ADDRESS($D96+29*(I$16-1),$E96))</f>
        <v>40</v>
      </c>
      <c r="J96" s="715">
        <f t="shared" ca="1" si="105"/>
        <v>37</v>
      </c>
      <c r="K96" s="785">
        <f t="shared" si="106"/>
        <v>28</v>
      </c>
      <c r="L96" s="786" cm="1">
        <f t="array" aca="1" ref="L96" ca="1">INDIRECT("'Definition of Typical Day'!"&amp; ADDRESS($D96+29*(L$16-1),$E96))</f>
        <v>6</v>
      </c>
      <c r="M96" s="768" cm="1">
        <f t="array" aca="1" ref="M96" ca="1">INDIRECT("'Definition of Typical Day'!"&amp; ADDRESS($D96+29*(M$16-1),$E96))</f>
        <v>60</v>
      </c>
      <c r="N96" s="715">
        <f t="shared" si="107"/>
        <v>3</v>
      </c>
      <c r="O96" s="715">
        <f t="shared" ca="1" si="108"/>
        <v>63</v>
      </c>
      <c r="P96" s="715" cm="1">
        <f t="array" aca="1" ref="P96" ca="1">INDIRECT("'Definition of Typical Day'!"&amp; ADDRESS($D96+29*(P$16-1),$E96))</f>
        <v>45</v>
      </c>
      <c r="Q96" s="787">
        <f t="shared" ca="1" si="109"/>
        <v>48</v>
      </c>
      <c r="R96" s="792">
        <f t="shared" ca="1" si="110"/>
        <v>63</v>
      </c>
      <c r="S96" s="769">
        <f t="shared" si="111"/>
        <v>3</v>
      </c>
      <c r="T96" s="769">
        <f t="shared" ca="1" si="112"/>
        <v>0.24</v>
      </c>
      <c r="U96" s="769">
        <f t="shared" ca="1" si="113"/>
        <v>0.70199999999999996</v>
      </c>
      <c r="V96" s="769">
        <f t="shared" ca="1" si="114"/>
        <v>0</v>
      </c>
      <c r="W96" s="769">
        <f t="shared" ca="1" si="115"/>
        <v>3.9420000000000002</v>
      </c>
      <c r="X96" s="794">
        <f t="shared" si="116"/>
        <v>3</v>
      </c>
      <c r="Y96" s="769">
        <f t="shared" ca="1" si="117"/>
        <v>2.1213203435596428</v>
      </c>
      <c r="Z96" s="769">
        <f t="shared" ca="1" si="118"/>
        <v>2.1213203435596428</v>
      </c>
      <c r="AA96" s="795">
        <f t="shared" ca="1" si="119"/>
        <v>2.1213203435596428</v>
      </c>
      <c r="AB96" s="769">
        <f t="shared" ca="1" si="120"/>
        <v>0</v>
      </c>
      <c r="AC96" s="769">
        <f t="shared" ca="1" si="121"/>
        <v>0</v>
      </c>
      <c r="AD96" s="769">
        <f t="shared" ca="1" si="122"/>
        <v>0</v>
      </c>
      <c r="AE96" s="794">
        <f t="shared" ca="1" si="123"/>
        <v>2.1213203435596428</v>
      </c>
      <c r="AF96" s="769">
        <f t="shared" ca="1" si="124"/>
        <v>2.1213203435596427E-2</v>
      </c>
      <c r="AG96" s="769">
        <f t="shared" ca="1" si="125"/>
        <v>2.1001071401240465</v>
      </c>
      <c r="AH96" s="799">
        <f t="shared" ca="1" si="126"/>
        <v>2.1001071401240465</v>
      </c>
      <c r="AI96" s="801">
        <f t="shared" ca="1" si="127"/>
        <v>1</v>
      </c>
      <c r="AJ96" s="794">
        <f t="shared" ca="1" si="128"/>
        <v>1.5831873289580085</v>
      </c>
      <c r="AK96" s="769">
        <f t="shared" ca="1" si="129"/>
        <v>0.53813301460163443</v>
      </c>
      <c r="AL96" s="769">
        <f t="shared" ca="1" si="130"/>
        <v>0</v>
      </c>
      <c r="AM96" s="804">
        <f t="shared" ca="1" si="80"/>
        <v>0.2110916438610678</v>
      </c>
      <c r="AN96" s="795">
        <f t="shared" ca="1" si="81"/>
        <v>5.5575022805598867E-2</v>
      </c>
      <c r="AO96" s="251"/>
      <c r="AP96" s="770">
        <f t="shared" si="131"/>
        <v>0</v>
      </c>
      <c r="AQ96" s="771">
        <f t="shared" ca="1" si="132"/>
        <v>0</v>
      </c>
      <c r="AR96" s="771">
        <f t="shared" ca="1" si="133"/>
        <v>3.166374657916017</v>
      </c>
      <c r="AS96" s="772">
        <f t="shared" ca="1" si="134"/>
        <v>3.166374657916017</v>
      </c>
      <c r="AT96" s="231"/>
      <c r="AU96" s="770">
        <f>'Main Results - IRR DC Operator'!$F$16</f>
        <v>2</v>
      </c>
      <c r="AV96" s="773">
        <f>'Main Results - IRR DC Operator'!$F$15</f>
        <v>1</v>
      </c>
      <c r="AW96" s="771">
        <f t="shared" ca="1" si="135"/>
        <v>4</v>
      </c>
      <c r="AX96" s="772">
        <f t="shared" si="136"/>
        <v>0</v>
      </c>
      <c r="AY96" s="231"/>
      <c r="AZ96" s="770" cm="1">
        <f t="array" aca="1" ref="AZ96" ca="1">INDIRECT("'Definition of Typical Day'!"&amp; ADDRESS($D96+29*(AZ$16-1),$E96))+$AZ$17</f>
        <v>90.29</v>
      </c>
      <c r="BA96" s="771" cm="1">
        <f t="array" aca="1" ref="BA96" ca="1">INDIRECT("'Definition of Typical Day'!"&amp; ADDRESS($D96+29*(BA$16-1),$E96))+$BA$17</f>
        <v>90.29</v>
      </c>
      <c r="BB96" s="772" cm="1">
        <f t="array" aca="1" ref="BB96" ca="1">INDIRECT("'Definition of Typical Day'!"&amp;ADDRESS(BB$16,$E96))</f>
        <v>60</v>
      </c>
      <c r="BC96" s="776" cm="1">
        <f t="array" aca="1" ref="BC96" ca="1">INDIRECT("'Definition of Typical Day'!"&amp; ADDRESS($D96+29*(BC$16-1),$E96))</f>
        <v>89.29</v>
      </c>
      <c r="BD96" s="777" cm="1">
        <f t="array" aca="1" ref="BD96" ca="1">INDIRECT("'Definition of Typical Day'!"&amp; ADDRESS($D96+29*(BD$16-1),$E96))</f>
        <v>1</v>
      </c>
      <c r="BE96" s="776">
        <f t="shared" si="137"/>
        <v>0</v>
      </c>
      <c r="BF96" s="771">
        <f t="shared" ca="1" si="138"/>
        <v>48.588029888381577</v>
      </c>
      <c r="BG96" s="771">
        <f t="shared" ca="1" si="139"/>
        <v>2.5455844122715714</v>
      </c>
      <c r="BH96" s="771">
        <f t="shared" ca="1" si="140"/>
        <v>0</v>
      </c>
      <c r="BI96" s="776">
        <f t="shared" ca="1" si="141"/>
        <v>18.848372880354745</v>
      </c>
      <c r="BJ96" s="776">
        <f t="shared" ca="1" si="142"/>
        <v>4.962293786311923</v>
      </c>
      <c r="BK96" s="776">
        <f t="shared" ca="1" si="143"/>
        <v>0</v>
      </c>
      <c r="BL96" s="776">
        <f t="shared" ca="1" si="144"/>
        <v>0</v>
      </c>
      <c r="BM96" s="135"/>
      <c r="BN96" s="776">
        <f t="shared" ca="1" si="145"/>
        <v>55.13361430065315</v>
      </c>
      <c r="BO96" s="778">
        <f t="shared" ca="1" si="82"/>
        <v>26.252762655431276</v>
      </c>
      <c r="BP96" s="770">
        <f t="shared" ca="1" si="83"/>
        <v>51.13361430065315</v>
      </c>
      <c r="BQ96" s="771">
        <f t="shared" ca="1" si="84"/>
        <v>0</v>
      </c>
      <c r="BR96" s="771">
        <f t="shared" ca="1" si="85"/>
        <v>0</v>
      </c>
      <c r="BS96" s="776">
        <f t="shared" ca="1" si="146"/>
        <v>55.13361430065315</v>
      </c>
      <c r="BT96" s="776">
        <f t="shared" ca="1" si="86"/>
        <v>51.13361430065315</v>
      </c>
      <c r="BU96" s="783">
        <f t="shared" ca="1" si="87"/>
        <v>24.348097924962463</v>
      </c>
      <c r="BV96" s="783">
        <f t="shared" ca="1" si="88"/>
        <v>24.348097924962463</v>
      </c>
      <c r="BW96" s="1019">
        <f t="shared" ca="1" si="147"/>
        <v>24.348097924962463</v>
      </c>
      <c r="BX96" s="771" cm="1">
        <f t="array" aca="1" ref="BX96" ca="1">INDIRECT("'Definition of Typical Day'!"&amp; ADDRESS($D96+29*(BX$16-1),$E96))</f>
        <v>40</v>
      </c>
      <c r="BY96" s="771">
        <f t="shared" ca="1" si="148"/>
        <v>1</v>
      </c>
      <c r="BZ96" s="781">
        <f t="shared" ca="1" si="89"/>
        <v>1</v>
      </c>
      <c r="CA96" s="781">
        <f t="shared" ca="1" si="90"/>
        <v>0.70710678118654757</v>
      </c>
      <c r="CB96" s="776">
        <f t="shared" ca="1" si="91"/>
        <v>84.004285604961865</v>
      </c>
      <c r="CC96" s="782">
        <f t="shared" si="92"/>
        <v>4</v>
      </c>
      <c r="CD96" s="782">
        <f t="shared" si="93"/>
        <v>4</v>
      </c>
      <c r="CE96" s="784" t="str" cm="1">
        <f t="array" aca="1" ref="CE96" ca="1">INDIRECT("'Definition of Typical Day'!"&amp;ADDRESS(CE$16,$E96))</f>
        <v>Summer weekday</v>
      </c>
      <c r="CF96" s="232"/>
      <c r="CG96" s="232"/>
      <c r="CH96" s="776">
        <f t="shared" ca="1" si="94"/>
        <v>2</v>
      </c>
      <c r="CI96" s="806">
        <f t="shared" ca="1" si="95"/>
        <v>6</v>
      </c>
      <c r="CJ96" s="770">
        <f t="shared" ca="1" si="96"/>
        <v>2.1001071401240465</v>
      </c>
      <c r="CK96" s="771">
        <f t="shared" ca="1" si="97"/>
        <v>1.5831873289580085</v>
      </c>
      <c r="CL96" s="771">
        <f t="shared" ca="1" si="98"/>
        <v>0.53813301460163443</v>
      </c>
      <c r="CM96" s="772">
        <f t="shared" ca="1" si="99"/>
        <v>0</v>
      </c>
      <c r="CN96" s="135"/>
      <c r="CO96" s="770">
        <f t="shared" ca="1" si="149"/>
        <v>1.05</v>
      </c>
      <c r="CP96" s="771">
        <f t="shared" ca="1" si="100"/>
        <v>0.98</v>
      </c>
      <c r="CQ96" s="771">
        <f t="shared" ca="1" si="101"/>
        <v>0.96</v>
      </c>
      <c r="CR96" s="771">
        <f t="shared" ca="1" si="102"/>
        <v>0.95</v>
      </c>
      <c r="CS96" s="771">
        <f t="shared" ca="1" si="103"/>
        <v>1.02</v>
      </c>
      <c r="CT96" s="772">
        <f t="shared" ca="1" si="104"/>
        <v>0.02</v>
      </c>
      <c r="CU96" s="135"/>
      <c r="CV96" s="135"/>
      <c r="CW96" s="135"/>
      <c r="CX96" s="135"/>
      <c r="CY96" s="135"/>
      <c r="CZ96" s="135"/>
      <c r="DA96" s="135"/>
      <c r="DB96" s="135"/>
      <c r="DC96" s="135"/>
      <c r="DD96" s="135"/>
      <c r="DE96" s="135"/>
      <c r="DF96" s="135"/>
      <c r="DG96" s="135"/>
      <c r="DH96" s="135"/>
      <c r="DI96" s="135"/>
      <c r="DJ96" s="135"/>
      <c r="DK96" s="135"/>
      <c r="DL96" s="135"/>
      <c r="DX96" s="135"/>
      <c r="DY96" s="135"/>
      <c r="DZ96" s="135"/>
      <c r="EA96" s="135"/>
      <c r="EB96" s="135"/>
      <c r="EC96" s="135"/>
      <c r="ED96" s="135"/>
      <c r="EE96" s="135"/>
      <c r="EF96" s="135"/>
      <c r="EG96" s="135"/>
      <c r="EH96" s="135"/>
      <c r="EI96" s="135"/>
      <c r="EJ96" s="135"/>
      <c r="EK96" s="135"/>
      <c r="EL96" s="135"/>
      <c r="EM96" s="135"/>
      <c r="EN96" s="135"/>
      <c r="EO96" s="135"/>
      <c r="EP96" s="135"/>
      <c r="EQ96" s="135"/>
      <c r="ER96" s="135"/>
      <c r="ES96" s="135"/>
      <c r="ET96" s="135"/>
      <c r="EU96" s="135"/>
      <c r="EV96" s="135"/>
      <c r="EW96" s="135"/>
      <c r="EX96" s="135"/>
      <c r="EY96" s="135"/>
      <c r="EZ96" s="135"/>
      <c r="FA96" s="135"/>
      <c r="FB96" s="135"/>
      <c r="FC96" s="135"/>
      <c r="FD96" s="135"/>
      <c r="FE96" s="135"/>
      <c r="FF96" s="135"/>
      <c r="FG96" s="135"/>
    </row>
    <row r="97" spans="1:163" s="57" customFormat="1" ht="11.25" outlineLevel="1">
      <c r="A97" s="765">
        <f t="shared" si="77"/>
        <v>4</v>
      </c>
      <c r="B97" s="715" t="str" cm="1">
        <f t="array" aca="1" ref="B97" ca="1">INDIRECT("'Definition of Typical Day'!"&amp;ADDRESS(B$16,$E97))</f>
        <v>Summer weekday</v>
      </c>
      <c r="C97" s="766">
        <f t="shared" si="78"/>
        <v>5</v>
      </c>
      <c r="D97" s="715">
        <f t="shared" si="78"/>
        <v>39</v>
      </c>
      <c r="E97" s="715">
        <f t="shared" si="79"/>
        <v>8</v>
      </c>
      <c r="F97" s="767" cm="1">
        <f t="array" aca="1" ref="F97" ca="1">INDIRECT("'Definition of Typical Day'!D"&amp;D97)</f>
        <v>5</v>
      </c>
      <c r="G97" s="767" cm="1">
        <f t="array" aca="1" ref="G97" ca="1">INDIRECT("'Definition of Typical Day'!"&amp;ADDRESS(13,E97))</f>
        <v>4</v>
      </c>
      <c r="H97" s="768" cm="1">
        <f t="array" aca="1" ref="H97" ca="1">INDIRECT("'Definition of Typical Day'!"&amp; ADDRESS($D97+28*(H$16-1),$E97))</f>
        <v>2</v>
      </c>
      <c r="I97" s="715" cm="1">
        <f t="array" aca="1" ref="I97" ca="1">INDIRECT("'Definition of Typical Day'!"&amp; ADDRESS($D97+29*(I$16-1),$E97))</f>
        <v>40</v>
      </c>
      <c r="J97" s="715">
        <f t="shared" ca="1" si="105"/>
        <v>37</v>
      </c>
      <c r="K97" s="785">
        <f t="shared" si="106"/>
        <v>28</v>
      </c>
      <c r="L97" s="786" cm="1">
        <f t="array" aca="1" ref="L97" ca="1">INDIRECT("'Definition of Typical Day'!"&amp; ADDRESS($D97+29*(L$16-1),$E97))</f>
        <v>6</v>
      </c>
      <c r="M97" s="768" cm="1">
        <f t="array" aca="1" ref="M97" ca="1">INDIRECT("'Definition of Typical Day'!"&amp; ADDRESS($D97+29*(M$16-1),$E97))</f>
        <v>60</v>
      </c>
      <c r="N97" s="715">
        <f t="shared" si="107"/>
        <v>3</v>
      </c>
      <c r="O97" s="715">
        <f t="shared" ca="1" si="108"/>
        <v>63</v>
      </c>
      <c r="P97" s="715" cm="1">
        <f t="array" aca="1" ref="P97" ca="1">INDIRECT("'Definition of Typical Day'!"&amp; ADDRESS($D97+29*(P$16-1),$E97))</f>
        <v>45</v>
      </c>
      <c r="Q97" s="787">
        <f t="shared" ca="1" si="109"/>
        <v>48</v>
      </c>
      <c r="R97" s="792">
        <f t="shared" ca="1" si="110"/>
        <v>63</v>
      </c>
      <c r="S97" s="769">
        <f t="shared" si="111"/>
        <v>3</v>
      </c>
      <c r="T97" s="769">
        <f t="shared" ca="1" si="112"/>
        <v>0.24</v>
      </c>
      <c r="U97" s="769">
        <f t="shared" ca="1" si="113"/>
        <v>0.70199999999999996</v>
      </c>
      <c r="V97" s="769">
        <f t="shared" ca="1" si="114"/>
        <v>0</v>
      </c>
      <c r="W97" s="769">
        <f t="shared" ca="1" si="115"/>
        <v>3.9420000000000002</v>
      </c>
      <c r="X97" s="794">
        <f t="shared" si="116"/>
        <v>3</v>
      </c>
      <c r="Y97" s="769">
        <f t="shared" ca="1" si="117"/>
        <v>2.1213203435596428</v>
      </c>
      <c r="Z97" s="769">
        <f t="shared" ca="1" si="118"/>
        <v>2.1213203435596428</v>
      </c>
      <c r="AA97" s="795">
        <f t="shared" ca="1" si="119"/>
        <v>2.1213203435596428</v>
      </c>
      <c r="AB97" s="769">
        <f t="shared" ca="1" si="120"/>
        <v>0</v>
      </c>
      <c r="AC97" s="769">
        <f t="shared" ca="1" si="121"/>
        <v>0</v>
      </c>
      <c r="AD97" s="769">
        <f t="shared" ca="1" si="122"/>
        <v>0</v>
      </c>
      <c r="AE97" s="794">
        <f t="shared" ca="1" si="123"/>
        <v>2.1213203435596428</v>
      </c>
      <c r="AF97" s="769">
        <f t="shared" ca="1" si="124"/>
        <v>2.1213203435596427E-2</v>
      </c>
      <c r="AG97" s="769">
        <f t="shared" ca="1" si="125"/>
        <v>2.1001071401240465</v>
      </c>
      <c r="AH97" s="799">
        <f t="shared" ca="1" si="126"/>
        <v>2.1001071401240465</v>
      </c>
      <c r="AI97" s="801">
        <f t="shared" ca="1" si="127"/>
        <v>1</v>
      </c>
      <c r="AJ97" s="794">
        <f t="shared" ca="1" si="128"/>
        <v>1.5831873289580085</v>
      </c>
      <c r="AK97" s="769">
        <f t="shared" ca="1" si="129"/>
        <v>0.53813301460163443</v>
      </c>
      <c r="AL97" s="769">
        <f t="shared" ca="1" si="130"/>
        <v>0</v>
      </c>
      <c r="AM97" s="804">
        <f t="shared" ca="1" si="80"/>
        <v>0.2110916438610678</v>
      </c>
      <c r="AN97" s="795">
        <f t="shared" ca="1" si="81"/>
        <v>5.5575022805598867E-2</v>
      </c>
      <c r="AO97" s="251"/>
      <c r="AP97" s="770">
        <f t="shared" si="131"/>
        <v>0</v>
      </c>
      <c r="AQ97" s="771">
        <f t="shared" ca="1" si="132"/>
        <v>0</v>
      </c>
      <c r="AR97" s="771">
        <f t="shared" ca="1" si="133"/>
        <v>3.166374657916017</v>
      </c>
      <c r="AS97" s="772">
        <f t="shared" ca="1" si="134"/>
        <v>3.166374657916017</v>
      </c>
      <c r="AT97" s="231"/>
      <c r="AU97" s="770">
        <f>'Main Results - IRR DC Operator'!$F$16</f>
        <v>2</v>
      </c>
      <c r="AV97" s="773">
        <f>'Main Results - IRR DC Operator'!$F$15</f>
        <v>1</v>
      </c>
      <c r="AW97" s="771">
        <f t="shared" ca="1" si="135"/>
        <v>4</v>
      </c>
      <c r="AX97" s="772">
        <f t="shared" si="136"/>
        <v>0</v>
      </c>
      <c r="AY97" s="231"/>
      <c r="AZ97" s="770" cm="1">
        <f t="array" aca="1" ref="AZ97" ca="1">INDIRECT("'Definition of Typical Day'!"&amp; ADDRESS($D97+29*(AZ$16-1),$E97))+$AZ$17</f>
        <v>94.38</v>
      </c>
      <c r="BA97" s="771" cm="1">
        <f t="array" aca="1" ref="BA97" ca="1">INDIRECT("'Definition of Typical Day'!"&amp; ADDRESS($D97+29*(BA$16-1),$E97))+$BA$17</f>
        <v>94.38</v>
      </c>
      <c r="BB97" s="772" cm="1">
        <f t="array" aca="1" ref="BB97" ca="1">INDIRECT("'Definition of Typical Day'!"&amp;ADDRESS(BB$16,$E97))</f>
        <v>60</v>
      </c>
      <c r="BC97" s="776" cm="1">
        <f t="array" aca="1" ref="BC97" ca="1">INDIRECT("'Definition of Typical Day'!"&amp; ADDRESS($D97+29*(BC$16-1),$E97))</f>
        <v>93.38</v>
      </c>
      <c r="BD97" s="777" cm="1">
        <f t="array" aca="1" ref="BD97" ca="1">INDIRECT("'Definition of Typical Day'!"&amp; ADDRESS($D97+29*(BD$16-1),$E97))</f>
        <v>1</v>
      </c>
      <c r="BE97" s="776">
        <f t="shared" si="137"/>
        <v>0</v>
      </c>
      <c r="BF97" s="771">
        <f t="shared" ca="1" si="138"/>
        <v>50.788993918102257</v>
      </c>
      <c r="BG97" s="771">
        <f t="shared" ca="1" si="139"/>
        <v>2.5455844122715714</v>
      </c>
      <c r="BH97" s="771">
        <f t="shared" ca="1" si="140"/>
        <v>0</v>
      </c>
      <c r="BI97" s="776">
        <f t="shared" ca="1" si="141"/>
        <v>19.711737703746511</v>
      </c>
      <c r="BJ97" s="776">
        <f t="shared" ca="1" si="142"/>
        <v>5.1895956295868215</v>
      </c>
      <c r="BK97" s="776">
        <f t="shared" ca="1" si="143"/>
        <v>0</v>
      </c>
      <c r="BL97" s="776">
        <f t="shared" ca="1" si="144"/>
        <v>0</v>
      </c>
      <c r="BM97" s="135"/>
      <c r="BN97" s="776">
        <f t="shared" ca="1" si="145"/>
        <v>57.33457833037383</v>
      </c>
      <c r="BO97" s="778">
        <f t="shared" ca="1" si="82"/>
        <v>27.300787295541152</v>
      </c>
      <c r="BP97" s="770">
        <f t="shared" ca="1" si="83"/>
        <v>53.33457833037383</v>
      </c>
      <c r="BQ97" s="771">
        <f t="shared" ca="1" si="84"/>
        <v>0</v>
      </c>
      <c r="BR97" s="771">
        <f t="shared" ca="1" si="85"/>
        <v>0</v>
      </c>
      <c r="BS97" s="776">
        <f t="shared" ca="1" si="146"/>
        <v>57.33457833037383</v>
      </c>
      <c r="BT97" s="776">
        <f t="shared" ca="1" si="86"/>
        <v>53.33457833037383</v>
      </c>
      <c r="BU97" s="783">
        <f t="shared" ca="1" si="87"/>
        <v>25.396122565072336</v>
      </c>
      <c r="BV97" s="783">
        <f t="shared" ca="1" si="88"/>
        <v>25.396122565072336</v>
      </c>
      <c r="BW97" s="1019">
        <f t="shared" ca="1" si="147"/>
        <v>25.396122565072336</v>
      </c>
      <c r="BX97" s="771" cm="1">
        <f t="array" aca="1" ref="BX97" ca="1">INDIRECT("'Definition of Typical Day'!"&amp; ADDRESS($D97+29*(BX$16-1),$E97))</f>
        <v>40</v>
      </c>
      <c r="BY97" s="771">
        <f t="shared" ca="1" si="148"/>
        <v>1</v>
      </c>
      <c r="BZ97" s="781">
        <f t="shared" ca="1" si="89"/>
        <v>1</v>
      </c>
      <c r="CA97" s="781">
        <f t="shared" ca="1" si="90"/>
        <v>0.70710678118654757</v>
      </c>
      <c r="CB97" s="776">
        <f t="shared" ca="1" si="91"/>
        <v>84.004285604961865</v>
      </c>
      <c r="CC97" s="782">
        <f t="shared" si="92"/>
        <v>4</v>
      </c>
      <c r="CD97" s="782">
        <f t="shared" si="93"/>
        <v>5</v>
      </c>
      <c r="CE97" s="784" t="str" cm="1">
        <f t="array" aca="1" ref="CE97" ca="1">INDIRECT("'Definition of Typical Day'!"&amp;ADDRESS(CE$16,$E97))</f>
        <v>Summer weekday</v>
      </c>
      <c r="CF97" s="232"/>
      <c r="CG97" s="232"/>
      <c r="CH97" s="776">
        <f t="shared" ca="1" si="94"/>
        <v>2</v>
      </c>
      <c r="CI97" s="806">
        <f t="shared" ca="1" si="95"/>
        <v>6</v>
      </c>
      <c r="CJ97" s="770">
        <f t="shared" ca="1" si="96"/>
        <v>2.1001071401240465</v>
      </c>
      <c r="CK97" s="771">
        <f t="shared" ca="1" si="97"/>
        <v>1.5831873289580085</v>
      </c>
      <c r="CL97" s="771">
        <f t="shared" ca="1" si="98"/>
        <v>0.53813301460163443</v>
      </c>
      <c r="CM97" s="772">
        <f t="shared" ca="1" si="99"/>
        <v>0</v>
      </c>
      <c r="CN97" s="135"/>
      <c r="CO97" s="770">
        <f t="shared" ca="1" si="149"/>
        <v>1.05</v>
      </c>
      <c r="CP97" s="771">
        <f t="shared" ca="1" si="100"/>
        <v>0.98</v>
      </c>
      <c r="CQ97" s="771">
        <f t="shared" ca="1" si="101"/>
        <v>0.96</v>
      </c>
      <c r="CR97" s="771">
        <f t="shared" ca="1" si="102"/>
        <v>0.95</v>
      </c>
      <c r="CS97" s="771">
        <f t="shared" ca="1" si="103"/>
        <v>1.02</v>
      </c>
      <c r="CT97" s="772">
        <f t="shared" ca="1" si="104"/>
        <v>0.02</v>
      </c>
      <c r="CU97" s="135"/>
      <c r="CV97" s="135"/>
      <c r="CW97" s="135"/>
      <c r="CX97" s="135"/>
      <c r="CY97" s="135"/>
      <c r="CZ97" s="135"/>
      <c r="DA97" s="135"/>
      <c r="DB97" s="135"/>
      <c r="DC97" s="135"/>
      <c r="DD97" s="135"/>
      <c r="DE97" s="135"/>
      <c r="DF97" s="135"/>
      <c r="DG97" s="135"/>
      <c r="DH97" s="135"/>
      <c r="DI97" s="135"/>
      <c r="DJ97" s="135"/>
      <c r="DK97" s="135"/>
      <c r="DL97" s="135"/>
      <c r="DX97" s="135"/>
      <c r="DY97" s="135"/>
      <c r="DZ97" s="135"/>
      <c r="EA97" s="135"/>
      <c r="EB97" s="135"/>
      <c r="EC97" s="135"/>
      <c r="ED97" s="135"/>
      <c r="EE97" s="135"/>
      <c r="EF97" s="135"/>
      <c r="EG97" s="135"/>
      <c r="EH97" s="135"/>
      <c r="EI97" s="135"/>
      <c r="EJ97" s="135"/>
      <c r="EK97" s="135"/>
      <c r="EL97" s="135"/>
      <c r="EM97" s="135"/>
      <c r="EN97" s="135"/>
      <c r="EO97" s="135"/>
      <c r="EP97" s="135"/>
      <c r="EQ97" s="135"/>
      <c r="ER97" s="135"/>
      <c r="ES97" s="135"/>
      <c r="ET97" s="135"/>
      <c r="EU97" s="135"/>
      <c r="EV97" s="135"/>
      <c r="EW97" s="135"/>
      <c r="EX97" s="135"/>
      <c r="EY97" s="135"/>
      <c r="EZ97" s="135"/>
      <c r="FA97" s="135"/>
      <c r="FB97" s="135"/>
      <c r="FC97" s="135"/>
      <c r="FD97" s="135"/>
      <c r="FE97" s="135"/>
      <c r="FF97" s="135"/>
      <c r="FG97" s="135"/>
    </row>
    <row r="98" spans="1:163" s="57" customFormat="1" ht="11.25" outlineLevel="1">
      <c r="A98" s="765">
        <f t="shared" si="77"/>
        <v>4</v>
      </c>
      <c r="B98" s="715" t="str" cm="1">
        <f t="array" aca="1" ref="B98" ca="1">INDIRECT("'Definition of Typical Day'!"&amp;ADDRESS(B$16,$E98))</f>
        <v>Summer weekday</v>
      </c>
      <c r="C98" s="766">
        <f t="shared" si="78"/>
        <v>6</v>
      </c>
      <c r="D98" s="715">
        <f t="shared" si="78"/>
        <v>40</v>
      </c>
      <c r="E98" s="715">
        <f t="shared" si="79"/>
        <v>8</v>
      </c>
      <c r="F98" s="767" cm="1">
        <f t="array" aca="1" ref="F98" ca="1">INDIRECT("'Definition of Typical Day'!D"&amp;D98)</f>
        <v>6</v>
      </c>
      <c r="G98" s="767" cm="1">
        <f t="array" aca="1" ref="G98" ca="1">INDIRECT("'Definition of Typical Day'!"&amp;ADDRESS(13,E98))</f>
        <v>4</v>
      </c>
      <c r="H98" s="768" cm="1">
        <f t="array" aca="1" ref="H98" ca="1">INDIRECT("'Definition of Typical Day'!"&amp; ADDRESS($D98+28*(H$16-1),$E98))</f>
        <v>2</v>
      </c>
      <c r="I98" s="715" cm="1">
        <f t="array" aca="1" ref="I98" ca="1">INDIRECT("'Definition of Typical Day'!"&amp; ADDRESS($D98+29*(I$16-1),$E98))</f>
        <v>40</v>
      </c>
      <c r="J98" s="715">
        <f t="shared" ca="1" si="105"/>
        <v>37</v>
      </c>
      <c r="K98" s="785">
        <f t="shared" si="106"/>
        <v>28</v>
      </c>
      <c r="L98" s="786" cm="1">
        <f t="array" aca="1" ref="L98" ca="1">INDIRECT("'Definition of Typical Day'!"&amp; ADDRESS($D98+29*(L$16-1),$E98))</f>
        <v>6</v>
      </c>
      <c r="M98" s="768" cm="1">
        <f t="array" aca="1" ref="M98" ca="1">INDIRECT("'Definition of Typical Day'!"&amp; ADDRESS($D98+29*(M$16-1),$E98))</f>
        <v>60</v>
      </c>
      <c r="N98" s="715">
        <f t="shared" si="107"/>
        <v>3</v>
      </c>
      <c r="O98" s="715">
        <f t="shared" ca="1" si="108"/>
        <v>63</v>
      </c>
      <c r="P98" s="715" cm="1">
        <f t="array" aca="1" ref="P98" ca="1">INDIRECT("'Definition of Typical Day'!"&amp; ADDRESS($D98+29*(P$16-1),$E98))</f>
        <v>45</v>
      </c>
      <c r="Q98" s="787">
        <f t="shared" ca="1" si="109"/>
        <v>48</v>
      </c>
      <c r="R98" s="792">
        <f t="shared" ca="1" si="110"/>
        <v>63</v>
      </c>
      <c r="S98" s="769">
        <f t="shared" si="111"/>
        <v>3</v>
      </c>
      <c r="T98" s="769">
        <f t="shared" ca="1" si="112"/>
        <v>0.24</v>
      </c>
      <c r="U98" s="769">
        <f t="shared" ca="1" si="113"/>
        <v>0.70199999999999996</v>
      </c>
      <c r="V98" s="769">
        <f t="shared" ca="1" si="114"/>
        <v>0</v>
      </c>
      <c r="W98" s="769">
        <f t="shared" ca="1" si="115"/>
        <v>3.9420000000000002</v>
      </c>
      <c r="X98" s="794">
        <f t="shared" si="116"/>
        <v>3</v>
      </c>
      <c r="Y98" s="769">
        <f t="shared" ca="1" si="117"/>
        <v>2.1213203435596428</v>
      </c>
      <c r="Z98" s="769">
        <f t="shared" ca="1" si="118"/>
        <v>2.1213203435596428</v>
      </c>
      <c r="AA98" s="795">
        <f t="shared" ca="1" si="119"/>
        <v>2.1213203435596428</v>
      </c>
      <c r="AB98" s="769">
        <f t="shared" ca="1" si="120"/>
        <v>0</v>
      </c>
      <c r="AC98" s="769">
        <f t="shared" ca="1" si="121"/>
        <v>0</v>
      </c>
      <c r="AD98" s="769">
        <f t="shared" ca="1" si="122"/>
        <v>0</v>
      </c>
      <c r="AE98" s="794">
        <f t="shared" ca="1" si="123"/>
        <v>2.1213203435596428</v>
      </c>
      <c r="AF98" s="769">
        <f t="shared" ca="1" si="124"/>
        <v>2.1213203435596427E-2</v>
      </c>
      <c r="AG98" s="769">
        <f t="shared" ca="1" si="125"/>
        <v>2.1001071401240465</v>
      </c>
      <c r="AH98" s="799">
        <f t="shared" ca="1" si="126"/>
        <v>2.1001071401240465</v>
      </c>
      <c r="AI98" s="801">
        <f t="shared" ca="1" si="127"/>
        <v>1</v>
      </c>
      <c r="AJ98" s="794">
        <f t="shared" ca="1" si="128"/>
        <v>1.5831873289580085</v>
      </c>
      <c r="AK98" s="769">
        <f t="shared" ca="1" si="129"/>
        <v>0.53813301460163443</v>
      </c>
      <c r="AL98" s="769">
        <f t="shared" ca="1" si="130"/>
        <v>0</v>
      </c>
      <c r="AM98" s="804">
        <f t="shared" ca="1" si="80"/>
        <v>0.2110916438610678</v>
      </c>
      <c r="AN98" s="795">
        <f t="shared" ca="1" si="81"/>
        <v>5.5575022805598867E-2</v>
      </c>
      <c r="AO98" s="251"/>
      <c r="AP98" s="770">
        <f t="shared" si="131"/>
        <v>0</v>
      </c>
      <c r="AQ98" s="771">
        <f t="shared" ca="1" si="132"/>
        <v>0</v>
      </c>
      <c r="AR98" s="771">
        <f t="shared" ca="1" si="133"/>
        <v>3.166374657916017</v>
      </c>
      <c r="AS98" s="772">
        <f t="shared" ca="1" si="134"/>
        <v>3.166374657916017</v>
      </c>
      <c r="AT98" s="231"/>
      <c r="AU98" s="770">
        <f>'Main Results - IRR DC Operator'!$F$16</f>
        <v>2</v>
      </c>
      <c r="AV98" s="773">
        <f>'Main Results - IRR DC Operator'!$F$15</f>
        <v>1</v>
      </c>
      <c r="AW98" s="771">
        <f t="shared" ca="1" si="135"/>
        <v>4</v>
      </c>
      <c r="AX98" s="772">
        <f t="shared" si="136"/>
        <v>0</v>
      </c>
      <c r="AY98" s="231"/>
      <c r="AZ98" s="770" cm="1">
        <f t="array" aca="1" ref="AZ98" ca="1">INDIRECT("'Definition of Typical Day'!"&amp; ADDRESS($D98+29*(AZ$16-1),$E98))+$AZ$17</f>
        <v>102.38</v>
      </c>
      <c r="BA98" s="771" cm="1">
        <f t="array" aca="1" ref="BA98" ca="1">INDIRECT("'Definition of Typical Day'!"&amp; ADDRESS($D98+29*(BA$16-1),$E98))+$BA$17</f>
        <v>102.38</v>
      </c>
      <c r="BB98" s="772" cm="1">
        <f t="array" aca="1" ref="BB98" ca="1">INDIRECT("'Definition of Typical Day'!"&amp;ADDRESS(BB$16,$E98))</f>
        <v>60</v>
      </c>
      <c r="BC98" s="776" cm="1">
        <f t="array" aca="1" ref="BC98" ca="1">INDIRECT("'Definition of Typical Day'!"&amp; ADDRESS($D98+29*(BC$16-1),$E98))</f>
        <v>101.38</v>
      </c>
      <c r="BD98" s="777" cm="1">
        <f t="array" aca="1" ref="BD98" ca="1">INDIRECT("'Definition of Typical Day'!"&amp; ADDRESS($D98+29*(BD$16-1),$E98))</f>
        <v>1</v>
      </c>
      <c r="BE98" s="776">
        <f t="shared" si="137"/>
        <v>0</v>
      </c>
      <c r="BF98" s="771">
        <f t="shared" ca="1" si="138"/>
        <v>55.094058034915328</v>
      </c>
      <c r="BG98" s="771">
        <f t="shared" ca="1" si="139"/>
        <v>2.5455844122715714</v>
      </c>
      <c r="BH98" s="771">
        <f t="shared" ca="1" si="140"/>
        <v>0</v>
      </c>
      <c r="BI98" s="776">
        <f t="shared" ca="1" si="141"/>
        <v>21.400470854635053</v>
      </c>
      <c r="BJ98" s="776">
        <f t="shared" ca="1" si="142"/>
        <v>5.6341958120316127</v>
      </c>
      <c r="BK98" s="776">
        <f t="shared" ca="1" si="143"/>
        <v>0</v>
      </c>
      <c r="BL98" s="776">
        <f t="shared" ca="1" si="144"/>
        <v>0</v>
      </c>
      <c r="BM98" s="135"/>
      <c r="BN98" s="776">
        <f t="shared" ca="1" si="145"/>
        <v>61.639642447186901</v>
      </c>
      <c r="BO98" s="778">
        <f t="shared" ca="1" si="82"/>
        <v>29.350713241966336</v>
      </c>
      <c r="BP98" s="770">
        <f t="shared" ca="1" si="83"/>
        <v>57.639642447186901</v>
      </c>
      <c r="BQ98" s="771">
        <f t="shared" ca="1" si="84"/>
        <v>0</v>
      </c>
      <c r="BR98" s="771">
        <f t="shared" ca="1" si="85"/>
        <v>0</v>
      </c>
      <c r="BS98" s="776">
        <f t="shared" ca="1" si="146"/>
        <v>61.639642447186901</v>
      </c>
      <c r="BT98" s="776">
        <f t="shared" ca="1" si="86"/>
        <v>57.639642447186901</v>
      </c>
      <c r="BU98" s="783">
        <f t="shared" ca="1" si="87"/>
        <v>27.446048511497519</v>
      </c>
      <c r="BV98" s="783">
        <f t="shared" ca="1" si="88"/>
        <v>27.446048511497519</v>
      </c>
      <c r="BW98" s="1019">
        <f t="shared" ca="1" si="147"/>
        <v>27.446048511497519</v>
      </c>
      <c r="BX98" s="771" cm="1">
        <f t="array" aca="1" ref="BX98" ca="1">INDIRECT("'Definition of Typical Day'!"&amp; ADDRESS($D98+29*(BX$16-1),$E98))</f>
        <v>40</v>
      </c>
      <c r="BY98" s="771">
        <f t="shared" ca="1" si="148"/>
        <v>1</v>
      </c>
      <c r="BZ98" s="781">
        <f t="shared" ca="1" si="89"/>
        <v>1</v>
      </c>
      <c r="CA98" s="781">
        <f t="shared" ca="1" si="90"/>
        <v>0.70710678118654757</v>
      </c>
      <c r="CB98" s="776">
        <f t="shared" ca="1" si="91"/>
        <v>84.004285604961865</v>
      </c>
      <c r="CC98" s="782">
        <f t="shared" si="92"/>
        <v>4</v>
      </c>
      <c r="CD98" s="782">
        <f t="shared" si="93"/>
        <v>6</v>
      </c>
      <c r="CE98" s="784" t="str" cm="1">
        <f t="array" aca="1" ref="CE98" ca="1">INDIRECT("'Definition of Typical Day'!"&amp;ADDRESS(CE$16,$E98))</f>
        <v>Summer weekday</v>
      </c>
      <c r="CF98" s="232"/>
      <c r="CG98" s="232"/>
      <c r="CH98" s="776">
        <f t="shared" ca="1" si="94"/>
        <v>2</v>
      </c>
      <c r="CI98" s="806">
        <f t="shared" ca="1" si="95"/>
        <v>6</v>
      </c>
      <c r="CJ98" s="770">
        <f t="shared" ca="1" si="96"/>
        <v>2.1001071401240465</v>
      </c>
      <c r="CK98" s="771">
        <f t="shared" ca="1" si="97"/>
        <v>1.5831873289580085</v>
      </c>
      <c r="CL98" s="771">
        <f t="shared" ca="1" si="98"/>
        <v>0.53813301460163443</v>
      </c>
      <c r="CM98" s="772">
        <f t="shared" ca="1" si="99"/>
        <v>0</v>
      </c>
      <c r="CN98" s="135"/>
      <c r="CO98" s="770">
        <f t="shared" ca="1" si="149"/>
        <v>1.05</v>
      </c>
      <c r="CP98" s="771">
        <f t="shared" ca="1" si="100"/>
        <v>0.98</v>
      </c>
      <c r="CQ98" s="771">
        <f t="shared" ca="1" si="101"/>
        <v>0.96</v>
      </c>
      <c r="CR98" s="771">
        <f t="shared" ca="1" si="102"/>
        <v>0.95</v>
      </c>
      <c r="CS98" s="771">
        <f t="shared" ca="1" si="103"/>
        <v>1.02</v>
      </c>
      <c r="CT98" s="772">
        <f t="shared" ca="1" si="104"/>
        <v>0.02</v>
      </c>
      <c r="CU98" s="135"/>
      <c r="CV98" s="135"/>
      <c r="CW98" s="135"/>
      <c r="CX98" s="135"/>
      <c r="CY98" s="135"/>
      <c r="CZ98" s="135"/>
      <c r="DA98" s="135"/>
      <c r="DB98" s="135"/>
      <c r="DC98" s="135"/>
      <c r="DD98" s="135"/>
      <c r="DE98" s="135"/>
      <c r="DF98" s="135"/>
      <c r="DG98" s="135"/>
      <c r="DH98" s="135"/>
      <c r="DI98" s="135"/>
      <c r="DJ98" s="135"/>
      <c r="DK98" s="135"/>
      <c r="DL98" s="135"/>
      <c r="DX98" s="135"/>
      <c r="DY98" s="135"/>
      <c r="DZ98" s="135"/>
      <c r="EA98" s="135"/>
      <c r="EB98" s="135"/>
      <c r="EC98" s="135"/>
      <c r="ED98" s="135"/>
      <c r="EE98" s="135"/>
      <c r="EF98" s="135"/>
      <c r="EG98" s="135"/>
      <c r="EH98" s="135"/>
      <c r="EI98" s="135"/>
      <c r="EJ98" s="135"/>
      <c r="EK98" s="135"/>
      <c r="EL98" s="135"/>
      <c r="EM98" s="135"/>
      <c r="EN98" s="135"/>
      <c r="EO98" s="135"/>
      <c r="EP98" s="135"/>
      <c r="EQ98" s="135"/>
      <c r="ER98" s="135"/>
      <c r="ES98" s="135"/>
      <c r="ET98" s="135"/>
      <c r="EU98" s="135"/>
      <c r="EV98" s="135"/>
      <c r="EW98" s="135"/>
      <c r="EX98" s="135"/>
      <c r="EY98" s="135"/>
      <c r="EZ98" s="135"/>
      <c r="FA98" s="135"/>
      <c r="FB98" s="135"/>
      <c r="FC98" s="135"/>
      <c r="FD98" s="135"/>
      <c r="FE98" s="135"/>
      <c r="FF98" s="135"/>
      <c r="FG98" s="135"/>
    </row>
    <row r="99" spans="1:163" s="57" customFormat="1" ht="11.25" outlineLevel="1">
      <c r="A99" s="765">
        <f t="shared" si="77"/>
        <v>4</v>
      </c>
      <c r="B99" s="715" t="str" cm="1">
        <f t="array" aca="1" ref="B99" ca="1">INDIRECT("'Definition of Typical Day'!"&amp;ADDRESS(B$16,$E99))</f>
        <v>Summer weekday</v>
      </c>
      <c r="C99" s="766">
        <f t="shared" si="78"/>
        <v>7</v>
      </c>
      <c r="D99" s="715">
        <f t="shared" si="78"/>
        <v>41</v>
      </c>
      <c r="E99" s="715">
        <f t="shared" si="79"/>
        <v>8</v>
      </c>
      <c r="F99" s="767" cm="1">
        <f t="array" aca="1" ref="F99" ca="1">INDIRECT("'Definition of Typical Day'!D"&amp;D99)</f>
        <v>7</v>
      </c>
      <c r="G99" s="767" cm="1">
        <f t="array" aca="1" ref="G99" ca="1">INDIRECT("'Definition of Typical Day'!"&amp;ADDRESS(13,E99))</f>
        <v>4</v>
      </c>
      <c r="H99" s="768" cm="1">
        <f t="array" aca="1" ref="H99" ca="1">INDIRECT("'Definition of Typical Day'!"&amp; ADDRESS($D99+28*(H$16-1),$E99))</f>
        <v>2</v>
      </c>
      <c r="I99" s="715" cm="1">
        <f t="array" aca="1" ref="I99" ca="1">INDIRECT("'Definition of Typical Day'!"&amp; ADDRESS($D99+29*(I$16-1),$E99))</f>
        <v>40</v>
      </c>
      <c r="J99" s="715">
        <f t="shared" ca="1" si="105"/>
        <v>37</v>
      </c>
      <c r="K99" s="785">
        <f t="shared" si="106"/>
        <v>28</v>
      </c>
      <c r="L99" s="786" cm="1">
        <f t="array" aca="1" ref="L99" ca="1">INDIRECT("'Definition of Typical Day'!"&amp; ADDRESS($D99+29*(L$16-1),$E99))</f>
        <v>6</v>
      </c>
      <c r="M99" s="768" cm="1">
        <f t="array" aca="1" ref="M99" ca="1">INDIRECT("'Definition of Typical Day'!"&amp; ADDRESS($D99+29*(M$16-1),$E99))</f>
        <v>60</v>
      </c>
      <c r="N99" s="715">
        <f t="shared" si="107"/>
        <v>3</v>
      </c>
      <c r="O99" s="715">
        <f t="shared" ca="1" si="108"/>
        <v>63</v>
      </c>
      <c r="P99" s="715" cm="1">
        <f t="array" aca="1" ref="P99" ca="1">INDIRECT("'Definition of Typical Day'!"&amp; ADDRESS($D99+29*(P$16-1),$E99))</f>
        <v>45</v>
      </c>
      <c r="Q99" s="787">
        <f t="shared" ca="1" si="109"/>
        <v>48</v>
      </c>
      <c r="R99" s="792">
        <f t="shared" ca="1" si="110"/>
        <v>63</v>
      </c>
      <c r="S99" s="769">
        <f t="shared" si="111"/>
        <v>3</v>
      </c>
      <c r="T99" s="769">
        <f t="shared" ca="1" si="112"/>
        <v>0.24</v>
      </c>
      <c r="U99" s="769">
        <f t="shared" ca="1" si="113"/>
        <v>0.70199999999999996</v>
      </c>
      <c r="V99" s="769">
        <f t="shared" ca="1" si="114"/>
        <v>0</v>
      </c>
      <c r="W99" s="769">
        <f t="shared" ca="1" si="115"/>
        <v>3.9420000000000002</v>
      </c>
      <c r="X99" s="794">
        <f t="shared" si="116"/>
        <v>3</v>
      </c>
      <c r="Y99" s="769">
        <f t="shared" ca="1" si="117"/>
        <v>2.1213203435596428</v>
      </c>
      <c r="Z99" s="769">
        <f t="shared" ca="1" si="118"/>
        <v>2.1213203435596428</v>
      </c>
      <c r="AA99" s="795">
        <f t="shared" ca="1" si="119"/>
        <v>2.1213203435596428</v>
      </c>
      <c r="AB99" s="769">
        <f t="shared" ca="1" si="120"/>
        <v>0</v>
      </c>
      <c r="AC99" s="769">
        <f t="shared" ca="1" si="121"/>
        <v>0</v>
      </c>
      <c r="AD99" s="769">
        <f t="shared" ca="1" si="122"/>
        <v>0</v>
      </c>
      <c r="AE99" s="794">
        <f t="shared" ca="1" si="123"/>
        <v>2.1213203435596428</v>
      </c>
      <c r="AF99" s="769">
        <f t="shared" ca="1" si="124"/>
        <v>2.1213203435596427E-2</v>
      </c>
      <c r="AG99" s="769">
        <f t="shared" ca="1" si="125"/>
        <v>2.1001071401240465</v>
      </c>
      <c r="AH99" s="799">
        <f t="shared" ca="1" si="126"/>
        <v>2.1001071401240465</v>
      </c>
      <c r="AI99" s="801">
        <f t="shared" ca="1" si="127"/>
        <v>1</v>
      </c>
      <c r="AJ99" s="794">
        <f t="shared" ca="1" si="128"/>
        <v>1.5831873289580085</v>
      </c>
      <c r="AK99" s="769">
        <f t="shared" ca="1" si="129"/>
        <v>0.53813301460163443</v>
      </c>
      <c r="AL99" s="769">
        <f t="shared" ca="1" si="130"/>
        <v>0</v>
      </c>
      <c r="AM99" s="804">
        <f t="shared" ca="1" si="80"/>
        <v>0.2110916438610678</v>
      </c>
      <c r="AN99" s="795">
        <f t="shared" ca="1" si="81"/>
        <v>5.5575022805598867E-2</v>
      </c>
      <c r="AO99" s="251"/>
      <c r="AP99" s="770">
        <f t="shared" si="131"/>
        <v>0</v>
      </c>
      <c r="AQ99" s="771">
        <f t="shared" ca="1" si="132"/>
        <v>0</v>
      </c>
      <c r="AR99" s="771">
        <f t="shared" ca="1" si="133"/>
        <v>3.166374657916017</v>
      </c>
      <c r="AS99" s="772">
        <f t="shared" ca="1" si="134"/>
        <v>3.166374657916017</v>
      </c>
      <c r="AT99" s="231"/>
      <c r="AU99" s="770">
        <f>'Main Results - IRR DC Operator'!$F$16</f>
        <v>2</v>
      </c>
      <c r="AV99" s="773">
        <f>'Main Results - IRR DC Operator'!$F$15</f>
        <v>1</v>
      </c>
      <c r="AW99" s="771">
        <f t="shared" ca="1" si="135"/>
        <v>4</v>
      </c>
      <c r="AX99" s="772">
        <f t="shared" si="136"/>
        <v>0</v>
      </c>
      <c r="AY99" s="231"/>
      <c r="AZ99" s="770" cm="1">
        <f t="array" aca="1" ref="AZ99" ca="1">INDIRECT("'Definition of Typical Day'!"&amp; ADDRESS($D99+29*(AZ$16-1),$E99))+$AZ$17</f>
        <v>126.6</v>
      </c>
      <c r="BA99" s="771" cm="1">
        <f t="array" aca="1" ref="BA99" ca="1">INDIRECT("'Definition of Typical Day'!"&amp; ADDRESS($D99+29*(BA$16-1),$E99))+$BA$17</f>
        <v>126.6</v>
      </c>
      <c r="BB99" s="772" cm="1">
        <f t="array" aca="1" ref="BB99" ca="1">INDIRECT("'Definition of Typical Day'!"&amp;ADDRESS(BB$16,$E99))</f>
        <v>60</v>
      </c>
      <c r="BC99" s="776" cm="1">
        <f t="array" aca="1" ref="BC99" ca="1">INDIRECT("'Definition of Typical Day'!"&amp; ADDRESS($D99+29*(BC$16-1),$E99))</f>
        <v>125.6</v>
      </c>
      <c r="BD99" s="777" cm="1">
        <f t="array" aca="1" ref="BD99" ca="1">INDIRECT("'Definition of Typical Day'!"&amp; ADDRESS($D99+29*(BD$16-1),$E99))</f>
        <v>1</v>
      </c>
      <c r="BE99" s="776">
        <f t="shared" si="137"/>
        <v>0</v>
      </c>
      <c r="BF99" s="771">
        <f t="shared" ca="1" si="138"/>
        <v>68.127639648566912</v>
      </c>
      <c r="BG99" s="771">
        <f t="shared" ca="1" si="139"/>
        <v>2.5455844122715714</v>
      </c>
      <c r="BH99" s="771">
        <f t="shared" ca="1" si="140"/>
        <v>0</v>
      </c>
      <c r="BI99" s="776">
        <f t="shared" ca="1" si="141"/>
        <v>26.513110468950114</v>
      </c>
      <c r="BJ99" s="776">
        <f t="shared" ca="1" si="142"/>
        <v>6.9802228643832178</v>
      </c>
      <c r="BK99" s="776">
        <f t="shared" ca="1" si="143"/>
        <v>0</v>
      </c>
      <c r="BL99" s="776">
        <f t="shared" ca="1" si="144"/>
        <v>0</v>
      </c>
      <c r="BM99" s="135"/>
      <c r="BN99" s="776">
        <f t="shared" ca="1" si="145"/>
        <v>74.673224060838479</v>
      </c>
      <c r="BO99" s="778">
        <f t="shared" ca="1" si="82"/>
        <v>35.556864044768581</v>
      </c>
      <c r="BP99" s="770">
        <f t="shared" ca="1" si="83"/>
        <v>70.673224060838479</v>
      </c>
      <c r="BQ99" s="771">
        <f t="shared" ca="1" si="84"/>
        <v>0</v>
      </c>
      <c r="BR99" s="771">
        <f t="shared" ca="1" si="85"/>
        <v>0</v>
      </c>
      <c r="BS99" s="776">
        <f t="shared" ca="1" si="146"/>
        <v>74.673224060838479</v>
      </c>
      <c r="BT99" s="776">
        <f t="shared" ca="1" si="86"/>
        <v>70.673224060838479</v>
      </c>
      <c r="BU99" s="783">
        <f t="shared" ca="1" si="87"/>
        <v>33.652199314299764</v>
      </c>
      <c r="BV99" s="783">
        <f t="shared" ca="1" si="88"/>
        <v>33.652199314299764</v>
      </c>
      <c r="BW99" s="1019">
        <f t="shared" ca="1" si="147"/>
        <v>33.652199314299764</v>
      </c>
      <c r="BX99" s="771" cm="1">
        <f t="array" aca="1" ref="BX99" ca="1">INDIRECT("'Definition of Typical Day'!"&amp; ADDRESS($D99+29*(BX$16-1),$E99))</f>
        <v>40</v>
      </c>
      <c r="BY99" s="771">
        <f t="shared" ca="1" si="148"/>
        <v>1</v>
      </c>
      <c r="BZ99" s="781">
        <f t="shared" ca="1" si="89"/>
        <v>1</v>
      </c>
      <c r="CA99" s="781">
        <f t="shared" ca="1" si="90"/>
        <v>0.70710678118654757</v>
      </c>
      <c r="CB99" s="776">
        <f t="shared" ca="1" si="91"/>
        <v>84.004285604961865</v>
      </c>
      <c r="CC99" s="782">
        <f t="shared" si="92"/>
        <v>4</v>
      </c>
      <c r="CD99" s="782">
        <f t="shared" si="93"/>
        <v>7</v>
      </c>
      <c r="CE99" s="784" t="str" cm="1">
        <f t="array" aca="1" ref="CE99" ca="1">INDIRECT("'Definition of Typical Day'!"&amp;ADDRESS(CE$16,$E99))</f>
        <v>Summer weekday</v>
      </c>
      <c r="CF99" s="232"/>
      <c r="CG99" s="232"/>
      <c r="CH99" s="776">
        <f t="shared" ca="1" si="94"/>
        <v>2</v>
      </c>
      <c r="CI99" s="806">
        <f t="shared" ca="1" si="95"/>
        <v>6</v>
      </c>
      <c r="CJ99" s="770">
        <f t="shared" ca="1" si="96"/>
        <v>2.1001071401240465</v>
      </c>
      <c r="CK99" s="771">
        <f t="shared" ca="1" si="97"/>
        <v>1.5831873289580085</v>
      </c>
      <c r="CL99" s="771">
        <f t="shared" ca="1" si="98"/>
        <v>0.53813301460163443</v>
      </c>
      <c r="CM99" s="772">
        <f t="shared" ca="1" si="99"/>
        <v>0</v>
      </c>
      <c r="CN99" s="135"/>
      <c r="CO99" s="770">
        <f t="shared" ca="1" si="149"/>
        <v>1.05</v>
      </c>
      <c r="CP99" s="771">
        <f t="shared" ca="1" si="100"/>
        <v>0.98</v>
      </c>
      <c r="CQ99" s="771">
        <f t="shared" ca="1" si="101"/>
        <v>0.96</v>
      </c>
      <c r="CR99" s="771">
        <f t="shared" ca="1" si="102"/>
        <v>0.95</v>
      </c>
      <c r="CS99" s="771">
        <f t="shared" ca="1" si="103"/>
        <v>1.02</v>
      </c>
      <c r="CT99" s="772">
        <f t="shared" ca="1" si="104"/>
        <v>0.02</v>
      </c>
      <c r="CU99" s="135"/>
      <c r="CV99" s="135"/>
      <c r="CW99" s="135"/>
      <c r="CX99" s="135"/>
      <c r="CY99" s="135"/>
      <c r="CZ99" s="135"/>
      <c r="DA99" s="135"/>
      <c r="DB99" s="135"/>
      <c r="DC99" s="135"/>
      <c r="DD99" s="135"/>
      <c r="DE99" s="135"/>
      <c r="DF99" s="135"/>
      <c r="DG99" s="135"/>
      <c r="DH99" s="135"/>
      <c r="DI99" s="135"/>
      <c r="DJ99" s="135"/>
      <c r="DK99" s="135"/>
      <c r="DL99" s="135"/>
      <c r="DX99" s="135"/>
      <c r="DY99" s="135"/>
      <c r="DZ99" s="135"/>
      <c r="EA99" s="135"/>
      <c r="EB99" s="135"/>
      <c r="EC99" s="135"/>
      <c r="ED99" s="135"/>
      <c r="EE99" s="135"/>
      <c r="EF99" s="135"/>
      <c r="EG99" s="135"/>
      <c r="EH99" s="135"/>
      <c r="EI99" s="135"/>
      <c r="EJ99" s="135"/>
      <c r="EK99" s="135"/>
      <c r="EL99" s="135"/>
      <c r="EM99" s="135"/>
      <c r="EN99" s="135"/>
      <c r="EO99" s="135"/>
      <c r="EP99" s="135"/>
      <c r="EQ99" s="135"/>
      <c r="ER99" s="135"/>
      <c r="ES99" s="135"/>
      <c r="ET99" s="135"/>
      <c r="EU99" s="135"/>
      <c r="EV99" s="135"/>
      <c r="EW99" s="135"/>
      <c r="EX99" s="135"/>
      <c r="EY99" s="135"/>
      <c r="EZ99" s="135"/>
      <c r="FA99" s="135"/>
      <c r="FB99" s="135"/>
      <c r="FC99" s="135"/>
      <c r="FD99" s="135"/>
      <c r="FE99" s="135"/>
      <c r="FF99" s="135"/>
      <c r="FG99" s="135"/>
    </row>
    <row r="100" spans="1:163" s="57" customFormat="1" ht="11.25" outlineLevel="1">
      <c r="A100" s="765">
        <f t="shared" si="77"/>
        <v>4</v>
      </c>
      <c r="B100" s="715" t="str" cm="1">
        <f t="array" aca="1" ref="B100" ca="1">INDIRECT("'Definition of Typical Day'!"&amp;ADDRESS(B$16,$E100))</f>
        <v>Summer weekday</v>
      </c>
      <c r="C100" s="766">
        <f t="shared" si="78"/>
        <v>8</v>
      </c>
      <c r="D100" s="715">
        <f t="shared" si="78"/>
        <v>42</v>
      </c>
      <c r="E100" s="715">
        <f t="shared" si="79"/>
        <v>8</v>
      </c>
      <c r="F100" s="767" cm="1">
        <f t="array" aca="1" ref="F100" ca="1">INDIRECT("'Definition of Typical Day'!D"&amp;D100)</f>
        <v>8</v>
      </c>
      <c r="G100" s="767" cm="1">
        <f t="array" aca="1" ref="G100" ca="1">INDIRECT("'Definition of Typical Day'!"&amp;ADDRESS(13,E100))</f>
        <v>4</v>
      </c>
      <c r="H100" s="768" cm="1">
        <f t="array" aca="1" ref="H100" ca="1">INDIRECT("'Definition of Typical Day'!"&amp; ADDRESS($D100+28*(H$16-1),$E100))</f>
        <v>2</v>
      </c>
      <c r="I100" s="715" cm="1">
        <f t="array" aca="1" ref="I100" ca="1">INDIRECT("'Definition of Typical Day'!"&amp; ADDRESS($D100+29*(I$16-1),$E100))</f>
        <v>40</v>
      </c>
      <c r="J100" s="715">
        <f t="shared" ca="1" si="105"/>
        <v>37</v>
      </c>
      <c r="K100" s="785">
        <f t="shared" si="106"/>
        <v>28</v>
      </c>
      <c r="L100" s="786" cm="1">
        <f t="array" aca="1" ref="L100" ca="1">INDIRECT("'Definition of Typical Day'!"&amp; ADDRESS($D100+29*(L$16-1),$E100))</f>
        <v>6</v>
      </c>
      <c r="M100" s="768" cm="1">
        <f t="array" aca="1" ref="M100" ca="1">INDIRECT("'Definition of Typical Day'!"&amp; ADDRESS($D100+29*(M$16-1),$E100))</f>
        <v>60</v>
      </c>
      <c r="N100" s="715">
        <f t="shared" si="107"/>
        <v>3</v>
      </c>
      <c r="O100" s="715">
        <f t="shared" ca="1" si="108"/>
        <v>63</v>
      </c>
      <c r="P100" s="715" cm="1">
        <f t="array" aca="1" ref="P100" ca="1">INDIRECT("'Definition of Typical Day'!"&amp; ADDRESS($D100+29*(P$16-1),$E100))</f>
        <v>45</v>
      </c>
      <c r="Q100" s="787">
        <f t="shared" ca="1" si="109"/>
        <v>48</v>
      </c>
      <c r="R100" s="792">
        <f t="shared" ca="1" si="110"/>
        <v>63</v>
      </c>
      <c r="S100" s="769">
        <f t="shared" si="111"/>
        <v>3</v>
      </c>
      <c r="T100" s="769">
        <f t="shared" ca="1" si="112"/>
        <v>0.24</v>
      </c>
      <c r="U100" s="769">
        <f t="shared" ca="1" si="113"/>
        <v>0.70199999999999996</v>
      </c>
      <c r="V100" s="769">
        <f t="shared" ca="1" si="114"/>
        <v>0</v>
      </c>
      <c r="W100" s="769">
        <f t="shared" ca="1" si="115"/>
        <v>3.9420000000000002</v>
      </c>
      <c r="X100" s="794">
        <f t="shared" si="116"/>
        <v>3</v>
      </c>
      <c r="Y100" s="769">
        <f t="shared" ca="1" si="117"/>
        <v>2.1213203435596428</v>
      </c>
      <c r="Z100" s="769">
        <f t="shared" ca="1" si="118"/>
        <v>2.1213203435596428</v>
      </c>
      <c r="AA100" s="795">
        <f t="shared" ca="1" si="119"/>
        <v>2.1213203435596428</v>
      </c>
      <c r="AB100" s="769">
        <f t="shared" ca="1" si="120"/>
        <v>0</v>
      </c>
      <c r="AC100" s="769">
        <f t="shared" ca="1" si="121"/>
        <v>0</v>
      </c>
      <c r="AD100" s="769">
        <f t="shared" ca="1" si="122"/>
        <v>0</v>
      </c>
      <c r="AE100" s="794">
        <f t="shared" ca="1" si="123"/>
        <v>2.1213203435596428</v>
      </c>
      <c r="AF100" s="769">
        <f t="shared" ca="1" si="124"/>
        <v>2.1213203435596427E-2</v>
      </c>
      <c r="AG100" s="769">
        <f t="shared" ca="1" si="125"/>
        <v>2.1001071401240465</v>
      </c>
      <c r="AH100" s="799">
        <f t="shared" ca="1" si="126"/>
        <v>2.1001071401240465</v>
      </c>
      <c r="AI100" s="801">
        <f t="shared" ca="1" si="127"/>
        <v>1</v>
      </c>
      <c r="AJ100" s="794">
        <f t="shared" ca="1" si="128"/>
        <v>1.5831873289580085</v>
      </c>
      <c r="AK100" s="769">
        <f t="shared" ca="1" si="129"/>
        <v>0.53813301460163443</v>
      </c>
      <c r="AL100" s="769">
        <f t="shared" ca="1" si="130"/>
        <v>0</v>
      </c>
      <c r="AM100" s="804">
        <f t="shared" ca="1" si="80"/>
        <v>0.2110916438610678</v>
      </c>
      <c r="AN100" s="795">
        <f t="shared" ca="1" si="81"/>
        <v>5.5575022805598867E-2</v>
      </c>
      <c r="AO100" s="251"/>
      <c r="AP100" s="770">
        <f t="shared" si="131"/>
        <v>0</v>
      </c>
      <c r="AQ100" s="771">
        <f t="shared" ca="1" si="132"/>
        <v>0</v>
      </c>
      <c r="AR100" s="771">
        <f t="shared" ca="1" si="133"/>
        <v>3.166374657916017</v>
      </c>
      <c r="AS100" s="772">
        <f t="shared" ca="1" si="134"/>
        <v>3.166374657916017</v>
      </c>
      <c r="AT100" s="231"/>
      <c r="AU100" s="770">
        <f>'Main Results - IRR DC Operator'!$F$16</f>
        <v>2</v>
      </c>
      <c r="AV100" s="773">
        <f>'Main Results - IRR DC Operator'!$F$15</f>
        <v>1</v>
      </c>
      <c r="AW100" s="771">
        <f t="shared" ca="1" si="135"/>
        <v>4</v>
      </c>
      <c r="AX100" s="772">
        <f t="shared" si="136"/>
        <v>0</v>
      </c>
      <c r="AY100" s="231"/>
      <c r="AZ100" s="770" cm="1">
        <f t="array" aca="1" ref="AZ100" ca="1">INDIRECT("'Definition of Typical Day'!"&amp; ADDRESS($D100+29*(AZ$16-1),$E100))+$AZ$17</f>
        <v>121.72</v>
      </c>
      <c r="BA100" s="771" cm="1">
        <f t="array" aca="1" ref="BA100" ca="1">INDIRECT("'Definition of Typical Day'!"&amp; ADDRESS($D100+29*(BA$16-1),$E100))+$BA$17</f>
        <v>121.72</v>
      </c>
      <c r="BB100" s="772" cm="1">
        <f t="array" aca="1" ref="BB100" ca="1">INDIRECT("'Definition of Typical Day'!"&amp;ADDRESS(BB$16,$E100))</f>
        <v>60</v>
      </c>
      <c r="BC100" s="776" cm="1">
        <f t="array" aca="1" ref="BC100" ca="1">INDIRECT("'Definition of Typical Day'!"&amp; ADDRESS($D100+29*(BC$16-1),$E100))</f>
        <v>120.72</v>
      </c>
      <c r="BD100" s="777" cm="1">
        <f t="array" aca="1" ref="BD100" ca="1">INDIRECT("'Definition of Typical Day'!"&amp; ADDRESS($D100+29*(BD$16-1),$E100))</f>
        <v>1</v>
      </c>
      <c r="BE100" s="776">
        <f t="shared" si="137"/>
        <v>0</v>
      </c>
      <c r="BF100" s="771">
        <f t="shared" ca="1" si="138"/>
        <v>65.501550537310948</v>
      </c>
      <c r="BG100" s="771">
        <f t="shared" ca="1" si="139"/>
        <v>2.5455844122715714</v>
      </c>
      <c r="BH100" s="771">
        <f t="shared" ca="1" si="140"/>
        <v>0</v>
      </c>
      <c r="BI100" s="776">
        <f t="shared" ca="1" si="141"/>
        <v>25.482983246908105</v>
      </c>
      <c r="BJ100" s="776">
        <f t="shared" ca="1" si="142"/>
        <v>6.7090167530918956</v>
      </c>
      <c r="BK100" s="776">
        <f t="shared" ca="1" si="143"/>
        <v>0</v>
      </c>
      <c r="BL100" s="776">
        <f t="shared" ca="1" si="144"/>
        <v>0</v>
      </c>
      <c r="BM100" s="135"/>
      <c r="BN100" s="776">
        <f t="shared" ca="1" si="145"/>
        <v>72.047134949582514</v>
      </c>
      <c r="BO100" s="778">
        <f t="shared" ca="1" si="82"/>
        <v>34.306409217449222</v>
      </c>
      <c r="BP100" s="770">
        <f t="shared" ca="1" si="83"/>
        <v>68.047134949582514</v>
      </c>
      <c r="BQ100" s="771">
        <f t="shared" ca="1" si="84"/>
        <v>0</v>
      </c>
      <c r="BR100" s="771">
        <f t="shared" ca="1" si="85"/>
        <v>0</v>
      </c>
      <c r="BS100" s="776">
        <f t="shared" ca="1" si="146"/>
        <v>72.047134949582514</v>
      </c>
      <c r="BT100" s="776">
        <f t="shared" ca="1" si="86"/>
        <v>68.047134949582514</v>
      </c>
      <c r="BU100" s="783">
        <f t="shared" ca="1" si="87"/>
        <v>32.401744486980405</v>
      </c>
      <c r="BV100" s="783">
        <f t="shared" ca="1" si="88"/>
        <v>32.401744486980405</v>
      </c>
      <c r="BW100" s="1019">
        <f t="shared" ca="1" si="147"/>
        <v>32.401744486980405</v>
      </c>
      <c r="BX100" s="771" cm="1">
        <f t="array" aca="1" ref="BX100" ca="1">INDIRECT("'Definition of Typical Day'!"&amp; ADDRESS($D100+29*(BX$16-1),$E100))</f>
        <v>40</v>
      </c>
      <c r="BY100" s="771">
        <f t="shared" ca="1" si="148"/>
        <v>1</v>
      </c>
      <c r="BZ100" s="781">
        <f t="shared" ca="1" si="89"/>
        <v>1</v>
      </c>
      <c r="CA100" s="781">
        <f t="shared" ca="1" si="90"/>
        <v>0.70710678118654757</v>
      </c>
      <c r="CB100" s="776">
        <f t="shared" ca="1" si="91"/>
        <v>84.004285604961865</v>
      </c>
      <c r="CC100" s="782">
        <f t="shared" si="92"/>
        <v>4</v>
      </c>
      <c r="CD100" s="782">
        <f t="shared" si="93"/>
        <v>8</v>
      </c>
      <c r="CE100" s="784" t="str" cm="1">
        <f t="array" aca="1" ref="CE100" ca="1">INDIRECT("'Definition of Typical Day'!"&amp;ADDRESS(CE$16,$E100))</f>
        <v>Summer weekday</v>
      </c>
      <c r="CF100" s="232"/>
      <c r="CG100" s="232"/>
      <c r="CH100" s="776">
        <f t="shared" ca="1" si="94"/>
        <v>2</v>
      </c>
      <c r="CI100" s="806">
        <f t="shared" ca="1" si="95"/>
        <v>6</v>
      </c>
      <c r="CJ100" s="770">
        <f t="shared" ca="1" si="96"/>
        <v>2.1001071401240465</v>
      </c>
      <c r="CK100" s="771">
        <f t="shared" ca="1" si="97"/>
        <v>1.5831873289580085</v>
      </c>
      <c r="CL100" s="771">
        <f t="shared" ca="1" si="98"/>
        <v>0.53813301460163443</v>
      </c>
      <c r="CM100" s="772">
        <f t="shared" ca="1" si="99"/>
        <v>0</v>
      </c>
      <c r="CN100" s="135"/>
      <c r="CO100" s="770">
        <f t="shared" ca="1" si="149"/>
        <v>1.05</v>
      </c>
      <c r="CP100" s="771">
        <f t="shared" ca="1" si="100"/>
        <v>0.98</v>
      </c>
      <c r="CQ100" s="771">
        <f t="shared" ca="1" si="101"/>
        <v>0.96</v>
      </c>
      <c r="CR100" s="771">
        <f t="shared" ca="1" si="102"/>
        <v>0.95</v>
      </c>
      <c r="CS100" s="771">
        <f t="shared" ca="1" si="103"/>
        <v>1.02</v>
      </c>
      <c r="CT100" s="772">
        <f t="shared" ca="1" si="104"/>
        <v>0.02</v>
      </c>
      <c r="CU100" s="135"/>
      <c r="CV100" s="135"/>
      <c r="CW100" s="135"/>
      <c r="CX100" s="135"/>
      <c r="CY100" s="135"/>
      <c r="CZ100" s="135"/>
      <c r="DA100" s="135"/>
      <c r="DB100" s="135"/>
      <c r="DC100" s="135"/>
      <c r="DD100" s="135"/>
      <c r="DE100" s="135"/>
      <c r="DF100" s="135"/>
      <c r="DG100" s="135"/>
      <c r="DH100" s="135"/>
      <c r="DI100" s="135"/>
      <c r="DJ100" s="135"/>
      <c r="DK100" s="135"/>
      <c r="DL100" s="135"/>
      <c r="DX100" s="135"/>
      <c r="DY100" s="135"/>
      <c r="DZ100" s="135"/>
      <c r="EA100" s="135"/>
      <c r="EB100" s="135"/>
      <c r="EC100" s="135"/>
      <c r="ED100" s="135"/>
      <c r="EE100" s="135"/>
      <c r="EF100" s="135"/>
      <c r="EG100" s="135"/>
      <c r="EH100" s="135"/>
      <c r="EI100" s="135"/>
      <c r="EJ100" s="135"/>
      <c r="EK100" s="135"/>
      <c r="EL100" s="135"/>
      <c r="EM100" s="135"/>
      <c r="EN100" s="135"/>
      <c r="EO100" s="135"/>
      <c r="EP100" s="135"/>
      <c r="EQ100" s="135"/>
      <c r="ER100" s="135"/>
      <c r="ES100" s="135"/>
      <c r="ET100" s="135"/>
      <c r="EU100" s="135"/>
      <c r="EV100" s="135"/>
      <c r="EW100" s="135"/>
      <c r="EX100" s="135"/>
      <c r="EY100" s="135"/>
      <c r="EZ100" s="135"/>
      <c r="FA100" s="135"/>
      <c r="FB100" s="135"/>
      <c r="FC100" s="135"/>
      <c r="FD100" s="135"/>
      <c r="FE100" s="135"/>
      <c r="FF100" s="135"/>
      <c r="FG100" s="135"/>
    </row>
    <row r="101" spans="1:163" s="57" customFormat="1" ht="11.25" outlineLevel="1">
      <c r="A101" s="765">
        <f t="shared" si="77"/>
        <v>4</v>
      </c>
      <c r="B101" s="715" t="str" cm="1">
        <f t="array" aca="1" ref="B101" ca="1">INDIRECT("'Definition of Typical Day'!"&amp;ADDRESS(B$16,$E101))</f>
        <v>Summer weekday</v>
      </c>
      <c r="C101" s="766">
        <f t="shared" si="78"/>
        <v>9</v>
      </c>
      <c r="D101" s="715">
        <f t="shared" si="78"/>
        <v>43</v>
      </c>
      <c r="E101" s="715">
        <f t="shared" si="79"/>
        <v>8</v>
      </c>
      <c r="F101" s="767" cm="1">
        <f t="array" aca="1" ref="F101" ca="1">INDIRECT("'Definition of Typical Day'!D"&amp;D101)</f>
        <v>9</v>
      </c>
      <c r="G101" s="767" cm="1">
        <f t="array" aca="1" ref="G101" ca="1">INDIRECT("'Definition of Typical Day'!"&amp;ADDRESS(13,E101))</f>
        <v>4</v>
      </c>
      <c r="H101" s="768" cm="1">
        <f t="array" aca="1" ref="H101" ca="1">INDIRECT("'Definition of Typical Day'!"&amp; ADDRESS($D101+28*(H$16-1),$E101))</f>
        <v>2</v>
      </c>
      <c r="I101" s="715" cm="1">
        <f t="array" aca="1" ref="I101" ca="1">INDIRECT("'Definition of Typical Day'!"&amp; ADDRESS($D101+29*(I$16-1),$E101))</f>
        <v>40</v>
      </c>
      <c r="J101" s="715">
        <f t="shared" ca="1" si="105"/>
        <v>37</v>
      </c>
      <c r="K101" s="785">
        <f t="shared" si="106"/>
        <v>28</v>
      </c>
      <c r="L101" s="786" cm="1">
        <f t="array" aca="1" ref="L101" ca="1">INDIRECT("'Definition of Typical Day'!"&amp; ADDRESS($D101+29*(L$16-1),$E101))</f>
        <v>6</v>
      </c>
      <c r="M101" s="768" cm="1">
        <f t="array" aca="1" ref="M101" ca="1">INDIRECT("'Definition of Typical Day'!"&amp; ADDRESS($D101+29*(M$16-1),$E101))</f>
        <v>60</v>
      </c>
      <c r="N101" s="715">
        <f t="shared" si="107"/>
        <v>3</v>
      </c>
      <c r="O101" s="715">
        <f t="shared" ca="1" si="108"/>
        <v>63</v>
      </c>
      <c r="P101" s="715" cm="1">
        <f t="array" aca="1" ref="P101" ca="1">INDIRECT("'Definition of Typical Day'!"&amp; ADDRESS($D101+29*(P$16-1),$E101))</f>
        <v>45</v>
      </c>
      <c r="Q101" s="787">
        <f t="shared" ca="1" si="109"/>
        <v>48</v>
      </c>
      <c r="R101" s="792">
        <f t="shared" ca="1" si="110"/>
        <v>63</v>
      </c>
      <c r="S101" s="769">
        <f t="shared" si="111"/>
        <v>3</v>
      </c>
      <c r="T101" s="769">
        <f t="shared" ca="1" si="112"/>
        <v>0.24</v>
      </c>
      <c r="U101" s="769">
        <f t="shared" ca="1" si="113"/>
        <v>0.70199999999999996</v>
      </c>
      <c r="V101" s="769">
        <f t="shared" ca="1" si="114"/>
        <v>0</v>
      </c>
      <c r="W101" s="769">
        <f t="shared" ca="1" si="115"/>
        <v>3.9420000000000002</v>
      </c>
      <c r="X101" s="794">
        <f t="shared" si="116"/>
        <v>3</v>
      </c>
      <c r="Y101" s="769">
        <f t="shared" ca="1" si="117"/>
        <v>2.1213203435596428</v>
      </c>
      <c r="Z101" s="769">
        <f t="shared" ca="1" si="118"/>
        <v>2.1213203435596428</v>
      </c>
      <c r="AA101" s="795">
        <f t="shared" ca="1" si="119"/>
        <v>2.1213203435596428</v>
      </c>
      <c r="AB101" s="769">
        <f t="shared" ca="1" si="120"/>
        <v>0</v>
      </c>
      <c r="AC101" s="769">
        <f t="shared" ca="1" si="121"/>
        <v>0</v>
      </c>
      <c r="AD101" s="769">
        <f t="shared" ca="1" si="122"/>
        <v>0</v>
      </c>
      <c r="AE101" s="794">
        <f t="shared" ca="1" si="123"/>
        <v>2.1213203435596428</v>
      </c>
      <c r="AF101" s="769">
        <f t="shared" ca="1" si="124"/>
        <v>2.1213203435596427E-2</v>
      </c>
      <c r="AG101" s="769">
        <f t="shared" ca="1" si="125"/>
        <v>2.1001071401240465</v>
      </c>
      <c r="AH101" s="799">
        <f t="shared" ca="1" si="126"/>
        <v>2.1001071401240465</v>
      </c>
      <c r="AI101" s="801">
        <f t="shared" ca="1" si="127"/>
        <v>1</v>
      </c>
      <c r="AJ101" s="794">
        <f t="shared" ca="1" si="128"/>
        <v>1.5831873289580085</v>
      </c>
      <c r="AK101" s="769">
        <f t="shared" ca="1" si="129"/>
        <v>0.53813301460163443</v>
      </c>
      <c r="AL101" s="769">
        <f t="shared" ca="1" si="130"/>
        <v>0</v>
      </c>
      <c r="AM101" s="804">
        <f t="shared" ca="1" si="80"/>
        <v>0.2110916438610678</v>
      </c>
      <c r="AN101" s="795">
        <f t="shared" ca="1" si="81"/>
        <v>5.5575022805598867E-2</v>
      </c>
      <c r="AO101" s="251"/>
      <c r="AP101" s="770">
        <f t="shared" si="131"/>
        <v>0</v>
      </c>
      <c r="AQ101" s="771">
        <f t="shared" ca="1" si="132"/>
        <v>0</v>
      </c>
      <c r="AR101" s="771">
        <f t="shared" ca="1" si="133"/>
        <v>3.166374657916017</v>
      </c>
      <c r="AS101" s="772">
        <f t="shared" ca="1" si="134"/>
        <v>3.166374657916017</v>
      </c>
      <c r="AT101" s="231"/>
      <c r="AU101" s="770">
        <f>'Main Results - IRR DC Operator'!$F$16</f>
        <v>2</v>
      </c>
      <c r="AV101" s="773">
        <f>'Main Results - IRR DC Operator'!$F$15</f>
        <v>1</v>
      </c>
      <c r="AW101" s="771">
        <f t="shared" ca="1" si="135"/>
        <v>4</v>
      </c>
      <c r="AX101" s="772">
        <f t="shared" si="136"/>
        <v>0</v>
      </c>
      <c r="AY101" s="231"/>
      <c r="AZ101" s="770" cm="1">
        <f t="array" aca="1" ref="AZ101" ca="1">INDIRECT("'Definition of Typical Day'!"&amp; ADDRESS($D101+29*(AZ$16-1),$E101))+$AZ$17</f>
        <v>109.4</v>
      </c>
      <c r="BA101" s="771" cm="1">
        <f t="array" aca="1" ref="BA101" ca="1">INDIRECT("'Definition of Typical Day'!"&amp; ADDRESS($D101+29*(BA$16-1),$E101))+$BA$17</f>
        <v>109.4</v>
      </c>
      <c r="BB101" s="772" cm="1">
        <f t="array" aca="1" ref="BB101" ca="1">INDIRECT("'Definition of Typical Day'!"&amp;ADDRESS(BB$16,$E101))</f>
        <v>60</v>
      </c>
      <c r="BC101" s="776" cm="1">
        <f t="array" aca="1" ref="BC101" ca="1">INDIRECT("'Definition of Typical Day'!"&amp; ADDRESS($D101+29*(BC$16-1),$E101))</f>
        <v>108.4</v>
      </c>
      <c r="BD101" s="777" cm="1">
        <f t="array" aca="1" ref="BD101" ca="1">INDIRECT("'Definition of Typical Day'!"&amp; ADDRESS($D101+29*(BD$16-1),$E101))</f>
        <v>1</v>
      </c>
      <c r="BE101" s="776">
        <f t="shared" si="137"/>
        <v>0</v>
      </c>
      <c r="BF101" s="771">
        <f t="shared" ca="1" si="138"/>
        <v>58.87175179741881</v>
      </c>
      <c r="BG101" s="771">
        <f t="shared" ca="1" si="139"/>
        <v>2.5455844122715714</v>
      </c>
      <c r="BH101" s="771">
        <f t="shared" ca="1" si="140"/>
        <v>0</v>
      </c>
      <c r="BI101" s="776">
        <f t="shared" ca="1" si="141"/>
        <v>22.882334194539752</v>
      </c>
      <c r="BJ101" s="776">
        <f t="shared" ca="1" si="142"/>
        <v>6.0243324721269174</v>
      </c>
      <c r="BK101" s="776">
        <f t="shared" ca="1" si="143"/>
        <v>0</v>
      </c>
      <c r="BL101" s="776">
        <f t="shared" ca="1" si="144"/>
        <v>0</v>
      </c>
      <c r="BM101" s="135"/>
      <c r="BN101" s="776">
        <f t="shared" ca="1" si="145"/>
        <v>65.417336209690376</v>
      </c>
      <c r="BO101" s="778">
        <f t="shared" ca="1" si="82"/>
        <v>31.149523259954435</v>
      </c>
      <c r="BP101" s="770">
        <f t="shared" ca="1" si="83"/>
        <v>61.417336209690383</v>
      </c>
      <c r="BQ101" s="771">
        <f t="shared" ca="1" si="84"/>
        <v>0</v>
      </c>
      <c r="BR101" s="771">
        <f t="shared" ca="1" si="85"/>
        <v>0</v>
      </c>
      <c r="BS101" s="776">
        <f t="shared" ca="1" si="146"/>
        <v>65.417336209690376</v>
      </c>
      <c r="BT101" s="776">
        <f t="shared" ca="1" si="86"/>
        <v>61.417336209690383</v>
      </c>
      <c r="BU101" s="783">
        <f t="shared" ca="1" si="87"/>
        <v>29.244858529485626</v>
      </c>
      <c r="BV101" s="783">
        <f t="shared" ca="1" si="88"/>
        <v>29.244858529485626</v>
      </c>
      <c r="BW101" s="1019">
        <f t="shared" ca="1" si="147"/>
        <v>29.244858529485626</v>
      </c>
      <c r="BX101" s="771" cm="1">
        <f t="array" aca="1" ref="BX101" ca="1">INDIRECT("'Definition of Typical Day'!"&amp; ADDRESS($D101+29*(BX$16-1),$E101))</f>
        <v>40</v>
      </c>
      <c r="BY101" s="771">
        <f t="shared" ca="1" si="148"/>
        <v>1</v>
      </c>
      <c r="BZ101" s="781">
        <f t="shared" ca="1" si="89"/>
        <v>1</v>
      </c>
      <c r="CA101" s="781">
        <f t="shared" ca="1" si="90"/>
        <v>0.70710678118654757</v>
      </c>
      <c r="CB101" s="776">
        <f t="shared" ca="1" si="91"/>
        <v>84.004285604961865</v>
      </c>
      <c r="CC101" s="782">
        <f t="shared" si="92"/>
        <v>4</v>
      </c>
      <c r="CD101" s="782">
        <f t="shared" si="93"/>
        <v>9</v>
      </c>
      <c r="CE101" s="784" t="str" cm="1">
        <f t="array" aca="1" ref="CE101" ca="1">INDIRECT("'Definition of Typical Day'!"&amp;ADDRESS(CE$16,$E101))</f>
        <v>Summer weekday</v>
      </c>
      <c r="CF101" s="232"/>
      <c r="CG101" s="232"/>
      <c r="CH101" s="776">
        <f t="shared" ca="1" si="94"/>
        <v>2</v>
      </c>
      <c r="CI101" s="806">
        <f t="shared" ca="1" si="95"/>
        <v>6</v>
      </c>
      <c r="CJ101" s="770">
        <f t="shared" ca="1" si="96"/>
        <v>2.1001071401240465</v>
      </c>
      <c r="CK101" s="771">
        <f t="shared" ca="1" si="97"/>
        <v>1.5831873289580085</v>
      </c>
      <c r="CL101" s="771">
        <f t="shared" ca="1" si="98"/>
        <v>0.53813301460163443</v>
      </c>
      <c r="CM101" s="772">
        <f t="shared" ca="1" si="99"/>
        <v>0</v>
      </c>
      <c r="CN101" s="135"/>
      <c r="CO101" s="770">
        <f t="shared" ca="1" si="149"/>
        <v>1.05</v>
      </c>
      <c r="CP101" s="771">
        <f t="shared" ca="1" si="100"/>
        <v>0.98</v>
      </c>
      <c r="CQ101" s="771">
        <f t="shared" ca="1" si="101"/>
        <v>0.96</v>
      </c>
      <c r="CR101" s="771">
        <f t="shared" ca="1" si="102"/>
        <v>0.95</v>
      </c>
      <c r="CS101" s="771">
        <f t="shared" ca="1" si="103"/>
        <v>1.02</v>
      </c>
      <c r="CT101" s="772">
        <f t="shared" ca="1" si="104"/>
        <v>0.02</v>
      </c>
      <c r="CU101" s="135"/>
      <c r="CV101" s="135"/>
      <c r="CW101" s="135"/>
      <c r="CX101" s="135"/>
      <c r="CY101" s="135"/>
      <c r="CZ101" s="135"/>
      <c r="DA101" s="135"/>
      <c r="DB101" s="135"/>
      <c r="DC101" s="135"/>
      <c r="DD101" s="135"/>
      <c r="DE101" s="135"/>
      <c r="DF101" s="135"/>
      <c r="DG101" s="135"/>
      <c r="DH101" s="135"/>
      <c r="DI101" s="135"/>
      <c r="DJ101" s="135"/>
      <c r="DK101" s="135"/>
      <c r="DL101" s="135"/>
      <c r="DX101" s="135"/>
      <c r="DY101" s="135"/>
      <c r="DZ101" s="135"/>
      <c r="EA101" s="135"/>
      <c r="EB101" s="135"/>
      <c r="EC101" s="135"/>
      <c r="ED101" s="135"/>
      <c r="EE101" s="135"/>
      <c r="EF101" s="135"/>
      <c r="EG101" s="135"/>
      <c r="EH101" s="135"/>
      <c r="EI101" s="135"/>
      <c r="EJ101" s="135"/>
      <c r="EK101" s="135"/>
      <c r="EL101" s="135"/>
      <c r="EM101" s="135"/>
      <c r="EN101" s="135"/>
      <c r="EO101" s="135"/>
      <c r="EP101" s="135"/>
      <c r="EQ101" s="135"/>
      <c r="ER101" s="135"/>
      <c r="ES101" s="135"/>
      <c r="ET101" s="135"/>
      <c r="EU101" s="135"/>
      <c r="EV101" s="135"/>
      <c r="EW101" s="135"/>
      <c r="EX101" s="135"/>
      <c r="EY101" s="135"/>
      <c r="EZ101" s="135"/>
      <c r="FA101" s="135"/>
      <c r="FB101" s="135"/>
      <c r="FC101" s="135"/>
      <c r="FD101" s="135"/>
      <c r="FE101" s="135"/>
      <c r="FF101" s="135"/>
      <c r="FG101" s="135"/>
    </row>
    <row r="102" spans="1:163" s="57" customFormat="1" ht="11.25" outlineLevel="1">
      <c r="A102" s="765">
        <f t="shared" si="77"/>
        <v>4</v>
      </c>
      <c r="B102" s="715" t="str" cm="1">
        <f t="array" aca="1" ref="B102" ca="1">INDIRECT("'Definition of Typical Day'!"&amp;ADDRESS(B$16,$E102))</f>
        <v>Summer weekday</v>
      </c>
      <c r="C102" s="766">
        <f t="shared" si="78"/>
        <v>10</v>
      </c>
      <c r="D102" s="715">
        <f t="shared" si="78"/>
        <v>44</v>
      </c>
      <c r="E102" s="715">
        <f t="shared" si="79"/>
        <v>8</v>
      </c>
      <c r="F102" s="767" cm="1">
        <f t="array" aca="1" ref="F102" ca="1">INDIRECT("'Definition of Typical Day'!D"&amp;D102)</f>
        <v>10</v>
      </c>
      <c r="G102" s="767" cm="1">
        <f t="array" aca="1" ref="G102" ca="1">INDIRECT("'Definition of Typical Day'!"&amp;ADDRESS(13,E102))</f>
        <v>4</v>
      </c>
      <c r="H102" s="768" cm="1">
        <f t="array" aca="1" ref="H102" ca="1">INDIRECT("'Definition of Typical Day'!"&amp; ADDRESS($D102+28*(H$16-1),$E102))</f>
        <v>2</v>
      </c>
      <c r="I102" s="715" cm="1">
        <f t="array" aca="1" ref="I102" ca="1">INDIRECT("'Definition of Typical Day'!"&amp; ADDRESS($D102+29*(I$16-1),$E102))</f>
        <v>40</v>
      </c>
      <c r="J102" s="715">
        <f t="shared" ca="1" si="105"/>
        <v>37</v>
      </c>
      <c r="K102" s="785">
        <f t="shared" si="106"/>
        <v>28</v>
      </c>
      <c r="L102" s="786" cm="1">
        <f t="array" aca="1" ref="L102" ca="1">INDIRECT("'Definition of Typical Day'!"&amp; ADDRESS($D102+29*(L$16-1),$E102))</f>
        <v>6</v>
      </c>
      <c r="M102" s="768" cm="1">
        <f t="array" aca="1" ref="M102" ca="1">INDIRECT("'Definition of Typical Day'!"&amp; ADDRESS($D102+29*(M$16-1),$E102))</f>
        <v>60</v>
      </c>
      <c r="N102" s="715">
        <f t="shared" si="107"/>
        <v>3</v>
      </c>
      <c r="O102" s="715">
        <f t="shared" ca="1" si="108"/>
        <v>63</v>
      </c>
      <c r="P102" s="715" cm="1">
        <f t="array" aca="1" ref="P102" ca="1">INDIRECT("'Definition of Typical Day'!"&amp; ADDRESS($D102+29*(P$16-1),$E102))</f>
        <v>45</v>
      </c>
      <c r="Q102" s="787">
        <f t="shared" ca="1" si="109"/>
        <v>48</v>
      </c>
      <c r="R102" s="792">
        <f t="shared" ca="1" si="110"/>
        <v>63</v>
      </c>
      <c r="S102" s="769">
        <f t="shared" si="111"/>
        <v>3</v>
      </c>
      <c r="T102" s="769">
        <f t="shared" ca="1" si="112"/>
        <v>0.24</v>
      </c>
      <c r="U102" s="769">
        <f t="shared" ca="1" si="113"/>
        <v>0.70199999999999996</v>
      </c>
      <c r="V102" s="769">
        <f t="shared" ca="1" si="114"/>
        <v>0</v>
      </c>
      <c r="W102" s="769">
        <f t="shared" ca="1" si="115"/>
        <v>3.9420000000000002</v>
      </c>
      <c r="X102" s="794">
        <f t="shared" si="116"/>
        <v>3</v>
      </c>
      <c r="Y102" s="769">
        <f t="shared" ca="1" si="117"/>
        <v>2.1213203435596428</v>
      </c>
      <c r="Z102" s="769">
        <f t="shared" ca="1" si="118"/>
        <v>2.1213203435596428</v>
      </c>
      <c r="AA102" s="795">
        <f t="shared" ca="1" si="119"/>
        <v>2.1213203435596428</v>
      </c>
      <c r="AB102" s="769">
        <f t="shared" ca="1" si="120"/>
        <v>0</v>
      </c>
      <c r="AC102" s="769">
        <f t="shared" ca="1" si="121"/>
        <v>0</v>
      </c>
      <c r="AD102" s="769">
        <f t="shared" ca="1" si="122"/>
        <v>0</v>
      </c>
      <c r="AE102" s="794">
        <f t="shared" ca="1" si="123"/>
        <v>2.1213203435596428</v>
      </c>
      <c r="AF102" s="769">
        <f t="shared" ca="1" si="124"/>
        <v>2.1213203435596427E-2</v>
      </c>
      <c r="AG102" s="769">
        <f t="shared" ca="1" si="125"/>
        <v>2.1001071401240465</v>
      </c>
      <c r="AH102" s="799">
        <f t="shared" ca="1" si="126"/>
        <v>2.1001071401240465</v>
      </c>
      <c r="AI102" s="801">
        <f t="shared" ca="1" si="127"/>
        <v>1</v>
      </c>
      <c r="AJ102" s="794">
        <f t="shared" ca="1" si="128"/>
        <v>1.5831873289580085</v>
      </c>
      <c r="AK102" s="769">
        <f t="shared" ca="1" si="129"/>
        <v>0.53813301460163443</v>
      </c>
      <c r="AL102" s="769">
        <f t="shared" ca="1" si="130"/>
        <v>0</v>
      </c>
      <c r="AM102" s="804">
        <f t="shared" ca="1" si="80"/>
        <v>0.2110916438610678</v>
      </c>
      <c r="AN102" s="795">
        <f t="shared" ca="1" si="81"/>
        <v>5.5575022805598867E-2</v>
      </c>
      <c r="AO102" s="251"/>
      <c r="AP102" s="770">
        <f t="shared" si="131"/>
        <v>0</v>
      </c>
      <c r="AQ102" s="771">
        <f t="shared" ca="1" si="132"/>
        <v>0</v>
      </c>
      <c r="AR102" s="771">
        <f t="shared" ca="1" si="133"/>
        <v>3.166374657916017</v>
      </c>
      <c r="AS102" s="772">
        <f t="shared" ca="1" si="134"/>
        <v>3.166374657916017</v>
      </c>
      <c r="AT102" s="231"/>
      <c r="AU102" s="770">
        <f>'Main Results - IRR DC Operator'!$F$16</f>
        <v>2</v>
      </c>
      <c r="AV102" s="773">
        <f>'Main Results - IRR DC Operator'!$F$15</f>
        <v>1</v>
      </c>
      <c r="AW102" s="771">
        <f t="shared" ca="1" si="135"/>
        <v>4</v>
      </c>
      <c r="AX102" s="772">
        <f t="shared" si="136"/>
        <v>0</v>
      </c>
      <c r="AY102" s="231"/>
      <c r="AZ102" s="770" cm="1">
        <f t="array" aca="1" ref="AZ102" ca="1">INDIRECT("'Definition of Typical Day'!"&amp; ADDRESS($D102+29*(AZ$16-1),$E102))+$AZ$17</f>
        <v>92.43</v>
      </c>
      <c r="BA102" s="771" cm="1">
        <f t="array" aca="1" ref="BA102" ca="1">INDIRECT("'Definition of Typical Day'!"&amp; ADDRESS($D102+29*(BA$16-1),$E102))+$BA$17</f>
        <v>92.43</v>
      </c>
      <c r="BB102" s="772" cm="1">
        <f t="array" aca="1" ref="BB102" ca="1">INDIRECT("'Definition of Typical Day'!"&amp;ADDRESS(BB$16,$E102))</f>
        <v>60</v>
      </c>
      <c r="BC102" s="776" cm="1">
        <f t="array" aca="1" ref="BC102" ca="1">INDIRECT("'Definition of Typical Day'!"&amp; ADDRESS($D102+29*(BC$16-1),$E102))</f>
        <v>91.43</v>
      </c>
      <c r="BD102" s="777" cm="1">
        <f t="array" aca="1" ref="BD102" ca="1">INDIRECT("'Definition of Typical Day'!"&amp; ADDRESS($D102+29*(BD$16-1),$E102))</f>
        <v>1</v>
      </c>
      <c r="BE102" s="776">
        <f t="shared" si="137"/>
        <v>0</v>
      </c>
      <c r="BF102" s="771">
        <f t="shared" ca="1" si="138"/>
        <v>49.739634539629073</v>
      </c>
      <c r="BG102" s="771">
        <f t="shared" ca="1" si="139"/>
        <v>2.5455844122715714</v>
      </c>
      <c r="BH102" s="771">
        <f t="shared" ca="1" si="140"/>
        <v>0</v>
      </c>
      <c r="BI102" s="776">
        <f t="shared" ca="1" si="141"/>
        <v>19.300108998217429</v>
      </c>
      <c r="BJ102" s="776">
        <f t="shared" ca="1" si="142"/>
        <v>5.0812243351159045</v>
      </c>
      <c r="BK102" s="776">
        <f t="shared" ca="1" si="143"/>
        <v>0</v>
      </c>
      <c r="BL102" s="776">
        <f t="shared" ca="1" si="144"/>
        <v>0</v>
      </c>
      <c r="BM102" s="135"/>
      <c r="BN102" s="776">
        <f t="shared" ca="1" si="145"/>
        <v>56.285218951900646</v>
      </c>
      <c r="BO102" s="778">
        <f t="shared" ca="1" si="82"/>
        <v>26.801117846100013</v>
      </c>
      <c r="BP102" s="770">
        <f t="shared" ca="1" si="83"/>
        <v>52.285218951900646</v>
      </c>
      <c r="BQ102" s="771">
        <f t="shared" ca="1" si="84"/>
        <v>0</v>
      </c>
      <c r="BR102" s="771">
        <f t="shared" ca="1" si="85"/>
        <v>0</v>
      </c>
      <c r="BS102" s="776">
        <f t="shared" ca="1" si="146"/>
        <v>56.285218951900646</v>
      </c>
      <c r="BT102" s="776">
        <f t="shared" ca="1" si="86"/>
        <v>52.285218951900646</v>
      </c>
      <c r="BU102" s="783">
        <f t="shared" ca="1" si="87"/>
        <v>24.8964531156312</v>
      </c>
      <c r="BV102" s="783">
        <f t="shared" ca="1" si="88"/>
        <v>24.8964531156312</v>
      </c>
      <c r="BW102" s="1019">
        <f t="shared" ca="1" si="147"/>
        <v>24.8964531156312</v>
      </c>
      <c r="BX102" s="771" cm="1">
        <f t="array" aca="1" ref="BX102" ca="1">INDIRECT("'Definition of Typical Day'!"&amp; ADDRESS($D102+29*(BX$16-1),$E102))</f>
        <v>40</v>
      </c>
      <c r="BY102" s="771">
        <f t="shared" ca="1" si="148"/>
        <v>1</v>
      </c>
      <c r="BZ102" s="781">
        <f t="shared" ca="1" si="89"/>
        <v>1</v>
      </c>
      <c r="CA102" s="781">
        <f t="shared" ca="1" si="90"/>
        <v>0.70710678118654757</v>
      </c>
      <c r="CB102" s="776">
        <f t="shared" ca="1" si="91"/>
        <v>84.004285604961865</v>
      </c>
      <c r="CC102" s="782">
        <f t="shared" si="92"/>
        <v>4</v>
      </c>
      <c r="CD102" s="782">
        <f t="shared" si="93"/>
        <v>10</v>
      </c>
      <c r="CE102" s="784" t="str" cm="1">
        <f t="array" aca="1" ref="CE102" ca="1">INDIRECT("'Definition of Typical Day'!"&amp;ADDRESS(CE$16,$E102))</f>
        <v>Summer weekday</v>
      </c>
      <c r="CF102" s="232"/>
      <c r="CG102" s="232"/>
      <c r="CH102" s="776">
        <f t="shared" ca="1" si="94"/>
        <v>2</v>
      </c>
      <c r="CI102" s="806">
        <f t="shared" ca="1" si="95"/>
        <v>6</v>
      </c>
      <c r="CJ102" s="770">
        <f t="shared" ca="1" si="96"/>
        <v>2.1001071401240465</v>
      </c>
      <c r="CK102" s="771">
        <f t="shared" ca="1" si="97"/>
        <v>1.5831873289580085</v>
      </c>
      <c r="CL102" s="771">
        <f t="shared" ca="1" si="98"/>
        <v>0.53813301460163443</v>
      </c>
      <c r="CM102" s="772">
        <f t="shared" ca="1" si="99"/>
        <v>0</v>
      </c>
      <c r="CN102" s="135"/>
      <c r="CO102" s="770">
        <f t="shared" ca="1" si="149"/>
        <v>1.05</v>
      </c>
      <c r="CP102" s="771">
        <f t="shared" ca="1" si="100"/>
        <v>0.98</v>
      </c>
      <c r="CQ102" s="771">
        <f t="shared" ca="1" si="101"/>
        <v>0.96</v>
      </c>
      <c r="CR102" s="771">
        <f t="shared" ca="1" si="102"/>
        <v>0.95</v>
      </c>
      <c r="CS102" s="771">
        <f t="shared" ca="1" si="103"/>
        <v>1.02</v>
      </c>
      <c r="CT102" s="772">
        <f t="shared" ca="1" si="104"/>
        <v>0.02</v>
      </c>
      <c r="CU102" s="135"/>
      <c r="CV102" s="135"/>
      <c r="CW102" s="135"/>
      <c r="CX102" s="135"/>
      <c r="CY102" s="135"/>
      <c r="CZ102" s="135"/>
      <c r="DA102" s="135"/>
      <c r="DB102" s="135"/>
      <c r="DC102" s="135"/>
      <c r="DD102" s="135"/>
      <c r="DE102" s="135"/>
      <c r="DF102" s="135"/>
      <c r="DG102" s="135"/>
      <c r="DH102" s="135"/>
      <c r="DI102" s="135"/>
      <c r="DJ102" s="135"/>
      <c r="DK102" s="135"/>
      <c r="DL102" s="135"/>
      <c r="DX102" s="135"/>
      <c r="DY102" s="135"/>
      <c r="DZ102" s="135"/>
      <c r="EA102" s="135"/>
      <c r="EB102" s="135"/>
      <c r="EC102" s="135"/>
      <c r="ED102" s="135"/>
      <c r="EE102" s="135"/>
      <c r="EF102" s="135"/>
      <c r="EG102" s="135"/>
      <c r="EH102" s="135"/>
      <c r="EI102" s="135"/>
      <c r="EJ102" s="135"/>
      <c r="EK102" s="135"/>
      <c r="EL102" s="135"/>
      <c r="EM102" s="135"/>
      <c r="EN102" s="135"/>
      <c r="EO102" s="135"/>
      <c r="EP102" s="135"/>
      <c r="EQ102" s="135"/>
      <c r="ER102" s="135"/>
      <c r="ES102" s="135"/>
      <c r="ET102" s="135"/>
      <c r="EU102" s="135"/>
      <c r="EV102" s="135"/>
      <c r="EW102" s="135"/>
      <c r="EX102" s="135"/>
      <c r="EY102" s="135"/>
      <c r="EZ102" s="135"/>
      <c r="FA102" s="135"/>
      <c r="FB102" s="135"/>
      <c r="FC102" s="135"/>
      <c r="FD102" s="135"/>
      <c r="FE102" s="135"/>
      <c r="FF102" s="135"/>
      <c r="FG102" s="135"/>
    </row>
    <row r="103" spans="1:163" s="57" customFormat="1" ht="11.25" outlineLevel="1">
      <c r="A103" s="765">
        <f t="shared" si="77"/>
        <v>4</v>
      </c>
      <c r="B103" s="715" t="str" cm="1">
        <f t="array" aca="1" ref="B103" ca="1">INDIRECT("'Definition of Typical Day'!"&amp;ADDRESS(B$16,$E103))</f>
        <v>Summer weekday</v>
      </c>
      <c r="C103" s="766">
        <f t="shared" si="78"/>
        <v>11</v>
      </c>
      <c r="D103" s="715">
        <f t="shared" si="78"/>
        <v>45</v>
      </c>
      <c r="E103" s="715">
        <f t="shared" si="79"/>
        <v>8</v>
      </c>
      <c r="F103" s="767" cm="1">
        <f t="array" aca="1" ref="F103" ca="1">INDIRECT("'Definition of Typical Day'!D"&amp;D103)</f>
        <v>11</v>
      </c>
      <c r="G103" s="767" cm="1">
        <f t="array" aca="1" ref="G103" ca="1">INDIRECT("'Definition of Typical Day'!"&amp;ADDRESS(13,E103))</f>
        <v>4</v>
      </c>
      <c r="H103" s="768" cm="1">
        <f t="array" aca="1" ref="H103" ca="1">INDIRECT("'Definition of Typical Day'!"&amp; ADDRESS($D103+28*(H$16-1),$E103))</f>
        <v>2</v>
      </c>
      <c r="I103" s="715" cm="1">
        <f t="array" aca="1" ref="I103" ca="1">INDIRECT("'Definition of Typical Day'!"&amp; ADDRESS($D103+29*(I$16-1),$E103))</f>
        <v>40</v>
      </c>
      <c r="J103" s="715">
        <f t="shared" ca="1" si="105"/>
        <v>37</v>
      </c>
      <c r="K103" s="785">
        <f t="shared" si="106"/>
        <v>28</v>
      </c>
      <c r="L103" s="786" cm="1">
        <f t="array" aca="1" ref="L103" ca="1">INDIRECT("'Definition of Typical Day'!"&amp; ADDRESS($D103+29*(L$16-1),$E103))</f>
        <v>6</v>
      </c>
      <c r="M103" s="768" cm="1">
        <f t="array" aca="1" ref="M103" ca="1">INDIRECT("'Definition of Typical Day'!"&amp; ADDRESS($D103+29*(M$16-1),$E103))</f>
        <v>60</v>
      </c>
      <c r="N103" s="715">
        <f t="shared" si="107"/>
        <v>3</v>
      </c>
      <c r="O103" s="715">
        <f t="shared" ca="1" si="108"/>
        <v>63</v>
      </c>
      <c r="P103" s="715" cm="1">
        <f t="array" aca="1" ref="P103" ca="1">INDIRECT("'Definition of Typical Day'!"&amp; ADDRESS($D103+29*(P$16-1),$E103))</f>
        <v>45</v>
      </c>
      <c r="Q103" s="787">
        <f t="shared" ca="1" si="109"/>
        <v>48</v>
      </c>
      <c r="R103" s="792">
        <f t="shared" ca="1" si="110"/>
        <v>63</v>
      </c>
      <c r="S103" s="769">
        <f t="shared" si="111"/>
        <v>3</v>
      </c>
      <c r="T103" s="769">
        <f t="shared" ca="1" si="112"/>
        <v>0.24</v>
      </c>
      <c r="U103" s="769">
        <f t="shared" ca="1" si="113"/>
        <v>0.70199999999999996</v>
      </c>
      <c r="V103" s="769">
        <f t="shared" ca="1" si="114"/>
        <v>0</v>
      </c>
      <c r="W103" s="769">
        <f t="shared" ca="1" si="115"/>
        <v>3.9420000000000002</v>
      </c>
      <c r="X103" s="794">
        <f t="shared" si="116"/>
        <v>3</v>
      </c>
      <c r="Y103" s="769">
        <f t="shared" ca="1" si="117"/>
        <v>2.1213203435596428</v>
      </c>
      <c r="Z103" s="769">
        <f t="shared" ca="1" si="118"/>
        <v>2.1213203435596428</v>
      </c>
      <c r="AA103" s="795">
        <f t="shared" ca="1" si="119"/>
        <v>2.1213203435596428</v>
      </c>
      <c r="AB103" s="769">
        <f t="shared" ca="1" si="120"/>
        <v>0</v>
      </c>
      <c r="AC103" s="769">
        <f t="shared" ca="1" si="121"/>
        <v>0</v>
      </c>
      <c r="AD103" s="769">
        <f t="shared" ca="1" si="122"/>
        <v>0</v>
      </c>
      <c r="AE103" s="794">
        <f t="shared" ca="1" si="123"/>
        <v>2.1213203435596428</v>
      </c>
      <c r="AF103" s="769">
        <f t="shared" ca="1" si="124"/>
        <v>2.1213203435596427E-2</v>
      </c>
      <c r="AG103" s="769">
        <f t="shared" ca="1" si="125"/>
        <v>2.1001071401240465</v>
      </c>
      <c r="AH103" s="799">
        <f t="shared" ca="1" si="126"/>
        <v>2.1001071401240465</v>
      </c>
      <c r="AI103" s="801">
        <f t="shared" ca="1" si="127"/>
        <v>1</v>
      </c>
      <c r="AJ103" s="794">
        <f t="shared" ca="1" si="128"/>
        <v>1.5831873289580085</v>
      </c>
      <c r="AK103" s="769">
        <f t="shared" ca="1" si="129"/>
        <v>0.53813301460163443</v>
      </c>
      <c r="AL103" s="769">
        <f t="shared" ca="1" si="130"/>
        <v>0</v>
      </c>
      <c r="AM103" s="804">
        <f t="shared" ca="1" si="80"/>
        <v>0.2110916438610678</v>
      </c>
      <c r="AN103" s="795">
        <f t="shared" ca="1" si="81"/>
        <v>5.5575022805598867E-2</v>
      </c>
      <c r="AO103" s="251"/>
      <c r="AP103" s="770">
        <f t="shared" si="131"/>
        <v>0</v>
      </c>
      <c r="AQ103" s="771">
        <f t="shared" ca="1" si="132"/>
        <v>0</v>
      </c>
      <c r="AR103" s="771">
        <f t="shared" ca="1" si="133"/>
        <v>3.166374657916017</v>
      </c>
      <c r="AS103" s="772">
        <f t="shared" ca="1" si="134"/>
        <v>3.166374657916017</v>
      </c>
      <c r="AT103" s="231"/>
      <c r="AU103" s="770">
        <f>'Main Results - IRR DC Operator'!$F$16</f>
        <v>2</v>
      </c>
      <c r="AV103" s="773">
        <f>'Main Results - IRR DC Operator'!$F$15</f>
        <v>1</v>
      </c>
      <c r="AW103" s="771">
        <f t="shared" ca="1" si="135"/>
        <v>4</v>
      </c>
      <c r="AX103" s="772">
        <f t="shared" si="136"/>
        <v>0</v>
      </c>
      <c r="AY103" s="231"/>
      <c r="AZ103" s="770" cm="1">
        <f t="array" aca="1" ref="AZ103" ca="1">INDIRECT("'Definition of Typical Day'!"&amp; ADDRESS($D103+29*(AZ$16-1),$E103))+$AZ$17</f>
        <v>81</v>
      </c>
      <c r="BA103" s="771" cm="1">
        <f t="array" aca="1" ref="BA103" ca="1">INDIRECT("'Definition of Typical Day'!"&amp; ADDRESS($D103+29*(BA$16-1),$E103))+$BA$17</f>
        <v>81</v>
      </c>
      <c r="BB103" s="772" cm="1">
        <f t="array" aca="1" ref="BB103" ca="1">INDIRECT("'Definition of Typical Day'!"&amp;ADDRESS(BB$16,$E103))</f>
        <v>60</v>
      </c>
      <c r="BC103" s="776" cm="1">
        <f t="array" aca="1" ref="BC103" ca="1">INDIRECT("'Definition of Typical Day'!"&amp; ADDRESS($D103+29*(BC$16-1),$E103))</f>
        <v>80</v>
      </c>
      <c r="BD103" s="777" cm="1">
        <f t="array" aca="1" ref="BD103" ca="1">INDIRECT("'Definition of Typical Day'!"&amp; ADDRESS($D103+29*(BD$16-1),$E103))</f>
        <v>1</v>
      </c>
      <c r="BE103" s="776">
        <f t="shared" si="137"/>
        <v>0</v>
      </c>
      <c r="BF103" s="771">
        <f t="shared" ca="1" si="138"/>
        <v>43.588774182732386</v>
      </c>
      <c r="BG103" s="771">
        <f t="shared" ca="1" si="139"/>
        <v>2.5455844122715714</v>
      </c>
      <c r="BH103" s="771">
        <f t="shared" ca="1" si="140"/>
        <v>0</v>
      </c>
      <c r="BI103" s="776">
        <f t="shared" ca="1" si="141"/>
        <v>16.887331508885424</v>
      </c>
      <c r="BJ103" s="776">
        <f t="shared" ca="1" si="142"/>
        <v>4.4460018244479098</v>
      </c>
      <c r="BK103" s="776">
        <f t="shared" ca="1" si="143"/>
        <v>0</v>
      </c>
      <c r="BL103" s="776">
        <f t="shared" ca="1" si="144"/>
        <v>0</v>
      </c>
      <c r="BM103" s="135"/>
      <c r="BN103" s="776">
        <f t="shared" ca="1" si="145"/>
        <v>50.13435859500396</v>
      </c>
      <c r="BO103" s="778">
        <f t="shared" ca="1" si="82"/>
        <v>23.87228615014503</v>
      </c>
      <c r="BP103" s="770">
        <f t="shared" ca="1" si="83"/>
        <v>46.13435859500396</v>
      </c>
      <c r="BQ103" s="771">
        <f t="shared" ca="1" si="84"/>
        <v>0</v>
      </c>
      <c r="BR103" s="771">
        <f t="shared" ca="1" si="85"/>
        <v>0</v>
      </c>
      <c r="BS103" s="776">
        <f t="shared" ca="1" si="146"/>
        <v>50.13435859500396</v>
      </c>
      <c r="BT103" s="776">
        <f t="shared" ca="1" si="86"/>
        <v>46.13435859500396</v>
      </c>
      <c r="BU103" s="783">
        <f t="shared" ca="1" si="87"/>
        <v>21.967621419676213</v>
      </c>
      <c r="BV103" s="783">
        <f t="shared" ca="1" si="88"/>
        <v>21.967621419676213</v>
      </c>
      <c r="BW103" s="1019">
        <f t="shared" ca="1" si="147"/>
        <v>21.967621419676213</v>
      </c>
      <c r="BX103" s="771" cm="1">
        <f t="array" aca="1" ref="BX103" ca="1">INDIRECT("'Definition of Typical Day'!"&amp; ADDRESS($D103+29*(BX$16-1),$E103))</f>
        <v>40</v>
      </c>
      <c r="BY103" s="771">
        <f t="shared" ca="1" si="148"/>
        <v>1</v>
      </c>
      <c r="BZ103" s="781">
        <f t="shared" ca="1" si="89"/>
        <v>1</v>
      </c>
      <c r="CA103" s="781">
        <f t="shared" ca="1" si="90"/>
        <v>0.70710678118654757</v>
      </c>
      <c r="CB103" s="776">
        <f t="shared" ca="1" si="91"/>
        <v>84.004285604961865</v>
      </c>
      <c r="CC103" s="782">
        <f t="shared" si="92"/>
        <v>4</v>
      </c>
      <c r="CD103" s="782">
        <f t="shared" si="93"/>
        <v>11</v>
      </c>
      <c r="CE103" s="784" t="str" cm="1">
        <f t="array" aca="1" ref="CE103" ca="1">INDIRECT("'Definition of Typical Day'!"&amp;ADDRESS(CE$16,$E103))</f>
        <v>Summer weekday</v>
      </c>
      <c r="CF103" s="232"/>
      <c r="CG103" s="232"/>
      <c r="CH103" s="776">
        <f t="shared" ca="1" si="94"/>
        <v>2</v>
      </c>
      <c r="CI103" s="806">
        <f t="shared" ca="1" si="95"/>
        <v>6</v>
      </c>
      <c r="CJ103" s="770">
        <f t="shared" ca="1" si="96"/>
        <v>2.1001071401240465</v>
      </c>
      <c r="CK103" s="771">
        <f t="shared" ca="1" si="97"/>
        <v>1.5831873289580085</v>
      </c>
      <c r="CL103" s="771">
        <f t="shared" ca="1" si="98"/>
        <v>0.53813301460163443</v>
      </c>
      <c r="CM103" s="772">
        <f t="shared" ca="1" si="99"/>
        <v>0</v>
      </c>
      <c r="CN103" s="135"/>
      <c r="CO103" s="770">
        <f t="shared" ca="1" si="149"/>
        <v>1.05</v>
      </c>
      <c r="CP103" s="771">
        <f t="shared" ca="1" si="100"/>
        <v>0.98</v>
      </c>
      <c r="CQ103" s="771">
        <f t="shared" ca="1" si="101"/>
        <v>0.96</v>
      </c>
      <c r="CR103" s="771">
        <f t="shared" ca="1" si="102"/>
        <v>0.95</v>
      </c>
      <c r="CS103" s="771">
        <f t="shared" ca="1" si="103"/>
        <v>1.02</v>
      </c>
      <c r="CT103" s="772">
        <f t="shared" ca="1" si="104"/>
        <v>0.02</v>
      </c>
      <c r="CU103" s="135"/>
      <c r="CV103" s="135"/>
      <c r="CW103" s="135"/>
      <c r="CX103" s="135"/>
      <c r="CY103" s="135"/>
      <c r="CZ103" s="135"/>
      <c r="DA103" s="135"/>
      <c r="DB103" s="135"/>
      <c r="DC103" s="135"/>
      <c r="DD103" s="135"/>
      <c r="DE103" s="135"/>
      <c r="DF103" s="135"/>
      <c r="DG103" s="135"/>
      <c r="DH103" s="135"/>
      <c r="DI103" s="135"/>
      <c r="DJ103" s="135"/>
      <c r="DK103" s="135"/>
      <c r="DL103" s="135"/>
      <c r="DX103" s="135"/>
      <c r="DY103" s="135"/>
      <c r="DZ103" s="135"/>
      <c r="EA103" s="135"/>
      <c r="EB103" s="135"/>
      <c r="EC103" s="135"/>
      <c r="ED103" s="135"/>
      <c r="EE103" s="135"/>
      <c r="EF103" s="135"/>
      <c r="EG103" s="135"/>
      <c r="EH103" s="135"/>
      <c r="EI103" s="135"/>
      <c r="EJ103" s="135"/>
      <c r="EK103" s="135"/>
      <c r="EL103" s="135"/>
      <c r="EM103" s="135"/>
      <c r="EN103" s="135"/>
      <c r="EO103" s="135"/>
      <c r="EP103" s="135"/>
      <c r="EQ103" s="135"/>
      <c r="ER103" s="135"/>
      <c r="ES103" s="135"/>
      <c r="ET103" s="135"/>
      <c r="EU103" s="135"/>
      <c r="EV103" s="135"/>
      <c r="EW103" s="135"/>
      <c r="EX103" s="135"/>
      <c r="EY103" s="135"/>
      <c r="EZ103" s="135"/>
      <c r="FA103" s="135"/>
      <c r="FB103" s="135"/>
      <c r="FC103" s="135"/>
      <c r="FD103" s="135"/>
      <c r="FE103" s="135"/>
      <c r="FF103" s="135"/>
      <c r="FG103" s="135"/>
    </row>
    <row r="104" spans="1:163" s="57" customFormat="1" ht="11.25" outlineLevel="1">
      <c r="A104" s="765">
        <f t="shared" si="77"/>
        <v>4</v>
      </c>
      <c r="B104" s="715" t="str" cm="1">
        <f t="array" aca="1" ref="B104" ca="1">INDIRECT("'Definition of Typical Day'!"&amp;ADDRESS(B$16,$E104))</f>
        <v>Summer weekday</v>
      </c>
      <c r="C104" s="766">
        <f t="shared" si="78"/>
        <v>12</v>
      </c>
      <c r="D104" s="715">
        <f t="shared" si="78"/>
        <v>46</v>
      </c>
      <c r="E104" s="715">
        <f t="shared" si="79"/>
        <v>8</v>
      </c>
      <c r="F104" s="767" cm="1">
        <f t="array" aca="1" ref="F104" ca="1">INDIRECT("'Definition of Typical Day'!D"&amp;D104)</f>
        <v>12</v>
      </c>
      <c r="G104" s="767" cm="1">
        <f t="array" aca="1" ref="G104" ca="1">INDIRECT("'Definition of Typical Day'!"&amp;ADDRESS(13,E104))</f>
        <v>4</v>
      </c>
      <c r="H104" s="768" cm="1">
        <f t="array" aca="1" ref="H104" ca="1">INDIRECT("'Definition of Typical Day'!"&amp; ADDRESS($D104+28*(H$16-1),$E104))</f>
        <v>2</v>
      </c>
      <c r="I104" s="715" cm="1">
        <f t="array" aca="1" ref="I104" ca="1">INDIRECT("'Definition of Typical Day'!"&amp; ADDRESS($D104+29*(I$16-1),$E104))</f>
        <v>40</v>
      </c>
      <c r="J104" s="715">
        <f t="shared" ca="1" si="105"/>
        <v>37</v>
      </c>
      <c r="K104" s="785">
        <f t="shared" si="106"/>
        <v>28</v>
      </c>
      <c r="L104" s="786" cm="1">
        <f t="array" aca="1" ref="L104" ca="1">INDIRECT("'Definition of Typical Day'!"&amp; ADDRESS($D104+29*(L$16-1),$E104))</f>
        <v>6</v>
      </c>
      <c r="M104" s="768" cm="1">
        <f t="array" aca="1" ref="M104" ca="1">INDIRECT("'Definition of Typical Day'!"&amp; ADDRESS($D104+29*(M$16-1),$E104))</f>
        <v>60</v>
      </c>
      <c r="N104" s="715">
        <f t="shared" si="107"/>
        <v>3</v>
      </c>
      <c r="O104" s="715">
        <f t="shared" ca="1" si="108"/>
        <v>63</v>
      </c>
      <c r="P104" s="715" cm="1">
        <f t="array" aca="1" ref="P104" ca="1">INDIRECT("'Definition of Typical Day'!"&amp; ADDRESS($D104+29*(P$16-1),$E104))</f>
        <v>45</v>
      </c>
      <c r="Q104" s="787">
        <f t="shared" ca="1" si="109"/>
        <v>48</v>
      </c>
      <c r="R104" s="792">
        <f t="shared" ca="1" si="110"/>
        <v>63</v>
      </c>
      <c r="S104" s="769">
        <f t="shared" si="111"/>
        <v>3</v>
      </c>
      <c r="T104" s="769">
        <f t="shared" ca="1" si="112"/>
        <v>0.24</v>
      </c>
      <c r="U104" s="769">
        <f t="shared" ca="1" si="113"/>
        <v>0.70199999999999996</v>
      </c>
      <c r="V104" s="769">
        <f t="shared" ca="1" si="114"/>
        <v>0</v>
      </c>
      <c r="W104" s="769">
        <f t="shared" ca="1" si="115"/>
        <v>3.9420000000000002</v>
      </c>
      <c r="X104" s="794">
        <f t="shared" si="116"/>
        <v>3</v>
      </c>
      <c r="Y104" s="769">
        <f t="shared" ca="1" si="117"/>
        <v>2.1213203435596428</v>
      </c>
      <c r="Z104" s="769">
        <f t="shared" ca="1" si="118"/>
        <v>2.1213203435596428</v>
      </c>
      <c r="AA104" s="795">
        <f t="shared" ca="1" si="119"/>
        <v>2.1213203435596428</v>
      </c>
      <c r="AB104" s="769">
        <f t="shared" ca="1" si="120"/>
        <v>0</v>
      </c>
      <c r="AC104" s="769">
        <f t="shared" ca="1" si="121"/>
        <v>0</v>
      </c>
      <c r="AD104" s="769">
        <f t="shared" ca="1" si="122"/>
        <v>0</v>
      </c>
      <c r="AE104" s="794">
        <f t="shared" ca="1" si="123"/>
        <v>2.1213203435596428</v>
      </c>
      <c r="AF104" s="769">
        <f t="shared" ca="1" si="124"/>
        <v>2.1213203435596427E-2</v>
      </c>
      <c r="AG104" s="769">
        <f t="shared" ca="1" si="125"/>
        <v>2.1001071401240465</v>
      </c>
      <c r="AH104" s="799">
        <f t="shared" ca="1" si="126"/>
        <v>2.1001071401240465</v>
      </c>
      <c r="AI104" s="801">
        <f t="shared" ca="1" si="127"/>
        <v>1</v>
      </c>
      <c r="AJ104" s="794">
        <f t="shared" ca="1" si="128"/>
        <v>1.5831873289580085</v>
      </c>
      <c r="AK104" s="769">
        <f t="shared" ca="1" si="129"/>
        <v>0.53813301460163443</v>
      </c>
      <c r="AL104" s="769">
        <f t="shared" ca="1" si="130"/>
        <v>0</v>
      </c>
      <c r="AM104" s="804">
        <f t="shared" ca="1" si="80"/>
        <v>0.2110916438610678</v>
      </c>
      <c r="AN104" s="795">
        <f t="shared" ca="1" si="81"/>
        <v>5.5575022805598867E-2</v>
      </c>
      <c r="AO104" s="251"/>
      <c r="AP104" s="770">
        <f t="shared" si="131"/>
        <v>0</v>
      </c>
      <c r="AQ104" s="771">
        <f t="shared" ca="1" si="132"/>
        <v>0</v>
      </c>
      <c r="AR104" s="771">
        <f t="shared" ca="1" si="133"/>
        <v>3.166374657916017</v>
      </c>
      <c r="AS104" s="772">
        <f t="shared" ca="1" si="134"/>
        <v>3.166374657916017</v>
      </c>
      <c r="AT104" s="231"/>
      <c r="AU104" s="770">
        <f>'Main Results - IRR DC Operator'!$F$16</f>
        <v>2</v>
      </c>
      <c r="AV104" s="773">
        <f>'Main Results - IRR DC Operator'!$F$15</f>
        <v>1</v>
      </c>
      <c r="AW104" s="771">
        <f t="shared" ca="1" si="135"/>
        <v>4</v>
      </c>
      <c r="AX104" s="772">
        <f t="shared" si="136"/>
        <v>0</v>
      </c>
      <c r="AY104" s="231"/>
      <c r="AZ104" s="770" cm="1">
        <f t="array" aca="1" ref="AZ104" ca="1">INDIRECT("'Definition of Typical Day'!"&amp; ADDRESS($D104+29*(AZ$16-1),$E104))+$AZ$17</f>
        <v>69.75</v>
      </c>
      <c r="BA104" s="771" cm="1">
        <f t="array" aca="1" ref="BA104" ca="1">INDIRECT("'Definition of Typical Day'!"&amp; ADDRESS($D104+29*(BA$16-1),$E104))+$BA$17</f>
        <v>69.75</v>
      </c>
      <c r="BB104" s="772" cm="1">
        <f t="array" aca="1" ref="BB104" ca="1">INDIRECT("'Definition of Typical Day'!"&amp;ADDRESS(BB$16,$E104))</f>
        <v>60</v>
      </c>
      <c r="BC104" s="776" cm="1">
        <f t="array" aca="1" ref="BC104" ca="1">INDIRECT("'Definition of Typical Day'!"&amp; ADDRESS($D104+29*(BC$16-1),$E104))</f>
        <v>68.75</v>
      </c>
      <c r="BD104" s="777" cm="1">
        <f t="array" aca="1" ref="BD104" ca="1">INDIRECT("'Definition of Typical Day'!"&amp; ADDRESS($D104+29*(BD$16-1),$E104))</f>
        <v>1</v>
      </c>
      <c r="BE104" s="776">
        <f t="shared" si="137"/>
        <v>0</v>
      </c>
      <c r="BF104" s="771">
        <f t="shared" ca="1" si="138"/>
        <v>37.534777768464004</v>
      </c>
      <c r="BG104" s="771">
        <f t="shared" ca="1" si="139"/>
        <v>2.5455844122715714</v>
      </c>
      <c r="BH104" s="771">
        <f t="shared" ca="1" si="140"/>
        <v>0</v>
      </c>
      <c r="BI104" s="776">
        <f t="shared" ca="1" si="141"/>
        <v>14.51255051544841</v>
      </c>
      <c r="BJ104" s="776">
        <f t="shared" ca="1" si="142"/>
        <v>3.8207828178849219</v>
      </c>
      <c r="BK104" s="776">
        <f t="shared" ca="1" si="143"/>
        <v>0</v>
      </c>
      <c r="BL104" s="776">
        <f t="shared" ca="1" si="144"/>
        <v>0</v>
      </c>
      <c r="BM104" s="135"/>
      <c r="BN104" s="776">
        <f t="shared" ca="1" si="145"/>
        <v>44.080362180735577</v>
      </c>
      <c r="BO104" s="778">
        <f t="shared" ca="1" si="82"/>
        <v>20.989577787984611</v>
      </c>
      <c r="BP104" s="770">
        <f t="shared" ca="1" si="83"/>
        <v>40.080362180735577</v>
      </c>
      <c r="BQ104" s="771">
        <f t="shared" ca="1" si="84"/>
        <v>0</v>
      </c>
      <c r="BR104" s="771">
        <f t="shared" ca="1" si="85"/>
        <v>0</v>
      </c>
      <c r="BS104" s="776">
        <f t="shared" ca="1" si="146"/>
        <v>44.080362180735577</v>
      </c>
      <c r="BT104" s="776">
        <f t="shared" ca="1" si="86"/>
        <v>40.080362180735577</v>
      </c>
      <c r="BU104" s="783">
        <f t="shared" ca="1" si="87"/>
        <v>19.084913057515799</v>
      </c>
      <c r="BV104" s="783">
        <f t="shared" ca="1" si="88"/>
        <v>19.084913057515799</v>
      </c>
      <c r="BW104" s="1019">
        <f t="shared" ca="1" si="147"/>
        <v>19.084913057515799</v>
      </c>
      <c r="BX104" s="771" cm="1">
        <f t="array" aca="1" ref="BX104" ca="1">INDIRECT("'Definition of Typical Day'!"&amp; ADDRESS($D104+29*(BX$16-1),$E104))</f>
        <v>40</v>
      </c>
      <c r="BY104" s="771">
        <f t="shared" ca="1" si="148"/>
        <v>1</v>
      </c>
      <c r="BZ104" s="781">
        <f t="shared" ca="1" si="89"/>
        <v>1</v>
      </c>
      <c r="CA104" s="781">
        <f t="shared" ca="1" si="90"/>
        <v>0.70710678118654757</v>
      </c>
      <c r="CB104" s="776">
        <f t="shared" ca="1" si="91"/>
        <v>84.004285604961865</v>
      </c>
      <c r="CC104" s="782">
        <f t="shared" si="92"/>
        <v>4</v>
      </c>
      <c r="CD104" s="782">
        <f t="shared" si="93"/>
        <v>12</v>
      </c>
      <c r="CE104" s="784" t="str" cm="1">
        <f t="array" aca="1" ref="CE104" ca="1">INDIRECT("'Definition of Typical Day'!"&amp;ADDRESS(CE$16,$E104))</f>
        <v>Summer weekday</v>
      </c>
      <c r="CF104" s="232"/>
      <c r="CG104" s="232"/>
      <c r="CH104" s="776">
        <f t="shared" ca="1" si="94"/>
        <v>2</v>
      </c>
      <c r="CI104" s="806">
        <f t="shared" ca="1" si="95"/>
        <v>6</v>
      </c>
      <c r="CJ104" s="770">
        <f t="shared" ca="1" si="96"/>
        <v>2.1001071401240465</v>
      </c>
      <c r="CK104" s="771">
        <f t="shared" ca="1" si="97"/>
        <v>1.5831873289580085</v>
      </c>
      <c r="CL104" s="771">
        <f t="shared" ca="1" si="98"/>
        <v>0.53813301460163443</v>
      </c>
      <c r="CM104" s="772">
        <f t="shared" ca="1" si="99"/>
        <v>0</v>
      </c>
      <c r="CN104" s="135"/>
      <c r="CO104" s="770">
        <f t="shared" ca="1" si="149"/>
        <v>1.05</v>
      </c>
      <c r="CP104" s="771">
        <f t="shared" ca="1" si="100"/>
        <v>0.98</v>
      </c>
      <c r="CQ104" s="771">
        <f t="shared" ca="1" si="101"/>
        <v>0.96</v>
      </c>
      <c r="CR104" s="771">
        <f t="shared" ca="1" si="102"/>
        <v>0.95</v>
      </c>
      <c r="CS104" s="771">
        <f t="shared" ca="1" si="103"/>
        <v>1.02</v>
      </c>
      <c r="CT104" s="772">
        <f t="shared" ca="1" si="104"/>
        <v>0.02</v>
      </c>
      <c r="CU104" s="135"/>
      <c r="CV104" s="135"/>
      <c r="CW104" s="135"/>
      <c r="CX104" s="135"/>
      <c r="CY104" s="135"/>
      <c r="CZ104" s="135"/>
      <c r="DA104" s="135"/>
      <c r="DB104" s="135"/>
      <c r="DC104" s="135"/>
      <c r="DD104" s="135"/>
      <c r="DE104" s="135"/>
      <c r="DF104" s="135"/>
      <c r="DG104" s="135"/>
      <c r="DH104" s="135"/>
      <c r="DI104" s="135"/>
      <c r="DJ104" s="135"/>
      <c r="DK104" s="135"/>
      <c r="DL104" s="135"/>
      <c r="DX104" s="135"/>
      <c r="DY104" s="135"/>
      <c r="DZ104" s="135"/>
      <c r="EA104" s="135"/>
      <c r="EB104" s="135"/>
      <c r="EC104" s="135"/>
      <c r="ED104" s="135"/>
      <c r="EE104" s="135"/>
      <c r="EF104" s="135"/>
      <c r="EG104" s="135"/>
      <c r="EH104" s="135"/>
      <c r="EI104" s="135"/>
      <c r="EJ104" s="135"/>
      <c r="EK104" s="135"/>
      <c r="EL104" s="135"/>
      <c r="EM104" s="135"/>
      <c r="EN104" s="135"/>
      <c r="EO104" s="135"/>
      <c r="EP104" s="135"/>
      <c r="EQ104" s="135"/>
      <c r="ER104" s="135"/>
      <c r="ES104" s="135"/>
      <c r="ET104" s="135"/>
      <c r="EU104" s="135"/>
      <c r="EV104" s="135"/>
      <c r="EW104" s="135"/>
      <c r="EX104" s="135"/>
      <c r="EY104" s="135"/>
      <c r="EZ104" s="135"/>
      <c r="FA104" s="135"/>
      <c r="FB104" s="135"/>
      <c r="FC104" s="135"/>
      <c r="FD104" s="135"/>
      <c r="FE104" s="135"/>
      <c r="FF104" s="135"/>
      <c r="FG104" s="135"/>
    </row>
    <row r="105" spans="1:163" s="57" customFormat="1" ht="11.25" outlineLevel="1">
      <c r="A105" s="765">
        <f t="shared" si="77"/>
        <v>4</v>
      </c>
      <c r="B105" s="715" t="str" cm="1">
        <f t="array" aca="1" ref="B105" ca="1">INDIRECT("'Definition of Typical Day'!"&amp;ADDRESS(B$16,$E105))</f>
        <v>Summer weekday</v>
      </c>
      <c r="C105" s="766">
        <f t="shared" si="78"/>
        <v>13</v>
      </c>
      <c r="D105" s="715">
        <f t="shared" si="78"/>
        <v>47</v>
      </c>
      <c r="E105" s="715">
        <f t="shared" si="79"/>
        <v>8</v>
      </c>
      <c r="F105" s="767" cm="1">
        <f t="array" aca="1" ref="F105" ca="1">INDIRECT("'Definition of Typical Day'!D"&amp;D105)</f>
        <v>13</v>
      </c>
      <c r="G105" s="767" cm="1">
        <f t="array" aca="1" ref="G105" ca="1">INDIRECT("'Definition of Typical Day'!"&amp;ADDRESS(13,E105))</f>
        <v>4</v>
      </c>
      <c r="H105" s="768" cm="1">
        <f t="array" aca="1" ref="H105" ca="1">INDIRECT("'Definition of Typical Day'!"&amp; ADDRESS($D105+28*(H$16-1),$E105))</f>
        <v>2</v>
      </c>
      <c r="I105" s="715" cm="1">
        <f t="array" aca="1" ref="I105" ca="1">INDIRECT("'Definition of Typical Day'!"&amp; ADDRESS($D105+29*(I$16-1),$E105))</f>
        <v>40</v>
      </c>
      <c r="J105" s="715">
        <f t="shared" ca="1" si="105"/>
        <v>37</v>
      </c>
      <c r="K105" s="785">
        <f t="shared" si="106"/>
        <v>28</v>
      </c>
      <c r="L105" s="786" cm="1">
        <f t="array" aca="1" ref="L105" ca="1">INDIRECT("'Definition of Typical Day'!"&amp; ADDRESS($D105+29*(L$16-1),$E105))</f>
        <v>6</v>
      </c>
      <c r="M105" s="768" cm="1">
        <f t="array" aca="1" ref="M105" ca="1">INDIRECT("'Definition of Typical Day'!"&amp; ADDRESS($D105+29*(M$16-1),$E105))</f>
        <v>60</v>
      </c>
      <c r="N105" s="715">
        <f t="shared" si="107"/>
        <v>3</v>
      </c>
      <c r="O105" s="715">
        <f t="shared" ca="1" si="108"/>
        <v>63</v>
      </c>
      <c r="P105" s="715" cm="1">
        <f t="array" aca="1" ref="P105" ca="1">INDIRECT("'Definition of Typical Day'!"&amp; ADDRESS($D105+29*(P$16-1),$E105))</f>
        <v>45</v>
      </c>
      <c r="Q105" s="787">
        <f t="shared" ca="1" si="109"/>
        <v>48</v>
      </c>
      <c r="R105" s="792">
        <f t="shared" ca="1" si="110"/>
        <v>63</v>
      </c>
      <c r="S105" s="769">
        <f t="shared" si="111"/>
        <v>3</v>
      </c>
      <c r="T105" s="769">
        <f t="shared" ca="1" si="112"/>
        <v>0.24</v>
      </c>
      <c r="U105" s="769">
        <f t="shared" ca="1" si="113"/>
        <v>0.70199999999999996</v>
      </c>
      <c r="V105" s="769">
        <f t="shared" ca="1" si="114"/>
        <v>0</v>
      </c>
      <c r="W105" s="769">
        <f t="shared" ca="1" si="115"/>
        <v>3.9420000000000002</v>
      </c>
      <c r="X105" s="794">
        <f t="shared" si="116"/>
        <v>3</v>
      </c>
      <c r="Y105" s="769">
        <f t="shared" ca="1" si="117"/>
        <v>2.1213203435596428</v>
      </c>
      <c r="Z105" s="769">
        <f t="shared" ca="1" si="118"/>
        <v>2.1213203435596428</v>
      </c>
      <c r="AA105" s="795">
        <f t="shared" ca="1" si="119"/>
        <v>2.1213203435596428</v>
      </c>
      <c r="AB105" s="769">
        <f t="shared" ca="1" si="120"/>
        <v>0</v>
      </c>
      <c r="AC105" s="769">
        <f t="shared" ca="1" si="121"/>
        <v>0</v>
      </c>
      <c r="AD105" s="769">
        <f t="shared" ca="1" si="122"/>
        <v>0</v>
      </c>
      <c r="AE105" s="794">
        <f t="shared" ca="1" si="123"/>
        <v>2.1213203435596428</v>
      </c>
      <c r="AF105" s="769">
        <f t="shared" ca="1" si="124"/>
        <v>2.1213203435596427E-2</v>
      </c>
      <c r="AG105" s="769">
        <f t="shared" ca="1" si="125"/>
        <v>2.1001071401240465</v>
      </c>
      <c r="AH105" s="799">
        <f t="shared" ca="1" si="126"/>
        <v>2.1001071401240465</v>
      </c>
      <c r="AI105" s="801">
        <f t="shared" ca="1" si="127"/>
        <v>1</v>
      </c>
      <c r="AJ105" s="794">
        <f t="shared" ca="1" si="128"/>
        <v>1.5831873289580085</v>
      </c>
      <c r="AK105" s="769">
        <f t="shared" ca="1" si="129"/>
        <v>0.53813301460163443</v>
      </c>
      <c r="AL105" s="769">
        <f t="shared" ca="1" si="130"/>
        <v>0</v>
      </c>
      <c r="AM105" s="804">
        <f t="shared" ca="1" si="80"/>
        <v>0.2110916438610678</v>
      </c>
      <c r="AN105" s="795">
        <f t="shared" ca="1" si="81"/>
        <v>5.5575022805598867E-2</v>
      </c>
      <c r="AO105" s="251"/>
      <c r="AP105" s="770">
        <f t="shared" si="131"/>
        <v>0</v>
      </c>
      <c r="AQ105" s="771">
        <f t="shared" ca="1" si="132"/>
        <v>0</v>
      </c>
      <c r="AR105" s="771">
        <f t="shared" ca="1" si="133"/>
        <v>3.166374657916017</v>
      </c>
      <c r="AS105" s="772">
        <f t="shared" ca="1" si="134"/>
        <v>3.166374657916017</v>
      </c>
      <c r="AT105" s="231"/>
      <c r="AU105" s="770">
        <f>'Main Results - IRR DC Operator'!$F$16</f>
        <v>2</v>
      </c>
      <c r="AV105" s="773">
        <f>'Main Results - IRR DC Operator'!$F$15</f>
        <v>1</v>
      </c>
      <c r="AW105" s="771">
        <f t="shared" ca="1" si="135"/>
        <v>4</v>
      </c>
      <c r="AX105" s="772">
        <f t="shared" si="136"/>
        <v>0</v>
      </c>
      <c r="AY105" s="231"/>
      <c r="AZ105" s="770" cm="1">
        <f t="array" aca="1" ref="AZ105" ca="1">INDIRECT("'Definition of Typical Day'!"&amp; ADDRESS($D105+29*(AZ$16-1),$E105))+$AZ$17</f>
        <v>55.34</v>
      </c>
      <c r="BA105" s="771" cm="1">
        <f t="array" aca="1" ref="BA105" ca="1">INDIRECT("'Definition of Typical Day'!"&amp; ADDRESS($D105+29*(BA$16-1),$E105))+$BA$17</f>
        <v>55.34</v>
      </c>
      <c r="BB105" s="772" cm="1">
        <f t="array" aca="1" ref="BB105" ca="1">INDIRECT("'Definition of Typical Day'!"&amp;ADDRESS(BB$16,$E105))</f>
        <v>60</v>
      </c>
      <c r="BC105" s="776" cm="1">
        <f t="array" aca="1" ref="BC105" ca="1">INDIRECT("'Definition of Typical Day'!"&amp; ADDRESS($D105+29*(BC$16-1),$E105))</f>
        <v>54.34</v>
      </c>
      <c r="BD105" s="777" cm="1">
        <f t="array" aca="1" ref="BD105" ca="1">INDIRECT("'Definition of Typical Day'!"&amp; ADDRESS($D105+29*(BD$16-1),$E105))</f>
        <v>1</v>
      </c>
      <c r="BE105" s="776">
        <f t="shared" si="137"/>
        <v>0</v>
      </c>
      <c r="BF105" s="771">
        <f t="shared" ca="1" si="138"/>
        <v>29.78028102805445</v>
      </c>
      <c r="BG105" s="771">
        <f t="shared" ca="1" si="139"/>
        <v>2.5455844122715714</v>
      </c>
      <c r="BH105" s="771">
        <f t="shared" ca="1" si="140"/>
        <v>0</v>
      </c>
      <c r="BI105" s="776">
        <f t="shared" ca="1" si="141"/>
        <v>11.470719927410425</v>
      </c>
      <c r="BJ105" s="776">
        <f t="shared" ca="1" si="142"/>
        <v>3.0199467392562425</v>
      </c>
      <c r="BK105" s="776">
        <f t="shared" ca="1" si="143"/>
        <v>0</v>
      </c>
      <c r="BL105" s="776">
        <f t="shared" ca="1" si="144"/>
        <v>0</v>
      </c>
      <c r="BM105" s="135"/>
      <c r="BN105" s="776">
        <f t="shared" ca="1" si="145"/>
        <v>36.325865440326019</v>
      </c>
      <c r="BO105" s="778">
        <f t="shared" ca="1" si="82"/>
        <v>17.297148676986247</v>
      </c>
      <c r="BP105" s="770">
        <f t="shared" ca="1" si="83"/>
        <v>32.325865440326019</v>
      </c>
      <c r="BQ105" s="771">
        <f t="shared" ca="1" si="84"/>
        <v>0</v>
      </c>
      <c r="BR105" s="771">
        <f t="shared" ca="1" si="85"/>
        <v>0</v>
      </c>
      <c r="BS105" s="776">
        <f t="shared" ca="1" si="146"/>
        <v>36.325865440326019</v>
      </c>
      <c r="BT105" s="776">
        <f t="shared" ca="1" si="86"/>
        <v>32.325865440326019</v>
      </c>
      <c r="BU105" s="783">
        <f t="shared" ca="1" si="87"/>
        <v>15.392483946517432</v>
      </c>
      <c r="BV105" s="783">
        <f t="shared" ca="1" si="88"/>
        <v>15.392483946517432</v>
      </c>
      <c r="BW105" s="1019">
        <f t="shared" ca="1" si="147"/>
        <v>15.392483946517432</v>
      </c>
      <c r="BX105" s="771" cm="1">
        <f t="array" aca="1" ref="BX105" ca="1">INDIRECT("'Definition of Typical Day'!"&amp; ADDRESS($D105+29*(BX$16-1),$E105))</f>
        <v>40</v>
      </c>
      <c r="BY105" s="771">
        <f t="shared" ca="1" si="148"/>
        <v>1</v>
      </c>
      <c r="BZ105" s="781">
        <f t="shared" ca="1" si="89"/>
        <v>1</v>
      </c>
      <c r="CA105" s="781">
        <f t="shared" ca="1" si="90"/>
        <v>0.70710678118654757</v>
      </c>
      <c r="CB105" s="776">
        <f t="shared" ca="1" si="91"/>
        <v>84.004285604961865</v>
      </c>
      <c r="CC105" s="782">
        <f t="shared" si="92"/>
        <v>4</v>
      </c>
      <c r="CD105" s="782">
        <f t="shared" si="93"/>
        <v>13</v>
      </c>
      <c r="CE105" s="784" t="str" cm="1">
        <f t="array" aca="1" ref="CE105" ca="1">INDIRECT("'Definition of Typical Day'!"&amp;ADDRESS(CE$16,$E105))</f>
        <v>Summer weekday</v>
      </c>
      <c r="CF105" s="232"/>
      <c r="CG105" s="232"/>
      <c r="CH105" s="776">
        <f t="shared" ca="1" si="94"/>
        <v>2</v>
      </c>
      <c r="CI105" s="806">
        <f t="shared" ca="1" si="95"/>
        <v>6</v>
      </c>
      <c r="CJ105" s="770">
        <f t="shared" ca="1" si="96"/>
        <v>2.1001071401240465</v>
      </c>
      <c r="CK105" s="771">
        <f t="shared" ca="1" si="97"/>
        <v>1.5831873289580085</v>
      </c>
      <c r="CL105" s="771">
        <f t="shared" ca="1" si="98"/>
        <v>0.53813301460163443</v>
      </c>
      <c r="CM105" s="772">
        <f t="shared" ca="1" si="99"/>
        <v>0</v>
      </c>
      <c r="CN105" s="135"/>
      <c r="CO105" s="770">
        <f t="shared" ca="1" si="149"/>
        <v>1.05</v>
      </c>
      <c r="CP105" s="771">
        <f t="shared" ca="1" si="100"/>
        <v>0.98</v>
      </c>
      <c r="CQ105" s="771">
        <f t="shared" ca="1" si="101"/>
        <v>0.96</v>
      </c>
      <c r="CR105" s="771">
        <f t="shared" ca="1" si="102"/>
        <v>0.95</v>
      </c>
      <c r="CS105" s="771">
        <f t="shared" ca="1" si="103"/>
        <v>1.02</v>
      </c>
      <c r="CT105" s="772">
        <f t="shared" ca="1" si="104"/>
        <v>0.02</v>
      </c>
      <c r="CU105" s="135"/>
      <c r="CV105" s="135"/>
      <c r="CW105" s="135"/>
      <c r="CX105" s="135"/>
      <c r="CY105" s="135"/>
      <c r="CZ105" s="135"/>
      <c r="DA105" s="135"/>
      <c r="DB105" s="135"/>
      <c r="DC105" s="135"/>
      <c r="DD105" s="135"/>
      <c r="DE105" s="135"/>
      <c r="DF105" s="135"/>
      <c r="DG105" s="135"/>
      <c r="DH105" s="135"/>
      <c r="DI105" s="135"/>
      <c r="DJ105" s="135"/>
      <c r="DK105" s="135"/>
      <c r="DL105" s="135"/>
      <c r="DX105" s="135"/>
      <c r="DY105" s="135"/>
      <c r="DZ105" s="135"/>
      <c r="EA105" s="135"/>
      <c r="EB105" s="135"/>
      <c r="EC105" s="135"/>
      <c r="ED105" s="135"/>
      <c r="EE105" s="135"/>
      <c r="EF105" s="135"/>
      <c r="EG105" s="135"/>
      <c r="EH105" s="135"/>
      <c r="EI105" s="135"/>
      <c r="EJ105" s="135"/>
      <c r="EK105" s="135"/>
      <c r="EL105" s="135"/>
      <c r="EM105" s="135"/>
      <c r="EN105" s="135"/>
      <c r="EO105" s="135"/>
      <c r="EP105" s="135"/>
      <c r="EQ105" s="135"/>
      <c r="ER105" s="135"/>
      <c r="ES105" s="135"/>
      <c r="ET105" s="135"/>
      <c r="EU105" s="135"/>
      <c r="EV105" s="135"/>
      <c r="EW105" s="135"/>
      <c r="EX105" s="135"/>
      <c r="EY105" s="135"/>
      <c r="EZ105" s="135"/>
      <c r="FA105" s="135"/>
      <c r="FB105" s="135"/>
      <c r="FC105" s="135"/>
      <c r="FD105" s="135"/>
      <c r="FE105" s="135"/>
      <c r="FF105" s="135"/>
      <c r="FG105" s="135"/>
    </row>
    <row r="106" spans="1:163" s="57" customFormat="1" ht="11.25" outlineLevel="1">
      <c r="A106" s="765">
        <f t="shared" si="77"/>
        <v>4</v>
      </c>
      <c r="B106" s="715" t="str" cm="1">
        <f t="array" aca="1" ref="B106" ca="1">INDIRECT("'Definition of Typical Day'!"&amp;ADDRESS(B$16,$E106))</f>
        <v>Summer weekday</v>
      </c>
      <c r="C106" s="766">
        <f t="shared" si="78"/>
        <v>14</v>
      </c>
      <c r="D106" s="715">
        <f t="shared" si="78"/>
        <v>48</v>
      </c>
      <c r="E106" s="715">
        <f t="shared" si="79"/>
        <v>8</v>
      </c>
      <c r="F106" s="767" cm="1">
        <f t="array" aca="1" ref="F106" ca="1">INDIRECT("'Definition of Typical Day'!D"&amp;D106)</f>
        <v>14</v>
      </c>
      <c r="G106" s="767" cm="1">
        <f t="array" aca="1" ref="G106" ca="1">INDIRECT("'Definition of Typical Day'!"&amp;ADDRESS(13,E106))</f>
        <v>4</v>
      </c>
      <c r="H106" s="768" cm="1">
        <f t="array" aca="1" ref="H106" ca="1">INDIRECT("'Definition of Typical Day'!"&amp; ADDRESS($D106+28*(H$16-1),$E106))</f>
        <v>2</v>
      </c>
      <c r="I106" s="715" cm="1">
        <f t="array" aca="1" ref="I106" ca="1">INDIRECT("'Definition of Typical Day'!"&amp; ADDRESS($D106+29*(I$16-1),$E106))</f>
        <v>40</v>
      </c>
      <c r="J106" s="715">
        <f t="shared" ca="1" si="105"/>
        <v>37</v>
      </c>
      <c r="K106" s="785">
        <f t="shared" si="106"/>
        <v>28</v>
      </c>
      <c r="L106" s="786" cm="1">
        <f t="array" aca="1" ref="L106" ca="1">INDIRECT("'Definition of Typical Day'!"&amp; ADDRESS($D106+29*(L$16-1),$E106))</f>
        <v>6</v>
      </c>
      <c r="M106" s="768" cm="1">
        <f t="array" aca="1" ref="M106" ca="1">INDIRECT("'Definition of Typical Day'!"&amp; ADDRESS($D106+29*(M$16-1),$E106))</f>
        <v>60</v>
      </c>
      <c r="N106" s="715">
        <f t="shared" si="107"/>
        <v>3</v>
      </c>
      <c r="O106" s="715">
        <f t="shared" ca="1" si="108"/>
        <v>63</v>
      </c>
      <c r="P106" s="715" cm="1">
        <f t="array" aca="1" ref="P106" ca="1">INDIRECT("'Definition of Typical Day'!"&amp; ADDRESS($D106+29*(P$16-1),$E106))</f>
        <v>45</v>
      </c>
      <c r="Q106" s="787">
        <f t="shared" ca="1" si="109"/>
        <v>48</v>
      </c>
      <c r="R106" s="792">
        <f t="shared" ca="1" si="110"/>
        <v>63</v>
      </c>
      <c r="S106" s="769">
        <f t="shared" si="111"/>
        <v>3</v>
      </c>
      <c r="T106" s="769">
        <f t="shared" ca="1" si="112"/>
        <v>0.24</v>
      </c>
      <c r="U106" s="769">
        <f t="shared" ca="1" si="113"/>
        <v>0.70199999999999996</v>
      </c>
      <c r="V106" s="769">
        <f t="shared" ca="1" si="114"/>
        <v>0</v>
      </c>
      <c r="W106" s="769">
        <f t="shared" ca="1" si="115"/>
        <v>3.9420000000000002</v>
      </c>
      <c r="X106" s="794">
        <f t="shared" si="116"/>
        <v>3</v>
      </c>
      <c r="Y106" s="769">
        <f t="shared" ca="1" si="117"/>
        <v>2.1213203435596428</v>
      </c>
      <c r="Z106" s="769">
        <f t="shared" ca="1" si="118"/>
        <v>2.1213203435596428</v>
      </c>
      <c r="AA106" s="795">
        <f t="shared" ca="1" si="119"/>
        <v>2.1213203435596428</v>
      </c>
      <c r="AB106" s="769">
        <f t="shared" ca="1" si="120"/>
        <v>0</v>
      </c>
      <c r="AC106" s="769">
        <f t="shared" ca="1" si="121"/>
        <v>0</v>
      </c>
      <c r="AD106" s="769">
        <f t="shared" ca="1" si="122"/>
        <v>0</v>
      </c>
      <c r="AE106" s="794">
        <f t="shared" ca="1" si="123"/>
        <v>2.1213203435596428</v>
      </c>
      <c r="AF106" s="769">
        <f t="shared" ca="1" si="124"/>
        <v>2.1213203435596427E-2</v>
      </c>
      <c r="AG106" s="769">
        <f t="shared" ca="1" si="125"/>
        <v>2.1001071401240465</v>
      </c>
      <c r="AH106" s="799">
        <f t="shared" ca="1" si="126"/>
        <v>2.1001071401240465</v>
      </c>
      <c r="AI106" s="801">
        <f t="shared" ca="1" si="127"/>
        <v>1</v>
      </c>
      <c r="AJ106" s="794">
        <f t="shared" ca="1" si="128"/>
        <v>1.5831873289580085</v>
      </c>
      <c r="AK106" s="769">
        <f t="shared" ca="1" si="129"/>
        <v>0.53813301460163443</v>
      </c>
      <c r="AL106" s="769">
        <f t="shared" ca="1" si="130"/>
        <v>0</v>
      </c>
      <c r="AM106" s="804">
        <f t="shared" ca="1" si="80"/>
        <v>0.2110916438610678</v>
      </c>
      <c r="AN106" s="795">
        <f t="shared" ca="1" si="81"/>
        <v>5.5575022805598867E-2</v>
      </c>
      <c r="AO106" s="251"/>
      <c r="AP106" s="770">
        <f t="shared" si="131"/>
        <v>0</v>
      </c>
      <c r="AQ106" s="771">
        <f t="shared" ca="1" si="132"/>
        <v>0</v>
      </c>
      <c r="AR106" s="771">
        <f t="shared" ca="1" si="133"/>
        <v>3.166374657916017</v>
      </c>
      <c r="AS106" s="772">
        <f t="shared" ca="1" si="134"/>
        <v>3.166374657916017</v>
      </c>
      <c r="AT106" s="231"/>
      <c r="AU106" s="770">
        <f>'Main Results - IRR DC Operator'!$F$16</f>
        <v>2</v>
      </c>
      <c r="AV106" s="773">
        <f>'Main Results - IRR DC Operator'!$F$15</f>
        <v>1</v>
      </c>
      <c r="AW106" s="771">
        <f t="shared" ca="1" si="135"/>
        <v>4</v>
      </c>
      <c r="AX106" s="772">
        <f t="shared" si="136"/>
        <v>0</v>
      </c>
      <c r="AY106" s="231"/>
      <c r="AZ106" s="770" cm="1">
        <f t="array" aca="1" ref="AZ106" ca="1">INDIRECT("'Definition of Typical Day'!"&amp; ADDRESS($D106+29*(AZ$16-1),$E106))+$AZ$17</f>
        <v>47.5</v>
      </c>
      <c r="BA106" s="771" cm="1">
        <f t="array" aca="1" ref="BA106" ca="1">INDIRECT("'Definition of Typical Day'!"&amp; ADDRESS($D106+29*(BA$16-1),$E106))+$BA$17</f>
        <v>47.5</v>
      </c>
      <c r="BB106" s="772" cm="1">
        <f t="array" aca="1" ref="BB106" ca="1">INDIRECT("'Definition of Typical Day'!"&amp;ADDRESS(BB$16,$E106))</f>
        <v>60</v>
      </c>
      <c r="BC106" s="776" cm="1">
        <f t="array" aca="1" ref="BC106" ca="1">INDIRECT("'Definition of Typical Day'!"&amp; ADDRESS($D106+29*(BC$16-1),$E106))</f>
        <v>46.5</v>
      </c>
      <c r="BD106" s="777" cm="1">
        <f t="array" aca="1" ref="BD106" ca="1">INDIRECT("'Definition of Typical Day'!"&amp; ADDRESS($D106+29*(BD$16-1),$E106))</f>
        <v>1</v>
      </c>
      <c r="BE106" s="776">
        <f t="shared" si="137"/>
        <v>0</v>
      </c>
      <c r="BF106" s="771">
        <f t="shared" ca="1" si="138"/>
        <v>25.561318193577634</v>
      </c>
      <c r="BG106" s="771">
        <f t="shared" ca="1" si="139"/>
        <v>2.5455844122715714</v>
      </c>
      <c r="BH106" s="771">
        <f t="shared" ca="1" si="140"/>
        <v>0</v>
      </c>
      <c r="BI106" s="776">
        <f t="shared" ca="1" si="141"/>
        <v>9.8157614395396529</v>
      </c>
      <c r="BJ106" s="776">
        <f t="shared" ca="1" si="142"/>
        <v>2.5842385604603475</v>
      </c>
      <c r="BK106" s="776">
        <f t="shared" ca="1" si="143"/>
        <v>0</v>
      </c>
      <c r="BL106" s="776">
        <f t="shared" ca="1" si="144"/>
        <v>0</v>
      </c>
      <c r="BM106" s="135"/>
      <c r="BN106" s="776">
        <f t="shared" ca="1" si="145"/>
        <v>32.106902605849207</v>
      </c>
      <c r="BO106" s="778">
        <f t="shared" ca="1" si="82"/>
        <v>15.288221249489565</v>
      </c>
      <c r="BP106" s="770">
        <f t="shared" ca="1" si="83"/>
        <v>28.106902605849207</v>
      </c>
      <c r="BQ106" s="771">
        <f t="shared" ca="1" si="84"/>
        <v>0</v>
      </c>
      <c r="BR106" s="771">
        <f t="shared" ca="1" si="85"/>
        <v>0</v>
      </c>
      <c r="BS106" s="776">
        <f t="shared" ca="1" si="146"/>
        <v>32.106902605849207</v>
      </c>
      <c r="BT106" s="776">
        <f t="shared" ca="1" si="86"/>
        <v>28.106902605849207</v>
      </c>
      <c r="BU106" s="783">
        <f t="shared" ca="1" si="87"/>
        <v>13.38355651902075</v>
      </c>
      <c r="BV106" s="783">
        <f t="shared" ca="1" si="88"/>
        <v>13.38355651902075</v>
      </c>
      <c r="BW106" s="1019">
        <f t="shared" ca="1" si="147"/>
        <v>13.38355651902075</v>
      </c>
      <c r="BX106" s="771" cm="1">
        <f t="array" aca="1" ref="BX106" ca="1">INDIRECT("'Definition of Typical Day'!"&amp; ADDRESS($D106+29*(BX$16-1),$E106))</f>
        <v>40</v>
      </c>
      <c r="BY106" s="771">
        <f t="shared" ca="1" si="148"/>
        <v>1</v>
      </c>
      <c r="BZ106" s="781">
        <f t="shared" ca="1" si="89"/>
        <v>1</v>
      </c>
      <c r="CA106" s="781">
        <f t="shared" ca="1" si="90"/>
        <v>0.70710678118654757</v>
      </c>
      <c r="CB106" s="776">
        <f t="shared" ca="1" si="91"/>
        <v>84.004285604961865</v>
      </c>
      <c r="CC106" s="782">
        <f t="shared" si="92"/>
        <v>4</v>
      </c>
      <c r="CD106" s="782">
        <f t="shared" si="93"/>
        <v>14</v>
      </c>
      <c r="CE106" s="784" t="str" cm="1">
        <f t="array" aca="1" ref="CE106" ca="1">INDIRECT("'Definition of Typical Day'!"&amp;ADDRESS(CE$16,$E106))</f>
        <v>Summer weekday</v>
      </c>
      <c r="CF106" s="232"/>
      <c r="CG106" s="232"/>
      <c r="CH106" s="776">
        <f t="shared" ca="1" si="94"/>
        <v>2</v>
      </c>
      <c r="CI106" s="806">
        <f t="shared" ca="1" si="95"/>
        <v>6</v>
      </c>
      <c r="CJ106" s="770">
        <f t="shared" ca="1" si="96"/>
        <v>2.1001071401240465</v>
      </c>
      <c r="CK106" s="771">
        <f t="shared" ca="1" si="97"/>
        <v>1.5831873289580085</v>
      </c>
      <c r="CL106" s="771">
        <f t="shared" ca="1" si="98"/>
        <v>0.53813301460163443</v>
      </c>
      <c r="CM106" s="772">
        <f t="shared" ca="1" si="99"/>
        <v>0</v>
      </c>
      <c r="CN106" s="135"/>
      <c r="CO106" s="770">
        <f t="shared" ca="1" si="149"/>
        <v>1.05</v>
      </c>
      <c r="CP106" s="771">
        <f t="shared" ca="1" si="100"/>
        <v>0.98</v>
      </c>
      <c r="CQ106" s="771">
        <f t="shared" ca="1" si="101"/>
        <v>0.96</v>
      </c>
      <c r="CR106" s="771">
        <f t="shared" ca="1" si="102"/>
        <v>0.95</v>
      </c>
      <c r="CS106" s="771">
        <f t="shared" ca="1" si="103"/>
        <v>1.02</v>
      </c>
      <c r="CT106" s="772">
        <f t="shared" ca="1" si="104"/>
        <v>0.02</v>
      </c>
      <c r="CU106" s="135"/>
      <c r="CV106" s="135"/>
      <c r="CW106" s="135"/>
      <c r="CX106" s="135"/>
      <c r="CY106" s="135"/>
      <c r="CZ106" s="135"/>
      <c r="DA106" s="135"/>
      <c r="DB106" s="135"/>
      <c r="DC106" s="135"/>
      <c r="DD106" s="135"/>
      <c r="DE106" s="135"/>
      <c r="DF106" s="135"/>
      <c r="DG106" s="135"/>
      <c r="DH106" s="135"/>
      <c r="DI106" s="135"/>
      <c r="DJ106" s="135"/>
      <c r="DK106" s="135"/>
      <c r="DL106" s="135"/>
      <c r="DX106" s="135"/>
      <c r="DY106" s="135"/>
      <c r="DZ106" s="135"/>
      <c r="EA106" s="135"/>
      <c r="EB106" s="135"/>
      <c r="EC106" s="135"/>
      <c r="ED106" s="135"/>
      <c r="EE106" s="135"/>
      <c r="EF106" s="135"/>
      <c r="EG106" s="135"/>
      <c r="EH106" s="135"/>
      <c r="EI106" s="135"/>
      <c r="EJ106" s="135"/>
      <c r="EK106" s="135"/>
      <c r="EL106" s="135"/>
      <c r="EM106" s="135"/>
      <c r="EN106" s="135"/>
      <c r="EO106" s="135"/>
      <c r="EP106" s="135"/>
      <c r="EQ106" s="135"/>
      <c r="ER106" s="135"/>
      <c r="ES106" s="135"/>
      <c r="ET106" s="135"/>
      <c r="EU106" s="135"/>
      <c r="EV106" s="135"/>
      <c r="EW106" s="135"/>
      <c r="EX106" s="135"/>
      <c r="EY106" s="135"/>
      <c r="EZ106" s="135"/>
      <c r="FA106" s="135"/>
      <c r="FB106" s="135"/>
      <c r="FC106" s="135"/>
      <c r="FD106" s="135"/>
      <c r="FE106" s="135"/>
      <c r="FF106" s="135"/>
      <c r="FG106" s="135"/>
    </row>
    <row r="107" spans="1:163" s="57" customFormat="1" ht="11.25" outlineLevel="1">
      <c r="A107" s="765">
        <f t="shared" si="77"/>
        <v>4</v>
      </c>
      <c r="B107" s="715" t="str" cm="1">
        <f t="array" aca="1" ref="B107" ca="1">INDIRECT("'Definition of Typical Day'!"&amp;ADDRESS(B$16,$E107))</f>
        <v>Summer weekday</v>
      </c>
      <c r="C107" s="766">
        <f t="shared" si="78"/>
        <v>15</v>
      </c>
      <c r="D107" s="715">
        <f t="shared" si="78"/>
        <v>49</v>
      </c>
      <c r="E107" s="715">
        <f t="shared" si="79"/>
        <v>8</v>
      </c>
      <c r="F107" s="767" cm="1">
        <f t="array" aca="1" ref="F107" ca="1">INDIRECT("'Definition of Typical Day'!D"&amp;D107)</f>
        <v>15</v>
      </c>
      <c r="G107" s="767" cm="1">
        <f t="array" aca="1" ref="G107" ca="1">INDIRECT("'Definition of Typical Day'!"&amp;ADDRESS(13,E107))</f>
        <v>4</v>
      </c>
      <c r="H107" s="768" cm="1">
        <f t="array" aca="1" ref="H107" ca="1">INDIRECT("'Definition of Typical Day'!"&amp; ADDRESS($D107+28*(H$16-1),$E107))</f>
        <v>2</v>
      </c>
      <c r="I107" s="715" cm="1">
        <f t="array" aca="1" ref="I107" ca="1">INDIRECT("'Definition of Typical Day'!"&amp; ADDRESS($D107+29*(I$16-1),$E107))</f>
        <v>40</v>
      </c>
      <c r="J107" s="715">
        <f t="shared" ca="1" si="105"/>
        <v>37</v>
      </c>
      <c r="K107" s="785">
        <f t="shared" si="106"/>
        <v>28</v>
      </c>
      <c r="L107" s="786" cm="1">
        <f t="array" aca="1" ref="L107" ca="1">INDIRECT("'Definition of Typical Day'!"&amp; ADDRESS($D107+29*(L$16-1),$E107))</f>
        <v>6</v>
      </c>
      <c r="M107" s="768" cm="1">
        <f t="array" aca="1" ref="M107" ca="1">INDIRECT("'Definition of Typical Day'!"&amp; ADDRESS($D107+29*(M$16-1),$E107))</f>
        <v>60</v>
      </c>
      <c r="N107" s="715">
        <f t="shared" si="107"/>
        <v>3</v>
      </c>
      <c r="O107" s="715">
        <f t="shared" ca="1" si="108"/>
        <v>63</v>
      </c>
      <c r="P107" s="715" cm="1">
        <f t="array" aca="1" ref="P107" ca="1">INDIRECT("'Definition of Typical Day'!"&amp; ADDRESS($D107+29*(P$16-1),$E107))</f>
        <v>45</v>
      </c>
      <c r="Q107" s="787">
        <f t="shared" ca="1" si="109"/>
        <v>48</v>
      </c>
      <c r="R107" s="792">
        <f t="shared" ca="1" si="110"/>
        <v>63</v>
      </c>
      <c r="S107" s="769">
        <f t="shared" si="111"/>
        <v>3</v>
      </c>
      <c r="T107" s="769">
        <f t="shared" ca="1" si="112"/>
        <v>0.24</v>
      </c>
      <c r="U107" s="769">
        <f t="shared" ca="1" si="113"/>
        <v>0.70199999999999996</v>
      </c>
      <c r="V107" s="769">
        <f t="shared" ca="1" si="114"/>
        <v>0</v>
      </c>
      <c r="W107" s="769">
        <f t="shared" ca="1" si="115"/>
        <v>3.9420000000000002</v>
      </c>
      <c r="X107" s="794">
        <f t="shared" si="116"/>
        <v>3</v>
      </c>
      <c r="Y107" s="769">
        <f t="shared" ca="1" si="117"/>
        <v>2.1213203435596428</v>
      </c>
      <c r="Z107" s="769">
        <f t="shared" ca="1" si="118"/>
        <v>2.1213203435596428</v>
      </c>
      <c r="AA107" s="795">
        <f t="shared" ca="1" si="119"/>
        <v>2.1213203435596428</v>
      </c>
      <c r="AB107" s="769">
        <f t="shared" ca="1" si="120"/>
        <v>0</v>
      </c>
      <c r="AC107" s="769">
        <f t="shared" ca="1" si="121"/>
        <v>0</v>
      </c>
      <c r="AD107" s="769">
        <f t="shared" ca="1" si="122"/>
        <v>0</v>
      </c>
      <c r="AE107" s="794">
        <f t="shared" ca="1" si="123"/>
        <v>2.1213203435596428</v>
      </c>
      <c r="AF107" s="769">
        <f t="shared" ca="1" si="124"/>
        <v>2.1213203435596427E-2</v>
      </c>
      <c r="AG107" s="769">
        <f t="shared" ca="1" si="125"/>
        <v>2.1001071401240465</v>
      </c>
      <c r="AH107" s="799">
        <f t="shared" ca="1" si="126"/>
        <v>2.1001071401240465</v>
      </c>
      <c r="AI107" s="801">
        <f t="shared" ca="1" si="127"/>
        <v>1</v>
      </c>
      <c r="AJ107" s="794">
        <f t="shared" ca="1" si="128"/>
        <v>1.5831873289580085</v>
      </c>
      <c r="AK107" s="769">
        <f t="shared" ca="1" si="129"/>
        <v>0.53813301460163443</v>
      </c>
      <c r="AL107" s="769">
        <f t="shared" ca="1" si="130"/>
        <v>0</v>
      </c>
      <c r="AM107" s="804">
        <f t="shared" ca="1" si="80"/>
        <v>0.2110916438610678</v>
      </c>
      <c r="AN107" s="795">
        <f t="shared" ca="1" si="81"/>
        <v>5.5575022805598867E-2</v>
      </c>
      <c r="AO107" s="251"/>
      <c r="AP107" s="770">
        <f t="shared" si="131"/>
        <v>0</v>
      </c>
      <c r="AQ107" s="771">
        <f t="shared" ca="1" si="132"/>
        <v>0</v>
      </c>
      <c r="AR107" s="771">
        <f t="shared" ca="1" si="133"/>
        <v>3.166374657916017</v>
      </c>
      <c r="AS107" s="772">
        <f t="shared" ca="1" si="134"/>
        <v>3.166374657916017</v>
      </c>
      <c r="AT107" s="231"/>
      <c r="AU107" s="770">
        <f>'Main Results - IRR DC Operator'!$F$16</f>
        <v>2</v>
      </c>
      <c r="AV107" s="773">
        <f>'Main Results - IRR DC Operator'!$F$15</f>
        <v>1</v>
      </c>
      <c r="AW107" s="771">
        <f t="shared" ca="1" si="135"/>
        <v>4</v>
      </c>
      <c r="AX107" s="772">
        <f t="shared" si="136"/>
        <v>0</v>
      </c>
      <c r="AY107" s="231"/>
      <c r="AZ107" s="770" cm="1">
        <f t="array" aca="1" ref="AZ107" ca="1">INDIRECT("'Definition of Typical Day'!"&amp; ADDRESS($D107+29*(AZ$16-1),$E107))+$AZ$17</f>
        <v>47.2</v>
      </c>
      <c r="BA107" s="771" cm="1">
        <f t="array" aca="1" ref="BA107" ca="1">INDIRECT("'Definition of Typical Day'!"&amp; ADDRESS($D107+29*(BA$16-1),$E107))+$BA$17</f>
        <v>47.2</v>
      </c>
      <c r="BB107" s="772" cm="1">
        <f t="array" aca="1" ref="BB107" ca="1">INDIRECT("'Definition of Typical Day'!"&amp;ADDRESS(BB$16,$E107))</f>
        <v>60</v>
      </c>
      <c r="BC107" s="776" cm="1">
        <f t="array" aca="1" ref="BC107" ca="1">INDIRECT("'Definition of Typical Day'!"&amp; ADDRESS($D107+29*(BC$16-1),$E107))</f>
        <v>46.2</v>
      </c>
      <c r="BD107" s="777" cm="1">
        <f t="array" aca="1" ref="BD107" ca="1">INDIRECT("'Definition of Typical Day'!"&amp; ADDRESS($D107+29*(BD$16-1),$E107))</f>
        <v>1</v>
      </c>
      <c r="BE107" s="776">
        <f t="shared" si="137"/>
        <v>0</v>
      </c>
      <c r="BF107" s="771">
        <f t="shared" ca="1" si="138"/>
        <v>25.399878289197147</v>
      </c>
      <c r="BG107" s="771">
        <f t="shared" ca="1" si="139"/>
        <v>2.5455844122715714</v>
      </c>
      <c r="BH107" s="771">
        <f t="shared" ca="1" si="140"/>
        <v>0</v>
      </c>
      <c r="BI107" s="776">
        <f t="shared" ca="1" si="141"/>
        <v>9.7524339463813323</v>
      </c>
      <c r="BJ107" s="776">
        <f t="shared" ca="1" si="142"/>
        <v>2.567566053618668</v>
      </c>
      <c r="BK107" s="776">
        <f t="shared" ca="1" si="143"/>
        <v>0</v>
      </c>
      <c r="BL107" s="776">
        <f t="shared" ca="1" si="144"/>
        <v>0</v>
      </c>
      <c r="BM107" s="135"/>
      <c r="BN107" s="776">
        <f t="shared" ca="1" si="145"/>
        <v>31.94546270146872</v>
      </c>
      <c r="BO107" s="778">
        <f t="shared" ca="1" si="82"/>
        <v>15.211349026498622</v>
      </c>
      <c r="BP107" s="770">
        <f t="shared" ca="1" si="83"/>
        <v>27.94546270146872</v>
      </c>
      <c r="BQ107" s="771">
        <f t="shared" ca="1" si="84"/>
        <v>0</v>
      </c>
      <c r="BR107" s="771">
        <f t="shared" ca="1" si="85"/>
        <v>0</v>
      </c>
      <c r="BS107" s="776">
        <f t="shared" ca="1" si="146"/>
        <v>31.94546270146872</v>
      </c>
      <c r="BT107" s="776">
        <f t="shared" ca="1" si="86"/>
        <v>27.94546270146872</v>
      </c>
      <c r="BU107" s="783">
        <f t="shared" ca="1" si="87"/>
        <v>13.306684296029808</v>
      </c>
      <c r="BV107" s="783">
        <f t="shared" ca="1" si="88"/>
        <v>13.306684296029808</v>
      </c>
      <c r="BW107" s="1019">
        <f t="shared" ca="1" si="147"/>
        <v>13.306684296029808</v>
      </c>
      <c r="BX107" s="771" cm="1">
        <f t="array" aca="1" ref="BX107" ca="1">INDIRECT("'Definition of Typical Day'!"&amp; ADDRESS($D107+29*(BX$16-1),$E107))</f>
        <v>40</v>
      </c>
      <c r="BY107" s="771">
        <f t="shared" ca="1" si="148"/>
        <v>1</v>
      </c>
      <c r="BZ107" s="781">
        <f t="shared" ca="1" si="89"/>
        <v>1</v>
      </c>
      <c r="CA107" s="781">
        <f t="shared" ca="1" si="90"/>
        <v>0.70710678118654757</v>
      </c>
      <c r="CB107" s="776">
        <f t="shared" ca="1" si="91"/>
        <v>84.004285604961865</v>
      </c>
      <c r="CC107" s="782">
        <f t="shared" si="92"/>
        <v>4</v>
      </c>
      <c r="CD107" s="782">
        <f t="shared" si="93"/>
        <v>15</v>
      </c>
      <c r="CE107" s="784" t="str" cm="1">
        <f t="array" aca="1" ref="CE107" ca="1">INDIRECT("'Definition of Typical Day'!"&amp;ADDRESS(CE$16,$E107))</f>
        <v>Summer weekday</v>
      </c>
      <c r="CF107" s="232"/>
      <c r="CG107" s="232"/>
      <c r="CH107" s="776">
        <f t="shared" ca="1" si="94"/>
        <v>2</v>
      </c>
      <c r="CI107" s="806">
        <f t="shared" ca="1" si="95"/>
        <v>6</v>
      </c>
      <c r="CJ107" s="770">
        <f t="shared" ca="1" si="96"/>
        <v>2.1001071401240465</v>
      </c>
      <c r="CK107" s="771">
        <f t="shared" ca="1" si="97"/>
        <v>1.5831873289580085</v>
      </c>
      <c r="CL107" s="771">
        <f t="shared" ca="1" si="98"/>
        <v>0.53813301460163443</v>
      </c>
      <c r="CM107" s="772">
        <f t="shared" ca="1" si="99"/>
        <v>0</v>
      </c>
      <c r="CN107" s="135"/>
      <c r="CO107" s="770">
        <f t="shared" ca="1" si="149"/>
        <v>1.05</v>
      </c>
      <c r="CP107" s="771">
        <f t="shared" ca="1" si="100"/>
        <v>0.98</v>
      </c>
      <c r="CQ107" s="771">
        <f t="shared" ca="1" si="101"/>
        <v>0.96</v>
      </c>
      <c r="CR107" s="771">
        <f t="shared" ca="1" si="102"/>
        <v>0.95</v>
      </c>
      <c r="CS107" s="771">
        <f t="shared" ca="1" si="103"/>
        <v>1.02</v>
      </c>
      <c r="CT107" s="772">
        <f t="shared" ca="1" si="104"/>
        <v>0.02</v>
      </c>
      <c r="CU107" s="135"/>
      <c r="CV107" s="135"/>
      <c r="CW107" s="135"/>
      <c r="CX107" s="135"/>
      <c r="CY107" s="135"/>
      <c r="CZ107" s="135"/>
      <c r="DA107" s="135"/>
      <c r="DB107" s="135"/>
      <c r="DC107" s="135"/>
      <c r="DD107" s="135"/>
      <c r="DE107" s="135"/>
      <c r="DF107" s="135"/>
      <c r="DG107" s="135"/>
      <c r="DH107" s="135"/>
      <c r="DI107" s="135"/>
      <c r="DJ107" s="135"/>
      <c r="DK107" s="135"/>
      <c r="DL107" s="135"/>
      <c r="DX107" s="135"/>
      <c r="DY107" s="135"/>
      <c r="DZ107" s="135"/>
      <c r="EA107" s="135"/>
      <c r="EB107" s="135"/>
      <c r="EC107" s="135"/>
      <c r="ED107" s="135"/>
      <c r="EE107" s="135"/>
      <c r="EF107" s="135"/>
      <c r="EG107" s="135"/>
      <c r="EH107" s="135"/>
      <c r="EI107" s="135"/>
      <c r="EJ107" s="135"/>
      <c r="EK107" s="135"/>
      <c r="EL107" s="135"/>
      <c r="EM107" s="135"/>
      <c r="EN107" s="135"/>
      <c r="EO107" s="135"/>
      <c r="EP107" s="135"/>
      <c r="EQ107" s="135"/>
      <c r="ER107" s="135"/>
      <c r="ES107" s="135"/>
      <c r="ET107" s="135"/>
      <c r="EU107" s="135"/>
      <c r="EV107" s="135"/>
      <c r="EW107" s="135"/>
      <c r="EX107" s="135"/>
      <c r="EY107" s="135"/>
      <c r="EZ107" s="135"/>
      <c r="FA107" s="135"/>
      <c r="FB107" s="135"/>
      <c r="FC107" s="135"/>
      <c r="FD107" s="135"/>
      <c r="FE107" s="135"/>
      <c r="FF107" s="135"/>
      <c r="FG107" s="135"/>
    </row>
    <row r="108" spans="1:163" s="57" customFormat="1" ht="11.25" outlineLevel="1">
      <c r="A108" s="765">
        <f t="shared" si="77"/>
        <v>4</v>
      </c>
      <c r="B108" s="715" t="str" cm="1">
        <f t="array" aca="1" ref="B108" ca="1">INDIRECT("'Definition of Typical Day'!"&amp;ADDRESS(B$16,$E108))</f>
        <v>Summer weekday</v>
      </c>
      <c r="C108" s="766">
        <f t="shared" si="78"/>
        <v>16</v>
      </c>
      <c r="D108" s="715">
        <f t="shared" si="78"/>
        <v>50</v>
      </c>
      <c r="E108" s="715">
        <f t="shared" si="79"/>
        <v>8</v>
      </c>
      <c r="F108" s="767" cm="1">
        <f t="array" aca="1" ref="F108" ca="1">INDIRECT("'Definition of Typical Day'!D"&amp;D108)</f>
        <v>16</v>
      </c>
      <c r="G108" s="767" cm="1">
        <f t="array" aca="1" ref="G108" ca="1">INDIRECT("'Definition of Typical Day'!"&amp;ADDRESS(13,E108))</f>
        <v>4</v>
      </c>
      <c r="H108" s="768" cm="1">
        <f t="array" aca="1" ref="H108" ca="1">INDIRECT("'Definition of Typical Day'!"&amp; ADDRESS($D108+28*(H$16-1),$E108))</f>
        <v>2</v>
      </c>
      <c r="I108" s="715" cm="1">
        <f t="array" aca="1" ref="I108" ca="1">INDIRECT("'Definition of Typical Day'!"&amp; ADDRESS($D108+29*(I$16-1),$E108))</f>
        <v>40</v>
      </c>
      <c r="J108" s="715">
        <f t="shared" ca="1" si="105"/>
        <v>37</v>
      </c>
      <c r="K108" s="785">
        <f t="shared" si="106"/>
        <v>28</v>
      </c>
      <c r="L108" s="786" cm="1">
        <f t="array" aca="1" ref="L108" ca="1">INDIRECT("'Definition of Typical Day'!"&amp; ADDRESS($D108+29*(L$16-1),$E108))</f>
        <v>6</v>
      </c>
      <c r="M108" s="768" cm="1">
        <f t="array" aca="1" ref="M108" ca="1">INDIRECT("'Definition of Typical Day'!"&amp; ADDRESS($D108+29*(M$16-1),$E108))</f>
        <v>60</v>
      </c>
      <c r="N108" s="715">
        <f t="shared" si="107"/>
        <v>3</v>
      </c>
      <c r="O108" s="715">
        <f t="shared" ca="1" si="108"/>
        <v>63</v>
      </c>
      <c r="P108" s="715" cm="1">
        <f t="array" aca="1" ref="P108" ca="1">INDIRECT("'Definition of Typical Day'!"&amp; ADDRESS($D108+29*(P$16-1),$E108))</f>
        <v>45</v>
      </c>
      <c r="Q108" s="787">
        <f t="shared" ca="1" si="109"/>
        <v>48</v>
      </c>
      <c r="R108" s="792">
        <f t="shared" ca="1" si="110"/>
        <v>63</v>
      </c>
      <c r="S108" s="769">
        <f t="shared" si="111"/>
        <v>3</v>
      </c>
      <c r="T108" s="769">
        <f t="shared" ca="1" si="112"/>
        <v>0.24</v>
      </c>
      <c r="U108" s="769">
        <f t="shared" ca="1" si="113"/>
        <v>0.70199999999999996</v>
      </c>
      <c r="V108" s="769">
        <f t="shared" ca="1" si="114"/>
        <v>0</v>
      </c>
      <c r="W108" s="769">
        <f t="shared" ca="1" si="115"/>
        <v>3.9420000000000002</v>
      </c>
      <c r="X108" s="794">
        <f t="shared" si="116"/>
        <v>3</v>
      </c>
      <c r="Y108" s="769">
        <f t="shared" ca="1" si="117"/>
        <v>2.1213203435596428</v>
      </c>
      <c r="Z108" s="769">
        <f t="shared" ca="1" si="118"/>
        <v>2.1213203435596428</v>
      </c>
      <c r="AA108" s="795">
        <f t="shared" ca="1" si="119"/>
        <v>2.1213203435596428</v>
      </c>
      <c r="AB108" s="769">
        <f t="shared" ca="1" si="120"/>
        <v>0</v>
      </c>
      <c r="AC108" s="769">
        <f t="shared" ca="1" si="121"/>
        <v>0</v>
      </c>
      <c r="AD108" s="769">
        <f t="shared" ca="1" si="122"/>
        <v>0</v>
      </c>
      <c r="AE108" s="794">
        <f t="shared" ca="1" si="123"/>
        <v>2.1213203435596428</v>
      </c>
      <c r="AF108" s="769">
        <f t="shared" ca="1" si="124"/>
        <v>2.1213203435596427E-2</v>
      </c>
      <c r="AG108" s="769">
        <f t="shared" ca="1" si="125"/>
        <v>2.1001071401240465</v>
      </c>
      <c r="AH108" s="799">
        <f t="shared" ca="1" si="126"/>
        <v>2.1001071401240465</v>
      </c>
      <c r="AI108" s="801">
        <f t="shared" ca="1" si="127"/>
        <v>1</v>
      </c>
      <c r="AJ108" s="794">
        <f t="shared" ca="1" si="128"/>
        <v>1.5831873289580085</v>
      </c>
      <c r="AK108" s="769">
        <f t="shared" ca="1" si="129"/>
        <v>0.53813301460163443</v>
      </c>
      <c r="AL108" s="769">
        <f t="shared" ca="1" si="130"/>
        <v>0</v>
      </c>
      <c r="AM108" s="804">
        <f t="shared" ca="1" si="80"/>
        <v>0.2110916438610678</v>
      </c>
      <c r="AN108" s="795">
        <f t="shared" ca="1" si="81"/>
        <v>5.5575022805598867E-2</v>
      </c>
      <c r="AO108" s="251"/>
      <c r="AP108" s="770">
        <f t="shared" si="131"/>
        <v>0</v>
      </c>
      <c r="AQ108" s="771">
        <f t="shared" ca="1" si="132"/>
        <v>0</v>
      </c>
      <c r="AR108" s="771">
        <f t="shared" ca="1" si="133"/>
        <v>3.166374657916017</v>
      </c>
      <c r="AS108" s="772">
        <f t="shared" ca="1" si="134"/>
        <v>3.166374657916017</v>
      </c>
      <c r="AT108" s="231"/>
      <c r="AU108" s="770">
        <f>'Main Results - IRR DC Operator'!$F$16</f>
        <v>2</v>
      </c>
      <c r="AV108" s="773">
        <f>'Main Results - IRR DC Operator'!$F$15</f>
        <v>1</v>
      </c>
      <c r="AW108" s="771">
        <f t="shared" ca="1" si="135"/>
        <v>4</v>
      </c>
      <c r="AX108" s="772">
        <f t="shared" si="136"/>
        <v>0</v>
      </c>
      <c r="AY108" s="231"/>
      <c r="AZ108" s="770" cm="1">
        <f t="array" aca="1" ref="AZ108" ca="1">INDIRECT("'Definition of Typical Day'!"&amp; ADDRESS($D108+29*(AZ$16-1),$E108))+$AZ$17</f>
        <v>53.54</v>
      </c>
      <c r="BA108" s="771" cm="1">
        <f t="array" aca="1" ref="BA108" ca="1">INDIRECT("'Definition of Typical Day'!"&amp; ADDRESS($D108+29*(BA$16-1),$E108))+$BA$17</f>
        <v>53.54</v>
      </c>
      <c r="BB108" s="772" cm="1">
        <f t="array" aca="1" ref="BB108" ca="1">INDIRECT("'Definition of Typical Day'!"&amp;ADDRESS(BB$16,$E108))</f>
        <v>60</v>
      </c>
      <c r="BC108" s="776" cm="1">
        <f t="array" aca="1" ref="BC108" ca="1">INDIRECT("'Definition of Typical Day'!"&amp; ADDRESS($D108+29*(BC$16-1),$E108))</f>
        <v>52.54</v>
      </c>
      <c r="BD108" s="777" cm="1">
        <f t="array" aca="1" ref="BD108" ca="1">INDIRECT("'Definition of Typical Day'!"&amp; ADDRESS($D108+29*(BD$16-1),$E108))</f>
        <v>1</v>
      </c>
      <c r="BE108" s="776">
        <f t="shared" si="137"/>
        <v>0</v>
      </c>
      <c r="BF108" s="771">
        <f t="shared" ca="1" si="138"/>
        <v>28.811641601771505</v>
      </c>
      <c r="BG108" s="771">
        <f t="shared" ca="1" si="139"/>
        <v>2.5455844122715714</v>
      </c>
      <c r="BH108" s="771">
        <f t="shared" ca="1" si="140"/>
        <v>0</v>
      </c>
      <c r="BI108" s="776">
        <f t="shared" ca="1" si="141"/>
        <v>11.090754968460502</v>
      </c>
      <c r="BJ108" s="776">
        <f t="shared" ca="1" si="142"/>
        <v>2.9199116982061644</v>
      </c>
      <c r="BK108" s="776">
        <f t="shared" ca="1" si="143"/>
        <v>0</v>
      </c>
      <c r="BL108" s="776">
        <f t="shared" ca="1" si="144"/>
        <v>0</v>
      </c>
      <c r="BM108" s="135"/>
      <c r="BN108" s="776">
        <f t="shared" ca="1" si="145"/>
        <v>35.357226014043079</v>
      </c>
      <c r="BO108" s="778">
        <f t="shared" ca="1" si="82"/>
        <v>16.835915339040579</v>
      </c>
      <c r="BP108" s="770">
        <f t="shared" ca="1" si="83"/>
        <v>31.357226014043079</v>
      </c>
      <c r="BQ108" s="771">
        <f t="shared" ca="1" si="84"/>
        <v>0</v>
      </c>
      <c r="BR108" s="771">
        <f t="shared" ca="1" si="85"/>
        <v>0</v>
      </c>
      <c r="BS108" s="776">
        <f t="shared" ca="1" si="146"/>
        <v>35.357226014043079</v>
      </c>
      <c r="BT108" s="776">
        <f t="shared" ca="1" si="86"/>
        <v>31.357226014043079</v>
      </c>
      <c r="BU108" s="783">
        <f t="shared" ca="1" si="87"/>
        <v>14.931250608571764</v>
      </c>
      <c r="BV108" s="783">
        <f t="shared" ca="1" si="88"/>
        <v>14.931250608571764</v>
      </c>
      <c r="BW108" s="1019">
        <f t="shared" ca="1" si="147"/>
        <v>14.931250608571764</v>
      </c>
      <c r="BX108" s="771" cm="1">
        <f t="array" aca="1" ref="BX108" ca="1">INDIRECT("'Definition of Typical Day'!"&amp; ADDRESS($D108+29*(BX$16-1),$E108))</f>
        <v>40</v>
      </c>
      <c r="BY108" s="771">
        <f t="shared" ca="1" si="148"/>
        <v>1</v>
      </c>
      <c r="BZ108" s="781">
        <f t="shared" ca="1" si="89"/>
        <v>1</v>
      </c>
      <c r="CA108" s="781">
        <f t="shared" ca="1" si="90"/>
        <v>0.70710678118654757</v>
      </c>
      <c r="CB108" s="776">
        <f t="shared" ca="1" si="91"/>
        <v>84.004285604961865</v>
      </c>
      <c r="CC108" s="782">
        <f t="shared" si="92"/>
        <v>4</v>
      </c>
      <c r="CD108" s="782">
        <f t="shared" si="93"/>
        <v>16</v>
      </c>
      <c r="CE108" s="784" t="str" cm="1">
        <f t="array" aca="1" ref="CE108" ca="1">INDIRECT("'Definition of Typical Day'!"&amp;ADDRESS(CE$16,$E108))</f>
        <v>Summer weekday</v>
      </c>
      <c r="CF108" s="232"/>
      <c r="CG108" s="232"/>
      <c r="CH108" s="776">
        <f t="shared" ca="1" si="94"/>
        <v>2</v>
      </c>
      <c r="CI108" s="806">
        <f t="shared" ca="1" si="95"/>
        <v>6</v>
      </c>
      <c r="CJ108" s="770">
        <f t="shared" ca="1" si="96"/>
        <v>2.1001071401240465</v>
      </c>
      <c r="CK108" s="771">
        <f t="shared" ca="1" si="97"/>
        <v>1.5831873289580085</v>
      </c>
      <c r="CL108" s="771">
        <f t="shared" ca="1" si="98"/>
        <v>0.53813301460163443</v>
      </c>
      <c r="CM108" s="772">
        <f t="shared" ca="1" si="99"/>
        <v>0</v>
      </c>
      <c r="CN108" s="135"/>
      <c r="CO108" s="770">
        <f t="shared" ca="1" si="149"/>
        <v>1.05</v>
      </c>
      <c r="CP108" s="771">
        <f t="shared" ca="1" si="100"/>
        <v>0.98</v>
      </c>
      <c r="CQ108" s="771">
        <f t="shared" ca="1" si="101"/>
        <v>0.96</v>
      </c>
      <c r="CR108" s="771">
        <f t="shared" ca="1" si="102"/>
        <v>0.95</v>
      </c>
      <c r="CS108" s="771">
        <f t="shared" ca="1" si="103"/>
        <v>1.02</v>
      </c>
      <c r="CT108" s="772">
        <f t="shared" ca="1" si="104"/>
        <v>0.02</v>
      </c>
      <c r="CU108" s="135"/>
      <c r="CV108" s="135"/>
      <c r="CW108" s="135"/>
      <c r="CX108" s="135"/>
      <c r="CY108" s="135"/>
      <c r="CZ108" s="135"/>
      <c r="DA108" s="135"/>
      <c r="DB108" s="135"/>
      <c r="DC108" s="135"/>
      <c r="DD108" s="135"/>
      <c r="DE108" s="135"/>
      <c r="DF108" s="135"/>
      <c r="DG108" s="135"/>
      <c r="DH108" s="135"/>
      <c r="DI108" s="135"/>
      <c r="DJ108" s="135"/>
      <c r="DK108" s="135"/>
      <c r="DL108" s="135"/>
      <c r="DX108" s="135"/>
      <c r="DY108" s="135"/>
      <c r="DZ108" s="135"/>
      <c r="EA108" s="135"/>
      <c r="EB108" s="135"/>
      <c r="EC108" s="135"/>
      <c r="ED108" s="135"/>
      <c r="EE108" s="135"/>
      <c r="EF108" s="135"/>
      <c r="EG108" s="135"/>
      <c r="EH108" s="135"/>
      <c r="EI108" s="135"/>
      <c r="EJ108" s="135"/>
      <c r="EK108" s="135"/>
      <c r="EL108" s="135"/>
      <c r="EM108" s="135"/>
      <c r="EN108" s="135"/>
      <c r="EO108" s="135"/>
      <c r="EP108" s="135"/>
      <c r="EQ108" s="135"/>
      <c r="ER108" s="135"/>
      <c r="ES108" s="135"/>
      <c r="ET108" s="135"/>
      <c r="EU108" s="135"/>
      <c r="EV108" s="135"/>
      <c r="EW108" s="135"/>
      <c r="EX108" s="135"/>
      <c r="EY108" s="135"/>
      <c r="EZ108" s="135"/>
      <c r="FA108" s="135"/>
      <c r="FB108" s="135"/>
      <c r="FC108" s="135"/>
      <c r="FD108" s="135"/>
      <c r="FE108" s="135"/>
      <c r="FF108" s="135"/>
      <c r="FG108" s="135"/>
    </row>
    <row r="109" spans="1:163" s="57" customFormat="1" ht="11.25" outlineLevel="1">
      <c r="A109" s="765">
        <f t="shared" si="77"/>
        <v>4</v>
      </c>
      <c r="B109" s="715" t="str" cm="1">
        <f t="array" aca="1" ref="B109" ca="1">INDIRECT("'Definition of Typical Day'!"&amp;ADDRESS(B$16,$E109))</f>
        <v>Summer weekday</v>
      </c>
      <c r="C109" s="766">
        <f t="shared" si="78"/>
        <v>17</v>
      </c>
      <c r="D109" s="715">
        <f t="shared" si="78"/>
        <v>51</v>
      </c>
      <c r="E109" s="715">
        <f t="shared" si="79"/>
        <v>8</v>
      </c>
      <c r="F109" s="767" cm="1">
        <f t="array" aca="1" ref="F109" ca="1">INDIRECT("'Definition of Typical Day'!D"&amp;D109)</f>
        <v>17</v>
      </c>
      <c r="G109" s="767" cm="1">
        <f t="array" aca="1" ref="G109" ca="1">INDIRECT("'Definition of Typical Day'!"&amp;ADDRESS(13,E109))</f>
        <v>4</v>
      </c>
      <c r="H109" s="768" cm="1">
        <f t="array" aca="1" ref="H109" ca="1">INDIRECT("'Definition of Typical Day'!"&amp; ADDRESS($D109+28*(H$16-1),$E109))</f>
        <v>2</v>
      </c>
      <c r="I109" s="715" cm="1">
        <f t="array" aca="1" ref="I109" ca="1">INDIRECT("'Definition of Typical Day'!"&amp; ADDRESS($D109+29*(I$16-1),$E109))</f>
        <v>40</v>
      </c>
      <c r="J109" s="715">
        <f t="shared" ca="1" si="105"/>
        <v>37</v>
      </c>
      <c r="K109" s="785">
        <f t="shared" si="106"/>
        <v>28</v>
      </c>
      <c r="L109" s="786" cm="1">
        <f t="array" aca="1" ref="L109" ca="1">INDIRECT("'Definition of Typical Day'!"&amp; ADDRESS($D109+29*(L$16-1),$E109))</f>
        <v>6</v>
      </c>
      <c r="M109" s="768" cm="1">
        <f t="array" aca="1" ref="M109" ca="1">INDIRECT("'Definition of Typical Day'!"&amp; ADDRESS($D109+29*(M$16-1),$E109))</f>
        <v>60</v>
      </c>
      <c r="N109" s="715">
        <f t="shared" si="107"/>
        <v>3</v>
      </c>
      <c r="O109" s="715">
        <f t="shared" ca="1" si="108"/>
        <v>63</v>
      </c>
      <c r="P109" s="715" cm="1">
        <f t="array" aca="1" ref="P109" ca="1">INDIRECT("'Definition of Typical Day'!"&amp; ADDRESS($D109+29*(P$16-1),$E109))</f>
        <v>45</v>
      </c>
      <c r="Q109" s="787">
        <f t="shared" ca="1" si="109"/>
        <v>48</v>
      </c>
      <c r="R109" s="792">
        <f t="shared" ca="1" si="110"/>
        <v>63</v>
      </c>
      <c r="S109" s="769">
        <f t="shared" si="111"/>
        <v>3</v>
      </c>
      <c r="T109" s="769">
        <f t="shared" ca="1" si="112"/>
        <v>0.24</v>
      </c>
      <c r="U109" s="769">
        <f t="shared" ca="1" si="113"/>
        <v>0.70199999999999996</v>
      </c>
      <c r="V109" s="769">
        <f t="shared" ca="1" si="114"/>
        <v>0</v>
      </c>
      <c r="W109" s="769">
        <f t="shared" ca="1" si="115"/>
        <v>3.9420000000000002</v>
      </c>
      <c r="X109" s="794">
        <f t="shared" si="116"/>
        <v>3</v>
      </c>
      <c r="Y109" s="769">
        <f t="shared" ca="1" si="117"/>
        <v>2.1213203435596428</v>
      </c>
      <c r="Z109" s="769">
        <f t="shared" ca="1" si="118"/>
        <v>2.1213203435596428</v>
      </c>
      <c r="AA109" s="795">
        <f t="shared" ca="1" si="119"/>
        <v>2.1213203435596428</v>
      </c>
      <c r="AB109" s="769">
        <f t="shared" ca="1" si="120"/>
        <v>0</v>
      </c>
      <c r="AC109" s="769">
        <f t="shared" ca="1" si="121"/>
        <v>0</v>
      </c>
      <c r="AD109" s="769">
        <f t="shared" ca="1" si="122"/>
        <v>0</v>
      </c>
      <c r="AE109" s="794">
        <f t="shared" ca="1" si="123"/>
        <v>2.1213203435596428</v>
      </c>
      <c r="AF109" s="769">
        <f t="shared" ca="1" si="124"/>
        <v>2.1213203435596427E-2</v>
      </c>
      <c r="AG109" s="769">
        <f t="shared" ca="1" si="125"/>
        <v>2.1001071401240465</v>
      </c>
      <c r="AH109" s="799">
        <f t="shared" ca="1" si="126"/>
        <v>2.1001071401240465</v>
      </c>
      <c r="AI109" s="801">
        <f t="shared" ca="1" si="127"/>
        <v>1</v>
      </c>
      <c r="AJ109" s="794">
        <f t="shared" ca="1" si="128"/>
        <v>1.5831873289580085</v>
      </c>
      <c r="AK109" s="769">
        <f t="shared" ca="1" si="129"/>
        <v>0.53813301460163443</v>
      </c>
      <c r="AL109" s="769">
        <f t="shared" ca="1" si="130"/>
        <v>0</v>
      </c>
      <c r="AM109" s="804">
        <f t="shared" ca="1" si="80"/>
        <v>0.2110916438610678</v>
      </c>
      <c r="AN109" s="795">
        <f t="shared" ca="1" si="81"/>
        <v>5.5575022805598867E-2</v>
      </c>
      <c r="AO109" s="251"/>
      <c r="AP109" s="770">
        <f t="shared" si="131"/>
        <v>0</v>
      </c>
      <c r="AQ109" s="771">
        <f t="shared" ca="1" si="132"/>
        <v>0</v>
      </c>
      <c r="AR109" s="771">
        <f t="shared" ca="1" si="133"/>
        <v>3.166374657916017</v>
      </c>
      <c r="AS109" s="772">
        <f t="shared" ca="1" si="134"/>
        <v>3.166374657916017</v>
      </c>
      <c r="AT109" s="231"/>
      <c r="AU109" s="770">
        <f>'Main Results - IRR DC Operator'!$F$16</f>
        <v>2</v>
      </c>
      <c r="AV109" s="773">
        <f>'Main Results - IRR DC Operator'!$F$15</f>
        <v>1</v>
      </c>
      <c r="AW109" s="771">
        <f t="shared" ca="1" si="135"/>
        <v>4</v>
      </c>
      <c r="AX109" s="772">
        <f t="shared" si="136"/>
        <v>0</v>
      </c>
      <c r="AY109" s="231"/>
      <c r="AZ109" s="770" cm="1">
        <f t="array" aca="1" ref="AZ109" ca="1">INDIRECT("'Definition of Typical Day'!"&amp; ADDRESS($D109+29*(AZ$16-1),$E109))+$AZ$17</f>
        <v>74.789999999999992</v>
      </c>
      <c r="BA109" s="771" cm="1">
        <f t="array" aca="1" ref="BA109" ca="1">INDIRECT("'Definition of Typical Day'!"&amp; ADDRESS($D109+29*(BA$16-1),$E109))+$BA$17</f>
        <v>74.789999999999992</v>
      </c>
      <c r="BB109" s="772" cm="1">
        <f t="array" aca="1" ref="BB109" ca="1">INDIRECT("'Definition of Typical Day'!"&amp;ADDRESS(BB$16,$E109))</f>
        <v>60</v>
      </c>
      <c r="BC109" s="776" cm="1">
        <f t="array" aca="1" ref="BC109" ca="1">INDIRECT("'Definition of Typical Day'!"&amp; ADDRESS($D109+29*(BC$16-1),$E109))</f>
        <v>73.789999999999992</v>
      </c>
      <c r="BD109" s="777" cm="1">
        <f t="array" aca="1" ref="BD109" ca="1">INDIRECT("'Definition of Typical Day'!"&amp; ADDRESS($D109+29*(BD$16-1),$E109))</f>
        <v>1</v>
      </c>
      <c r="BE109" s="776">
        <f t="shared" si="137"/>
        <v>0</v>
      </c>
      <c r="BF109" s="771">
        <f t="shared" ca="1" si="138"/>
        <v>40.246968162056234</v>
      </c>
      <c r="BG109" s="771">
        <f t="shared" ca="1" si="139"/>
        <v>2.5455844122715714</v>
      </c>
      <c r="BH109" s="771">
        <f t="shared" ca="1" si="140"/>
        <v>0</v>
      </c>
      <c r="BI109" s="776">
        <f t="shared" ca="1" si="141"/>
        <v>15.576452400508192</v>
      </c>
      <c r="BJ109" s="776">
        <f t="shared" ca="1" si="142"/>
        <v>4.1008809328251399</v>
      </c>
      <c r="BK109" s="776">
        <f t="shared" ca="1" si="143"/>
        <v>0</v>
      </c>
      <c r="BL109" s="776">
        <f t="shared" ca="1" si="144"/>
        <v>0</v>
      </c>
      <c r="BM109" s="135"/>
      <c r="BN109" s="776">
        <f t="shared" ca="1" si="145"/>
        <v>46.792552574327807</v>
      </c>
      <c r="BO109" s="778">
        <f t="shared" ca="1" si="82"/>
        <v>22.281031134232478</v>
      </c>
      <c r="BP109" s="770">
        <f t="shared" ca="1" si="83"/>
        <v>42.792552574327807</v>
      </c>
      <c r="BQ109" s="771">
        <f t="shared" ca="1" si="84"/>
        <v>0</v>
      </c>
      <c r="BR109" s="771">
        <f t="shared" ca="1" si="85"/>
        <v>0</v>
      </c>
      <c r="BS109" s="776">
        <f t="shared" ca="1" si="146"/>
        <v>46.792552574327807</v>
      </c>
      <c r="BT109" s="776">
        <f t="shared" ca="1" si="86"/>
        <v>42.792552574327807</v>
      </c>
      <c r="BU109" s="783">
        <f t="shared" ca="1" si="87"/>
        <v>20.376366403763662</v>
      </c>
      <c r="BV109" s="783">
        <f t="shared" ca="1" si="88"/>
        <v>20.376366403763662</v>
      </c>
      <c r="BW109" s="1019">
        <f t="shared" ca="1" si="147"/>
        <v>20.376366403763662</v>
      </c>
      <c r="BX109" s="771" cm="1">
        <f t="array" aca="1" ref="BX109" ca="1">INDIRECT("'Definition of Typical Day'!"&amp; ADDRESS($D109+29*(BX$16-1),$E109))</f>
        <v>40</v>
      </c>
      <c r="BY109" s="771">
        <f t="shared" ca="1" si="148"/>
        <v>1</v>
      </c>
      <c r="BZ109" s="781">
        <f t="shared" ca="1" si="89"/>
        <v>1</v>
      </c>
      <c r="CA109" s="781">
        <f t="shared" ca="1" si="90"/>
        <v>0.70710678118654757</v>
      </c>
      <c r="CB109" s="776">
        <f t="shared" ca="1" si="91"/>
        <v>84.004285604961865</v>
      </c>
      <c r="CC109" s="782">
        <f t="shared" si="92"/>
        <v>4</v>
      </c>
      <c r="CD109" s="782">
        <f t="shared" si="93"/>
        <v>17</v>
      </c>
      <c r="CE109" s="784" t="str" cm="1">
        <f t="array" aca="1" ref="CE109" ca="1">INDIRECT("'Definition of Typical Day'!"&amp;ADDRESS(CE$16,$E109))</f>
        <v>Summer weekday</v>
      </c>
      <c r="CF109" s="232"/>
      <c r="CG109" s="232"/>
      <c r="CH109" s="776">
        <f t="shared" ca="1" si="94"/>
        <v>2</v>
      </c>
      <c r="CI109" s="806">
        <f t="shared" ca="1" si="95"/>
        <v>6</v>
      </c>
      <c r="CJ109" s="770">
        <f t="shared" ca="1" si="96"/>
        <v>2.1001071401240465</v>
      </c>
      <c r="CK109" s="771">
        <f t="shared" ca="1" si="97"/>
        <v>1.5831873289580085</v>
      </c>
      <c r="CL109" s="771">
        <f t="shared" ca="1" si="98"/>
        <v>0.53813301460163443</v>
      </c>
      <c r="CM109" s="772">
        <f t="shared" ca="1" si="99"/>
        <v>0</v>
      </c>
      <c r="CN109" s="135"/>
      <c r="CO109" s="770">
        <f t="shared" ca="1" si="149"/>
        <v>1.05</v>
      </c>
      <c r="CP109" s="771">
        <f t="shared" ca="1" si="100"/>
        <v>0.98</v>
      </c>
      <c r="CQ109" s="771">
        <f t="shared" ca="1" si="101"/>
        <v>0.96</v>
      </c>
      <c r="CR109" s="771">
        <f t="shared" ca="1" si="102"/>
        <v>0.95</v>
      </c>
      <c r="CS109" s="771">
        <f t="shared" ca="1" si="103"/>
        <v>1.02</v>
      </c>
      <c r="CT109" s="772">
        <f t="shared" ca="1" si="104"/>
        <v>0.02</v>
      </c>
      <c r="CU109" s="135"/>
      <c r="CV109" s="135"/>
      <c r="CW109" s="135"/>
      <c r="CX109" s="135"/>
      <c r="CY109" s="135"/>
      <c r="CZ109" s="135"/>
      <c r="DA109" s="135"/>
      <c r="DB109" s="135"/>
      <c r="DC109" s="135"/>
      <c r="DD109" s="135"/>
      <c r="DE109" s="135"/>
      <c r="DF109" s="135"/>
      <c r="DG109" s="135"/>
      <c r="DH109" s="135"/>
      <c r="DI109" s="135"/>
      <c r="DJ109" s="135"/>
      <c r="DK109" s="135"/>
      <c r="DL109" s="135"/>
      <c r="DX109" s="135"/>
      <c r="DY109" s="135"/>
      <c r="DZ109" s="135"/>
      <c r="EA109" s="135"/>
      <c r="EB109" s="135"/>
      <c r="EC109" s="135"/>
      <c r="ED109" s="135"/>
      <c r="EE109" s="135"/>
      <c r="EF109" s="135"/>
      <c r="EG109" s="135"/>
      <c r="EH109" s="135"/>
      <c r="EI109" s="135"/>
      <c r="EJ109" s="135"/>
      <c r="EK109" s="135"/>
      <c r="EL109" s="135"/>
      <c r="EM109" s="135"/>
      <c r="EN109" s="135"/>
      <c r="EO109" s="135"/>
      <c r="EP109" s="135"/>
      <c r="EQ109" s="135"/>
      <c r="ER109" s="135"/>
      <c r="ES109" s="135"/>
      <c r="ET109" s="135"/>
      <c r="EU109" s="135"/>
      <c r="EV109" s="135"/>
      <c r="EW109" s="135"/>
      <c r="EX109" s="135"/>
      <c r="EY109" s="135"/>
      <c r="EZ109" s="135"/>
      <c r="FA109" s="135"/>
      <c r="FB109" s="135"/>
      <c r="FC109" s="135"/>
      <c r="FD109" s="135"/>
      <c r="FE109" s="135"/>
      <c r="FF109" s="135"/>
      <c r="FG109" s="135"/>
    </row>
    <row r="110" spans="1:163" s="57" customFormat="1" ht="11.25" outlineLevel="1">
      <c r="A110" s="765">
        <f t="shared" ref="A110:A173" si="150">A86+1</f>
        <v>4</v>
      </c>
      <c r="B110" s="715" t="str" cm="1">
        <f t="array" aca="1" ref="B110" ca="1">INDIRECT("'Definition of Typical Day'!"&amp;ADDRESS(B$16,$E110))</f>
        <v>Summer weekday</v>
      </c>
      <c r="C110" s="766">
        <f t="shared" ref="C110:D173" si="151">C86</f>
        <v>18</v>
      </c>
      <c r="D110" s="715">
        <f t="shared" si="151"/>
        <v>52</v>
      </c>
      <c r="E110" s="715">
        <f t="shared" si="79"/>
        <v>8</v>
      </c>
      <c r="F110" s="767" cm="1">
        <f t="array" aca="1" ref="F110" ca="1">INDIRECT("'Definition of Typical Day'!D"&amp;D110)</f>
        <v>18</v>
      </c>
      <c r="G110" s="767" cm="1">
        <f t="array" aca="1" ref="G110" ca="1">INDIRECT("'Definition of Typical Day'!"&amp;ADDRESS(13,E110))</f>
        <v>4</v>
      </c>
      <c r="H110" s="768" cm="1">
        <f t="array" aca="1" ref="H110" ca="1">INDIRECT("'Definition of Typical Day'!"&amp; ADDRESS($D110+28*(H$16-1),$E110))</f>
        <v>2</v>
      </c>
      <c r="I110" s="715" cm="1">
        <f t="array" aca="1" ref="I110" ca="1">INDIRECT("'Definition of Typical Day'!"&amp; ADDRESS($D110+29*(I$16-1),$E110))</f>
        <v>40</v>
      </c>
      <c r="J110" s="715">
        <f t="shared" ca="1" si="105"/>
        <v>37</v>
      </c>
      <c r="K110" s="785">
        <f t="shared" si="106"/>
        <v>28</v>
      </c>
      <c r="L110" s="786" cm="1">
        <f t="array" aca="1" ref="L110" ca="1">INDIRECT("'Definition of Typical Day'!"&amp; ADDRESS($D110+29*(L$16-1),$E110))</f>
        <v>6</v>
      </c>
      <c r="M110" s="768" cm="1">
        <f t="array" aca="1" ref="M110" ca="1">INDIRECT("'Definition of Typical Day'!"&amp; ADDRESS($D110+29*(M$16-1),$E110))</f>
        <v>60</v>
      </c>
      <c r="N110" s="715">
        <f t="shared" si="107"/>
        <v>3</v>
      </c>
      <c r="O110" s="715">
        <f t="shared" ca="1" si="108"/>
        <v>63</v>
      </c>
      <c r="P110" s="715" cm="1">
        <f t="array" aca="1" ref="P110" ca="1">INDIRECT("'Definition of Typical Day'!"&amp; ADDRESS($D110+29*(P$16-1),$E110))</f>
        <v>45</v>
      </c>
      <c r="Q110" s="787">
        <f t="shared" ca="1" si="109"/>
        <v>48</v>
      </c>
      <c r="R110" s="792">
        <f t="shared" ca="1" si="110"/>
        <v>63</v>
      </c>
      <c r="S110" s="769">
        <f t="shared" si="111"/>
        <v>3</v>
      </c>
      <c r="T110" s="769">
        <f t="shared" ca="1" si="112"/>
        <v>0.24</v>
      </c>
      <c r="U110" s="769">
        <f t="shared" ca="1" si="113"/>
        <v>0.70199999999999996</v>
      </c>
      <c r="V110" s="769">
        <f t="shared" ca="1" si="114"/>
        <v>0</v>
      </c>
      <c r="W110" s="769">
        <f t="shared" ca="1" si="115"/>
        <v>3.9420000000000002</v>
      </c>
      <c r="X110" s="794">
        <f t="shared" si="116"/>
        <v>3</v>
      </c>
      <c r="Y110" s="769">
        <f t="shared" ca="1" si="117"/>
        <v>2.1213203435596428</v>
      </c>
      <c r="Z110" s="769">
        <f t="shared" ca="1" si="118"/>
        <v>2.1213203435596428</v>
      </c>
      <c r="AA110" s="795">
        <f t="shared" ca="1" si="119"/>
        <v>2.1213203435596428</v>
      </c>
      <c r="AB110" s="769">
        <f t="shared" ca="1" si="120"/>
        <v>0</v>
      </c>
      <c r="AC110" s="769">
        <f t="shared" ca="1" si="121"/>
        <v>0</v>
      </c>
      <c r="AD110" s="769">
        <f t="shared" ca="1" si="122"/>
        <v>0</v>
      </c>
      <c r="AE110" s="794">
        <f t="shared" ca="1" si="123"/>
        <v>2.1213203435596428</v>
      </c>
      <c r="AF110" s="769">
        <f t="shared" ca="1" si="124"/>
        <v>2.1213203435596427E-2</v>
      </c>
      <c r="AG110" s="769">
        <f t="shared" ca="1" si="125"/>
        <v>2.1001071401240465</v>
      </c>
      <c r="AH110" s="799">
        <f t="shared" ca="1" si="126"/>
        <v>2.1001071401240465</v>
      </c>
      <c r="AI110" s="801">
        <f t="shared" ca="1" si="127"/>
        <v>1</v>
      </c>
      <c r="AJ110" s="794">
        <f t="shared" ca="1" si="128"/>
        <v>1.5831873289580085</v>
      </c>
      <c r="AK110" s="769">
        <f t="shared" ca="1" si="129"/>
        <v>0.53813301460163443</v>
      </c>
      <c r="AL110" s="769">
        <f t="shared" ca="1" si="130"/>
        <v>0</v>
      </c>
      <c r="AM110" s="804">
        <f t="shared" ca="1" si="80"/>
        <v>0.2110916438610678</v>
      </c>
      <c r="AN110" s="795">
        <f t="shared" ca="1" si="81"/>
        <v>5.5575022805598867E-2</v>
      </c>
      <c r="AO110" s="251"/>
      <c r="AP110" s="770">
        <f t="shared" si="131"/>
        <v>0</v>
      </c>
      <c r="AQ110" s="771">
        <f t="shared" ca="1" si="132"/>
        <v>0</v>
      </c>
      <c r="AR110" s="771">
        <f t="shared" ca="1" si="133"/>
        <v>3.166374657916017</v>
      </c>
      <c r="AS110" s="772">
        <f t="shared" ca="1" si="134"/>
        <v>3.166374657916017</v>
      </c>
      <c r="AT110" s="231"/>
      <c r="AU110" s="770">
        <f>'Main Results - IRR DC Operator'!$F$16</f>
        <v>2</v>
      </c>
      <c r="AV110" s="773">
        <f>'Main Results - IRR DC Operator'!$F$15</f>
        <v>1</v>
      </c>
      <c r="AW110" s="771">
        <f t="shared" ca="1" si="135"/>
        <v>4</v>
      </c>
      <c r="AX110" s="772">
        <f t="shared" si="136"/>
        <v>0</v>
      </c>
      <c r="AY110" s="231"/>
      <c r="AZ110" s="770" cm="1">
        <f t="array" aca="1" ref="AZ110" ca="1">INDIRECT("'Definition of Typical Day'!"&amp; ADDRESS($D110+29*(AZ$16-1),$E110))+$AZ$17</f>
        <v>88.34</v>
      </c>
      <c r="BA110" s="771" cm="1">
        <f t="array" aca="1" ref="BA110" ca="1">INDIRECT("'Definition of Typical Day'!"&amp; ADDRESS($D110+29*(BA$16-1),$E110))+$BA$17</f>
        <v>88.34</v>
      </c>
      <c r="BB110" s="772" cm="1">
        <f t="array" aca="1" ref="BB110" ca="1">INDIRECT("'Definition of Typical Day'!"&amp;ADDRESS(BB$16,$E110))</f>
        <v>60</v>
      </c>
      <c r="BC110" s="776" cm="1">
        <f t="array" aca="1" ref="BC110" ca="1">INDIRECT("'Definition of Typical Day'!"&amp; ADDRESS($D110+29*(BC$16-1),$E110))</f>
        <v>87.34</v>
      </c>
      <c r="BD110" s="777" cm="1">
        <f t="array" aca="1" ref="BD110" ca="1">INDIRECT("'Definition of Typical Day'!"&amp; ADDRESS($D110+29*(BD$16-1),$E110))</f>
        <v>1</v>
      </c>
      <c r="BE110" s="776">
        <f t="shared" si="137"/>
        <v>0</v>
      </c>
      <c r="BF110" s="771">
        <f t="shared" ca="1" si="138"/>
        <v>47.538670509908385</v>
      </c>
      <c r="BG110" s="771">
        <f t="shared" ca="1" si="139"/>
        <v>2.5455844122715714</v>
      </c>
      <c r="BH110" s="771">
        <f t="shared" ca="1" si="140"/>
        <v>0</v>
      </c>
      <c r="BI110" s="776">
        <f t="shared" ca="1" si="141"/>
        <v>18.436744174825662</v>
      </c>
      <c r="BJ110" s="776">
        <f t="shared" ca="1" si="142"/>
        <v>4.8539224918410051</v>
      </c>
      <c r="BK110" s="776">
        <f t="shared" ca="1" si="143"/>
        <v>0</v>
      </c>
      <c r="BL110" s="776">
        <f t="shared" ca="1" si="144"/>
        <v>0</v>
      </c>
      <c r="BM110" s="135"/>
      <c r="BN110" s="776">
        <f t="shared" ca="1" si="145"/>
        <v>54.084254922179959</v>
      </c>
      <c r="BO110" s="778">
        <f t="shared" ca="1" si="82"/>
        <v>25.753093205990137</v>
      </c>
      <c r="BP110" s="770">
        <f t="shared" ca="1" si="83"/>
        <v>50.084254922179959</v>
      </c>
      <c r="BQ110" s="771">
        <f t="shared" ca="1" si="84"/>
        <v>0</v>
      </c>
      <c r="BR110" s="771">
        <f t="shared" ca="1" si="85"/>
        <v>0</v>
      </c>
      <c r="BS110" s="776">
        <f t="shared" ca="1" si="146"/>
        <v>54.084254922179959</v>
      </c>
      <c r="BT110" s="776">
        <f t="shared" ca="1" si="86"/>
        <v>50.084254922179959</v>
      </c>
      <c r="BU110" s="783">
        <f t="shared" ca="1" si="87"/>
        <v>23.848428475521324</v>
      </c>
      <c r="BV110" s="783">
        <f t="shared" ca="1" si="88"/>
        <v>23.848428475521324</v>
      </c>
      <c r="BW110" s="1019">
        <f t="shared" ca="1" si="147"/>
        <v>23.848428475521324</v>
      </c>
      <c r="BX110" s="771" cm="1">
        <f t="array" aca="1" ref="BX110" ca="1">INDIRECT("'Definition of Typical Day'!"&amp; ADDRESS($D110+29*(BX$16-1),$E110))</f>
        <v>40</v>
      </c>
      <c r="BY110" s="771">
        <f t="shared" ca="1" si="148"/>
        <v>1</v>
      </c>
      <c r="BZ110" s="781">
        <f t="shared" ca="1" si="89"/>
        <v>1</v>
      </c>
      <c r="CA110" s="781">
        <f t="shared" ca="1" si="90"/>
        <v>0.70710678118654757</v>
      </c>
      <c r="CB110" s="776">
        <f t="shared" ca="1" si="91"/>
        <v>84.004285604961865</v>
      </c>
      <c r="CC110" s="782">
        <f t="shared" si="92"/>
        <v>4</v>
      </c>
      <c r="CD110" s="782">
        <f t="shared" si="93"/>
        <v>18</v>
      </c>
      <c r="CE110" s="784" t="str" cm="1">
        <f t="array" aca="1" ref="CE110" ca="1">INDIRECT("'Definition of Typical Day'!"&amp;ADDRESS(CE$16,$E110))</f>
        <v>Summer weekday</v>
      </c>
      <c r="CF110" s="232"/>
      <c r="CG110" s="232"/>
      <c r="CH110" s="776">
        <f t="shared" ca="1" si="94"/>
        <v>2</v>
      </c>
      <c r="CI110" s="806">
        <f t="shared" ca="1" si="95"/>
        <v>6</v>
      </c>
      <c r="CJ110" s="770">
        <f t="shared" ca="1" si="96"/>
        <v>2.1001071401240465</v>
      </c>
      <c r="CK110" s="771">
        <f t="shared" ca="1" si="97"/>
        <v>1.5831873289580085</v>
      </c>
      <c r="CL110" s="771">
        <f t="shared" ca="1" si="98"/>
        <v>0.53813301460163443</v>
      </c>
      <c r="CM110" s="772">
        <f t="shared" ca="1" si="99"/>
        <v>0</v>
      </c>
      <c r="CN110" s="135"/>
      <c r="CO110" s="770">
        <f t="shared" ca="1" si="149"/>
        <v>1.05</v>
      </c>
      <c r="CP110" s="771">
        <f t="shared" ca="1" si="100"/>
        <v>0.98</v>
      </c>
      <c r="CQ110" s="771">
        <f t="shared" ca="1" si="101"/>
        <v>0.96</v>
      </c>
      <c r="CR110" s="771">
        <f t="shared" ca="1" si="102"/>
        <v>0.95</v>
      </c>
      <c r="CS110" s="771">
        <f t="shared" ca="1" si="103"/>
        <v>1.02</v>
      </c>
      <c r="CT110" s="772">
        <f t="shared" ca="1" si="104"/>
        <v>0.02</v>
      </c>
      <c r="CU110" s="135"/>
      <c r="CV110" s="135"/>
      <c r="CW110" s="135"/>
      <c r="CX110" s="135"/>
      <c r="CY110" s="135"/>
      <c r="CZ110" s="135"/>
      <c r="DA110" s="135"/>
      <c r="DB110" s="135"/>
      <c r="DC110" s="135"/>
      <c r="DD110" s="135"/>
      <c r="DE110" s="135"/>
      <c r="DF110" s="135"/>
      <c r="DG110" s="135"/>
      <c r="DH110" s="135"/>
      <c r="DI110" s="135"/>
      <c r="DJ110" s="135"/>
      <c r="DK110" s="135"/>
      <c r="DL110" s="135"/>
      <c r="DX110" s="135"/>
      <c r="DY110" s="135"/>
      <c r="DZ110" s="135"/>
      <c r="EA110" s="135"/>
      <c r="EB110" s="135"/>
      <c r="EC110" s="135"/>
      <c r="ED110" s="135"/>
      <c r="EE110" s="135"/>
      <c r="EF110" s="135"/>
      <c r="EG110" s="135"/>
      <c r="EH110" s="135"/>
      <c r="EI110" s="135"/>
      <c r="EJ110" s="135"/>
      <c r="EK110" s="135"/>
      <c r="EL110" s="135"/>
      <c r="EM110" s="135"/>
      <c r="EN110" s="135"/>
      <c r="EO110" s="135"/>
      <c r="EP110" s="135"/>
      <c r="EQ110" s="135"/>
      <c r="ER110" s="135"/>
      <c r="ES110" s="135"/>
      <c r="ET110" s="135"/>
      <c r="EU110" s="135"/>
      <c r="EV110" s="135"/>
      <c r="EW110" s="135"/>
      <c r="EX110" s="135"/>
      <c r="EY110" s="135"/>
      <c r="EZ110" s="135"/>
      <c r="FA110" s="135"/>
      <c r="FB110" s="135"/>
      <c r="FC110" s="135"/>
      <c r="FD110" s="135"/>
      <c r="FE110" s="135"/>
      <c r="FF110" s="135"/>
      <c r="FG110" s="135"/>
    </row>
    <row r="111" spans="1:163" s="57" customFormat="1" ht="11.25" outlineLevel="1">
      <c r="A111" s="765">
        <f t="shared" si="150"/>
        <v>4</v>
      </c>
      <c r="B111" s="715" t="str" cm="1">
        <f t="array" aca="1" ref="B111" ca="1">INDIRECT("'Definition of Typical Day'!"&amp;ADDRESS(B$16,$E111))</f>
        <v>Summer weekday</v>
      </c>
      <c r="C111" s="766">
        <f t="shared" si="151"/>
        <v>19</v>
      </c>
      <c r="D111" s="715">
        <f t="shared" si="151"/>
        <v>53</v>
      </c>
      <c r="E111" s="715">
        <f t="shared" si="79"/>
        <v>8</v>
      </c>
      <c r="F111" s="767" cm="1">
        <f t="array" aca="1" ref="F111" ca="1">INDIRECT("'Definition of Typical Day'!D"&amp;D111)</f>
        <v>19</v>
      </c>
      <c r="G111" s="767" cm="1">
        <f t="array" aca="1" ref="G111" ca="1">INDIRECT("'Definition of Typical Day'!"&amp;ADDRESS(13,E111))</f>
        <v>4</v>
      </c>
      <c r="H111" s="768" cm="1">
        <f t="array" aca="1" ref="H111" ca="1">INDIRECT("'Definition of Typical Day'!"&amp; ADDRESS($D111+28*(H$16-1),$E111))</f>
        <v>2</v>
      </c>
      <c r="I111" s="715" cm="1">
        <f t="array" aca="1" ref="I111" ca="1">INDIRECT("'Definition of Typical Day'!"&amp; ADDRESS($D111+29*(I$16-1),$E111))</f>
        <v>40</v>
      </c>
      <c r="J111" s="715">
        <f t="shared" ca="1" si="105"/>
        <v>37</v>
      </c>
      <c r="K111" s="785">
        <f t="shared" si="106"/>
        <v>28</v>
      </c>
      <c r="L111" s="786" cm="1">
        <f t="array" aca="1" ref="L111" ca="1">INDIRECT("'Definition of Typical Day'!"&amp; ADDRESS($D111+29*(L$16-1),$E111))</f>
        <v>6</v>
      </c>
      <c r="M111" s="768" cm="1">
        <f t="array" aca="1" ref="M111" ca="1">INDIRECT("'Definition of Typical Day'!"&amp; ADDRESS($D111+29*(M$16-1),$E111))</f>
        <v>60</v>
      </c>
      <c r="N111" s="715">
        <f t="shared" si="107"/>
        <v>3</v>
      </c>
      <c r="O111" s="715">
        <f t="shared" ca="1" si="108"/>
        <v>63</v>
      </c>
      <c r="P111" s="715" cm="1">
        <f t="array" aca="1" ref="P111" ca="1">INDIRECT("'Definition of Typical Day'!"&amp; ADDRESS($D111+29*(P$16-1),$E111))</f>
        <v>45</v>
      </c>
      <c r="Q111" s="787">
        <f t="shared" ca="1" si="109"/>
        <v>48</v>
      </c>
      <c r="R111" s="792">
        <f t="shared" ca="1" si="110"/>
        <v>63</v>
      </c>
      <c r="S111" s="769">
        <f t="shared" si="111"/>
        <v>3</v>
      </c>
      <c r="T111" s="769">
        <f t="shared" ca="1" si="112"/>
        <v>0.24</v>
      </c>
      <c r="U111" s="769">
        <f t="shared" ca="1" si="113"/>
        <v>0.70199999999999996</v>
      </c>
      <c r="V111" s="769">
        <f t="shared" ca="1" si="114"/>
        <v>0</v>
      </c>
      <c r="W111" s="769">
        <f t="shared" ca="1" si="115"/>
        <v>3.9420000000000002</v>
      </c>
      <c r="X111" s="794">
        <f t="shared" si="116"/>
        <v>3</v>
      </c>
      <c r="Y111" s="769">
        <f t="shared" ca="1" si="117"/>
        <v>2.1213203435596428</v>
      </c>
      <c r="Z111" s="769">
        <f t="shared" ca="1" si="118"/>
        <v>2.1213203435596428</v>
      </c>
      <c r="AA111" s="795">
        <f t="shared" ca="1" si="119"/>
        <v>2.1213203435596428</v>
      </c>
      <c r="AB111" s="769">
        <f t="shared" ca="1" si="120"/>
        <v>0</v>
      </c>
      <c r="AC111" s="769">
        <f t="shared" ca="1" si="121"/>
        <v>0</v>
      </c>
      <c r="AD111" s="769">
        <f t="shared" ca="1" si="122"/>
        <v>0</v>
      </c>
      <c r="AE111" s="794">
        <f t="shared" ca="1" si="123"/>
        <v>2.1213203435596428</v>
      </c>
      <c r="AF111" s="769">
        <f t="shared" ca="1" si="124"/>
        <v>2.1213203435596427E-2</v>
      </c>
      <c r="AG111" s="769">
        <f t="shared" ca="1" si="125"/>
        <v>2.1001071401240465</v>
      </c>
      <c r="AH111" s="799">
        <f t="shared" ca="1" si="126"/>
        <v>2.1001071401240465</v>
      </c>
      <c r="AI111" s="801">
        <f t="shared" ca="1" si="127"/>
        <v>1</v>
      </c>
      <c r="AJ111" s="794">
        <f t="shared" ca="1" si="128"/>
        <v>1.5831873289580085</v>
      </c>
      <c r="AK111" s="769">
        <f t="shared" ca="1" si="129"/>
        <v>0.53813301460163443</v>
      </c>
      <c r="AL111" s="769">
        <f t="shared" ca="1" si="130"/>
        <v>0</v>
      </c>
      <c r="AM111" s="804">
        <f t="shared" ca="1" si="80"/>
        <v>0.2110916438610678</v>
      </c>
      <c r="AN111" s="795">
        <f t="shared" ca="1" si="81"/>
        <v>5.5575022805598867E-2</v>
      </c>
      <c r="AO111" s="251"/>
      <c r="AP111" s="770">
        <f t="shared" si="131"/>
        <v>0</v>
      </c>
      <c r="AQ111" s="771">
        <f t="shared" ca="1" si="132"/>
        <v>0</v>
      </c>
      <c r="AR111" s="771">
        <f t="shared" ca="1" si="133"/>
        <v>3.166374657916017</v>
      </c>
      <c r="AS111" s="772">
        <f t="shared" ca="1" si="134"/>
        <v>3.166374657916017</v>
      </c>
      <c r="AT111" s="231"/>
      <c r="AU111" s="770">
        <f>'Main Results - IRR DC Operator'!$F$16</f>
        <v>2</v>
      </c>
      <c r="AV111" s="773">
        <f>'Main Results - IRR DC Operator'!$F$15</f>
        <v>1</v>
      </c>
      <c r="AW111" s="771">
        <f t="shared" ca="1" si="135"/>
        <v>4</v>
      </c>
      <c r="AX111" s="772">
        <f t="shared" si="136"/>
        <v>0</v>
      </c>
      <c r="AY111" s="231"/>
      <c r="AZ111" s="770" cm="1">
        <f t="array" aca="1" ref="AZ111" ca="1">INDIRECT("'Definition of Typical Day'!"&amp; ADDRESS($D111+29*(AZ$16-1),$E111))+$AZ$17</f>
        <v>102.61</v>
      </c>
      <c r="BA111" s="771" cm="1">
        <f t="array" aca="1" ref="BA111" ca="1">INDIRECT("'Definition of Typical Day'!"&amp; ADDRESS($D111+29*(BA$16-1),$E111))+$BA$17</f>
        <v>102.61</v>
      </c>
      <c r="BB111" s="772" cm="1">
        <f t="array" aca="1" ref="BB111" ca="1">INDIRECT("'Definition of Typical Day'!"&amp;ADDRESS(BB$16,$E111))</f>
        <v>60</v>
      </c>
      <c r="BC111" s="776" cm="1">
        <f t="array" aca="1" ref="BC111" ca="1">INDIRECT("'Definition of Typical Day'!"&amp; ADDRESS($D111+29*(BC$16-1),$E111))</f>
        <v>101.61</v>
      </c>
      <c r="BD111" s="777" cm="1">
        <f t="array" aca="1" ref="BD111" ca="1">INDIRECT("'Definition of Typical Day'!"&amp; ADDRESS($D111+29*(BD$16-1),$E111))</f>
        <v>1</v>
      </c>
      <c r="BE111" s="776">
        <f t="shared" si="137"/>
        <v>0</v>
      </c>
      <c r="BF111" s="771">
        <f t="shared" ca="1" si="138"/>
        <v>55.217828628273708</v>
      </c>
      <c r="BG111" s="771">
        <f t="shared" ca="1" si="139"/>
        <v>2.5455844122715714</v>
      </c>
      <c r="BH111" s="771">
        <f t="shared" ca="1" si="140"/>
        <v>0</v>
      </c>
      <c r="BI111" s="776">
        <f t="shared" ca="1" si="141"/>
        <v>21.449021932723099</v>
      </c>
      <c r="BJ111" s="776">
        <f t="shared" ca="1" si="142"/>
        <v>5.6469780672769012</v>
      </c>
      <c r="BK111" s="776">
        <f t="shared" ca="1" si="143"/>
        <v>0</v>
      </c>
      <c r="BL111" s="776">
        <f t="shared" ca="1" si="144"/>
        <v>0</v>
      </c>
      <c r="BM111" s="135"/>
      <c r="BN111" s="776">
        <f t="shared" ca="1" si="145"/>
        <v>61.763413040545281</v>
      </c>
      <c r="BO111" s="778">
        <f t="shared" ca="1" si="82"/>
        <v>29.409648612926059</v>
      </c>
      <c r="BP111" s="770">
        <f t="shared" ca="1" si="83"/>
        <v>57.763413040545281</v>
      </c>
      <c r="BQ111" s="771">
        <f t="shared" ca="1" si="84"/>
        <v>0</v>
      </c>
      <c r="BR111" s="771">
        <f t="shared" ca="1" si="85"/>
        <v>0</v>
      </c>
      <c r="BS111" s="776">
        <f t="shared" ca="1" si="146"/>
        <v>61.763413040545281</v>
      </c>
      <c r="BT111" s="776">
        <f t="shared" ca="1" si="86"/>
        <v>57.763413040545281</v>
      </c>
      <c r="BU111" s="783">
        <f t="shared" ca="1" si="87"/>
        <v>27.504983882457246</v>
      </c>
      <c r="BV111" s="783">
        <f t="shared" ca="1" si="88"/>
        <v>27.504983882457246</v>
      </c>
      <c r="BW111" s="1019">
        <f t="shared" ca="1" si="147"/>
        <v>27.504983882457246</v>
      </c>
      <c r="BX111" s="771" cm="1">
        <f t="array" aca="1" ref="BX111" ca="1">INDIRECT("'Definition of Typical Day'!"&amp; ADDRESS($D111+29*(BX$16-1),$E111))</f>
        <v>40</v>
      </c>
      <c r="BY111" s="771">
        <f t="shared" ca="1" si="148"/>
        <v>1</v>
      </c>
      <c r="BZ111" s="781">
        <f t="shared" ca="1" si="89"/>
        <v>1</v>
      </c>
      <c r="CA111" s="781">
        <f t="shared" ca="1" si="90"/>
        <v>0.70710678118654757</v>
      </c>
      <c r="CB111" s="776">
        <f t="shared" ca="1" si="91"/>
        <v>84.004285604961865</v>
      </c>
      <c r="CC111" s="782">
        <f t="shared" si="92"/>
        <v>4</v>
      </c>
      <c r="CD111" s="782">
        <f t="shared" si="93"/>
        <v>19</v>
      </c>
      <c r="CE111" s="784" t="str" cm="1">
        <f t="array" aca="1" ref="CE111" ca="1">INDIRECT("'Definition of Typical Day'!"&amp;ADDRESS(CE$16,$E111))</f>
        <v>Summer weekday</v>
      </c>
      <c r="CF111" s="232"/>
      <c r="CG111" s="232"/>
      <c r="CH111" s="776">
        <f t="shared" ca="1" si="94"/>
        <v>2</v>
      </c>
      <c r="CI111" s="806">
        <f t="shared" ca="1" si="95"/>
        <v>6</v>
      </c>
      <c r="CJ111" s="770">
        <f t="shared" ca="1" si="96"/>
        <v>2.1001071401240465</v>
      </c>
      <c r="CK111" s="771">
        <f t="shared" ca="1" si="97"/>
        <v>1.5831873289580085</v>
      </c>
      <c r="CL111" s="771">
        <f t="shared" ca="1" si="98"/>
        <v>0.53813301460163443</v>
      </c>
      <c r="CM111" s="772">
        <f t="shared" ca="1" si="99"/>
        <v>0</v>
      </c>
      <c r="CN111" s="135"/>
      <c r="CO111" s="770">
        <f t="shared" ca="1" si="149"/>
        <v>1.05</v>
      </c>
      <c r="CP111" s="771">
        <f t="shared" ca="1" si="100"/>
        <v>0.98</v>
      </c>
      <c r="CQ111" s="771">
        <f t="shared" ca="1" si="101"/>
        <v>0.96</v>
      </c>
      <c r="CR111" s="771">
        <f t="shared" ca="1" si="102"/>
        <v>0.95</v>
      </c>
      <c r="CS111" s="771">
        <f t="shared" ca="1" si="103"/>
        <v>1.02</v>
      </c>
      <c r="CT111" s="772">
        <f t="shared" ca="1" si="104"/>
        <v>0.02</v>
      </c>
      <c r="CU111" s="135"/>
      <c r="CV111" s="135"/>
      <c r="CW111" s="135"/>
      <c r="CX111" s="135"/>
      <c r="CY111" s="135"/>
      <c r="CZ111" s="135"/>
      <c r="DA111" s="135"/>
      <c r="DB111" s="135"/>
      <c r="DC111" s="135"/>
      <c r="DD111" s="135"/>
      <c r="DE111" s="135"/>
      <c r="DF111" s="135"/>
      <c r="DG111" s="135"/>
      <c r="DH111" s="135"/>
      <c r="DI111" s="135"/>
      <c r="DJ111" s="135"/>
      <c r="DK111" s="135"/>
      <c r="DL111" s="135"/>
      <c r="DX111" s="135"/>
      <c r="DY111" s="135"/>
      <c r="DZ111" s="135"/>
      <c r="EA111" s="135"/>
      <c r="EB111" s="135"/>
      <c r="EC111" s="135"/>
      <c r="ED111" s="135"/>
      <c r="EE111" s="135"/>
      <c r="EF111" s="135"/>
      <c r="EG111" s="135"/>
      <c r="EH111" s="135"/>
      <c r="EI111" s="135"/>
      <c r="EJ111" s="135"/>
      <c r="EK111" s="135"/>
      <c r="EL111" s="135"/>
      <c r="EM111" s="135"/>
      <c r="EN111" s="135"/>
      <c r="EO111" s="135"/>
      <c r="EP111" s="135"/>
      <c r="EQ111" s="135"/>
      <c r="ER111" s="135"/>
      <c r="ES111" s="135"/>
      <c r="ET111" s="135"/>
      <c r="EU111" s="135"/>
      <c r="EV111" s="135"/>
      <c r="EW111" s="135"/>
      <c r="EX111" s="135"/>
      <c r="EY111" s="135"/>
      <c r="EZ111" s="135"/>
      <c r="FA111" s="135"/>
      <c r="FB111" s="135"/>
      <c r="FC111" s="135"/>
      <c r="FD111" s="135"/>
      <c r="FE111" s="135"/>
      <c r="FF111" s="135"/>
      <c r="FG111" s="135"/>
    </row>
    <row r="112" spans="1:163" s="57" customFormat="1" ht="11.25" outlineLevel="1">
      <c r="A112" s="765">
        <f t="shared" si="150"/>
        <v>4</v>
      </c>
      <c r="B112" s="715" t="str" cm="1">
        <f t="array" aca="1" ref="B112" ca="1">INDIRECT("'Definition of Typical Day'!"&amp;ADDRESS(B$16,$E112))</f>
        <v>Summer weekday</v>
      </c>
      <c r="C112" s="766">
        <f t="shared" si="151"/>
        <v>20</v>
      </c>
      <c r="D112" s="715">
        <f t="shared" si="151"/>
        <v>54</v>
      </c>
      <c r="E112" s="715">
        <f t="shared" si="79"/>
        <v>8</v>
      </c>
      <c r="F112" s="767" cm="1">
        <f t="array" aca="1" ref="F112" ca="1">INDIRECT("'Definition of Typical Day'!D"&amp;D112)</f>
        <v>20</v>
      </c>
      <c r="G112" s="767" cm="1">
        <f t="array" aca="1" ref="G112" ca="1">INDIRECT("'Definition of Typical Day'!"&amp;ADDRESS(13,E112))</f>
        <v>4</v>
      </c>
      <c r="H112" s="768" cm="1">
        <f t="array" aca="1" ref="H112" ca="1">INDIRECT("'Definition of Typical Day'!"&amp; ADDRESS($D112+28*(H$16-1),$E112))</f>
        <v>2</v>
      </c>
      <c r="I112" s="715" cm="1">
        <f t="array" aca="1" ref="I112" ca="1">INDIRECT("'Definition of Typical Day'!"&amp; ADDRESS($D112+29*(I$16-1),$E112))</f>
        <v>40</v>
      </c>
      <c r="J112" s="715">
        <f t="shared" ca="1" si="105"/>
        <v>37</v>
      </c>
      <c r="K112" s="785">
        <f t="shared" si="106"/>
        <v>28</v>
      </c>
      <c r="L112" s="786" cm="1">
        <f t="array" aca="1" ref="L112" ca="1">INDIRECT("'Definition of Typical Day'!"&amp; ADDRESS($D112+29*(L$16-1),$E112))</f>
        <v>6</v>
      </c>
      <c r="M112" s="768" cm="1">
        <f t="array" aca="1" ref="M112" ca="1">INDIRECT("'Definition of Typical Day'!"&amp; ADDRESS($D112+29*(M$16-1),$E112))</f>
        <v>60</v>
      </c>
      <c r="N112" s="715">
        <f t="shared" si="107"/>
        <v>3</v>
      </c>
      <c r="O112" s="715">
        <f t="shared" ca="1" si="108"/>
        <v>63</v>
      </c>
      <c r="P112" s="715" cm="1">
        <f t="array" aca="1" ref="P112" ca="1">INDIRECT("'Definition of Typical Day'!"&amp; ADDRESS($D112+29*(P$16-1),$E112))</f>
        <v>45</v>
      </c>
      <c r="Q112" s="787">
        <f t="shared" ca="1" si="109"/>
        <v>48</v>
      </c>
      <c r="R112" s="792">
        <f t="shared" ca="1" si="110"/>
        <v>63</v>
      </c>
      <c r="S112" s="769">
        <f t="shared" si="111"/>
        <v>3</v>
      </c>
      <c r="T112" s="769">
        <f t="shared" ca="1" si="112"/>
        <v>0.24</v>
      </c>
      <c r="U112" s="769">
        <f t="shared" ca="1" si="113"/>
        <v>0.70199999999999996</v>
      </c>
      <c r="V112" s="769">
        <f t="shared" ca="1" si="114"/>
        <v>0</v>
      </c>
      <c r="W112" s="769">
        <f t="shared" ca="1" si="115"/>
        <v>3.9420000000000002</v>
      </c>
      <c r="X112" s="794">
        <f t="shared" si="116"/>
        <v>3</v>
      </c>
      <c r="Y112" s="769">
        <f t="shared" ca="1" si="117"/>
        <v>2.1213203435596428</v>
      </c>
      <c r="Z112" s="769">
        <f t="shared" ca="1" si="118"/>
        <v>2.1213203435596428</v>
      </c>
      <c r="AA112" s="795">
        <f t="shared" ca="1" si="119"/>
        <v>2.1213203435596428</v>
      </c>
      <c r="AB112" s="769">
        <f t="shared" ca="1" si="120"/>
        <v>0</v>
      </c>
      <c r="AC112" s="769">
        <f t="shared" ca="1" si="121"/>
        <v>0</v>
      </c>
      <c r="AD112" s="769">
        <f t="shared" ca="1" si="122"/>
        <v>0</v>
      </c>
      <c r="AE112" s="794">
        <f t="shared" ca="1" si="123"/>
        <v>2.1213203435596428</v>
      </c>
      <c r="AF112" s="769">
        <f t="shared" ca="1" si="124"/>
        <v>2.1213203435596427E-2</v>
      </c>
      <c r="AG112" s="769">
        <f t="shared" ca="1" si="125"/>
        <v>2.1001071401240465</v>
      </c>
      <c r="AH112" s="799">
        <f t="shared" ca="1" si="126"/>
        <v>2.1001071401240465</v>
      </c>
      <c r="AI112" s="801">
        <f t="shared" ca="1" si="127"/>
        <v>1</v>
      </c>
      <c r="AJ112" s="794">
        <f t="shared" ca="1" si="128"/>
        <v>1.5831873289580085</v>
      </c>
      <c r="AK112" s="769">
        <f t="shared" ca="1" si="129"/>
        <v>0.53813301460163443</v>
      </c>
      <c r="AL112" s="769">
        <f t="shared" ca="1" si="130"/>
        <v>0</v>
      </c>
      <c r="AM112" s="804">
        <f t="shared" ca="1" si="80"/>
        <v>0.2110916438610678</v>
      </c>
      <c r="AN112" s="795">
        <f t="shared" ca="1" si="81"/>
        <v>5.5575022805598867E-2</v>
      </c>
      <c r="AO112" s="251"/>
      <c r="AP112" s="770">
        <f t="shared" si="131"/>
        <v>0</v>
      </c>
      <c r="AQ112" s="771">
        <f t="shared" ca="1" si="132"/>
        <v>0</v>
      </c>
      <c r="AR112" s="771">
        <f t="shared" ca="1" si="133"/>
        <v>3.166374657916017</v>
      </c>
      <c r="AS112" s="772">
        <f t="shared" ca="1" si="134"/>
        <v>3.166374657916017</v>
      </c>
      <c r="AT112" s="231"/>
      <c r="AU112" s="770">
        <f>'Main Results - IRR DC Operator'!$F$16</f>
        <v>2</v>
      </c>
      <c r="AV112" s="773">
        <f>'Main Results - IRR DC Operator'!$F$15</f>
        <v>1</v>
      </c>
      <c r="AW112" s="771">
        <f t="shared" ca="1" si="135"/>
        <v>4</v>
      </c>
      <c r="AX112" s="772">
        <f t="shared" si="136"/>
        <v>0</v>
      </c>
      <c r="AY112" s="231"/>
      <c r="AZ112" s="770" cm="1">
        <f t="array" aca="1" ref="AZ112" ca="1">INDIRECT("'Definition of Typical Day'!"&amp; ADDRESS($D112+29*(AZ$16-1),$E112))+$AZ$17</f>
        <v>132.01999999999998</v>
      </c>
      <c r="BA112" s="771" cm="1">
        <f t="array" aca="1" ref="BA112" ca="1">INDIRECT("'Definition of Typical Day'!"&amp; ADDRESS($D112+29*(BA$16-1),$E112))+$BA$17</f>
        <v>132.01999999999998</v>
      </c>
      <c r="BB112" s="772" cm="1">
        <f t="array" aca="1" ref="BB112" ca="1">INDIRECT("'Definition of Typical Day'!"&amp;ADDRESS(BB$16,$E112))</f>
        <v>60</v>
      </c>
      <c r="BC112" s="776" cm="1">
        <f t="array" aca="1" ref="BC112" ca="1">INDIRECT("'Definition of Typical Day'!"&amp; ADDRESS($D112+29*(BC$16-1),$E112))</f>
        <v>131.01999999999998</v>
      </c>
      <c r="BD112" s="777" cm="1">
        <f t="array" aca="1" ref="BD112" ca="1">INDIRECT("'Definition of Typical Day'!"&amp; ADDRESS($D112+29*(BD$16-1),$E112))</f>
        <v>1</v>
      </c>
      <c r="BE112" s="776">
        <f t="shared" si="137"/>
        <v>0</v>
      </c>
      <c r="BF112" s="771">
        <f t="shared" ca="1" si="138"/>
        <v>71.044320587707773</v>
      </c>
      <c r="BG112" s="771">
        <f t="shared" ca="1" si="139"/>
        <v>2.5455844122715714</v>
      </c>
      <c r="BH112" s="771">
        <f t="shared" ca="1" si="140"/>
        <v>0</v>
      </c>
      <c r="BI112" s="776">
        <f t="shared" ca="1" si="141"/>
        <v>27.6572271786771</v>
      </c>
      <c r="BJ112" s="776">
        <f t="shared" ca="1" si="142"/>
        <v>7.2814394879895623</v>
      </c>
      <c r="BK112" s="776">
        <f t="shared" ca="1" si="143"/>
        <v>0</v>
      </c>
      <c r="BL112" s="776">
        <f t="shared" ca="1" si="144"/>
        <v>0</v>
      </c>
      <c r="BM112" s="135"/>
      <c r="BN112" s="776">
        <f t="shared" ca="1" si="145"/>
        <v>77.589904999979339</v>
      </c>
      <c r="BO112" s="778">
        <f t="shared" ca="1" si="82"/>
        <v>36.945688873471646</v>
      </c>
      <c r="BP112" s="770">
        <f t="shared" ca="1" si="83"/>
        <v>73.589904999979339</v>
      </c>
      <c r="BQ112" s="771">
        <f t="shared" ca="1" si="84"/>
        <v>0</v>
      </c>
      <c r="BR112" s="771">
        <f t="shared" ca="1" si="85"/>
        <v>0</v>
      </c>
      <c r="BS112" s="776">
        <f t="shared" ca="1" si="146"/>
        <v>77.589904999979339</v>
      </c>
      <c r="BT112" s="776">
        <f t="shared" ca="1" si="86"/>
        <v>73.589904999979339</v>
      </c>
      <c r="BU112" s="783">
        <f t="shared" ca="1" si="87"/>
        <v>35.041024143002829</v>
      </c>
      <c r="BV112" s="783">
        <f t="shared" ca="1" si="88"/>
        <v>35.041024143002829</v>
      </c>
      <c r="BW112" s="1019">
        <f t="shared" ca="1" si="147"/>
        <v>35.041024143002829</v>
      </c>
      <c r="BX112" s="771" cm="1">
        <f t="array" aca="1" ref="BX112" ca="1">INDIRECT("'Definition of Typical Day'!"&amp; ADDRESS($D112+29*(BX$16-1),$E112))</f>
        <v>40</v>
      </c>
      <c r="BY112" s="771">
        <f t="shared" ca="1" si="148"/>
        <v>1</v>
      </c>
      <c r="BZ112" s="781">
        <f t="shared" ca="1" si="89"/>
        <v>1</v>
      </c>
      <c r="CA112" s="781">
        <f t="shared" ca="1" si="90"/>
        <v>0.70710678118654757</v>
      </c>
      <c r="CB112" s="776">
        <f t="shared" ca="1" si="91"/>
        <v>84.004285604961865</v>
      </c>
      <c r="CC112" s="782">
        <f t="shared" si="92"/>
        <v>4</v>
      </c>
      <c r="CD112" s="782">
        <f t="shared" si="93"/>
        <v>20</v>
      </c>
      <c r="CE112" s="784" t="str" cm="1">
        <f t="array" aca="1" ref="CE112" ca="1">INDIRECT("'Definition of Typical Day'!"&amp;ADDRESS(CE$16,$E112))</f>
        <v>Summer weekday</v>
      </c>
      <c r="CF112" s="232"/>
      <c r="CG112" s="232"/>
      <c r="CH112" s="776">
        <f t="shared" ca="1" si="94"/>
        <v>2</v>
      </c>
      <c r="CI112" s="806">
        <f t="shared" ca="1" si="95"/>
        <v>6</v>
      </c>
      <c r="CJ112" s="770">
        <f t="shared" ca="1" si="96"/>
        <v>2.1001071401240465</v>
      </c>
      <c r="CK112" s="771">
        <f t="shared" ca="1" si="97"/>
        <v>1.5831873289580085</v>
      </c>
      <c r="CL112" s="771">
        <f t="shared" ca="1" si="98"/>
        <v>0.53813301460163443</v>
      </c>
      <c r="CM112" s="772">
        <f t="shared" ca="1" si="99"/>
        <v>0</v>
      </c>
      <c r="CN112" s="135"/>
      <c r="CO112" s="770">
        <f t="shared" ca="1" si="149"/>
        <v>1.05</v>
      </c>
      <c r="CP112" s="771">
        <f t="shared" ca="1" si="100"/>
        <v>0.98</v>
      </c>
      <c r="CQ112" s="771">
        <f t="shared" ca="1" si="101"/>
        <v>0.96</v>
      </c>
      <c r="CR112" s="771">
        <f t="shared" ca="1" si="102"/>
        <v>0.95</v>
      </c>
      <c r="CS112" s="771">
        <f t="shared" ca="1" si="103"/>
        <v>1.02</v>
      </c>
      <c r="CT112" s="772">
        <f t="shared" ca="1" si="104"/>
        <v>0.02</v>
      </c>
      <c r="CU112" s="135"/>
      <c r="CV112" s="135"/>
      <c r="CW112" s="135"/>
      <c r="CX112" s="135"/>
      <c r="CY112" s="135"/>
      <c r="CZ112" s="135"/>
      <c r="DA112" s="135"/>
      <c r="DB112" s="135"/>
      <c r="DC112" s="135"/>
      <c r="DD112" s="135"/>
      <c r="DE112" s="135"/>
      <c r="DF112" s="135"/>
      <c r="DG112" s="135"/>
      <c r="DH112" s="135"/>
      <c r="DI112" s="135"/>
      <c r="DJ112" s="135"/>
      <c r="DK112" s="135"/>
      <c r="DL112" s="135"/>
      <c r="DX112" s="135"/>
      <c r="DY112" s="135"/>
      <c r="DZ112" s="135"/>
      <c r="EA112" s="135"/>
      <c r="EB112" s="135"/>
      <c r="EC112" s="135"/>
      <c r="ED112" s="135"/>
      <c r="EE112" s="135"/>
      <c r="EF112" s="135"/>
      <c r="EG112" s="135"/>
      <c r="EH112" s="135"/>
      <c r="EI112" s="135"/>
      <c r="EJ112" s="135"/>
      <c r="EK112" s="135"/>
      <c r="EL112" s="135"/>
      <c r="EM112" s="135"/>
      <c r="EN112" s="135"/>
      <c r="EO112" s="135"/>
      <c r="EP112" s="135"/>
      <c r="EQ112" s="135"/>
      <c r="ER112" s="135"/>
      <c r="ES112" s="135"/>
      <c r="ET112" s="135"/>
      <c r="EU112" s="135"/>
      <c r="EV112" s="135"/>
      <c r="EW112" s="135"/>
      <c r="EX112" s="135"/>
      <c r="EY112" s="135"/>
      <c r="EZ112" s="135"/>
      <c r="FA112" s="135"/>
      <c r="FB112" s="135"/>
      <c r="FC112" s="135"/>
      <c r="FD112" s="135"/>
      <c r="FE112" s="135"/>
      <c r="FF112" s="135"/>
      <c r="FG112" s="135"/>
    </row>
    <row r="113" spans="1:163" s="57" customFormat="1" ht="11.25" outlineLevel="1">
      <c r="A113" s="765">
        <f t="shared" si="150"/>
        <v>4</v>
      </c>
      <c r="B113" s="715" t="str" cm="1">
        <f t="array" aca="1" ref="B113" ca="1">INDIRECT("'Definition of Typical Day'!"&amp;ADDRESS(B$16,$E113))</f>
        <v>Summer weekday</v>
      </c>
      <c r="C113" s="766">
        <f t="shared" si="151"/>
        <v>21</v>
      </c>
      <c r="D113" s="715">
        <f t="shared" si="151"/>
        <v>55</v>
      </c>
      <c r="E113" s="715">
        <f t="shared" si="79"/>
        <v>8</v>
      </c>
      <c r="F113" s="767" cm="1">
        <f t="array" aca="1" ref="F113" ca="1">INDIRECT("'Definition of Typical Day'!D"&amp;D113)</f>
        <v>21</v>
      </c>
      <c r="G113" s="767" cm="1">
        <f t="array" aca="1" ref="G113" ca="1">INDIRECT("'Definition of Typical Day'!"&amp;ADDRESS(13,E113))</f>
        <v>4</v>
      </c>
      <c r="H113" s="768" cm="1">
        <f t="array" aca="1" ref="H113" ca="1">INDIRECT("'Definition of Typical Day'!"&amp; ADDRESS($D113+28*(H$16-1),$E113))</f>
        <v>2</v>
      </c>
      <c r="I113" s="715" cm="1">
        <f t="array" aca="1" ref="I113" ca="1">INDIRECT("'Definition of Typical Day'!"&amp; ADDRESS($D113+29*(I$16-1),$E113))</f>
        <v>40</v>
      </c>
      <c r="J113" s="715">
        <f t="shared" ca="1" si="105"/>
        <v>37</v>
      </c>
      <c r="K113" s="785">
        <f t="shared" si="106"/>
        <v>28</v>
      </c>
      <c r="L113" s="786" cm="1">
        <f t="array" aca="1" ref="L113" ca="1">INDIRECT("'Definition of Typical Day'!"&amp; ADDRESS($D113+29*(L$16-1),$E113))</f>
        <v>6</v>
      </c>
      <c r="M113" s="768" cm="1">
        <f t="array" aca="1" ref="M113" ca="1">INDIRECT("'Definition of Typical Day'!"&amp; ADDRESS($D113+29*(M$16-1),$E113))</f>
        <v>60</v>
      </c>
      <c r="N113" s="715">
        <f t="shared" si="107"/>
        <v>3</v>
      </c>
      <c r="O113" s="715">
        <f t="shared" ca="1" si="108"/>
        <v>63</v>
      </c>
      <c r="P113" s="715" cm="1">
        <f t="array" aca="1" ref="P113" ca="1">INDIRECT("'Definition of Typical Day'!"&amp; ADDRESS($D113+29*(P$16-1),$E113))</f>
        <v>45</v>
      </c>
      <c r="Q113" s="787">
        <f t="shared" ca="1" si="109"/>
        <v>48</v>
      </c>
      <c r="R113" s="792">
        <f t="shared" ca="1" si="110"/>
        <v>63</v>
      </c>
      <c r="S113" s="769">
        <f t="shared" si="111"/>
        <v>3</v>
      </c>
      <c r="T113" s="769">
        <f t="shared" ca="1" si="112"/>
        <v>0.24</v>
      </c>
      <c r="U113" s="769">
        <f t="shared" ca="1" si="113"/>
        <v>0.70199999999999996</v>
      </c>
      <c r="V113" s="769">
        <f t="shared" ca="1" si="114"/>
        <v>0</v>
      </c>
      <c r="W113" s="769">
        <f t="shared" ca="1" si="115"/>
        <v>3.9420000000000002</v>
      </c>
      <c r="X113" s="794">
        <f t="shared" si="116"/>
        <v>3</v>
      </c>
      <c r="Y113" s="769">
        <f t="shared" ca="1" si="117"/>
        <v>2.1213203435596428</v>
      </c>
      <c r="Z113" s="769">
        <f t="shared" ca="1" si="118"/>
        <v>2.1213203435596428</v>
      </c>
      <c r="AA113" s="795">
        <f t="shared" ca="1" si="119"/>
        <v>2.1213203435596428</v>
      </c>
      <c r="AB113" s="769">
        <f t="shared" ca="1" si="120"/>
        <v>0</v>
      </c>
      <c r="AC113" s="769">
        <f t="shared" ca="1" si="121"/>
        <v>0</v>
      </c>
      <c r="AD113" s="769">
        <f t="shared" ca="1" si="122"/>
        <v>0</v>
      </c>
      <c r="AE113" s="794">
        <f t="shared" ca="1" si="123"/>
        <v>2.1213203435596428</v>
      </c>
      <c r="AF113" s="769">
        <f t="shared" ca="1" si="124"/>
        <v>2.1213203435596427E-2</v>
      </c>
      <c r="AG113" s="769">
        <f t="shared" ca="1" si="125"/>
        <v>2.1001071401240465</v>
      </c>
      <c r="AH113" s="799">
        <f t="shared" ca="1" si="126"/>
        <v>2.1001071401240465</v>
      </c>
      <c r="AI113" s="801">
        <f t="shared" ca="1" si="127"/>
        <v>1</v>
      </c>
      <c r="AJ113" s="794">
        <f t="shared" ca="1" si="128"/>
        <v>1.5831873289580085</v>
      </c>
      <c r="AK113" s="769">
        <f t="shared" ca="1" si="129"/>
        <v>0.53813301460163443</v>
      </c>
      <c r="AL113" s="769">
        <f t="shared" ca="1" si="130"/>
        <v>0</v>
      </c>
      <c r="AM113" s="804">
        <f t="shared" ca="1" si="80"/>
        <v>0</v>
      </c>
      <c r="AN113" s="795">
        <f t="shared" ca="1" si="81"/>
        <v>0.26666666666666666</v>
      </c>
      <c r="AO113" s="251"/>
      <c r="AP113" s="770">
        <f t="shared" si="131"/>
        <v>0</v>
      </c>
      <c r="AQ113" s="771">
        <f t="shared" ca="1" si="132"/>
        <v>0</v>
      </c>
      <c r="AR113" s="771">
        <f t="shared" ca="1" si="133"/>
        <v>3.166374657916017</v>
      </c>
      <c r="AS113" s="772">
        <f t="shared" ca="1" si="134"/>
        <v>3.166374657916017</v>
      </c>
      <c r="AT113" s="231"/>
      <c r="AU113" s="770">
        <f>'Main Results - IRR DC Operator'!$F$16</f>
        <v>2</v>
      </c>
      <c r="AV113" s="773">
        <f>'Main Results - IRR DC Operator'!$F$15</f>
        <v>1</v>
      </c>
      <c r="AW113" s="771">
        <f t="shared" ca="1" si="135"/>
        <v>4</v>
      </c>
      <c r="AX113" s="772">
        <f t="shared" si="136"/>
        <v>0</v>
      </c>
      <c r="AY113" s="231"/>
      <c r="AZ113" s="770" cm="1">
        <f t="array" aca="1" ref="AZ113" ca="1">INDIRECT("'Definition of Typical Day'!"&amp; ADDRESS($D113+29*(AZ$16-1),$E113))+$AZ$17</f>
        <v>201.46</v>
      </c>
      <c r="BA113" s="771" cm="1">
        <f t="array" aca="1" ref="BA113" ca="1">INDIRECT("'Definition of Typical Day'!"&amp; ADDRESS($D113+29*(BA$16-1),$E113))+$BA$17</f>
        <v>201.46</v>
      </c>
      <c r="BB113" s="772" cm="1">
        <f t="array" aca="1" ref="BB113" ca="1">INDIRECT("'Definition of Typical Day'!"&amp;ADDRESS(BB$16,$E113))</f>
        <v>60</v>
      </c>
      <c r="BC113" s="776" cm="1">
        <f t="array" aca="1" ref="BC113" ca="1">INDIRECT("'Definition of Typical Day'!"&amp; ADDRESS($D113+29*(BC$16-1),$E113))</f>
        <v>200.46</v>
      </c>
      <c r="BD113" s="777" cm="1">
        <f t="array" aca="1" ref="BD113" ca="1">INDIRECT("'Definition of Typical Day'!"&amp; ADDRESS($D113+29*(BD$16-1),$E113))</f>
        <v>1</v>
      </c>
      <c r="BE113" s="776">
        <f t="shared" si="137"/>
        <v>0</v>
      </c>
      <c r="BF113" s="771">
        <f t="shared" ca="1" si="138"/>
        <v>108.41227712164527</v>
      </c>
      <c r="BG113" s="771">
        <f t="shared" ca="1" si="139"/>
        <v>2.5455844122715714</v>
      </c>
      <c r="BH113" s="771">
        <f t="shared" ca="1" si="140"/>
        <v>0</v>
      </c>
      <c r="BI113" s="776">
        <f t="shared" ca="1" si="141"/>
        <v>0</v>
      </c>
      <c r="BJ113" s="776">
        <f t="shared" ca="1" si="142"/>
        <v>53.456000000000003</v>
      </c>
      <c r="BK113" s="776">
        <f t="shared" ca="1" si="143"/>
        <v>0</v>
      </c>
      <c r="BL113" s="776">
        <f t="shared" ca="1" si="144"/>
        <v>0</v>
      </c>
      <c r="BM113" s="135"/>
      <c r="BN113" s="776">
        <f t="shared" ca="1" si="145"/>
        <v>114.95786153391684</v>
      </c>
      <c r="BO113" s="778">
        <f t="shared" ca="1" si="82"/>
        <v>54.739046088442258</v>
      </c>
      <c r="BP113" s="770">
        <f t="shared" ca="1" si="83"/>
        <v>110.95786153391684</v>
      </c>
      <c r="BQ113" s="771">
        <f t="shared" ca="1" si="84"/>
        <v>0</v>
      </c>
      <c r="BR113" s="771">
        <f t="shared" ca="1" si="85"/>
        <v>0</v>
      </c>
      <c r="BS113" s="776">
        <f t="shared" ca="1" si="146"/>
        <v>114.95786153391684</v>
      </c>
      <c r="BT113" s="776">
        <f t="shared" ca="1" si="86"/>
        <v>110.95786153391684</v>
      </c>
      <c r="BU113" s="783">
        <f t="shared" ca="1" si="87"/>
        <v>52.834381357973442</v>
      </c>
      <c r="BV113" s="783">
        <f t="shared" ca="1" si="88"/>
        <v>52.834381357973442</v>
      </c>
      <c r="BW113" s="1019">
        <f t="shared" ca="1" si="147"/>
        <v>52.834381357973442</v>
      </c>
      <c r="BX113" s="771" cm="1">
        <f t="array" aca="1" ref="BX113" ca="1">INDIRECT("'Definition of Typical Day'!"&amp; ADDRESS($D113+29*(BX$16-1),$E113))</f>
        <v>40</v>
      </c>
      <c r="BY113" s="771">
        <f t="shared" ca="1" si="148"/>
        <v>0</v>
      </c>
      <c r="BZ113" s="781">
        <f t="shared" ca="1" si="89"/>
        <v>0</v>
      </c>
      <c r="CA113" s="781">
        <f t="shared" ca="1" si="90"/>
        <v>0</v>
      </c>
      <c r="CB113" s="776">
        <f t="shared" ca="1" si="91"/>
        <v>84.004285604961865</v>
      </c>
      <c r="CC113" s="782">
        <f t="shared" si="92"/>
        <v>4</v>
      </c>
      <c r="CD113" s="782">
        <f t="shared" si="93"/>
        <v>21</v>
      </c>
      <c r="CE113" s="784" t="str" cm="1">
        <f t="array" aca="1" ref="CE113" ca="1">INDIRECT("'Definition of Typical Day'!"&amp;ADDRESS(CE$16,$E113))</f>
        <v>Summer weekday</v>
      </c>
      <c r="CF113" s="232"/>
      <c r="CG113" s="232"/>
      <c r="CH113" s="776">
        <f t="shared" ca="1" si="94"/>
        <v>2</v>
      </c>
      <c r="CI113" s="806">
        <f t="shared" ca="1" si="95"/>
        <v>6</v>
      </c>
      <c r="CJ113" s="770">
        <f t="shared" ca="1" si="96"/>
        <v>0</v>
      </c>
      <c r="CK113" s="771">
        <f t="shared" ca="1" si="97"/>
        <v>0</v>
      </c>
      <c r="CL113" s="771">
        <f t="shared" ca="1" si="98"/>
        <v>0</v>
      </c>
      <c r="CM113" s="772">
        <f t="shared" ca="1" si="99"/>
        <v>0</v>
      </c>
      <c r="CN113" s="135"/>
      <c r="CO113" s="770">
        <f t="shared" ca="1" si="149"/>
        <v>0.03</v>
      </c>
      <c r="CP113" s="771">
        <f t="shared" ca="1" si="100"/>
        <v>0.98</v>
      </c>
      <c r="CQ113" s="771">
        <f t="shared" ca="1" si="101"/>
        <v>0.96</v>
      </c>
      <c r="CR113" s="771">
        <f t="shared" ca="1" si="102"/>
        <v>0.95</v>
      </c>
      <c r="CS113" s="771">
        <f t="shared" ca="1" si="103"/>
        <v>1.02</v>
      </c>
      <c r="CT113" s="772">
        <f t="shared" ca="1" si="104"/>
        <v>0.02</v>
      </c>
      <c r="CU113" s="135"/>
      <c r="CV113" s="135"/>
      <c r="CW113" s="135"/>
      <c r="CX113" s="135"/>
      <c r="CY113" s="135"/>
      <c r="CZ113" s="135"/>
      <c r="DA113" s="135"/>
      <c r="DB113" s="135"/>
      <c r="DC113" s="135"/>
      <c r="DD113" s="135"/>
      <c r="DE113" s="135"/>
      <c r="DF113" s="135"/>
      <c r="DG113" s="135"/>
      <c r="DH113" s="135"/>
      <c r="DI113" s="135"/>
      <c r="DJ113" s="135"/>
      <c r="DK113" s="135"/>
      <c r="DL113" s="135"/>
      <c r="DX113" s="135"/>
      <c r="DY113" s="135"/>
      <c r="DZ113" s="135"/>
      <c r="EA113" s="135"/>
      <c r="EB113" s="135"/>
      <c r="EC113" s="135"/>
      <c r="ED113" s="135"/>
      <c r="EE113" s="135"/>
      <c r="EF113" s="135"/>
      <c r="EG113" s="135"/>
      <c r="EH113" s="135"/>
      <c r="EI113" s="135"/>
      <c r="EJ113" s="135"/>
      <c r="EK113" s="135"/>
      <c r="EL113" s="135"/>
      <c r="EM113" s="135"/>
      <c r="EN113" s="135"/>
      <c r="EO113" s="135"/>
      <c r="EP113" s="135"/>
      <c r="EQ113" s="135"/>
      <c r="ER113" s="135"/>
      <c r="ES113" s="135"/>
      <c r="ET113" s="135"/>
      <c r="EU113" s="135"/>
      <c r="EV113" s="135"/>
      <c r="EW113" s="135"/>
      <c r="EX113" s="135"/>
      <c r="EY113" s="135"/>
      <c r="EZ113" s="135"/>
      <c r="FA113" s="135"/>
      <c r="FB113" s="135"/>
      <c r="FC113" s="135"/>
      <c r="FD113" s="135"/>
      <c r="FE113" s="135"/>
      <c r="FF113" s="135"/>
      <c r="FG113" s="135"/>
    </row>
    <row r="114" spans="1:163" s="57" customFormat="1" ht="11.25" outlineLevel="1">
      <c r="A114" s="765">
        <f t="shared" si="150"/>
        <v>4</v>
      </c>
      <c r="B114" s="715" t="str" cm="1">
        <f t="array" aca="1" ref="B114" ca="1">INDIRECT("'Definition of Typical Day'!"&amp;ADDRESS(B$16,$E114))</f>
        <v>Summer weekday</v>
      </c>
      <c r="C114" s="766">
        <f t="shared" si="151"/>
        <v>22</v>
      </c>
      <c r="D114" s="715">
        <f t="shared" si="151"/>
        <v>56</v>
      </c>
      <c r="E114" s="715">
        <f t="shared" si="79"/>
        <v>8</v>
      </c>
      <c r="F114" s="767" cm="1">
        <f t="array" aca="1" ref="F114" ca="1">INDIRECT("'Definition of Typical Day'!D"&amp;D114)</f>
        <v>22</v>
      </c>
      <c r="G114" s="767" cm="1">
        <f t="array" aca="1" ref="G114" ca="1">INDIRECT("'Definition of Typical Day'!"&amp;ADDRESS(13,E114))</f>
        <v>4</v>
      </c>
      <c r="H114" s="768" cm="1">
        <f t="array" aca="1" ref="H114" ca="1">INDIRECT("'Definition of Typical Day'!"&amp; ADDRESS($D114+28*(H$16-1),$E114))</f>
        <v>2</v>
      </c>
      <c r="I114" s="715" cm="1">
        <f t="array" aca="1" ref="I114" ca="1">INDIRECT("'Definition of Typical Day'!"&amp; ADDRESS($D114+29*(I$16-1),$E114))</f>
        <v>40</v>
      </c>
      <c r="J114" s="715">
        <f t="shared" ca="1" si="105"/>
        <v>37</v>
      </c>
      <c r="K114" s="785">
        <f t="shared" si="106"/>
        <v>28</v>
      </c>
      <c r="L114" s="786" cm="1">
        <f t="array" aca="1" ref="L114" ca="1">INDIRECT("'Definition of Typical Day'!"&amp; ADDRESS($D114+29*(L$16-1),$E114))</f>
        <v>6</v>
      </c>
      <c r="M114" s="768" cm="1">
        <f t="array" aca="1" ref="M114" ca="1">INDIRECT("'Definition of Typical Day'!"&amp; ADDRESS($D114+29*(M$16-1),$E114))</f>
        <v>60</v>
      </c>
      <c r="N114" s="715">
        <f t="shared" si="107"/>
        <v>3</v>
      </c>
      <c r="O114" s="715">
        <f t="shared" ca="1" si="108"/>
        <v>63</v>
      </c>
      <c r="P114" s="715" cm="1">
        <f t="array" aca="1" ref="P114" ca="1">INDIRECT("'Definition of Typical Day'!"&amp; ADDRESS($D114+29*(P$16-1),$E114))</f>
        <v>45</v>
      </c>
      <c r="Q114" s="787">
        <f t="shared" ca="1" si="109"/>
        <v>48</v>
      </c>
      <c r="R114" s="792">
        <f t="shared" ca="1" si="110"/>
        <v>63</v>
      </c>
      <c r="S114" s="769">
        <f t="shared" si="111"/>
        <v>3</v>
      </c>
      <c r="T114" s="769">
        <f t="shared" ca="1" si="112"/>
        <v>0.24</v>
      </c>
      <c r="U114" s="769">
        <f t="shared" ca="1" si="113"/>
        <v>0.70199999999999996</v>
      </c>
      <c r="V114" s="769">
        <f t="shared" ca="1" si="114"/>
        <v>0</v>
      </c>
      <c r="W114" s="769">
        <f t="shared" ca="1" si="115"/>
        <v>3.9420000000000002</v>
      </c>
      <c r="X114" s="794">
        <f t="shared" si="116"/>
        <v>3</v>
      </c>
      <c r="Y114" s="769">
        <f t="shared" ca="1" si="117"/>
        <v>2.1213203435596428</v>
      </c>
      <c r="Z114" s="769">
        <f t="shared" ca="1" si="118"/>
        <v>2.1213203435596428</v>
      </c>
      <c r="AA114" s="795">
        <f t="shared" ca="1" si="119"/>
        <v>2.1213203435596428</v>
      </c>
      <c r="AB114" s="769">
        <f t="shared" ca="1" si="120"/>
        <v>0</v>
      </c>
      <c r="AC114" s="769">
        <f t="shared" ca="1" si="121"/>
        <v>0</v>
      </c>
      <c r="AD114" s="769">
        <f t="shared" ca="1" si="122"/>
        <v>0</v>
      </c>
      <c r="AE114" s="794">
        <f t="shared" ca="1" si="123"/>
        <v>2.1213203435596428</v>
      </c>
      <c r="AF114" s="769">
        <f t="shared" ca="1" si="124"/>
        <v>2.1213203435596427E-2</v>
      </c>
      <c r="AG114" s="769">
        <f t="shared" ca="1" si="125"/>
        <v>2.1001071401240465</v>
      </c>
      <c r="AH114" s="799">
        <f t="shared" ca="1" si="126"/>
        <v>2.1001071401240465</v>
      </c>
      <c r="AI114" s="801">
        <f t="shared" ca="1" si="127"/>
        <v>1</v>
      </c>
      <c r="AJ114" s="794">
        <f t="shared" ca="1" si="128"/>
        <v>1.5831873289580085</v>
      </c>
      <c r="AK114" s="769">
        <f t="shared" ca="1" si="129"/>
        <v>0.53813301460163443</v>
      </c>
      <c r="AL114" s="769">
        <f t="shared" ca="1" si="130"/>
        <v>0</v>
      </c>
      <c r="AM114" s="804">
        <f t="shared" ca="1" si="80"/>
        <v>0.2110916438610678</v>
      </c>
      <c r="AN114" s="795">
        <f t="shared" ca="1" si="81"/>
        <v>5.5575022805598867E-2</v>
      </c>
      <c r="AO114" s="251"/>
      <c r="AP114" s="770">
        <f t="shared" si="131"/>
        <v>0</v>
      </c>
      <c r="AQ114" s="771">
        <f t="shared" ca="1" si="132"/>
        <v>0</v>
      </c>
      <c r="AR114" s="771">
        <f t="shared" ca="1" si="133"/>
        <v>3.166374657916017</v>
      </c>
      <c r="AS114" s="772">
        <f t="shared" ca="1" si="134"/>
        <v>3.166374657916017</v>
      </c>
      <c r="AT114" s="231"/>
      <c r="AU114" s="770">
        <f>'Main Results - IRR DC Operator'!$F$16</f>
        <v>2</v>
      </c>
      <c r="AV114" s="773">
        <f>'Main Results - IRR DC Operator'!$F$15</f>
        <v>1</v>
      </c>
      <c r="AW114" s="771">
        <f t="shared" ca="1" si="135"/>
        <v>4</v>
      </c>
      <c r="AX114" s="772">
        <f t="shared" si="136"/>
        <v>0</v>
      </c>
      <c r="AY114" s="231"/>
      <c r="AZ114" s="770" cm="1">
        <f t="array" aca="1" ref="AZ114" ca="1">INDIRECT("'Definition of Typical Day'!"&amp; ADDRESS($D114+29*(AZ$16-1),$E114))+$AZ$17</f>
        <v>131</v>
      </c>
      <c r="BA114" s="771" cm="1">
        <f t="array" aca="1" ref="BA114" ca="1">INDIRECT("'Definition of Typical Day'!"&amp; ADDRESS($D114+29*(BA$16-1),$E114))+$BA$17</f>
        <v>131</v>
      </c>
      <c r="BB114" s="772" cm="1">
        <f t="array" aca="1" ref="BB114" ca="1">INDIRECT("'Definition of Typical Day'!"&amp;ADDRESS(BB$16,$E114))</f>
        <v>60</v>
      </c>
      <c r="BC114" s="776" cm="1">
        <f t="array" aca="1" ref="BC114" ca="1">INDIRECT("'Definition of Typical Day'!"&amp; ADDRESS($D114+29*(BC$16-1),$E114))</f>
        <v>130</v>
      </c>
      <c r="BD114" s="777" cm="1">
        <f t="array" aca="1" ref="BD114" ca="1">INDIRECT("'Definition of Typical Day'!"&amp; ADDRESS($D114+29*(BD$16-1),$E114))</f>
        <v>1</v>
      </c>
      <c r="BE114" s="776">
        <f t="shared" si="137"/>
        <v>0</v>
      </c>
      <c r="BF114" s="771">
        <f t="shared" ca="1" si="138"/>
        <v>70.495424912814116</v>
      </c>
      <c r="BG114" s="771">
        <f t="shared" ca="1" si="139"/>
        <v>2.5455844122715714</v>
      </c>
      <c r="BH114" s="771">
        <f t="shared" ca="1" si="140"/>
        <v>0</v>
      </c>
      <c r="BI114" s="776">
        <f t="shared" ca="1" si="141"/>
        <v>27.441913701938812</v>
      </c>
      <c r="BJ114" s="776">
        <f t="shared" ca="1" si="142"/>
        <v>7.2247529647278528</v>
      </c>
      <c r="BK114" s="776">
        <f t="shared" ca="1" si="143"/>
        <v>0</v>
      </c>
      <c r="BL114" s="776">
        <f t="shared" ca="1" si="144"/>
        <v>0</v>
      </c>
      <c r="BM114" s="135"/>
      <c r="BN114" s="776">
        <f t="shared" ca="1" si="145"/>
        <v>77.041009325085682</v>
      </c>
      <c r="BO114" s="778">
        <f t="shared" ca="1" si="82"/>
        <v>36.684323315302436</v>
      </c>
      <c r="BP114" s="770">
        <f t="shared" ca="1" si="83"/>
        <v>73.041009325085682</v>
      </c>
      <c r="BQ114" s="771">
        <f t="shared" ca="1" si="84"/>
        <v>0</v>
      </c>
      <c r="BR114" s="771">
        <f t="shared" ca="1" si="85"/>
        <v>0</v>
      </c>
      <c r="BS114" s="776">
        <f t="shared" ca="1" si="146"/>
        <v>77.041009325085682</v>
      </c>
      <c r="BT114" s="776">
        <f t="shared" ca="1" si="86"/>
        <v>73.041009325085682</v>
      </c>
      <c r="BU114" s="783">
        <f t="shared" ca="1" si="87"/>
        <v>34.779658584833619</v>
      </c>
      <c r="BV114" s="783">
        <f t="shared" ca="1" si="88"/>
        <v>34.779658584833619</v>
      </c>
      <c r="BW114" s="1019">
        <f t="shared" ca="1" si="147"/>
        <v>34.779658584833619</v>
      </c>
      <c r="BX114" s="771" cm="1">
        <f t="array" aca="1" ref="BX114" ca="1">INDIRECT("'Definition of Typical Day'!"&amp; ADDRESS($D114+29*(BX$16-1),$E114))</f>
        <v>40</v>
      </c>
      <c r="BY114" s="771">
        <f t="shared" ca="1" si="148"/>
        <v>1</v>
      </c>
      <c r="BZ114" s="781">
        <f t="shared" ca="1" si="89"/>
        <v>1</v>
      </c>
      <c r="CA114" s="781">
        <f t="shared" ca="1" si="90"/>
        <v>0.70710678118654757</v>
      </c>
      <c r="CB114" s="776">
        <f t="shared" ca="1" si="91"/>
        <v>84.004285604961865</v>
      </c>
      <c r="CC114" s="782">
        <f t="shared" si="92"/>
        <v>4</v>
      </c>
      <c r="CD114" s="782">
        <f t="shared" si="93"/>
        <v>22</v>
      </c>
      <c r="CE114" s="784" t="str" cm="1">
        <f t="array" aca="1" ref="CE114" ca="1">INDIRECT("'Definition of Typical Day'!"&amp;ADDRESS(CE$16,$E114))</f>
        <v>Summer weekday</v>
      </c>
      <c r="CF114" s="232"/>
      <c r="CG114" s="232"/>
      <c r="CH114" s="776">
        <f t="shared" ca="1" si="94"/>
        <v>2</v>
      </c>
      <c r="CI114" s="806">
        <f t="shared" ca="1" si="95"/>
        <v>6</v>
      </c>
      <c r="CJ114" s="770">
        <f t="shared" ca="1" si="96"/>
        <v>2.1001071401240465</v>
      </c>
      <c r="CK114" s="771">
        <f t="shared" ca="1" si="97"/>
        <v>1.5831873289580085</v>
      </c>
      <c r="CL114" s="771">
        <f t="shared" ca="1" si="98"/>
        <v>0.53813301460163443</v>
      </c>
      <c r="CM114" s="772">
        <f t="shared" ca="1" si="99"/>
        <v>0</v>
      </c>
      <c r="CN114" s="135"/>
      <c r="CO114" s="770">
        <f t="shared" ca="1" si="149"/>
        <v>1.05</v>
      </c>
      <c r="CP114" s="771">
        <f t="shared" ca="1" si="100"/>
        <v>0.98</v>
      </c>
      <c r="CQ114" s="771">
        <f t="shared" ca="1" si="101"/>
        <v>0.96</v>
      </c>
      <c r="CR114" s="771">
        <f t="shared" ca="1" si="102"/>
        <v>0.95</v>
      </c>
      <c r="CS114" s="771">
        <f t="shared" ca="1" si="103"/>
        <v>1.02</v>
      </c>
      <c r="CT114" s="772">
        <f t="shared" ca="1" si="104"/>
        <v>0.02</v>
      </c>
      <c r="CU114" s="135"/>
      <c r="CV114" s="135"/>
      <c r="CW114" s="135"/>
      <c r="CX114" s="135"/>
      <c r="CY114" s="135"/>
      <c r="CZ114" s="135"/>
      <c r="DA114" s="135"/>
      <c r="DB114" s="135"/>
      <c r="DC114" s="135"/>
      <c r="DD114" s="135"/>
      <c r="DE114" s="135"/>
      <c r="DF114" s="135"/>
      <c r="DG114" s="135"/>
      <c r="DH114" s="135"/>
      <c r="DI114" s="135"/>
      <c r="DJ114" s="135"/>
      <c r="DK114" s="135"/>
      <c r="DL114" s="135"/>
      <c r="DX114" s="135"/>
      <c r="DY114" s="135"/>
      <c r="DZ114" s="135"/>
      <c r="EA114" s="135"/>
      <c r="EB114" s="135"/>
      <c r="EC114" s="135"/>
      <c r="ED114" s="135"/>
      <c r="EE114" s="135"/>
      <c r="EF114" s="135"/>
      <c r="EG114" s="135"/>
      <c r="EH114" s="135"/>
      <c r="EI114" s="135"/>
      <c r="EJ114" s="135"/>
      <c r="EK114" s="135"/>
      <c r="EL114" s="135"/>
      <c r="EM114" s="135"/>
      <c r="EN114" s="135"/>
      <c r="EO114" s="135"/>
      <c r="EP114" s="135"/>
      <c r="EQ114" s="135"/>
      <c r="ER114" s="135"/>
      <c r="ES114" s="135"/>
      <c r="ET114" s="135"/>
      <c r="EU114" s="135"/>
      <c r="EV114" s="135"/>
      <c r="EW114" s="135"/>
      <c r="EX114" s="135"/>
      <c r="EY114" s="135"/>
      <c r="EZ114" s="135"/>
      <c r="FA114" s="135"/>
      <c r="FB114" s="135"/>
      <c r="FC114" s="135"/>
      <c r="FD114" s="135"/>
      <c r="FE114" s="135"/>
      <c r="FF114" s="135"/>
      <c r="FG114" s="135"/>
    </row>
    <row r="115" spans="1:163" s="57" customFormat="1" ht="11.25" outlineLevel="1">
      <c r="A115" s="765">
        <f t="shared" si="150"/>
        <v>4</v>
      </c>
      <c r="B115" s="715" t="str" cm="1">
        <f t="array" aca="1" ref="B115" ca="1">INDIRECT("'Definition of Typical Day'!"&amp;ADDRESS(B$16,$E115))</f>
        <v>Summer weekday</v>
      </c>
      <c r="C115" s="766">
        <f t="shared" si="151"/>
        <v>23</v>
      </c>
      <c r="D115" s="715">
        <f t="shared" si="151"/>
        <v>57</v>
      </c>
      <c r="E115" s="715">
        <f t="shared" si="79"/>
        <v>8</v>
      </c>
      <c r="F115" s="767" cm="1">
        <f t="array" aca="1" ref="F115" ca="1">INDIRECT("'Definition of Typical Day'!D"&amp;D115)</f>
        <v>23</v>
      </c>
      <c r="G115" s="767" cm="1">
        <f t="array" aca="1" ref="G115" ca="1">INDIRECT("'Definition of Typical Day'!"&amp;ADDRESS(13,E115))</f>
        <v>4</v>
      </c>
      <c r="H115" s="768" cm="1">
        <f t="array" aca="1" ref="H115" ca="1">INDIRECT("'Definition of Typical Day'!"&amp; ADDRESS($D115+28*(H$16-1),$E115))</f>
        <v>2</v>
      </c>
      <c r="I115" s="715" cm="1">
        <f t="array" aca="1" ref="I115" ca="1">INDIRECT("'Definition of Typical Day'!"&amp; ADDRESS($D115+29*(I$16-1),$E115))</f>
        <v>40</v>
      </c>
      <c r="J115" s="715">
        <f t="shared" ca="1" si="105"/>
        <v>37</v>
      </c>
      <c r="K115" s="785">
        <f t="shared" si="106"/>
        <v>28</v>
      </c>
      <c r="L115" s="786" cm="1">
        <f t="array" aca="1" ref="L115" ca="1">INDIRECT("'Definition of Typical Day'!"&amp; ADDRESS($D115+29*(L$16-1),$E115))</f>
        <v>6</v>
      </c>
      <c r="M115" s="768" cm="1">
        <f t="array" aca="1" ref="M115" ca="1">INDIRECT("'Definition of Typical Day'!"&amp; ADDRESS($D115+29*(M$16-1),$E115))</f>
        <v>60</v>
      </c>
      <c r="N115" s="715">
        <f t="shared" si="107"/>
        <v>3</v>
      </c>
      <c r="O115" s="715">
        <f t="shared" ca="1" si="108"/>
        <v>63</v>
      </c>
      <c r="P115" s="715" cm="1">
        <f t="array" aca="1" ref="P115" ca="1">INDIRECT("'Definition of Typical Day'!"&amp; ADDRESS($D115+29*(P$16-1),$E115))</f>
        <v>45</v>
      </c>
      <c r="Q115" s="787">
        <f t="shared" ca="1" si="109"/>
        <v>48</v>
      </c>
      <c r="R115" s="792">
        <f t="shared" ca="1" si="110"/>
        <v>63</v>
      </c>
      <c r="S115" s="769">
        <f t="shared" si="111"/>
        <v>3</v>
      </c>
      <c r="T115" s="769">
        <f t="shared" ca="1" si="112"/>
        <v>0.24</v>
      </c>
      <c r="U115" s="769">
        <f t="shared" ca="1" si="113"/>
        <v>0.70199999999999996</v>
      </c>
      <c r="V115" s="769">
        <f t="shared" ca="1" si="114"/>
        <v>0</v>
      </c>
      <c r="W115" s="769">
        <f t="shared" ca="1" si="115"/>
        <v>3.9420000000000002</v>
      </c>
      <c r="X115" s="794">
        <f t="shared" si="116"/>
        <v>3</v>
      </c>
      <c r="Y115" s="769">
        <f t="shared" ca="1" si="117"/>
        <v>2.1213203435596428</v>
      </c>
      <c r="Z115" s="769">
        <f t="shared" ca="1" si="118"/>
        <v>2.1213203435596428</v>
      </c>
      <c r="AA115" s="795">
        <f t="shared" ca="1" si="119"/>
        <v>2.1213203435596428</v>
      </c>
      <c r="AB115" s="769">
        <f t="shared" ca="1" si="120"/>
        <v>0</v>
      </c>
      <c r="AC115" s="769">
        <f t="shared" ca="1" si="121"/>
        <v>0</v>
      </c>
      <c r="AD115" s="769">
        <f t="shared" ca="1" si="122"/>
        <v>0</v>
      </c>
      <c r="AE115" s="794">
        <f t="shared" ca="1" si="123"/>
        <v>2.1213203435596428</v>
      </c>
      <c r="AF115" s="769">
        <f t="shared" ca="1" si="124"/>
        <v>2.1213203435596427E-2</v>
      </c>
      <c r="AG115" s="769">
        <f t="shared" ca="1" si="125"/>
        <v>2.1001071401240465</v>
      </c>
      <c r="AH115" s="799">
        <f t="shared" ca="1" si="126"/>
        <v>2.1001071401240465</v>
      </c>
      <c r="AI115" s="801">
        <f t="shared" ca="1" si="127"/>
        <v>1</v>
      </c>
      <c r="AJ115" s="794">
        <f t="shared" ca="1" si="128"/>
        <v>1.5831873289580085</v>
      </c>
      <c r="AK115" s="769">
        <f t="shared" ca="1" si="129"/>
        <v>0.53813301460163443</v>
      </c>
      <c r="AL115" s="769">
        <f t="shared" ca="1" si="130"/>
        <v>0</v>
      </c>
      <c r="AM115" s="804">
        <f t="shared" ca="1" si="80"/>
        <v>0.2110916438610678</v>
      </c>
      <c r="AN115" s="795">
        <f t="shared" ca="1" si="81"/>
        <v>5.5575022805598867E-2</v>
      </c>
      <c r="AO115" s="251"/>
      <c r="AP115" s="770">
        <f t="shared" si="131"/>
        <v>0</v>
      </c>
      <c r="AQ115" s="771">
        <f t="shared" ca="1" si="132"/>
        <v>0</v>
      </c>
      <c r="AR115" s="771">
        <f t="shared" ca="1" si="133"/>
        <v>3.166374657916017</v>
      </c>
      <c r="AS115" s="772">
        <f t="shared" ca="1" si="134"/>
        <v>3.166374657916017</v>
      </c>
      <c r="AT115" s="231"/>
      <c r="AU115" s="770">
        <f>'Main Results - IRR DC Operator'!$F$16</f>
        <v>2</v>
      </c>
      <c r="AV115" s="773">
        <f>'Main Results - IRR DC Operator'!$F$15</f>
        <v>1</v>
      </c>
      <c r="AW115" s="771">
        <f t="shared" ca="1" si="135"/>
        <v>4</v>
      </c>
      <c r="AX115" s="772">
        <f t="shared" si="136"/>
        <v>0</v>
      </c>
      <c r="AY115" s="231"/>
      <c r="AZ115" s="770" cm="1">
        <f t="array" aca="1" ref="AZ115" ca="1">INDIRECT("'Definition of Typical Day'!"&amp; ADDRESS($D115+29*(AZ$16-1),$E115))+$AZ$17</f>
        <v>117.86</v>
      </c>
      <c r="BA115" s="771" cm="1">
        <f t="array" aca="1" ref="BA115" ca="1">INDIRECT("'Definition of Typical Day'!"&amp; ADDRESS($D115+29*(BA$16-1),$E115))+$BA$17</f>
        <v>117.86</v>
      </c>
      <c r="BB115" s="772" cm="1">
        <f t="array" aca="1" ref="BB115" ca="1">INDIRECT("'Definition of Typical Day'!"&amp;ADDRESS(BB$16,$E115))</f>
        <v>60</v>
      </c>
      <c r="BC115" s="776" cm="1">
        <f t="array" aca="1" ref="BC115" ca="1">INDIRECT("'Definition of Typical Day'!"&amp; ADDRESS($D115+29*(BC$16-1),$E115))</f>
        <v>116.86</v>
      </c>
      <c r="BD115" s="777" cm="1">
        <f t="array" aca="1" ref="BD115" ca="1">INDIRECT("'Definition of Typical Day'!"&amp; ADDRESS($D115+29*(BD$16-1),$E115))</f>
        <v>1</v>
      </c>
      <c r="BE115" s="776">
        <f t="shared" si="137"/>
        <v>0</v>
      </c>
      <c r="BF115" s="771">
        <f t="shared" ca="1" si="138"/>
        <v>63.424357100948633</v>
      </c>
      <c r="BG115" s="771">
        <f t="shared" ca="1" si="139"/>
        <v>2.5455844122715714</v>
      </c>
      <c r="BH115" s="771">
        <f t="shared" ca="1" si="140"/>
        <v>0</v>
      </c>
      <c r="BI115" s="776">
        <f t="shared" ca="1" si="141"/>
        <v>24.668169501604382</v>
      </c>
      <c r="BJ115" s="776">
        <f t="shared" ca="1" si="142"/>
        <v>6.4944971650622838</v>
      </c>
      <c r="BK115" s="776">
        <f t="shared" ca="1" si="143"/>
        <v>0</v>
      </c>
      <c r="BL115" s="776">
        <f t="shared" ca="1" si="144"/>
        <v>0</v>
      </c>
      <c r="BM115" s="135"/>
      <c r="BN115" s="776">
        <f t="shared" ca="1" si="145"/>
        <v>69.969941513220206</v>
      </c>
      <c r="BO115" s="778">
        <f t="shared" ca="1" si="82"/>
        <v>33.317319948299073</v>
      </c>
      <c r="BP115" s="770">
        <f t="shared" ca="1" si="83"/>
        <v>65.969941513220206</v>
      </c>
      <c r="BQ115" s="771">
        <f t="shared" ca="1" si="84"/>
        <v>0</v>
      </c>
      <c r="BR115" s="771">
        <f t="shared" ca="1" si="85"/>
        <v>0</v>
      </c>
      <c r="BS115" s="776">
        <f t="shared" ca="1" si="146"/>
        <v>69.969941513220206</v>
      </c>
      <c r="BT115" s="776">
        <f t="shared" ca="1" si="86"/>
        <v>65.969941513220206</v>
      </c>
      <c r="BU115" s="783">
        <f t="shared" ca="1" si="87"/>
        <v>31.412655217830256</v>
      </c>
      <c r="BV115" s="783">
        <f t="shared" ca="1" si="88"/>
        <v>31.412655217830256</v>
      </c>
      <c r="BW115" s="1019">
        <f t="shared" ca="1" si="147"/>
        <v>31.412655217830256</v>
      </c>
      <c r="BX115" s="771" cm="1">
        <f t="array" aca="1" ref="BX115" ca="1">INDIRECT("'Definition of Typical Day'!"&amp; ADDRESS($D115+29*(BX$16-1),$E115))</f>
        <v>40</v>
      </c>
      <c r="BY115" s="771">
        <f t="shared" ca="1" si="148"/>
        <v>1</v>
      </c>
      <c r="BZ115" s="781">
        <f t="shared" ca="1" si="89"/>
        <v>1</v>
      </c>
      <c r="CA115" s="781">
        <f t="shared" ca="1" si="90"/>
        <v>0.70710678118654757</v>
      </c>
      <c r="CB115" s="776">
        <f t="shared" ca="1" si="91"/>
        <v>84.004285604961865</v>
      </c>
      <c r="CC115" s="782">
        <f t="shared" si="92"/>
        <v>4</v>
      </c>
      <c r="CD115" s="782">
        <f t="shared" si="93"/>
        <v>23</v>
      </c>
      <c r="CE115" s="784" t="str" cm="1">
        <f t="array" aca="1" ref="CE115" ca="1">INDIRECT("'Definition of Typical Day'!"&amp;ADDRESS(CE$16,$E115))</f>
        <v>Summer weekday</v>
      </c>
      <c r="CF115" s="232"/>
      <c r="CG115" s="232"/>
      <c r="CH115" s="776">
        <f t="shared" ca="1" si="94"/>
        <v>2</v>
      </c>
      <c r="CI115" s="806">
        <f t="shared" ca="1" si="95"/>
        <v>6</v>
      </c>
      <c r="CJ115" s="770">
        <f t="shared" ca="1" si="96"/>
        <v>2.1001071401240465</v>
      </c>
      <c r="CK115" s="771">
        <f t="shared" ca="1" si="97"/>
        <v>1.5831873289580085</v>
      </c>
      <c r="CL115" s="771">
        <f t="shared" ca="1" si="98"/>
        <v>0.53813301460163443</v>
      </c>
      <c r="CM115" s="772">
        <f t="shared" ca="1" si="99"/>
        <v>0</v>
      </c>
      <c r="CN115" s="135"/>
      <c r="CO115" s="770">
        <f t="shared" ca="1" si="149"/>
        <v>1.05</v>
      </c>
      <c r="CP115" s="771">
        <f t="shared" ca="1" si="100"/>
        <v>0.98</v>
      </c>
      <c r="CQ115" s="771">
        <f t="shared" ca="1" si="101"/>
        <v>0.96</v>
      </c>
      <c r="CR115" s="771">
        <f t="shared" ca="1" si="102"/>
        <v>0.95</v>
      </c>
      <c r="CS115" s="771">
        <f t="shared" ca="1" si="103"/>
        <v>1.02</v>
      </c>
      <c r="CT115" s="772">
        <f t="shared" ca="1" si="104"/>
        <v>0.02</v>
      </c>
      <c r="CU115" s="135"/>
      <c r="CV115" s="135"/>
      <c r="CW115" s="135"/>
      <c r="CX115" s="135"/>
      <c r="CY115" s="135"/>
      <c r="CZ115" s="135"/>
      <c r="DA115" s="135"/>
      <c r="DB115" s="135"/>
      <c r="DC115" s="135"/>
      <c r="DD115" s="135"/>
      <c r="DE115" s="135"/>
      <c r="DF115" s="135"/>
      <c r="DG115" s="135"/>
      <c r="DH115" s="135"/>
      <c r="DI115" s="135"/>
      <c r="DJ115" s="135"/>
      <c r="DK115" s="135"/>
      <c r="DL115" s="135"/>
      <c r="DX115" s="135"/>
      <c r="DY115" s="135"/>
      <c r="DZ115" s="135"/>
      <c r="EA115" s="135"/>
      <c r="EB115" s="135"/>
      <c r="EC115" s="135"/>
      <c r="ED115" s="135"/>
      <c r="EE115" s="135"/>
      <c r="EF115" s="135"/>
      <c r="EG115" s="135"/>
      <c r="EH115" s="135"/>
      <c r="EI115" s="135"/>
      <c r="EJ115" s="135"/>
      <c r="EK115" s="135"/>
      <c r="EL115" s="135"/>
      <c r="EM115" s="135"/>
      <c r="EN115" s="135"/>
      <c r="EO115" s="135"/>
      <c r="EP115" s="135"/>
      <c r="EQ115" s="135"/>
      <c r="ER115" s="135"/>
      <c r="ES115" s="135"/>
      <c r="ET115" s="135"/>
      <c r="EU115" s="135"/>
      <c r="EV115" s="135"/>
      <c r="EW115" s="135"/>
      <c r="EX115" s="135"/>
      <c r="EY115" s="135"/>
      <c r="EZ115" s="135"/>
      <c r="FA115" s="135"/>
      <c r="FB115" s="135"/>
      <c r="FC115" s="135"/>
      <c r="FD115" s="135"/>
      <c r="FE115" s="135"/>
      <c r="FF115" s="135"/>
      <c r="FG115" s="135"/>
    </row>
    <row r="116" spans="1:163" s="57" customFormat="1" ht="11.25" outlineLevel="1">
      <c r="A116" s="765">
        <f t="shared" si="150"/>
        <v>4</v>
      </c>
      <c r="B116" s="715" t="str" cm="1">
        <f t="array" aca="1" ref="B116" ca="1">INDIRECT("'Definition of Typical Day'!"&amp;ADDRESS(B$16,$E116))</f>
        <v>Summer weekday</v>
      </c>
      <c r="C116" s="766">
        <f t="shared" si="151"/>
        <v>24</v>
      </c>
      <c r="D116" s="715">
        <f t="shared" si="151"/>
        <v>58</v>
      </c>
      <c r="E116" s="715">
        <f t="shared" si="79"/>
        <v>8</v>
      </c>
      <c r="F116" s="767" cm="1">
        <f t="array" aca="1" ref="F116" ca="1">INDIRECT("'Definition of Typical Day'!D"&amp;D116)</f>
        <v>24</v>
      </c>
      <c r="G116" s="767" cm="1">
        <f t="array" aca="1" ref="G116" ca="1">INDIRECT("'Definition of Typical Day'!"&amp;ADDRESS(13,E116))</f>
        <v>4</v>
      </c>
      <c r="H116" s="768" cm="1">
        <f t="array" aca="1" ref="H116" ca="1">INDIRECT("'Definition of Typical Day'!"&amp; ADDRESS($D116+28*(H$16-1),$E116))</f>
        <v>2</v>
      </c>
      <c r="I116" s="715" cm="1">
        <f t="array" aca="1" ref="I116" ca="1">INDIRECT("'Definition of Typical Day'!"&amp; ADDRESS($D116+29*(I$16-1),$E116))</f>
        <v>40</v>
      </c>
      <c r="J116" s="715">
        <f t="shared" ca="1" si="105"/>
        <v>37</v>
      </c>
      <c r="K116" s="785">
        <f t="shared" si="106"/>
        <v>28</v>
      </c>
      <c r="L116" s="786" cm="1">
        <f t="array" aca="1" ref="L116" ca="1">INDIRECT("'Definition of Typical Day'!"&amp; ADDRESS($D116+29*(L$16-1),$E116))</f>
        <v>6</v>
      </c>
      <c r="M116" s="768" cm="1">
        <f t="array" aca="1" ref="M116" ca="1">INDIRECT("'Definition of Typical Day'!"&amp; ADDRESS($D116+29*(M$16-1),$E116))</f>
        <v>60</v>
      </c>
      <c r="N116" s="715">
        <f t="shared" si="107"/>
        <v>3</v>
      </c>
      <c r="O116" s="715">
        <f t="shared" ca="1" si="108"/>
        <v>63</v>
      </c>
      <c r="P116" s="715" cm="1">
        <f t="array" aca="1" ref="P116" ca="1">INDIRECT("'Definition of Typical Day'!"&amp; ADDRESS($D116+29*(P$16-1),$E116))</f>
        <v>45</v>
      </c>
      <c r="Q116" s="787">
        <f t="shared" ca="1" si="109"/>
        <v>48</v>
      </c>
      <c r="R116" s="792">
        <f t="shared" ca="1" si="110"/>
        <v>63</v>
      </c>
      <c r="S116" s="769">
        <f t="shared" si="111"/>
        <v>3</v>
      </c>
      <c r="T116" s="769">
        <f t="shared" ca="1" si="112"/>
        <v>0.24</v>
      </c>
      <c r="U116" s="769">
        <f t="shared" ca="1" si="113"/>
        <v>0.70199999999999996</v>
      </c>
      <c r="V116" s="769">
        <f t="shared" ca="1" si="114"/>
        <v>0</v>
      </c>
      <c r="W116" s="769">
        <f t="shared" ca="1" si="115"/>
        <v>3.9420000000000002</v>
      </c>
      <c r="X116" s="794">
        <f t="shared" si="116"/>
        <v>3</v>
      </c>
      <c r="Y116" s="769">
        <f t="shared" ca="1" si="117"/>
        <v>2.1213203435596428</v>
      </c>
      <c r="Z116" s="769">
        <f t="shared" ca="1" si="118"/>
        <v>2.1213203435596428</v>
      </c>
      <c r="AA116" s="795">
        <f t="shared" ca="1" si="119"/>
        <v>2.1213203435596428</v>
      </c>
      <c r="AB116" s="769">
        <f t="shared" ca="1" si="120"/>
        <v>0</v>
      </c>
      <c r="AC116" s="769">
        <f t="shared" ca="1" si="121"/>
        <v>0</v>
      </c>
      <c r="AD116" s="769">
        <f t="shared" ca="1" si="122"/>
        <v>0</v>
      </c>
      <c r="AE116" s="794">
        <f t="shared" ca="1" si="123"/>
        <v>2.1213203435596428</v>
      </c>
      <c r="AF116" s="769">
        <f t="shared" ca="1" si="124"/>
        <v>2.1213203435596427E-2</v>
      </c>
      <c r="AG116" s="769">
        <f t="shared" ca="1" si="125"/>
        <v>2.1001071401240465</v>
      </c>
      <c r="AH116" s="799">
        <f t="shared" ca="1" si="126"/>
        <v>2.1001071401240465</v>
      </c>
      <c r="AI116" s="801">
        <f t="shared" ca="1" si="127"/>
        <v>1</v>
      </c>
      <c r="AJ116" s="794">
        <f t="shared" ca="1" si="128"/>
        <v>1.5831873289580085</v>
      </c>
      <c r="AK116" s="769">
        <f t="shared" ca="1" si="129"/>
        <v>0.53813301460163443</v>
      </c>
      <c r="AL116" s="769">
        <f t="shared" ca="1" si="130"/>
        <v>0</v>
      </c>
      <c r="AM116" s="804">
        <f t="shared" ca="1" si="80"/>
        <v>0.2110916438610678</v>
      </c>
      <c r="AN116" s="795">
        <f t="shared" ca="1" si="81"/>
        <v>5.5575022805598867E-2</v>
      </c>
      <c r="AO116" s="251"/>
      <c r="AP116" s="770">
        <f t="shared" si="131"/>
        <v>0</v>
      </c>
      <c r="AQ116" s="771">
        <f t="shared" ca="1" si="132"/>
        <v>0</v>
      </c>
      <c r="AR116" s="771">
        <f t="shared" ca="1" si="133"/>
        <v>3.166374657916017</v>
      </c>
      <c r="AS116" s="772">
        <f t="shared" ca="1" si="134"/>
        <v>3.166374657916017</v>
      </c>
      <c r="AT116" s="231"/>
      <c r="AU116" s="770">
        <f>'Main Results - IRR DC Operator'!$F$16</f>
        <v>2</v>
      </c>
      <c r="AV116" s="773">
        <f>'Main Results - IRR DC Operator'!$F$15</f>
        <v>1</v>
      </c>
      <c r="AW116" s="771">
        <f t="shared" ca="1" si="135"/>
        <v>4</v>
      </c>
      <c r="AX116" s="772">
        <f t="shared" si="136"/>
        <v>0</v>
      </c>
      <c r="AY116" s="231"/>
      <c r="AZ116" s="770" cm="1">
        <f t="array" aca="1" ref="AZ116" ca="1">INDIRECT("'Definition of Typical Day'!"&amp; ADDRESS($D116+29*(AZ$16-1),$E116))+$AZ$17</f>
        <v>102.55</v>
      </c>
      <c r="BA116" s="771" cm="1">
        <f t="array" aca="1" ref="BA116" ca="1">INDIRECT("'Definition of Typical Day'!"&amp; ADDRESS($D116+29*(BA$16-1),$E116))+$BA$17</f>
        <v>102.55</v>
      </c>
      <c r="BB116" s="772" cm="1">
        <f t="array" aca="1" ref="BB116" ca="1">INDIRECT("'Definition of Typical Day'!"&amp;ADDRESS(BB$16,$E116))</f>
        <v>60</v>
      </c>
      <c r="BC116" s="776" cm="1">
        <f t="array" aca="1" ref="BC116" ca="1">INDIRECT("'Definition of Typical Day'!"&amp; ADDRESS($D116+29*(BC$16-1),$E116))</f>
        <v>101.55</v>
      </c>
      <c r="BD116" s="777" cm="1">
        <f t="array" aca="1" ref="BD116" ca="1">INDIRECT("'Definition of Typical Day'!"&amp; ADDRESS($D116+29*(BD$16-1),$E116))</f>
        <v>1</v>
      </c>
      <c r="BE116" s="776">
        <f t="shared" si="137"/>
        <v>0</v>
      </c>
      <c r="BF116" s="771">
        <f t="shared" ca="1" si="138"/>
        <v>55.185540647397609</v>
      </c>
      <c r="BG116" s="771">
        <f t="shared" ca="1" si="139"/>
        <v>2.5455844122715714</v>
      </c>
      <c r="BH116" s="771">
        <f t="shared" ca="1" si="140"/>
        <v>0</v>
      </c>
      <c r="BI116" s="776">
        <f t="shared" ca="1" si="141"/>
        <v>21.436356434091433</v>
      </c>
      <c r="BJ116" s="776">
        <f t="shared" ca="1" si="142"/>
        <v>5.6436435659085644</v>
      </c>
      <c r="BK116" s="776">
        <f t="shared" ca="1" si="143"/>
        <v>0</v>
      </c>
      <c r="BL116" s="776">
        <f t="shared" ca="1" si="144"/>
        <v>0</v>
      </c>
      <c r="BM116" s="135"/>
      <c r="BN116" s="776">
        <f t="shared" ca="1" si="145"/>
        <v>61.731125059669182</v>
      </c>
      <c r="BO116" s="778">
        <f t="shared" ca="1" si="82"/>
        <v>29.394274168327872</v>
      </c>
      <c r="BP116" s="770">
        <f t="shared" ca="1" si="83"/>
        <v>57.731125059669182</v>
      </c>
      <c r="BQ116" s="771">
        <f t="shared" ca="1" si="84"/>
        <v>0</v>
      </c>
      <c r="BR116" s="771">
        <f t="shared" ca="1" si="85"/>
        <v>0</v>
      </c>
      <c r="BS116" s="776">
        <f t="shared" ca="1" si="146"/>
        <v>61.731125059669182</v>
      </c>
      <c r="BT116" s="776">
        <f t="shared" ca="1" si="86"/>
        <v>57.731125059669182</v>
      </c>
      <c r="BU116" s="783">
        <f t="shared" ca="1" si="87"/>
        <v>27.489609437859055</v>
      </c>
      <c r="BV116" s="783">
        <f t="shared" ca="1" si="88"/>
        <v>27.489609437859055</v>
      </c>
      <c r="BW116" s="1019">
        <f t="shared" ca="1" si="147"/>
        <v>27.489609437859055</v>
      </c>
      <c r="BX116" s="771" cm="1">
        <f t="array" aca="1" ref="BX116" ca="1">INDIRECT("'Definition of Typical Day'!"&amp; ADDRESS($D116+29*(BX$16-1),$E116))</f>
        <v>40</v>
      </c>
      <c r="BY116" s="771">
        <f t="shared" ca="1" si="148"/>
        <v>1</v>
      </c>
      <c r="BZ116" s="781">
        <f t="shared" ca="1" si="89"/>
        <v>1</v>
      </c>
      <c r="CA116" s="781">
        <f t="shared" ca="1" si="90"/>
        <v>0.70710678118654757</v>
      </c>
      <c r="CB116" s="776">
        <f t="shared" ca="1" si="91"/>
        <v>84.004285604961865</v>
      </c>
      <c r="CC116" s="782">
        <f t="shared" si="92"/>
        <v>4</v>
      </c>
      <c r="CD116" s="782">
        <f t="shared" si="93"/>
        <v>24</v>
      </c>
      <c r="CE116" s="784" t="str" cm="1">
        <f t="array" aca="1" ref="CE116" ca="1">INDIRECT("'Definition of Typical Day'!"&amp;ADDRESS(CE$16,$E116))</f>
        <v>Summer weekday</v>
      </c>
      <c r="CF116" s="232"/>
      <c r="CG116" s="232"/>
      <c r="CH116" s="776">
        <f t="shared" ca="1" si="94"/>
        <v>2</v>
      </c>
      <c r="CI116" s="806">
        <f t="shared" ca="1" si="95"/>
        <v>6</v>
      </c>
      <c r="CJ116" s="770">
        <f t="shared" ca="1" si="96"/>
        <v>2.1001071401240465</v>
      </c>
      <c r="CK116" s="771">
        <f t="shared" ca="1" si="97"/>
        <v>1.5831873289580085</v>
      </c>
      <c r="CL116" s="771">
        <f t="shared" ca="1" si="98"/>
        <v>0.53813301460163443</v>
      </c>
      <c r="CM116" s="772">
        <f t="shared" ca="1" si="99"/>
        <v>0</v>
      </c>
      <c r="CN116" s="135"/>
      <c r="CO116" s="770">
        <f t="shared" ca="1" si="149"/>
        <v>1.05</v>
      </c>
      <c r="CP116" s="771">
        <f t="shared" ca="1" si="100"/>
        <v>0.98</v>
      </c>
      <c r="CQ116" s="771">
        <f t="shared" ca="1" si="101"/>
        <v>0.96</v>
      </c>
      <c r="CR116" s="771">
        <f t="shared" ca="1" si="102"/>
        <v>0.95</v>
      </c>
      <c r="CS116" s="771">
        <f t="shared" ca="1" si="103"/>
        <v>1.02</v>
      </c>
      <c r="CT116" s="772">
        <f t="shared" ca="1" si="104"/>
        <v>0.02</v>
      </c>
      <c r="CU116" s="135"/>
      <c r="CV116" s="135"/>
      <c r="CW116" s="135"/>
      <c r="CX116" s="135"/>
      <c r="CY116" s="135"/>
      <c r="CZ116" s="135"/>
      <c r="DA116" s="135"/>
      <c r="DB116" s="135"/>
      <c r="DC116" s="135"/>
      <c r="DD116" s="135"/>
      <c r="DE116" s="135"/>
      <c r="DF116" s="135"/>
      <c r="DG116" s="135"/>
      <c r="DH116" s="135"/>
      <c r="DI116" s="135"/>
      <c r="DJ116" s="135"/>
      <c r="DK116" s="135"/>
      <c r="DL116" s="135"/>
      <c r="DX116" s="135"/>
      <c r="DY116" s="135"/>
      <c r="DZ116" s="135"/>
      <c r="EA116" s="135"/>
      <c r="EB116" s="135"/>
      <c r="EC116" s="135"/>
      <c r="ED116" s="135"/>
      <c r="EE116" s="135"/>
      <c r="EF116" s="135"/>
      <c r="EG116" s="135"/>
      <c r="EH116" s="135"/>
      <c r="EI116" s="135"/>
      <c r="EJ116" s="135"/>
      <c r="EK116" s="135"/>
      <c r="EL116" s="135"/>
      <c r="EM116" s="135"/>
      <c r="EN116" s="135"/>
      <c r="EO116" s="135"/>
      <c r="EP116" s="135"/>
      <c r="EQ116" s="135"/>
      <c r="ER116" s="135"/>
      <c r="ES116" s="135"/>
      <c r="ET116" s="135"/>
      <c r="EU116" s="135"/>
      <c r="EV116" s="135"/>
      <c r="EW116" s="135"/>
      <c r="EX116" s="135"/>
      <c r="EY116" s="135"/>
      <c r="EZ116" s="135"/>
      <c r="FA116" s="135"/>
      <c r="FB116" s="135"/>
      <c r="FC116" s="135"/>
      <c r="FD116" s="135"/>
      <c r="FE116" s="135"/>
      <c r="FF116" s="135"/>
      <c r="FG116" s="135"/>
    </row>
    <row r="117" spans="1:163" s="57" customFormat="1" ht="11.25">
      <c r="A117" s="765">
        <f t="shared" si="150"/>
        <v>5</v>
      </c>
      <c r="B117" s="715" t="str" cm="1">
        <f t="array" aca="1" ref="B117" ca="1">INDIRECT("'Definition of Typical Day'!"&amp;ADDRESS(B$16,$E117))</f>
        <v>Summer weekend</v>
      </c>
      <c r="C117" s="766">
        <f t="shared" si="151"/>
        <v>1</v>
      </c>
      <c r="D117" s="715">
        <f t="shared" si="151"/>
        <v>35</v>
      </c>
      <c r="E117" s="715">
        <f t="shared" si="79"/>
        <v>9</v>
      </c>
      <c r="F117" s="767" cm="1">
        <f t="array" aca="1" ref="F117" ca="1">INDIRECT("'Definition of Typical Day'!D"&amp;D117)</f>
        <v>1</v>
      </c>
      <c r="G117" s="767" cm="1">
        <f t="array" aca="1" ref="G117" ca="1">INDIRECT("'Definition of Typical Day'!"&amp;ADDRESS(13,E117))</f>
        <v>5</v>
      </c>
      <c r="H117" s="768" cm="1">
        <f t="array" aca="1" ref="H117" ca="1">INDIRECT("'Definition of Typical Day'!"&amp; ADDRESS($D117+28*(H$16-1),$E117))</f>
        <v>2</v>
      </c>
      <c r="I117" s="715" cm="1">
        <f t="array" aca="1" ref="I117" ca="1">INDIRECT("'Definition of Typical Day'!"&amp; ADDRESS($D117+29*(I$16-1),$E117))</f>
        <v>40</v>
      </c>
      <c r="J117" s="715">
        <f t="shared" ca="1" si="105"/>
        <v>37</v>
      </c>
      <c r="K117" s="785">
        <f t="shared" si="106"/>
        <v>28</v>
      </c>
      <c r="L117" s="786" cm="1">
        <f t="array" aca="1" ref="L117" ca="1">INDIRECT("'Definition of Typical Day'!"&amp; ADDRESS($D117+29*(L$16-1),$E117))</f>
        <v>6</v>
      </c>
      <c r="M117" s="768" cm="1">
        <f t="array" aca="1" ref="M117" ca="1">INDIRECT("'Definition of Typical Day'!"&amp; ADDRESS($D117+29*(M$16-1),$E117))</f>
        <v>60</v>
      </c>
      <c r="N117" s="715">
        <f t="shared" si="107"/>
        <v>3</v>
      </c>
      <c r="O117" s="715">
        <f t="shared" ca="1" si="108"/>
        <v>63</v>
      </c>
      <c r="P117" s="715" cm="1">
        <f t="array" aca="1" ref="P117" ca="1">INDIRECT("'Definition of Typical Day'!"&amp; ADDRESS($D117+29*(P$16-1),$E117))</f>
        <v>45</v>
      </c>
      <c r="Q117" s="787">
        <f t="shared" ca="1" si="109"/>
        <v>48</v>
      </c>
      <c r="R117" s="792">
        <f t="shared" ca="1" si="110"/>
        <v>63</v>
      </c>
      <c r="S117" s="769">
        <f t="shared" si="111"/>
        <v>3</v>
      </c>
      <c r="T117" s="769">
        <f t="shared" ca="1" si="112"/>
        <v>0.24</v>
      </c>
      <c r="U117" s="769">
        <f t="shared" ca="1" si="113"/>
        <v>0.70199999999999996</v>
      </c>
      <c r="V117" s="769">
        <f t="shared" ca="1" si="114"/>
        <v>0</v>
      </c>
      <c r="W117" s="769">
        <f t="shared" ca="1" si="115"/>
        <v>3.9420000000000002</v>
      </c>
      <c r="X117" s="794">
        <f t="shared" si="116"/>
        <v>3</v>
      </c>
      <c r="Y117" s="769">
        <f t="shared" ca="1" si="117"/>
        <v>2.1213203435596428</v>
      </c>
      <c r="Z117" s="769">
        <f t="shared" ca="1" si="118"/>
        <v>2.1213203435596428</v>
      </c>
      <c r="AA117" s="795">
        <f t="shared" ca="1" si="119"/>
        <v>2.1213203435596428</v>
      </c>
      <c r="AB117" s="769">
        <f t="shared" ca="1" si="120"/>
        <v>0</v>
      </c>
      <c r="AC117" s="769">
        <f t="shared" ca="1" si="121"/>
        <v>0</v>
      </c>
      <c r="AD117" s="769">
        <f t="shared" ca="1" si="122"/>
        <v>0</v>
      </c>
      <c r="AE117" s="794">
        <f t="shared" ca="1" si="123"/>
        <v>2.1213203435596428</v>
      </c>
      <c r="AF117" s="769">
        <f t="shared" ca="1" si="124"/>
        <v>2.1213203435596427E-2</v>
      </c>
      <c r="AG117" s="769">
        <f t="shared" ca="1" si="125"/>
        <v>2.1001071401240465</v>
      </c>
      <c r="AH117" s="799">
        <f t="shared" ca="1" si="126"/>
        <v>2.1001071401240465</v>
      </c>
      <c r="AI117" s="801">
        <f t="shared" ca="1" si="127"/>
        <v>1</v>
      </c>
      <c r="AJ117" s="794">
        <f t="shared" ca="1" si="128"/>
        <v>1.5831873289580085</v>
      </c>
      <c r="AK117" s="769">
        <f t="shared" ca="1" si="129"/>
        <v>0.53813301460163443</v>
      </c>
      <c r="AL117" s="769">
        <f t="shared" ca="1" si="130"/>
        <v>0</v>
      </c>
      <c r="AM117" s="804">
        <f t="shared" ca="1" si="80"/>
        <v>0.2110916438610678</v>
      </c>
      <c r="AN117" s="795">
        <f t="shared" ca="1" si="81"/>
        <v>5.5575022805598867E-2</v>
      </c>
      <c r="AO117" s="251"/>
      <c r="AP117" s="770">
        <f t="shared" si="131"/>
        <v>0</v>
      </c>
      <c r="AQ117" s="771">
        <f t="shared" ca="1" si="132"/>
        <v>0</v>
      </c>
      <c r="AR117" s="771">
        <f t="shared" ca="1" si="133"/>
        <v>3.166374657916017</v>
      </c>
      <c r="AS117" s="772">
        <f t="shared" ca="1" si="134"/>
        <v>3.166374657916017</v>
      </c>
      <c r="AT117" s="231"/>
      <c r="AU117" s="770">
        <f>'Main Results - IRR DC Operator'!$F$16</f>
        <v>2</v>
      </c>
      <c r="AV117" s="773">
        <f>'Main Results - IRR DC Operator'!$F$15</f>
        <v>1</v>
      </c>
      <c r="AW117" s="771">
        <f t="shared" ca="1" si="135"/>
        <v>4</v>
      </c>
      <c r="AX117" s="772">
        <f t="shared" si="136"/>
        <v>0</v>
      </c>
      <c r="AY117" s="231"/>
      <c r="AZ117" s="770" cm="1">
        <f t="array" aca="1" ref="AZ117" ca="1">INDIRECT("'Definition of Typical Day'!"&amp; ADDRESS($D117+29*(AZ$16-1),$E117))+$AZ$17</f>
        <v>101.49</v>
      </c>
      <c r="BA117" s="771" cm="1">
        <f t="array" aca="1" ref="BA117" ca="1">INDIRECT("'Definition of Typical Day'!"&amp; ADDRESS($D117+29*(BA$16-1),$E117))+$BA$17</f>
        <v>101.49</v>
      </c>
      <c r="BB117" s="772" cm="1">
        <f t="array" aca="1" ref="BB117" ca="1">INDIRECT("'Definition of Typical Day'!"&amp;ADDRESS(BB$16,$E117))</f>
        <v>60</v>
      </c>
      <c r="BC117" s="776" cm="1">
        <f t="array" aca="1" ref="BC117" ca="1">INDIRECT("'Definition of Typical Day'!"&amp; ADDRESS($D117+29*(BC$16-1),$E117))</f>
        <v>100.49</v>
      </c>
      <c r="BD117" s="777" cm="1">
        <f t="array" aca="1" ref="BD117" ca="1">INDIRECT("'Definition of Typical Day'!"&amp; ADDRESS($D117+29*(BD$16-1),$E117))</f>
        <v>1</v>
      </c>
      <c r="BE117" s="776">
        <f t="shared" si="137"/>
        <v>0</v>
      </c>
      <c r="BF117" s="771">
        <f t="shared" ca="1" si="138"/>
        <v>54.615119651919876</v>
      </c>
      <c r="BG117" s="771">
        <f t="shared" ca="1" si="139"/>
        <v>2.5455844122715714</v>
      </c>
      <c r="BH117" s="771">
        <f t="shared" ca="1" si="140"/>
        <v>0</v>
      </c>
      <c r="BI117" s="776">
        <f t="shared" ca="1" si="141"/>
        <v>21.212599291598703</v>
      </c>
      <c r="BJ117" s="776">
        <f t="shared" ca="1" si="142"/>
        <v>5.5847340417346301</v>
      </c>
      <c r="BK117" s="776">
        <f t="shared" ca="1" si="143"/>
        <v>0</v>
      </c>
      <c r="BL117" s="776">
        <f t="shared" ca="1" si="144"/>
        <v>0</v>
      </c>
      <c r="BM117" s="135"/>
      <c r="BN117" s="776">
        <f t="shared" ca="1" si="145"/>
        <v>61.160704064191449</v>
      </c>
      <c r="BO117" s="778">
        <f t="shared" ca="1" si="82"/>
        <v>29.122658980426532</v>
      </c>
      <c r="BP117" s="770">
        <f t="shared" ca="1" si="83"/>
        <v>57.160704064191449</v>
      </c>
      <c r="BQ117" s="771">
        <f t="shared" ca="1" si="84"/>
        <v>0</v>
      </c>
      <c r="BR117" s="771">
        <f t="shared" ca="1" si="85"/>
        <v>0</v>
      </c>
      <c r="BS117" s="776">
        <f t="shared" ca="1" si="146"/>
        <v>61.160704064191449</v>
      </c>
      <c r="BT117" s="776">
        <f t="shared" ca="1" si="86"/>
        <v>57.160704064191449</v>
      </c>
      <c r="BU117" s="783">
        <f t="shared" ca="1" si="87"/>
        <v>27.217994249957719</v>
      </c>
      <c r="BV117" s="783">
        <f t="shared" ca="1" si="88"/>
        <v>27.217994249957719</v>
      </c>
      <c r="BW117" s="1019">
        <f t="shared" ca="1" si="147"/>
        <v>27.217994249957719</v>
      </c>
      <c r="BX117" s="771" cm="1">
        <f t="array" aca="1" ref="BX117" ca="1">INDIRECT("'Definition of Typical Day'!"&amp; ADDRESS($D117+29*(BX$16-1),$E117))</f>
        <v>55</v>
      </c>
      <c r="BY117" s="771">
        <f t="shared" ca="1" si="148"/>
        <v>1</v>
      </c>
      <c r="BZ117" s="781">
        <f t="shared" ca="1" si="89"/>
        <v>1</v>
      </c>
      <c r="CA117" s="781">
        <f t="shared" ca="1" si="90"/>
        <v>0.70710678118654757</v>
      </c>
      <c r="CB117" s="776">
        <f t="shared" ca="1" si="91"/>
        <v>115.50589270682256</v>
      </c>
      <c r="CC117" s="782">
        <f t="shared" si="92"/>
        <v>5</v>
      </c>
      <c r="CD117" s="782">
        <f t="shared" si="93"/>
        <v>1</v>
      </c>
      <c r="CE117" s="784" t="str" cm="1">
        <f t="array" aca="1" ref="CE117" ca="1">INDIRECT("'Definition of Typical Day'!"&amp;ADDRESS(CE$16,$E117))</f>
        <v>Summer weekend</v>
      </c>
      <c r="CF117" s="232"/>
      <c r="CG117" s="232"/>
      <c r="CH117" s="776">
        <f t="shared" ca="1" si="94"/>
        <v>2</v>
      </c>
      <c r="CI117" s="806">
        <f t="shared" ca="1" si="95"/>
        <v>6</v>
      </c>
      <c r="CJ117" s="770">
        <f t="shared" ca="1" si="96"/>
        <v>2.1001071401240465</v>
      </c>
      <c r="CK117" s="771">
        <f t="shared" ca="1" si="97"/>
        <v>1.5831873289580085</v>
      </c>
      <c r="CL117" s="771">
        <f t="shared" ca="1" si="98"/>
        <v>0.53813301460163443</v>
      </c>
      <c r="CM117" s="772">
        <f t="shared" ca="1" si="99"/>
        <v>0</v>
      </c>
      <c r="CN117" s="135"/>
      <c r="CO117" s="770">
        <f t="shared" ca="1" si="149"/>
        <v>1.05</v>
      </c>
      <c r="CP117" s="771">
        <f t="shared" ca="1" si="100"/>
        <v>0.98</v>
      </c>
      <c r="CQ117" s="771">
        <f t="shared" ca="1" si="101"/>
        <v>0.96</v>
      </c>
      <c r="CR117" s="771">
        <f t="shared" ca="1" si="102"/>
        <v>0.95</v>
      </c>
      <c r="CS117" s="771">
        <f t="shared" ca="1" si="103"/>
        <v>1.02</v>
      </c>
      <c r="CT117" s="772">
        <f t="shared" ca="1" si="104"/>
        <v>0.02</v>
      </c>
      <c r="CU117" s="135"/>
      <c r="CV117" s="135"/>
      <c r="CW117" s="135"/>
      <c r="CX117" s="135"/>
      <c r="CY117" s="135"/>
      <c r="CZ117" s="135"/>
      <c r="DA117" s="135"/>
      <c r="DB117" s="135"/>
      <c r="DC117" s="135"/>
      <c r="DD117" s="135"/>
      <c r="DE117" s="135"/>
      <c r="DF117" s="135"/>
      <c r="DG117" s="135"/>
      <c r="DH117" s="135"/>
      <c r="DI117" s="135"/>
      <c r="DJ117" s="135"/>
      <c r="DK117" s="135"/>
      <c r="DL117" s="135"/>
      <c r="DX117" s="135"/>
      <c r="DY117" s="135"/>
      <c r="DZ117" s="135"/>
      <c r="EA117" s="135"/>
      <c r="EB117" s="135"/>
      <c r="EC117" s="135"/>
      <c r="ED117" s="135"/>
      <c r="EE117" s="135"/>
      <c r="EF117" s="135"/>
      <c r="EG117" s="135"/>
      <c r="EH117" s="135"/>
      <c r="EI117" s="135"/>
      <c r="EJ117" s="135"/>
      <c r="EK117" s="135"/>
      <c r="EL117" s="135"/>
      <c r="EM117" s="135"/>
      <c r="EN117" s="135"/>
      <c r="EO117" s="135"/>
      <c r="EP117" s="135"/>
      <c r="EQ117" s="135"/>
      <c r="ER117" s="135"/>
      <c r="ES117" s="135"/>
      <c r="ET117" s="135"/>
      <c r="EU117" s="135"/>
      <c r="EV117" s="135"/>
      <c r="EW117" s="135"/>
      <c r="EX117" s="135"/>
      <c r="EY117" s="135"/>
      <c r="EZ117" s="135"/>
      <c r="FA117" s="135"/>
      <c r="FB117" s="135"/>
      <c r="FC117" s="135"/>
      <c r="FD117" s="135"/>
      <c r="FE117" s="135"/>
      <c r="FF117" s="135"/>
      <c r="FG117" s="135"/>
    </row>
    <row r="118" spans="1:163" s="57" customFormat="1" ht="11.25" outlineLevel="1">
      <c r="A118" s="765">
        <f t="shared" si="150"/>
        <v>5</v>
      </c>
      <c r="B118" s="715" t="str" cm="1">
        <f t="array" aca="1" ref="B118" ca="1">INDIRECT("'Definition of Typical Day'!"&amp;ADDRESS(B$16,$E118))</f>
        <v>Summer weekend</v>
      </c>
      <c r="C118" s="766">
        <f t="shared" si="151"/>
        <v>2</v>
      </c>
      <c r="D118" s="715">
        <f t="shared" si="151"/>
        <v>36</v>
      </c>
      <c r="E118" s="715">
        <f t="shared" si="79"/>
        <v>9</v>
      </c>
      <c r="F118" s="767" cm="1">
        <f t="array" aca="1" ref="F118" ca="1">INDIRECT("'Definition of Typical Day'!D"&amp;D118)</f>
        <v>2</v>
      </c>
      <c r="G118" s="767" cm="1">
        <f t="array" aca="1" ref="G118" ca="1">INDIRECT("'Definition of Typical Day'!"&amp;ADDRESS(13,E118))</f>
        <v>5</v>
      </c>
      <c r="H118" s="768" cm="1">
        <f t="array" aca="1" ref="H118" ca="1">INDIRECT("'Definition of Typical Day'!"&amp; ADDRESS($D118+28*(H$16-1),$E118))</f>
        <v>2</v>
      </c>
      <c r="I118" s="715" cm="1">
        <f t="array" aca="1" ref="I118" ca="1">INDIRECT("'Definition of Typical Day'!"&amp; ADDRESS($D118+29*(I$16-1),$E118))</f>
        <v>40</v>
      </c>
      <c r="J118" s="715">
        <f t="shared" ca="1" si="105"/>
        <v>37</v>
      </c>
      <c r="K118" s="785">
        <f t="shared" si="106"/>
        <v>28</v>
      </c>
      <c r="L118" s="786" cm="1">
        <f t="array" aca="1" ref="L118" ca="1">INDIRECT("'Definition of Typical Day'!"&amp; ADDRESS($D118+29*(L$16-1),$E118))</f>
        <v>6</v>
      </c>
      <c r="M118" s="768" cm="1">
        <f t="array" aca="1" ref="M118" ca="1">INDIRECT("'Definition of Typical Day'!"&amp; ADDRESS($D118+29*(M$16-1),$E118))</f>
        <v>60</v>
      </c>
      <c r="N118" s="715">
        <f t="shared" si="107"/>
        <v>3</v>
      </c>
      <c r="O118" s="715">
        <f t="shared" ca="1" si="108"/>
        <v>63</v>
      </c>
      <c r="P118" s="715" cm="1">
        <f t="array" aca="1" ref="P118" ca="1">INDIRECT("'Definition of Typical Day'!"&amp; ADDRESS($D118+29*(P$16-1),$E118))</f>
        <v>45</v>
      </c>
      <c r="Q118" s="787">
        <f t="shared" ca="1" si="109"/>
        <v>48</v>
      </c>
      <c r="R118" s="792">
        <f t="shared" ca="1" si="110"/>
        <v>63</v>
      </c>
      <c r="S118" s="769">
        <f t="shared" si="111"/>
        <v>3</v>
      </c>
      <c r="T118" s="769">
        <f t="shared" ca="1" si="112"/>
        <v>0.24</v>
      </c>
      <c r="U118" s="769">
        <f t="shared" ca="1" si="113"/>
        <v>0.70199999999999996</v>
      </c>
      <c r="V118" s="769">
        <f t="shared" ca="1" si="114"/>
        <v>0</v>
      </c>
      <c r="W118" s="769">
        <f t="shared" ca="1" si="115"/>
        <v>3.9420000000000002</v>
      </c>
      <c r="X118" s="794">
        <f t="shared" si="116"/>
        <v>3</v>
      </c>
      <c r="Y118" s="769">
        <f t="shared" ca="1" si="117"/>
        <v>2.1213203435596428</v>
      </c>
      <c r="Z118" s="769">
        <f t="shared" ca="1" si="118"/>
        <v>2.1213203435596428</v>
      </c>
      <c r="AA118" s="795">
        <f t="shared" ca="1" si="119"/>
        <v>2.1213203435596428</v>
      </c>
      <c r="AB118" s="769">
        <f t="shared" ca="1" si="120"/>
        <v>0</v>
      </c>
      <c r="AC118" s="769">
        <f t="shared" ca="1" si="121"/>
        <v>0</v>
      </c>
      <c r="AD118" s="769">
        <f t="shared" ca="1" si="122"/>
        <v>0</v>
      </c>
      <c r="AE118" s="794">
        <f t="shared" ca="1" si="123"/>
        <v>2.1213203435596428</v>
      </c>
      <c r="AF118" s="769">
        <f t="shared" ca="1" si="124"/>
        <v>2.1213203435596427E-2</v>
      </c>
      <c r="AG118" s="769">
        <f t="shared" ca="1" si="125"/>
        <v>2.1001071401240465</v>
      </c>
      <c r="AH118" s="799">
        <f t="shared" ca="1" si="126"/>
        <v>2.1001071401240465</v>
      </c>
      <c r="AI118" s="801">
        <f t="shared" ca="1" si="127"/>
        <v>1</v>
      </c>
      <c r="AJ118" s="794">
        <f t="shared" ca="1" si="128"/>
        <v>1.5831873289580085</v>
      </c>
      <c r="AK118" s="769">
        <f t="shared" ca="1" si="129"/>
        <v>0.53813301460163443</v>
      </c>
      <c r="AL118" s="769">
        <f t="shared" ca="1" si="130"/>
        <v>0</v>
      </c>
      <c r="AM118" s="804">
        <f t="shared" ca="1" si="80"/>
        <v>0.2110916438610678</v>
      </c>
      <c r="AN118" s="795">
        <f t="shared" ca="1" si="81"/>
        <v>5.5575022805598867E-2</v>
      </c>
      <c r="AO118" s="251"/>
      <c r="AP118" s="770">
        <f t="shared" si="131"/>
        <v>0</v>
      </c>
      <c r="AQ118" s="771">
        <f t="shared" ca="1" si="132"/>
        <v>0</v>
      </c>
      <c r="AR118" s="771">
        <f t="shared" ca="1" si="133"/>
        <v>3.166374657916017</v>
      </c>
      <c r="AS118" s="772">
        <f t="shared" ca="1" si="134"/>
        <v>3.166374657916017</v>
      </c>
      <c r="AT118" s="231"/>
      <c r="AU118" s="770">
        <f>'Main Results - IRR DC Operator'!$F$16</f>
        <v>2</v>
      </c>
      <c r="AV118" s="773">
        <f>'Main Results - IRR DC Operator'!$F$15</f>
        <v>1</v>
      </c>
      <c r="AW118" s="771">
        <f t="shared" ca="1" si="135"/>
        <v>4</v>
      </c>
      <c r="AX118" s="772">
        <f t="shared" si="136"/>
        <v>0</v>
      </c>
      <c r="AY118" s="231"/>
      <c r="AZ118" s="770" cm="1">
        <f t="array" aca="1" ref="AZ118" ca="1">INDIRECT("'Definition of Typical Day'!"&amp; ADDRESS($D118+29*(AZ$16-1),$E118))+$AZ$17</f>
        <v>90.25</v>
      </c>
      <c r="BA118" s="771" cm="1">
        <f t="array" aca="1" ref="BA118" ca="1">INDIRECT("'Definition of Typical Day'!"&amp; ADDRESS($D118+29*(BA$16-1),$E118))+$BA$17</f>
        <v>90.25</v>
      </c>
      <c r="BB118" s="772" cm="1">
        <f t="array" aca="1" ref="BB118" ca="1">INDIRECT("'Definition of Typical Day'!"&amp;ADDRESS(BB$16,$E118))</f>
        <v>60</v>
      </c>
      <c r="BC118" s="776" cm="1">
        <f t="array" aca="1" ref="BC118" ca="1">INDIRECT("'Definition of Typical Day'!"&amp; ADDRESS($D118+29*(BC$16-1),$E118))</f>
        <v>89.25</v>
      </c>
      <c r="BD118" s="777" cm="1">
        <f t="array" aca="1" ref="BD118" ca="1">INDIRECT("'Definition of Typical Day'!"&amp; ADDRESS($D118+29*(BD$16-1),$E118))</f>
        <v>1</v>
      </c>
      <c r="BE118" s="776">
        <f t="shared" si="137"/>
        <v>0</v>
      </c>
      <c r="BF118" s="771">
        <f t="shared" ca="1" si="138"/>
        <v>48.566504567797509</v>
      </c>
      <c r="BG118" s="771">
        <f t="shared" ca="1" si="139"/>
        <v>2.5455844122715714</v>
      </c>
      <c r="BH118" s="771">
        <f t="shared" ca="1" si="140"/>
        <v>0</v>
      </c>
      <c r="BI118" s="776">
        <f t="shared" ca="1" si="141"/>
        <v>18.8399292146003</v>
      </c>
      <c r="BJ118" s="776">
        <f t="shared" ca="1" si="142"/>
        <v>4.960070785399699</v>
      </c>
      <c r="BK118" s="776">
        <f t="shared" ca="1" si="143"/>
        <v>0</v>
      </c>
      <c r="BL118" s="776">
        <f t="shared" ca="1" si="144"/>
        <v>0</v>
      </c>
      <c r="BM118" s="135"/>
      <c r="BN118" s="776">
        <f t="shared" ca="1" si="145"/>
        <v>55.112088980069082</v>
      </c>
      <c r="BO118" s="778">
        <f t="shared" ca="1" si="82"/>
        <v>26.24251302569915</v>
      </c>
      <c r="BP118" s="770">
        <f t="shared" ca="1" si="83"/>
        <v>51.112088980069082</v>
      </c>
      <c r="BQ118" s="771">
        <f t="shared" ca="1" si="84"/>
        <v>0</v>
      </c>
      <c r="BR118" s="771">
        <f t="shared" ca="1" si="85"/>
        <v>0</v>
      </c>
      <c r="BS118" s="776">
        <f t="shared" ca="1" si="146"/>
        <v>55.112088980069082</v>
      </c>
      <c r="BT118" s="776">
        <f t="shared" ca="1" si="86"/>
        <v>51.112088980069082</v>
      </c>
      <c r="BU118" s="783">
        <f t="shared" ca="1" si="87"/>
        <v>24.337848295230337</v>
      </c>
      <c r="BV118" s="783">
        <f t="shared" ca="1" si="88"/>
        <v>24.337848295230337</v>
      </c>
      <c r="BW118" s="1019">
        <f t="shared" ca="1" si="147"/>
        <v>24.337848295230337</v>
      </c>
      <c r="BX118" s="771" cm="1">
        <f t="array" aca="1" ref="BX118" ca="1">INDIRECT("'Definition of Typical Day'!"&amp; ADDRESS($D118+29*(BX$16-1),$E118))</f>
        <v>55</v>
      </c>
      <c r="BY118" s="771">
        <f t="shared" ca="1" si="148"/>
        <v>1</v>
      </c>
      <c r="BZ118" s="781">
        <f t="shared" ca="1" si="89"/>
        <v>1</v>
      </c>
      <c r="CA118" s="781">
        <f t="shared" ca="1" si="90"/>
        <v>0.70710678118654757</v>
      </c>
      <c r="CB118" s="776">
        <f t="shared" ca="1" si="91"/>
        <v>115.50589270682256</v>
      </c>
      <c r="CC118" s="782">
        <f t="shared" si="92"/>
        <v>5</v>
      </c>
      <c r="CD118" s="782">
        <f t="shared" si="93"/>
        <v>2</v>
      </c>
      <c r="CE118" s="784" t="str" cm="1">
        <f t="array" aca="1" ref="CE118" ca="1">INDIRECT("'Definition of Typical Day'!"&amp;ADDRESS(CE$16,$E118))</f>
        <v>Summer weekend</v>
      </c>
      <c r="CF118" s="232"/>
      <c r="CG118" s="232"/>
      <c r="CH118" s="776">
        <f t="shared" ca="1" si="94"/>
        <v>2</v>
      </c>
      <c r="CI118" s="806">
        <f t="shared" ca="1" si="95"/>
        <v>6</v>
      </c>
      <c r="CJ118" s="770">
        <f t="shared" ca="1" si="96"/>
        <v>2.1001071401240465</v>
      </c>
      <c r="CK118" s="771">
        <f t="shared" ca="1" si="97"/>
        <v>1.5831873289580085</v>
      </c>
      <c r="CL118" s="771">
        <f t="shared" ca="1" si="98"/>
        <v>0.53813301460163443</v>
      </c>
      <c r="CM118" s="772">
        <f t="shared" ca="1" si="99"/>
        <v>0</v>
      </c>
      <c r="CN118" s="135"/>
      <c r="CO118" s="770">
        <f t="shared" ca="1" si="149"/>
        <v>1.05</v>
      </c>
      <c r="CP118" s="771">
        <f t="shared" ca="1" si="100"/>
        <v>0.98</v>
      </c>
      <c r="CQ118" s="771">
        <f t="shared" ca="1" si="101"/>
        <v>0.96</v>
      </c>
      <c r="CR118" s="771">
        <f t="shared" ca="1" si="102"/>
        <v>0.95</v>
      </c>
      <c r="CS118" s="771">
        <f t="shared" ca="1" si="103"/>
        <v>1.02</v>
      </c>
      <c r="CT118" s="772">
        <f t="shared" ca="1" si="104"/>
        <v>0.02</v>
      </c>
      <c r="CU118" s="135"/>
      <c r="CV118" s="135"/>
      <c r="CW118" s="135"/>
      <c r="CX118" s="135"/>
      <c r="CY118" s="135"/>
      <c r="CZ118" s="135"/>
      <c r="DA118" s="135"/>
      <c r="DB118" s="135"/>
      <c r="DC118" s="135"/>
      <c r="DD118" s="135"/>
      <c r="DE118" s="135"/>
      <c r="DF118" s="135"/>
      <c r="DG118" s="135"/>
      <c r="DH118" s="135"/>
      <c r="DI118" s="135"/>
      <c r="DJ118" s="135"/>
      <c r="DK118" s="135"/>
      <c r="DL118" s="135"/>
      <c r="DX118" s="135"/>
      <c r="DY118" s="135"/>
      <c r="DZ118" s="135"/>
      <c r="EA118" s="135"/>
      <c r="EB118" s="135"/>
      <c r="EC118" s="135"/>
      <c r="ED118" s="135"/>
      <c r="EE118" s="135"/>
      <c r="EF118" s="135"/>
      <c r="EG118" s="135"/>
      <c r="EH118" s="135"/>
      <c r="EI118" s="135"/>
      <c r="EJ118" s="135"/>
      <c r="EK118" s="135"/>
      <c r="EL118" s="135"/>
      <c r="EM118" s="135"/>
      <c r="EN118" s="135"/>
      <c r="EO118" s="135"/>
      <c r="EP118" s="135"/>
      <c r="EQ118" s="135"/>
      <c r="ER118" s="135"/>
      <c r="ES118" s="135"/>
      <c r="ET118" s="135"/>
      <c r="EU118" s="135"/>
      <c r="EV118" s="135"/>
      <c r="EW118" s="135"/>
      <c r="EX118" s="135"/>
      <c r="EY118" s="135"/>
      <c r="EZ118" s="135"/>
      <c r="FA118" s="135"/>
      <c r="FB118" s="135"/>
      <c r="FC118" s="135"/>
      <c r="FD118" s="135"/>
      <c r="FE118" s="135"/>
      <c r="FF118" s="135"/>
      <c r="FG118" s="135"/>
    </row>
    <row r="119" spans="1:163" s="57" customFormat="1" ht="11.25" outlineLevel="1">
      <c r="A119" s="765">
        <f t="shared" si="150"/>
        <v>5</v>
      </c>
      <c r="B119" s="715" t="str" cm="1">
        <f t="array" aca="1" ref="B119" ca="1">INDIRECT("'Definition of Typical Day'!"&amp;ADDRESS(B$16,$E119))</f>
        <v>Summer weekend</v>
      </c>
      <c r="C119" s="766">
        <f t="shared" si="151"/>
        <v>3</v>
      </c>
      <c r="D119" s="715">
        <f t="shared" si="151"/>
        <v>37</v>
      </c>
      <c r="E119" s="715">
        <f t="shared" si="79"/>
        <v>9</v>
      </c>
      <c r="F119" s="767" cm="1">
        <f t="array" aca="1" ref="F119" ca="1">INDIRECT("'Definition of Typical Day'!D"&amp;D119)</f>
        <v>3</v>
      </c>
      <c r="G119" s="767" cm="1">
        <f t="array" aca="1" ref="G119" ca="1">INDIRECT("'Definition of Typical Day'!"&amp;ADDRESS(13,E119))</f>
        <v>5</v>
      </c>
      <c r="H119" s="768" cm="1">
        <f t="array" aca="1" ref="H119" ca="1">INDIRECT("'Definition of Typical Day'!"&amp; ADDRESS($D119+28*(H$16-1),$E119))</f>
        <v>2</v>
      </c>
      <c r="I119" s="715" cm="1">
        <f t="array" aca="1" ref="I119" ca="1">INDIRECT("'Definition of Typical Day'!"&amp; ADDRESS($D119+29*(I$16-1),$E119))</f>
        <v>40</v>
      </c>
      <c r="J119" s="715">
        <f t="shared" ca="1" si="105"/>
        <v>37</v>
      </c>
      <c r="K119" s="785">
        <f t="shared" si="106"/>
        <v>28</v>
      </c>
      <c r="L119" s="786" cm="1">
        <f t="array" aca="1" ref="L119" ca="1">INDIRECT("'Definition of Typical Day'!"&amp; ADDRESS($D119+29*(L$16-1),$E119))</f>
        <v>6</v>
      </c>
      <c r="M119" s="768" cm="1">
        <f t="array" aca="1" ref="M119" ca="1">INDIRECT("'Definition of Typical Day'!"&amp; ADDRESS($D119+29*(M$16-1),$E119))</f>
        <v>60</v>
      </c>
      <c r="N119" s="715">
        <f t="shared" si="107"/>
        <v>3</v>
      </c>
      <c r="O119" s="715">
        <f t="shared" ca="1" si="108"/>
        <v>63</v>
      </c>
      <c r="P119" s="715" cm="1">
        <f t="array" aca="1" ref="P119" ca="1">INDIRECT("'Definition of Typical Day'!"&amp; ADDRESS($D119+29*(P$16-1),$E119))</f>
        <v>45</v>
      </c>
      <c r="Q119" s="787">
        <f t="shared" ca="1" si="109"/>
        <v>48</v>
      </c>
      <c r="R119" s="792">
        <f t="shared" ca="1" si="110"/>
        <v>63</v>
      </c>
      <c r="S119" s="769">
        <f t="shared" si="111"/>
        <v>3</v>
      </c>
      <c r="T119" s="769">
        <f t="shared" ca="1" si="112"/>
        <v>0.24</v>
      </c>
      <c r="U119" s="769">
        <f t="shared" ca="1" si="113"/>
        <v>0.70199999999999996</v>
      </c>
      <c r="V119" s="769">
        <f t="shared" ca="1" si="114"/>
        <v>0</v>
      </c>
      <c r="W119" s="769">
        <f t="shared" ca="1" si="115"/>
        <v>3.9420000000000002</v>
      </c>
      <c r="X119" s="794">
        <f t="shared" si="116"/>
        <v>3</v>
      </c>
      <c r="Y119" s="769">
        <f t="shared" ca="1" si="117"/>
        <v>2.1213203435596428</v>
      </c>
      <c r="Z119" s="769">
        <f t="shared" ca="1" si="118"/>
        <v>2.1213203435596428</v>
      </c>
      <c r="AA119" s="795">
        <f t="shared" ca="1" si="119"/>
        <v>2.1213203435596428</v>
      </c>
      <c r="AB119" s="769">
        <f t="shared" ca="1" si="120"/>
        <v>0</v>
      </c>
      <c r="AC119" s="769">
        <f t="shared" ca="1" si="121"/>
        <v>0</v>
      </c>
      <c r="AD119" s="769">
        <f t="shared" ca="1" si="122"/>
        <v>0</v>
      </c>
      <c r="AE119" s="794">
        <f t="shared" ca="1" si="123"/>
        <v>2.1213203435596428</v>
      </c>
      <c r="AF119" s="769">
        <f t="shared" ca="1" si="124"/>
        <v>2.1213203435596427E-2</v>
      </c>
      <c r="AG119" s="769">
        <f t="shared" ca="1" si="125"/>
        <v>2.1001071401240465</v>
      </c>
      <c r="AH119" s="799">
        <f t="shared" ca="1" si="126"/>
        <v>2.1001071401240465</v>
      </c>
      <c r="AI119" s="801">
        <f t="shared" ca="1" si="127"/>
        <v>1</v>
      </c>
      <c r="AJ119" s="794">
        <f t="shared" ca="1" si="128"/>
        <v>1.5831873289580085</v>
      </c>
      <c r="AK119" s="769">
        <f t="shared" ca="1" si="129"/>
        <v>0.53813301460163443</v>
      </c>
      <c r="AL119" s="769">
        <f t="shared" ca="1" si="130"/>
        <v>0</v>
      </c>
      <c r="AM119" s="804">
        <f t="shared" ca="1" si="80"/>
        <v>0.2110916438610678</v>
      </c>
      <c r="AN119" s="795">
        <f t="shared" ca="1" si="81"/>
        <v>5.5575022805598867E-2</v>
      </c>
      <c r="AO119" s="251"/>
      <c r="AP119" s="770">
        <f t="shared" si="131"/>
        <v>0</v>
      </c>
      <c r="AQ119" s="771">
        <f t="shared" ca="1" si="132"/>
        <v>0</v>
      </c>
      <c r="AR119" s="771">
        <f t="shared" ca="1" si="133"/>
        <v>3.166374657916017</v>
      </c>
      <c r="AS119" s="772">
        <f t="shared" ca="1" si="134"/>
        <v>3.166374657916017</v>
      </c>
      <c r="AT119" s="231"/>
      <c r="AU119" s="770">
        <f>'Main Results - IRR DC Operator'!$F$16</f>
        <v>2</v>
      </c>
      <c r="AV119" s="773">
        <f>'Main Results - IRR DC Operator'!$F$15</f>
        <v>1</v>
      </c>
      <c r="AW119" s="771">
        <f t="shared" ca="1" si="135"/>
        <v>4</v>
      </c>
      <c r="AX119" s="772">
        <f t="shared" si="136"/>
        <v>0</v>
      </c>
      <c r="AY119" s="231"/>
      <c r="AZ119" s="770" cm="1">
        <f t="array" aca="1" ref="AZ119" ca="1">INDIRECT("'Definition of Typical Day'!"&amp; ADDRESS($D119+29*(AZ$16-1),$E119))+$AZ$17</f>
        <v>82.24</v>
      </c>
      <c r="BA119" s="771" cm="1">
        <f t="array" aca="1" ref="BA119" ca="1">INDIRECT("'Definition of Typical Day'!"&amp; ADDRESS($D119+29*(BA$16-1),$E119))+$BA$17</f>
        <v>82.24</v>
      </c>
      <c r="BB119" s="772" cm="1">
        <f t="array" aca="1" ref="BB119" ca="1">INDIRECT("'Definition of Typical Day'!"&amp;ADDRESS(BB$16,$E119))</f>
        <v>60</v>
      </c>
      <c r="BC119" s="776" cm="1">
        <f t="array" aca="1" ref="BC119" ca="1">INDIRECT("'Definition of Typical Day'!"&amp; ADDRESS($D119+29*(BC$16-1),$E119))</f>
        <v>81.239999999999995</v>
      </c>
      <c r="BD119" s="777" cm="1">
        <f t="array" aca="1" ref="BD119" ca="1">INDIRECT("'Definition of Typical Day'!"&amp; ADDRESS($D119+29*(BD$16-1),$E119))</f>
        <v>1</v>
      </c>
      <c r="BE119" s="776">
        <f t="shared" si="137"/>
        <v>0</v>
      </c>
      <c r="BF119" s="771">
        <f t="shared" ca="1" si="138"/>
        <v>44.256059120838415</v>
      </c>
      <c r="BG119" s="771">
        <f t="shared" ca="1" si="139"/>
        <v>2.5455844122715714</v>
      </c>
      <c r="BH119" s="771">
        <f t="shared" ca="1" si="140"/>
        <v>0</v>
      </c>
      <c r="BI119" s="776">
        <f t="shared" ca="1" si="141"/>
        <v>17.149085147273148</v>
      </c>
      <c r="BJ119" s="776">
        <f t="shared" ca="1" si="142"/>
        <v>4.5149148527268519</v>
      </c>
      <c r="BK119" s="776">
        <f t="shared" ca="1" si="143"/>
        <v>0</v>
      </c>
      <c r="BL119" s="776">
        <f t="shared" ca="1" si="144"/>
        <v>0</v>
      </c>
      <c r="BM119" s="135"/>
      <c r="BN119" s="776">
        <f t="shared" ca="1" si="145"/>
        <v>50.801643533109988</v>
      </c>
      <c r="BO119" s="778">
        <f t="shared" ca="1" si="82"/>
        <v>24.190024671840934</v>
      </c>
      <c r="BP119" s="770">
        <f t="shared" ca="1" si="83"/>
        <v>46.801643533109988</v>
      </c>
      <c r="BQ119" s="771">
        <f t="shared" ca="1" si="84"/>
        <v>0</v>
      </c>
      <c r="BR119" s="771">
        <f t="shared" ca="1" si="85"/>
        <v>0</v>
      </c>
      <c r="BS119" s="776">
        <f t="shared" ca="1" si="146"/>
        <v>50.801643533109988</v>
      </c>
      <c r="BT119" s="776">
        <f t="shared" ca="1" si="86"/>
        <v>46.801643533109988</v>
      </c>
      <c r="BU119" s="783">
        <f t="shared" ca="1" si="87"/>
        <v>22.285359941372118</v>
      </c>
      <c r="BV119" s="783">
        <f t="shared" ca="1" si="88"/>
        <v>22.285359941372118</v>
      </c>
      <c r="BW119" s="1019">
        <f t="shared" ca="1" si="147"/>
        <v>22.285359941372118</v>
      </c>
      <c r="BX119" s="771" cm="1">
        <f t="array" aca="1" ref="BX119" ca="1">INDIRECT("'Definition of Typical Day'!"&amp; ADDRESS($D119+29*(BX$16-1),$E119))</f>
        <v>55</v>
      </c>
      <c r="BY119" s="771">
        <f t="shared" ca="1" si="148"/>
        <v>1</v>
      </c>
      <c r="BZ119" s="781">
        <f t="shared" ca="1" si="89"/>
        <v>1</v>
      </c>
      <c r="CA119" s="781">
        <f t="shared" ca="1" si="90"/>
        <v>0.70710678118654757</v>
      </c>
      <c r="CB119" s="776">
        <f t="shared" ca="1" si="91"/>
        <v>115.50589270682256</v>
      </c>
      <c r="CC119" s="782">
        <f t="shared" si="92"/>
        <v>5</v>
      </c>
      <c r="CD119" s="782">
        <f t="shared" si="93"/>
        <v>3</v>
      </c>
      <c r="CE119" s="784" t="str" cm="1">
        <f t="array" aca="1" ref="CE119" ca="1">INDIRECT("'Definition of Typical Day'!"&amp;ADDRESS(CE$16,$E119))</f>
        <v>Summer weekend</v>
      </c>
      <c r="CF119" s="232"/>
      <c r="CG119" s="232"/>
      <c r="CH119" s="776">
        <f t="shared" ca="1" si="94"/>
        <v>2</v>
      </c>
      <c r="CI119" s="806">
        <f t="shared" ca="1" si="95"/>
        <v>6</v>
      </c>
      <c r="CJ119" s="770">
        <f t="shared" ca="1" si="96"/>
        <v>2.1001071401240465</v>
      </c>
      <c r="CK119" s="771">
        <f t="shared" ca="1" si="97"/>
        <v>1.5831873289580085</v>
      </c>
      <c r="CL119" s="771">
        <f t="shared" ca="1" si="98"/>
        <v>0.53813301460163443</v>
      </c>
      <c r="CM119" s="772">
        <f t="shared" ca="1" si="99"/>
        <v>0</v>
      </c>
      <c r="CN119" s="135"/>
      <c r="CO119" s="770">
        <f t="shared" ca="1" si="149"/>
        <v>1.05</v>
      </c>
      <c r="CP119" s="771">
        <f t="shared" ca="1" si="100"/>
        <v>0.98</v>
      </c>
      <c r="CQ119" s="771">
        <f t="shared" ca="1" si="101"/>
        <v>0.96</v>
      </c>
      <c r="CR119" s="771">
        <f t="shared" ca="1" si="102"/>
        <v>0.95</v>
      </c>
      <c r="CS119" s="771">
        <f t="shared" ca="1" si="103"/>
        <v>1.02</v>
      </c>
      <c r="CT119" s="772">
        <f t="shared" ca="1" si="104"/>
        <v>0.02</v>
      </c>
      <c r="CU119" s="135"/>
      <c r="CV119" s="135"/>
      <c r="CW119" s="135"/>
      <c r="CX119" s="135"/>
      <c r="CY119" s="135"/>
      <c r="CZ119" s="135"/>
      <c r="DA119" s="135"/>
      <c r="DB119" s="135"/>
      <c r="DC119" s="135"/>
      <c r="DD119" s="135"/>
      <c r="DE119" s="135"/>
      <c r="DF119" s="135"/>
      <c r="DG119" s="135"/>
      <c r="DH119" s="135"/>
      <c r="DI119" s="135"/>
      <c r="DJ119" s="135"/>
      <c r="DK119" s="135"/>
      <c r="DL119" s="135"/>
      <c r="DX119" s="135"/>
      <c r="DY119" s="135"/>
      <c r="DZ119" s="135"/>
      <c r="EA119" s="135"/>
      <c r="EB119" s="135"/>
      <c r="EC119" s="135"/>
      <c r="ED119" s="135"/>
      <c r="EE119" s="135"/>
      <c r="EF119" s="135"/>
      <c r="EG119" s="135"/>
      <c r="EH119" s="135"/>
      <c r="EI119" s="135"/>
      <c r="EJ119" s="135"/>
      <c r="EK119" s="135"/>
      <c r="EL119" s="135"/>
      <c r="EM119" s="135"/>
      <c r="EN119" s="135"/>
      <c r="EO119" s="135"/>
      <c r="EP119" s="135"/>
      <c r="EQ119" s="135"/>
      <c r="ER119" s="135"/>
      <c r="ES119" s="135"/>
      <c r="ET119" s="135"/>
      <c r="EU119" s="135"/>
      <c r="EV119" s="135"/>
      <c r="EW119" s="135"/>
      <c r="EX119" s="135"/>
      <c r="EY119" s="135"/>
      <c r="EZ119" s="135"/>
      <c r="FA119" s="135"/>
      <c r="FB119" s="135"/>
      <c r="FC119" s="135"/>
      <c r="FD119" s="135"/>
      <c r="FE119" s="135"/>
      <c r="FF119" s="135"/>
      <c r="FG119" s="135"/>
    </row>
    <row r="120" spans="1:163" s="57" customFormat="1" ht="11.25" outlineLevel="1">
      <c r="A120" s="765">
        <f t="shared" si="150"/>
        <v>5</v>
      </c>
      <c r="B120" s="715" t="str" cm="1">
        <f t="array" aca="1" ref="B120" ca="1">INDIRECT("'Definition of Typical Day'!"&amp;ADDRESS(B$16,$E120))</f>
        <v>Summer weekend</v>
      </c>
      <c r="C120" s="766">
        <f t="shared" si="151"/>
        <v>4</v>
      </c>
      <c r="D120" s="715">
        <f t="shared" si="151"/>
        <v>38</v>
      </c>
      <c r="E120" s="715">
        <f t="shared" si="79"/>
        <v>9</v>
      </c>
      <c r="F120" s="767" cm="1">
        <f t="array" aca="1" ref="F120" ca="1">INDIRECT("'Definition of Typical Day'!D"&amp;D120)</f>
        <v>4</v>
      </c>
      <c r="G120" s="767" cm="1">
        <f t="array" aca="1" ref="G120" ca="1">INDIRECT("'Definition of Typical Day'!"&amp;ADDRESS(13,E120))</f>
        <v>5</v>
      </c>
      <c r="H120" s="768" cm="1">
        <f t="array" aca="1" ref="H120" ca="1">INDIRECT("'Definition of Typical Day'!"&amp; ADDRESS($D120+28*(H$16-1),$E120))</f>
        <v>2</v>
      </c>
      <c r="I120" s="715" cm="1">
        <f t="array" aca="1" ref="I120" ca="1">INDIRECT("'Definition of Typical Day'!"&amp; ADDRESS($D120+29*(I$16-1),$E120))</f>
        <v>40</v>
      </c>
      <c r="J120" s="715">
        <f t="shared" ca="1" si="105"/>
        <v>37</v>
      </c>
      <c r="K120" s="785">
        <f t="shared" si="106"/>
        <v>28</v>
      </c>
      <c r="L120" s="786" cm="1">
        <f t="array" aca="1" ref="L120" ca="1">INDIRECT("'Definition of Typical Day'!"&amp; ADDRESS($D120+29*(L$16-1),$E120))</f>
        <v>6</v>
      </c>
      <c r="M120" s="768" cm="1">
        <f t="array" aca="1" ref="M120" ca="1">INDIRECT("'Definition of Typical Day'!"&amp; ADDRESS($D120+29*(M$16-1),$E120))</f>
        <v>60</v>
      </c>
      <c r="N120" s="715">
        <f t="shared" si="107"/>
        <v>3</v>
      </c>
      <c r="O120" s="715">
        <f t="shared" ca="1" si="108"/>
        <v>63</v>
      </c>
      <c r="P120" s="715" cm="1">
        <f t="array" aca="1" ref="P120" ca="1">INDIRECT("'Definition of Typical Day'!"&amp; ADDRESS($D120+29*(P$16-1),$E120))</f>
        <v>45</v>
      </c>
      <c r="Q120" s="787">
        <f t="shared" ca="1" si="109"/>
        <v>48</v>
      </c>
      <c r="R120" s="792">
        <f t="shared" ca="1" si="110"/>
        <v>63</v>
      </c>
      <c r="S120" s="769">
        <f t="shared" si="111"/>
        <v>3</v>
      </c>
      <c r="T120" s="769">
        <f t="shared" ca="1" si="112"/>
        <v>0.24</v>
      </c>
      <c r="U120" s="769">
        <f t="shared" ca="1" si="113"/>
        <v>0.70199999999999996</v>
      </c>
      <c r="V120" s="769">
        <f t="shared" ca="1" si="114"/>
        <v>0</v>
      </c>
      <c r="W120" s="769">
        <f t="shared" ca="1" si="115"/>
        <v>3.9420000000000002</v>
      </c>
      <c r="X120" s="794">
        <f t="shared" si="116"/>
        <v>3</v>
      </c>
      <c r="Y120" s="769">
        <f t="shared" ca="1" si="117"/>
        <v>2.1213203435596428</v>
      </c>
      <c r="Z120" s="769">
        <f t="shared" ca="1" si="118"/>
        <v>2.1213203435596428</v>
      </c>
      <c r="AA120" s="795">
        <f t="shared" ca="1" si="119"/>
        <v>2.1213203435596428</v>
      </c>
      <c r="AB120" s="769">
        <f t="shared" ca="1" si="120"/>
        <v>0</v>
      </c>
      <c r="AC120" s="769">
        <f t="shared" ca="1" si="121"/>
        <v>0</v>
      </c>
      <c r="AD120" s="769">
        <f t="shared" ca="1" si="122"/>
        <v>0</v>
      </c>
      <c r="AE120" s="794">
        <f t="shared" ca="1" si="123"/>
        <v>2.1213203435596428</v>
      </c>
      <c r="AF120" s="769">
        <f t="shared" ca="1" si="124"/>
        <v>2.1213203435596427E-2</v>
      </c>
      <c r="AG120" s="769">
        <f t="shared" ca="1" si="125"/>
        <v>2.1001071401240465</v>
      </c>
      <c r="AH120" s="799">
        <f t="shared" ca="1" si="126"/>
        <v>2.1001071401240465</v>
      </c>
      <c r="AI120" s="801">
        <f t="shared" ca="1" si="127"/>
        <v>1</v>
      </c>
      <c r="AJ120" s="794">
        <f t="shared" ca="1" si="128"/>
        <v>1.5831873289580085</v>
      </c>
      <c r="AK120" s="769">
        <f t="shared" ca="1" si="129"/>
        <v>0.53813301460163443</v>
      </c>
      <c r="AL120" s="769">
        <f t="shared" ca="1" si="130"/>
        <v>0</v>
      </c>
      <c r="AM120" s="804">
        <f t="shared" ca="1" si="80"/>
        <v>0.2110916438610678</v>
      </c>
      <c r="AN120" s="795">
        <f t="shared" ca="1" si="81"/>
        <v>5.5575022805598867E-2</v>
      </c>
      <c r="AO120" s="251"/>
      <c r="AP120" s="770">
        <f t="shared" si="131"/>
        <v>0</v>
      </c>
      <c r="AQ120" s="771">
        <f t="shared" ca="1" si="132"/>
        <v>0</v>
      </c>
      <c r="AR120" s="771">
        <f t="shared" ca="1" si="133"/>
        <v>3.166374657916017</v>
      </c>
      <c r="AS120" s="772">
        <f t="shared" ca="1" si="134"/>
        <v>3.166374657916017</v>
      </c>
      <c r="AT120" s="231"/>
      <c r="AU120" s="770">
        <f>'Main Results - IRR DC Operator'!$F$16</f>
        <v>2</v>
      </c>
      <c r="AV120" s="773">
        <f>'Main Results - IRR DC Operator'!$F$15</f>
        <v>1</v>
      </c>
      <c r="AW120" s="771">
        <f t="shared" ca="1" si="135"/>
        <v>4</v>
      </c>
      <c r="AX120" s="772">
        <f t="shared" si="136"/>
        <v>0</v>
      </c>
      <c r="AY120" s="231"/>
      <c r="AZ120" s="770" cm="1">
        <f t="array" aca="1" ref="AZ120" ca="1">INDIRECT("'Definition of Typical Day'!"&amp; ADDRESS($D120+29*(AZ$16-1),$E120))+$AZ$17</f>
        <v>81.67</v>
      </c>
      <c r="BA120" s="771" cm="1">
        <f t="array" aca="1" ref="BA120" ca="1">INDIRECT("'Definition of Typical Day'!"&amp; ADDRESS($D120+29*(BA$16-1),$E120))+$BA$17</f>
        <v>81.67</v>
      </c>
      <c r="BB120" s="772" cm="1">
        <f t="array" aca="1" ref="BB120" ca="1">INDIRECT("'Definition of Typical Day'!"&amp;ADDRESS(BB$16,$E120))</f>
        <v>60</v>
      </c>
      <c r="BC120" s="776" cm="1">
        <f t="array" aca="1" ref="BC120" ca="1">INDIRECT("'Definition of Typical Day'!"&amp; ADDRESS($D120+29*(BC$16-1),$E120))</f>
        <v>80.67</v>
      </c>
      <c r="BD120" s="777" cm="1">
        <f t="array" aca="1" ref="BD120" ca="1">INDIRECT("'Definition of Typical Day'!"&amp; ADDRESS($D120+29*(BD$16-1),$E120))</f>
        <v>1</v>
      </c>
      <c r="BE120" s="776">
        <f t="shared" si="137"/>
        <v>0</v>
      </c>
      <c r="BF120" s="771">
        <f t="shared" ca="1" si="138"/>
        <v>43.949323302515488</v>
      </c>
      <c r="BG120" s="771">
        <f t="shared" ca="1" si="139"/>
        <v>2.5455844122715714</v>
      </c>
      <c r="BH120" s="771">
        <f t="shared" ca="1" si="140"/>
        <v>0</v>
      </c>
      <c r="BI120" s="776">
        <f t="shared" ca="1" si="141"/>
        <v>17.028762910272338</v>
      </c>
      <c r="BJ120" s="776">
        <f t="shared" ca="1" si="142"/>
        <v>4.4832370897276608</v>
      </c>
      <c r="BK120" s="776">
        <f t="shared" ca="1" si="143"/>
        <v>0</v>
      </c>
      <c r="BL120" s="776">
        <f t="shared" ca="1" si="144"/>
        <v>0</v>
      </c>
      <c r="BM120" s="135"/>
      <c r="BN120" s="776">
        <f t="shared" ca="1" si="145"/>
        <v>50.494907714787061</v>
      </c>
      <c r="BO120" s="778">
        <f t="shared" ca="1" si="82"/>
        <v>24.043967448158142</v>
      </c>
      <c r="BP120" s="770">
        <f t="shared" ca="1" si="83"/>
        <v>46.494907714787061</v>
      </c>
      <c r="BQ120" s="771">
        <f t="shared" ca="1" si="84"/>
        <v>0</v>
      </c>
      <c r="BR120" s="771">
        <f t="shared" ca="1" si="85"/>
        <v>0</v>
      </c>
      <c r="BS120" s="776">
        <f t="shared" ca="1" si="146"/>
        <v>50.494907714787061</v>
      </c>
      <c r="BT120" s="776">
        <f t="shared" ca="1" si="86"/>
        <v>46.494907714787061</v>
      </c>
      <c r="BU120" s="783">
        <f t="shared" ca="1" si="87"/>
        <v>22.139302717689326</v>
      </c>
      <c r="BV120" s="783">
        <f t="shared" ca="1" si="88"/>
        <v>22.139302717689326</v>
      </c>
      <c r="BW120" s="1019">
        <f t="shared" ca="1" si="147"/>
        <v>22.139302717689326</v>
      </c>
      <c r="BX120" s="771" cm="1">
        <f t="array" aca="1" ref="BX120" ca="1">INDIRECT("'Definition of Typical Day'!"&amp; ADDRESS($D120+29*(BX$16-1),$E120))</f>
        <v>55</v>
      </c>
      <c r="BY120" s="771">
        <f t="shared" ca="1" si="148"/>
        <v>1</v>
      </c>
      <c r="BZ120" s="781">
        <f t="shared" ca="1" si="89"/>
        <v>1</v>
      </c>
      <c r="CA120" s="781">
        <f t="shared" ca="1" si="90"/>
        <v>0.70710678118654757</v>
      </c>
      <c r="CB120" s="776">
        <f t="shared" ca="1" si="91"/>
        <v>115.50589270682256</v>
      </c>
      <c r="CC120" s="782">
        <f t="shared" si="92"/>
        <v>5</v>
      </c>
      <c r="CD120" s="782">
        <f t="shared" si="93"/>
        <v>4</v>
      </c>
      <c r="CE120" s="784" t="str" cm="1">
        <f t="array" aca="1" ref="CE120" ca="1">INDIRECT("'Definition of Typical Day'!"&amp;ADDRESS(CE$16,$E120))</f>
        <v>Summer weekend</v>
      </c>
      <c r="CF120" s="232"/>
      <c r="CG120" s="232"/>
      <c r="CH120" s="776">
        <f t="shared" ca="1" si="94"/>
        <v>2</v>
      </c>
      <c r="CI120" s="806">
        <f t="shared" ca="1" si="95"/>
        <v>6</v>
      </c>
      <c r="CJ120" s="770">
        <f t="shared" ca="1" si="96"/>
        <v>2.1001071401240465</v>
      </c>
      <c r="CK120" s="771">
        <f t="shared" ca="1" si="97"/>
        <v>1.5831873289580085</v>
      </c>
      <c r="CL120" s="771">
        <f t="shared" ca="1" si="98"/>
        <v>0.53813301460163443</v>
      </c>
      <c r="CM120" s="772">
        <f t="shared" ca="1" si="99"/>
        <v>0</v>
      </c>
      <c r="CN120" s="135"/>
      <c r="CO120" s="770">
        <f t="shared" ca="1" si="149"/>
        <v>1.05</v>
      </c>
      <c r="CP120" s="771">
        <f t="shared" ca="1" si="100"/>
        <v>0.98</v>
      </c>
      <c r="CQ120" s="771">
        <f t="shared" ca="1" si="101"/>
        <v>0.96</v>
      </c>
      <c r="CR120" s="771">
        <f t="shared" ca="1" si="102"/>
        <v>0.95</v>
      </c>
      <c r="CS120" s="771">
        <f t="shared" ca="1" si="103"/>
        <v>1.02</v>
      </c>
      <c r="CT120" s="772">
        <f t="shared" ca="1" si="104"/>
        <v>0.02</v>
      </c>
      <c r="CU120" s="135"/>
      <c r="CV120" s="135"/>
      <c r="CW120" s="135"/>
      <c r="CX120" s="135"/>
      <c r="CY120" s="135"/>
      <c r="CZ120" s="135"/>
      <c r="DA120" s="135"/>
      <c r="DB120" s="135"/>
      <c r="DC120" s="135"/>
      <c r="DD120" s="135"/>
      <c r="DE120" s="135"/>
      <c r="DF120" s="135"/>
      <c r="DG120" s="135"/>
      <c r="DH120" s="135"/>
      <c r="DI120" s="135"/>
      <c r="DJ120" s="135"/>
      <c r="DK120" s="135"/>
      <c r="DL120" s="135"/>
      <c r="DX120" s="135"/>
      <c r="DY120" s="135"/>
      <c r="DZ120" s="135"/>
      <c r="EA120" s="135"/>
      <c r="EB120" s="135"/>
      <c r="EC120" s="135"/>
      <c r="ED120" s="135"/>
      <c r="EE120" s="135"/>
      <c r="EF120" s="135"/>
      <c r="EG120" s="135"/>
      <c r="EH120" s="135"/>
      <c r="EI120" s="135"/>
      <c r="EJ120" s="135"/>
      <c r="EK120" s="135"/>
      <c r="EL120" s="135"/>
      <c r="EM120" s="135"/>
      <c r="EN120" s="135"/>
      <c r="EO120" s="135"/>
      <c r="EP120" s="135"/>
      <c r="EQ120" s="135"/>
      <c r="ER120" s="135"/>
      <c r="ES120" s="135"/>
      <c r="ET120" s="135"/>
      <c r="EU120" s="135"/>
      <c r="EV120" s="135"/>
      <c r="EW120" s="135"/>
      <c r="EX120" s="135"/>
      <c r="EY120" s="135"/>
      <c r="EZ120" s="135"/>
      <c r="FA120" s="135"/>
      <c r="FB120" s="135"/>
      <c r="FC120" s="135"/>
      <c r="FD120" s="135"/>
      <c r="FE120" s="135"/>
      <c r="FF120" s="135"/>
      <c r="FG120" s="135"/>
    </row>
    <row r="121" spans="1:163" s="57" customFormat="1" ht="11.25" outlineLevel="1">
      <c r="A121" s="765">
        <f t="shared" si="150"/>
        <v>5</v>
      </c>
      <c r="B121" s="715" t="str" cm="1">
        <f t="array" aca="1" ref="B121" ca="1">INDIRECT("'Definition of Typical Day'!"&amp;ADDRESS(B$16,$E121))</f>
        <v>Summer weekend</v>
      </c>
      <c r="C121" s="766">
        <f t="shared" si="151"/>
        <v>5</v>
      </c>
      <c r="D121" s="715">
        <f t="shared" si="151"/>
        <v>39</v>
      </c>
      <c r="E121" s="715">
        <f t="shared" si="79"/>
        <v>9</v>
      </c>
      <c r="F121" s="767" cm="1">
        <f t="array" aca="1" ref="F121" ca="1">INDIRECT("'Definition of Typical Day'!D"&amp;D121)</f>
        <v>5</v>
      </c>
      <c r="G121" s="767" cm="1">
        <f t="array" aca="1" ref="G121" ca="1">INDIRECT("'Definition of Typical Day'!"&amp;ADDRESS(13,E121))</f>
        <v>5</v>
      </c>
      <c r="H121" s="768" cm="1">
        <f t="array" aca="1" ref="H121" ca="1">INDIRECT("'Definition of Typical Day'!"&amp; ADDRESS($D121+28*(H$16-1),$E121))</f>
        <v>2</v>
      </c>
      <c r="I121" s="715" cm="1">
        <f t="array" aca="1" ref="I121" ca="1">INDIRECT("'Definition of Typical Day'!"&amp; ADDRESS($D121+29*(I$16-1),$E121))</f>
        <v>40</v>
      </c>
      <c r="J121" s="715">
        <f t="shared" ca="1" si="105"/>
        <v>37</v>
      </c>
      <c r="K121" s="785">
        <f t="shared" si="106"/>
        <v>28</v>
      </c>
      <c r="L121" s="786" cm="1">
        <f t="array" aca="1" ref="L121" ca="1">INDIRECT("'Definition of Typical Day'!"&amp; ADDRESS($D121+29*(L$16-1),$E121))</f>
        <v>6</v>
      </c>
      <c r="M121" s="768" cm="1">
        <f t="array" aca="1" ref="M121" ca="1">INDIRECT("'Definition of Typical Day'!"&amp; ADDRESS($D121+29*(M$16-1),$E121))</f>
        <v>60</v>
      </c>
      <c r="N121" s="715">
        <f t="shared" si="107"/>
        <v>3</v>
      </c>
      <c r="O121" s="715">
        <f t="shared" ca="1" si="108"/>
        <v>63</v>
      </c>
      <c r="P121" s="715" cm="1">
        <f t="array" aca="1" ref="P121" ca="1">INDIRECT("'Definition of Typical Day'!"&amp; ADDRESS($D121+29*(P$16-1),$E121))</f>
        <v>45</v>
      </c>
      <c r="Q121" s="787">
        <f t="shared" ca="1" si="109"/>
        <v>48</v>
      </c>
      <c r="R121" s="792">
        <f t="shared" ca="1" si="110"/>
        <v>63</v>
      </c>
      <c r="S121" s="769">
        <f t="shared" si="111"/>
        <v>3</v>
      </c>
      <c r="T121" s="769">
        <f t="shared" ca="1" si="112"/>
        <v>0.24</v>
      </c>
      <c r="U121" s="769">
        <f t="shared" ca="1" si="113"/>
        <v>0.70199999999999996</v>
      </c>
      <c r="V121" s="769">
        <f t="shared" ca="1" si="114"/>
        <v>0</v>
      </c>
      <c r="W121" s="769">
        <f t="shared" ca="1" si="115"/>
        <v>3.9420000000000002</v>
      </c>
      <c r="X121" s="794">
        <f t="shared" si="116"/>
        <v>3</v>
      </c>
      <c r="Y121" s="769">
        <f t="shared" ca="1" si="117"/>
        <v>2.1213203435596428</v>
      </c>
      <c r="Z121" s="769">
        <f t="shared" ca="1" si="118"/>
        <v>2.1213203435596428</v>
      </c>
      <c r="AA121" s="795">
        <f t="shared" ca="1" si="119"/>
        <v>2.1213203435596428</v>
      </c>
      <c r="AB121" s="769">
        <f t="shared" ca="1" si="120"/>
        <v>0</v>
      </c>
      <c r="AC121" s="769">
        <f t="shared" ca="1" si="121"/>
        <v>0</v>
      </c>
      <c r="AD121" s="769">
        <f t="shared" ca="1" si="122"/>
        <v>0</v>
      </c>
      <c r="AE121" s="794">
        <f t="shared" ca="1" si="123"/>
        <v>2.1213203435596428</v>
      </c>
      <c r="AF121" s="769">
        <f t="shared" ca="1" si="124"/>
        <v>2.1213203435596427E-2</v>
      </c>
      <c r="AG121" s="769">
        <f t="shared" ca="1" si="125"/>
        <v>2.1001071401240465</v>
      </c>
      <c r="AH121" s="799">
        <f t="shared" ca="1" si="126"/>
        <v>2.1001071401240465</v>
      </c>
      <c r="AI121" s="801">
        <f t="shared" ca="1" si="127"/>
        <v>1</v>
      </c>
      <c r="AJ121" s="794">
        <f t="shared" ca="1" si="128"/>
        <v>1.5831873289580085</v>
      </c>
      <c r="AK121" s="769">
        <f t="shared" ca="1" si="129"/>
        <v>0.53813301460163443</v>
      </c>
      <c r="AL121" s="769">
        <f t="shared" ca="1" si="130"/>
        <v>0</v>
      </c>
      <c r="AM121" s="804">
        <f t="shared" ca="1" si="80"/>
        <v>0.2110916438610678</v>
      </c>
      <c r="AN121" s="795">
        <f t="shared" ca="1" si="81"/>
        <v>5.5575022805598867E-2</v>
      </c>
      <c r="AO121" s="251"/>
      <c r="AP121" s="770">
        <f t="shared" si="131"/>
        <v>0</v>
      </c>
      <c r="AQ121" s="771">
        <f t="shared" ca="1" si="132"/>
        <v>0</v>
      </c>
      <c r="AR121" s="771">
        <f t="shared" ca="1" si="133"/>
        <v>3.166374657916017</v>
      </c>
      <c r="AS121" s="772">
        <f t="shared" ca="1" si="134"/>
        <v>3.166374657916017</v>
      </c>
      <c r="AT121" s="231"/>
      <c r="AU121" s="770">
        <f>'Main Results - IRR DC Operator'!$F$16</f>
        <v>2</v>
      </c>
      <c r="AV121" s="773">
        <f>'Main Results - IRR DC Operator'!$F$15</f>
        <v>1</v>
      </c>
      <c r="AW121" s="771">
        <f t="shared" ca="1" si="135"/>
        <v>4</v>
      </c>
      <c r="AX121" s="772">
        <f t="shared" si="136"/>
        <v>0</v>
      </c>
      <c r="AY121" s="231"/>
      <c r="AZ121" s="770" cm="1">
        <f t="array" aca="1" ref="AZ121" ca="1">INDIRECT("'Definition of Typical Day'!"&amp; ADDRESS($D121+29*(AZ$16-1),$E121))+$AZ$17</f>
        <v>77.94</v>
      </c>
      <c r="BA121" s="771" cm="1">
        <f t="array" aca="1" ref="BA121" ca="1">INDIRECT("'Definition of Typical Day'!"&amp; ADDRESS($D121+29*(BA$16-1),$E121))+$BA$17</f>
        <v>77.94</v>
      </c>
      <c r="BB121" s="772" cm="1">
        <f t="array" aca="1" ref="BB121" ca="1">INDIRECT("'Definition of Typical Day'!"&amp;ADDRESS(BB$16,$E121))</f>
        <v>60</v>
      </c>
      <c r="BC121" s="776" cm="1">
        <f t="array" aca="1" ref="BC121" ca="1">INDIRECT("'Definition of Typical Day'!"&amp; ADDRESS($D121+29*(BC$16-1),$E121))</f>
        <v>76.94</v>
      </c>
      <c r="BD121" s="777" cm="1">
        <f t="array" aca="1" ref="BD121" ca="1">INDIRECT("'Definition of Typical Day'!"&amp; ADDRESS($D121+29*(BD$16-1),$E121))</f>
        <v>1</v>
      </c>
      <c r="BE121" s="776">
        <f t="shared" si="137"/>
        <v>0</v>
      </c>
      <c r="BF121" s="771">
        <f t="shared" ca="1" si="138"/>
        <v>41.942087158051386</v>
      </c>
      <c r="BG121" s="771">
        <f t="shared" ca="1" si="139"/>
        <v>2.5455844122715714</v>
      </c>
      <c r="BH121" s="771">
        <f t="shared" ca="1" si="140"/>
        <v>0</v>
      </c>
      <c r="BI121" s="776">
        <f t="shared" ca="1" si="141"/>
        <v>16.241391078670556</v>
      </c>
      <c r="BJ121" s="776">
        <f t="shared" ca="1" si="142"/>
        <v>4.2759422546627768</v>
      </c>
      <c r="BK121" s="776">
        <f t="shared" ca="1" si="143"/>
        <v>0</v>
      </c>
      <c r="BL121" s="776">
        <f t="shared" ca="1" si="144"/>
        <v>0</v>
      </c>
      <c r="BM121" s="135"/>
      <c r="BN121" s="776">
        <f t="shared" ca="1" si="145"/>
        <v>48.487671570322959</v>
      </c>
      <c r="BO121" s="778">
        <f t="shared" ca="1" si="82"/>
        <v>23.088189475637396</v>
      </c>
      <c r="BP121" s="770">
        <f t="shared" ca="1" si="83"/>
        <v>44.487671570322959</v>
      </c>
      <c r="BQ121" s="771">
        <f t="shared" ca="1" si="84"/>
        <v>0</v>
      </c>
      <c r="BR121" s="771">
        <f t="shared" ca="1" si="85"/>
        <v>0</v>
      </c>
      <c r="BS121" s="776">
        <f t="shared" ca="1" si="146"/>
        <v>48.487671570322959</v>
      </c>
      <c r="BT121" s="776">
        <f t="shared" ca="1" si="86"/>
        <v>44.487671570322959</v>
      </c>
      <c r="BU121" s="783">
        <f t="shared" ca="1" si="87"/>
        <v>21.18352474516858</v>
      </c>
      <c r="BV121" s="783">
        <f t="shared" ca="1" si="88"/>
        <v>21.18352474516858</v>
      </c>
      <c r="BW121" s="1019">
        <f t="shared" ca="1" si="147"/>
        <v>21.18352474516858</v>
      </c>
      <c r="BX121" s="771" cm="1">
        <f t="array" aca="1" ref="BX121" ca="1">INDIRECT("'Definition of Typical Day'!"&amp; ADDRESS($D121+29*(BX$16-1),$E121))</f>
        <v>55</v>
      </c>
      <c r="BY121" s="771">
        <f t="shared" ca="1" si="148"/>
        <v>1</v>
      </c>
      <c r="BZ121" s="781">
        <f t="shared" ca="1" si="89"/>
        <v>1</v>
      </c>
      <c r="CA121" s="781">
        <f t="shared" ca="1" si="90"/>
        <v>0.70710678118654757</v>
      </c>
      <c r="CB121" s="776">
        <f t="shared" ca="1" si="91"/>
        <v>115.50589270682256</v>
      </c>
      <c r="CC121" s="782">
        <f t="shared" si="92"/>
        <v>5</v>
      </c>
      <c r="CD121" s="782">
        <f t="shared" si="93"/>
        <v>5</v>
      </c>
      <c r="CE121" s="784" t="str" cm="1">
        <f t="array" aca="1" ref="CE121" ca="1">INDIRECT("'Definition of Typical Day'!"&amp;ADDRESS(CE$16,$E121))</f>
        <v>Summer weekend</v>
      </c>
      <c r="CF121" s="232"/>
      <c r="CG121" s="232"/>
      <c r="CH121" s="776">
        <f t="shared" ca="1" si="94"/>
        <v>2</v>
      </c>
      <c r="CI121" s="806">
        <f t="shared" ca="1" si="95"/>
        <v>6</v>
      </c>
      <c r="CJ121" s="770">
        <f t="shared" ca="1" si="96"/>
        <v>2.1001071401240465</v>
      </c>
      <c r="CK121" s="771">
        <f t="shared" ca="1" si="97"/>
        <v>1.5831873289580085</v>
      </c>
      <c r="CL121" s="771">
        <f t="shared" ca="1" si="98"/>
        <v>0.53813301460163443</v>
      </c>
      <c r="CM121" s="772">
        <f t="shared" ca="1" si="99"/>
        <v>0</v>
      </c>
      <c r="CN121" s="135"/>
      <c r="CO121" s="770">
        <f t="shared" ca="1" si="149"/>
        <v>1.05</v>
      </c>
      <c r="CP121" s="771">
        <f t="shared" ca="1" si="100"/>
        <v>0.98</v>
      </c>
      <c r="CQ121" s="771">
        <f t="shared" ca="1" si="101"/>
        <v>0.96</v>
      </c>
      <c r="CR121" s="771">
        <f t="shared" ca="1" si="102"/>
        <v>0.95</v>
      </c>
      <c r="CS121" s="771">
        <f t="shared" ca="1" si="103"/>
        <v>1.02</v>
      </c>
      <c r="CT121" s="772">
        <f t="shared" ca="1" si="104"/>
        <v>0.02</v>
      </c>
      <c r="CU121" s="135"/>
      <c r="CV121" s="135"/>
      <c r="CW121" s="135"/>
      <c r="CX121" s="135"/>
      <c r="CY121" s="135"/>
      <c r="CZ121" s="135"/>
      <c r="DA121" s="135"/>
      <c r="DB121" s="135"/>
      <c r="DC121" s="135"/>
      <c r="DD121" s="135"/>
      <c r="DE121" s="135"/>
      <c r="DF121" s="135"/>
      <c r="DG121" s="135"/>
      <c r="DH121" s="135"/>
      <c r="DI121" s="135"/>
      <c r="DJ121" s="135"/>
      <c r="DK121" s="135"/>
      <c r="DL121" s="135"/>
      <c r="DX121" s="135"/>
      <c r="DY121" s="135"/>
      <c r="DZ121" s="135"/>
      <c r="EA121" s="135"/>
      <c r="EB121" s="135"/>
      <c r="EC121" s="135"/>
      <c r="ED121" s="135"/>
      <c r="EE121" s="135"/>
      <c r="EF121" s="135"/>
      <c r="EG121" s="135"/>
      <c r="EH121" s="135"/>
      <c r="EI121" s="135"/>
      <c r="EJ121" s="135"/>
      <c r="EK121" s="135"/>
      <c r="EL121" s="135"/>
      <c r="EM121" s="135"/>
      <c r="EN121" s="135"/>
      <c r="EO121" s="135"/>
      <c r="EP121" s="135"/>
      <c r="EQ121" s="135"/>
      <c r="ER121" s="135"/>
      <c r="ES121" s="135"/>
      <c r="ET121" s="135"/>
      <c r="EU121" s="135"/>
      <c r="EV121" s="135"/>
      <c r="EW121" s="135"/>
      <c r="EX121" s="135"/>
      <c r="EY121" s="135"/>
      <c r="EZ121" s="135"/>
      <c r="FA121" s="135"/>
      <c r="FB121" s="135"/>
      <c r="FC121" s="135"/>
      <c r="FD121" s="135"/>
      <c r="FE121" s="135"/>
      <c r="FF121" s="135"/>
      <c r="FG121" s="135"/>
    </row>
    <row r="122" spans="1:163" s="57" customFormat="1" ht="11.25" outlineLevel="1">
      <c r="A122" s="765">
        <f t="shared" si="150"/>
        <v>5</v>
      </c>
      <c r="B122" s="715" t="str" cm="1">
        <f t="array" aca="1" ref="B122" ca="1">INDIRECT("'Definition of Typical Day'!"&amp;ADDRESS(B$16,$E122))</f>
        <v>Summer weekend</v>
      </c>
      <c r="C122" s="766">
        <f t="shared" si="151"/>
        <v>6</v>
      </c>
      <c r="D122" s="715">
        <f t="shared" si="151"/>
        <v>40</v>
      </c>
      <c r="E122" s="715">
        <f t="shared" si="79"/>
        <v>9</v>
      </c>
      <c r="F122" s="767" cm="1">
        <f t="array" aca="1" ref="F122" ca="1">INDIRECT("'Definition of Typical Day'!D"&amp;D122)</f>
        <v>6</v>
      </c>
      <c r="G122" s="767" cm="1">
        <f t="array" aca="1" ref="G122" ca="1">INDIRECT("'Definition of Typical Day'!"&amp;ADDRESS(13,E122))</f>
        <v>5</v>
      </c>
      <c r="H122" s="768" cm="1">
        <f t="array" aca="1" ref="H122" ca="1">INDIRECT("'Definition of Typical Day'!"&amp; ADDRESS($D122+28*(H$16-1),$E122))</f>
        <v>2</v>
      </c>
      <c r="I122" s="715" cm="1">
        <f t="array" aca="1" ref="I122" ca="1">INDIRECT("'Definition of Typical Day'!"&amp; ADDRESS($D122+29*(I$16-1),$E122))</f>
        <v>40</v>
      </c>
      <c r="J122" s="715">
        <f t="shared" ca="1" si="105"/>
        <v>37</v>
      </c>
      <c r="K122" s="785">
        <f t="shared" si="106"/>
        <v>28</v>
      </c>
      <c r="L122" s="786" cm="1">
        <f t="array" aca="1" ref="L122" ca="1">INDIRECT("'Definition of Typical Day'!"&amp; ADDRESS($D122+29*(L$16-1),$E122))</f>
        <v>6</v>
      </c>
      <c r="M122" s="768" cm="1">
        <f t="array" aca="1" ref="M122" ca="1">INDIRECT("'Definition of Typical Day'!"&amp; ADDRESS($D122+29*(M$16-1),$E122))</f>
        <v>60</v>
      </c>
      <c r="N122" s="715">
        <f t="shared" si="107"/>
        <v>3</v>
      </c>
      <c r="O122" s="715">
        <f t="shared" ca="1" si="108"/>
        <v>63</v>
      </c>
      <c r="P122" s="715" cm="1">
        <f t="array" aca="1" ref="P122" ca="1">INDIRECT("'Definition of Typical Day'!"&amp; ADDRESS($D122+29*(P$16-1),$E122))</f>
        <v>45</v>
      </c>
      <c r="Q122" s="787">
        <f t="shared" ca="1" si="109"/>
        <v>48</v>
      </c>
      <c r="R122" s="792">
        <f t="shared" ca="1" si="110"/>
        <v>63</v>
      </c>
      <c r="S122" s="769">
        <f t="shared" si="111"/>
        <v>3</v>
      </c>
      <c r="T122" s="769">
        <f t="shared" ca="1" si="112"/>
        <v>0.24</v>
      </c>
      <c r="U122" s="769">
        <f t="shared" ca="1" si="113"/>
        <v>0.70199999999999996</v>
      </c>
      <c r="V122" s="769">
        <f t="shared" ca="1" si="114"/>
        <v>0</v>
      </c>
      <c r="W122" s="769">
        <f t="shared" ca="1" si="115"/>
        <v>3.9420000000000002</v>
      </c>
      <c r="X122" s="794">
        <f t="shared" si="116"/>
        <v>3</v>
      </c>
      <c r="Y122" s="769">
        <f t="shared" ca="1" si="117"/>
        <v>2.1213203435596428</v>
      </c>
      <c r="Z122" s="769">
        <f t="shared" ca="1" si="118"/>
        <v>2.1213203435596428</v>
      </c>
      <c r="AA122" s="795">
        <f t="shared" ca="1" si="119"/>
        <v>2.1213203435596428</v>
      </c>
      <c r="AB122" s="769">
        <f t="shared" ca="1" si="120"/>
        <v>0</v>
      </c>
      <c r="AC122" s="769">
        <f t="shared" ca="1" si="121"/>
        <v>0</v>
      </c>
      <c r="AD122" s="769">
        <f t="shared" ca="1" si="122"/>
        <v>0</v>
      </c>
      <c r="AE122" s="794">
        <f t="shared" ca="1" si="123"/>
        <v>2.1213203435596428</v>
      </c>
      <c r="AF122" s="769">
        <f t="shared" ca="1" si="124"/>
        <v>2.1213203435596427E-2</v>
      </c>
      <c r="AG122" s="769">
        <f t="shared" ca="1" si="125"/>
        <v>2.1001071401240465</v>
      </c>
      <c r="AH122" s="799">
        <f t="shared" ca="1" si="126"/>
        <v>2.1001071401240465</v>
      </c>
      <c r="AI122" s="801">
        <f t="shared" ca="1" si="127"/>
        <v>1</v>
      </c>
      <c r="AJ122" s="794">
        <f t="shared" ca="1" si="128"/>
        <v>1.5831873289580085</v>
      </c>
      <c r="AK122" s="769">
        <f t="shared" ca="1" si="129"/>
        <v>0.53813301460163443</v>
      </c>
      <c r="AL122" s="769">
        <f t="shared" ca="1" si="130"/>
        <v>0</v>
      </c>
      <c r="AM122" s="804">
        <f t="shared" ca="1" si="80"/>
        <v>0.2110916438610678</v>
      </c>
      <c r="AN122" s="795">
        <f t="shared" ca="1" si="81"/>
        <v>5.5575022805598867E-2</v>
      </c>
      <c r="AO122" s="251"/>
      <c r="AP122" s="770">
        <f t="shared" si="131"/>
        <v>0</v>
      </c>
      <c r="AQ122" s="771">
        <f t="shared" ca="1" si="132"/>
        <v>0</v>
      </c>
      <c r="AR122" s="771">
        <f t="shared" ca="1" si="133"/>
        <v>3.166374657916017</v>
      </c>
      <c r="AS122" s="772">
        <f t="shared" ca="1" si="134"/>
        <v>3.166374657916017</v>
      </c>
      <c r="AT122" s="231"/>
      <c r="AU122" s="770">
        <f>'Main Results - IRR DC Operator'!$F$16</f>
        <v>2</v>
      </c>
      <c r="AV122" s="773">
        <f>'Main Results - IRR DC Operator'!$F$15</f>
        <v>1</v>
      </c>
      <c r="AW122" s="771">
        <f t="shared" ca="1" si="135"/>
        <v>4</v>
      </c>
      <c r="AX122" s="772">
        <f t="shared" si="136"/>
        <v>0</v>
      </c>
      <c r="AY122" s="231"/>
      <c r="AZ122" s="770" cm="1">
        <f t="array" aca="1" ref="AZ122" ca="1">INDIRECT("'Definition of Typical Day'!"&amp; ADDRESS($D122+29*(AZ$16-1),$E122))+$AZ$17</f>
        <v>73.09</v>
      </c>
      <c r="BA122" s="771" cm="1">
        <f t="array" aca="1" ref="BA122" ca="1">INDIRECT("'Definition of Typical Day'!"&amp; ADDRESS($D122+29*(BA$16-1),$E122))+$BA$17</f>
        <v>73.09</v>
      </c>
      <c r="BB122" s="772" cm="1">
        <f t="array" aca="1" ref="BB122" ca="1">INDIRECT("'Definition of Typical Day'!"&amp;ADDRESS(BB$16,$E122))</f>
        <v>60</v>
      </c>
      <c r="BC122" s="776" cm="1">
        <f t="array" aca="1" ref="BC122" ca="1">INDIRECT("'Definition of Typical Day'!"&amp; ADDRESS($D122+29*(BC$16-1),$E122))</f>
        <v>72.09</v>
      </c>
      <c r="BD122" s="777" cm="1">
        <f t="array" aca="1" ref="BD122" ca="1">INDIRECT("'Definition of Typical Day'!"&amp; ADDRESS($D122+29*(BD$16-1),$E122))</f>
        <v>1</v>
      </c>
      <c r="BE122" s="776">
        <f t="shared" si="137"/>
        <v>0</v>
      </c>
      <c r="BF122" s="771">
        <f t="shared" ca="1" si="138"/>
        <v>39.33214203723346</v>
      </c>
      <c r="BG122" s="771">
        <f t="shared" ca="1" si="139"/>
        <v>2.5455844122715714</v>
      </c>
      <c r="BH122" s="771">
        <f t="shared" ca="1" si="140"/>
        <v>0</v>
      </c>
      <c r="BI122" s="776">
        <f t="shared" ca="1" si="141"/>
        <v>15.217596605944378</v>
      </c>
      <c r="BJ122" s="776">
        <f t="shared" ca="1" si="142"/>
        <v>4.0064033940556225</v>
      </c>
      <c r="BK122" s="776">
        <f t="shared" ca="1" si="143"/>
        <v>0</v>
      </c>
      <c r="BL122" s="776">
        <f t="shared" ca="1" si="144"/>
        <v>0</v>
      </c>
      <c r="BM122" s="135"/>
      <c r="BN122" s="776">
        <f t="shared" ca="1" si="145"/>
        <v>45.877726449505033</v>
      </c>
      <c r="BO122" s="778">
        <f t="shared" ca="1" si="82"/>
        <v>21.845421870617127</v>
      </c>
      <c r="BP122" s="770">
        <f t="shared" ca="1" si="83"/>
        <v>41.877726449505033</v>
      </c>
      <c r="BQ122" s="771">
        <f t="shared" ca="1" si="84"/>
        <v>0</v>
      </c>
      <c r="BR122" s="771">
        <f t="shared" ca="1" si="85"/>
        <v>0</v>
      </c>
      <c r="BS122" s="776">
        <f t="shared" ca="1" si="146"/>
        <v>45.877726449505033</v>
      </c>
      <c r="BT122" s="776">
        <f t="shared" ca="1" si="86"/>
        <v>41.877726449505033</v>
      </c>
      <c r="BU122" s="783">
        <f t="shared" ca="1" si="87"/>
        <v>19.940757140148314</v>
      </c>
      <c r="BV122" s="783">
        <f t="shared" ca="1" si="88"/>
        <v>19.940757140148314</v>
      </c>
      <c r="BW122" s="1019">
        <f t="shared" ca="1" si="147"/>
        <v>19.940757140148314</v>
      </c>
      <c r="BX122" s="771" cm="1">
        <f t="array" aca="1" ref="BX122" ca="1">INDIRECT("'Definition of Typical Day'!"&amp; ADDRESS($D122+29*(BX$16-1),$E122))</f>
        <v>55</v>
      </c>
      <c r="BY122" s="771">
        <f t="shared" ca="1" si="148"/>
        <v>1</v>
      </c>
      <c r="BZ122" s="781">
        <f t="shared" ca="1" si="89"/>
        <v>1</v>
      </c>
      <c r="CA122" s="781">
        <f t="shared" ca="1" si="90"/>
        <v>0.70710678118654757</v>
      </c>
      <c r="CB122" s="776">
        <f t="shared" ca="1" si="91"/>
        <v>115.50589270682256</v>
      </c>
      <c r="CC122" s="782">
        <f t="shared" si="92"/>
        <v>5</v>
      </c>
      <c r="CD122" s="782">
        <f t="shared" si="93"/>
        <v>6</v>
      </c>
      <c r="CE122" s="784" t="str" cm="1">
        <f t="array" aca="1" ref="CE122" ca="1">INDIRECT("'Definition of Typical Day'!"&amp;ADDRESS(CE$16,$E122))</f>
        <v>Summer weekend</v>
      </c>
      <c r="CF122" s="232"/>
      <c r="CG122" s="232"/>
      <c r="CH122" s="776">
        <f t="shared" ca="1" si="94"/>
        <v>2</v>
      </c>
      <c r="CI122" s="806">
        <f t="shared" ca="1" si="95"/>
        <v>6</v>
      </c>
      <c r="CJ122" s="770">
        <f t="shared" ca="1" si="96"/>
        <v>2.1001071401240465</v>
      </c>
      <c r="CK122" s="771">
        <f t="shared" ca="1" si="97"/>
        <v>1.5831873289580085</v>
      </c>
      <c r="CL122" s="771">
        <f t="shared" ca="1" si="98"/>
        <v>0.53813301460163443</v>
      </c>
      <c r="CM122" s="772">
        <f t="shared" ca="1" si="99"/>
        <v>0</v>
      </c>
      <c r="CN122" s="135"/>
      <c r="CO122" s="770">
        <f t="shared" ca="1" si="149"/>
        <v>1.05</v>
      </c>
      <c r="CP122" s="771">
        <f t="shared" ca="1" si="100"/>
        <v>0.98</v>
      </c>
      <c r="CQ122" s="771">
        <f t="shared" ca="1" si="101"/>
        <v>0.96</v>
      </c>
      <c r="CR122" s="771">
        <f t="shared" ca="1" si="102"/>
        <v>0.95</v>
      </c>
      <c r="CS122" s="771">
        <f t="shared" ca="1" si="103"/>
        <v>1.02</v>
      </c>
      <c r="CT122" s="772">
        <f t="shared" ca="1" si="104"/>
        <v>0.02</v>
      </c>
      <c r="CU122" s="135"/>
      <c r="CV122" s="135"/>
      <c r="CW122" s="135"/>
      <c r="CX122" s="135"/>
      <c r="CY122" s="135"/>
      <c r="CZ122" s="135"/>
      <c r="DA122" s="135"/>
      <c r="DB122" s="135"/>
      <c r="DC122" s="135"/>
      <c r="DD122" s="135"/>
      <c r="DE122" s="135"/>
      <c r="DF122" s="135"/>
      <c r="DG122" s="135"/>
      <c r="DH122" s="135"/>
      <c r="DI122" s="135"/>
      <c r="DJ122" s="135"/>
      <c r="DK122" s="135"/>
      <c r="DL122" s="135"/>
      <c r="DX122" s="135"/>
      <c r="DY122" s="135"/>
      <c r="DZ122" s="135"/>
      <c r="EA122" s="135"/>
      <c r="EB122" s="135"/>
      <c r="EC122" s="135"/>
      <c r="ED122" s="135"/>
      <c r="EE122" s="135"/>
      <c r="EF122" s="135"/>
      <c r="EG122" s="135"/>
      <c r="EH122" s="135"/>
      <c r="EI122" s="135"/>
      <c r="EJ122" s="135"/>
      <c r="EK122" s="135"/>
      <c r="EL122" s="135"/>
      <c r="EM122" s="135"/>
      <c r="EN122" s="135"/>
      <c r="EO122" s="135"/>
      <c r="EP122" s="135"/>
      <c r="EQ122" s="135"/>
      <c r="ER122" s="135"/>
      <c r="ES122" s="135"/>
      <c r="ET122" s="135"/>
      <c r="EU122" s="135"/>
      <c r="EV122" s="135"/>
      <c r="EW122" s="135"/>
      <c r="EX122" s="135"/>
      <c r="EY122" s="135"/>
      <c r="EZ122" s="135"/>
      <c r="FA122" s="135"/>
      <c r="FB122" s="135"/>
      <c r="FC122" s="135"/>
      <c r="FD122" s="135"/>
      <c r="FE122" s="135"/>
      <c r="FF122" s="135"/>
      <c r="FG122" s="135"/>
    </row>
    <row r="123" spans="1:163" s="57" customFormat="1" ht="11.25" outlineLevel="1">
      <c r="A123" s="765">
        <f t="shared" si="150"/>
        <v>5</v>
      </c>
      <c r="B123" s="715" t="str" cm="1">
        <f t="array" aca="1" ref="B123" ca="1">INDIRECT("'Definition of Typical Day'!"&amp;ADDRESS(B$16,$E123))</f>
        <v>Summer weekend</v>
      </c>
      <c r="C123" s="766">
        <f t="shared" si="151"/>
        <v>7</v>
      </c>
      <c r="D123" s="715">
        <f t="shared" si="151"/>
        <v>41</v>
      </c>
      <c r="E123" s="715">
        <f t="shared" si="79"/>
        <v>9</v>
      </c>
      <c r="F123" s="767" cm="1">
        <f t="array" aca="1" ref="F123" ca="1">INDIRECT("'Definition of Typical Day'!D"&amp;D123)</f>
        <v>7</v>
      </c>
      <c r="G123" s="767" cm="1">
        <f t="array" aca="1" ref="G123" ca="1">INDIRECT("'Definition of Typical Day'!"&amp;ADDRESS(13,E123))</f>
        <v>5</v>
      </c>
      <c r="H123" s="768" cm="1">
        <f t="array" aca="1" ref="H123" ca="1">INDIRECT("'Definition of Typical Day'!"&amp; ADDRESS($D123+28*(H$16-1),$E123))</f>
        <v>2</v>
      </c>
      <c r="I123" s="715" cm="1">
        <f t="array" aca="1" ref="I123" ca="1">INDIRECT("'Definition of Typical Day'!"&amp; ADDRESS($D123+29*(I$16-1),$E123))</f>
        <v>40</v>
      </c>
      <c r="J123" s="715">
        <f t="shared" ca="1" si="105"/>
        <v>37</v>
      </c>
      <c r="K123" s="785">
        <f t="shared" si="106"/>
        <v>28</v>
      </c>
      <c r="L123" s="786" cm="1">
        <f t="array" aca="1" ref="L123" ca="1">INDIRECT("'Definition of Typical Day'!"&amp; ADDRESS($D123+29*(L$16-1),$E123))</f>
        <v>6</v>
      </c>
      <c r="M123" s="768" cm="1">
        <f t="array" aca="1" ref="M123" ca="1">INDIRECT("'Definition of Typical Day'!"&amp; ADDRESS($D123+29*(M$16-1),$E123))</f>
        <v>60</v>
      </c>
      <c r="N123" s="715">
        <f t="shared" si="107"/>
        <v>3</v>
      </c>
      <c r="O123" s="715">
        <f t="shared" ca="1" si="108"/>
        <v>63</v>
      </c>
      <c r="P123" s="715" cm="1">
        <f t="array" aca="1" ref="P123" ca="1">INDIRECT("'Definition of Typical Day'!"&amp; ADDRESS($D123+29*(P$16-1),$E123))</f>
        <v>45</v>
      </c>
      <c r="Q123" s="787">
        <f t="shared" ca="1" si="109"/>
        <v>48</v>
      </c>
      <c r="R123" s="792">
        <f t="shared" ca="1" si="110"/>
        <v>63</v>
      </c>
      <c r="S123" s="769">
        <f t="shared" si="111"/>
        <v>3</v>
      </c>
      <c r="T123" s="769">
        <f t="shared" ca="1" si="112"/>
        <v>0.24</v>
      </c>
      <c r="U123" s="769">
        <f t="shared" ca="1" si="113"/>
        <v>0.70199999999999996</v>
      </c>
      <c r="V123" s="769">
        <f t="shared" ca="1" si="114"/>
        <v>0</v>
      </c>
      <c r="W123" s="769">
        <f t="shared" ca="1" si="115"/>
        <v>3.9420000000000002</v>
      </c>
      <c r="X123" s="794">
        <f t="shared" si="116"/>
        <v>3</v>
      </c>
      <c r="Y123" s="769">
        <f t="shared" ca="1" si="117"/>
        <v>2.1213203435596428</v>
      </c>
      <c r="Z123" s="769">
        <f t="shared" ca="1" si="118"/>
        <v>2.1213203435596428</v>
      </c>
      <c r="AA123" s="795">
        <f t="shared" ca="1" si="119"/>
        <v>2.1213203435596428</v>
      </c>
      <c r="AB123" s="769">
        <f t="shared" ca="1" si="120"/>
        <v>0</v>
      </c>
      <c r="AC123" s="769">
        <f t="shared" ca="1" si="121"/>
        <v>0</v>
      </c>
      <c r="AD123" s="769">
        <f t="shared" ca="1" si="122"/>
        <v>0</v>
      </c>
      <c r="AE123" s="794">
        <f t="shared" ca="1" si="123"/>
        <v>2.1213203435596428</v>
      </c>
      <c r="AF123" s="769">
        <f t="shared" ca="1" si="124"/>
        <v>2.1213203435596427E-2</v>
      </c>
      <c r="AG123" s="769">
        <f t="shared" ca="1" si="125"/>
        <v>2.1001071401240465</v>
      </c>
      <c r="AH123" s="799">
        <f t="shared" ca="1" si="126"/>
        <v>2.1001071401240465</v>
      </c>
      <c r="AI123" s="801">
        <f t="shared" ca="1" si="127"/>
        <v>1</v>
      </c>
      <c r="AJ123" s="794">
        <f t="shared" ca="1" si="128"/>
        <v>1.5831873289580085</v>
      </c>
      <c r="AK123" s="769">
        <f t="shared" ca="1" si="129"/>
        <v>0.53813301460163443</v>
      </c>
      <c r="AL123" s="769">
        <f t="shared" ca="1" si="130"/>
        <v>0</v>
      </c>
      <c r="AM123" s="804">
        <f t="shared" ca="1" si="80"/>
        <v>0.2110916438610678</v>
      </c>
      <c r="AN123" s="795">
        <f t="shared" ca="1" si="81"/>
        <v>5.5575022805598867E-2</v>
      </c>
      <c r="AO123" s="251"/>
      <c r="AP123" s="770">
        <f t="shared" si="131"/>
        <v>0</v>
      </c>
      <c r="AQ123" s="771">
        <f t="shared" ca="1" si="132"/>
        <v>0</v>
      </c>
      <c r="AR123" s="771">
        <f t="shared" ca="1" si="133"/>
        <v>3.166374657916017</v>
      </c>
      <c r="AS123" s="772">
        <f t="shared" ca="1" si="134"/>
        <v>3.166374657916017</v>
      </c>
      <c r="AT123" s="231"/>
      <c r="AU123" s="770">
        <f>'Main Results - IRR DC Operator'!$F$16</f>
        <v>2</v>
      </c>
      <c r="AV123" s="773">
        <f>'Main Results - IRR DC Operator'!$F$15</f>
        <v>1</v>
      </c>
      <c r="AW123" s="771">
        <f t="shared" ca="1" si="135"/>
        <v>4</v>
      </c>
      <c r="AX123" s="772">
        <f t="shared" si="136"/>
        <v>0</v>
      </c>
      <c r="AY123" s="231"/>
      <c r="AZ123" s="770" cm="1">
        <f t="array" aca="1" ref="AZ123" ca="1">INDIRECT("'Definition of Typical Day'!"&amp; ADDRESS($D123+29*(AZ$16-1),$E123))+$AZ$17</f>
        <v>68.900000000000006</v>
      </c>
      <c r="BA123" s="771" cm="1">
        <f t="array" aca="1" ref="BA123" ca="1">INDIRECT("'Definition of Typical Day'!"&amp; ADDRESS($D123+29*(BA$16-1),$E123))+$BA$17</f>
        <v>68.900000000000006</v>
      </c>
      <c r="BB123" s="772" cm="1">
        <f t="array" aca="1" ref="BB123" ca="1">INDIRECT("'Definition of Typical Day'!"&amp;ADDRESS(BB$16,$E123))</f>
        <v>60</v>
      </c>
      <c r="BC123" s="776" cm="1">
        <f t="array" aca="1" ref="BC123" ca="1">INDIRECT("'Definition of Typical Day'!"&amp; ADDRESS($D123+29*(BC$16-1),$E123))</f>
        <v>67.900000000000006</v>
      </c>
      <c r="BD123" s="777" cm="1">
        <f t="array" aca="1" ref="BD123" ca="1">INDIRECT("'Definition of Typical Day'!"&amp; ADDRESS($D123+29*(BD$16-1),$E123))</f>
        <v>1</v>
      </c>
      <c r="BE123" s="776">
        <f t="shared" si="137"/>
        <v>0</v>
      </c>
      <c r="BF123" s="771">
        <f t="shared" ca="1" si="138"/>
        <v>37.077364706052613</v>
      </c>
      <c r="BG123" s="771">
        <f t="shared" ca="1" si="139"/>
        <v>2.5455844122715714</v>
      </c>
      <c r="BH123" s="771">
        <f t="shared" ca="1" si="140"/>
        <v>0</v>
      </c>
      <c r="BI123" s="776">
        <f t="shared" ca="1" si="141"/>
        <v>14.333122618166504</v>
      </c>
      <c r="BJ123" s="776">
        <f t="shared" ca="1" si="142"/>
        <v>3.7735440485001632</v>
      </c>
      <c r="BK123" s="776">
        <f t="shared" ca="1" si="143"/>
        <v>0</v>
      </c>
      <c r="BL123" s="776">
        <f t="shared" ca="1" si="144"/>
        <v>0</v>
      </c>
      <c r="BM123" s="135"/>
      <c r="BN123" s="776">
        <f t="shared" ca="1" si="145"/>
        <v>43.622949118324186</v>
      </c>
      <c r="BO123" s="778">
        <f t="shared" ca="1" si="82"/>
        <v>20.771773156176938</v>
      </c>
      <c r="BP123" s="770">
        <f t="shared" ca="1" si="83"/>
        <v>39.622949118324186</v>
      </c>
      <c r="BQ123" s="771">
        <f t="shared" ca="1" si="84"/>
        <v>0</v>
      </c>
      <c r="BR123" s="771">
        <f t="shared" ca="1" si="85"/>
        <v>0</v>
      </c>
      <c r="BS123" s="776">
        <f t="shared" ca="1" si="146"/>
        <v>43.622949118324186</v>
      </c>
      <c r="BT123" s="776">
        <f t="shared" ca="1" si="86"/>
        <v>39.622949118324186</v>
      </c>
      <c r="BU123" s="783">
        <f t="shared" ca="1" si="87"/>
        <v>18.867108425708121</v>
      </c>
      <c r="BV123" s="783">
        <f t="shared" ca="1" si="88"/>
        <v>18.867108425708121</v>
      </c>
      <c r="BW123" s="1019">
        <f t="shared" ca="1" si="147"/>
        <v>18.867108425708121</v>
      </c>
      <c r="BX123" s="771" cm="1">
        <f t="array" aca="1" ref="BX123" ca="1">INDIRECT("'Definition of Typical Day'!"&amp; ADDRESS($D123+29*(BX$16-1),$E123))</f>
        <v>55</v>
      </c>
      <c r="BY123" s="771">
        <f t="shared" ca="1" si="148"/>
        <v>1</v>
      </c>
      <c r="BZ123" s="781">
        <f t="shared" ca="1" si="89"/>
        <v>1</v>
      </c>
      <c r="CA123" s="781">
        <f t="shared" ca="1" si="90"/>
        <v>0.70710678118654757</v>
      </c>
      <c r="CB123" s="776">
        <f t="shared" ca="1" si="91"/>
        <v>115.50589270682256</v>
      </c>
      <c r="CC123" s="782">
        <f t="shared" si="92"/>
        <v>5</v>
      </c>
      <c r="CD123" s="782">
        <f t="shared" si="93"/>
        <v>7</v>
      </c>
      <c r="CE123" s="784" t="str" cm="1">
        <f t="array" aca="1" ref="CE123" ca="1">INDIRECT("'Definition of Typical Day'!"&amp;ADDRESS(CE$16,$E123))</f>
        <v>Summer weekend</v>
      </c>
      <c r="CF123" s="232"/>
      <c r="CG123" s="232"/>
      <c r="CH123" s="776">
        <f t="shared" ca="1" si="94"/>
        <v>2</v>
      </c>
      <c r="CI123" s="806">
        <f t="shared" ca="1" si="95"/>
        <v>6</v>
      </c>
      <c r="CJ123" s="770">
        <f t="shared" ca="1" si="96"/>
        <v>2.1001071401240465</v>
      </c>
      <c r="CK123" s="771">
        <f t="shared" ca="1" si="97"/>
        <v>1.5831873289580085</v>
      </c>
      <c r="CL123" s="771">
        <f t="shared" ca="1" si="98"/>
        <v>0.53813301460163443</v>
      </c>
      <c r="CM123" s="772">
        <f t="shared" ca="1" si="99"/>
        <v>0</v>
      </c>
      <c r="CN123" s="135"/>
      <c r="CO123" s="770">
        <f t="shared" ca="1" si="149"/>
        <v>1.05</v>
      </c>
      <c r="CP123" s="771">
        <f t="shared" ca="1" si="100"/>
        <v>0.98</v>
      </c>
      <c r="CQ123" s="771">
        <f t="shared" ca="1" si="101"/>
        <v>0.96</v>
      </c>
      <c r="CR123" s="771">
        <f t="shared" ca="1" si="102"/>
        <v>0.95</v>
      </c>
      <c r="CS123" s="771">
        <f t="shared" ca="1" si="103"/>
        <v>1.02</v>
      </c>
      <c r="CT123" s="772">
        <f t="shared" ca="1" si="104"/>
        <v>0.02</v>
      </c>
      <c r="CU123" s="135"/>
      <c r="CV123" s="135"/>
      <c r="CW123" s="135"/>
      <c r="CX123" s="135"/>
      <c r="CY123" s="135"/>
      <c r="CZ123" s="135"/>
      <c r="DA123" s="135"/>
      <c r="DB123" s="135"/>
      <c r="DC123" s="135"/>
      <c r="DD123" s="135"/>
      <c r="DE123" s="135"/>
      <c r="DF123" s="135"/>
      <c r="DG123" s="135"/>
      <c r="DH123" s="135"/>
      <c r="DI123" s="135"/>
      <c r="DJ123" s="135"/>
      <c r="DK123" s="135"/>
      <c r="DL123" s="135"/>
      <c r="DX123" s="135"/>
      <c r="DY123" s="135"/>
      <c r="DZ123" s="135"/>
      <c r="EA123" s="135"/>
      <c r="EB123" s="135"/>
      <c r="EC123" s="135"/>
      <c r="ED123" s="135"/>
      <c r="EE123" s="135"/>
      <c r="EF123" s="135"/>
      <c r="EG123" s="135"/>
      <c r="EH123" s="135"/>
      <c r="EI123" s="135"/>
      <c r="EJ123" s="135"/>
      <c r="EK123" s="135"/>
      <c r="EL123" s="135"/>
      <c r="EM123" s="135"/>
      <c r="EN123" s="135"/>
      <c r="EO123" s="135"/>
      <c r="EP123" s="135"/>
      <c r="EQ123" s="135"/>
      <c r="ER123" s="135"/>
      <c r="ES123" s="135"/>
      <c r="ET123" s="135"/>
      <c r="EU123" s="135"/>
      <c r="EV123" s="135"/>
      <c r="EW123" s="135"/>
      <c r="EX123" s="135"/>
      <c r="EY123" s="135"/>
      <c r="EZ123" s="135"/>
      <c r="FA123" s="135"/>
      <c r="FB123" s="135"/>
      <c r="FC123" s="135"/>
      <c r="FD123" s="135"/>
      <c r="FE123" s="135"/>
      <c r="FF123" s="135"/>
      <c r="FG123" s="135"/>
    </row>
    <row r="124" spans="1:163" s="57" customFormat="1" ht="11.25" outlineLevel="1">
      <c r="A124" s="765">
        <f t="shared" si="150"/>
        <v>5</v>
      </c>
      <c r="B124" s="715" t="str" cm="1">
        <f t="array" aca="1" ref="B124" ca="1">INDIRECT("'Definition of Typical Day'!"&amp;ADDRESS(B$16,$E124))</f>
        <v>Summer weekend</v>
      </c>
      <c r="C124" s="766">
        <f t="shared" si="151"/>
        <v>8</v>
      </c>
      <c r="D124" s="715">
        <f t="shared" si="151"/>
        <v>42</v>
      </c>
      <c r="E124" s="715">
        <f t="shared" si="79"/>
        <v>9</v>
      </c>
      <c r="F124" s="767" cm="1">
        <f t="array" aca="1" ref="F124" ca="1">INDIRECT("'Definition of Typical Day'!D"&amp;D124)</f>
        <v>8</v>
      </c>
      <c r="G124" s="767" cm="1">
        <f t="array" aca="1" ref="G124" ca="1">INDIRECT("'Definition of Typical Day'!"&amp;ADDRESS(13,E124))</f>
        <v>5</v>
      </c>
      <c r="H124" s="768" cm="1">
        <f t="array" aca="1" ref="H124" ca="1">INDIRECT("'Definition of Typical Day'!"&amp; ADDRESS($D124+28*(H$16-1),$E124))</f>
        <v>2</v>
      </c>
      <c r="I124" s="715" cm="1">
        <f t="array" aca="1" ref="I124" ca="1">INDIRECT("'Definition of Typical Day'!"&amp; ADDRESS($D124+29*(I$16-1),$E124))</f>
        <v>40</v>
      </c>
      <c r="J124" s="715">
        <f t="shared" ca="1" si="105"/>
        <v>37</v>
      </c>
      <c r="K124" s="785">
        <f t="shared" si="106"/>
        <v>28</v>
      </c>
      <c r="L124" s="786" cm="1">
        <f t="array" aca="1" ref="L124" ca="1">INDIRECT("'Definition of Typical Day'!"&amp; ADDRESS($D124+29*(L$16-1),$E124))</f>
        <v>6</v>
      </c>
      <c r="M124" s="768" cm="1">
        <f t="array" aca="1" ref="M124" ca="1">INDIRECT("'Definition of Typical Day'!"&amp; ADDRESS($D124+29*(M$16-1),$E124))</f>
        <v>60</v>
      </c>
      <c r="N124" s="715">
        <f t="shared" si="107"/>
        <v>3</v>
      </c>
      <c r="O124" s="715">
        <f t="shared" ca="1" si="108"/>
        <v>63</v>
      </c>
      <c r="P124" s="715" cm="1">
        <f t="array" aca="1" ref="P124" ca="1">INDIRECT("'Definition of Typical Day'!"&amp; ADDRESS($D124+29*(P$16-1),$E124))</f>
        <v>45</v>
      </c>
      <c r="Q124" s="787">
        <f t="shared" ca="1" si="109"/>
        <v>48</v>
      </c>
      <c r="R124" s="792">
        <f t="shared" ca="1" si="110"/>
        <v>63</v>
      </c>
      <c r="S124" s="769">
        <f t="shared" si="111"/>
        <v>3</v>
      </c>
      <c r="T124" s="769">
        <f t="shared" ca="1" si="112"/>
        <v>0.24</v>
      </c>
      <c r="U124" s="769">
        <f t="shared" ca="1" si="113"/>
        <v>0.70199999999999996</v>
      </c>
      <c r="V124" s="769">
        <f t="shared" ca="1" si="114"/>
        <v>0</v>
      </c>
      <c r="W124" s="769">
        <f t="shared" ca="1" si="115"/>
        <v>3.9420000000000002</v>
      </c>
      <c r="X124" s="794">
        <f t="shared" si="116"/>
        <v>3</v>
      </c>
      <c r="Y124" s="769">
        <f t="shared" ca="1" si="117"/>
        <v>2.1213203435596428</v>
      </c>
      <c r="Z124" s="769">
        <f t="shared" ca="1" si="118"/>
        <v>2.1213203435596428</v>
      </c>
      <c r="AA124" s="795">
        <f t="shared" ca="1" si="119"/>
        <v>2.1213203435596428</v>
      </c>
      <c r="AB124" s="769">
        <f t="shared" ca="1" si="120"/>
        <v>0</v>
      </c>
      <c r="AC124" s="769">
        <f t="shared" ca="1" si="121"/>
        <v>0</v>
      </c>
      <c r="AD124" s="769">
        <f t="shared" ca="1" si="122"/>
        <v>0</v>
      </c>
      <c r="AE124" s="794">
        <f t="shared" ca="1" si="123"/>
        <v>2.1213203435596428</v>
      </c>
      <c r="AF124" s="769">
        <f t="shared" ca="1" si="124"/>
        <v>2.1213203435596427E-2</v>
      </c>
      <c r="AG124" s="769">
        <f t="shared" ca="1" si="125"/>
        <v>2.1001071401240465</v>
      </c>
      <c r="AH124" s="799">
        <f t="shared" ca="1" si="126"/>
        <v>2.1001071401240465</v>
      </c>
      <c r="AI124" s="801">
        <f t="shared" ca="1" si="127"/>
        <v>1</v>
      </c>
      <c r="AJ124" s="794">
        <f t="shared" ca="1" si="128"/>
        <v>1.5831873289580085</v>
      </c>
      <c r="AK124" s="769">
        <f t="shared" ca="1" si="129"/>
        <v>0.53813301460163443</v>
      </c>
      <c r="AL124" s="769">
        <f t="shared" ca="1" si="130"/>
        <v>0</v>
      </c>
      <c r="AM124" s="804">
        <f t="shared" ca="1" si="80"/>
        <v>0.2110916438610678</v>
      </c>
      <c r="AN124" s="795">
        <f t="shared" ca="1" si="81"/>
        <v>5.5575022805598867E-2</v>
      </c>
      <c r="AO124" s="251"/>
      <c r="AP124" s="770">
        <f t="shared" si="131"/>
        <v>0</v>
      </c>
      <c r="AQ124" s="771">
        <f t="shared" ca="1" si="132"/>
        <v>0</v>
      </c>
      <c r="AR124" s="771">
        <f t="shared" ca="1" si="133"/>
        <v>3.166374657916017</v>
      </c>
      <c r="AS124" s="772">
        <f t="shared" ca="1" si="134"/>
        <v>3.166374657916017</v>
      </c>
      <c r="AT124" s="231"/>
      <c r="AU124" s="770">
        <f>'Main Results - IRR DC Operator'!$F$16</f>
        <v>2</v>
      </c>
      <c r="AV124" s="773">
        <f>'Main Results - IRR DC Operator'!$F$15</f>
        <v>1</v>
      </c>
      <c r="AW124" s="771">
        <f t="shared" ca="1" si="135"/>
        <v>4</v>
      </c>
      <c r="AX124" s="772">
        <f t="shared" si="136"/>
        <v>0</v>
      </c>
      <c r="AY124" s="231"/>
      <c r="AZ124" s="770" cm="1">
        <f t="array" aca="1" ref="AZ124" ca="1">INDIRECT("'Definition of Typical Day'!"&amp; ADDRESS($D124+29*(AZ$16-1),$E124))+$AZ$17</f>
        <v>57.35</v>
      </c>
      <c r="BA124" s="771" cm="1">
        <f t="array" aca="1" ref="BA124" ca="1">INDIRECT("'Definition of Typical Day'!"&amp; ADDRESS($D124+29*(BA$16-1),$E124))+$BA$17</f>
        <v>57.35</v>
      </c>
      <c r="BB124" s="772" cm="1">
        <f t="array" aca="1" ref="BB124" ca="1">INDIRECT("'Definition of Typical Day'!"&amp;ADDRESS(BB$16,$E124))</f>
        <v>60</v>
      </c>
      <c r="BC124" s="776" cm="1">
        <f t="array" aca="1" ref="BC124" ca="1">INDIRECT("'Definition of Typical Day'!"&amp; ADDRESS($D124+29*(BC$16-1),$E124))</f>
        <v>56.35</v>
      </c>
      <c r="BD124" s="777" cm="1">
        <f t="array" aca="1" ref="BD124" ca="1">INDIRECT("'Definition of Typical Day'!"&amp; ADDRESS($D124+29*(BD$16-1),$E124))</f>
        <v>1</v>
      </c>
      <c r="BE124" s="776">
        <f t="shared" si="137"/>
        <v>0</v>
      </c>
      <c r="BF124" s="771">
        <f t="shared" ca="1" si="138"/>
        <v>30.861928387403736</v>
      </c>
      <c r="BG124" s="771">
        <f t="shared" ca="1" si="139"/>
        <v>2.5455844122715714</v>
      </c>
      <c r="BH124" s="771">
        <f t="shared" ca="1" si="140"/>
        <v>0</v>
      </c>
      <c r="BI124" s="776">
        <f t="shared" ca="1" si="141"/>
        <v>11.89501413157117</v>
      </c>
      <c r="BJ124" s="776">
        <f t="shared" ca="1" si="142"/>
        <v>3.1316525350954962</v>
      </c>
      <c r="BK124" s="776">
        <f t="shared" ca="1" si="143"/>
        <v>0</v>
      </c>
      <c r="BL124" s="776">
        <f t="shared" ca="1" si="144"/>
        <v>0</v>
      </c>
      <c r="BM124" s="135"/>
      <c r="BN124" s="776">
        <f t="shared" ca="1" si="145"/>
        <v>37.40751279967531</v>
      </c>
      <c r="BO124" s="778">
        <f t="shared" ca="1" si="82"/>
        <v>17.812192571025577</v>
      </c>
      <c r="BP124" s="770">
        <f t="shared" ca="1" si="83"/>
        <v>33.40751279967531</v>
      </c>
      <c r="BQ124" s="771">
        <f t="shared" ca="1" si="84"/>
        <v>0</v>
      </c>
      <c r="BR124" s="771">
        <f t="shared" ca="1" si="85"/>
        <v>0</v>
      </c>
      <c r="BS124" s="776">
        <f t="shared" ca="1" si="146"/>
        <v>37.40751279967531</v>
      </c>
      <c r="BT124" s="776">
        <f t="shared" ca="1" si="86"/>
        <v>33.40751279967531</v>
      </c>
      <c r="BU124" s="783">
        <f t="shared" ca="1" si="87"/>
        <v>15.907527840556762</v>
      </c>
      <c r="BV124" s="783">
        <f t="shared" ca="1" si="88"/>
        <v>15.907527840556762</v>
      </c>
      <c r="BW124" s="1019">
        <f t="shared" ca="1" si="147"/>
        <v>15.907527840556762</v>
      </c>
      <c r="BX124" s="771" cm="1">
        <f t="array" aca="1" ref="BX124" ca="1">INDIRECT("'Definition of Typical Day'!"&amp; ADDRESS($D124+29*(BX$16-1),$E124))</f>
        <v>55</v>
      </c>
      <c r="BY124" s="771">
        <f t="shared" ca="1" si="148"/>
        <v>1</v>
      </c>
      <c r="BZ124" s="781">
        <f t="shared" ca="1" si="89"/>
        <v>1</v>
      </c>
      <c r="CA124" s="781">
        <f t="shared" ca="1" si="90"/>
        <v>0.70710678118654757</v>
      </c>
      <c r="CB124" s="776">
        <f t="shared" ca="1" si="91"/>
        <v>115.50589270682256</v>
      </c>
      <c r="CC124" s="782">
        <f t="shared" si="92"/>
        <v>5</v>
      </c>
      <c r="CD124" s="782">
        <f t="shared" si="93"/>
        <v>8</v>
      </c>
      <c r="CE124" s="784" t="str" cm="1">
        <f t="array" aca="1" ref="CE124" ca="1">INDIRECT("'Definition of Typical Day'!"&amp;ADDRESS(CE$16,$E124))</f>
        <v>Summer weekend</v>
      </c>
      <c r="CF124" s="232"/>
      <c r="CG124" s="232"/>
      <c r="CH124" s="776">
        <f t="shared" ca="1" si="94"/>
        <v>2</v>
      </c>
      <c r="CI124" s="806">
        <f t="shared" ca="1" si="95"/>
        <v>6</v>
      </c>
      <c r="CJ124" s="770">
        <f t="shared" ca="1" si="96"/>
        <v>2.1001071401240465</v>
      </c>
      <c r="CK124" s="771">
        <f t="shared" ca="1" si="97"/>
        <v>1.5831873289580085</v>
      </c>
      <c r="CL124" s="771">
        <f t="shared" ca="1" si="98"/>
        <v>0.53813301460163443</v>
      </c>
      <c r="CM124" s="772">
        <f t="shared" ca="1" si="99"/>
        <v>0</v>
      </c>
      <c r="CN124" s="135"/>
      <c r="CO124" s="770">
        <f t="shared" ca="1" si="149"/>
        <v>1.05</v>
      </c>
      <c r="CP124" s="771">
        <f t="shared" ca="1" si="100"/>
        <v>0.98</v>
      </c>
      <c r="CQ124" s="771">
        <f t="shared" ca="1" si="101"/>
        <v>0.96</v>
      </c>
      <c r="CR124" s="771">
        <f t="shared" ca="1" si="102"/>
        <v>0.95</v>
      </c>
      <c r="CS124" s="771">
        <f t="shared" ca="1" si="103"/>
        <v>1.02</v>
      </c>
      <c r="CT124" s="772">
        <f t="shared" ca="1" si="104"/>
        <v>0.02</v>
      </c>
      <c r="CU124" s="135"/>
      <c r="CV124" s="135"/>
      <c r="CW124" s="135"/>
      <c r="CX124" s="135"/>
      <c r="CY124" s="135"/>
      <c r="CZ124" s="135"/>
      <c r="DA124" s="135"/>
      <c r="DB124" s="135"/>
      <c r="DC124" s="135"/>
      <c r="DD124" s="135"/>
      <c r="DE124" s="135"/>
      <c r="DF124" s="135"/>
      <c r="DG124" s="135"/>
      <c r="DH124" s="135"/>
      <c r="DI124" s="135"/>
      <c r="DJ124" s="135"/>
      <c r="DK124" s="135"/>
      <c r="DL124" s="135"/>
      <c r="DX124" s="135"/>
      <c r="DY124" s="135"/>
      <c r="DZ124" s="135"/>
      <c r="EA124" s="135"/>
      <c r="EB124" s="135"/>
      <c r="EC124" s="135"/>
      <c r="ED124" s="135"/>
      <c r="EE124" s="135"/>
      <c r="EF124" s="135"/>
      <c r="EG124" s="135"/>
      <c r="EH124" s="135"/>
      <c r="EI124" s="135"/>
      <c r="EJ124" s="135"/>
      <c r="EK124" s="135"/>
      <c r="EL124" s="135"/>
      <c r="EM124" s="135"/>
      <c r="EN124" s="135"/>
      <c r="EO124" s="135"/>
      <c r="EP124" s="135"/>
      <c r="EQ124" s="135"/>
      <c r="ER124" s="135"/>
      <c r="ES124" s="135"/>
      <c r="ET124" s="135"/>
      <c r="EU124" s="135"/>
      <c r="EV124" s="135"/>
      <c r="EW124" s="135"/>
      <c r="EX124" s="135"/>
      <c r="EY124" s="135"/>
      <c r="EZ124" s="135"/>
      <c r="FA124" s="135"/>
      <c r="FB124" s="135"/>
      <c r="FC124" s="135"/>
      <c r="FD124" s="135"/>
      <c r="FE124" s="135"/>
      <c r="FF124" s="135"/>
      <c r="FG124" s="135"/>
    </row>
    <row r="125" spans="1:163" s="57" customFormat="1" ht="11.25" outlineLevel="1">
      <c r="A125" s="765">
        <f t="shared" si="150"/>
        <v>5</v>
      </c>
      <c r="B125" s="715" t="str" cm="1">
        <f t="array" aca="1" ref="B125" ca="1">INDIRECT("'Definition of Typical Day'!"&amp;ADDRESS(B$16,$E125))</f>
        <v>Summer weekend</v>
      </c>
      <c r="C125" s="766">
        <f t="shared" si="151"/>
        <v>9</v>
      </c>
      <c r="D125" s="715">
        <f t="shared" si="151"/>
        <v>43</v>
      </c>
      <c r="E125" s="715">
        <f t="shared" si="79"/>
        <v>9</v>
      </c>
      <c r="F125" s="767" cm="1">
        <f t="array" aca="1" ref="F125" ca="1">INDIRECT("'Definition of Typical Day'!D"&amp;D125)</f>
        <v>9</v>
      </c>
      <c r="G125" s="767" cm="1">
        <f t="array" aca="1" ref="G125" ca="1">INDIRECT("'Definition of Typical Day'!"&amp;ADDRESS(13,E125))</f>
        <v>5</v>
      </c>
      <c r="H125" s="768" cm="1">
        <f t="array" aca="1" ref="H125" ca="1">INDIRECT("'Definition of Typical Day'!"&amp; ADDRESS($D125+28*(H$16-1),$E125))</f>
        <v>2</v>
      </c>
      <c r="I125" s="715" cm="1">
        <f t="array" aca="1" ref="I125" ca="1">INDIRECT("'Definition of Typical Day'!"&amp; ADDRESS($D125+29*(I$16-1),$E125))</f>
        <v>40</v>
      </c>
      <c r="J125" s="715">
        <f t="shared" ca="1" si="105"/>
        <v>37</v>
      </c>
      <c r="K125" s="785">
        <f t="shared" si="106"/>
        <v>28</v>
      </c>
      <c r="L125" s="786" cm="1">
        <f t="array" aca="1" ref="L125" ca="1">INDIRECT("'Definition of Typical Day'!"&amp; ADDRESS($D125+29*(L$16-1),$E125))</f>
        <v>6</v>
      </c>
      <c r="M125" s="768" cm="1">
        <f t="array" aca="1" ref="M125" ca="1">INDIRECT("'Definition of Typical Day'!"&amp; ADDRESS($D125+29*(M$16-1),$E125))</f>
        <v>60</v>
      </c>
      <c r="N125" s="715">
        <f t="shared" si="107"/>
        <v>3</v>
      </c>
      <c r="O125" s="715">
        <f t="shared" ca="1" si="108"/>
        <v>63</v>
      </c>
      <c r="P125" s="715" cm="1">
        <f t="array" aca="1" ref="P125" ca="1">INDIRECT("'Definition of Typical Day'!"&amp; ADDRESS($D125+29*(P$16-1),$E125))</f>
        <v>45</v>
      </c>
      <c r="Q125" s="787">
        <f t="shared" ca="1" si="109"/>
        <v>48</v>
      </c>
      <c r="R125" s="792">
        <f t="shared" ca="1" si="110"/>
        <v>63</v>
      </c>
      <c r="S125" s="769">
        <f t="shared" si="111"/>
        <v>3</v>
      </c>
      <c r="T125" s="769">
        <f t="shared" ca="1" si="112"/>
        <v>0.24</v>
      </c>
      <c r="U125" s="769">
        <f t="shared" ca="1" si="113"/>
        <v>0.70199999999999996</v>
      </c>
      <c r="V125" s="769">
        <f t="shared" ca="1" si="114"/>
        <v>0</v>
      </c>
      <c r="W125" s="769">
        <f t="shared" ca="1" si="115"/>
        <v>3.9420000000000002</v>
      </c>
      <c r="X125" s="794">
        <f t="shared" si="116"/>
        <v>3</v>
      </c>
      <c r="Y125" s="769">
        <f t="shared" ca="1" si="117"/>
        <v>2.1213203435596428</v>
      </c>
      <c r="Z125" s="769">
        <f t="shared" ca="1" si="118"/>
        <v>2.1213203435596428</v>
      </c>
      <c r="AA125" s="795">
        <f t="shared" ca="1" si="119"/>
        <v>2.1213203435596428</v>
      </c>
      <c r="AB125" s="769">
        <f t="shared" ca="1" si="120"/>
        <v>0</v>
      </c>
      <c r="AC125" s="769">
        <f t="shared" ca="1" si="121"/>
        <v>0</v>
      </c>
      <c r="AD125" s="769">
        <f t="shared" ca="1" si="122"/>
        <v>0</v>
      </c>
      <c r="AE125" s="794">
        <f t="shared" ca="1" si="123"/>
        <v>2.1213203435596428</v>
      </c>
      <c r="AF125" s="769">
        <f t="shared" ca="1" si="124"/>
        <v>2.1213203435596427E-2</v>
      </c>
      <c r="AG125" s="769">
        <f t="shared" ca="1" si="125"/>
        <v>2.1001071401240465</v>
      </c>
      <c r="AH125" s="799">
        <f t="shared" ca="1" si="126"/>
        <v>2.1001071401240465</v>
      </c>
      <c r="AI125" s="801">
        <f t="shared" ca="1" si="127"/>
        <v>1</v>
      </c>
      <c r="AJ125" s="794">
        <f t="shared" ca="1" si="128"/>
        <v>1.5831873289580085</v>
      </c>
      <c r="AK125" s="769">
        <f t="shared" ca="1" si="129"/>
        <v>0.53813301460163443</v>
      </c>
      <c r="AL125" s="769">
        <f t="shared" ca="1" si="130"/>
        <v>0</v>
      </c>
      <c r="AM125" s="804">
        <f t="shared" ca="1" si="80"/>
        <v>0.2110916438610678</v>
      </c>
      <c r="AN125" s="795">
        <f t="shared" ca="1" si="81"/>
        <v>5.5575022805598867E-2</v>
      </c>
      <c r="AO125" s="251"/>
      <c r="AP125" s="770">
        <f t="shared" si="131"/>
        <v>0</v>
      </c>
      <c r="AQ125" s="771">
        <f t="shared" ca="1" si="132"/>
        <v>0</v>
      </c>
      <c r="AR125" s="771">
        <f t="shared" ca="1" si="133"/>
        <v>3.166374657916017</v>
      </c>
      <c r="AS125" s="772">
        <f t="shared" ca="1" si="134"/>
        <v>3.166374657916017</v>
      </c>
      <c r="AT125" s="231"/>
      <c r="AU125" s="770">
        <f>'Main Results - IRR DC Operator'!$F$16</f>
        <v>2</v>
      </c>
      <c r="AV125" s="773">
        <f>'Main Results - IRR DC Operator'!$F$15</f>
        <v>1</v>
      </c>
      <c r="AW125" s="771">
        <f t="shared" ca="1" si="135"/>
        <v>4</v>
      </c>
      <c r="AX125" s="772">
        <f t="shared" si="136"/>
        <v>0</v>
      </c>
      <c r="AY125" s="231"/>
      <c r="AZ125" s="770" cm="1">
        <f t="array" aca="1" ref="AZ125" ca="1">INDIRECT("'Definition of Typical Day'!"&amp; ADDRESS($D125+29*(AZ$16-1),$E125))+$AZ$17</f>
        <v>30.77</v>
      </c>
      <c r="BA125" s="771" cm="1">
        <f t="array" aca="1" ref="BA125" ca="1">INDIRECT("'Definition of Typical Day'!"&amp; ADDRESS($D125+29*(BA$16-1),$E125))+$BA$17</f>
        <v>30.77</v>
      </c>
      <c r="BB125" s="772" cm="1">
        <f t="array" aca="1" ref="BB125" ca="1">INDIRECT("'Definition of Typical Day'!"&amp;ADDRESS(BB$16,$E125))</f>
        <v>60</v>
      </c>
      <c r="BC125" s="776" cm="1">
        <f t="array" aca="1" ref="BC125" ca="1">INDIRECT("'Definition of Typical Day'!"&amp; ADDRESS($D125+29*(BC$16-1),$E125))</f>
        <v>29.77</v>
      </c>
      <c r="BD125" s="777" cm="1">
        <f t="array" aca="1" ref="BD125" ca="1">INDIRECT("'Definition of Typical Day'!"&amp; ADDRESS($D125+29*(BD$16-1),$E125))</f>
        <v>1</v>
      </c>
      <c r="BE125" s="776">
        <f t="shared" si="137"/>
        <v>0</v>
      </c>
      <c r="BF125" s="771">
        <f t="shared" ca="1" si="138"/>
        <v>16.558352859292292</v>
      </c>
      <c r="BG125" s="771">
        <f t="shared" ca="1" si="139"/>
        <v>2.5455844122715714</v>
      </c>
      <c r="BH125" s="771">
        <f t="shared" ca="1" si="140"/>
        <v>0</v>
      </c>
      <c r="BI125" s="776">
        <f t="shared" ca="1" si="141"/>
        <v>6.284198237743988</v>
      </c>
      <c r="BJ125" s="776">
        <f t="shared" ca="1" si="142"/>
        <v>1.6544684289226783</v>
      </c>
      <c r="BK125" s="776">
        <f t="shared" ca="1" si="143"/>
        <v>0</v>
      </c>
      <c r="BL125" s="776">
        <f t="shared" ca="1" si="144"/>
        <v>0</v>
      </c>
      <c r="BM125" s="135"/>
      <c r="BN125" s="776">
        <f t="shared" ca="1" si="145"/>
        <v>23.103937271563865</v>
      </c>
      <c r="BO125" s="778">
        <f t="shared" ca="1" si="82"/>
        <v>11.001313614027897</v>
      </c>
      <c r="BP125" s="770">
        <f t="shared" ca="1" si="83"/>
        <v>19.103937271563865</v>
      </c>
      <c r="BQ125" s="771">
        <f t="shared" ca="1" si="84"/>
        <v>0</v>
      </c>
      <c r="BR125" s="771">
        <f t="shared" ca="1" si="85"/>
        <v>0</v>
      </c>
      <c r="BS125" s="776">
        <f t="shared" ca="1" si="146"/>
        <v>23.103937271563865</v>
      </c>
      <c r="BT125" s="776">
        <f t="shared" ca="1" si="86"/>
        <v>19.103937271563865</v>
      </c>
      <c r="BU125" s="783">
        <f t="shared" ca="1" si="87"/>
        <v>9.096648883559082</v>
      </c>
      <c r="BV125" s="783">
        <f t="shared" ca="1" si="88"/>
        <v>9.096648883559082</v>
      </c>
      <c r="BW125" s="1019">
        <f t="shared" ca="1" si="147"/>
        <v>9.096648883559082</v>
      </c>
      <c r="BX125" s="771" cm="1">
        <f t="array" aca="1" ref="BX125" ca="1">INDIRECT("'Definition of Typical Day'!"&amp; ADDRESS($D125+29*(BX$16-1),$E125))</f>
        <v>55</v>
      </c>
      <c r="BY125" s="771">
        <f t="shared" ca="1" si="148"/>
        <v>1</v>
      </c>
      <c r="BZ125" s="781">
        <f t="shared" ca="1" si="89"/>
        <v>1</v>
      </c>
      <c r="CA125" s="781">
        <f t="shared" ca="1" si="90"/>
        <v>0.70710678118654757</v>
      </c>
      <c r="CB125" s="776">
        <f t="shared" ca="1" si="91"/>
        <v>115.50589270682256</v>
      </c>
      <c r="CC125" s="782">
        <f t="shared" si="92"/>
        <v>5</v>
      </c>
      <c r="CD125" s="782">
        <f t="shared" si="93"/>
        <v>9</v>
      </c>
      <c r="CE125" s="784" t="str" cm="1">
        <f t="array" aca="1" ref="CE125" ca="1">INDIRECT("'Definition of Typical Day'!"&amp;ADDRESS(CE$16,$E125))</f>
        <v>Summer weekend</v>
      </c>
      <c r="CF125" s="232"/>
      <c r="CG125" s="232"/>
      <c r="CH125" s="776">
        <f t="shared" ca="1" si="94"/>
        <v>2</v>
      </c>
      <c r="CI125" s="806">
        <f t="shared" ca="1" si="95"/>
        <v>6</v>
      </c>
      <c r="CJ125" s="770">
        <f t="shared" ca="1" si="96"/>
        <v>2.1001071401240465</v>
      </c>
      <c r="CK125" s="771">
        <f t="shared" ca="1" si="97"/>
        <v>1.5831873289580085</v>
      </c>
      <c r="CL125" s="771">
        <f t="shared" ca="1" si="98"/>
        <v>0.53813301460163443</v>
      </c>
      <c r="CM125" s="772">
        <f t="shared" ca="1" si="99"/>
        <v>0</v>
      </c>
      <c r="CN125" s="135"/>
      <c r="CO125" s="770">
        <f t="shared" ca="1" si="149"/>
        <v>1.05</v>
      </c>
      <c r="CP125" s="771">
        <f t="shared" ca="1" si="100"/>
        <v>0.98</v>
      </c>
      <c r="CQ125" s="771">
        <f t="shared" ca="1" si="101"/>
        <v>0.96</v>
      </c>
      <c r="CR125" s="771">
        <f t="shared" ca="1" si="102"/>
        <v>0.95</v>
      </c>
      <c r="CS125" s="771">
        <f t="shared" ca="1" si="103"/>
        <v>1.02</v>
      </c>
      <c r="CT125" s="772">
        <f t="shared" ca="1" si="104"/>
        <v>0.02</v>
      </c>
      <c r="CU125" s="135"/>
      <c r="CV125" s="135"/>
      <c r="CW125" s="135"/>
      <c r="CX125" s="135"/>
      <c r="CY125" s="135"/>
      <c r="CZ125" s="135"/>
      <c r="DA125" s="135"/>
      <c r="DB125" s="135"/>
      <c r="DC125" s="135"/>
      <c r="DD125" s="135"/>
      <c r="DE125" s="135"/>
      <c r="DF125" s="135"/>
      <c r="DG125" s="135"/>
      <c r="DH125" s="135"/>
      <c r="DI125" s="135"/>
      <c r="DJ125" s="135"/>
      <c r="DK125" s="135"/>
      <c r="DL125" s="135"/>
      <c r="DX125" s="135"/>
      <c r="DY125" s="135"/>
      <c r="DZ125" s="135"/>
      <c r="EA125" s="135"/>
      <c r="EB125" s="135"/>
      <c r="EC125" s="135"/>
      <c r="ED125" s="135"/>
      <c r="EE125" s="135"/>
      <c r="EF125" s="135"/>
      <c r="EG125" s="135"/>
      <c r="EH125" s="135"/>
      <c r="EI125" s="135"/>
      <c r="EJ125" s="135"/>
      <c r="EK125" s="135"/>
      <c r="EL125" s="135"/>
      <c r="EM125" s="135"/>
      <c r="EN125" s="135"/>
      <c r="EO125" s="135"/>
      <c r="EP125" s="135"/>
      <c r="EQ125" s="135"/>
      <c r="ER125" s="135"/>
      <c r="ES125" s="135"/>
      <c r="ET125" s="135"/>
      <c r="EU125" s="135"/>
      <c r="EV125" s="135"/>
      <c r="EW125" s="135"/>
      <c r="EX125" s="135"/>
      <c r="EY125" s="135"/>
      <c r="EZ125" s="135"/>
      <c r="FA125" s="135"/>
      <c r="FB125" s="135"/>
      <c r="FC125" s="135"/>
      <c r="FD125" s="135"/>
      <c r="FE125" s="135"/>
      <c r="FF125" s="135"/>
      <c r="FG125" s="135"/>
    </row>
    <row r="126" spans="1:163" s="57" customFormat="1" ht="11.25" outlineLevel="1">
      <c r="A126" s="765">
        <f t="shared" si="150"/>
        <v>5</v>
      </c>
      <c r="B126" s="715" t="str" cm="1">
        <f t="array" aca="1" ref="B126" ca="1">INDIRECT("'Definition of Typical Day'!"&amp;ADDRESS(B$16,$E126))</f>
        <v>Summer weekend</v>
      </c>
      <c r="C126" s="766">
        <f t="shared" si="151"/>
        <v>10</v>
      </c>
      <c r="D126" s="715">
        <f t="shared" si="151"/>
        <v>44</v>
      </c>
      <c r="E126" s="715">
        <f t="shared" si="79"/>
        <v>9</v>
      </c>
      <c r="F126" s="767" cm="1">
        <f t="array" aca="1" ref="F126" ca="1">INDIRECT("'Definition of Typical Day'!D"&amp;D126)</f>
        <v>10</v>
      </c>
      <c r="G126" s="767" cm="1">
        <f t="array" aca="1" ref="G126" ca="1">INDIRECT("'Definition of Typical Day'!"&amp;ADDRESS(13,E126))</f>
        <v>5</v>
      </c>
      <c r="H126" s="768" cm="1">
        <f t="array" aca="1" ref="H126" ca="1">INDIRECT("'Definition of Typical Day'!"&amp; ADDRESS($D126+28*(H$16-1),$E126))</f>
        <v>2</v>
      </c>
      <c r="I126" s="715" cm="1">
        <f t="array" aca="1" ref="I126" ca="1">INDIRECT("'Definition of Typical Day'!"&amp; ADDRESS($D126+29*(I$16-1),$E126))</f>
        <v>40</v>
      </c>
      <c r="J126" s="715">
        <f t="shared" ca="1" si="105"/>
        <v>37</v>
      </c>
      <c r="K126" s="785">
        <f t="shared" si="106"/>
        <v>28</v>
      </c>
      <c r="L126" s="786" cm="1">
        <f t="array" aca="1" ref="L126" ca="1">INDIRECT("'Definition of Typical Day'!"&amp; ADDRESS($D126+29*(L$16-1),$E126))</f>
        <v>6</v>
      </c>
      <c r="M126" s="768" cm="1">
        <f t="array" aca="1" ref="M126" ca="1">INDIRECT("'Definition of Typical Day'!"&amp; ADDRESS($D126+29*(M$16-1),$E126))</f>
        <v>60</v>
      </c>
      <c r="N126" s="715">
        <f t="shared" si="107"/>
        <v>3</v>
      </c>
      <c r="O126" s="715">
        <f t="shared" ca="1" si="108"/>
        <v>63</v>
      </c>
      <c r="P126" s="715" cm="1">
        <f t="array" aca="1" ref="P126" ca="1">INDIRECT("'Definition of Typical Day'!"&amp; ADDRESS($D126+29*(P$16-1),$E126))</f>
        <v>45</v>
      </c>
      <c r="Q126" s="787">
        <f t="shared" ca="1" si="109"/>
        <v>48</v>
      </c>
      <c r="R126" s="792">
        <f t="shared" ca="1" si="110"/>
        <v>63</v>
      </c>
      <c r="S126" s="769">
        <f t="shared" si="111"/>
        <v>3</v>
      </c>
      <c r="T126" s="769">
        <f t="shared" ca="1" si="112"/>
        <v>0.24</v>
      </c>
      <c r="U126" s="769">
        <f t="shared" ca="1" si="113"/>
        <v>0.70199999999999996</v>
      </c>
      <c r="V126" s="769">
        <f t="shared" ca="1" si="114"/>
        <v>0</v>
      </c>
      <c r="W126" s="769">
        <f t="shared" ca="1" si="115"/>
        <v>3.9420000000000002</v>
      </c>
      <c r="X126" s="794">
        <f t="shared" si="116"/>
        <v>3</v>
      </c>
      <c r="Y126" s="769">
        <f t="shared" ca="1" si="117"/>
        <v>2.1213203435596428</v>
      </c>
      <c r="Z126" s="769">
        <f t="shared" ca="1" si="118"/>
        <v>2.1213203435596428</v>
      </c>
      <c r="AA126" s="795">
        <f t="shared" ca="1" si="119"/>
        <v>2.1213203435596428</v>
      </c>
      <c r="AB126" s="769">
        <f t="shared" ca="1" si="120"/>
        <v>0</v>
      </c>
      <c r="AC126" s="769">
        <f t="shared" ca="1" si="121"/>
        <v>0</v>
      </c>
      <c r="AD126" s="769">
        <f t="shared" ca="1" si="122"/>
        <v>0</v>
      </c>
      <c r="AE126" s="794">
        <f t="shared" ca="1" si="123"/>
        <v>2.1213203435596428</v>
      </c>
      <c r="AF126" s="769">
        <f t="shared" ca="1" si="124"/>
        <v>2.1213203435596427E-2</v>
      </c>
      <c r="AG126" s="769">
        <f t="shared" ca="1" si="125"/>
        <v>2.1001071401240465</v>
      </c>
      <c r="AH126" s="799">
        <f t="shared" ca="1" si="126"/>
        <v>2.1001071401240465</v>
      </c>
      <c r="AI126" s="801">
        <f t="shared" ca="1" si="127"/>
        <v>1</v>
      </c>
      <c r="AJ126" s="794">
        <f t="shared" ca="1" si="128"/>
        <v>1.5831873289580085</v>
      </c>
      <c r="AK126" s="769">
        <f t="shared" ca="1" si="129"/>
        <v>0.53813301460163443</v>
      </c>
      <c r="AL126" s="769">
        <f t="shared" ca="1" si="130"/>
        <v>0</v>
      </c>
      <c r="AM126" s="804">
        <f t="shared" ca="1" si="80"/>
        <v>0.2110916438610678</v>
      </c>
      <c r="AN126" s="795">
        <f t="shared" ca="1" si="81"/>
        <v>5.5575022805598867E-2</v>
      </c>
      <c r="AO126" s="251"/>
      <c r="AP126" s="770">
        <f t="shared" si="131"/>
        <v>0</v>
      </c>
      <c r="AQ126" s="771">
        <f t="shared" ca="1" si="132"/>
        <v>0</v>
      </c>
      <c r="AR126" s="771">
        <f t="shared" ca="1" si="133"/>
        <v>3.166374657916017</v>
      </c>
      <c r="AS126" s="772">
        <f t="shared" ca="1" si="134"/>
        <v>3.166374657916017</v>
      </c>
      <c r="AT126" s="231"/>
      <c r="AU126" s="770">
        <f>'Main Results - IRR DC Operator'!$F$16</f>
        <v>2</v>
      </c>
      <c r="AV126" s="773">
        <f>'Main Results - IRR DC Operator'!$F$15</f>
        <v>1</v>
      </c>
      <c r="AW126" s="771">
        <f t="shared" ca="1" si="135"/>
        <v>4</v>
      </c>
      <c r="AX126" s="772">
        <f t="shared" si="136"/>
        <v>0</v>
      </c>
      <c r="AY126" s="231"/>
      <c r="AZ126" s="770" cm="1">
        <f t="array" aca="1" ref="AZ126" ca="1">INDIRECT("'Definition of Typical Day'!"&amp; ADDRESS($D126+29*(AZ$16-1),$E126))+$AZ$17</f>
        <v>15.24</v>
      </c>
      <c r="BA126" s="771" cm="1">
        <f t="array" aca="1" ref="BA126" ca="1">INDIRECT("'Definition of Typical Day'!"&amp; ADDRESS($D126+29*(BA$16-1),$E126))+$BA$17</f>
        <v>15.24</v>
      </c>
      <c r="BB126" s="772" cm="1">
        <f t="array" aca="1" ref="BB126" ca="1">INDIRECT("'Definition of Typical Day'!"&amp;ADDRESS(BB$16,$E126))</f>
        <v>60</v>
      </c>
      <c r="BC126" s="776" cm="1">
        <f t="array" aca="1" ref="BC126" ca="1">INDIRECT("'Definition of Typical Day'!"&amp; ADDRESS($D126+29*(BC$16-1),$E126))</f>
        <v>14.24</v>
      </c>
      <c r="BD126" s="777" cm="1">
        <f t="array" aca="1" ref="BD126" ca="1">INDIRECT("'Definition of Typical Day'!"&amp; ADDRESS($D126+29*(BD$16-1),$E126))</f>
        <v>1</v>
      </c>
      <c r="BE126" s="776">
        <f t="shared" si="137"/>
        <v>0</v>
      </c>
      <c r="BF126" s="771">
        <f t="shared" ca="1" si="138"/>
        <v>8.2011471425289084</v>
      </c>
      <c r="BG126" s="771">
        <f t="shared" ca="1" si="139"/>
        <v>2.5455844122715714</v>
      </c>
      <c r="BH126" s="771">
        <f t="shared" ca="1" si="140"/>
        <v>0</v>
      </c>
      <c r="BI126" s="776">
        <f t="shared" ca="1" si="141"/>
        <v>3.0059450085816053</v>
      </c>
      <c r="BJ126" s="776">
        <f t="shared" ca="1" si="142"/>
        <v>0.79138832475172793</v>
      </c>
      <c r="BK126" s="776">
        <f t="shared" ca="1" si="143"/>
        <v>0</v>
      </c>
      <c r="BL126" s="776">
        <f t="shared" ca="1" si="144"/>
        <v>0</v>
      </c>
      <c r="BM126" s="135"/>
      <c r="BN126" s="776">
        <f t="shared" ca="1" si="145"/>
        <v>14.74673155480048</v>
      </c>
      <c r="BO126" s="778">
        <f t="shared" ca="1" si="82"/>
        <v>7.0218948705300042</v>
      </c>
      <c r="BP126" s="770">
        <f t="shared" ca="1" si="83"/>
        <v>10.74673155480048</v>
      </c>
      <c r="BQ126" s="771">
        <f t="shared" ca="1" si="84"/>
        <v>0</v>
      </c>
      <c r="BR126" s="771">
        <f t="shared" ca="1" si="85"/>
        <v>0</v>
      </c>
      <c r="BS126" s="776">
        <f t="shared" ca="1" si="146"/>
        <v>14.74673155480048</v>
      </c>
      <c r="BT126" s="776">
        <f t="shared" ca="1" si="86"/>
        <v>10.74673155480048</v>
      </c>
      <c r="BU126" s="783">
        <f t="shared" ca="1" si="87"/>
        <v>5.1172301400611904</v>
      </c>
      <c r="BV126" s="783">
        <f t="shared" ca="1" si="88"/>
        <v>5.1172301400611904</v>
      </c>
      <c r="BW126" s="1019">
        <f t="shared" ca="1" si="147"/>
        <v>5.1172301400611904</v>
      </c>
      <c r="BX126" s="771" cm="1">
        <f t="array" aca="1" ref="BX126" ca="1">INDIRECT("'Definition of Typical Day'!"&amp; ADDRESS($D126+29*(BX$16-1),$E126))</f>
        <v>55</v>
      </c>
      <c r="BY126" s="771">
        <f t="shared" ca="1" si="148"/>
        <v>1</v>
      </c>
      <c r="BZ126" s="781">
        <f t="shared" ca="1" si="89"/>
        <v>1</v>
      </c>
      <c r="CA126" s="781">
        <f t="shared" ca="1" si="90"/>
        <v>0.70710678118654757</v>
      </c>
      <c r="CB126" s="776">
        <f t="shared" ca="1" si="91"/>
        <v>115.50589270682256</v>
      </c>
      <c r="CC126" s="782">
        <f t="shared" si="92"/>
        <v>5</v>
      </c>
      <c r="CD126" s="782">
        <f t="shared" si="93"/>
        <v>10</v>
      </c>
      <c r="CE126" s="784" t="str" cm="1">
        <f t="array" aca="1" ref="CE126" ca="1">INDIRECT("'Definition of Typical Day'!"&amp;ADDRESS(CE$16,$E126))</f>
        <v>Summer weekend</v>
      </c>
      <c r="CF126" s="232"/>
      <c r="CG126" s="232"/>
      <c r="CH126" s="776">
        <f t="shared" ca="1" si="94"/>
        <v>2</v>
      </c>
      <c r="CI126" s="806">
        <f t="shared" ca="1" si="95"/>
        <v>6</v>
      </c>
      <c r="CJ126" s="770">
        <f t="shared" ca="1" si="96"/>
        <v>2.1001071401240465</v>
      </c>
      <c r="CK126" s="771">
        <f t="shared" ca="1" si="97"/>
        <v>1.5831873289580085</v>
      </c>
      <c r="CL126" s="771">
        <f t="shared" ca="1" si="98"/>
        <v>0.53813301460163443</v>
      </c>
      <c r="CM126" s="772">
        <f t="shared" ca="1" si="99"/>
        <v>0</v>
      </c>
      <c r="CN126" s="135"/>
      <c r="CO126" s="770">
        <f t="shared" ca="1" si="149"/>
        <v>1.05</v>
      </c>
      <c r="CP126" s="771">
        <f t="shared" ca="1" si="100"/>
        <v>0.98</v>
      </c>
      <c r="CQ126" s="771">
        <f t="shared" ca="1" si="101"/>
        <v>0.96</v>
      </c>
      <c r="CR126" s="771">
        <f t="shared" ca="1" si="102"/>
        <v>0.95</v>
      </c>
      <c r="CS126" s="771">
        <f t="shared" ca="1" si="103"/>
        <v>1.02</v>
      </c>
      <c r="CT126" s="772">
        <f t="shared" ca="1" si="104"/>
        <v>0.02</v>
      </c>
      <c r="CU126" s="135"/>
      <c r="CV126" s="135"/>
      <c r="CW126" s="135"/>
      <c r="CX126" s="135"/>
      <c r="CY126" s="135"/>
      <c r="CZ126" s="135"/>
      <c r="DA126" s="135"/>
      <c r="DB126" s="135"/>
      <c r="DC126" s="135"/>
      <c r="DD126" s="135"/>
      <c r="DE126" s="135"/>
      <c r="DF126" s="135"/>
      <c r="DG126" s="135"/>
      <c r="DH126" s="135"/>
      <c r="DI126" s="135"/>
      <c r="DJ126" s="135"/>
      <c r="DK126" s="135"/>
      <c r="DL126" s="135"/>
      <c r="DX126" s="135"/>
      <c r="DY126" s="135"/>
      <c r="DZ126" s="135"/>
      <c r="EA126" s="135"/>
      <c r="EB126" s="135"/>
      <c r="EC126" s="135"/>
      <c r="ED126" s="135"/>
      <c r="EE126" s="135"/>
      <c r="EF126" s="135"/>
      <c r="EG126" s="135"/>
      <c r="EH126" s="135"/>
      <c r="EI126" s="135"/>
      <c r="EJ126" s="135"/>
      <c r="EK126" s="135"/>
      <c r="EL126" s="135"/>
      <c r="EM126" s="135"/>
      <c r="EN126" s="135"/>
      <c r="EO126" s="135"/>
      <c r="EP126" s="135"/>
      <c r="EQ126" s="135"/>
      <c r="ER126" s="135"/>
      <c r="ES126" s="135"/>
      <c r="ET126" s="135"/>
      <c r="EU126" s="135"/>
      <c r="EV126" s="135"/>
      <c r="EW126" s="135"/>
      <c r="EX126" s="135"/>
      <c r="EY126" s="135"/>
      <c r="EZ126" s="135"/>
      <c r="FA126" s="135"/>
      <c r="FB126" s="135"/>
      <c r="FC126" s="135"/>
      <c r="FD126" s="135"/>
      <c r="FE126" s="135"/>
      <c r="FF126" s="135"/>
      <c r="FG126" s="135"/>
    </row>
    <row r="127" spans="1:163" s="57" customFormat="1" ht="11.25" outlineLevel="1">
      <c r="A127" s="765">
        <f t="shared" si="150"/>
        <v>5</v>
      </c>
      <c r="B127" s="715" t="str" cm="1">
        <f t="array" aca="1" ref="B127" ca="1">INDIRECT("'Definition of Typical Day'!"&amp;ADDRESS(B$16,$E127))</f>
        <v>Summer weekend</v>
      </c>
      <c r="C127" s="766">
        <f t="shared" si="151"/>
        <v>11</v>
      </c>
      <c r="D127" s="715">
        <f t="shared" si="151"/>
        <v>45</v>
      </c>
      <c r="E127" s="715">
        <f t="shared" si="79"/>
        <v>9</v>
      </c>
      <c r="F127" s="767" cm="1">
        <f t="array" aca="1" ref="F127" ca="1">INDIRECT("'Definition of Typical Day'!D"&amp;D127)</f>
        <v>11</v>
      </c>
      <c r="G127" s="767" cm="1">
        <f t="array" aca="1" ref="G127" ca="1">INDIRECT("'Definition of Typical Day'!"&amp;ADDRESS(13,E127))</f>
        <v>5</v>
      </c>
      <c r="H127" s="768" cm="1">
        <f t="array" aca="1" ref="H127" ca="1">INDIRECT("'Definition of Typical Day'!"&amp; ADDRESS($D127+28*(H$16-1),$E127))</f>
        <v>2</v>
      </c>
      <c r="I127" s="715" cm="1">
        <f t="array" aca="1" ref="I127" ca="1">INDIRECT("'Definition of Typical Day'!"&amp; ADDRESS($D127+29*(I$16-1),$E127))</f>
        <v>40</v>
      </c>
      <c r="J127" s="715">
        <f t="shared" ca="1" si="105"/>
        <v>37</v>
      </c>
      <c r="K127" s="785">
        <f t="shared" si="106"/>
        <v>28</v>
      </c>
      <c r="L127" s="786" cm="1">
        <f t="array" aca="1" ref="L127" ca="1">INDIRECT("'Definition of Typical Day'!"&amp; ADDRESS($D127+29*(L$16-1),$E127))</f>
        <v>6</v>
      </c>
      <c r="M127" s="768" cm="1">
        <f t="array" aca="1" ref="M127" ca="1">INDIRECT("'Definition of Typical Day'!"&amp; ADDRESS($D127+29*(M$16-1),$E127))</f>
        <v>60</v>
      </c>
      <c r="N127" s="715">
        <f t="shared" si="107"/>
        <v>3</v>
      </c>
      <c r="O127" s="715">
        <f t="shared" ca="1" si="108"/>
        <v>63</v>
      </c>
      <c r="P127" s="715" cm="1">
        <f t="array" aca="1" ref="P127" ca="1">INDIRECT("'Definition of Typical Day'!"&amp; ADDRESS($D127+29*(P$16-1),$E127))</f>
        <v>45</v>
      </c>
      <c r="Q127" s="787">
        <f t="shared" ca="1" si="109"/>
        <v>48</v>
      </c>
      <c r="R127" s="792">
        <f t="shared" ca="1" si="110"/>
        <v>63</v>
      </c>
      <c r="S127" s="769">
        <f t="shared" si="111"/>
        <v>3</v>
      </c>
      <c r="T127" s="769">
        <f t="shared" ca="1" si="112"/>
        <v>0.24</v>
      </c>
      <c r="U127" s="769">
        <f t="shared" ca="1" si="113"/>
        <v>0.70199999999999996</v>
      </c>
      <c r="V127" s="769">
        <f t="shared" ca="1" si="114"/>
        <v>0</v>
      </c>
      <c r="W127" s="769">
        <f t="shared" ca="1" si="115"/>
        <v>3.9420000000000002</v>
      </c>
      <c r="X127" s="794">
        <f t="shared" si="116"/>
        <v>3</v>
      </c>
      <c r="Y127" s="769">
        <f t="shared" ca="1" si="117"/>
        <v>2.1213203435596428</v>
      </c>
      <c r="Z127" s="769">
        <f t="shared" ca="1" si="118"/>
        <v>2.1213203435596428</v>
      </c>
      <c r="AA127" s="795">
        <f t="shared" ca="1" si="119"/>
        <v>2.1213203435596428</v>
      </c>
      <c r="AB127" s="769">
        <f t="shared" ca="1" si="120"/>
        <v>0</v>
      </c>
      <c r="AC127" s="769">
        <f t="shared" ca="1" si="121"/>
        <v>0</v>
      </c>
      <c r="AD127" s="769">
        <f t="shared" ca="1" si="122"/>
        <v>0</v>
      </c>
      <c r="AE127" s="794">
        <f t="shared" ca="1" si="123"/>
        <v>2.1213203435596428</v>
      </c>
      <c r="AF127" s="769">
        <f t="shared" ca="1" si="124"/>
        <v>2.1213203435596427E-2</v>
      </c>
      <c r="AG127" s="769">
        <f t="shared" ca="1" si="125"/>
        <v>2.1001071401240465</v>
      </c>
      <c r="AH127" s="799">
        <f t="shared" ca="1" si="126"/>
        <v>2.1001071401240465</v>
      </c>
      <c r="AI127" s="801">
        <f t="shared" ca="1" si="127"/>
        <v>1</v>
      </c>
      <c r="AJ127" s="794">
        <f t="shared" ca="1" si="128"/>
        <v>1.5831873289580085</v>
      </c>
      <c r="AK127" s="769">
        <f t="shared" ca="1" si="129"/>
        <v>0.53813301460163443</v>
      </c>
      <c r="AL127" s="769">
        <f t="shared" ca="1" si="130"/>
        <v>0</v>
      </c>
      <c r="AM127" s="804">
        <f t="shared" ca="1" si="80"/>
        <v>0.2110916438610678</v>
      </c>
      <c r="AN127" s="795">
        <f t="shared" ca="1" si="81"/>
        <v>5.5575022805598867E-2</v>
      </c>
      <c r="AO127" s="251"/>
      <c r="AP127" s="770">
        <f t="shared" si="131"/>
        <v>0</v>
      </c>
      <c r="AQ127" s="771">
        <f t="shared" ca="1" si="132"/>
        <v>0</v>
      </c>
      <c r="AR127" s="771">
        <f t="shared" ca="1" si="133"/>
        <v>3.166374657916017</v>
      </c>
      <c r="AS127" s="772">
        <f t="shared" ca="1" si="134"/>
        <v>3.166374657916017</v>
      </c>
      <c r="AT127" s="231"/>
      <c r="AU127" s="770">
        <f>'Main Results - IRR DC Operator'!$F$16</f>
        <v>2</v>
      </c>
      <c r="AV127" s="773">
        <f>'Main Results - IRR DC Operator'!$F$15</f>
        <v>1</v>
      </c>
      <c r="AW127" s="771">
        <f t="shared" ca="1" si="135"/>
        <v>4</v>
      </c>
      <c r="AX127" s="772">
        <f t="shared" si="136"/>
        <v>0</v>
      </c>
      <c r="AY127" s="231"/>
      <c r="AZ127" s="770" cm="1">
        <f t="array" aca="1" ref="AZ127" ca="1">INDIRECT("'Definition of Typical Day'!"&amp; ADDRESS($D127+29*(AZ$16-1),$E127))+$AZ$17</f>
        <v>11</v>
      </c>
      <c r="BA127" s="771" cm="1">
        <f t="array" aca="1" ref="BA127" ca="1">INDIRECT("'Definition of Typical Day'!"&amp; ADDRESS($D127+29*(BA$16-1),$E127))+$BA$17</f>
        <v>11</v>
      </c>
      <c r="BB127" s="772" cm="1">
        <f t="array" aca="1" ref="BB127" ca="1">INDIRECT("'Definition of Typical Day'!"&amp;ADDRESS(BB$16,$E127))</f>
        <v>60</v>
      </c>
      <c r="BC127" s="776" cm="1">
        <f t="array" aca="1" ref="BC127" ca="1">INDIRECT("'Definition of Typical Day'!"&amp; ADDRESS($D127+29*(BC$16-1),$E127))</f>
        <v>10</v>
      </c>
      <c r="BD127" s="777" cm="1">
        <f t="array" aca="1" ref="BD127" ca="1">INDIRECT("'Definition of Typical Day'!"&amp; ADDRESS($D127+29*(BD$16-1),$E127))</f>
        <v>1</v>
      </c>
      <c r="BE127" s="776">
        <f t="shared" si="137"/>
        <v>0</v>
      </c>
      <c r="BF127" s="771">
        <f t="shared" ca="1" si="138"/>
        <v>5.9194631606179788</v>
      </c>
      <c r="BG127" s="771">
        <f t="shared" ca="1" si="139"/>
        <v>2.5455844122715714</v>
      </c>
      <c r="BH127" s="771">
        <f t="shared" ca="1" si="140"/>
        <v>0</v>
      </c>
      <c r="BI127" s="776">
        <f t="shared" ca="1" si="141"/>
        <v>2.110916438610678</v>
      </c>
      <c r="BJ127" s="776">
        <f t="shared" ca="1" si="142"/>
        <v>0.55575022805598873</v>
      </c>
      <c r="BK127" s="776">
        <f t="shared" ca="1" si="143"/>
        <v>0</v>
      </c>
      <c r="BL127" s="776">
        <f t="shared" ca="1" si="144"/>
        <v>0</v>
      </c>
      <c r="BM127" s="135"/>
      <c r="BN127" s="776">
        <f t="shared" ca="1" si="145"/>
        <v>12.465047572889551</v>
      </c>
      <c r="BO127" s="778">
        <f t="shared" ca="1" si="82"/>
        <v>5.9354341189246567</v>
      </c>
      <c r="BP127" s="770">
        <f t="shared" ca="1" si="83"/>
        <v>8.4650475728895493</v>
      </c>
      <c r="BQ127" s="771">
        <f t="shared" ca="1" si="84"/>
        <v>0</v>
      </c>
      <c r="BR127" s="771">
        <f t="shared" ca="1" si="85"/>
        <v>0</v>
      </c>
      <c r="BS127" s="776">
        <f t="shared" ca="1" si="146"/>
        <v>12.465047572889551</v>
      </c>
      <c r="BT127" s="776">
        <f t="shared" ca="1" si="86"/>
        <v>8.4650475728895493</v>
      </c>
      <c r="BU127" s="783">
        <f t="shared" ca="1" si="87"/>
        <v>4.0307693884558411</v>
      </c>
      <c r="BV127" s="783">
        <f t="shared" ca="1" si="88"/>
        <v>4.0307693884558411</v>
      </c>
      <c r="BW127" s="1019">
        <f t="shared" ca="1" si="147"/>
        <v>4.0307693884558411</v>
      </c>
      <c r="BX127" s="771" cm="1">
        <f t="array" aca="1" ref="BX127" ca="1">INDIRECT("'Definition of Typical Day'!"&amp; ADDRESS($D127+29*(BX$16-1),$E127))</f>
        <v>55</v>
      </c>
      <c r="BY127" s="771">
        <f t="shared" ca="1" si="148"/>
        <v>1</v>
      </c>
      <c r="BZ127" s="781">
        <f t="shared" ca="1" si="89"/>
        <v>1</v>
      </c>
      <c r="CA127" s="781">
        <f t="shared" ca="1" si="90"/>
        <v>0.70710678118654757</v>
      </c>
      <c r="CB127" s="776">
        <f t="shared" ca="1" si="91"/>
        <v>115.50589270682256</v>
      </c>
      <c r="CC127" s="782">
        <f t="shared" si="92"/>
        <v>5</v>
      </c>
      <c r="CD127" s="782">
        <f t="shared" si="93"/>
        <v>11</v>
      </c>
      <c r="CE127" s="784" t="str" cm="1">
        <f t="array" aca="1" ref="CE127" ca="1">INDIRECT("'Definition of Typical Day'!"&amp;ADDRESS(CE$16,$E127))</f>
        <v>Summer weekend</v>
      </c>
      <c r="CF127" s="232"/>
      <c r="CG127" s="232"/>
      <c r="CH127" s="776">
        <f t="shared" ca="1" si="94"/>
        <v>2</v>
      </c>
      <c r="CI127" s="806">
        <f t="shared" ca="1" si="95"/>
        <v>6</v>
      </c>
      <c r="CJ127" s="770">
        <f t="shared" ca="1" si="96"/>
        <v>2.1001071401240465</v>
      </c>
      <c r="CK127" s="771">
        <f t="shared" ca="1" si="97"/>
        <v>1.5831873289580085</v>
      </c>
      <c r="CL127" s="771">
        <f t="shared" ca="1" si="98"/>
        <v>0.53813301460163443</v>
      </c>
      <c r="CM127" s="772">
        <f t="shared" ca="1" si="99"/>
        <v>0</v>
      </c>
      <c r="CN127" s="135"/>
      <c r="CO127" s="770">
        <f t="shared" ca="1" si="149"/>
        <v>1.05</v>
      </c>
      <c r="CP127" s="771">
        <f t="shared" ca="1" si="100"/>
        <v>0.98</v>
      </c>
      <c r="CQ127" s="771">
        <f t="shared" ca="1" si="101"/>
        <v>0.96</v>
      </c>
      <c r="CR127" s="771">
        <f t="shared" ca="1" si="102"/>
        <v>0.95</v>
      </c>
      <c r="CS127" s="771">
        <f t="shared" ca="1" si="103"/>
        <v>1.02</v>
      </c>
      <c r="CT127" s="772">
        <f t="shared" ca="1" si="104"/>
        <v>0.02</v>
      </c>
      <c r="CU127" s="135"/>
      <c r="CV127" s="135"/>
      <c r="CW127" s="135"/>
      <c r="CX127" s="135"/>
      <c r="CY127" s="135"/>
      <c r="CZ127" s="135"/>
      <c r="DA127" s="135"/>
      <c r="DB127" s="135"/>
      <c r="DC127" s="135"/>
      <c r="DD127" s="135"/>
      <c r="DE127" s="135"/>
      <c r="DF127" s="135"/>
      <c r="DG127" s="135"/>
      <c r="DH127" s="135"/>
      <c r="DI127" s="135"/>
      <c r="DJ127" s="135"/>
      <c r="DK127" s="135"/>
      <c r="DL127" s="135"/>
      <c r="DX127" s="135"/>
      <c r="DY127" s="135"/>
      <c r="DZ127" s="135"/>
      <c r="EA127" s="135"/>
      <c r="EB127" s="135"/>
      <c r="EC127" s="135"/>
      <c r="ED127" s="135"/>
      <c r="EE127" s="135"/>
      <c r="EF127" s="135"/>
      <c r="EG127" s="135"/>
      <c r="EH127" s="135"/>
      <c r="EI127" s="135"/>
      <c r="EJ127" s="135"/>
      <c r="EK127" s="135"/>
      <c r="EL127" s="135"/>
      <c r="EM127" s="135"/>
      <c r="EN127" s="135"/>
      <c r="EO127" s="135"/>
      <c r="EP127" s="135"/>
      <c r="EQ127" s="135"/>
      <c r="ER127" s="135"/>
      <c r="ES127" s="135"/>
      <c r="ET127" s="135"/>
      <c r="EU127" s="135"/>
      <c r="EV127" s="135"/>
      <c r="EW127" s="135"/>
      <c r="EX127" s="135"/>
      <c r="EY127" s="135"/>
      <c r="EZ127" s="135"/>
      <c r="FA127" s="135"/>
      <c r="FB127" s="135"/>
      <c r="FC127" s="135"/>
      <c r="FD127" s="135"/>
      <c r="FE127" s="135"/>
      <c r="FF127" s="135"/>
      <c r="FG127" s="135"/>
    </row>
    <row r="128" spans="1:163" s="57" customFormat="1" ht="11.25" outlineLevel="1">
      <c r="A128" s="765">
        <f t="shared" si="150"/>
        <v>5</v>
      </c>
      <c r="B128" s="715" t="str" cm="1">
        <f t="array" aca="1" ref="B128" ca="1">INDIRECT("'Definition of Typical Day'!"&amp;ADDRESS(B$16,$E128))</f>
        <v>Summer weekend</v>
      </c>
      <c r="C128" s="766">
        <f t="shared" si="151"/>
        <v>12</v>
      </c>
      <c r="D128" s="715">
        <f t="shared" si="151"/>
        <v>46</v>
      </c>
      <c r="E128" s="715">
        <f t="shared" si="79"/>
        <v>9</v>
      </c>
      <c r="F128" s="767" cm="1">
        <f t="array" aca="1" ref="F128" ca="1">INDIRECT("'Definition of Typical Day'!D"&amp;D128)</f>
        <v>12</v>
      </c>
      <c r="G128" s="767" cm="1">
        <f t="array" aca="1" ref="G128" ca="1">INDIRECT("'Definition of Typical Day'!"&amp;ADDRESS(13,E128))</f>
        <v>5</v>
      </c>
      <c r="H128" s="768" cm="1">
        <f t="array" aca="1" ref="H128" ca="1">INDIRECT("'Definition of Typical Day'!"&amp; ADDRESS($D128+28*(H$16-1),$E128))</f>
        <v>2</v>
      </c>
      <c r="I128" s="715" cm="1">
        <f t="array" aca="1" ref="I128" ca="1">INDIRECT("'Definition of Typical Day'!"&amp; ADDRESS($D128+29*(I$16-1),$E128))</f>
        <v>40</v>
      </c>
      <c r="J128" s="715">
        <f t="shared" ca="1" si="105"/>
        <v>37</v>
      </c>
      <c r="K128" s="785">
        <f t="shared" si="106"/>
        <v>28</v>
      </c>
      <c r="L128" s="786" cm="1">
        <f t="array" aca="1" ref="L128" ca="1">INDIRECT("'Definition of Typical Day'!"&amp; ADDRESS($D128+29*(L$16-1),$E128))</f>
        <v>6</v>
      </c>
      <c r="M128" s="768" cm="1">
        <f t="array" aca="1" ref="M128" ca="1">INDIRECT("'Definition of Typical Day'!"&amp; ADDRESS($D128+29*(M$16-1),$E128))</f>
        <v>60</v>
      </c>
      <c r="N128" s="715">
        <f t="shared" si="107"/>
        <v>3</v>
      </c>
      <c r="O128" s="715">
        <f t="shared" ca="1" si="108"/>
        <v>63</v>
      </c>
      <c r="P128" s="715" cm="1">
        <f t="array" aca="1" ref="P128" ca="1">INDIRECT("'Definition of Typical Day'!"&amp; ADDRESS($D128+29*(P$16-1),$E128))</f>
        <v>45</v>
      </c>
      <c r="Q128" s="787">
        <f t="shared" ca="1" si="109"/>
        <v>48</v>
      </c>
      <c r="R128" s="792">
        <f t="shared" ca="1" si="110"/>
        <v>63</v>
      </c>
      <c r="S128" s="769">
        <f t="shared" si="111"/>
        <v>3</v>
      </c>
      <c r="T128" s="769">
        <f t="shared" ca="1" si="112"/>
        <v>0.24</v>
      </c>
      <c r="U128" s="769">
        <f t="shared" ca="1" si="113"/>
        <v>0.70199999999999996</v>
      </c>
      <c r="V128" s="769">
        <f t="shared" ca="1" si="114"/>
        <v>0</v>
      </c>
      <c r="W128" s="769">
        <f t="shared" ca="1" si="115"/>
        <v>3.9420000000000002</v>
      </c>
      <c r="X128" s="794">
        <f t="shared" si="116"/>
        <v>3</v>
      </c>
      <c r="Y128" s="769">
        <f t="shared" ca="1" si="117"/>
        <v>2.1213203435596428</v>
      </c>
      <c r="Z128" s="769">
        <f t="shared" ca="1" si="118"/>
        <v>2.1213203435596428</v>
      </c>
      <c r="AA128" s="795">
        <f t="shared" ca="1" si="119"/>
        <v>2.1213203435596428</v>
      </c>
      <c r="AB128" s="769">
        <f t="shared" ca="1" si="120"/>
        <v>0</v>
      </c>
      <c r="AC128" s="769">
        <f t="shared" ca="1" si="121"/>
        <v>0</v>
      </c>
      <c r="AD128" s="769">
        <f t="shared" ca="1" si="122"/>
        <v>0</v>
      </c>
      <c r="AE128" s="794">
        <f t="shared" ca="1" si="123"/>
        <v>2.1213203435596428</v>
      </c>
      <c r="AF128" s="769">
        <f t="shared" ca="1" si="124"/>
        <v>2.1213203435596427E-2</v>
      </c>
      <c r="AG128" s="769">
        <f t="shared" ca="1" si="125"/>
        <v>2.1001071401240465</v>
      </c>
      <c r="AH128" s="799">
        <f t="shared" ca="1" si="126"/>
        <v>2.1001071401240465</v>
      </c>
      <c r="AI128" s="801">
        <f t="shared" ca="1" si="127"/>
        <v>1</v>
      </c>
      <c r="AJ128" s="794">
        <f t="shared" ca="1" si="128"/>
        <v>1.5831873289580085</v>
      </c>
      <c r="AK128" s="769">
        <f t="shared" ca="1" si="129"/>
        <v>0.53813301460163443</v>
      </c>
      <c r="AL128" s="769">
        <f t="shared" ca="1" si="130"/>
        <v>0</v>
      </c>
      <c r="AM128" s="804">
        <f t="shared" ca="1" si="80"/>
        <v>0.2110916438610678</v>
      </c>
      <c r="AN128" s="795">
        <f t="shared" ca="1" si="81"/>
        <v>5.5575022805598867E-2</v>
      </c>
      <c r="AO128" s="251"/>
      <c r="AP128" s="770">
        <f t="shared" si="131"/>
        <v>0</v>
      </c>
      <c r="AQ128" s="771">
        <f t="shared" ca="1" si="132"/>
        <v>0</v>
      </c>
      <c r="AR128" s="771">
        <f t="shared" ca="1" si="133"/>
        <v>3.166374657916017</v>
      </c>
      <c r="AS128" s="772">
        <f t="shared" ca="1" si="134"/>
        <v>3.166374657916017</v>
      </c>
      <c r="AT128" s="231"/>
      <c r="AU128" s="770">
        <f>'Main Results - IRR DC Operator'!$F$16</f>
        <v>2</v>
      </c>
      <c r="AV128" s="773">
        <f>'Main Results - IRR DC Operator'!$F$15</f>
        <v>1</v>
      </c>
      <c r="AW128" s="771">
        <f t="shared" ca="1" si="135"/>
        <v>4</v>
      </c>
      <c r="AX128" s="772">
        <f t="shared" si="136"/>
        <v>0</v>
      </c>
      <c r="AY128" s="231"/>
      <c r="AZ128" s="770" cm="1">
        <f t="array" aca="1" ref="AZ128" ca="1">INDIRECT("'Definition of Typical Day'!"&amp; ADDRESS($D128+29*(AZ$16-1),$E128))+$AZ$17</f>
        <v>10.95</v>
      </c>
      <c r="BA128" s="771" cm="1">
        <f t="array" aca="1" ref="BA128" ca="1">INDIRECT("'Definition of Typical Day'!"&amp; ADDRESS($D128+29*(BA$16-1),$E128))+$BA$17</f>
        <v>10.95</v>
      </c>
      <c r="BB128" s="772" cm="1">
        <f t="array" aca="1" ref="BB128" ca="1">INDIRECT("'Definition of Typical Day'!"&amp;ADDRESS(BB$16,$E128))</f>
        <v>60</v>
      </c>
      <c r="BC128" s="776" cm="1">
        <f t="array" aca="1" ref="BC128" ca="1">INDIRECT("'Definition of Typical Day'!"&amp; ADDRESS($D128+29*(BC$16-1),$E128))</f>
        <v>9.9499999999999993</v>
      </c>
      <c r="BD128" s="777" cm="1">
        <f t="array" aca="1" ref="BD128" ca="1">INDIRECT("'Definition of Typical Day'!"&amp; ADDRESS($D128+29*(BD$16-1),$E128))</f>
        <v>1</v>
      </c>
      <c r="BE128" s="776">
        <f t="shared" si="137"/>
        <v>0</v>
      </c>
      <c r="BF128" s="771">
        <f t="shared" ca="1" si="138"/>
        <v>5.8925565098878963</v>
      </c>
      <c r="BG128" s="771">
        <f t="shared" ca="1" si="139"/>
        <v>2.5455844122715714</v>
      </c>
      <c r="BH128" s="771">
        <f t="shared" ca="1" si="140"/>
        <v>0</v>
      </c>
      <c r="BI128" s="776">
        <f t="shared" ca="1" si="141"/>
        <v>2.1003618564176243</v>
      </c>
      <c r="BJ128" s="776">
        <f t="shared" ca="1" si="142"/>
        <v>0.55297147691570869</v>
      </c>
      <c r="BK128" s="776">
        <f t="shared" ca="1" si="143"/>
        <v>0</v>
      </c>
      <c r="BL128" s="776">
        <f t="shared" ca="1" si="144"/>
        <v>0</v>
      </c>
      <c r="BM128" s="135"/>
      <c r="BN128" s="776">
        <f t="shared" ca="1" si="145"/>
        <v>12.438140922159468</v>
      </c>
      <c r="BO128" s="778">
        <f t="shared" ca="1" si="82"/>
        <v>5.9226220817594983</v>
      </c>
      <c r="BP128" s="770">
        <f t="shared" ca="1" si="83"/>
        <v>8.4381409221594676</v>
      </c>
      <c r="BQ128" s="771">
        <f t="shared" ca="1" si="84"/>
        <v>0</v>
      </c>
      <c r="BR128" s="771">
        <f t="shared" ca="1" si="85"/>
        <v>0</v>
      </c>
      <c r="BS128" s="776">
        <f t="shared" ca="1" si="146"/>
        <v>12.438140922159468</v>
      </c>
      <c r="BT128" s="776">
        <f t="shared" ca="1" si="86"/>
        <v>8.4381409221594676</v>
      </c>
      <c r="BU128" s="783">
        <f t="shared" ca="1" si="87"/>
        <v>4.0179573512906845</v>
      </c>
      <c r="BV128" s="783">
        <f t="shared" ca="1" si="88"/>
        <v>4.0179573512906845</v>
      </c>
      <c r="BW128" s="1019">
        <f t="shared" ca="1" si="147"/>
        <v>4.0179573512906845</v>
      </c>
      <c r="BX128" s="771" cm="1">
        <f t="array" aca="1" ref="BX128" ca="1">INDIRECT("'Definition of Typical Day'!"&amp; ADDRESS($D128+29*(BX$16-1),$E128))</f>
        <v>55</v>
      </c>
      <c r="BY128" s="771">
        <f t="shared" ca="1" si="148"/>
        <v>1</v>
      </c>
      <c r="BZ128" s="781">
        <f t="shared" ca="1" si="89"/>
        <v>1</v>
      </c>
      <c r="CA128" s="781">
        <f t="shared" ca="1" si="90"/>
        <v>0.70710678118654757</v>
      </c>
      <c r="CB128" s="776">
        <f t="shared" ca="1" si="91"/>
        <v>115.50589270682256</v>
      </c>
      <c r="CC128" s="782">
        <f t="shared" si="92"/>
        <v>5</v>
      </c>
      <c r="CD128" s="782">
        <f t="shared" si="93"/>
        <v>12</v>
      </c>
      <c r="CE128" s="784" t="str" cm="1">
        <f t="array" aca="1" ref="CE128" ca="1">INDIRECT("'Definition of Typical Day'!"&amp;ADDRESS(CE$16,$E128))</f>
        <v>Summer weekend</v>
      </c>
      <c r="CF128" s="232"/>
      <c r="CG128" s="232"/>
      <c r="CH128" s="776">
        <f t="shared" ca="1" si="94"/>
        <v>2</v>
      </c>
      <c r="CI128" s="806">
        <f t="shared" ca="1" si="95"/>
        <v>6</v>
      </c>
      <c r="CJ128" s="770">
        <f t="shared" ca="1" si="96"/>
        <v>2.1001071401240465</v>
      </c>
      <c r="CK128" s="771">
        <f t="shared" ca="1" si="97"/>
        <v>1.5831873289580085</v>
      </c>
      <c r="CL128" s="771">
        <f t="shared" ca="1" si="98"/>
        <v>0.53813301460163443</v>
      </c>
      <c r="CM128" s="772">
        <f t="shared" ca="1" si="99"/>
        <v>0</v>
      </c>
      <c r="CN128" s="135"/>
      <c r="CO128" s="770">
        <f t="shared" ca="1" si="149"/>
        <v>1.05</v>
      </c>
      <c r="CP128" s="771">
        <f t="shared" ca="1" si="100"/>
        <v>0.98</v>
      </c>
      <c r="CQ128" s="771">
        <f t="shared" ca="1" si="101"/>
        <v>0.96</v>
      </c>
      <c r="CR128" s="771">
        <f t="shared" ca="1" si="102"/>
        <v>0.95</v>
      </c>
      <c r="CS128" s="771">
        <f t="shared" ca="1" si="103"/>
        <v>1.02</v>
      </c>
      <c r="CT128" s="772">
        <f t="shared" ca="1" si="104"/>
        <v>0.02</v>
      </c>
      <c r="CU128" s="135"/>
      <c r="CV128" s="135"/>
      <c r="CW128" s="135"/>
      <c r="CX128" s="135"/>
      <c r="CY128" s="135"/>
      <c r="CZ128" s="135"/>
      <c r="DA128" s="135"/>
      <c r="DB128" s="135"/>
      <c r="DC128" s="135"/>
      <c r="DD128" s="135"/>
      <c r="DE128" s="135"/>
      <c r="DF128" s="135"/>
      <c r="DG128" s="135"/>
      <c r="DH128" s="135"/>
      <c r="DI128" s="135"/>
      <c r="DJ128" s="135"/>
      <c r="DK128" s="135"/>
      <c r="DL128" s="135"/>
      <c r="DX128" s="135"/>
      <c r="DY128" s="135"/>
      <c r="DZ128" s="135"/>
      <c r="EA128" s="135"/>
      <c r="EB128" s="135"/>
      <c r="EC128" s="135"/>
      <c r="ED128" s="135"/>
      <c r="EE128" s="135"/>
      <c r="EF128" s="135"/>
      <c r="EG128" s="135"/>
      <c r="EH128" s="135"/>
      <c r="EI128" s="135"/>
      <c r="EJ128" s="135"/>
      <c r="EK128" s="135"/>
      <c r="EL128" s="135"/>
      <c r="EM128" s="135"/>
      <c r="EN128" s="135"/>
      <c r="EO128" s="135"/>
      <c r="EP128" s="135"/>
      <c r="EQ128" s="135"/>
      <c r="ER128" s="135"/>
      <c r="ES128" s="135"/>
      <c r="ET128" s="135"/>
      <c r="EU128" s="135"/>
      <c r="EV128" s="135"/>
      <c r="EW128" s="135"/>
      <c r="EX128" s="135"/>
      <c r="EY128" s="135"/>
      <c r="EZ128" s="135"/>
      <c r="FA128" s="135"/>
      <c r="FB128" s="135"/>
      <c r="FC128" s="135"/>
      <c r="FD128" s="135"/>
      <c r="FE128" s="135"/>
      <c r="FF128" s="135"/>
      <c r="FG128" s="135"/>
    </row>
    <row r="129" spans="1:163" s="57" customFormat="1" ht="11.25" outlineLevel="1">
      <c r="A129" s="765">
        <f t="shared" si="150"/>
        <v>5</v>
      </c>
      <c r="B129" s="715" t="str" cm="1">
        <f t="array" aca="1" ref="B129" ca="1">INDIRECT("'Definition of Typical Day'!"&amp;ADDRESS(B$16,$E129))</f>
        <v>Summer weekend</v>
      </c>
      <c r="C129" s="766">
        <f t="shared" si="151"/>
        <v>13</v>
      </c>
      <c r="D129" s="715">
        <f t="shared" si="151"/>
        <v>47</v>
      </c>
      <c r="E129" s="715">
        <f t="shared" si="79"/>
        <v>9</v>
      </c>
      <c r="F129" s="767" cm="1">
        <f t="array" aca="1" ref="F129" ca="1">INDIRECT("'Definition of Typical Day'!D"&amp;D129)</f>
        <v>13</v>
      </c>
      <c r="G129" s="767" cm="1">
        <f t="array" aca="1" ref="G129" ca="1">INDIRECT("'Definition of Typical Day'!"&amp;ADDRESS(13,E129))</f>
        <v>5</v>
      </c>
      <c r="H129" s="768" cm="1">
        <f t="array" aca="1" ref="H129" ca="1">INDIRECT("'Definition of Typical Day'!"&amp; ADDRESS($D129+28*(H$16-1),$E129))</f>
        <v>2</v>
      </c>
      <c r="I129" s="715" cm="1">
        <f t="array" aca="1" ref="I129" ca="1">INDIRECT("'Definition of Typical Day'!"&amp; ADDRESS($D129+29*(I$16-1),$E129))</f>
        <v>40</v>
      </c>
      <c r="J129" s="715">
        <f t="shared" ca="1" si="105"/>
        <v>37</v>
      </c>
      <c r="K129" s="785">
        <f t="shared" si="106"/>
        <v>28</v>
      </c>
      <c r="L129" s="786" cm="1">
        <f t="array" aca="1" ref="L129" ca="1">INDIRECT("'Definition of Typical Day'!"&amp; ADDRESS($D129+29*(L$16-1),$E129))</f>
        <v>6</v>
      </c>
      <c r="M129" s="768" cm="1">
        <f t="array" aca="1" ref="M129" ca="1">INDIRECT("'Definition of Typical Day'!"&amp; ADDRESS($D129+29*(M$16-1),$E129))</f>
        <v>60</v>
      </c>
      <c r="N129" s="715">
        <f t="shared" si="107"/>
        <v>3</v>
      </c>
      <c r="O129" s="715">
        <f t="shared" ca="1" si="108"/>
        <v>63</v>
      </c>
      <c r="P129" s="715" cm="1">
        <f t="array" aca="1" ref="P129" ca="1">INDIRECT("'Definition of Typical Day'!"&amp; ADDRESS($D129+29*(P$16-1),$E129))</f>
        <v>45</v>
      </c>
      <c r="Q129" s="787">
        <f t="shared" ca="1" si="109"/>
        <v>48</v>
      </c>
      <c r="R129" s="792">
        <f t="shared" ca="1" si="110"/>
        <v>63</v>
      </c>
      <c r="S129" s="769">
        <f t="shared" si="111"/>
        <v>3</v>
      </c>
      <c r="T129" s="769">
        <f t="shared" ca="1" si="112"/>
        <v>0.24</v>
      </c>
      <c r="U129" s="769">
        <f t="shared" ca="1" si="113"/>
        <v>0.70199999999999996</v>
      </c>
      <c r="V129" s="769">
        <f t="shared" ca="1" si="114"/>
        <v>0</v>
      </c>
      <c r="W129" s="769">
        <f t="shared" ca="1" si="115"/>
        <v>3.9420000000000002</v>
      </c>
      <c r="X129" s="794">
        <f t="shared" si="116"/>
        <v>3</v>
      </c>
      <c r="Y129" s="769">
        <f t="shared" ca="1" si="117"/>
        <v>2.1213203435596428</v>
      </c>
      <c r="Z129" s="769">
        <f t="shared" ca="1" si="118"/>
        <v>2.1213203435596428</v>
      </c>
      <c r="AA129" s="795">
        <f t="shared" ca="1" si="119"/>
        <v>2.1213203435596428</v>
      </c>
      <c r="AB129" s="769">
        <f t="shared" ca="1" si="120"/>
        <v>0</v>
      </c>
      <c r="AC129" s="769">
        <f t="shared" ca="1" si="121"/>
        <v>0</v>
      </c>
      <c r="AD129" s="769">
        <f t="shared" ca="1" si="122"/>
        <v>0</v>
      </c>
      <c r="AE129" s="794">
        <f t="shared" ca="1" si="123"/>
        <v>2.1213203435596428</v>
      </c>
      <c r="AF129" s="769">
        <f t="shared" ca="1" si="124"/>
        <v>2.1213203435596427E-2</v>
      </c>
      <c r="AG129" s="769">
        <f t="shared" ca="1" si="125"/>
        <v>2.1001071401240465</v>
      </c>
      <c r="AH129" s="799">
        <f t="shared" ca="1" si="126"/>
        <v>2.1001071401240465</v>
      </c>
      <c r="AI129" s="801">
        <f t="shared" ca="1" si="127"/>
        <v>1</v>
      </c>
      <c r="AJ129" s="794">
        <f t="shared" ca="1" si="128"/>
        <v>1.5831873289580085</v>
      </c>
      <c r="AK129" s="769">
        <f t="shared" ca="1" si="129"/>
        <v>0.53813301460163443</v>
      </c>
      <c r="AL129" s="769">
        <f t="shared" ca="1" si="130"/>
        <v>0</v>
      </c>
      <c r="AM129" s="804">
        <f t="shared" ca="1" si="80"/>
        <v>0.2110916438610678</v>
      </c>
      <c r="AN129" s="795">
        <f t="shared" ca="1" si="81"/>
        <v>5.5575022805598867E-2</v>
      </c>
      <c r="AO129" s="251"/>
      <c r="AP129" s="770">
        <f t="shared" si="131"/>
        <v>0</v>
      </c>
      <c r="AQ129" s="771">
        <f t="shared" ca="1" si="132"/>
        <v>0</v>
      </c>
      <c r="AR129" s="771">
        <f t="shared" ca="1" si="133"/>
        <v>3.166374657916017</v>
      </c>
      <c r="AS129" s="772">
        <f t="shared" ca="1" si="134"/>
        <v>3.166374657916017</v>
      </c>
      <c r="AT129" s="231"/>
      <c r="AU129" s="770">
        <f>'Main Results - IRR DC Operator'!$F$16</f>
        <v>2</v>
      </c>
      <c r="AV129" s="773">
        <f>'Main Results - IRR DC Operator'!$F$15</f>
        <v>1</v>
      </c>
      <c r="AW129" s="771">
        <f t="shared" ca="1" si="135"/>
        <v>4</v>
      </c>
      <c r="AX129" s="772">
        <f t="shared" si="136"/>
        <v>0</v>
      </c>
      <c r="AY129" s="231"/>
      <c r="AZ129" s="770" cm="1">
        <f t="array" aca="1" ref="AZ129" ca="1">INDIRECT("'Definition of Typical Day'!"&amp; ADDRESS($D129+29*(AZ$16-1),$E129))+$AZ$17</f>
        <v>10.9</v>
      </c>
      <c r="BA129" s="771" cm="1">
        <f t="array" aca="1" ref="BA129" ca="1">INDIRECT("'Definition of Typical Day'!"&amp; ADDRESS($D129+29*(BA$16-1),$E129))+$BA$17</f>
        <v>10.9</v>
      </c>
      <c r="BB129" s="772" cm="1">
        <f t="array" aca="1" ref="BB129" ca="1">INDIRECT("'Definition of Typical Day'!"&amp;ADDRESS(BB$16,$E129))</f>
        <v>60</v>
      </c>
      <c r="BC129" s="776" cm="1">
        <f t="array" aca="1" ref="BC129" ca="1">INDIRECT("'Definition of Typical Day'!"&amp; ADDRESS($D129+29*(BC$16-1),$E129))</f>
        <v>9.9</v>
      </c>
      <c r="BD129" s="777" cm="1">
        <f t="array" aca="1" ref="BD129" ca="1">INDIRECT("'Definition of Typical Day'!"&amp; ADDRESS($D129+29*(BD$16-1),$E129))</f>
        <v>1</v>
      </c>
      <c r="BE129" s="776">
        <f t="shared" si="137"/>
        <v>0</v>
      </c>
      <c r="BF129" s="771">
        <f t="shared" ca="1" si="138"/>
        <v>5.8656498591578154</v>
      </c>
      <c r="BG129" s="771">
        <f t="shared" ca="1" si="139"/>
        <v>2.5455844122715714</v>
      </c>
      <c r="BH129" s="771">
        <f t="shared" ca="1" si="140"/>
        <v>0</v>
      </c>
      <c r="BI129" s="776">
        <f t="shared" ca="1" si="141"/>
        <v>2.0898072742245715</v>
      </c>
      <c r="BJ129" s="776">
        <f t="shared" ca="1" si="142"/>
        <v>0.55019272577542877</v>
      </c>
      <c r="BK129" s="776">
        <f t="shared" ca="1" si="143"/>
        <v>0</v>
      </c>
      <c r="BL129" s="776">
        <f t="shared" ca="1" si="144"/>
        <v>0</v>
      </c>
      <c r="BM129" s="135"/>
      <c r="BN129" s="776">
        <f t="shared" ca="1" si="145"/>
        <v>12.411234271429388</v>
      </c>
      <c r="BO129" s="778">
        <f t="shared" ca="1" si="82"/>
        <v>5.9098100445943418</v>
      </c>
      <c r="BP129" s="770">
        <f t="shared" ca="1" si="83"/>
        <v>8.411234271429386</v>
      </c>
      <c r="BQ129" s="771">
        <f t="shared" ca="1" si="84"/>
        <v>0</v>
      </c>
      <c r="BR129" s="771">
        <f t="shared" ca="1" si="85"/>
        <v>0</v>
      </c>
      <c r="BS129" s="776">
        <f t="shared" ca="1" si="146"/>
        <v>12.411234271429388</v>
      </c>
      <c r="BT129" s="776">
        <f t="shared" ca="1" si="86"/>
        <v>8.411234271429386</v>
      </c>
      <c r="BU129" s="783">
        <f t="shared" ca="1" si="87"/>
        <v>4.0051453141255271</v>
      </c>
      <c r="BV129" s="783">
        <f t="shared" ca="1" si="88"/>
        <v>4.0051453141255271</v>
      </c>
      <c r="BW129" s="1019">
        <f t="shared" ca="1" si="147"/>
        <v>4.0051453141255271</v>
      </c>
      <c r="BX129" s="771" cm="1">
        <f t="array" aca="1" ref="BX129" ca="1">INDIRECT("'Definition of Typical Day'!"&amp; ADDRESS($D129+29*(BX$16-1),$E129))</f>
        <v>55</v>
      </c>
      <c r="BY129" s="771">
        <f t="shared" ca="1" si="148"/>
        <v>1</v>
      </c>
      <c r="BZ129" s="781">
        <f t="shared" ca="1" si="89"/>
        <v>1</v>
      </c>
      <c r="CA129" s="781">
        <f t="shared" ca="1" si="90"/>
        <v>0.70710678118654757</v>
      </c>
      <c r="CB129" s="776">
        <f t="shared" ca="1" si="91"/>
        <v>115.50589270682256</v>
      </c>
      <c r="CC129" s="782">
        <f t="shared" si="92"/>
        <v>5</v>
      </c>
      <c r="CD129" s="782">
        <f t="shared" si="93"/>
        <v>13</v>
      </c>
      <c r="CE129" s="784" t="str" cm="1">
        <f t="array" aca="1" ref="CE129" ca="1">INDIRECT("'Definition of Typical Day'!"&amp;ADDRESS(CE$16,$E129))</f>
        <v>Summer weekend</v>
      </c>
      <c r="CF129" s="232"/>
      <c r="CG129" s="232"/>
      <c r="CH129" s="776">
        <f t="shared" ca="1" si="94"/>
        <v>2</v>
      </c>
      <c r="CI129" s="806">
        <f t="shared" ca="1" si="95"/>
        <v>6</v>
      </c>
      <c r="CJ129" s="770">
        <f t="shared" ca="1" si="96"/>
        <v>2.1001071401240465</v>
      </c>
      <c r="CK129" s="771">
        <f t="shared" ca="1" si="97"/>
        <v>1.5831873289580085</v>
      </c>
      <c r="CL129" s="771">
        <f t="shared" ca="1" si="98"/>
        <v>0.53813301460163443</v>
      </c>
      <c r="CM129" s="772">
        <f t="shared" ca="1" si="99"/>
        <v>0</v>
      </c>
      <c r="CN129" s="135"/>
      <c r="CO129" s="770">
        <f t="shared" ca="1" si="149"/>
        <v>1.05</v>
      </c>
      <c r="CP129" s="771">
        <f t="shared" ca="1" si="100"/>
        <v>0.98</v>
      </c>
      <c r="CQ129" s="771">
        <f t="shared" ca="1" si="101"/>
        <v>0.96</v>
      </c>
      <c r="CR129" s="771">
        <f t="shared" ca="1" si="102"/>
        <v>0.95</v>
      </c>
      <c r="CS129" s="771">
        <f t="shared" ca="1" si="103"/>
        <v>1.02</v>
      </c>
      <c r="CT129" s="772">
        <f t="shared" ca="1" si="104"/>
        <v>0.02</v>
      </c>
      <c r="CU129" s="135"/>
      <c r="CV129" s="135"/>
      <c r="CW129" s="135"/>
      <c r="CX129" s="135"/>
      <c r="CY129" s="135"/>
      <c r="CZ129" s="135"/>
      <c r="DA129" s="135"/>
      <c r="DB129" s="135"/>
      <c r="DC129" s="135"/>
      <c r="DD129" s="135"/>
      <c r="DE129" s="135"/>
      <c r="DF129" s="135"/>
      <c r="DG129" s="135"/>
      <c r="DH129" s="135"/>
      <c r="DI129" s="135"/>
      <c r="DJ129" s="135"/>
      <c r="DK129" s="135"/>
      <c r="DL129" s="135"/>
      <c r="DX129" s="135"/>
      <c r="DY129" s="135"/>
      <c r="DZ129" s="135"/>
      <c r="EA129" s="135"/>
      <c r="EB129" s="135"/>
      <c r="EC129" s="135"/>
      <c r="ED129" s="135"/>
      <c r="EE129" s="135"/>
      <c r="EF129" s="135"/>
      <c r="EG129" s="135"/>
      <c r="EH129" s="135"/>
      <c r="EI129" s="135"/>
      <c r="EJ129" s="135"/>
      <c r="EK129" s="135"/>
      <c r="EL129" s="135"/>
      <c r="EM129" s="135"/>
      <c r="EN129" s="135"/>
      <c r="EO129" s="135"/>
      <c r="EP129" s="135"/>
      <c r="EQ129" s="135"/>
      <c r="ER129" s="135"/>
      <c r="ES129" s="135"/>
      <c r="ET129" s="135"/>
      <c r="EU129" s="135"/>
      <c r="EV129" s="135"/>
      <c r="EW129" s="135"/>
      <c r="EX129" s="135"/>
      <c r="EY129" s="135"/>
      <c r="EZ129" s="135"/>
      <c r="FA129" s="135"/>
      <c r="FB129" s="135"/>
      <c r="FC129" s="135"/>
      <c r="FD129" s="135"/>
      <c r="FE129" s="135"/>
      <c r="FF129" s="135"/>
      <c r="FG129" s="135"/>
    </row>
    <row r="130" spans="1:163" s="57" customFormat="1" ht="11.25" outlineLevel="1">
      <c r="A130" s="765">
        <f t="shared" si="150"/>
        <v>5</v>
      </c>
      <c r="B130" s="715" t="str" cm="1">
        <f t="array" aca="1" ref="B130" ca="1">INDIRECT("'Definition of Typical Day'!"&amp;ADDRESS(B$16,$E130))</f>
        <v>Summer weekend</v>
      </c>
      <c r="C130" s="766">
        <f t="shared" si="151"/>
        <v>14</v>
      </c>
      <c r="D130" s="715">
        <f t="shared" si="151"/>
        <v>48</v>
      </c>
      <c r="E130" s="715">
        <f t="shared" si="79"/>
        <v>9</v>
      </c>
      <c r="F130" s="767" cm="1">
        <f t="array" aca="1" ref="F130" ca="1">INDIRECT("'Definition of Typical Day'!D"&amp;D130)</f>
        <v>14</v>
      </c>
      <c r="G130" s="767" cm="1">
        <f t="array" aca="1" ref="G130" ca="1">INDIRECT("'Definition of Typical Day'!"&amp;ADDRESS(13,E130))</f>
        <v>5</v>
      </c>
      <c r="H130" s="768" cm="1">
        <f t="array" aca="1" ref="H130" ca="1">INDIRECT("'Definition of Typical Day'!"&amp; ADDRESS($D130+28*(H$16-1),$E130))</f>
        <v>2</v>
      </c>
      <c r="I130" s="715" cm="1">
        <f t="array" aca="1" ref="I130" ca="1">INDIRECT("'Definition of Typical Day'!"&amp; ADDRESS($D130+29*(I$16-1),$E130))</f>
        <v>40</v>
      </c>
      <c r="J130" s="715">
        <f t="shared" ca="1" si="105"/>
        <v>37</v>
      </c>
      <c r="K130" s="785">
        <f t="shared" si="106"/>
        <v>28</v>
      </c>
      <c r="L130" s="786" cm="1">
        <f t="array" aca="1" ref="L130" ca="1">INDIRECT("'Definition of Typical Day'!"&amp; ADDRESS($D130+29*(L$16-1),$E130))</f>
        <v>6</v>
      </c>
      <c r="M130" s="768" cm="1">
        <f t="array" aca="1" ref="M130" ca="1">INDIRECT("'Definition of Typical Day'!"&amp; ADDRESS($D130+29*(M$16-1),$E130))</f>
        <v>60</v>
      </c>
      <c r="N130" s="715">
        <f t="shared" si="107"/>
        <v>3</v>
      </c>
      <c r="O130" s="715">
        <f t="shared" ca="1" si="108"/>
        <v>63</v>
      </c>
      <c r="P130" s="715" cm="1">
        <f t="array" aca="1" ref="P130" ca="1">INDIRECT("'Definition of Typical Day'!"&amp; ADDRESS($D130+29*(P$16-1),$E130))</f>
        <v>45</v>
      </c>
      <c r="Q130" s="787">
        <f t="shared" ca="1" si="109"/>
        <v>48</v>
      </c>
      <c r="R130" s="792">
        <f t="shared" ca="1" si="110"/>
        <v>63</v>
      </c>
      <c r="S130" s="769">
        <f t="shared" si="111"/>
        <v>3</v>
      </c>
      <c r="T130" s="769">
        <f t="shared" ca="1" si="112"/>
        <v>0.24</v>
      </c>
      <c r="U130" s="769">
        <f t="shared" ca="1" si="113"/>
        <v>0.70199999999999996</v>
      </c>
      <c r="V130" s="769">
        <f t="shared" ca="1" si="114"/>
        <v>0</v>
      </c>
      <c r="W130" s="769">
        <f t="shared" ca="1" si="115"/>
        <v>3.9420000000000002</v>
      </c>
      <c r="X130" s="794">
        <f t="shared" si="116"/>
        <v>3</v>
      </c>
      <c r="Y130" s="769">
        <f t="shared" ca="1" si="117"/>
        <v>2.1213203435596428</v>
      </c>
      <c r="Z130" s="769">
        <f t="shared" ca="1" si="118"/>
        <v>2.1213203435596428</v>
      </c>
      <c r="AA130" s="795">
        <f t="shared" ca="1" si="119"/>
        <v>2.1213203435596428</v>
      </c>
      <c r="AB130" s="769">
        <f t="shared" ca="1" si="120"/>
        <v>0</v>
      </c>
      <c r="AC130" s="769">
        <f t="shared" ca="1" si="121"/>
        <v>0</v>
      </c>
      <c r="AD130" s="769">
        <f t="shared" ca="1" si="122"/>
        <v>0</v>
      </c>
      <c r="AE130" s="794">
        <f t="shared" ca="1" si="123"/>
        <v>2.1213203435596428</v>
      </c>
      <c r="AF130" s="769">
        <f t="shared" ca="1" si="124"/>
        <v>2.1213203435596427E-2</v>
      </c>
      <c r="AG130" s="769">
        <f t="shared" ca="1" si="125"/>
        <v>2.1001071401240465</v>
      </c>
      <c r="AH130" s="799">
        <f t="shared" ca="1" si="126"/>
        <v>2.1001071401240465</v>
      </c>
      <c r="AI130" s="801">
        <f t="shared" ca="1" si="127"/>
        <v>1</v>
      </c>
      <c r="AJ130" s="794">
        <f t="shared" ca="1" si="128"/>
        <v>1.5831873289580085</v>
      </c>
      <c r="AK130" s="769">
        <f t="shared" ca="1" si="129"/>
        <v>0.53813301460163443</v>
      </c>
      <c r="AL130" s="769">
        <f t="shared" ca="1" si="130"/>
        <v>0</v>
      </c>
      <c r="AM130" s="804">
        <f t="shared" ca="1" si="80"/>
        <v>0.2110916438610678</v>
      </c>
      <c r="AN130" s="795">
        <f t="shared" ca="1" si="81"/>
        <v>5.5575022805598867E-2</v>
      </c>
      <c r="AO130" s="251"/>
      <c r="AP130" s="770">
        <f t="shared" si="131"/>
        <v>0</v>
      </c>
      <c r="AQ130" s="771">
        <f t="shared" ca="1" si="132"/>
        <v>0</v>
      </c>
      <c r="AR130" s="771">
        <f t="shared" ca="1" si="133"/>
        <v>3.166374657916017</v>
      </c>
      <c r="AS130" s="772">
        <f t="shared" ca="1" si="134"/>
        <v>3.166374657916017</v>
      </c>
      <c r="AT130" s="231"/>
      <c r="AU130" s="770">
        <f>'Main Results - IRR DC Operator'!$F$16</f>
        <v>2</v>
      </c>
      <c r="AV130" s="773">
        <f>'Main Results - IRR DC Operator'!$F$15</f>
        <v>1</v>
      </c>
      <c r="AW130" s="771">
        <f t="shared" ca="1" si="135"/>
        <v>4</v>
      </c>
      <c r="AX130" s="772">
        <f t="shared" si="136"/>
        <v>0</v>
      </c>
      <c r="AY130" s="231"/>
      <c r="AZ130" s="770" cm="1">
        <f t="array" aca="1" ref="AZ130" ca="1">INDIRECT("'Definition of Typical Day'!"&amp; ADDRESS($D130+29*(AZ$16-1),$E130))+$AZ$17</f>
        <v>9.9499999999999993</v>
      </c>
      <c r="BA130" s="771" cm="1">
        <f t="array" aca="1" ref="BA130" ca="1">INDIRECT("'Definition of Typical Day'!"&amp; ADDRESS($D130+29*(BA$16-1),$E130))+$BA$17</f>
        <v>9.9499999999999993</v>
      </c>
      <c r="BB130" s="772" cm="1">
        <f t="array" aca="1" ref="BB130" ca="1">INDIRECT("'Definition of Typical Day'!"&amp;ADDRESS(BB$16,$E130))</f>
        <v>60</v>
      </c>
      <c r="BC130" s="776" cm="1">
        <f t="array" aca="1" ref="BC130" ca="1">INDIRECT("'Definition of Typical Day'!"&amp; ADDRESS($D130+29*(BC$16-1),$E130))</f>
        <v>8.9499999999999993</v>
      </c>
      <c r="BD130" s="777" cm="1">
        <f t="array" aca="1" ref="BD130" ca="1">INDIRECT("'Definition of Typical Day'!"&amp; ADDRESS($D130+29*(BD$16-1),$E130))</f>
        <v>1</v>
      </c>
      <c r="BE130" s="776">
        <f t="shared" si="137"/>
        <v>0</v>
      </c>
      <c r="BF130" s="771">
        <f t="shared" ca="1" si="138"/>
        <v>5.3544234952862624</v>
      </c>
      <c r="BG130" s="771">
        <f t="shared" ca="1" si="139"/>
        <v>2.5455844122715714</v>
      </c>
      <c r="BH130" s="771">
        <f t="shared" ca="1" si="140"/>
        <v>0</v>
      </c>
      <c r="BI130" s="776">
        <f t="shared" ca="1" si="141"/>
        <v>1.8892702125565566</v>
      </c>
      <c r="BJ130" s="776">
        <f t="shared" ca="1" si="142"/>
        <v>0.4973964541101098</v>
      </c>
      <c r="BK130" s="776">
        <f t="shared" ca="1" si="143"/>
        <v>0</v>
      </c>
      <c r="BL130" s="776">
        <f t="shared" ca="1" si="144"/>
        <v>0</v>
      </c>
      <c r="BM130" s="135"/>
      <c r="BN130" s="776">
        <f t="shared" ca="1" si="145"/>
        <v>11.900007907557834</v>
      </c>
      <c r="BO130" s="778">
        <f t="shared" ca="1" si="82"/>
        <v>5.6663813384563504</v>
      </c>
      <c r="BP130" s="770">
        <f t="shared" ca="1" si="83"/>
        <v>7.9000079075578338</v>
      </c>
      <c r="BQ130" s="771">
        <f t="shared" ca="1" si="84"/>
        <v>0</v>
      </c>
      <c r="BR130" s="771">
        <f t="shared" ca="1" si="85"/>
        <v>0</v>
      </c>
      <c r="BS130" s="776">
        <f t="shared" ca="1" si="146"/>
        <v>11.900007907557834</v>
      </c>
      <c r="BT130" s="776">
        <f t="shared" ca="1" si="86"/>
        <v>7.9000079075578338</v>
      </c>
      <c r="BU130" s="783">
        <f t="shared" ca="1" si="87"/>
        <v>3.7617166079875362</v>
      </c>
      <c r="BV130" s="783">
        <f t="shared" ca="1" si="88"/>
        <v>3.7617166079875362</v>
      </c>
      <c r="BW130" s="1019">
        <f t="shared" ca="1" si="147"/>
        <v>3.7617166079875362</v>
      </c>
      <c r="BX130" s="771" cm="1">
        <f t="array" aca="1" ref="BX130" ca="1">INDIRECT("'Definition of Typical Day'!"&amp; ADDRESS($D130+29*(BX$16-1),$E130))</f>
        <v>55</v>
      </c>
      <c r="BY130" s="771">
        <f t="shared" ca="1" si="148"/>
        <v>1</v>
      </c>
      <c r="BZ130" s="781">
        <f t="shared" ca="1" si="89"/>
        <v>1</v>
      </c>
      <c r="CA130" s="781">
        <f t="shared" ca="1" si="90"/>
        <v>0.70710678118654757</v>
      </c>
      <c r="CB130" s="776">
        <f t="shared" ca="1" si="91"/>
        <v>115.50589270682256</v>
      </c>
      <c r="CC130" s="782">
        <f t="shared" si="92"/>
        <v>5</v>
      </c>
      <c r="CD130" s="782">
        <f t="shared" si="93"/>
        <v>14</v>
      </c>
      <c r="CE130" s="784" t="str" cm="1">
        <f t="array" aca="1" ref="CE130" ca="1">INDIRECT("'Definition of Typical Day'!"&amp;ADDRESS(CE$16,$E130))</f>
        <v>Summer weekend</v>
      </c>
      <c r="CF130" s="232"/>
      <c r="CG130" s="232"/>
      <c r="CH130" s="776">
        <f t="shared" ca="1" si="94"/>
        <v>2</v>
      </c>
      <c r="CI130" s="806">
        <f t="shared" ca="1" si="95"/>
        <v>6</v>
      </c>
      <c r="CJ130" s="770">
        <f t="shared" ca="1" si="96"/>
        <v>2.1001071401240465</v>
      </c>
      <c r="CK130" s="771">
        <f t="shared" ca="1" si="97"/>
        <v>1.5831873289580085</v>
      </c>
      <c r="CL130" s="771">
        <f t="shared" ca="1" si="98"/>
        <v>0.53813301460163443</v>
      </c>
      <c r="CM130" s="772">
        <f t="shared" ca="1" si="99"/>
        <v>0</v>
      </c>
      <c r="CN130" s="135"/>
      <c r="CO130" s="770">
        <f t="shared" ca="1" si="149"/>
        <v>1.05</v>
      </c>
      <c r="CP130" s="771">
        <f t="shared" ca="1" si="100"/>
        <v>0.98</v>
      </c>
      <c r="CQ130" s="771">
        <f t="shared" ca="1" si="101"/>
        <v>0.96</v>
      </c>
      <c r="CR130" s="771">
        <f t="shared" ca="1" si="102"/>
        <v>0.95</v>
      </c>
      <c r="CS130" s="771">
        <f t="shared" ca="1" si="103"/>
        <v>1.02</v>
      </c>
      <c r="CT130" s="772">
        <f t="shared" ca="1" si="104"/>
        <v>0.02</v>
      </c>
      <c r="CU130" s="135"/>
      <c r="CV130" s="135"/>
      <c r="CW130" s="135"/>
      <c r="CX130" s="135"/>
      <c r="CY130" s="135"/>
      <c r="CZ130" s="135"/>
      <c r="DA130" s="135"/>
      <c r="DB130" s="135"/>
      <c r="DC130" s="135"/>
      <c r="DD130" s="135"/>
      <c r="DE130" s="135"/>
      <c r="DF130" s="135"/>
      <c r="DG130" s="135"/>
      <c r="DH130" s="135"/>
      <c r="DI130" s="135"/>
      <c r="DJ130" s="135"/>
      <c r="DK130" s="135"/>
      <c r="DL130" s="135"/>
      <c r="DX130" s="135"/>
      <c r="DY130" s="135"/>
      <c r="DZ130" s="135"/>
      <c r="EA130" s="135"/>
      <c r="EB130" s="135"/>
      <c r="EC130" s="135"/>
      <c r="ED130" s="135"/>
      <c r="EE130" s="135"/>
      <c r="EF130" s="135"/>
      <c r="EG130" s="135"/>
      <c r="EH130" s="135"/>
      <c r="EI130" s="135"/>
      <c r="EJ130" s="135"/>
      <c r="EK130" s="135"/>
      <c r="EL130" s="135"/>
      <c r="EM130" s="135"/>
      <c r="EN130" s="135"/>
      <c r="EO130" s="135"/>
      <c r="EP130" s="135"/>
      <c r="EQ130" s="135"/>
      <c r="ER130" s="135"/>
      <c r="ES130" s="135"/>
      <c r="ET130" s="135"/>
      <c r="EU130" s="135"/>
      <c r="EV130" s="135"/>
      <c r="EW130" s="135"/>
      <c r="EX130" s="135"/>
      <c r="EY130" s="135"/>
      <c r="EZ130" s="135"/>
      <c r="FA130" s="135"/>
      <c r="FB130" s="135"/>
      <c r="FC130" s="135"/>
      <c r="FD130" s="135"/>
      <c r="FE130" s="135"/>
      <c r="FF130" s="135"/>
      <c r="FG130" s="135"/>
    </row>
    <row r="131" spans="1:163" s="57" customFormat="1" ht="11.25" outlineLevel="1">
      <c r="A131" s="765">
        <f t="shared" si="150"/>
        <v>5</v>
      </c>
      <c r="B131" s="715" t="str" cm="1">
        <f t="array" aca="1" ref="B131" ca="1">INDIRECT("'Definition of Typical Day'!"&amp;ADDRESS(B$16,$E131))</f>
        <v>Summer weekend</v>
      </c>
      <c r="C131" s="766">
        <f t="shared" si="151"/>
        <v>15</v>
      </c>
      <c r="D131" s="715">
        <f t="shared" si="151"/>
        <v>49</v>
      </c>
      <c r="E131" s="715">
        <f t="shared" si="79"/>
        <v>9</v>
      </c>
      <c r="F131" s="767" cm="1">
        <f t="array" aca="1" ref="F131" ca="1">INDIRECT("'Definition of Typical Day'!D"&amp;D131)</f>
        <v>15</v>
      </c>
      <c r="G131" s="767" cm="1">
        <f t="array" aca="1" ref="G131" ca="1">INDIRECT("'Definition of Typical Day'!"&amp;ADDRESS(13,E131))</f>
        <v>5</v>
      </c>
      <c r="H131" s="768" cm="1">
        <f t="array" aca="1" ref="H131" ca="1">INDIRECT("'Definition of Typical Day'!"&amp; ADDRESS($D131+28*(H$16-1),$E131))</f>
        <v>2</v>
      </c>
      <c r="I131" s="715" cm="1">
        <f t="array" aca="1" ref="I131" ca="1">INDIRECT("'Definition of Typical Day'!"&amp; ADDRESS($D131+29*(I$16-1),$E131))</f>
        <v>40</v>
      </c>
      <c r="J131" s="715">
        <f t="shared" ca="1" si="105"/>
        <v>37</v>
      </c>
      <c r="K131" s="785">
        <f t="shared" si="106"/>
        <v>28</v>
      </c>
      <c r="L131" s="786" cm="1">
        <f t="array" aca="1" ref="L131" ca="1">INDIRECT("'Definition of Typical Day'!"&amp; ADDRESS($D131+29*(L$16-1),$E131))</f>
        <v>6</v>
      </c>
      <c r="M131" s="768" cm="1">
        <f t="array" aca="1" ref="M131" ca="1">INDIRECT("'Definition of Typical Day'!"&amp; ADDRESS($D131+29*(M$16-1),$E131))</f>
        <v>60</v>
      </c>
      <c r="N131" s="715">
        <f t="shared" si="107"/>
        <v>3</v>
      </c>
      <c r="O131" s="715">
        <f t="shared" ca="1" si="108"/>
        <v>63</v>
      </c>
      <c r="P131" s="715" cm="1">
        <f t="array" aca="1" ref="P131" ca="1">INDIRECT("'Definition of Typical Day'!"&amp; ADDRESS($D131+29*(P$16-1),$E131))</f>
        <v>45</v>
      </c>
      <c r="Q131" s="787">
        <f t="shared" ca="1" si="109"/>
        <v>48</v>
      </c>
      <c r="R131" s="792">
        <f t="shared" ca="1" si="110"/>
        <v>63</v>
      </c>
      <c r="S131" s="769">
        <f t="shared" si="111"/>
        <v>3</v>
      </c>
      <c r="T131" s="769">
        <f t="shared" ca="1" si="112"/>
        <v>0.24</v>
      </c>
      <c r="U131" s="769">
        <f t="shared" ca="1" si="113"/>
        <v>0.70199999999999996</v>
      </c>
      <c r="V131" s="769">
        <f t="shared" ca="1" si="114"/>
        <v>0</v>
      </c>
      <c r="W131" s="769">
        <f t="shared" ca="1" si="115"/>
        <v>3.9420000000000002</v>
      </c>
      <c r="X131" s="794">
        <f t="shared" si="116"/>
        <v>3</v>
      </c>
      <c r="Y131" s="769">
        <f t="shared" ca="1" si="117"/>
        <v>2.1213203435596428</v>
      </c>
      <c r="Z131" s="769">
        <f t="shared" ca="1" si="118"/>
        <v>2.1213203435596428</v>
      </c>
      <c r="AA131" s="795">
        <f t="shared" ca="1" si="119"/>
        <v>2.1213203435596428</v>
      </c>
      <c r="AB131" s="769">
        <f t="shared" ca="1" si="120"/>
        <v>0</v>
      </c>
      <c r="AC131" s="769">
        <f t="shared" ca="1" si="121"/>
        <v>0</v>
      </c>
      <c r="AD131" s="769">
        <f t="shared" ca="1" si="122"/>
        <v>0</v>
      </c>
      <c r="AE131" s="794">
        <f t="shared" ca="1" si="123"/>
        <v>2.1213203435596428</v>
      </c>
      <c r="AF131" s="769">
        <f t="shared" ca="1" si="124"/>
        <v>2.1213203435596427E-2</v>
      </c>
      <c r="AG131" s="769">
        <f t="shared" ca="1" si="125"/>
        <v>2.1001071401240465</v>
      </c>
      <c r="AH131" s="799">
        <f t="shared" ca="1" si="126"/>
        <v>2.1001071401240465</v>
      </c>
      <c r="AI131" s="801">
        <f t="shared" ca="1" si="127"/>
        <v>1</v>
      </c>
      <c r="AJ131" s="794">
        <f t="shared" ca="1" si="128"/>
        <v>1.5831873289580085</v>
      </c>
      <c r="AK131" s="769">
        <f t="shared" ca="1" si="129"/>
        <v>0.53813301460163443</v>
      </c>
      <c r="AL131" s="769">
        <f t="shared" ca="1" si="130"/>
        <v>0</v>
      </c>
      <c r="AM131" s="804">
        <f t="shared" ca="1" si="80"/>
        <v>0.2110916438610678</v>
      </c>
      <c r="AN131" s="795">
        <f t="shared" ca="1" si="81"/>
        <v>5.5575022805598867E-2</v>
      </c>
      <c r="AO131" s="251"/>
      <c r="AP131" s="770">
        <f t="shared" si="131"/>
        <v>0</v>
      </c>
      <c r="AQ131" s="771">
        <f t="shared" ca="1" si="132"/>
        <v>0</v>
      </c>
      <c r="AR131" s="771">
        <f t="shared" ca="1" si="133"/>
        <v>3.166374657916017</v>
      </c>
      <c r="AS131" s="772">
        <f t="shared" ca="1" si="134"/>
        <v>3.166374657916017</v>
      </c>
      <c r="AT131" s="231"/>
      <c r="AU131" s="770">
        <f>'Main Results - IRR DC Operator'!$F$16</f>
        <v>2</v>
      </c>
      <c r="AV131" s="773">
        <f>'Main Results - IRR DC Operator'!$F$15</f>
        <v>1</v>
      </c>
      <c r="AW131" s="771">
        <f t="shared" ca="1" si="135"/>
        <v>4</v>
      </c>
      <c r="AX131" s="772">
        <f t="shared" si="136"/>
        <v>0</v>
      </c>
      <c r="AY131" s="231"/>
      <c r="AZ131" s="770" cm="1">
        <f t="array" aca="1" ref="AZ131" ca="1">INDIRECT("'Definition of Typical Day'!"&amp; ADDRESS($D131+29*(AZ$16-1),$E131))+$AZ$17</f>
        <v>8.7899999999999991</v>
      </c>
      <c r="BA131" s="771" cm="1">
        <f t="array" aca="1" ref="BA131" ca="1">INDIRECT("'Definition of Typical Day'!"&amp; ADDRESS($D131+29*(BA$16-1),$E131))+$BA$17</f>
        <v>8.7899999999999991</v>
      </c>
      <c r="BB131" s="772" cm="1">
        <f t="array" aca="1" ref="BB131" ca="1">INDIRECT("'Definition of Typical Day'!"&amp;ADDRESS(BB$16,$E131))</f>
        <v>60</v>
      </c>
      <c r="BC131" s="776" cm="1">
        <f t="array" aca="1" ref="BC131" ca="1">INDIRECT("'Definition of Typical Day'!"&amp; ADDRESS($D131+29*(BC$16-1),$E131))</f>
        <v>7.79</v>
      </c>
      <c r="BD131" s="777" cm="1">
        <f t="array" aca="1" ref="BD131" ca="1">INDIRECT("'Definition of Typical Day'!"&amp; ADDRESS($D131+29*(BD$16-1),$E131))</f>
        <v>1</v>
      </c>
      <c r="BE131" s="776">
        <f t="shared" si="137"/>
        <v>0</v>
      </c>
      <c r="BF131" s="771">
        <f t="shared" ca="1" si="138"/>
        <v>4.7301891983483664</v>
      </c>
      <c r="BG131" s="771">
        <f t="shared" ca="1" si="139"/>
        <v>2.5455844122715714</v>
      </c>
      <c r="BH131" s="771">
        <f t="shared" ca="1" si="140"/>
        <v>0</v>
      </c>
      <c r="BI131" s="776">
        <f t="shared" ca="1" si="141"/>
        <v>1.6444039056777182</v>
      </c>
      <c r="BJ131" s="776">
        <f t="shared" ca="1" si="142"/>
        <v>0.43292942765561515</v>
      </c>
      <c r="BK131" s="776">
        <f t="shared" ca="1" si="143"/>
        <v>0</v>
      </c>
      <c r="BL131" s="776">
        <f t="shared" ca="1" si="144"/>
        <v>0</v>
      </c>
      <c r="BM131" s="135"/>
      <c r="BN131" s="776">
        <f t="shared" ca="1" si="145"/>
        <v>11.275773610619938</v>
      </c>
      <c r="BO131" s="778">
        <f t="shared" ca="1" si="82"/>
        <v>5.3691420762246986</v>
      </c>
      <c r="BP131" s="770">
        <f t="shared" ca="1" si="83"/>
        <v>7.2757736106199378</v>
      </c>
      <c r="BQ131" s="771">
        <f t="shared" ca="1" si="84"/>
        <v>0</v>
      </c>
      <c r="BR131" s="771">
        <f t="shared" ca="1" si="85"/>
        <v>0</v>
      </c>
      <c r="BS131" s="776">
        <f t="shared" ca="1" si="146"/>
        <v>11.275773610619938</v>
      </c>
      <c r="BT131" s="776">
        <f t="shared" ca="1" si="86"/>
        <v>7.2757736106199378</v>
      </c>
      <c r="BU131" s="783">
        <f t="shared" ca="1" si="87"/>
        <v>3.4644773457558844</v>
      </c>
      <c r="BV131" s="783">
        <f t="shared" ca="1" si="88"/>
        <v>3.4644773457558844</v>
      </c>
      <c r="BW131" s="1019">
        <f t="shared" ca="1" si="147"/>
        <v>3.4644773457558844</v>
      </c>
      <c r="BX131" s="771" cm="1">
        <f t="array" aca="1" ref="BX131" ca="1">INDIRECT("'Definition of Typical Day'!"&amp; ADDRESS($D131+29*(BX$16-1),$E131))</f>
        <v>55</v>
      </c>
      <c r="BY131" s="771">
        <f t="shared" ca="1" si="148"/>
        <v>1</v>
      </c>
      <c r="BZ131" s="781">
        <f t="shared" ca="1" si="89"/>
        <v>1</v>
      </c>
      <c r="CA131" s="781">
        <f t="shared" ca="1" si="90"/>
        <v>0.70710678118654757</v>
      </c>
      <c r="CB131" s="776">
        <f t="shared" ca="1" si="91"/>
        <v>115.50589270682256</v>
      </c>
      <c r="CC131" s="782">
        <f t="shared" si="92"/>
        <v>5</v>
      </c>
      <c r="CD131" s="782">
        <f t="shared" si="93"/>
        <v>15</v>
      </c>
      <c r="CE131" s="784" t="str" cm="1">
        <f t="array" aca="1" ref="CE131" ca="1">INDIRECT("'Definition of Typical Day'!"&amp;ADDRESS(CE$16,$E131))</f>
        <v>Summer weekend</v>
      </c>
      <c r="CF131" s="232"/>
      <c r="CG131" s="232"/>
      <c r="CH131" s="776">
        <f t="shared" ca="1" si="94"/>
        <v>2</v>
      </c>
      <c r="CI131" s="806">
        <f t="shared" ca="1" si="95"/>
        <v>6</v>
      </c>
      <c r="CJ131" s="770">
        <f t="shared" ca="1" si="96"/>
        <v>2.1001071401240465</v>
      </c>
      <c r="CK131" s="771">
        <f t="shared" ca="1" si="97"/>
        <v>1.5831873289580085</v>
      </c>
      <c r="CL131" s="771">
        <f t="shared" ca="1" si="98"/>
        <v>0.53813301460163443</v>
      </c>
      <c r="CM131" s="772">
        <f t="shared" ca="1" si="99"/>
        <v>0</v>
      </c>
      <c r="CN131" s="135"/>
      <c r="CO131" s="770">
        <f t="shared" ca="1" si="149"/>
        <v>1.05</v>
      </c>
      <c r="CP131" s="771">
        <f t="shared" ca="1" si="100"/>
        <v>0.98</v>
      </c>
      <c r="CQ131" s="771">
        <f t="shared" ca="1" si="101"/>
        <v>0.96</v>
      </c>
      <c r="CR131" s="771">
        <f t="shared" ca="1" si="102"/>
        <v>0.95</v>
      </c>
      <c r="CS131" s="771">
        <f t="shared" ca="1" si="103"/>
        <v>1.02</v>
      </c>
      <c r="CT131" s="772">
        <f t="shared" ca="1" si="104"/>
        <v>0.02</v>
      </c>
      <c r="CU131" s="135"/>
      <c r="CV131" s="135"/>
      <c r="CW131" s="135"/>
      <c r="CX131" s="135"/>
      <c r="CY131" s="135"/>
      <c r="CZ131" s="135"/>
      <c r="DA131" s="135"/>
      <c r="DB131" s="135"/>
      <c r="DC131" s="135"/>
      <c r="DD131" s="135"/>
      <c r="DE131" s="135"/>
      <c r="DF131" s="135"/>
      <c r="DG131" s="135"/>
      <c r="DH131" s="135"/>
      <c r="DI131" s="135"/>
      <c r="DJ131" s="135"/>
      <c r="DK131" s="135"/>
      <c r="DL131" s="135"/>
      <c r="DX131" s="135"/>
      <c r="DY131" s="135"/>
      <c r="DZ131" s="135"/>
      <c r="EA131" s="135"/>
      <c r="EB131" s="135"/>
      <c r="EC131" s="135"/>
      <c r="ED131" s="135"/>
      <c r="EE131" s="135"/>
      <c r="EF131" s="135"/>
      <c r="EG131" s="135"/>
      <c r="EH131" s="135"/>
      <c r="EI131" s="135"/>
      <c r="EJ131" s="135"/>
      <c r="EK131" s="135"/>
      <c r="EL131" s="135"/>
      <c r="EM131" s="135"/>
      <c r="EN131" s="135"/>
      <c r="EO131" s="135"/>
      <c r="EP131" s="135"/>
      <c r="EQ131" s="135"/>
      <c r="ER131" s="135"/>
      <c r="ES131" s="135"/>
      <c r="ET131" s="135"/>
      <c r="EU131" s="135"/>
      <c r="EV131" s="135"/>
      <c r="EW131" s="135"/>
      <c r="EX131" s="135"/>
      <c r="EY131" s="135"/>
      <c r="EZ131" s="135"/>
      <c r="FA131" s="135"/>
      <c r="FB131" s="135"/>
      <c r="FC131" s="135"/>
      <c r="FD131" s="135"/>
      <c r="FE131" s="135"/>
      <c r="FF131" s="135"/>
      <c r="FG131" s="135"/>
    </row>
    <row r="132" spans="1:163" s="57" customFormat="1" ht="11.25" outlineLevel="1">
      <c r="A132" s="765">
        <f t="shared" si="150"/>
        <v>5</v>
      </c>
      <c r="B132" s="715" t="str" cm="1">
        <f t="array" aca="1" ref="B132" ca="1">INDIRECT("'Definition of Typical Day'!"&amp;ADDRESS(B$16,$E132))</f>
        <v>Summer weekend</v>
      </c>
      <c r="C132" s="766">
        <f t="shared" si="151"/>
        <v>16</v>
      </c>
      <c r="D132" s="715">
        <f t="shared" si="151"/>
        <v>50</v>
      </c>
      <c r="E132" s="715">
        <f t="shared" si="79"/>
        <v>9</v>
      </c>
      <c r="F132" s="767" cm="1">
        <f t="array" aca="1" ref="F132" ca="1">INDIRECT("'Definition of Typical Day'!D"&amp;D132)</f>
        <v>16</v>
      </c>
      <c r="G132" s="767" cm="1">
        <f t="array" aca="1" ref="G132" ca="1">INDIRECT("'Definition of Typical Day'!"&amp;ADDRESS(13,E132))</f>
        <v>5</v>
      </c>
      <c r="H132" s="768" cm="1">
        <f t="array" aca="1" ref="H132" ca="1">INDIRECT("'Definition of Typical Day'!"&amp; ADDRESS($D132+28*(H$16-1),$E132))</f>
        <v>2</v>
      </c>
      <c r="I132" s="715" cm="1">
        <f t="array" aca="1" ref="I132" ca="1">INDIRECT("'Definition of Typical Day'!"&amp; ADDRESS($D132+29*(I$16-1),$E132))</f>
        <v>40</v>
      </c>
      <c r="J132" s="715">
        <f t="shared" ca="1" si="105"/>
        <v>37</v>
      </c>
      <c r="K132" s="785">
        <f t="shared" si="106"/>
        <v>28</v>
      </c>
      <c r="L132" s="786" cm="1">
        <f t="array" aca="1" ref="L132" ca="1">INDIRECT("'Definition of Typical Day'!"&amp; ADDRESS($D132+29*(L$16-1),$E132))</f>
        <v>6</v>
      </c>
      <c r="M132" s="768" cm="1">
        <f t="array" aca="1" ref="M132" ca="1">INDIRECT("'Definition of Typical Day'!"&amp; ADDRESS($D132+29*(M$16-1),$E132))</f>
        <v>60</v>
      </c>
      <c r="N132" s="715">
        <f t="shared" si="107"/>
        <v>3</v>
      </c>
      <c r="O132" s="715">
        <f t="shared" ca="1" si="108"/>
        <v>63</v>
      </c>
      <c r="P132" s="715" cm="1">
        <f t="array" aca="1" ref="P132" ca="1">INDIRECT("'Definition of Typical Day'!"&amp; ADDRESS($D132+29*(P$16-1),$E132))</f>
        <v>45</v>
      </c>
      <c r="Q132" s="787">
        <f t="shared" ca="1" si="109"/>
        <v>48</v>
      </c>
      <c r="R132" s="792">
        <f t="shared" ca="1" si="110"/>
        <v>63</v>
      </c>
      <c r="S132" s="769">
        <f t="shared" si="111"/>
        <v>3</v>
      </c>
      <c r="T132" s="769">
        <f t="shared" ca="1" si="112"/>
        <v>0.24</v>
      </c>
      <c r="U132" s="769">
        <f t="shared" ca="1" si="113"/>
        <v>0.70199999999999996</v>
      </c>
      <c r="V132" s="769">
        <f t="shared" ca="1" si="114"/>
        <v>0</v>
      </c>
      <c r="W132" s="769">
        <f t="shared" ca="1" si="115"/>
        <v>3.9420000000000002</v>
      </c>
      <c r="X132" s="794">
        <f t="shared" si="116"/>
        <v>3</v>
      </c>
      <c r="Y132" s="769">
        <f t="shared" ca="1" si="117"/>
        <v>2.1213203435596428</v>
      </c>
      <c r="Z132" s="769">
        <f t="shared" ca="1" si="118"/>
        <v>2.1213203435596428</v>
      </c>
      <c r="AA132" s="795">
        <f t="shared" ca="1" si="119"/>
        <v>2.1213203435596428</v>
      </c>
      <c r="AB132" s="769">
        <f t="shared" ca="1" si="120"/>
        <v>0</v>
      </c>
      <c r="AC132" s="769">
        <f t="shared" ca="1" si="121"/>
        <v>0</v>
      </c>
      <c r="AD132" s="769">
        <f t="shared" ca="1" si="122"/>
        <v>0</v>
      </c>
      <c r="AE132" s="794">
        <f t="shared" ca="1" si="123"/>
        <v>2.1213203435596428</v>
      </c>
      <c r="AF132" s="769">
        <f t="shared" ca="1" si="124"/>
        <v>2.1213203435596427E-2</v>
      </c>
      <c r="AG132" s="769">
        <f t="shared" ca="1" si="125"/>
        <v>2.1001071401240465</v>
      </c>
      <c r="AH132" s="799">
        <f t="shared" ca="1" si="126"/>
        <v>2.1001071401240465</v>
      </c>
      <c r="AI132" s="801">
        <f t="shared" ca="1" si="127"/>
        <v>1</v>
      </c>
      <c r="AJ132" s="794">
        <f t="shared" ca="1" si="128"/>
        <v>1.5831873289580085</v>
      </c>
      <c r="AK132" s="769">
        <f t="shared" ca="1" si="129"/>
        <v>0.53813301460163443</v>
      </c>
      <c r="AL132" s="769">
        <f t="shared" ca="1" si="130"/>
        <v>0</v>
      </c>
      <c r="AM132" s="804">
        <f t="shared" ca="1" si="80"/>
        <v>0.2110916438610678</v>
      </c>
      <c r="AN132" s="795">
        <f t="shared" ca="1" si="81"/>
        <v>5.5575022805598867E-2</v>
      </c>
      <c r="AO132" s="251"/>
      <c r="AP132" s="770">
        <f t="shared" si="131"/>
        <v>0</v>
      </c>
      <c r="AQ132" s="771">
        <f t="shared" ca="1" si="132"/>
        <v>0</v>
      </c>
      <c r="AR132" s="771">
        <f t="shared" ca="1" si="133"/>
        <v>3.166374657916017</v>
      </c>
      <c r="AS132" s="772">
        <f t="shared" ca="1" si="134"/>
        <v>3.166374657916017</v>
      </c>
      <c r="AT132" s="231"/>
      <c r="AU132" s="770">
        <f>'Main Results - IRR DC Operator'!$F$16</f>
        <v>2</v>
      </c>
      <c r="AV132" s="773">
        <f>'Main Results - IRR DC Operator'!$F$15</f>
        <v>1</v>
      </c>
      <c r="AW132" s="771">
        <f t="shared" ca="1" si="135"/>
        <v>4</v>
      </c>
      <c r="AX132" s="772">
        <f t="shared" si="136"/>
        <v>0</v>
      </c>
      <c r="AY132" s="231"/>
      <c r="AZ132" s="770" cm="1">
        <f t="array" aca="1" ref="AZ132" ca="1">INDIRECT("'Definition of Typical Day'!"&amp; ADDRESS($D132+29*(AZ$16-1),$E132))+$AZ$17</f>
        <v>8.9499999999999993</v>
      </c>
      <c r="BA132" s="771" cm="1">
        <f t="array" aca="1" ref="BA132" ca="1">INDIRECT("'Definition of Typical Day'!"&amp; ADDRESS($D132+29*(BA$16-1),$E132))+$BA$17</f>
        <v>8.9499999999999993</v>
      </c>
      <c r="BB132" s="772" cm="1">
        <f t="array" aca="1" ref="BB132" ca="1">INDIRECT("'Definition of Typical Day'!"&amp;ADDRESS(BB$16,$E132))</f>
        <v>60</v>
      </c>
      <c r="BC132" s="776" cm="1">
        <f t="array" aca="1" ref="BC132" ca="1">INDIRECT("'Definition of Typical Day'!"&amp; ADDRESS($D132+29*(BC$16-1),$E132))</f>
        <v>7.95</v>
      </c>
      <c r="BD132" s="777" cm="1">
        <f t="array" aca="1" ref="BD132" ca="1">INDIRECT("'Definition of Typical Day'!"&amp; ADDRESS($D132+29*(BD$16-1),$E132))</f>
        <v>1</v>
      </c>
      <c r="BE132" s="776">
        <f t="shared" si="137"/>
        <v>0</v>
      </c>
      <c r="BF132" s="771">
        <f t="shared" ca="1" si="138"/>
        <v>4.8162904806846276</v>
      </c>
      <c r="BG132" s="771">
        <f t="shared" ca="1" si="139"/>
        <v>2.5455844122715714</v>
      </c>
      <c r="BH132" s="771">
        <f t="shared" ca="1" si="140"/>
        <v>0</v>
      </c>
      <c r="BI132" s="776">
        <f t="shared" ca="1" si="141"/>
        <v>1.6781785686954891</v>
      </c>
      <c r="BJ132" s="776">
        <f t="shared" ca="1" si="142"/>
        <v>0.44182143130451101</v>
      </c>
      <c r="BK132" s="776">
        <f t="shared" ca="1" si="143"/>
        <v>0</v>
      </c>
      <c r="BL132" s="776">
        <f t="shared" ca="1" si="144"/>
        <v>0</v>
      </c>
      <c r="BM132" s="135"/>
      <c r="BN132" s="776">
        <f t="shared" ca="1" si="145"/>
        <v>11.3618748929562</v>
      </c>
      <c r="BO132" s="778">
        <f t="shared" ca="1" si="82"/>
        <v>5.4101405951532024</v>
      </c>
      <c r="BP132" s="770">
        <f t="shared" ca="1" si="83"/>
        <v>7.361874892956199</v>
      </c>
      <c r="BQ132" s="771">
        <f t="shared" ca="1" si="84"/>
        <v>0</v>
      </c>
      <c r="BR132" s="771">
        <f t="shared" ca="1" si="85"/>
        <v>0</v>
      </c>
      <c r="BS132" s="776">
        <f t="shared" ca="1" si="146"/>
        <v>11.3618748929562</v>
      </c>
      <c r="BT132" s="776">
        <f t="shared" ca="1" si="86"/>
        <v>7.361874892956199</v>
      </c>
      <c r="BU132" s="783">
        <f t="shared" ca="1" si="87"/>
        <v>3.5054758646843878</v>
      </c>
      <c r="BV132" s="783">
        <f t="shared" ca="1" si="88"/>
        <v>3.5054758646843878</v>
      </c>
      <c r="BW132" s="1019">
        <f t="shared" ca="1" si="147"/>
        <v>3.5054758646843878</v>
      </c>
      <c r="BX132" s="771" cm="1">
        <f t="array" aca="1" ref="BX132" ca="1">INDIRECT("'Definition of Typical Day'!"&amp; ADDRESS($D132+29*(BX$16-1),$E132))</f>
        <v>55</v>
      </c>
      <c r="BY132" s="771">
        <f t="shared" ca="1" si="148"/>
        <v>1</v>
      </c>
      <c r="BZ132" s="781">
        <f t="shared" ca="1" si="89"/>
        <v>1</v>
      </c>
      <c r="CA132" s="781">
        <f t="shared" ca="1" si="90"/>
        <v>0.70710678118654757</v>
      </c>
      <c r="CB132" s="776">
        <f t="shared" ca="1" si="91"/>
        <v>115.50589270682256</v>
      </c>
      <c r="CC132" s="782">
        <f t="shared" si="92"/>
        <v>5</v>
      </c>
      <c r="CD132" s="782">
        <f t="shared" si="93"/>
        <v>16</v>
      </c>
      <c r="CE132" s="784" t="str" cm="1">
        <f t="array" aca="1" ref="CE132" ca="1">INDIRECT("'Definition of Typical Day'!"&amp;ADDRESS(CE$16,$E132))</f>
        <v>Summer weekend</v>
      </c>
      <c r="CF132" s="232"/>
      <c r="CG132" s="232"/>
      <c r="CH132" s="776">
        <f t="shared" ca="1" si="94"/>
        <v>2</v>
      </c>
      <c r="CI132" s="806">
        <f t="shared" ca="1" si="95"/>
        <v>6</v>
      </c>
      <c r="CJ132" s="770">
        <f t="shared" ca="1" si="96"/>
        <v>2.1001071401240465</v>
      </c>
      <c r="CK132" s="771">
        <f t="shared" ca="1" si="97"/>
        <v>1.5831873289580085</v>
      </c>
      <c r="CL132" s="771">
        <f t="shared" ca="1" si="98"/>
        <v>0.53813301460163443</v>
      </c>
      <c r="CM132" s="772">
        <f t="shared" ca="1" si="99"/>
        <v>0</v>
      </c>
      <c r="CN132" s="135"/>
      <c r="CO132" s="770">
        <f t="shared" ca="1" si="149"/>
        <v>1.05</v>
      </c>
      <c r="CP132" s="771">
        <f t="shared" ca="1" si="100"/>
        <v>0.98</v>
      </c>
      <c r="CQ132" s="771">
        <f t="shared" ca="1" si="101"/>
        <v>0.96</v>
      </c>
      <c r="CR132" s="771">
        <f t="shared" ca="1" si="102"/>
        <v>0.95</v>
      </c>
      <c r="CS132" s="771">
        <f t="shared" ca="1" si="103"/>
        <v>1.02</v>
      </c>
      <c r="CT132" s="772">
        <f t="shared" ca="1" si="104"/>
        <v>0.02</v>
      </c>
      <c r="CU132" s="135"/>
      <c r="CV132" s="135"/>
      <c r="CW132" s="135"/>
      <c r="CX132" s="135"/>
      <c r="CY132" s="135"/>
      <c r="CZ132" s="135"/>
      <c r="DA132" s="135"/>
      <c r="DB132" s="135"/>
      <c r="DC132" s="135"/>
      <c r="DD132" s="135"/>
      <c r="DE132" s="135"/>
      <c r="DF132" s="135"/>
      <c r="DG132" s="135"/>
      <c r="DH132" s="135"/>
      <c r="DI132" s="135"/>
      <c r="DJ132" s="135"/>
      <c r="DK132" s="135"/>
      <c r="DL132" s="135"/>
      <c r="DX132" s="135"/>
      <c r="DY132" s="135"/>
      <c r="DZ132" s="135"/>
      <c r="EA132" s="135"/>
      <c r="EB132" s="135"/>
      <c r="EC132" s="135"/>
      <c r="ED132" s="135"/>
      <c r="EE132" s="135"/>
      <c r="EF132" s="135"/>
      <c r="EG132" s="135"/>
      <c r="EH132" s="135"/>
      <c r="EI132" s="135"/>
      <c r="EJ132" s="135"/>
      <c r="EK132" s="135"/>
      <c r="EL132" s="135"/>
      <c r="EM132" s="135"/>
      <c r="EN132" s="135"/>
      <c r="EO132" s="135"/>
      <c r="EP132" s="135"/>
      <c r="EQ132" s="135"/>
      <c r="ER132" s="135"/>
      <c r="ES132" s="135"/>
      <c r="ET132" s="135"/>
      <c r="EU132" s="135"/>
      <c r="EV132" s="135"/>
      <c r="EW132" s="135"/>
      <c r="EX132" s="135"/>
      <c r="EY132" s="135"/>
      <c r="EZ132" s="135"/>
      <c r="FA132" s="135"/>
      <c r="FB132" s="135"/>
      <c r="FC132" s="135"/>
      <c r="FD132" s="135"/>
      <c r="FE132" s="135"/>
      <c r="FF132" s="135"/>
      <c r="FG132" s="135"/>
    </row>
    <row r="133" spans="1:163" s="57" customFormat="1" ht="11.25" outlineLevel="1">
      <c r="A133" s="765">
        <f t="shared" si="150"/>
        <v>5</v>
      </c>
      <c r="B133" s="715" t="str" cm="1">
        <f t="array" aca="1" ref="B133" ca="1">INDIRECT("'Definition of Typical Day'!"&amp;ADDRESS(B$16,$E133))</f>
        <v>Summer weekend</v>
      </c>
      <c r="C133" s="766">
        <f t="shared" si="151"/>
        <v>17</v>
      </c>
      <c r="D133" s="715">
        <f t="shared" si="151"/>
        <v>51</v>
      </c>
      <c r="E133" s="715">
        <f t="shared" si="79"/>
        <v>9</v>
      </c>
      <c r="F133" s="767" cm="1">
        <f t="array" aca="1" ref="F133" ca="1">INDIRECT("'Definition of Typical Day'!D"&amp;D133)</f>
        <v>17</v>
      </c>
      <c r="G133" s="767" cm="1">
        <f t="array" aca="1" ref="G133" ca="1">INDIRECT("'Definition of Typical Day'!"&amp;ADDRESS(13,E133))</f>
        <v>5</v>
      </c>
      <c r="H133" s="768" cm="1">
        <f t="array" aca="1" ref="H133" ca="1">INDIRECT("'Definition of Typical Day'!"&amp; ADDRESS($D133+28*(H$16-1),$E133))</f>
        <v>2</v>
      </c>
      <c r="I133" s="715" cm="1">
        <f t="array" aca="1" ref="I133" ca="1">INDIRECT("'Definition of Typical Day'!"&amp; ADDRESS($D133+29*(I$16-1),$E133))</f>
        <v>40</v>
      </c>
      <c r="J133" s="715">
        <f t="shared" ca="1" si="105"/>
        <v>37</v>
      </c>
      <c r="K133" s="785">
        <f t="shared" si="106"/>
        <v>28</v>
      </c>
      <c r="L133" s="786" cm="1">
        <f t="array" aca="1" ref="L133" ca="1">INDIRECT("'Definition of Typical Day'!"&amp; ADDRESS($D133+29*(L$16-1),$E133))</f>
        <v>6</v>
      </c>
      <c r="M133" s="768" cm="1">
        <f t="array" aca="1" ref="M133" ca="1">INDIRECT("'Definition of Typical Day'!"&amp; ADDRESS($D133+29*(M$16-1),$E133))</f>
        <v>60</v>
      </c>
      <c r="N133" s="715">
        <f t="shared" si="107"/>
        <v>3</v>
      </c>
      <c r="O133" s="715">
        <f t="shared" ca="1" si="108"/>
        <v>63</v>
      </c>
      <c r="P133" s="715" cm="1">
        <f t="array" aca="1" ref="P133" ca="1">INDIRECT("'Definition of Typical Day'!"&amp; ADDRESS($D133+29*(P$16-1),$E133))</f>
        <v>45</v>
      </c>
      <c r="Q133" s="787">
        <f t="shared" ca="1" si="109"/>
        <v>48</v>
      </c>
      <c r="R133" s="792">
        <f t="shared" ca="1" si="110"/>
        <v>63</v>
      </c>
      <c r="S133" s="769">
        <f t="shared" si="111"/>
        <v>3</v>
      </c>
      <c r="T133" s="769">
        <f t="shared" ca="1" si="112"/>
        <v>0.24</v>
      </c>
      <c r="U133" s="769">
        <f t="shared" ca="1" si="113"/>
        <v>0.70199999999999996</v>
      </c>
      <c r="V133" s="769">
        <f t="shared" ca="1" si="114"/>
        <v>0</v>
      </c>
      <c r="W133" s="769">
        <f t="shared" ca="1" si="115"/>
        <v>3.9420000000000002</v>
      </c>
      <c r="X133" s="794">
        <f t="shared" si="116"/>
        <v>3</v>
      </c>
      <c r="Y133" s="769">
        <f t="shared" ca="1" si="117"/>
        <v>2.1213203435596428</v>
      </c>
      <c r="Z133" s="769">
        <f t="shared" ca="1" si="118"/>
        <v>2.1213203435596428</v>
      </c>
      <c r="AA133" s="795">
        <f t="shared" ca="1" si="119"/>
        <v>2.1213203435596428</v>
      </c>
      <c r="AB133" s="769">
        <f t="shared" ca="1" si="120"/>
        <v>0</v>
      </c>
      <c r="AC133" s="769">
        <f t="shared" ca="1" si="121"/>
        <v>0</v>
      </c>
      <c r="AD133" s="769">
        <f t="shared" ca="1" si="122"/>
        <v>0</v>
      </c>
      <c r="AE133" s="794">
        <f t="shared" ca="1" si="123"/>
        <v>2.1213203435596428</v>
      </c>
      <c r="AF133" s="769">
        <f t="shared" ca="1" si="124"/>
        <v>2.1213203435596427E-2</v>
      </c>
      <c r="AG133" s="769">
        <f t="shared" ca="1" si="125"/>
        <v>2.1001071401240465</v>
      </c>
      <c r="AH133" s="799">
        <f t="shared" ca="1" si="126"/>
        <v>2.1001071401240465</v>
      </c>
      <c r="AI133" s="801">
        <f t="shared" ca="1" si="127"/>
        <v>1</v>
      </c>
      <c r="AJ133" s="794">
        <f t="shared" ca="1" si="128"/>
        <v>1.5831873289580085</v>
      </c>
      <c r="AK133" s="769">
        <f t="shared" ca="1" si="129"/>
        <v>0.53813301460163443</v>
      </c>
      <c r="AL133" s="769">
        <f t="shared" ca="1" si="130"/>
        <v>0</v>
      </c>
      <c r="AM133" s="804">
        <f t="shared" ca="1" si="80"/>
        <v>0.2110916438610678</v>
      </c>
      <c r="AN133" s="795">
        <f t="shared" ca="1" si="81"/>
        <v>5.5575022805598867E-2</v>
      </c>
      <c r="AO133" s="251"/>
      <c r="AP133" s="770">
        <f t="shared" si="131"/>
        <v>0</v>
      </c>
      <c r="AQ133" s="771">
        <f t="shared" ca="1" si="132"/>
        <v>0</v>
      </c>
      <c r="AR133" s="771">
        <f t="shared" ca="1" si="133"/>
        <v>3.166374657916017</v>
      </c>
      <c r="AS133" s="772">
        <f t="shared" ca="1" si="134"/>
        <v>3.166374657916017</v>
      </c>
      <c r="AT133" s="231"/>
      <c r="AU133" s="770">
        <f>'Main Results - IRR DC Operator'!$F$16</f>
        <v>2</v>
      </c>
      <c r="AV133" s="773">
        <f>'Main Results - IRR DC Operator'!$F$15</f>
        <v>1</v>
      </c>
      <c r="AW133" s="771">
        <f t="shared" ca="1" si="135"/>
        <v>4</v>
      </c>
      <c r="AX133" s="772">
        <f t="shared" si="136"/>
        <v>0</v>
      </c>
      <c r="AY133" s="231"/>
      <c r="AZ133" s="770" cm="1">
        <f t="array" aca="1" ref="AZ133" ca="1">INDIRECT("'Definition of Typical Day'!"&amp; ADDRESS($D133+29*(AZ$16-1),$E133))+$AZ$17</f>
        <v>10.73</v>
      </c>
      <c r="BA133" s="771" cm="1">
        <f t="array" aca="1" ref="BA133" ca="1">INDIRECT("'Definition of Typical Day'!"&amp; ADDRESS($D133+29*(BA$16-1),$E133))+$BA$17</f>
        <v>10.73</v>
      </c>
      <c r="BB133" s="772" cm="1">
        <f t="array" aca="1" ref="BB133" ca="1">INDIRECT("'Definition of Typical Day'!"&amp;ADDRESS(BB$16,$E133))</f>
        <v>60</v>
      </c>
      <c r="BC133" s="776" cm="1">
        <f t="array" aca="1" ref="BC133" ca="1">INDIRECT("'Definition of Typical Day'!"&amp; ADDRESS($D133+29*(BC$16-1),$E133))</f>
        <v>9.73</v>
      </c>
      <c r="BD133" s="777" cm="1">
        <f t="array" aca="1" ref="BD133" ca="1">INDIRECT("'Definition of Typical Day'!"&amp; ADDRESS($D133+29*(BD$16-1),$E133))</f>
        <v>1</v>
      </c>
      <c r="BE133" s="776">
        <f t="shared" si="137"/>
        <v>0</v>
      </c>
      <c r="BF133" s="771">
        <f t="shared" ca="1" si="138"/>
        <v>5.774167246675538</v>
      </c>
      <c r="BG133" s="771">
        <f t="shared" ca="1" si="139"/>
        <v>2.5455844122715714</v>
      </c>
      <c r="BH133" s="771">
        <f t="shared" ca="1" si="140"/>
        <v>0</v>
      </c>
      <c r="BI133" s="776">
        <f t="shared" ca="1" si="141"/>
        <v>2.0539216947681895</v>
      </c>
      <c r="BJ133" s="776">
        <f t="shared" ca="1" si="142"/>
        <v>0.54074497189847703</v>
      </c>
      <c r="BK133" s="776">
        <f t="shared" ca="1" si="143"/>
        <v>0</v>
      </c>
      <c r="BL133" s="776">
        <f t="shared" ca="1" si="144"/>
        <v>0</v>
      </c>
      <c r="BM133" s="135"/>
      <c r="BN133" s="776">
        <f t="shared" ca="1" si="145"/>
        <v>12.31975165894711</v>
      </c>
      <c r="BO133" s="778">
        <f t="shared" ca="1" si="82"/>
        <v>5.8662491182328074</v>
      </c>
      <c r="BP133" s="770">
        <f t="shared" ca="1" si="83"/>
        <v>8.3197516589471086</v>
      </c>
      <c r="BQ133" s="771">
        <f t="shared" ca="1" si="84"/>
        <v>0</v>
      </c>
      <c r="BR133" s="771">
        <f t="shared" ca="1" si="85"/>
        <v>0</v>
      </c>
      <c r="BS133" s="776">
        <f t="shared" ca="1" si="146"/>
        <v>12.31975165894711</v>
      </c>
      <c r="BT133" s="776">
        <f t="shared" ca="1" si="86"/>
        <v>8.3197516589471086</v>
      </c>
      <c r="BU133" s="783">
        <f t="shared" ca="1" si="87"/>
        <v>3.9615843877639918</v>
      </c>
      <c r="BV133" s="783">
        <f t="shared" ca="1" si="88"/>
        <v>3.9615843877639918</v>
      </c>
      <c r="BW133" s="1019">
        <f t="shared" ca="1" si="147"/>
        <v>3.9615843877639918</v>
      </c>
      <c r="BX133" s="771" cm="1">
        <f t="array" aca="1" ref="BX133" ca="1">INDIRECT("'Definition of Typical Day'!"&amp; ADDRESS($D133+29*(BX$16-1),$E133))</f>
        <v>55</v>
      </c>
      <c r="BY133" s="771">
        <f t="shared" ca="1" si="148"/>
        <v>1</v>
      </c>
      <c r="BZ133" s="781">
        <f t="shared" ca="1" si="89"/>
        <v>1</v>
      </c>
      <c r="CA133" s="781">
        <f t="shared" ca="1" si="90"/>
        <v>0.70710678118654757</v>
      </c>
      <c r="CB133" s="776">
        <f t="shared" ca="1" si="91"/>
        <v>115.50589270682256</v>
      </c>
      <c r="CC133" s="782">
        <f t="shared" si="92"/>
        <v>5</v>
      </c>
      <c r="CD133" s="782">
        <f t="shared" si="93"/>
        <v>17</v>
      </c>
      <c r="CE133" s="784" t="str" cm="1">
        <f t="array" aca="1" ref="CE133" ca="1">INDIRECT("'Definition of Typical Day'!"&amp;ADDRESS(CE$16,$E133))</f>
        <v>Summer weekend</v>
      </c>
      <c r="CF133" s="232"/>
      <c r="CG133" s="232"/>
      <c r="CH133" s="776">
        <f t="shared" ca="1" si="94"/>
        <v>2</v>
      </c>
      <c r="CI133" s="806">
        <f t="shared" ca="1" si="95"/>
        <v>6</v>
      </c>
      <c r="CJ133" s="770">
        <f t="shared" ca="1" si="96"/>
        <v>2.1001071401240465</v>
      </c>
      <c r="CK133" s="771">
        <f t="shared" ca="1" si="97"/>
        <v>1.5831873289580085</v>
      </c>
      <c r="CL133" s="771">
        <f t="shared" ca="1" si="98"/>
        <v>0.53813301460163443</v>
      </c>
      <c r="CM133" s="772">
        <f t="shared" ca="1" si="99"/>
        <v>0</v>
      </c>
      <c r="CN133" s="135"/>
      <c r="CO133" s="770">
        <f t="shared" ca="1" si="149"/>
        <v>1.05</v>
      </c>
      <c r="CP133" s="771">
        <f t="shared" ca="1" si="100"/>
        <v>0.98</v>
      </c>
      <c r="CQ133" s="771">
        <f t="shared" ca="1" si="101"/>
        <v>0.96</v>
      </c>
      <c r="CR133" s="771">
        <f t="shared" ca="1" si="102"/>
        <v>0.95</v>
      </c>
      <c r="CS133" s="771">
        <f t="shared" ca="1" si="103"/>
        <v>1.02</v>
      </c>
      <c r="CT133" s="772">
        <f t="shared" ca="1" si="104"/>
        <v>0.02</v>
      </c>
      <c r="CU133" s="135"/>
      <c r="CV133" s="135"/>
      <c r="CW133" s="135"/>
      <c r="CX133" s="135"/>
      <c r="CY133" s="135"/>
      <c r="CZ133" s="135"/>
      <c r="DA133" s="135"/>
      <c r="DB133" s="135"/>
      <c r="DC133" s="135"/>
      <c r="DD133" s="135"/>
      <c r="DE133" s="135"/>
      <c r="DF133" s="135"/>
      <c r="DG133" s="135"/>
      <c r="DH133" s="135"/>
      <c r="DI133" s="135"/>
      <c r="DJ133" s="135"/>
      <c r="DK133" s="135"/>
      <c r="DL133" s="135"/>
      <c r="DX133" s="135"/>
      <c r="DY133" s="135"/>
      <c r="DZ133" s="135"/>
      <c r="EA133" s="135"/>
      <c r="EB133" s="135"/>
      <c r="EC133" s="135"/>
      <c r="ED133" s="135"/>
      <c r="EE133" s="135"/>
      <c r="EF133" s="135"/>
      <c r="EG133" s="135"/>
      <c r="EH133" s="135"/>
      <c r="EI133" s="135"/>
      <c r="EJ133" s="135"/>
      <c r="EK133" s="135"/>
      <c r="EL133" s="135"/>
      <c r="EM133" s="135"/>
      <c r="EN133" s="135"/>
      <c r="EO133" s="135"/>
      <c r="EP133" s="135"/>
      <c r="EQ133" s="135"/>
      <c r="ER133" s="135"/>
      <c r="ES133" s="135"/>
      <c r="ET133" s="135"/>
      <c r="EU133" s="135"/>
      <c r="EV133" s="135"/>
      <c r="EW133" s="135"/>
      <c r="EX133" s="135"/>
      <c r="EY133" s="135"/>
      <c r="EZ133" s="135"/>
      <c r="FA133" s="135"/>
      <c r="FB133" s="135"/>
      <c r="FC133" s="135"/>
      <c r="FD133" s="135"/>
      <c r="FE133" s="135"/>
      <c r="FF133" s="135"/>
      <c r="FG133" s="135"/>
    </row>
    <row r="134" spans="1:163" s="57" customFormat="1" ht="11.25" outlineLevel="1">
      <c r="A134" s="765">
        <f t="shared" si="150"/>
        <v>5</v>
      </c>
      <c r="B134" s="715" t="str" cm="1">
        <f t="array" aca="1" ref="B134" ca="1">INDIRECT("'Definition of Typical Day'!"&amp;ADDRESS(B$16,$E134))</f>
        <v>Summer weekend</v>
      </c>
      <c r="C134" s="766">
        <f t="shared" si="151"/>
        <v>18</v>
      </c>
      <c r="D134" s="715">
        <f t="shared" si="151"/>
        <v>52</v>
      </c>
      <c r="E134" s="715">
        <f t="shared" si="79"/>
        <v>9</v>
      </c>
      <c r="F134" s="767" cm="1">
        <f t="array" aca="1" ref="F134" ca="1">INDIRECT("'Definition of Typical Day'!D"&amp;D134)</f>
        <v>18</v>
      </c>
      <c r="G134" s="767" cm="1">
        <f t="array" aca="1" ref="G134" ca="1">INDIRECT("'Definition of Typical Day'!"&amp;ADDRESS(13,E134))</f>
        <v>5</v>
      </c>
      <c r="H134" s="768" cm="1">
        <f t="array" aca="1" ref="H134" ca="1">INDIRECT("'Definition of Typical Day'!"&amp; ADDRESS($D134+28*(H$16-1),$E134))</f>
        <v>2</v>
      </c>
      <c r="I134" s="715" cm="1">
        <f t="array" aca="1" ref="I134" ca="1">INDIRECT("'Definition of Typical Day'!"&amp; ADDRESS($D134+29*(I$16-1),$E134))</f>
        <v>40</v>
      </c>
      <c r="J134" s="715">
        <f t="shared" ca="1" si="105"/>
        <v>37</v>
      </c>
      <c r="K134" s="785">
        <f t="shared" si="106"/>
        <v>28</v>
      </c>
      <c r="L134" s="786" cm="1">
        <f t="array" aca="1" ref="L134" ca="1">INDIRECT("'Definition of Typical Day'!"&amp; ADDRESS($D134+29*(L$16-1),$E134))</f>
        <v>6</v>
      </c>
      <c r="M134" s="768" cm="1">
        <f t="array" aca="1" ref="M134" ca="1">INDIRECT("'Definition of Typical Day'!"&amp; ADDRESS($D134+29*(M$16-1),$E134))</f>
        <v>60</v>
      </c>
      <c r="N134" s="715">
        <f t="shared" si="107"/>
        <v>3</v>
      </c>
      <c r="O134" s="715">
        <f t="shared" ca="1" si="108"/>
        <v>63</v>
      </c>
      <c r="P134" s="715" cm="1">
        <f t="array" aca="1" ref="P134" ca="1">INDIRECT("'Definition of Typical Day'!"&amp; ADDRESS($D134+29*(P$16-1),$E134))</f>
        <v>45</v>
      </c>
      <c r="Q134" s="787">
        <f t="shared" ca="1" si="109"/>
        <v>48</v>
      </c>
      <c r="R134" s="792">
        <f t="shared" ca="1" si="110"/>
        <v>63</v>
      </c>
      <c r="S134" s="769">
        <f t="shared" si="111"/>
        <v>3</v>
      </c>
      <c r="T134" s="769">
        <f t="shared" ca="1" si="112"/>
        <v>0.24</v>
      </c>
      <c r="U134" s="769">
        <f t="shared" ca="1" si="113"/>
        <v>0.70199999999999996</v>
      </c>
      <c r="V134" s="769">
        <f t="shared" ca="1" si="114"/>
        <v>0</v>
      </c>
      <c r="W134" s="769">
        <f t="shared" ca="1" si="115"/>
        <v>3.9420000000000002</v>
      </c>
      <c r="X134" s="794">
        <f t="shared" si="116"/>
        <v>3</v>
      </c>
      <c r="Y134" s="769">
        <f t="shared" ca="1" si="117"/>
        <v>2.1213203435596428</v>
      </c>
      <c r="Z134" s="769">
        <f t="shared" ca="1" si="118"/>
        <v>2.1213203435596428</v>
      </c>
      <c r="AA134" s="795">
        <f t="shared" ca="1" si="119"/>
        <v>2.1213203435596428</v>
      </c>
      <c r="AB134" s="769">
        <f t="shared" ca="1" si="120"/>
        <v>0</v>
      </c>
      <c r="AC134" s="769">
        <f t="shared" ca="1" si="121"/>
        <v>0</v>
      </c>
      <c r="AD134" s="769">
        <f t="shared" ca="1" si="122"/>
        <v>0</v>
      </c>
      <c r="AE134" s="794">
        <f t="shared" ca="1" si="123"/>
        <v>2.1213203435596428</v>
      </c>
      <c r="AF134" s="769">
        <f t="shared" ca="1" si="124"/>
        <v>2.1213203435596427E-2</v>
      </c>
      <c r="AG134" s="769">
        <f t="shared" ca="1" si="125"/>
        <v>2.1001071401240465</v>
      </c>
      <c r="AH134" s="799">
        <f t="shared" ca="1" si="126"/>
        <v>2.1001071401240465</v>
      </c>
      <c r="AI134" s="801">
        <f t="shared" ca="1" si="127"/>
        <v>1</v>
      </c>
      <c r="AJ134" s="794">
        <f t="shared" ca="1" si="128"/>
        <v>1.5831873289580085</v>
      </c>
      <c r="AK134" s="769">
        <f t="shared" ca="1" si="129"/>
        <v>0.53813301460163443</v>
      </c>
      <c r="AL134" s="769">
        <f t="shared" ca="1" si="130"/>
        <v>0</v>
      </c>
      <c r="AM134" s="804">
        <f t="shared" ca="1" si="80"/>
        <v>0.2110916438610678</v>
      </c>
      <c r="AN134" s="795">
        <f t="shared" ca="1" si="81"/>
        <v>5.5575022805598867E-2</v>
      </c>
      <c r="AO134" s="251"/>
      <c r="AP134" s="770">
        <f t="shared" si="131"/>
        <v>0</v>
      </c>
      <c r="AQ134" s="771">
        <f t="shared" ca="1" si="132"/>
        <v>0</v>
      </c>
      <c r="AR134" s="771">
        <f t="shared" ca="1" si="133"/>
        <v>3.166374657916017</v>
      </c>
      <c r="AS134" s="772">
        <f t="shared" ca="1" si="134"/>
        <v>3.166374657916017</v>
      </c>
      <c r="AT134" s="231"/>
      <c r="AU134" s="770">
        <f>'Main Results - IRR DC Operator'!$F$16</f>
        <v>2</v>
      </c>
      <c r="AV134" s="773">
        <f>'Main Results - IRR DC Operator'!$F$15</f>
        <v>1</v>
      </c>
      <c r="AW134" s="771">
        <f t="shared" ca="1" si="135"/>
        <v>4</v>
      </c>
      <c r="AX134" s="772">
        <f t="shared" si="136"/>
        <v>0</v>
      </c>
      <c r="AY134" s="231"/>
      <c r="AZ134" s="770" cm="1">
        <f t="array" aca="1" ref="AZ134" ca="1">INDIRECT("'Definition of Typical Day'!"&amp; ADDRESS($D134+29*(AZ$16-1),$E134))+$AZ$17</f>
        <v>33.61</v>
      </c>
      <c r="BA134" s="771" cm="1">
        <f t="array" aca="1" ref="BA134" ca="1">INDIRECT("'Definition of Typical Day'!"&amp; ADDRESS($D134+29*(BA$16-1),$E134))+$BA$17</f>
        <v>33.61</v>
      </c>
      <c r="BB134" s="772" cm="1">
        <f t="array" aca="1" ref="BB134" ca="1">INDIRECT("'Definition of Typical Day'!"&amp;ADDRESS(BB$16,$E134))</f>
        <v>60</v>
      </c>
      <c r="BC134" s="776" cm="1">
        <f t="array" aca="1" ref="BC134" ca="1">INDIRECT("'Definition of Typical Day'!"&amp; ADDRESS($D134+29*(BC$16-1),$E134))</f>
        <v>32.61</v>
      </c>
      <c r="BD134" s="777" cm="1">
        <f t="array" aca="1" ref="BD134" ca="1">INDIRECT("'Definition of Typical Day'!"&amp; ADDRESS($D134+29*(BD$16-1),$E134))</f>
        <v>1</v>
      </c>
      <c r="BE134" s="776">
        <f t="shared" si="137"/>
        <v>0</v>
      </c>
      <c r="BF134" s="771">
        <f t="shared" ca="1" si="138"/>
        <v>18.086650620760931</v>
      </c>
      <c r="BG134" s="771">
        <f t="shared" ca="1" si="139"/>
        <v>2.5455844122715714</v>
      </c>
      <c r="BH134" s="771">
        <f t="shared" ca="1" si="140"/>
        <v>0</v>
      </c>
      <c r="BI134" s="776">
        <f t="shared" ca="1" si="141"/>
        <v>6.8836985063094209</v>
      </c>
      <c r="BJ134" s="776">
        <f t="shared" ca="1" si="142"/>
        <v>1.812301493690579</v>
      </c>
      <c r="BK134" s="776">
        <f t="shared" ca="1" si="143"/>
        <v>0</v>
      </c>
      <c r="BL134" s="776">
        <f t="shared" ca="1" si="144"/>
        <v>0</v>
      </c>
      <c r="BM134" s="135"/>
      <c r="BN134" s="776">
        <f t="shared" ca="1" si="145"/>
        <v>24.632235033032501</v>
      </c>
      <c r="BO134" s="778">
        <f t="shared" ca="1" si="82"/>
        <v>11.729037325008834</v>
      </c>
      <c r="BP134" s="770">
        <f t="shared" ca="1" si="83"/>
        <v>20.632235033032501</v>
      </c>
      <c r="BQ134" s="771">
        <f t="shared" ca="1" si="84"/>
        <v>0</v>
      </c>
      <c r="BR134" s="771">
        <f t="shared" ca="1" si="85"/>
        <v>0</v>
      </c>
      <c r="BS134" s="776">
        <f t="shared" ca="1" si="146"/>
        <v>24.632235033032501</v>
      </c>
      <c r="BT134" s="776">
        <f t="shared" ca="1" si="86"/>
        <v>20.632235033032501</v>
      </c>
      <c r="BU134" s="783">
        <f t="shared" ca="1" si="87"/>
        <v>9.8243725945400211</v>
      </c>
      <c r="BV134" s="783">
        <f t="shared" ca="1" si="88"/>
        <v>9.8243725945400211</v>
      </c>
      <c r="BW134" s="1019">
        <f t="shared" ca="1" si="147"/>
        <v>9.8243725945400211</v>
      </c>
      <c r="BX134" s="771" cm="1">
        <f t="array" aca="1" ref="BX134" ca="1">INDIRECT("'Definition of Typical Day'!"&amp; ADDRESS($D134+29*(BX$16-1),$E134))</f>
        <v>55</v>
      </c>
      <c r="BY134" s="771">
        <f t="shared" ca="1" si="148"/>
        <v>1</v>
      </c>
      <c r="BZ134" s="781">
        <f t="shared" ca="1" si="89"/>
        <v>1</v>
      </c>
      <c r="CA134" s="781">
        <f t="shared" ca="1" si="90"/>
        <v>0.70710678118654757</v>
      </c>
      <c r="CB134" s="776">
        <f t="shared" ca="1" si="91"/>
        <v>115.50589270682256</v>
      </c>
      <c r="CC134" s="782">
        <f t="shared" si="92"/>
        <v>5</v>
      </c>
      <c r="CD134" s="782">
        <f t="shared" si="93"/>
        <v>18</v>
      </c>
      <c r="CE134" s="784" t="str" cm="1">
        <f t="array" aca="1" ref="CE134" ca="1">INDIRECT("'Definition of Typical Day'!"&amp;ADDRESS(CE$16,$E134))</f>
        <v>Summer weekend</v>
      </c>
      <c r="CF134" s="232"/>
      <c r="CG134" s="232"/>
      <c r="CH134" s="776">
        <f t="shared" ca="1" si="94"/>
        <v>2</v>
      </c>
      <c r="CI134" s="806">
        <f t="shared" ca="1" si="95"/>
        <v>6</v>
      </c>
      <c r="CJ134" s="770">
        <f t="shared" ca="1" si="96"/>
        <v>2.1001071401240465</v>
      </c>
      <c r="CK134" s="771">
        <f t="shared" ca="1" si="97"/>
        <v>1.5831873289580085</v>
      </c>
      <c r="CL134" s="771">
        <f t="shared" ca="1" si="98"/>
        <v>0.53813301460163443</v>
      </c>
      <c r="CM134" s="772">
        <f t="shared" ca="1" si="99"/>
        <v>0</v>
      </c>
      <c r="CN134" s="135"/>
      <c r="CO134" s="770">
        <f t="shared" ca="1" si="149"/>
        <v>1.05</v>
      </c>
      <c r="CP134" s="771">
        <f t="shared" ca="1" si="100"/>
        <v>0.98</v>
      </c>
      <c r="CQ134" s="771">
        <f t="shared" ca="1" si="101"/>
        <v>0.96</v>
      </c>
      <c r="CR134" s="771">
        <f t="shared" ca="1" si="102"/>
        <v>0.95</v>
      </c>
      <c r="CS134" s="771">
        <f t="shared" ca="1" si="103"/>
        <v>1.02</v>
      </c>
      <c r="CT134" s="772">
        <f t="shared" ca="1" si="104"/>
        <v>0.02</v>
      </c>
      <c r="CU134" s="135"/>
      <c r="CV134" s="135"/>
      <c r="CW134" s="135"/>
      <c r="CX134" s="135"/>
      <c r="CY134" s="135"/>
      <c r="CZ134" s="135"/>
      <c r="DA134" s="135"/>
      <c r="DB134" s="135"/>
      <c r="DC134" s="135"/>
      <c r="DD134" s="135"/>
      <c r="DE134" s="135"/>
      <c r="DF134" s="135"/>
      <c r="DG134" s="135"/>
      <c r="DH134" s="135"/>
      <c r="DI134" s="135"/>
      <c r="DJ134" s="135"/>
      <c r="DK134" s="135"/>
      <c r="DL134" s="135"/>
      <c r="DX134" s="135"/>
      <c r="DY134" s="135"/>
      <c r="DZ134" s="135"/>
      <c r="EA134" s="135"/>
      <c r="EB134" s="135"/>
      <c r="EC134" s="135"/>
      <c r="ED134" s="135"/>
      <c r="EE134" s="135"/>
      <c r="EF134" s="135"/>
      <c r="EG134" s="135"/>
      <c r="EH134" s="135"/>
      <c r="EI134" s="135"/>
      <c r="EJ134" s="135"/>
      <c r="EK134" s="135"/>
      <c r="EL134" s="135"/>
      <c r="EM134" s="135"/>
      <c r="EN134" s="135"/>
      <c r="EO134" s="135"/>
      <c r="EP134" s="135"/>
      <c r="EQ134" s="135"/>
      <c r="ER134" s="135"/>
      <c r="ES134" s="135"/>
      <c r="ET134" s="135"/>
      <c r="EU134" s="135"/>
      <c r="EV134" s="135"/>
      <c r="EW134" s="135"/>
      <c r="EX134" s="135"/>
      <c r="EY134" s="135"/>
      <c r="EZ134" s="135"/>
      <c r="FA134" s="135"/>
      <c r="FB134" s="135"/>
      <c r="FC134" s="135"/>
      <c r="FD134" s="135"/>
      <c r="FE134" s="135"/>
      <c r="FF134" s="135"/>
      <c r="FG134" s="135"/>
    </row>
    <row r="135" spans="1:163" s="57" customFormat="1" ht="11.25" outlineLevel="1">
      <c r="A135" s="765">
        <f t="shared" si="150"/>
        <v>5</v>
      </c>
      <c r="B135" s="715" t="str" cm="1">
        <f t="array" aca="1" ref="B135" ca="1">INDIRECT("'Definition of Typical Day'!"&amp;ADDRESS(B$16,$E135))</f>
        <v>Summer weekend</v>
      </c>
      <c r="C135" s="766">
        <f t="shared" si="151"/>
        <v>19</v>
      </c>
      <c r="D135" s="715">
        <f t="shared" si="151"/>
        <v>53</v>
      </c>
      <c r="E135" s="715">
        <f t="shared" si="79"/>
        <v>9</v>
      </c>
      <c r="F135" s="767" cm="1">
        <f t="array" aca="1" ref="F135" ca="1">INDIRECT("'Definition of Typical Day'!D"&amp;D135)</f>
        <v>19</v>
      </c>
      <c r="G135" s="767" cm="1">
        <f t="array" aca="1" ref="G135" ca="1">INDIRECT("'Definition of Typical Day'!"&amp;ADDRESS(13,E135))</f>
        <v>5</v>
      </c>
      <c r="H135" s="768" cm="1">
        <f t="array" aca="1" ref="H135" ca="1">INDIRECT("'Definition of Typical Day'!"&amp; ADDRESS($D135+28*(H$16-1),$E135))</f>
        <v>2</v>
      </c>
      <c r="I135" s="715" cm="1">
        <f t="array" aca="1" ref="I135" ca="1">INDIRECT("'Definition of Typical Day'!"&amp; ADDRESS($D135+29*(I$16-1),$E135))</f>
        <v>40</v>
      </c>
      <c r="J135" s="715">
        <f t="shared" ca="1" si="105"/>
        <v>37</v>
      </c>
      <c r="K135" s="785">
        <f t="shared" si="106"/>
        <v>28</v>
      </c>
      <c r="L135" s="786" cm="1">
        <f t="array" aca="1" ref="L135" ca="1">INDIRECT("'Definition of Typical Day'!"&amp; ADDRESS($D135+29*(L$16-1),$E135))</f>
        <v>6</v>
      </c>
      <c r="M135" s="768" cm="1">
        <f t="array" aca="1" ref="M135" ca="1">INDIRECT("'Definition of Typical Day'!"&amp; ADDRESS($D135+29*(M$16-1),$E135))</f>
        <v>60</v>
      </c>
      <c r="N135" s="715">
        <f t="shared" si="107"/>
        <v>3</v>
      </c>
      <c r="O135" s="715">
        <f t="shared" ca="1" si="108"/>
        <v>63</v>
      </c>
      <c r="P135" s="715" cm="1">
        <f t="array" aca="1" ref="P135" ca="1">INDIRECT("'Definition of Typical Day'!"&amp; ADDRESS($D135+29*(P$16-1),$E135))</f>
        <v>45</v>
      </c>
      <c r="Q135" s="787">
        <f t="shared" ca="1" si="109"/>
        <v>48</v>
      </c>
      <c r="R135" s="792">
        <f t="shared" ca="1" si="110"/>
        <v>63</v>
      </c>
      <c r="S135" s="769">
        <f t="shared" si="111"/>
        <v>3</v>
      </c>
      <c r="T135" s="769">
        <f t="shared" ca="1" si="112"/>
        <v>0.24</v>
      </c>
      <c r="U135" s="769">
        <f t="shared" ca="1" si="113"/>
        <v>0.70199999999999996</v>
      </c>
      <c r="V135" s="769">
        <f t="shared" ca="1" si="114"/>
        <v>0</v>
      </c>
      <c r="W135" s="769">
        <f t="shared" ca="1" si="115"/>
        <v>3.9420000000000002</v>
      </c>
      <c r="X135" s="794">
        <f t="shared" si="116"/>
        <v>3</v>
      </c>
      <c r="Y135" s="769">
        <f t="shared" ca="1" si="117"/>
        <v>2.1213203435596428</v>
      </c>
      <c r="Z135" s="769">
        <f t="shared" ca="1" si="118"/>
        <v>2.1213203435596428</v>
      </c>
      <c r="AA135" s="795">
        <f t="shared" ca="1" si="119"/>
        <v>2.1213203435596428</v>
      </c>
      <c r="AB135" s="769">
        <f t="shared" ca="1" si="120"/>
        <v>0</v>
      </c>
      <c r="AC135" s="769">
        <f t="shared" ca="1" si="121"/>
        <v>0</v>
      </c>
      <c r="AD135" s="769">
        <f t="shared" ca="1" si="122"/>
        <v>0</v>
      </c>
      <c r="AE135" s="794">
        <f t="shared" ca="1" si="123"/>
        <v>2.1213203435596428</v>
      </c>
      <c r="AF135" s="769">
        <f t="shared" ca="1" si="124"/>
        <v>2.1213203435596427E-2</v>
      </c>
      <c r="AG135" s="769">
        <f t="shared" ca="1" si="125"/>
        <v>2.1001071401240465</v>
      </c>
      <c r="AH135" s="799">
        <f t="shared" ca="1" si="126"/>
        <v>2.1001071401240465</v>
      </c>
      <c r="AI135" s="801">
        <f t="shared" ca="1" si="127"/>
        <v>1</v>
      </c>
      <c r="AJ135" s="794">
        <f t="shared" ca="1" si="128"/>
        <v>1.5831873289580085</v>
      </c>
      <c r="AK135" s="769">
        <f t="shared" ca="1" si="129"/>
        <v>0.53813301460163443</v>
      </c>
      <c r="AL135" s="769">
        <f t="shared" ca="1" si="130"/>
        <v>0</v>
      </c>
      <c r="AM135" s="804">
        <f t="shared" ca="1" si="80"/>
        <v>0.2110916438610678</v>
      </c>
      <c r="AN135" s="795">
        <f t="shared" ca="1" si="81"/>
        <v>5.5575022805598867E-2</v>
      </c>
      <c r="AO135" s="251"/>
      <c r="AP135" s="770">
        <f t="shared" si="131"/>
        <v>0</v>
      </c>
      <c r="AQ135" s="771">
        <f t="shared" ca="1" si="132"/>
        <v>0</v>
      </c>
      <c r="AR135" s="771">
        <f t="shared" ca="1" si="133"/>
        <v>3.166374657916017</v>
      </c>
      <c r="AS135" s="772">
        <f t="shared" ca="1" si="134"/>
        <v>3.166374657916017</v>
      </c>
      <c r="AT135" s="231"/>
      <c r="AU135" s="770">
        <f>'Main Results - IRR DC Operator'!$F$16</f>
        <v>2</v>
      </c>
      <c r="AV135" s="773">
        <f>'Main Results - IRR DC Operator'!$F$15</f>
        <v>1</v>
      </c>
      <c r="AW135" s="771">
        <f t="shared" ca="1" si="135"/>
        <v>4</v>
      </c>
      <c r="AX135" s="772">
        <f t="shared" si="136"/>
        <v>0</v>
      </c>
      <c r="AY135" s="231"/>
      <c r="AZ135" s="770" cm="1">
        <f t="array" aca="1" ref="AZ135" ca="1">INDIRECT("'Definition of Typical Day'!"&amp; ADDRESS($D135+29*(AZ$16-1),$E135))+$AZ$17</f>
        <v>82.12</v>
      </c>
      <c r="BA135" s="771" cm="1">
        <f t="array" aca="1" ref="BA135" ca="1">INDIRECT("'Definition of Typical Day'!"&amp; ADDRESS($D135+29*(BA$16-1),$E135))+$BA$17</f>
        <v>82.12</v>
      </c>
      <c r="BB135" s="772" cm="1">
        <f t="array" aca="1" ref="BB135" ca="1">INDIRECT("'Definition of Typical Day'!"&amp;ADDRESS(BB$16,$E135))</f>
        <v>60</v>
      </c>
      <c r="BC135" s="776" cm="1">
        <f t="array" aca="1" ref="BC135" ca="1">INDIRECT("'Definition of Typical Day'!"&amp; ADDRESS($D135+29*(BC$16-1),$E135))</f>
        <v>81.12</v>
      </c>
      <c r="BD135" s="777" cm="1">
        <f t="array" aca="1" ref="BD135" ca="1">INDIRECT("'Definition of Typical Day'!"&amp; ADDRESS($D135+29*(BD$16-1),$E135))</f>
        <v>1</v>
      </c>
      <c r="BE135" s="776">
        <f t="shared" si="137"/>
        <v>0</v>
      </c>
      <c r="BF135" s="771">
        <f t="shared" ca="1" si="138"/>
        <v>44.191483159086225</v>
      </c>
      <c r="BG135" s="771">
        <f t="shared" ca="1" si="139"/>
        <v>2.5455844122715714</v>
      </c>
      <c r="BH135" s="771">
        <f t="shared" ca="1" si="140"/>
        <v>0</v>
      </c>
      <c r="BI135" s="776">
        <f t="shared" ca="1" si="141"/>
        <v>17.12375415000982</v>
      </c>
      <c r="BJ135" s="776">
        <f t="shared" ca="1" si="142"/>
        <v>4.5082458499901801</v>
      </c>
      <c r="BK135" s="776">
        <f t="shared" ca="1" si="143"/>
        <v>0</v>
      </c>
      <c r="BL135" s="776">
        <f t="shared" ca="1" si="144"/>
        <v>0</v>
      </c>
      <c r="BM135" s="135"/>
      <c r="BN135" s="776">
        <f t="shared" ca="1" si="145"/>
        <v>50.737067571357798</v>
      </c>
      <c r="BO135" s="778">
        <f t="shared" ca="1" si="82"/>
        <v>24.159275782644556</v>
      </c>
      <c r="BP135" s="770">
        <f t="shared" ca="1" si="83"/>
        <v>46.737067571357798</v>
      </c>
      <c r="BQ135" s="771">
        <f t="shared" ca="1" si="84"/>
        <v>0</v>
      </c>
      <c r="BR135" s="771">
        <f t="shared" ca="1" si="85"/>
        <v>0</v>
      </c>
      <c r="BS135" s="776">
        <f t="shared" ca="1" si="146"/>
        <v>50.737067571357798</v>
      </c>
      <c r="BT135" s="776">
        <f t="shared" ca="1" si="86"/>
        <v>46.737067571357798</v>
      </c>
      <c r="BU135" s="783">
        <f t="shared" ca="1" si="87"/>
        <v>22.254611052175743</v>
      </c>
      <c r="BV135" s="783">
        <f t="shared" ca="1" si="88"/>
        <v>22.254611052175743</v>
      </c>
      <c r="BW135" s="1019">
        <f t="shared" ca="1" si="147"/>
        <v>22.254611052175743</v>
      </c>
      <c r="BX135" s="771" cm="1">
        <f t="array" aca="1" ref="BX135" ca="1">INDIRECT("'Definition of Typical Day'!"&amp; ADDRESS($D135+29*(BX$16-1),$E135))</f>
        <v>55</v>
      </c>
      <c r="BY135" s="771">
        <f t="shared" ca="1" si="148"/>
        <v>1</v>
      </c>
      <c r="BZ135" s="781">
        <f t="shared" ca="1" si="89"/>
        <v>1</v>
      </c>
      <c r="CA135" s="781">
        <f t="shared" ca="1" si="90"/>
        <v>0.70710678118654757</v>
      </c>
      <c r="CB135" s="776">
        <f t="shared" ca="1" si="91"/>
        <v>115.50589270682256</v>
      </c>
      <c r="CC135" s="782">
        <f t="shared" si="92"/>
        <v>5</v>
      </c>
      <c r="CD135" s="782">
        <f t="shared" si="93"/>
        <v>19</v>
      </c>
      <c r="CE135" s="784" t="str" cm="1">
        <f t="array" aca="1" ref="CE135" ca="1">INDIRECT("'Definition of Typical Day'!"&amp;ADDRESS(CE$16,$E135))</f>
        <v>Summer weekend</v>
      </c>
      <c r="CF135" s="232"/>
      <c r="CG135" s="232"/>
      <c r="CH135" s="776">
        <f t="shared" ca="1" si="94"/>
        <v>2</v>
      </c>
      <c r="CI135" s="806">
        <f t="shared" ca="1" si="95"/>
        <v>6</v>
      </c>
      <c r="CJ135" s="770">
        <f t="shared" ca="1" si="96"/>
        <v>2.1001071401240465</v>
      </c>
      <c r="CK135" s="771">
        <f t="shared" ca="1" si="97"/>
        <v>1.5831873289580085</v>
      </c>
      <c r="CL135" s="771">
        <f t="shared" ca="1" si="98"/>
        <v>0.53813301460163443</v>
      </c>
      <c r="CM135" s="772">
        <f t="shared" ca="1" si="99"/>
        <v>0</v>
      </c>
      <c r="CN135" s="135"/>
      <c r="CO135" s="770">
        <f t="shared" ca="1" si="149"/>
        <v>1.05</v>
      </c>
      <c r="CP135" s="771">
        <f t="shared" ca="1" si="100"/>
        <v>0.98</v>
      </c>
      <c r="CQ135" s="771">
        <f t="shared" ca="1" si="101"/>
        <v>0.96</v>
      </c>
      <c r="CR135" s="771">
        <f t="shared" ca="1" si="102"/>
        <v>0.95</v>
      </c>
      <c r="CS135" s="771">
        <f t="shared" ca="1" si="103"/>
        <v>1.02</v>
      </c>
      <c r="CT135" s="772">
        <f t="shared" ca="1" si="104"/>
        <v>0.02</v>
      </c>
      <c r="CU135" s="135"/>
      <c r="CV135" s="135"/>
      <c r="CW135" s="135"/>
      <c r="CX135" s="135"/>
      <c r="CY135" s="135"/>
      <c r="CZ135" s="135"/>
      <c r="DA135" s="135"/>
      <c r="DB135" s="135"/>
      <c r="DC135" s="135"/>
      <c r="DD135" s="135"/>
      <c r="DE135" s="135"/>
      <c r="DF135" s="135"/>
      <c r="DG135" s="135"/>
      <c r="DH135" s="135"/>
      <c r="DI135" s="135"/>
      <c r="DJ135" s="135"/>
      <c r="DK135" s="135"/>
      <c r="DL135" s="135"/>
      <c r="DX135" s="135"/>
      <c r="DY135" s="135"/>
      <c r="DZ135" s="135"/>
      <c r="EA135" s="135"/>
      <c r="EB135" s="135"/>
      <c r="EC135" s="135"/>
      <c r="ED135" s="135"/>
      <c r="EE135" s="135"/>
      <c r="EF135" s="135"/>
      <c r="EG135" s="135"/>
      <c r="EH135" s="135"/>
      <c r="EI135" s="135"/>
      <c r="EJ135" s="135"/>
      <c r="EK135" s="135"/>
      <c r="EL135" s="135"/>
      <c r="EM135" s="135"/>
      <c r="EN135" s="135"/>
      <c r="EO135" s="135"/>
      <c r="EP135" s="135"/>
      <c r="EQ135" s="135"/>
      <c r="ER135" s="135"/>
      <c r="ES135" s="135"/>
      <c r="ET135" s="135"/>
      <c r="EU135" s="135"/>
      <c r="EV135" s="135"/>
      <c r="EW135" s="135"/>
      <c r="EX135" s="135"/>
      <c r="EY135" s="135"/>
      <c r="EZ135" s="135"/>
      <c r="FA135" s="135"/>
      <c r="FB135" s="135"/>
      <c r="FC135" s="135"/>
      <c r="FD135" s="135"/>
      <c r="FE135" s="135"/>
      <c r="FF135" s="135"/>
      <c r="FG135" s="135"/>
    </row>
    <row r="136" spans="1:163" s="57" customFormat="1" ht="11.25" outlineLevel="1">
      <c r="A136" s="765">
        <f t="shared" si="150"/>
        <v>5</v>
      </c>
      <c r="B136" s="715" t="str" cm="1">
        <f t="array" aca="1" ref="B136" ca="1">INDIRECT("'Definition of Typical Day'!"&amp;ADDRESS(B$16,$E136))</f>
        <v>Summer weekend</v>
      </c>
      <c r="C136" s="766">
        <f t="shared" si="151"/>
        <v>20</v>
      </c>
      <c r="D136" s="715">
        <f t="shared" si="151"/>
        <v>54</v>
      </c>
      <c r="E136" s="715">
        <f t="shared" si="79"/>
        <v>9</v>
      </c>
      <c r="F136" s="767" cm="1">
        <f t="array" aca="1" ref="F136" ca="1">INDIRECT("'Definition of Typical Day'!D"&amp;D136)</f>
        <v>20</v>
      </c>
      <c r="G136" s="767" cm="1">
        <f t="array" aca="1" ref="G136" ca="1">INDIRECT("'Definition of Typical Day'!"&amp;ADDRESS(13,E136))</f>
        <v>5</v>
      </c>
      <c r="H136" s="768" cm="1">
        <f t="array" aca="1" ref="H136" ca="1">INDIRECT("'Definition of Typical Day'!"&amp; ADDRESS($D136+28*(H$16-1),$E136))</f>
        <v>2</v>
      </c>
      <c r="I136" s="715" cm="1">
        <f t="array" aca="1" ref="I136" ca="1">INDIRECT("'Definition of Typical Day'!"&amp; ADDRESS($D136+29*(I$16-1),$E136))</f>
        <v>40</v>
      </c>
      <c r="J136" s="715">
        <f t="shared" ca="1" si="105"/>
        <v>37</v>
      </c>
      <c r="K136" s="785">
        <f t="shared" si="106"/>
        <v>28</v>
      </c>
      <c r="L136" s="786" cm="1">
        <f t="array" aca="1" ref="L136" ca="1">INDIRECT("'Definition of Typical Day'!"&amp; ADDRESS($D136+29*(L$16-1),$E136))</f>
        <v>6</v>
      </c>
      <c r="M136" s="768" cm="1">
        <f t="array" aca="1" ref="M136" ca="1">INDIRECT("'Definition of Typical Day'!"&amp; ADDRESS($D136+29*(M$16-1),$E136))</f>
        <v>60</v>
      </c>
      <c r="N136" s="715">
        <f t="shared" si="107"/>
        <v>3</v>
      </c>
      <c r="O136" s="715">
        <f t="shared" ca="1" si="108"/>
        <v>63</v>
      </c>
      <c r="P136" s="715" cm="1">
        <f t="array" aca="1" ref="P136" ca="1">INDIRECT("'Definition of Typical Day'!"&amp; ADDRESS($D136+29*(P$16-1),$E136))</f>
        <v>45</v>
      </c>
      <c r="Q136" s="787">
        <f t="shared" ca="1" si="109"/>
        <v>48</v>
      </c>
      <c r="R136" s="792">
        <f t="shared" ca="1" si="110"/>
        <v>63</v>
      </c>
      <c r="S136" s="769">
        <f t="shared" si="111"/>
        <v>3</v>
      </c>
      <c r="T136" s="769">
        <f t="shared" ca="1" si="112"/>
        <v>0.24</v>
      </c>
      <c r="U136" s="769">
        <f t="shared" ca="1" si="113"/>
        <v>0.70199999999999996</v>
      </c>
      <c r="V136" s="769">
        <f t="shared" ca="1" si="114"/>
        <v>0</v>
      </c>
      <c r="W136" s="769">
        <f t="shared" ca="1" si="115"/>
        <v>3.9420000000000002</v>
      </c>
      <c r="X136" s="794">
        <f t="shared" si="116"/>
        <v>3</v>
      </c>
      <c r="Y136" s="769">
        <f t="shared" ca="1" si="117"/>
        <v>2.1213203435596428</v>
      </c>
      <c r="Z136" s="769">
        <f t="shared" ca="1" si="118"/>
        <v>2.1213203435596428</v>
      </c>
      <c r="AA136" s="795">
        <f t="shared" ca="1" si="119"/>
        <v>2.1213203435596428</v>
      </c>
      <c r="AB136" s="769">
        <f t="shared" ca="1" si="120"/>
        <v>0</v>
      </c>
      <c r="AC136" s="769">
        <f t="shared" ca="1" si="121"/>
        <v>0</v>
      </c>
      <c r="AD136" s="769">
        <f t="shared" ca="1" si="122"/>
        <v>0</v>
      </c>
      <c r="AE136" s="794">
        <f t="shared" ca="1" si="123"/>
        <v>2.1213203435596428</v>
      </c>
      <c r="AF136" s="769">
        <f t="shared" ca="1" si="124"/>
        <v>2.1213203435596427E-2</v>
      </c>
      <c r="AG136" s="769">
        <f t="shared" ca="1" si="125"/>
        <v>2.1001071401240465</v>
      </c>
      <c r="AH136" s="799">
        <f t="shared" ca="1" si="126"/>
        <v>2.1001071401240465</v>
      </c>
      <c r="AI136" s="801">
        <f t="shared" ca="1" si="127"/>
        <v>1</v>
      </c>
      <c r="AJ136" s="794">
        <f t="shared" ca="1" si="128"/>
        <v>1.5831873289580085</v>
      </c>
      <c r="AK136" s="769">
        <f t="shared" ca="1" si="129"/>
        <v>0.53813301460163443</v>
      </c>
      <c r="AL136" s="769">
        <f t="shared" ca="1" si="130"/>
        <v>0</v>
      </c>
      <c r="AM136" s="804">
        <f t="shared" ca="1" si="80"/>
        <v>0.2110916438610678</v>
      </c>
      <c r="AN136" s="795">
        <f t="shared" ca="1" si="81"/>
        <v>5.5575022805598867E-2</v>
      </c>
      <c r="AO136" s="251"/>
      <c r="AP136" s="770">
        <f t="shared" si="131"/>
        <v>0</v>
      </c>
      <c r="AQ136" s="771">
        <f t="shared" ca="1" si="132"/>
        <v>0</v>
      </c>
      <c r="AR136" s="771">
        <f t="shared" ca="1" si="133"/>
        <v>3.166374657916017</v>
      </c>
      <c r="AS136" s="772">
        <f t="shared" ca="1" si="134"/>
        <v>3.166374657916017</v>
      </c>
      <c r="AT136" s="231"/>
      <c r="AU136" s="770">
        <f>'Main Results - IRR DC Operator'!$F$16</f>
        <v>2</v>
      </c>
      <c r="AV136" s="773">
        <f>'Main Results - IRR DC Operator'!$F$15</f>
        <v>1</v>
      </c>
      <c r="AW136" s="771">
        <f t="shared" ca="1" si="135"/>
        <v>4</v>
      </c>
      <c r="AX136" s="772">
        <f t="shared" si="136"/>
        <v>0</v>
      </c>
      <c r="AY136" s="231"/>
      <c r="AZ136" s="770" cm="1">
        <f t="array" aca="1" ref="AZ136" ca="1">INDIRECT("'Definition of Typical Day'!"&amp; ADDRESS($D136+29*(AZ$16-1),$E136))+$AZ$17</f>
        <v>110.5</v>
      </c>
      <c r="BA136" s="771" cm="1">
        <f t="array" aca="1" ref="BA136" ca="1">INDIRECT("'Definition of Typical Day'!"&amp; ADDRESS($D136+29*(BA$16-1),$E136))+$BA$17</f>
        <v>110.5</v>
      </c>
      <c r="BB136" s="772" cm="1">
        <f t="array" aca="1" ref="BB136" ca="1">INDIRECT("'Definition of Typical Day'!"&amp;ADDRESS(BB$16,$E136))</f>
        <v>60</v>
      </c>
      <c r="BC136" s="776" cm="1">
        <f t="array" aca="1" ref="BC136" ca="1">INDIRECT("'Definition of Typical Day'!"&amp; ADDRESS($D136+29*(BC$16-1),$E136))</f>
        <v>109.5</v>
      </c>
      <c r="BD136" s="777" cm="1">
        <f t="array" aca="1" ref="BD136" ca="1">INDIRECT("'Definition of Typical Day'!"&amp; ADDRESS($D136+29*(BD$16-1),$E136))</f>
        <v>1</v>
      </c>
      <c r="BE136" s="776">
        <f t="shared" si="137"/>
        <v>0</v>
      </c>
      <c r="BF136" s="771">
        <f t="shared" ca="1" si="138"/>
        <v>59.463698113480604</v>
      </c>
      <c r="BG136" s="771">
        <f t="shared" ca="1" si="139"/>
        <v>2.5455844122715714</v>
      </c>
      <c r="BH136" s="771">
        <f t="shared" ca="1" si="140"/>
        <v>0</v>
      </c>
      <c r="BI136" s="776">
        <f t="shared" ca="1" si="141"/>
        <v>23.114535002786923</v>
      </c>
      <c r="BJ136" s="776">
        <f t="shared" ca="1" si="142"/>
        <v>6.0854649972130757</v>
      </c>
      <c r="BK136" s="776">
        <f t="shared" ca="1" si="143"/>
        <v>0</v>
      </c>
      <c r="BL136" s="776">
        <f t="shared" ca="1" si="144"/>
        <v>0</v>
      </c>
      <c r="BM136" s="135"/>
      <c r="BN136" s="776">
        <f t="shared" ca="1" si="145"/>
        <v>66.00928252575217</v>
      </c>
      <c r="BO136" s="778">
        <f t="shared" ca="1" si="82"/>
        <v>31.431388077587897</v>
      </c>
      <c r="BP136" s="770">
        <f t="shared" ca="1" si="83"/>
        <v>62.009282525752177</v>
      </c>
      <c r="BQ136" s="771">
        <f t="shared" ca="1" si="84"/>
        <v>0</v>
      </c>
      <c r="BR136" s="771">
        <f t="shared" ca="1" si="85"/>
        <v>0</v>
      </c>
      <c r="BS136" s="776">
        <f t="shared" ca="1" si="146"/>
        <v>66.00928252575217</v>
      </c>
      <c r="BT136" s="776">
        <f t="shared" ca="1" si="86"/>
        <v>62.009282525752177</v>
      </c>
      <c r="BU136" s="783">
        <f t="shared" ca="1" si="87"/>
        <v>29.526723347119084</v>
      </c>
      <c r="BV136" s="783">
        <f t="shared" ca="1" si="88"/>
        <v>29.526723347119084</v>
      </c>
      <c r="BW136" s="1019">
        <f t="shared" ca="1" si="147"/>
        <v>29.526723347119084</v>
      </c>
      <c r="BX136" s="771" cm="1">
        <f t="array" aca="1" ref="BX136" ca="1">INDIRECT("'Definition of Typical Day'!"&amp; ADDRESS($D136+29*(BX$16-1),$E136))</f>
        <v>55</v>
      </c>
      <c r="BY136" s="771">
        <f t="shared" ca="1" si="148"/>
        <v>1</v>
      </c>
      <c r="BZ136" s="781">
        <f t="shared" ca="1" si="89"/>
        <v>1</v>
      </c>
      <c r="CA136" s="781">
        <f t="shared" ca="1" si="90"/>
        <v>0.70710678118654757</v>
      </c>
      <c r="CB136" s="776">
        <f t="shared" ca="1" si="91"/>
        <v>115.50589270682256</v>
      </c>
      <c r="CC136" s="782">
        <f t="shared" si="92"/>
        <v>5</v>
      </c>
      <c r="CD136" s="782">
        <f t="shared" si="93"/>
        <v>20</v>
      </c>
      <c r="CE136" s="784" t="str" cm="1">
        <f t="array" aca="1" ref="CE136" ca="1">INDIRECT("'Definition of Typical Day'!"&amp;ADDRESS(CE$16,$E136))</f>
        <v>Summer weekend</v>
      </c>
      <c r="CF136" s="232"/>
      <c r="CG136" s="232"/>
      <c r="CH136" s="776">
        <f t="shared" ca="1" si="94"/>
        <v>2</v>
      </c>
      <c r="CI136" s="806">
        <f t="shared" ca="1" si="95"/>
        <v>6</v>
      </c>
      <c r="CJ136" s="770">
        <f t="shared" ca="1" si="96"/>
        <v>2.1001071401240465</v>
      </c>
      <c r="CK136" s="771">
        <f t="shared" ca="1" si="97"/>
        <v>1.5831873289580085</v>
      </c>
      <c r="CL136" s="771">
        <f t="shared" ca="1" si="98"/>
        <v>0.53813301460163443</v>
      </c>
      <c r="CM136" s="772">
        <f t="shared" ca="1" si="99"/>
        <v>0</v>
      </c>
      <c r="CN136" s="135"/>
      <c r="CO136" s="770">
        <f t="shared" ca="1" si="149"/>
        <v>1.05</v>
      </c>
      <c r="CP136" s="771">
        <f t="shared" ca="1" si="100"/>
        <v>0.98</v>
      </c>
      <c r="CQ136" s="771">
        <f t="shared" ca="1" si="101"/>
        <v>0.96</v>
      </c>
      <c r="CR136" s="771">
        <f t="shared" ca="1" si="102"/>
        <v>0.95</v>
      </c>
      <c r="CS136" s="771">
        <f t="shared" ca="1" si="103"/>
        <v>1.02</v>
      </c>
      <c r="CT136" s="772">
        <f t="shared" ca="1" si="104"/>
        <v>0.02</v>
      </c>
      <c r="CU136" s="135"/>
      <c r="CV136" s="135"/>
      <c r="CW136" s="135"/>
      <c r="CX136" s="135"/>
      <c r="CY136" s="135"/>
      <c r="CZ136" s="135"/>
      <c r="DA136" s="135"/>
      <c r="DB136" s="135"/>
      <c r="DC136" s="135"/>
      <c r="DD136" s="135"/>
      <c r="DE136" s="135"/>
      <c r="DF136" s="135"/>
      <c r="DG136" s="135"/>
      <c r="DH136" s="135"/>
      <c r="DI136" s="135"/>
      <c r="DJ136" s="135"/>
      <c r="DK136" s="135"/>
      <c r="DL136" s="135"/>
      <c r="DX136" s="135"/>
      <c r="DY136" s="135"/>
      <c r="DZ136" s="135"/>
      <c r="EA136" s="135"/>
      <c r="EB136" s="135"/>
      <c r="EC136" s="135"/>
      <c r="ED136" s="135"/>
      <c r="EE136" s="135"/>
      <c r="EF136" s="135"/>
      <c r="EG136" s="135"/>
      <c r="EH136" s="135"/>
      <c r="EI136" s="135"/>
      <c r="EJ136" s="135"/>
      <c r="EK136" s="135"/>
      <c r="EL136" s="135"/>
      <c r="EM136" s="135"/>
      <c r="EN136" s="135"/>
      <c r="EO136" s="135"/>
      <c r="EP136" s="135"/>
      <c r="EQ136" s="135"/>
      <c r="ER136" s="135"/>
      <c r="ES136" s="135"/>
      <c r="ET136" s="135"/>
      <c r="EU136" s="135"/>
      <c r="EV136" s="135"/>
      <c r="EW136" s="135"/>
      <c r="EX136" s="135"/>
      <c r="EY136" s="135"/>
      <c r="EZ136" s="135"/>
      <c r="FA136" s="135"/>
      <c r="FB136" s="135"/>
      <c r="FC136" s="135"/>
      <c r="FD136" s="135"/>
      <c r="FE136" s="135"/>
      <c r="FF136" s="135"/>
      <c r="FG136" s="135"/>
    </row>
    <row r="137" spans="1:163" s="57" customFormat="1" ht="11.25" outlineLevel="1">
      <c r="A137" s="765">
        <f t="shared" si="150"/>
        <v>5</v>
      </c>
      <c r="B137" s="715" t="str" cm="1">
        <f t="array" aca="1" ref="B137" ca="1">INDIRECT("'Definition of Typical Day'!"&amp;ADDRESS(B$16,$E137))</f>
        <v>Summer weekend</v>
      </c>
      <c r="C137" s="766">
        <f t="shared" si="151"/>
        <v>21</v>
      </c>
      <c r="D137" s="715">
        <f t="shared" si="151"/>
        <v>55</v>
      </c>
      <c r="E137" s="715">
        <f t="shared" si="79"/>
        <v>9</v>
      </c>
      <c r="F137" s="767" cm="1">
        <f t="array" aca="1" ref="F137" ca="1">INDIRECT("'Definition of Typical Day'!D"&amp;D137)</f>
        <v>21</v>
      </c>
      <c r="G137" s="767" cm="1">
        <f t="array" aca="1" ref="G137" ca="1">INDIRECT("'Definition of Typical Day'!"&amp;ADDRESS(13,E137))</f>
        <v>5</v>
      </c>
      <c r="H137" s="768" cm="1">
        <f t="array" aca="1" ref="H137" ca="1">INDIRECT("'Definition of Typical Day'!"&amp; ADDRESS($D137+28*(H$16-1),$E137))</f>
        <v>2</v>
      </c>
      <c r="I137" s="715" cm="1">
        <f t="array" aca="1" ref="I137" ca="1">INDIRECT("'Definition of Typical Day'!"&amp; ADDRESS($D137+29*(I$16-1),$E137))</f>
        <v>40</v>
      </c>
      <c r="J137" s="715">
        <f t="shared" ca="1" si="105"/>
        <v>37</v>
      </c>
      <c r="K137" s="785">
        <f t="shared" si="106"/>
        <v>28</v>
      </c>
      <c r="L137" s="786" cm="1">
        <f t="array" aca="1" ref="L137" ca="1">INDIRECT("'Definition of Typical Day'!"&amp; ADDRESS($D137+29*(L$16-1),$E137))</f>
        <v>6</v>
      </c>
      <c r="M137" s="768" cm="1">
        <f t="array" aca="1" ref="M137" ca="1">INDIRECT("'Definition of Typical Day'!"&amp; ADDRESS($D137+29*(M$16-1),$E137))</f>
        <v>60</v>
      </c>
      <c r="N137" s="715">
        <f t="shared" si="107"/>
        <v>3</v>
      </c>
      <c r="O137" s="715">
        <f t="shared" ca="1" si="108"/>
        <v>63</v>
      </c>
      <c r="P137" s="715" cm="1">
        <f t="array" aca="1" ref="P137" ca="1">INDIRECT("'Definition of Typical Day'!"&amp; ADDRESS($D137+29*(P$16-1),$E137))</f>
        <v>45</v>
      </c>
      <c r="Q137" s="787">
        <f t="shared" ca="1" si="109"/>
        <v>48</v>
      </c>
      <c r="R137" s="792">
        <f t="shared" ca="1" si="110"/>
        <v>63</v>
      </c>
      <c r="S137" s="769">
        <f t="shared" si="111"/>
        <v>3</v>
      </c>
      <c r="T137" s="769">
        <f t="shared" ca="1" si="112"/>
        <v>0.24</v>
      </c>
      <c r="U137" s="769">
        <f t="shared" ca="1" si="113"/>
        <v>0.70199999999999996</v>
      </c>
      <c r="V137" s="769">
        <f t="shared" ca="1" si="114"/>
        <v>0</v>
      </c>
      <c r="W137" s="769">
        <f t="shared" ca="1" si="115"/>
        <v>3.9420000000000002</v>
      </c>
      <c r="X137" s="794">
        <f t="shared" si="116"/>
        <v>3</v>
      </c>
      <c r="Y137" s="769">
        <f t="shared" ca="1" si="117"/>
        <v>2.1213203435596428</v>
      </c>
      <c r="Z137" s="769">
        <f t="shared" ca="1" si="118"/>
        <v>2.1213203435596428</v>
      </c>
      <c r="AA137" s="795">
        <f t="shared" ca="1" si="119"/>
        <v>2.1213203435596428</v>
      </c>
      <c r="AB137" s="769">
        <f t="shared" ca="1" si="120"/>
        <v>0</v>
      </c>
      <c r="AC137" s="769">
        <f t="shared" ca="1" si="121"/>
        <v>0</v>
      </c>
      <c r="AD137" s="769">
        <f t="shared" ca="1" si="122"/>
        <v>0</v>
      </c>
      <c r="AE137" s="794">
        <f t="shared" ca="1" si="123"/>
        <v>2.1213203435596428</v>
      </c>
      <c r="AF137" s="769">
        <f t="shared" ca="1" si="124"/>
        <v>2.1213203435596427E-2</v>
      </c>
      <c r="AG137" s="769">
        <f t="shared" ca="1" si="125"/>
        <v>2.1001071401240465</v>
      </c>
      <c r="AH137" s="799">
        <f t="shared" ca="1" si="126"/>
        <v>2.1001071401240465</v>
      </c>
      <c r="AI137" s="801">
        <f t="shared" ca="1" si="127"/>
        <v>1</v>
      </c>
      <c r="AJ137" s="794">
        <f t="shared" ca="1" si="128"/>
        <v>1.5831873289580085</v>
      </c>
      <c r="AK137" s="769">
        <f t="shared" ca="1" si="129"/>
        <v>0.53813301460163443</v>
      </c>
      <c r="AL137" s="769">
        <f t="shared" ca="1" si="130"/>
        <v>0</v>
      </c>
      <c r="AM137" s="804">
        <f t="shared" ca="1" si="80"/>
        <v>0.2110916438610678</v>
      </c>
      <c r="AN137" s="795">
        <f t="shared" ca="1" si="81"/>
        <v>5.5575022805598867E-2</v>
      </c>
      <c r="AO137" s="251"/>
      <c r="AP137" s="770">
        <f t="shared" si="131"/>
        <v>0</v>
      </c>
      <c r="AQ137" s="771">
        <f t="shared" ca="1" si="132"/>
        <v>0</v>
      </c>
      <c r="AR137" s="771">
        <f t="shared" ca="1" si="133"/>
        <v>3.166374657916017</v>
      </c>
      <c r="AS137" s="772">
        <f t="shared" ca="1" si="134"/>
        <v>3.166374657916017</v>
      </c>
      <c r="AT137" s="231"/>
      <c r="AU137" s="770">
        <f>'Main Results - IRR DC Operator'!$F$16</f>
        <v>2</v>
      </c>
      <c r="AV137" s="773">
        <f>'Main Results - IRR DC Operator'!$F$15</f>
        <v>1</v>
      </c>
      <c r="AW137" s="771">
        <f t="shared" ca="1" si="135"/>
        <v>4</v>
      </c>
      <c r="AX137" s="772">
        <f t="shared" si="136"/>
        <v>0</v>
      </c>
      <c r="AY137" s="231"/>
      <c r="AZ137" s="770" cm="1">
        <f t="array" aca="1" ref="AZ137" ca="1">INDIRECT("'Definition of Typical Day'!"&amp; ADDRESS($D137+29*(AZ$16-1),$E137))+$AZ$17</f>
        <v>126.14</v>
      </c>
      <c r="BA137" s="771" cm="1">
        <f t="array" aca="1" ref="BA137" ca="1">INDIRECT("'Definition of Typical Day'!"&amp; ADDRESS($D137+29*(BA$16-1),$E137))+$BA$17</f>
        <v>126.14</v>
      </c>
      <c r="BB137" s="772" cm="1">
        <f t="array" aca="1" ref="BB137" ca="1">INDIRECT("'Definition of Typical Day'!"&amp;ADDRESS(BB$16,$E137))</f>
        <v>60</v>
      </c>
      <c r="BC137" s="776" cm="1">
        <f t="array" aca="1" ref="BC137" ca="1">INDIRECT("'Definition of Typical Day'!"&amp; ADDRESS($D137+29*(BC$16-1),$E137))</f>
        <v>125.14</v>
      </c>
      <c r="BD137" s="777" cm="1">
        <f t="array" aca="1" ref="BD137" ca="1">INDIRECT("'Definition of Typical Day'!"&amp; ADDRESS($D137+29*(BD$16-1),$E137))</f>
        <v>1</v>
      </c>
      <c r="BE137" s="776">
        <f t="shared" si="137"/>
        <v>0</v>
      </c>
      <c r="BF137" s="771">
        <f t="shared" ca="1" si="138"/>
        <v>67.880098461850167</v>
      </c>
      <c r="BG137" s="771">
        <f t="shared" ca="1" si="139"/>
        <v>2.5455844122715714</v>
      </c>
      <c r="BH137" s="771">
        <f t="shared" ca="1" si="140"/>
        <v>0</v>
      </c>
      <c r="BI137" s="776">
        <f t="shared" ca="1" si="141"/>
        <v>26.416008312774025</v>
      </c>
      <c r="BJ137" s="776">
        <f t="shared" ca="1" si="142"/>
        <v>6.9546583538926425</v>
      </c>
      <c r="BK137" s="776">
        <f t="shared" ca="1" si="143"/>
        <v>0</v>
      </c>
      <c r="BL137" s="776">
        <f t="shared" ca="1" si="144"/>
        <v>0</v>
      </c>
      <c r="BM137" s="135"/>
      <c r="BN137" s="776">
        <f t="shared" ca="1" si="145"/>
        <v>74.425682874121733</v>
      </c>
      <c r="BO137" s="778">
        <f t="shared" ca="1" si="82"/>
        <v>35.438993302849134</v>
      </c>
      <c r="BP137" s="770">
        <f t="shared" ca="1" si="83"/>
        <v>70.425682874121733</v>
      </c>
      <c r="BQ137" s="771">
        <f t="shared" ca="1" si="84"/>
        <v>0</v>
      </c>
      <c r="BR137" s="771">
        <f t="shared" ca="1" si="85"/>
        <v>0</v>
      </c>
      <c r="BS137" s="776">
        <f t="shared" ca="1" si="146"/>
        <v>74.425682874121733</v>
      </c>
      <c r="BT137" s="776">
        <f t="shared" ca="1" si="86"/>
        <v>70.425682874121733</v>
      </c>
      <c r="BU137" s="783">
        <f t="shared" ca="1" si="87"/>
        <v>33.534328572380318</v>
      </c>
      <c r="BV137" s="783">
        <f t="shared" ca="1" si="88"/>
        <v>33.534328572380318</v>
      </c>
      <c r="BW137" s="1019">
        <f t="shared" ca="1" si="147"/>
        <v>33.534328572380318</v>
      </c>
      <c r="BX137" s="771" cm="1">
        <f t="array" aca="1" ref="BX137" ca="1">INDIRECT("'Definition of Typical Day'!"&amp; ADDRESS($D137+29*(BX$16-1),$E137))</f>
        <v>55</v>
      </c>
      <c r="BY137" s="771">
        <f t="shared" ca="1" si="148"/>
        <v>1</v>
      </c>
      <c r="BZ137" s="781">
        <f t="shared" ca="1" si="89"/>
        <v>1</v>
      </c>
      <c r="CA137" s="781">
        <f t="shared" ca="1" si="90"/>
        <v>0.70710678118654757</v>
      </c>
      <c r="CB137" s="776">
        <f t="shared" ca="1" si="91"/>
        <v>115.50589270682256</v>
      </c>
      <c r="CC137" s="782">
        <f t="shared" si="92"/>
        <v>5</v>
      </c>
      <c r="CD137" s="782">
        <f t="shared" si="93"/>
        <v>21</v>
      </c>
      <c r="CE137" s="784" t="str" cm="1">
        <f t="array" aca="1" ref="CE137" ca="1">INDIRECT("'Definition of Typical Day'!"&amp;ADDRESS(CE$16,$E137))</f>
        <v>Summer weekend</v>
      </c>
      <c r="CF137" s="232"/>
      <c r="CG137" s="232"/>
      <c r="CH137" s="776">
        <f t="shared" ca="1" si="94"/>
        <v>2</v>
      </c>
      <c r="CI137" s="806">
        <f t="shared" ca="1" si="95"/>
        <v>6</v>
      </c>
      <c r="CJ137" s="770">
        <f t="shared" ca="1" si="96"/>
        <v>2.1001071401240465</v>
      </c>
      <c r="CK137" s="771">
        <f t="shared" ca="1" si="97"/>
        <v>1.5831873289580085</v>
      </c>
      <c r="CL137" s="771">
        <f t="shared" ca="1" si="98"/>
        <v>0.53813301460163443</v>
      </c>
      <c r="CM137" s="772">
        <f t="shared" ca="1" si="99"/>
        <v>0</v>
      </c>
      <c r="CN137" s="135"/>
      <c r="CO137" s="770">
        <f t="shared" ca="1" si="149"/>
        <v>1.05</v>
      </c>
      <c r="CP137" s="771">
        <f t="shared" ca="1" si="100"/>
        <v>0.98</v>
      </c>
      <c r="CQ137" s="771">
        <f t="shared" ca="1" si="101"/>
        <v>0.96</v>
      </c>
      <c r="CR137" s="771">
        <f t="shared" ca="1" si="102"/>
        <v>0.95</v>
      </c>
      <c r="CS137" s="771">
        <f t="shared" ca="1" si="103"/>
        <v>1.02</v>
      </c>
      <c r="CT137" s="772">
        <f t="shared" ca="1" si="104"/>
        <v>0.02</v>
      </c>
      <c r="CU137" s="135"/>
      <c r="CV137" s="135"/>
      <c r="CW137" s="135"/>
      <c r="CX137" s="135"/>
      <c r="CY137" s="135"/>
      <c r="CZ137" s="135"/>
      <c r="DA137" s="135"/>
      <c r="DB137" s="135"/>
      <c r="DC137" s="135"/>
      <c r="DD137" s="135"/>
      <c r="DE137" s="135"/>
      <c r="DF137" s="135"/>
      <c r="DG137" s="135"/>
      <c r="DH137" s="135"/>
      <c r="DI137" s="135"/>
      <c r="DJ137" s="135"/>
      <c r="DK137" s="135"/>
      <c r="DL137" s="135"/>
      <c r="DX137" s="135"/>
      <c r="DY137" s="135"/>
      <c r="DZ137" s="135"/>
      <c r="EA137" s="135"/>
      <c r="EB137" s="135"/>
      <c r="EC137" s="135"/>
      <c r="ED137" s="135"/>
      <c r="EE137" s="135"/>
      <c r="EF137" s="135"/>
      <c r="EG137" s="135"/>
      <c r="EH137" s="135"/>
      <c r="EI137" s="135"/>
      <c r="EJ137" s="135"/>
      <c r="EK137" s="135"/>
      <c r="EL137" s="135"/>
      <c r="EM137" s="135"/>
      <c r="EN137" s="135"/>
      <c r="EO137" s="135"/>
      <c r="EP137" s="135"/>
      <c r="EQ137" s="135"/>
      <c r="ER137" s="135"/>
      <c r="ES137" s="135"/>
      <c r="ET137" s="135"/>
      <c r="EU137" s="135"/>
      <c r="EV137" s="135"/>
      <c r="EW137" s="135"/>
      <c r="EX137" s="135"/>
      <c r="EY137" s="135"/>
      <c r="EZ137" s="135"/>
      <c r="FA137" s="135"/>
      <c r="FB137" s="135"/>
      <c r="FC137" s="135"/>
      <c r="FD137" s="135"/>
      <c r="FE137" s="135"/>
      <c r="FF137" s="135"/>
      <c r="FG137" s="135"/>
    </row>
    <row r="138" spans="1:163" s="57" customFormat="1" ht="11.25" outlineLevel="1">
      <c r="A138" s="765">
        <f t="shared" si="150"/>
        <v>5</v>
      </c>
      <c r="B138" s="715" t="str" cm="1">
        <f t="array" aca="1" ref="B138" ca="1">INDIRECT("'Definition of Typical Day'!"&amp;ADDRESS(B$16,$E138))</f>
        <v>Summer weekend</v>
      </c>
      <c r="C138" s="766">
        <f t="shared" si="151"/>
        <v>22</v>
      </c>
      <c r="D138" s="715">
        <f t="shared" si="151"/>
        <v>56</v>
      </c>
      <c r="E138" s="715">
        <f t="shared" si="79"/>
        <v>9</v>
      </c>
      <c r="F138" s="767" cm="1">
        <f t="array" aca="1" ref="F138" ca="1">INDIRECT("'Definition of Typical Day'!D"&amp;D138)</f>
        <v>22</v>
      </c>
      <c r="G138" s="767" cm="1">
        <f t="array" aca="1" ref="G138" ca="1">INDIRECT("'Definition of Typical Day'!"&amp;ADDRESS(13,E138))</f>
        <v>5</v>
      </c>
      <c r="H138" s="768" cm="1">
        <f t="array" aca="1" ref="H138" ca="1">INDIRECT("'Definition of Typical Day'!"&amp; ADDRESS($D138+28*(H$16-1),$E138))</f>
        <v>2</v>
      </c>
      <c r="I138" s="715" cm="1">
        <f t="array" aca="1" ref="I138" ca="1">INDIRECT("'Definition of Typical Day'!"&amp; ADDRESS($D138+29*(I$16-1),$E138))</f>
        <v>40</v>
      </c>
      <c r="J138" s="715">
        <f t="shared" ca="1" si="105"/>
        <v>37</v>
      </c>
      <c r="K138" s="785">
        <f t="shared" si="106"/>
        <v>28</v>
      </c>
      <c r="L138" s="786" cm="1">
        <f t="array" aca="1" ref="L138" ca="1">INDIRECT("'Definition of Typical Day'!"&amp; ADDRESS($D138+29*(L$16-1),$E138))</f>
        <v>6</v>
      </c>
      <c r="M138" s="768" cm="1">
        <f t="array" aca="1" ref="M138" ca="1">INDIRECT("'Definition of Typical Day'!"&amp; ADDRESS($D138+29*(M$16-1),$E138))</f>
        <v>60</v>
      </c>
      <c r="N138" s="715">
        <f t="shared" si="107"/>
        <v>3</v>
      </c>
      <c r="O138" s="715">
        <f t="shared" ca="1" si="108"/>
        <v>63</v>
      </c>
      <c r="P138" s="715" cm="1">
        <f t="array" aca="1" ref="P138" ca="1">INDIRECT("'Definition of Typical Day'!"&amp; ADDRESS($D138+29*(P$16-1),$E138))</f>
        <v>45</v>
      </c>
      <c r="Q138" s="787">
        <f t="shared" ca="1" si="109"/>
        <v>48</v>
      </c>
      <c r="R138" s="792">
        <f t="shared" ca="1" si="110"/>
        <v>63</v>
      </c>
      <c r="S138" s="769">
        <f t="shared" si="111"/>
        <v>3</v>
      </c>
      <c r="T138" s="769">
        <f t="shared" ca="1" si="112"/>
        <v>0.24</v>
      </c>
      <c r="U138" s="769">
        <f t="shared" ca="1" si="113"/>
        <v>0.70199999999999996</v>
      </c>
      <c r="V138" s="769">
        <f t="shared" ca="1" si="114"/>
        <v>0</v>
      </c>
      <c r="W138" s="769">
        <f t="shared" ca="1" si="115"/>
        <v>3.9420000000000002</v>
      </c>
      <c r="X138" s="794">
        <f t="shared" si="116"/>
        <v>3</v>
      </c>
      <c r="Y138" s="769">
        <f t="shared" ca="1" si="117"/>
        <v>2.1213203435596428</v>
      </c>
      <c r="Z138" s="769">
        <f t="shared" ca="1" si="118"/>
        <v>2.1213203435596428</v>
      </c>
      <c r="AA138" s="795">
        <f t="shared" ca="1" si="119"/>
        <v>2.1213203435596428</v>
      </c>
      <c r="AB138" s="769">
        <f t="shared" ca="1" si="120"/>
        <v>0</v>
      </c>
      <c r="AC138" s="769">
        <f t="shared" ca="1" si="121"/>
        <v>0</v>
      </c>
      <c r="AD138" s="769">
        <f t="shared" ca="1" si="122"/>
        <v>0</v>
      </c>
      <c r="AE138" s="794">
        <f t="shared" ca="1" si="123"/>
        <v>2.1213203435596428</v>
      </c>
      <c r="AF138" s="769">
        <f t="shared" ca="1" si="124"/>
        <v>2.1213203435596427E-2</v>
      </c>
      <c r="AG138" s="769">
        <f t="shared" ca="1" si="125"/>
        <v>2.1001071401240465</v>
      </c>
      <c r="AH138" s="799">
        <f t="shared" ca="1" si="126"/>
        <v>2.1001071401240465</v>
      </c>
      <c r="AI138" s="801">
        <f t="shared" ca="1" si="127"/>
        <v>1</v>
      </c>
      <c r="AJ138" s="794">
        <f t="shared" ca="1" si="128"/>
        <v>1.5831873289580085</v>
      </c>
      <c r="AK138" s="769">
        <f t="shared" ca="1" si="129"/>
        <v>0.53813301460163443</v>
      </c>
      <c r="AL138" s="769">
        <f t="shared" ca="1" si="130"/>
        <v>0</v>
      </c>
      <c r="AM138" s="804">
        <f t="shared" ca="1" si="80"/>
        <v>0.2110916438610678</v>
      </c>
      <c r="AN138" s="795">
        <f t="shared" ca="1" si="81"/>
        <v>5.5575022805598867E-2</v>
      </c>
      <c r="AO138" s="251"/>
      <c r="AP138" s="770">
        <f t="shared" si="131"/>
        <v>0</v>
      </c>
      <c r="AQ138" s="771">
        <f t="shared" ca="1" si="132"/>
        <v>0</v>
      </c>
      <c r="AR138" s="771">
        <f t="shared" ca="1" si="133"/>
        <v>3.166374657916017</v>
      </c>
      <c r="AS138" s="772">
        <f t="shared" ca="1" si="134"/>
        <v>3.166374657916017</v>
      </c>
      <c r="AT138" s="231"/>
      <c r="AU138" s="770">
        <f>'Main Results - IRR DC Operator'!$F$16</f>
        <v>2</v>
      </c>
      <c r="AV138" s="773">
        <f>'Main Results - IRR DC Operator'!$F$15</f>
        <v>1</v>
      </c>
      <c r="AW138" s="771">
        <f t="shared" ca="1" si="135"/>
        <v>4</v>
      </c>
      <c r="AX138" s="772">
        <f t="shared" si="136"/>
        <v>0</v>
      </c>
      <c r="AY138" s="231"/>
      <c r="AZ138" s="770" cm="1">
        <f t="array" aca="1" ref="AZ138" ca="1">INDIRECT("'Definition of Typical Day'!"&amp; ADDRESS($D138+29*(AZ$16-1),$E138))+$AZ$17</f>
        <v>126.44</v>
      </c>
      <c r="BA138" s="771" cm="1">
        <f t="array" aca="1" ref="BA138" ca="1">INDIRECT("'Definition of Typical Day'!"&amp; ADDRESS($D138+29*(BA$16-1),$E138))+$BA$17</f>
        <v>126.44</v>
      </c>
      <c r="BB138" s="772" cm="1">
        <f t="array" aca="1" ref="BB138" ca="1">INDIRECT("'Definition of Typical Day'!"&amp;ADDRESS(BB$16,$E138))</f>
        <v>60</v>
      </c>
      <c r="BC138" s="776" cm="1">
        <f t="array" aca="1" ref="BC138" ca="1">INDIRECT("'Definition of Typical Day'!"&amp; ADDRESS($D138+29*(BC$16-1),$E138))</f>
        <v>125.44</v>
      </c>
      <c r="BD138" s="777" cm="1">
        <f t="array" aca="1" ref="BD138" ca="1">INDIRECT("'Definition of Typical Day'!"&amp; ADDRESS($D138+29*(BD$16-1),$E138))</f>
        <v>1</v>
      </c>
      <c r="BE138" s="776">
        <f t="shared" si="137"/>
        <v>0</v>
      </c>
      <c r="BF138" s="771">
        <f t="shared" ca="1" si="138"/>
        <v>68.041538366230654</v>
      </c>
      <c r="BG138" s="771">
        <f t="shared" ca="1" si="139"/>
        <v>2.5455844122715714</v>
      </c>
      <c r="BH138" s="771">
        <f t="shared" ca="1" si="140"/>
        <v>0</v>
      </c>
      <c r="BI138" s="776">
        <f t="shared" ca="1" si="141"/>
        <v>26.479335805932344</v>
      </c>
      <c r="BJ138" s="776">
        <f t="shared" ca="1" si="142"/>
        <v>6.9713308607343221</v>
      </c>
      <c r="BK138" s="776">
        <f t="shared" ca="1" si="143"/>
        <v>0</v>
      </c>
      <c r="BL138" s="776">
        <f t="shared" ca="1" si="144"/>
        <v>0</v>
      </c>
      <c r="BM138" s="135"/>
      <c r="BN138" s="776">
        <f t="shared" ca="1" si="145"/>
        <v>74.58712277850222</v>
      </c>
      <c r="BO138" s="778">
        <f t="shared" ca="1" si="82"/>
        <v>35.515865525840077</v>
      </c>
      <c r="BP138" s="770">
        <f t="shared" ca="1" si="83"/>
        <v>70.58712277850222</v>
      </c>
      <c r="BQ138" s="771">
        <f t="shared" ca="1" si="84"/>
        <v>0</v>
      </c>
      <c r="BR138" s="771">
        <f t="shared" ca="1" si="85"/>
        <v>0</v>
      </c>
      <c r="BS138" s="776">
        <f t="shared" ca="1" si="146"/>
        <v>74.58712277850222</v>
      </c>
      <c r="BT138" s="776">
        <f t="shared" ca="1" si="86"/>
        <v>70.58712277850222</v>
      </c>
      <c r="BU138" s="783">
        <f t="shared" ca="1" si="87"/>
        <v>33.611200795371261</v>
      </c>
      <c r="BV138" s="783">
        <f t="shared" ca="1" si="88"/>
        <v>33.611200795371261</v>
      </c>
      <c r="BW138" s="1019">
        <f t="shared" ca="1" si="147"/>
        <v>33.611200795371261</v>
      </c>
      <c r="BX138" s="771" cm="1">
        <f t="array" aca="1" ref="BX138" ca="1">INDIRECT("'Definition of Typical Day'!"&amp; ADDRESS($D138+29*(BX$16-1),$E138))</f>
        <v>55</v>
      </c>
      <c r="BY138" s="771">
        <f t="shared" ca="1" si="148"/>
        <v>1</v>
      </c>
      <c r="BZ138" s="781">
        <f t="shared" ca="1" si="89"/>
        <v>1</v>
      </c>
      <c r="CA138" s="781">
        <f t="shared" ca="1" si="90"/>
        <v>0.70710678118654757</v>
      </c>
      <c r="CB138" s="776">
        <f t="shared" ca="1" si="91"/>
        <v>115.50589270682256</v>
      </c>
      <c r="CC138" s="782">
        <f t="shared" si="92"/>
        <v>5</v>
      </c>
      <c r="CD138" s="782">
        <f t="shared" si="93"/>
        <v>22</v>
      </c>
      <c r="CE138" s="784" t="str" cm="1">
        <f t="array" aca="1" ref="CE138" ca="1">INDIRECT("'Definition of Typical Day'!"&amp;ADDRESS(CE$16,$E138))</f>
        <v>Summer weekend</v>
      </c>
      <c r="CF138" s="232"/>
      <c r="CG138" s="232"/>
      <c r="CH138" s="776">
        <f t="shared" ca="1" si="94"/>
        <v>2</v>
      </c>
      <c r="CI138" s="806">
        <f t="shared" ca="1" si="95"/>
        <v>6</v>
      </c>
      <c r="CJ138" s="770">
        <f t="shared" ca="1" si="96"/>
        <v>2.1001071401240465</v>
      </c>
      <c r="CK138" s="771">
        <f t="shared" ca="1" si="97"/>
        <v>1.5831873289580085</v>
      </c>
      <c r="CL138" s="771">
        <f t="shared" ca="1" si="98"/>
        <v>0.53813301460163443</v>
      </c>
      <c r="CM138" s="772">
        <f t="shared" ca="1" si="99"/>
        <v>0</v>
      </c>
      <c r="CN138" s="135"/>
      <c r="CO138" s="770">
        <f t="shared" ca="1" si="149"/>
        <v>1.05</v>
      </c>
      <c r="CP138" s="771">
        <f t="shared" ca="1" si="100"/>
        <v>0.98</v>
      </c>
      <c r="CQ138" s="771">
        <f t="shared" ca="1" si="101"/>
        <v>0.96</v>
      </c>
      <c r="CR138" s="771">
        <f t="shared" ca="1" si="102"/>
        <v>0.95</v>
      </c>
      <c r="CS138" s="771">
        <f t="shared" ca="1" si="103"/>
        <v>1.02</v>
      </c>
      <c r="CT138" s="772">
        <f t="shared" ca="1" si="104"/>
        <v>0.02</v>
      </c>
      <c r="CU138" s="135"/>
      <c r="CV138" s="135"/>
      <c r="CW138" s="135"/>
      <c r="CX138" s="135"/>
      <c r="CY138" s="135"/>
      <c r="CZ138" s="135"/>
      <c r="DA138" s="135"/>
      <c r="DB138" s="135"/>
      <c r="DC138" s="135"/>
      <c r="DD138" s="135"/>
      <c r="DE138" s="135"/>
      <c r="DF138" s="135"/>
      <c r="DG138" s="135"/>
      <c r="DH138" s="135"/>
      <c r="DI138" s="135"/>
      <c r="DJ138" s="135"/>
      <c r="DK138" s="135"/>
      <c r="DL138" s="135"/>
      <c r="DX138" s="135"/>
      <c r="DY138" s="135"/>
      <c r="DZ138" s="135"/>
      <c r="EA138" s="135"/>
      <c r="EB138" s="135"/>
      <c r="EC138" s="135"/>
      <c r="ED138" s="135"/>
      <c r="EE138" s="135"/>
      <c r="EF138" s="135"/>
      <c r="EG138" s="135"/>
      <c r="EH138" s="135"/>
      <c r="EI138" s="135"/>
      <c r="EJ138" s="135"/>
      <c r="EK138" s="135"/>
      <c r="EL138" s="135"/>
      <c r="EM138" s="135"/>
      <c r="EN138" s="135"/>
      <c r="EO138" s="135"/>
      <c r="EP138" s="135"/>
      <c r="EQ138" s="135"/>
      <c r="ER138" s="135"/>
      <c r="ES138" s="135"/>
      <c r="ET138" s="135"/>
      <c r="EU138" s="135"/>
      <c r="EV138" s="135"/>
      <c r="EW138" s="135"/>
      <c r="EX138" s="135"/>
      <c r="EY138" s="135"/>
      <c r="EZ138" s="135"/>
      <c r="FA138" s="135"/>
      <c r="FB138" s="135"/>
      <c r="FC138" s="135"/>
      <c r="FD138" s="135"/>
      <c r="FE138" s="135"/>
      <c r="FF138" s="135"/>
      <c r="FG138" s="135"/>
    </row>
    <row r="139" spans="1:163" s="57" customFormat="1" ht="11.25" outlineLevel="1">
      <c r="A139" s="765">
        <f t="shared" si="150"/>
        <v>5</v>
      </c>
      <c r="B139" s="715" t="str" cm="1">
        <f t="array" aca="1" ref="B139" ca="1">INDIRECT("'Definition of Typical Day'!"&amp;ADDRESS(B$16,$E139))</f>
        <v>Summer weekend</v>
      </c>
      <c r="C139" s="766">
        <f t="shared" si="151"/>
        <v>23</v>
      </c>
      <c r="D139" s="715">
        <f t="shared" si="151"/>
        <v>57</v>
      </c>
      <c r="E139" s="715">
        <f t="shared" si="79"/>
        <v>9</v>
      </c>
      <c r="F139" s="767" cm="1">
        <f t="array" aca="1" ref="F139" ca="1">INDIRECT("'Definition of Typical Day'!D"&amp;D139)</f>
        <v>23</v>
      </c>
      <c r="G139" s="767" cm="1">
        <f t="array" aca="1" ref="G139" ca="1">INDIRECT("'Definition of Typical Day'!"&amp;ADDRESS(13,E139))</f>
        <v>5</v>
      </c>
      <c r="H139" s="768" cm="1">
        <f t="array" aca="1" ref="H139" ca="1">INDIRECT("'Definition of Typical Day'!"&amp; ADDRESS($D139+28*(H$16-1),$E139))</f>
        <v>2</v>
      </c>
      <c r="I139" s="715" cm="1">
        <f t="array" aca="1" ref="I139" ca="1">INDIRECT("'Definition of Typical Day'!"&amp; ADDRESS($D139+29*(I$16-1),$E139))</f>
        <v>40</v>
      </c>
      <c r="J139" s="715">
        <f t="shared" ca="1" si="105"/>
        <v>37</v>
      </c>
      <c r="K139" s="785">
        <f t="shared" si="106"/>
        <v>28</v>
      </c>
      <c r="L139" s="786" cm="1">
        <f t="array" aca="1" ref="L139" ca="1">INDIRECT("'Definition of Typical Day'!"&amp; ADDRESS($D139+29*(L$16-1),$E139))</f>
        <v>6</v>
      </c>
      <c r="M139" s="768" cm="1">
        <f t="array" aca="1" ref="M139" ca="1">INDIRECT("'Definition of Typical Day'!"&amp; ADDRESS($D139+29*(M$16-1),$E139))</f>
        <v>60</v>
      </c>
      <c r="N139" s="715">
        <f t="shared" si="107"/>
        <v>3</v>
      </c>
      <c r="O139" s="715">
        <f t="shared" ca="1" si="108"/>
        <v>63</v>
      </c>
      <c r="P139" s="715" cm="1">
        <f t="array" aca="1" ref="P139" ca="1">INDIRECT("'Definition of Typical Day'!"&amp; ADDRESS($D139+29*(P$16-1),$E139))</f>
        <v>45</v>
      </c>
      <c r="Q139" s="787">
        <f t="shared" ca="1" si="109"/>
        <v>48</v>
      </c>
      <c r="R139" s="792">
        <f t="shared" ca="1" si="110"/>
        <v>63</v>
      </c>
      <c r="S139" s="769">
        <f t="shared" si="111"/>
        <v>3</v>
      </c>
      <c r="T139" s="769">
        <f t="shared" ca="1" si="112"/>
        <v>0.24</v>
      </c>
      <c r="U139" s="769">
        <f t="shared" ca="1" si="113"/>
        <v>0.70199999999999996</v>
      </c>
      <c r="V139" s="769">
        <f t="shared" ca="1" si="114"/>
        <v>0</v>
      </c>
      <c r="W139" s="769">
        <f t="shared" ca="1" si="115"/>
        <v>3.9420000000000002</v>
      </c>
      <c r="X139" s="794">
        <f t="shared" si="116"/>
        <v>3</v>
      </c>
      <c r="Y139" s="769">
        <f t="shared" ca="1" si="117"/>
        <v>2.1213203435596428</v>
      </c>
      <c r="Z139" s="769">
        <f t="shared" ca="1" si="118"/>
        <v>2.1213203435596428</v>
      </c>
      <c r="AA139" s="795">
        <f t="shared" ca="1" si="119"/>
        <v>2.1213203435596428</v>
      </c>
      <c r="AB139" s="769">
        <f t="shared" ca="1" si="120"/>
        <v>0</v>
      </c>
      <c r="AC139" s="769">
        <f t="shared" ca="1" si="121"/>
        <v>0</v>
      </c>
      <c r="AD139" s="769">
        <f t="shared" ca="1" si="122"/>
        <v>0</v>
      </c>
      <c r="AE139" s="794">
        <f t="shared" ca="1" si="123"/>
        <v>2.1213203435596428</v>
      </c>
      <c r="AF139" s="769">
        <f t="shared" ca="1" si="124"/>
        <v>2.1213203435596427E-2</v>
      </c>
      <c r="AG139" s="769">
        <f t="shared" ca="1" si="125"/>
        <v>2.1001071401240465</v>
      </c>
      <c r="AH139" s="799">
        <f t="shared" ca="1" si="126"/>
        <v>2.1001071401240465</v>
      </c>
      <c r="AI139" s="801">
        <f t="shared" ca="1" si="127"/>
        <v>1</v>
      </c>
      <c r="AJ139" s="794">
        <f t="shared" ca="1" si="128"/>
        <v>1.5831873289580085</v>
      </c>
      <c r="AK139" s="769">
        <f t="shared" ca="1" si="129"/>
        <v>0.53813301460163443</v>
      </c>
      <c r="AL139" s="769">
        <f t="shared" ca="1" si="130"/>
        <v>0</v>
      </c>
      <c r="AM139" s="804">
        <f t="shared" ca="1" si="80"/>
        <v>0.2110916438610678</v>
      </c>
      <c r="AN139" s="795">
        <f t="shared" ca="1" si="81"/>
        <v>5.5575022805598867E-2</v>
      </c>
      <c r="AO139" s="251"/>
      <c r="AP139" s="770">
        <f t="shared" si="131"/>
        <v>0</v>
      </c>
      <c r="AQ139" s="771">
        <f t="shared" ca="1" si="132"/>
        <v>0</v>
      </c>
      <c r="AR139" s="771">
        <f t="shared" ca="1" si="133"/>
        <v>3.166374657916017</v>
      </c>
      <c r="AS139" s="772">
        <f t="shared" ca="1" si="134"/>
        <v>3.166374657916017</v>
      </c>
      <c r="AT139" s="231"/>
      <c r="AU139" s="770">
        <f>'Main Results - IRR DC Operator'!$F$16</f>
        <v>2</v>
      </c>
      <c r="AV139" s="773">
        <f>'Main Results - IRR DC Operator'!$F$15</f>
        <v>1</v>
      </c>
      <c r="AW139" s="771">
        <f t="shared" ca="1" si="135"/>
        <v>4</v>
      </c>
      <c r="AX139" s="772">
        <f t="shared" si="136"/>
        <v>0</v>
      </c>
      <c r="AY139" s="231"/>
      <c r="AZ139" s="770" cm="1">
        <f t="array" aca="1" ref="AZ139" ca="1">INDIRECT("'Definition of Typical Day'!"&amp; ADDRESS($D139+29*(AZ$16-1),$E139))+$AZ$17</f>
        <v>125.33</v>
      </c>
      <c r="BA139" s="771" cm="1">
        <f t="array" aca="1" ref="BA139" ca="1">INDIRECT("'Definition of Typical Day'!"&amp; ADDRESS($D139+29*(BA$16-1),$E139))+$BA$17</f>
        <v>125.33</v>
      </c>
      <c r="BB139" s="772" cm="1">
        <f t="array" aca="1" ref="BB139" ca="1">INDIRECT("'Definition of Typical Day'!"&amp;ADDRESS(BB$16,$E139))</f>
        <v>60</v>
      </c>
      <c r="BC139" s="776" cm="1">
        <f t="array" aca="1" ref="BC139" ca="1">INDIRECT("'Definition of Typical Day'!"&amp; ADDRESS($D139+29*(BC$16-1),$E139))</f>
        <v>124.33</v>
      </c>
      <c r="BD139" s="777" cm="1">
        <f t="array" aca="1" ref="BD139" ca="1">INDIRECT("'Definition of Typical Day'!"&amp; ADDRESS($D139+29*(BD$16-1),$E139))</f>
        <v>1</v>
      </c>
      <c r="BE139" s="776">
        <f t="shared" si="137"/>
        <v>0</v>
      </c>
      <c r="BF139" s="771">
        <f t="shared" ca="1" si="138"/>
        <v>67.444210720022838</v>
      </c>
      <c r="BG139" s="771">
        <f t="shared" ca="1" si="139"/>
        <v>2.5455844122715714</v>
      </c>
      <c r="BH139" s="771">
        <f t="shared" ca="1" si="140"/>
        <v>0</v>
      </c>
      <c r="BI139" s="776">
        <f t="shared" ca="1" si="141"/>
        <v>26.245024081246559</v>
      </c>
      <c r="BJ139" s="776">
        <f t="shared" ca="1" si="142"/>
        <v>6.9096425854201069</v>
      </c>
      <c r="BK139" s="776">
        <f t="shared" ca="1" si="143"/>
        <v>0</v>
      </c>
      <c r="BL139" s="776">
        <f t="shared" ca="1" si="144"/>
        <v>0</v>
      </c>
      <c r="BM139" s="135"/>
      <c r="BN139" s="776">
        <f t="shared" ca="1" si="145"/>
        <v>73.989795132294404</v>
      </c>
      <c r="BO139" s="778">
        <f t="shared" ca="1" si="82"/>
        <v>35.231438300773583</v>
      </c>
      <c r="BP139" s="770">
        <f t="shared" ca="1" si="83"/>
        <v>69.989795132294404</v>
      </c>
      <c r="BQ139" s="771">
        <f t="shared" ca="1" si="84"/>
        <v>0</v>
      </c>
      <c r="BR139" s="771">
        <f t="shared" ca="1" si="85"/>
        <v>0</v>
      </c>
      <c r="BS139" s="776">
        <f t="shared" ca="1" si="146"/>
        <v>73.989795132294404</v>
      </c>
      <c r="BT139" s="776">
        <f t="shared" ca="1" si="86"/>
        <v>69.989795132294404</v>
      </c>
      <c r="BU139" s="783">
        <f t="shared" ca="1" si="87"/>
        <v>33.326773570304766</v>
      </c>
      <c r="BV139" s="783">
        <f t="shared" ca="1" si="88"/>
        <v>33.326773570304766</v>
      </c>
      <c r="BW139" s="1019">
        <f t="shared" ca="1" si="147"/>
        <v>33.326773570304766</v>
      </c>
      <c r="BX139" s="771" cm="1">
        <f t="array" aca="1" ref="BX139" ca="1">INDIRECT("'Definition of Typical Day'!"&amp; ADDRESS($D139+29*(BX$16-1),$E139))</f>
        <v>55</v>
      </c>
      <c r="BY139" s="771">
        <f t="shared" ca="1" si="148"/>
        <v>1</v>
      </c>
      <c r="BZ139" s="781">
        <f t="shared" ca="1" si="89"/>
        <v>1</v>
      </c>
      <c r="CA139" s="781">
        <f t="shared" ca="1" si="90"/>
        <v>0.70710678118654757</v>
      </c>
      <c r="CB139" s="776">
        <f t="shared" ca="1" si="91"/>
        <v>115.50589270682256</v>
      </c>
      <c r="CC139" s="782">
        <f t="shared" si="92"/>
        <v>5</v>
      </c>
      <c r="CD139" s="782">
        <f t="shared" si="93"/>
        <v>23</v>
      </c>
      <c r="CE139" s="784" t="str" cm="1">
        <f t="array" aca="1" ref="CE139" ca="1">INDIRECT("'Definition of Typical Day'!"&amp;ADDRESS(CE$16,$E139))</f>
        <v>Summer weekend</v>
      </c>
      <c r="CF139" s="232"/>
      <c r="CG139" s="232"/>
      <c r="CH139" s="776">
        <f t="shared" ca="1" si="94"/>
        <v>2</v>
      </c>
      <c r="CI139" s="806">
        <f t="shared" ca="1" si="95"/>
        <v>6</v>
      </c>
      <c r="CJ139" s="770">
        <f t="shared" ca="1" si="96"/>
        <v>2.1001071401240465</v>
      </c>
      <c r="CK139" s="771">
        <f t="shared" ca="1" si="97"/>
        <v>1.5831873289580085</v>
      </c>
      <c r="CL139" s="771">
        <f t="shared" ca="1" si="98"/>
        <v>0.53813301460163443</v>
      </c>
      <c r="CM139" s="772">
        <f t="shared" ca="1" si="99"/>
        <v>0</v>
      </c>
      <c r="CN139" s="135"/>
      <c r="CO139" s="770">
        <f t="shared" ca="1" si="149"/>
        <v>1.05</v>
      </c>
      <c r="CP139" s="771">
        <f t="shared" ca="1" si="100"/>
        <v>0.98</v>
      </c>
      <c r="CQ139" s="771">
        <f t="shared" ca="1" si="101"/>
        <v>0.96</v>
      </c>
      <c r="CR139" s="771">
        <f t="shared" ca="1" si="102"/>
        <v>0.95</v>
      </c>
      <c r="CS139" s="771">
        <f t="shared" ca="1" si="103"/>
        <v>1.02</v>
      </c>
      <c r="CT139" s="772">
        <f t="shared" ca="1" si="104"/>
        <v>0.02</v>
      </c>
      <c r="CU139" s="135"/>
      <c r="CV139" s="135"/>
      <c r="CW139" s="135"/>
      <c r="CX139" s="135"/>
      <c r="CY139" s="135"/>
      <c r="CZ139" s="135"/>
      <c r="DA139" s="135"/>
      <c r="DB139" s="135"/>
      <c r="DC139" s="135"/>
      <c r="DD139" s="135"/>
      <c r="DE139" s="135"/>
      <c r="DF139" s="135"/>
      <c r="DG139" s="135"/>
      <c r="DH139" s="135"/>
      <c r="DI139" s="135"/>
      <c r="DJ139" s="135"/>
      <c r="DK139" s="135"/>
      <c r="DL139" s="135"/>
      <c r="DX139" s="135"/>
      <c r="DY139" s="135"/>
      <c r="DZ139" s="135"/>
      <c r="EA139" s="135"/>
      <c r="EB139" s="135"/>
      <c r="EC139" s="135"/>
      <c r="ED139" s="135"/>
      <c r="EE139" s="135"/>
      <c r="EF139" s="135"/>
      <c r="EG139" s="135"/>
      <c r="EH139" s="135"/>
      <c r="EI139" s="135"/>
      <c r="EJ139" s="135"/>
      <c r="EK139" s="135"/>
      <c r="EL139" s="135"/>
      <c r="EM139" s="135"/>
      <c r="EN139" s="135"/>
      <c r="EO139" s="135"/>
      <c r="EP139" s="135"/>
      <c r="EQ139" s="135"/>
      <c r="ER139" s="135"/>
      <c r="ES139" s="135"/>
      <c r="ET139" s="135"/>
      <c r="EU139" s="135"/>
      <c r="EV139" s="135"/>
      <c r="EW139" s="135"/>
      <c r="EX139" s="135"/>
      <c r="EY139" s="135"/>
      <c r="EZ139" s="135"/>
      <c r="FA139" s="135"/>
      <c r="FB139" s="135"/>
      <c r="FC139" s="135"/>
      <c r="FD139" s="135"/>
      <c r="FE139" s="135"/>
      <c r="FF139" s="135"/>
      <c r="FG139" s="135"/>
    </row>
    <row r="140" spans="1:163" s="57" customFormat="1" ht="11.25" outlineLevel="1">
      <c r="A140" s="765">
        <f t="shared" si="150"/>
        <v>5</v>
      </c>
      <c r="B140" s="715" t="str" cm="1">
        <f t="array" aca="1" ref="B140" ca="1">INDIRECT("'Definition of Typical Day'!"&amp;ADDRESS(B$16,$E140))</f>
        <v>Summer weekend</v>
      </c>
      <c r="C140" s="766">
        <f t="shared" si="151"/>
        <v>24</v>
      </c>
      <c r="D140" s="715">
        <f t="shared" si="151"/>
        <v>58</v>
      </c>
      <c r="E140" s="715">
        <f t="shared" si="79"/>
        <v>9</v>
      </c>
      <c r="F140" s="767" cm="1">
        <f t="array" aca="1" ref="F140" ca="1">INDIRECT("'Definition of Typical Day'!D"&amp;D140)</f>
        <v>24</v>
      </c>
      <c r="G140" s="767" cm="1">
        <f t="array" aca="1" ref="G140" ca="1">INDIRECT("'Definition of Typical Day'!"&amp;ADDRESS(13,E140))</f>
        <v>5</v>
      </c>
      <c r="H140" s="768" cm="1">
        <f t="array" aca="1" ref="H140" ca="1">INDIRECT("'Definition of Typical Day'!"&amp; ADDRESS($D140+28*(H$16-1),$E140))</f>
        <v>2</v>
      </c>
      <c r="I140" s="715" cm="1">
        <f t="array" aca="1" ref="I140" ca="1">INDIRECT("'Definition of Typical Day'!"&amp; ADDRESS($D140+29*(I$16-1),$E140))</f>
        <v>40</v>
      </c>
      <c r="J140" s="715">
        <f t="shared" ca="1" si="105"/>
        <v>37</v>
      </c>
      <c r="K140" s="785">
        <f t="shared" si="106"/>
        <v>28</v>
      </c>
      <c r="L140" s="786" cm="1">
        <f t="array" aca="1" ref="L140" ca="1">INDIRECT("'Definition of Typical Day'!"&amp; ADDRESS($D140+29*(L$16-1),$E140))</f>
        <v>6</v>
      </c>
      <c r="M140" s="768" cm="1">
        <f t="array" aca="1" ref="M140" ca="1">INDIRECT("'Definition of Typical Day'!"&amp; ADDRESS($D140+29*(M$16-1),$E140))</f>
        <v>60</v>
      </c>
      <c r="N140" s="715">
        <f t="shared" si="107"/>
        <v>3</v>
      </c>
      <c r="O140" s="715">
        <f t="shared" ca="1" si="108"/>
        <v>63</v>
      </c>
      <c r="P140" s="715" cm="1">
        <f t="array" aca="1" ref="P140" ca="1">INDIRECT("'Definition of Typical Day'!"&amp; ADDRESS($D140+29*(P$16-1),$E140))</f>
        <v>45</v>
      </c>
      <c r="Q140" s="787">
        <f t="shared" ca="1" si="109"/>
        <v>48</v>
      </c>
      <c r="R140" s="792">
        <f t="shared" ca="1" si="110"/>
        <v>63</v>
      </c>
      <c r="S140" s="769">
        <f t="shared" si="111"/>
        <v>3</v>
      </c>
      <c r="T140" s="769">
        <f t="shared" ca="1" si="112"/>
        <v>0.24</v>
      </c>
      <c r="U140" s="769">
        <f t="shared" ca="1" si="113"/>
        <v>0.70199999999999996</v>
      </c>
      <c r="V140" s="769">
        <f t="shared" ca="1" si="114"/>
        <v>0</v>
      </c>
      <c r="W140" s="769">
        <f t="shared" ca="1" si="115"/>
        <v>3.9420000000000002</v>
      </c>
      <c r="X140" s="794">
        <f t="shared" si="116"/>
        <v>3</v>
      </c>
      <c r="Y140" s="769">
        <f t="shared" ca="1" si="117"/>
        <v>2.1213203435596428</v>
      </c>
      <c r="Z140" s="769">
        <f t="shared" ca="1" si="118"/>
        <v>2.1213203435596428</v>
      </c>
      <c r="AA140" s="795">
        <f t="shared" ca="1" si="119"/>
        <v>2.1213203435596428</v>
      </c>
      <c r="AB140" s="769">
        <f t="shared" ca="1" si="120"/>
        <v>0</v>
      </c>
      <c r="AC140" s="769">
        <f t="shared" ca="1" si="121"/>
        <v>0</v>
      </c>
      <c r="AD140" s="769">
        <f t="shared" ca="1" si="122"/>
        <v>0</v>
      </c>
      <c r="AE140" s="794">
        <f t="shared" ca="1" si="123"/>
        <v>2.1213203435596428</v>
      </c>
      <c r="AF140" s="769">
        <f t="shared" ca="1" si="124"/>
        <v>2.1213203435596427E-2</v>
      </c>
      <c r="AG140" s="769">
        <f t="shared" ca="1" si="125"/>
        <v>2.1001071401240465</v>
      </c>
      <c r="AH140" s="799">
        <f t="shared" ca="1" si="126"/>
        <v>2.1001071401240465</v>
      </c>
      <c r="AI140" s="801">
        <f t="shared" ca="1" si="127"/>
        <v>1</v>
      </c>
      <c r="AJ140" s="794">
        <f t="shared" ca="1" si="128"/>
        <v>1.5831873289580085</v>
      </c>
      <c r="AK140" s="769">
        <f t="shared" ca="1" si="129"/>
        <v>0.53813301460163443</v>
      </c>
      <c r="AL140" s="769">
        <f t="shared" ca="1" si="130"/>
        <v>0</v>
      </c>
      <c r="AM140" s="804">
        <f t="shared" ca="1" si="80"/>
        <v>0.2110916438610678</v>
      </c>
      <c r="AN140" s="795">
        <f t="shared" ca="1" si="81"/>
        <v>5.5575022805598867E-2</v>
      </c>
      <c r="AO140" s="251"/>
      <c r="AP140" s="770">
        <f t="shared" si="131"/>
        <v>0</v>
      </c>
      <c r="AQ140" s="771">
        <f t="shared" ca="1" si="132"/>
        <v>0</v>
      </c>
      <c r="AR140" s="771">
        <f t="shared" ca="1" si="133"/>
        <v>3.166374657916017</v>
      </c>
      <c r="AS140" s="772">
        <f t="shared" ca="1" si="134"/>
        <v>3.166374657916017</v>
      </c>
      <c r="AT140" s="231"/>
      <c r="AU140" s="770">
        <f>'Main Results - IRR DC Operator'!$F$16</f>
        <v>2</v>
      </c>
      <c r="AV140" s="773">
        <f>'Main Results - IRR DC Operator'!$F$15</f>
        <v>1</v>
      </c>
      <c r="AW140" s="771">
        <f t="shared" ca="1" si="135"/>
        <v>4</v>
      </c>
      <c r="AX140" s="772">
        <f t="shared" si="136"/>
        <v>0</v>
      </c>
      <c r="AY140" s="231"/>
      <c r="AZ140" s="770" cm="1">
        <f t="array" aca="1" ref="AZ140" ca="1">INDIRECT("'Definition of Typical Day'!"&amp; ADDRESS($D140+29*(AZ$16-1),$E140))+$AZ$17</f>
        <v>110.79</v>
      </c>
      <c r="BA140" s="771" cm="1">
        <f t="array" aca="1" ref="BA140" ca="1">INDIRECT("'Definition of Typical Day'!"&amp; ADDRESS($D140+29*(BA$16-1),$E140))+$BA$17</f>
        <v>110.79</v>
      </c>
      <c r="BB140" s="772" cm="1">
        <f t="array" aca="1" ref="BB140" ca="1">INDIRECT("'Definition of Typical Day'!"&amp;ADDRESS(BB$16,$E140))</f>
        <v>60</v>
      </c>
      <c r="BC140" s="776" cm="1">
        <f t="array" aca="1" ref="BC140" ca="1">INDIRECT("'Definition of Typical Day'!"&amp; ADDRESS($D140+29*(BC$16-1),$E140))</f>
        <v>109.79</v>
      </c>
      <c r="BD140" s="777" cm="1">
        <f t="array" aca="1" ref="BD140" ca="1">INDIRECT("'Definition of Typical Day'!"&amp; ADDRESS($D140+29*(BD$16-1),$E140))</f>
        <v>1</v>
      </c>
      <c r="BE140" s="776">
        <f t="shared" si="137"/>
        <v>0</v>
      </c>
      <c r="BF140" s="771">
        <f t="shared" ca="1" si="138"/>
        <v>59.619756687715082</v>
      </c>
      <c r="BG140" s="771">
        <f t="shared" ca="1" si="139"/>
        <v>2.5455844122715714</v>
      </c>
      <c r="BH140" s="771">
        <f t="shared" ca="1" si="140"/>
        <v>0</v>
      </c>
      <c r="BI140" s="776">
        <f t="shared" ca="1" si="141"/>
        <v>23.175751579506635</v>
      </c>
      <c r="BJ140" s="776">
        <f t="shared" ca="1" si="142"/>
        <v>6.1015817538267001</v>
      </c>
      <c r="BK140" s="776">
        <f t="shared" ca="1" si="143"/>
        <v>0</v>
      </c>
      <c r="BL140" s="776">
        <f t="shared" ca="1" si="144"/>
        <v>0</v>
      </c>
      <c r="BM140" s="135"/>
      <c r="BN140" s="776">
        <f t="shared" ca="1" si="145"/>
        <v>66.165341099986648</v>
      </c>
      <c r="BO140" s="778">
        <f t="shared" ca="1" si="82"/>
        <v>31.505697893145811</v>
      </c>
      <c r="BP140" s="770">
        <f t="shared" ca="1" si="83"/>
        <v>62.165341099986655</v>
      </c>
      <c r="BQ140" s="771">
        <f t="shared" ca="1" si="84"/>
        <v>0</v>
      </c>
      <c r="BR140" s="771">
        <f t="shared" ca="1" si="85"/>
        <v>0</v>
      </c>
      <c r="BS140" s="776">
        <f t="shared" ca="1" si="146"/>
        <v>66.165341099986648</v>
      </c>
      <c r="BT140" s="776">
        <f t="shared" ca="1" si="86"/>
        <v>62.165341099986655</v>
      </c>
      <c r="BU140" s="783">
        <f t="shared" ca="1" si="87"/>
        <v>29.601033162677002</v>
      </c>
      <c r="BV140" s="783">
        <f t="shared" ca="1" si="88"/>
        <v>29.601033162677002</v>
      </c>
      <c r="BW140" s="1019">
        <f t="shared" ca="1" si="147"/>
        <v>29.601033162677002</v>
      </c>
      <c r="BX140" s="771" cm="1">
        <f t="array" aca="1" ref="BX140" ca="1">INDIRECT("'Definition of Typical Day'!"&amp; ADDRESS($D140+29*(BX$16-1),$E140))</f>
        <v>55</v>
      </c>
      <c r="BY140" s="771">
        <f t="shared" ca="1" si="148"/>
        <v>1</v>
      </c>
      <c r="BZ140" s="781">
        <f t="shared" ca="1" si="89"/>
        <v>1</v>
      </c>
      <c r="CA140" s="781">
        <f t="shared" ca="1" si="90"/>
        <v>0.70710678118654757</v>
      </c>
      <c r="CB140" s="776">
        <f t="shared" ca="1" si="91"/>
        <v>115.50589270682256</v>
      </c>
      <c r="CC140" s="782">
        <f t="shared" si="92"/>
        <v>5</v>
      </c>
      <c r="CD140" s="782">
        <f t="shared" si="93"/>
        <v>24</v>
      </c>
      <c r="CE140" s="784" t="str" cm="1">
        <f t="array" aca="1" ref="CE140" ca="1">INDIRECT("'Definition of Typical Day'!"&amp;ADDRESS(CE$16,$E140))</f>
        <v>Summer weekend</v>
      </c>
      <c r="CF140" s="232"/>
      <c r="CG140" s="232"/>
      <c r="CH140" s="776">
        <f t="shared" ca="1" si="94"/>
        <v>2</v>
      </c>
      <c r="CI140" s="806">
        <f t="shared" ca="1" si="95"/>
        <v>6</v>
      </c>
      <c r="CJ140" s="770">
        <f t="shared" ca="1" si="96"/>
        <v>2.1001071401240465</v>
      </c>
      <c r="CK140" s="771">
        <f t="shared" ca="1" si="97"/>
        <v>1.5831873289580085</v>
      </c>
      <c r="CL140" s="771">
        <f t="shared" ca="1" si="98"/>
        <v>0.53813301460163443</v>
      </c>
      <c r="CM140" s="772">
        <f t="shared" ca="1" si="99"/>
        <v>0</v>
      </c>
      <c r="CN140" s="135"/>
      <c r="CO140" s="770">
        <f t="shared" ca="1" si="149"/>
        <v>1.05</v>
      </c>
      <c r="CP140" s="771">
        <f t="shared" ca="1" si="100"/>
        <v>0.98</v>
      </c>
      <c r="CQ140" s="771">
        <f t="shared" ca="1" si="101"/>
        <v>0.96</v>
      </c>
      <c r="CR140" s="771">
        <f t="shared" ca="1" si="102"/>
        <v>0.95</v>
      </c>
      <c r="CS140" s="771">
        <f t="shared" ca="1" si="103"/>
        <v>1.02</v>
      </c>
      <c r="CT140" s="772">
        <f t="shared" ca="1" si="104"/>
        <v>0.02</v>
      </c>
      <c r="CU140" s="135"/>
      <c r="CV140" s="135"/>
      <c r="CW140" s="135"/>
      <c r="CX140" s="135"/>
      <c r="CY140" s="135"/>
      <c r="CZ140" s="135"/>
      <c r="DA140" s="135"/>
      <c r="DB140" s="135"/>
      <c r="DC140" s="135"/>
      <c r="DD140" s="135"/>
      <c r="DE140" s="135"/>
      <c r="DF140" s="135"/>
      <c r="DG140" s="135"/>
      <c r="DH140" s="135"/>
      <c r="DI140" s="135"/>
      <c r="DJ140" s="135"/>
      <c r="DK140" s="135"/>
      <c r="DL140" s="135"/>
      <c r="DX140" s="135"/>
      <c r="DY140" s="135"/>
      <c r="DZ140" s="135"/>
      <c r="EA140" s="135"/>
      <c r="EB140" s="135"/>
      <c r="EC140" s="135"/>
      <c r="ED140" s="135"/>
      <c r="EE140" s="135"/>
      <c r="EF140" s="135"/>
      <c r="EG140" s="135"/>
      <c r="EH140" s="135"/>
      <c r="EI140" s="135"/>
      <c r="EJ140" s="135"/>
      <c r="EK140" s="135"/>
      <c r="EL140" s="135"/>
      <c r="EM140" s="135"/>
      <c r="EN140" s="135"/>
      <c r="EO140" s="135"/>
      <c r="EP140" s="135"/>
      <c r="EQ140" s="135"/>
      <c r="ER140" s="135"/>
      <c r="ES140" s="135"/>
      <c r="ET140" s="135"/>
      <c r="EU140" s="135"/>
      <c r="EV140" s="135"/>
      <c r="EW140" s="135"/>
      <c r="EX140" s="135"/>
      <c r="EY140" s="135"/>
      <c r="EZ140" s="135"/>
      <c r="FA140" s="135"/>
      <c r="FB140" s="135"/>
      <c r="FC140" s="135"/>
      <c r="FD140" s="135"/>
      <c r="FE140" s="135"/>
      <c r="FF140" s="135"/>
      <c r="FG140" s="135"/>
    </row>
    <row r="141" spans="1:163" s="57" customFormat="1" ht="11.25">
      <c r="A141" s="765">
        <f t="shared" si="150"/>
        <v>6</v>
      </c>
      <c r="B141" s="715" t="str" cm="1">
        <f t="array" aca="1" ref="B141" ca="1">INDIRECT("'Definition of Typical Day'!"&amp;ADDRESS(B$16,$E141))</f>
        <v>Maintenance of HP</v>
      </c>
      <c r="C141" s="766">
        <f t="shared" si="151"/>
        <v>1</v>
      </c>
      <c r="D141" s="715">
        <f t="shared" si="151"/>
        <v>35</v>
      </c>
      <c r="E141" s="715">
        <f t="shared" si="79"/>
        <v>10</v>
      </c>
      <c r="F141" s="767" cm="1">
        <f t="array" aca="1" ref="F141" ca="1">INDIRECT("'Definition of Typical Day'!D"&amp;D141)</f>
        <v>1</v>
      </c>
      <c r="G141" s="767" cm="1">
        <f t="array" aca="1" ref="G141" ca="1">INDIRECT("'Definition of Typical Day'!"&amp;ADDRESS(13,E141))</f>
        <v>6</v>
      </c>
      <c r="H141" s="768" cm="1">
        <f t="array" aca="1" ref="H141" ca="1">INDIRECT("'Definition of Typical Day'!"&amp; ADDRESS($D141+28*(H$16-1),$E141))</f>
        <v>0</v>
      </c>
      <c r="I141" s="715" cm="1">
        <f t="array" aca="1" ref="I141" ca="1">INDIRECT("'Definition of Typical Day'!"&amp; ADDRESS($D141+29*(I$16-1),$E141))</f>
        <v>40</v>
      </c>
      <c r="J141" s="715">
        <f t="shared" ca="1" si="105"/>
        <v>37</v>
      </c>
      <c r="K141" s="785">
        <f t="shared" si="106"/>
        <v>28</v>
      </c>
      <c r="L141" s="786" cm="1">
        <f t="array" aca="1" ref="L141" ca="1">INDIRECT("'Definition of Typical Day'!"&amp; ADDRESS($D141+29*(L$16-1),$E141))</f>
        <v>0</v>
      </c>
      <c r="M141" s="768" cm="1">
        <f t="array" aca="1" ref="M141" ca="1">INDIRECT("'Definition of Typical Day'!"&amp; ADDRESS($D141+29*(M$16-1),$E141))</f>
        <v>73.333333333333329</v>
      </c>
      <c r="N141" s="715">
        <f t="shared" si="107"/>
        <v>3</v>
      </c>
      <c r="O141" s="715">
        <f t="shared" ca="1" si="108"/>
        <v>76.333333333333329</v>
      </c>
      <c r="P141" s="715" cm="1">
        <f t="array" aca="1" ref="P141" ca="1">INDIRECT("'Definition of Typical Day'!"&amp; ADDRESS($D141+29*(P$16-1),$E141))</f>
        <v>45</v>
      </c>
      <c r="Q141" s="787">
        <f t="shared" ca="1" si="109"/>
        <v>48</v>
      </c>
      <c r="R141" s="792">
        <f t="shared" ca="1" si="110"/>
        <v>76.333333333333329</v>
      </c>
      <c r="S141" s="769">
        <f t="shared" si="111"/>
        <v>3</v>
      </c>
      <c r="T141" s="769">
        <f t="shared" ca="1" si="112"/>
        <v>0.24</v>
      </c>
      <c r="U141" s="769">
        <f t="shared" ca="1" si="113"/>
        <v>0.35533333333333345</v>
      </c>
      <c r="V141" s="769">
        <f t="shared" ca="1" si="114"/>
        <v>0</v>
      </c>
      <c r="W141" s="769">
        <f t="shared" ca="1" si="115"/>
        <v>3.5953333333333335</v>
      </c>
      <c r="X141" s="794">
        <f t="shared" si="116"/>
        <v>3</v>
      </c>
      <c r="Y141" s="769">
        <f t="shared" ca="1" si="117"/>
        <v>2.9154759474226504</v>
      </c>
      <c r="Z141" s="769">
        <f t="shared" ca="1" si="118"/>
        <v>0</v>
      </c>
      <c r="AA141" s="795">
        <f t="shared" ca="1" si="119"/>
        <v>0</v>
      </c>
      <c r="AB141" s="769">
        <f t="shared" ca="1" si="120"/>
        <v>0</v>
      </c>
      <c r="AC141" s="769">
        <f t="shared" ca="1" si="121"/>
        <v>0</v>
      </c>
      <c r="AD141" s="769">
        <f t="shared" ca="1" si="122"/>
        <v>0</v>
      </c>
      <c r="AE141" s="794">
        <f t="shared" ca="1" si="123"/>
        <v>0</v>
      </c>
      <c r="AF141" s="769">
        <f t="shared" ca="1" si="124"/>
        <v>0</v>
      </c>
      <c r="AG141" s="769">
        <f t="shared" ca="1" si="125"/>
        <v>0</v>
      </c>
      <c r="AH141" s="799">
        <f t="shared" ca="1" si="126"/>
        <v>0</v>
      </c>
      <c r="AI141" s="801">
        <f t="shared" ca="1" si="127"/>
        <v>1</v>
      </c>
      <c r="AJ141" s="794">
        <f t="shared" ca="1" si="128"/>
        <v>0</v>
      </c>
      <c r="AK141" s="769">
        <f t="shared" ca="1" si="129"/>
        <v>0</v>
      </c>
      <c r="AL141" s="769">
        <f t="shared" ca="1" si="130"/>
        <v>0</v>
      </c>
      <c r="AM141" s="804">
        <f t="shared" ca="1" si="80"/>
        <v>0</v>
      </c>
      <c r="AN141" s="795">
        <f t="shared" ca="1" si="81"/>
        <v>0</v>
      </c>
      <c r="AO141" s="251"/>
      <c r="AP141" s="770">
        <f t="shared" si="131"/>
        <v>0</v>
      </c>
      <c r="AQ141" s="771">
        <f t="shared" ca="1" si="132"/>
        <v>0</v>
      </c>
      <c r="AR141" s="771">
        <f t="shared" ca="1" si="133"/>
        <v>0</v>
      </c>
      <c r="AS141" s="772">
        <f t="shared" ca="1" si="134"/>
        <v>0</v>
      </c>
      <c r="AT141" s="231"/>
      <c r="AU141" s="770">
        <f>'Main Results - IRR DC Operator'!$F$16</f>
        <v>2</v>
      </c>
      <c r="AV141" s="773">
        <f>'Main Results - IRR DC Operator'!$F$15</f>
        <v>1</v>
      </c>
      <c r="AW141" s="771">
        <f t="shared" ca="1" si="135"/>
        <v>0</v>
      </c>
      <c r="AX141" s="772">
        <f t="shared" si="136"/>
        <v>0</v>
      </c>
      <c r="AY141" s="231"/>
      <c r="AZ141" s="770" cm="1">
        <f t="array" aca="1" ref="AZ141" ca="1">INDIRECT("'Definition of Typical Day'!"&amp; ADDRESS($D141+29*(AZ$16-1),$E141))+$AZ$17</f>
        <v>96.97999999999999</v>
      </c>
      <c r="BA141" s="771" cm="1">
        <f t="array" aca="1" ref="BA141" ca="1">INDIRECT("'Definition of Typical Day'!"&amp; ADDRESS($D141+29*(BA$16-1),$E141))+$BA$17</f>
        <v>96.97999999999999</v>
      </c>
      <c r="BB141" s="772" cm="1">
        <f t="array" aca="1" ref="BB141" ca="1">INDIRECT("'Definition of Typical Day'!"&amp;ADDRESS(BB$16,$E141))</f>
        <v>66</v>
      </c>
      <c r="BC141" s="776" cm="1">
        <f t="array" aca="1" ref="BC141" ca="1">INDIRECT("'Definition of Typical Day'!"&amp; ADDRESS($D141+29*(BC$16-1),$E141))</f>
        <v>95.97999999999999</v>
      </c>
      <c r="BD141" s="777" cm="1">
        <f t="array" aca="1" ref="BD141" ca="1">INDIRECT("'Definition of Typical Day'!"&amp; ADDRESS($D141+29*(BD$16-1),$E141))</f>
        <v>1</v>
      </c>
      <c r="BE141" s="776">
        <f t="shared" si="137"/>
        <v>0</v>
      </c>
      <c r="BF141" s="771">
        <f t="shared" ca="1" si="138"/>
        <v>0</v>
      </c>
      <c r="BG141" s="771">
        <f t="shared" ca="1" si="139"/>
        <v>0</v>
      </c>
      <c r="BH141" s="771">
        <f t="shared" ca="1" si="140"/>
        <v>0</v>
      </c>
      <c r="BI141" s="776">
        <f t="shared" ca="1" si="141"/>
        <v>0</v>
      </c>
      <c r="BJ141" s="776">
        <f t="shared" ca="1" si="142"/>
        <v>0</v>
      </c>
      <c r="BK141" s="776">
        <f t="shared" ca="1" si="143"/>
        <v>0</v>
      </c>
      <c r="BL141" s="776">
        <f t="shared" ca="1" si="144"/>
        <v>0</v>
      </c>
      <c r="BM141" s="135"/>
      <c r="BN141" s="776">
        <f t="shared" ca="1" si="145"/>
        <v>0</v>
      </c>
      <c r="BO141" s="778">
        <f t="shared" ca="1" si="82"/>
        <v>0</v>
      </c>
      <c r="BP141" s="770">
        <f t="shared" ca="1" si="83"/>
        <v>0</v>
      </c>
      <c r="BQ141" s="771">
        <f t="shared" ca="1" si="84"/>
        <v>0</v>
      </c>
      <c r="BR141" s="771">
        <f t="shared" ca="1" si="85"/>
        <v>0</v>
      </c>
      <c r="BS141" s="776">
        <f t="shared" ca="1" si="146"/>
        <v>0</v>
      </c>
      <c r="BT141" s="776">
        <f t="shared" ca="1" si="86"/>
        <v>0</v>
      </c>
      <c r="BU141" s="783">
        <f t="shared" ca="1" si="87"/>
        <v>0</v>
      </c>
      <c r="BV141" s="783">
        <f t="shared" ca="1" si="88"/>
        <v>0</v>
      </c>
      <c r="BW141" s="1019">
        <f t="shared" ca="1" si="147"/>
        <v>0</v>
      </c>
      <c r="BX141" s="771" cm="1">
        <f t="array" aca="1" ref="BX141" ca="1">INDIRECT("'Definition of Typical Day'!"&amp; ADDRESS($D141+29*(BX$16-1),$E141))</f>
        <v>55</v>
      </c>
      <c r="BY141" s="771">
        <f t="shared" ca="1" si="148"/>
        <v>0</v>
      </c>
      <c r="BZ141" s="781">
        <f t="shared" ca="1" si="89"/>
        <v>0</v>
      </c>
      <c r="CA141" s="781">
        <f t="shared" ca="1" si="90"/>
        <v>0</v>
      </c>
      <c r="CB141" s="776">
        <f t="shared" ca="1" si="91"/>
        <v>0</v>
      </c>
      <c r="CC141" s="782">
        <f t="shared" si="92"/>
        <v>6</v>
      </c>
      <c r="CD141" s="782">
        <f t="shared" si="93"/>
        <v>1</v>
      </c>
      <c r="CE141" s="784" t="str" cm="1">
        <f t="array" aca="1" ref="CE141" ca="1">INDIRECT("'Definition of Typical Day'!"&amp;ADDRESS(CE$16,$E141))</f>
        <v>Maintenance of HP</v>
      </c>
      <c r="CF141" s="232"/>
      <c r="CG141" s="232"/>
      <c r="CH141" s="776">
        <f t="shared" ca="1" si="94"/>
        <v>0</v>
      </c>
      <c r="CI141" s="806">
        <f t="shared" ca="1" si="95"/>
        <v>0</v>
      </c>
      <c r="CJ141" s="770">
        <f t="shared" ca="1" si="96"/>
        <v>0</v>
      </c>
      <c r="CK141" s="771">
        <f t="shared" ca="1" si="97"/>
        <v>0</v>
      </c>
      <c r="CL141" s="771">
        <f t="shared" ca="1" si="98"/>
        <v>0</v>
      </c>
      <c r="CM141" s="772">
        <f t="shared" ca="1" si="99"/>
        <v>0</v>
      </c>
      <c r="CN141" s="135"/>
      <c r="CO141" s="770">
        <f t="shared" ca="1" si="149"/>
        <v>1.05</v>
      </c>
      <c r="CP141" s="771">
        <f t="shared" ca="1" si="100"/>
        <v>0.02</v>
      </c>
      <c r="CQ141" s="771">
        <f t="shared" ca="1" si="101"/>
        <v>-2.5000000000000001E-2</v>
      </c>
      <c r="CR141" s="771">
        <f t="shared" ca="1" si="102"/>
        <v>0.95</v>
      </c>
      <c r="CS141" s="771">
        <f t="shared" ca="1" si="103"/>
        <v>0.03</v>
      </c>
      <c r="CT141" s="772">
        <f t="shared" ca="1" si="104"/>
        <v>0.02</v>
      </c>
      <c r="CU141" s="135"/>
      <c r="CV141" s="135"/>
      <c r="CW141" s="135"/>
      <c r="CX141" s="135"/>
      <c r="CY141" s="135"/>
      <c r="CZ141" s="135"/>
      <c r="DA141" s="135"/>
      <c r="DB141" s="135"/>
      <c r="DC141" s="135"/>
      <c r="DD141" s="135"/>
      <c r="DE141" s="135"/>
      <c r="DF141" s="135"/>
      <c r="DG141" s="135"/>
      <c r="DH141" s="135"/>
      <c r="DI141" s="135"/>
      <c r="DJ141" s="135"/>
      <c r="DK141" s="135"/>
      <c r="DL141" s="135"/>
      <c r="DX141" s="135"/>
      <c r="DY141" s="135"/>
      <c r="DZ141" s="135"/>
      <c r="EA141" s="135"/>
      <c r="EB141" s="135"/>
      <c r="EC141" s="135"/>
      <c r="ED141" s="135"/>
      <c r="EE141" s="135"/>
      <c r="EF141" s="135"/>
      <c r="EG141" s="135"/>
      <c r="EH141" s="135"/>
      <c r="EI141" s="135"/>
      <c r="EJ141" s="135"/>
      <c r="EK141" s="135"/>
      <c r="EL141" s="135"/>
      <c r="EM141" s="135"/>
      <c r="EN141" s="135"/>
      <c r="EO141" s="135"/>
      <c r="EP141" s="135"/>
      <c r="EQ141" s="135"/>
      <c r="ER141" s="135"/>
      <c r="ES141" s="135"/>
      <c r="ET141" s="135"/>
      <c r="EU141" s="135"/>
      <c r="EV141" s="135"/>
      <c r="EW141" s="135"/>
      <c r="EX141" s="135"/>
      <c r="EY141" s="135"/>
      <c r="EZ141" s="135"/>
      <c r="FA141" s="135"/>
      <c r="FB141" s="135"/>
      <c r="FC141" s="135"/>
      <c r="FD141" s="135"/>
      <c r="FE141" s="135"/>
      <c r="FF141" s="135"/>
      <c r="FG141" s="135"/>
    </row>
    <row r="142" spans="1:163" s="57" customFormat="1" ht="11.25" outlineLevel="1">
      <c r="A142" s="765">
        <f t="shared" si="150"/>
        <v>6</v>
      </c>
      <c r="B142" s="715" t="str" cm="1">
        <f t="array" aca="1" ref="B142" ca="1">INDIRECT("'Definition of Typical Day'!"&amp;ADDRESS(B$16,$E142))</f>
        <v>Maintenance of HP</v>
      </c>
      <c r="C142" s="766">
        <f t="shared" si="151"/>
        <v>2</v>
      </c>
      <c r="D142" s="715">
        <f t="shared" si="151"/>
        <v>36</v>
      </c>
      <c r="E142" s="715">
        <f t="shared" si="79"/>
        <v>10</v>
      </c>
      <c r="F142" s="767" cm="1">
        <f t="array" aca="1" ref="F142" ca="1">INDIRECT("'Definition of Typical Day'!D"&amp;D142)</f>
        <v>2</v>
      </c>
      <c r="G142" s="767" cm="1">
        <f t="array" aca="1" ref="G142" ca="1">INDIRECT("'Definition of Typical Day'!"&amp;ADDRESS(13,E142))</f>
        <v>6</v>
      </c>
      <c r="H142" s="768" cm="1">
        <f t="array" aca="1" ref="H142" ca="1">INDIRECT("'Definition of Typical Day'!"&amp; ADDRESS($D142+28*(H$16-1),$E142))</f>
        <v>0</v>
      </c>
      <c r="I142" s="715" cm="1">
        <f t="array" aca="1" ref="I142" ca="1">INDIRECT("'Definition of Typical Day'!"&amp; ADDRESS($D142+29*(I$16-1),$E142))</f>
        <v>40</v>
      </c>
      <c r="J142" s="715">
        <f t="shared" ca="1" si="105"/>
        <v>37</v>
      </c>
      <c r="K142" s="785">
        <f t="shared" si="106"/>
        <v>28</v>
      </c>
      <c r="L142" s="786" cm="1">
        <f t="array" aca="1" ref="L142" ca="1">INDIRECT("'Definition of Typical Day'!"&amp; ADDRESS($D142+29*(L$16-1),$E142))</f>
        <v>0</v>
      </c>
      <c r="M142" s="768" cm="1">
        <f t="array" aca="1" ref="M142" ca="1">INDIRECT("'Definition of Typical Day'!"&amp; ADDRESS($D142+29*(M$16-1),$E142))</f>
        <v>73.333333333333329</v>
      </c>
      <c r="N142" s="715">
        <f t="shared" si="107"/>
        <v>3</v>
      </c>
      <c r="O142" s="715">
        <f t="shared" ca="1" si="108"/>
        <v>76.333333333333329</v>
      </c>
      <c r="P142" s="715" cm="1">
        <f t="array" aca="1" ref="P142" ca="1">INDIRECT("'Definition of Typical Day'!"&amp; ADDRESS($D142+29*(P$16-1),$E142))</f>
        <v>45</v>
      </c>
      <c r="Q142" s="787">
        <f t="shared" ca="1" si="109"/>
        <v>48</v>
      </c>
      <c r="R142" s="792">
        <f t="shared" ca="1" si="110"/>
        <v>76.333333333333329</v>
      </c>
      <c r="S142" s="769">
        <f t="shared" si="111"/>
        <v>3</v>
      </c>
      <c r="T142" s="769">
        <f t="shared" ca="1" si="112"/>
        <v>0.24</v>
      </c>
      <c r="U142" s="769">
        <f t="shared" ca="1" si="113"/>
        <v>0.35533333333333345</v>
      </c>
      <c r="V142" s="769">
        <f t="shared" ca="1" si="114"/>
        <v>0</v>
      </c>
      <c r="W142" s="769">
        <f t="shared" ca="1" si="115"/>
        <v>3.5953333333333335</v>
      </c>
      <c r="X142" s="794">
        <f t="shared" si="116"/>
        <v>3</v>
      </c>
      <c r="Y142" s="769">
        <f t="shared" ca="1" si="117"/>
        <v>2.9154759474226504</v>
      </c>
      <c r="Z142" s="769">
        <f t="shared" ca="1" si="118"/>
        <v>0</v>
      </c>
      <c r="AA142" s="795">
        <f t="shared" ca="1" si="119"/>
        <v>0</v>
      </c>
      <c r="AB142" s="769">
        <f t="shared" ca="1" si="120"/>
        <v>0</v>
      </c>
      <c r="AC142" s="769">
        <f t="shared" ca="1" si="121"/>
        <v>0</v>
      </c>
      <c r="AD142" s="769">
        <f t="shared" ca="1" si="122"/>
        <v>0</v>
      </c>
      <c r="AE142" s="794">
        <f t="shared" ca="1" si="123"/>
        <v>0</v>
      </c>
      <c r="AF142" s="769">
        <f t="shared" ca="1" si="124"/>
        <v>0</v>
      </c>
      <c r="AG142" s="769">
        <f t="shared" ca="1" si="125"/>
        <v>0</v>
      </c>
      <c r="AH142" s="799">
        <f t="shared" ca="1" si="126"/>
        <v>0</v>
      </c>
      <c r="AI142" s="801">
        <f t="shared" ca="1" si="127"/>
        <v>1</v>
      </c>
      <c r="AJ142" s="794">
        <f t="shared" ca="1" si="128"/>
        <v>0</v>
      </c>
      <c r="AK142" s="769">
        <f t="shared" ca="1" si="129"/>
        <v>0</v>
      </c>
      <c r="AL142" s="769">
        <f t="shared" ca="1" si="130"/>
        <v>0</v>
      </c>
      <c r="AM142" s="804">
        <f t="shared" ca="1" si="80"/>
        <v>0</v>
      </c>
      <c r="AN142" s="795">
        <f t="shared" ca="1" si="81"/>
        <v>0</v>
      </c>
      <c r="AO142" s="251"/>
      <c r="AP142" s="770">
        <f t="shared" si="131"/>
        <v>0</v>
      </c>
      <c r="AQ142" s="771">
        <f t="shared" ca="1" si="132"/>
        <v>0</v>
      </c>
      <c r="AR142" s="771">
        <f t="shared" ca="1" si="133"/>
        <v>0</v>
      </c>
      <c r="AS142" s="772">
        <f t="shared" ca="1" si="134"/>
        <v>0</v>
      </c>
      <c r="AT142" s="231"/>
      <c r="AU142" s="770">
        <f>'Main Results - IRR DC Operator'!$F$16</f>
        <v>2</v>
      </c>
      <c r="AV142" s="773">
        <f>'Main Results - IRR DC Operator'!$F$15</f>
        <v>1</v>
      </c>
      <c r="AW142" s="771">
        <f t="shared" ca="1" si="135"/>
        <v>0</v>
      </c>
      <c r="AX142" s="772">
        <f t="shared" si="136"/>
        <v>0</v>
      </c>
      <c r="AY142" s="231"/>
      <c r="AZ142" s="770" cm="1">
        <f t="array" aca="1" ref="AZ142" ca="1">INDIRECT("'Definition of Typical Day'!"&amp; ADDRESS($D142+29*(AZ$16-1),$E142))+$AZ$17</f>
        <v>86.52000000000001</v>
      </c>
      <c r="BA142" s="771" cm="1">
        <f t="array" aca="1" ref="BA142" ca="1">INDIRECT("'Definition of Typical Day'!"&amp; ADDRESS($D142+29*(BA$16-1),$E142))+$BA$17</f>
        <v>86.52000000000001</v>
      </c>
      <c r="BB142" s="772" cm="1">
        <f t="array" aca="1" ref="BB142" ca="1">INDIRECT("'Definition of Typical Day'!"&amp;ADDRESS(BB$16,$E142))</f>
        <v>66</v>
      </c>
      <c r="BC142" s="776" cm="1">
        <f t="array" aca="1" ref="BC142" ca="1">INDIRECT("'Definition of Typical Day'!"&amp; ADDRESS($D142+29*(BC$16-1),$E142))</f>
        <v>85.52000000000001</v>
      </c>
      <c r="BD142" s="777" cm="1">
        <f t="array" aca="1" ref="BD142" ca="1">INDIRECT("'Definition of Typical Day'!"&amp; ADDRESS($D142+29*(BD$16-1),$E142))</f>
        <v>1</v>
      </c>
      <c r="BE142" s="776">
        <f t="shared" si="137"/>
        <v>0</v>
      </c>
      <c r="BF142" s="771">
        <f t="shared" ca="1" si="138"/>
        <v>0</v>
      </c>
      <c r="BG142" s="771">
        <f t="shared" ca="1" si="139"/>
        <v>0</v>
      </c>
      <c r="BH142" s="771">
        <f t="shared" ca="1" si="140"/>
        <v>0</v>
      </c>
      <c r="BI142" s="776">
        <f t="shared" ca="1" si="141"/>
        <v>0</v>
      </c>
      <c r="BJ142" s="776">
        <f t="shared" ca="1" si="142"/>
        <v>0</v>
      </c>
      <c r="BK142" s="776">
        <f t="shared" ca="1" si="143"/>
        <v>0</v>
      </c>
      <c r="BL142" s="776">
        <f t="shared" ca="1" si="144"/>
        <v>0</v>
      </c>
      <c r="BM142" s="135"/>
      <c r="BN142" s="776">
        <f t="shared" ca="1" si="145"/>
        <v>0</v>
      </c>
      <c r="BO142" s="778">
        <f t="shared" ca="1" si="82"/>
        <v>0</v>
      </c>
      <c r="BP142" s="770">
        <f t="shared" ca="1" si="83"/>
        <v>0</v>
      </c>
      <c r="BQ142" s="771">
        <f t="shared" ca="1" si="84"/>
        <v>0</v>
      </c>
      <c r="BR142" s="771">
        <f t="shared" ca="1" si="85"/>
        <v>0</v>
      </c>
      <c r="BS142" s="776">
        <f t="shared" ca="1" si="146"/>
        <v>0</v>
      </c>
      <c r="BT142" s="776">
        <f t="shared" ca="1" si="86"/>
        <v>0</v>
      </c>
      <c r="BU142" s="783">
        <f t="shared" ca="1" si="87"/>
        <v>0</v>
      </c>
      <c r="BV142" s="783">
        <f t="shared" ca="1" si="88"/>
        <v>0</v>
      </c>
      <c r="BW142" s="1019">
        <f t="shared" ca="1" si="147"/>
        <v>0</v>
      </c>
      <c r="BX142" s="771" cm="1">
        <f t="array" aca="1" ref="BX142" ca="1">INDIRECT("'Definition of Typical Day'!"&amp; ADDRESS($D142+29*(BX$16-1),$E142))</f>
        <v>55</v>
      </c>
      <c r="BY142" s="771">
        <f t="shared" ca="1" si="148"/>
        <v>0</v>
      </c>
      <c r="BZ142" s="781">
        <f t="shared" ca="1" si="89"/>
        <v>0</v>
      </c>
      <c r="CA142" s="781">
        <f t="shared" ca="1" si="90"/>
        <v>0</v>
      </c>
      <c r="CB142" s="776">
        <f t="shared" ca="1" si="91"/>
        <v>0</v>
      </c>
      <c r="CC142" s="782">
        <f t="shared" si="92"/>
        <v>6</v>
      </c>
      <c r="CD142" s="782">
        <f t="shared" si="93"/>
        <v>2</v>
      </c>
      <c r="CE142" s="784" t="str" cm="1">
        <f t="array" aca="1" ref="CE142" ca="1">INDIRECT("'Definition of Typical Day'!"&amp;ADDRESS(CE$16,$E142))</f>
        <v>Maintenance of HP</v>
      </c>
      <c r="CF142" s="232"/>
      <c r="CG142" s="232"/>
      <c r="CH142" s="776">
        <f t="shared" ca="1" si="94"/>
        <v>0</v>
      </c>
      <c r="CI142" s="806">
        <f t="shared" ca="1" si="95"/>
        <v>0</v>
      </c>
      <c r="CJ142" s="770">
        <f t="shared" ca="1" si="96"/>
        <v>0</v>
      </c>
      <c r="CK142" s="771">
        <f t="shared" ca="1" si="97"/>
        <v>0</v>
      </c>
      <c r="CL142" s="771">
        <f t="shared" ca="1" si="98"/>
        <v>0</v>
      </c>
      <c r="CM142" s="772">
        <f t="shared" ca="1" si="99"/>
        <v>0</v>
      </c>
      <c r="CN142" s="135"/>
      <c r="CO142" s="770">
        <f t="shared" ca="1" si="149"/>
        <v>1.05</v>
      </c>
      <c r="CP142" s="771">
        <f t="shared" ca="1" si="100"/>
        <v>0.02</v>
      </c>
      <c r="CQ142" s="771">
        <f t="shared" ca="1" si="101"/>
        <v>-2.5000000000000001E-2</v>
      </c>
      <c r="CR142" s="771">
        <f t="shared" ca="1" si="102"/>
        <v>0.95</v>
      </c>
      <c r="CS142" s="771">
        <f t="shared" ca="1" si="103"/>
        <v>0.03</v>
      </c>
      <c r="CT142" s="772">
        <f t="shared" ca="1" si="104"/>
        <v>0.02</v>
      </c>
      <c r="CU142" s="135"/>
      <c r="CV142" s="135"/>
      <c r="CW142" s="135"/>
      <c r="CX142" s="135"/>
      <c r="CY142" s="135"/>
      <c r="CZ142" s="135"/>
      <c r="DA142" s="135"/>
      <c r="DB142" s="135"/>
      <c r="DC142" s="135"/>
      <c r="DD142" s="135"/>
      <c r="DE142" s="135"/>
      <c r="DF142" s="135"/>
      <c r="DG142" s="135"/>
      <c r="DH142" s="135"/>
      <c r="DI142" s="135"/>
      <c r="DJ142" s="135"/>
      <c r="DK142" s="135"/>
      <c r="DL142" s="135"/>
      <c r="DX142" s="135"/>
      <c r="DY142" s="135"/>
      <c r="DZ142" s="135"/>
      <c r="EA142" s="135"/>
      <c r="EB142" s="135"/>
      <c r="EC142" s="135"/>
      <c r="ED142" s="135"/>
      <c r="EE142" s="135"/>
      <c r="EF142" s="135"/>
      <c r="EG142" s="135"/>
      <c r="EH142" s="135"/>
      <c r="EI142" s="135"/>
      <c r="EJ142" s="135"/>
      <c r="EK142" s="135"/>
      <c r="EL142" s="135"/>
      <c r="EM142" s="135"/>
      <c r="EN142" s="135"/>
      <c r="EO142" s="135"/>
      <c r="EP142" s="135"/>
      <c r="EQ142" s="135"/>
      <c r="ER142" s="135"/>
      <c r="ES142" s="135"/>
      <c r="ET142" s="135"/>
      <c r="EU142" s="135"/>
      <c r="EV142" s="135"/>
      <c r="EW142" s="135"/>
      <c r="EX142" s="135"/>
      <c r="EY142" s="135"/>
      <c r="EZ142" s="135"/>
      <c r="FA142" s="135"/>
      <c r="FB142" s="135"/>
      <c r="FC142" s="135"/>
      <c r="FD142" s="135"/>
      <c r="FE142" s="135"/>
      <c r="FF142" s="135"/>
      <c r="FG142" s="135"/>
    </row>
    <row r="143" spans="1:163" s="57" customFormat="1" ht="11.25" outlineLevel="1">
      <c r="A143" s="765">
        <f t="shared" si="150"/>
        <v>6</v>
      </c>
      <c r="B143" s="715" t="str" cm="1">
        <f t="array" aca="1" ref="B143" ca="1">INDIRECT("'Definition of Typical Day'!"&amp;ADDRESS(B$16,$E143))</f>
        <v>Maintenance of HP</v>
      </c>
      <c r="C143" s="766">
        <f t="shared" si="151"/>
        <v>3</v>
      </c>
      <c r="D143" s="715">
        <f t="shared" si="151"/>
        <v>37</v>
      </c>
      <c r="E143" s="715">
        <f t="shared" si="79"/>
        <v>10</v>
      </c>
      <c r="F143" s="767" cm="1">
        <f t="array" aca="1" ref="F143" ca="1">INDIRECT("'Definition of Typical Day'!D"&amp;D143)</f>
        <v>3</v>
      </c>
      <c r="G143" s="767" cm="1">
        <f t="array" aca="1" ref="G143" ca="1">INDIRECT("'Definition of Typical Day'!"&amp;ADDRESS(13,E143))</f>
        <v>6</v>
      </c>
      <c r="H143" s="768" cm="1">
        <f t="array" aca="1" ref="H143" ca="1">INDIRECT("'Definition of Typical Day'!"&amp; ADDRESS($D143+28*(H$16-1),$E143))</f>
        <v>0</v>
      </c>
      <c r="I143" s="715" cm="1">
        <f t="array" aca="1" ref="I143" ca="1">INDIRECT("'Definition of Typical Day'!"&amp; ADDRESS($D143+29*(I$16-1),$E143))</f>
        <v>40</v>
      </c>
      <c r="J143" s="715">
        <f t="shared" ca="1" si="105"/>
        <v>37</v>
      </c>
      <c r="K143" s="785">
        <f t="shared" si="106"/>
        <v>28</v>
      </c>
      <c r="L143" s="786" cm="1">
        <f t="array" aca="1" ref="L143" ca="1">INDIRECT("'Definition of Typical Day'!"&amp; ADDRESS($D143+29*(L$16-1),$E143))</f>
        <v>0</v>
      </c>
      <c r="M143" s="768" cm="1">
        <f t="array" aca="1" ref="M143" ca="1">INDIRECT("'Definition of Typical Day'!"&amp; ADDRESS($D143+29*(M$16-1),$E143))</f>
        <v>73.333333333333329</v>
      </c>
      <c r="N143" s="715">
        <f t="shared" si="107"/>
        <v>3</v>
      </c>
      <c r="O143" s="715">
        <f t="shared" ca="1" si="108"/>
        <v>76.333333333333329</v>
      </c>
      <c r="P143" s="715" cm="1">
        <f t="array" aca="1" ref="P143" ca="1">INDIRECT("'Definition of Typical Day'!"&amp; ADDRESS($D143+29*(P$16-1),$E143))</f>
        <v>45</v>
      </c>
      <c r="Q143" s="787">
        <f t="shared" ca="1" si="109"/>
        <v>48</v>
      </c>
      <c r="R143" s="792">
        <f t="shared" ca="1" si="110"/>
        <v>76.333333333333329</v>
      </c>
      <c r="S143" s="769">
        <f t="shared" si="111"/>
        <v>3</v>
      </c>
      <c r="T143" s="769">
        <f t="shared" ca="1" si="112"/>
        <v>0.24</v>
      </c>
      <c r="U143" s="769">
        <f t="shared" ca="1" si="113"/>
        <v>0.35533333333333345</v>
      </c>
      <c r="V143" s="769">
        <f t="shared" ca="1" si="114"/>
        <v>0</v>
      </c>
      <c r="W143" s="769">
        <f t="shared" ca="1" si="115"/>
        <v>3.5953333333333335</v>
      </c>
      <c r="X143" s="794">
        <f t="shared" si="116"/>
        <v>3</v>
      </c>
      <c r="Y143" s="769">
        <f t="shared" ca="1" si="117"/>
        <v>2.9154759474226504</v>
      </c>
      <c r="Z143" s="769">
        <f t="shared" ca="1" si="118"/>
        <v>0</v>
      </c>
      <c r="AA143" s="795">
        <f t="shared" ca="1" si="119"/>
        <v>0</v>
      </c>
      <c r="AB143" s="769">
        <f t="shared" ca="1" si="120"/>
        <v>0</v>
      </c>
      <c r="AC143" s="769">
        <f t="shared" ca="1" si="121"/>
        <v>0</v>
      </c>
      <c r="AD143" s="769">
        <f t="shared" ca="1" si="122"/>
        <v>0</v>
      </c>
      <c r="AE143" s="794">
        <f t="shared" ca="1" si="123"/>
        <v>0</v>
      </c>
      <c r="AF143" s="769">
        <f t="shared" ca="1" si="124"/>
        <v>0</v>
      </c>
      <c r="AG143" s="769">
        <f t="shared" ca="1" si="125"/>
        <v>0</v>
      </c>
      <c r="AH143" s="799">
        <f t="shared" ca="1" si="126"/>
        <v>0</v>
      </c>
      <c r="AI143" s="801">
        <f t="shared" ca="1" si="127"/>
        <v>1</v>
      </c>
      <c r="AJ143" s="794">
        <f t="shared" ca="1" si="128"/>
        <v>0</v>
      </c>
      <c r="AK143" s="769">
        <f t="shared" ca="1" si="129"/>
        <v>0</v>
      </c>
      <c r="AL143" s="769">
        <f t="shared" ca="1" si="130"/>
        <v>0</v>
      </c>
      <c r="AM143" s="804">
        <f t="shared" ca="1" si="80"/>
        <v>0</v>
      </c>
      <c r="AN143" s="795">
        <f t="shared" ca="1" si="81"/>
        <v>0</v>
      </c>
      <c r="AO143" s="251"/>
      <c r="AP143" s="770">
        <f t="shared" si="131"/>
        <v>0</v>
      </c>
      <c r="AQ143" s="771">
        <f t="shared" ca="1" si="132"/>
        <v>0</v>
      </c>
      <c r="AR143" s="771">
        <f t="shared" ca="1" si="133"/>
        <v>0</v>
      </c>
      <c r="AS143" s="772">
        <f t="shared" ca="1" si="134"/>
        <v>0</v>
      </c>
      <c r="AT143" s="231"/>
      <c r="AU143" s="770">
        <f>'Main Results - IRR DC Operator'!$F$16</f>
        <v>2</v>
      </c>
      <c r="AV143" s="773">
        <f>'Main Results - IRR DC Operator'!$F$15</f>
        <v>1</v>
      </c>
      <c r="AW143" s="771">
        <f t="shared" ca="1" si="135"/>
        <v>0</v>
      </c>
      <c r="AX143" s="772">
        <f t="shared" si="136"/>
        <v>0</v>
      </c>
      <c r="AY143" s="231"/>
      <c r="AZ143" s="770" cm="1">
        <f t="array" aca="1" ref="AZ143" ca="1">INDIRECT("'Definition of Typical Day'!"&amp; ADDRESS($D143+29*(AZ$16-1),$E143))+$AZ$17</f>
        <v>85.72</v>
      </c>
      <c r="BA143" s="771" cm="1">
        <f t="array" aca="1" ref="BA143" ca="1">INDIRECT("'Definition of Typical Day'!"&amp; ADDRESS($D143+29*(BA$16-1),$E143))+$BA$17</f>
        <v>85.72</v>
      </c>
      <c r="BB143" s="772" cm="1">
        <f t="array" aca="1" ref="BB143" ca="1">INDIRECT("'Definition of Typical Day'!"&amp;ADDRESS(BB$16,$E143))</f>
        <v>66</v>
      </c>
      <c r="BC143" s="776" cm="1">
        <f t="array" aca="1" ref="BC143" ca="1">INDIRECT("'Definition of Typical Day'!"&amp; ADDRESS($D143+29*(BC$16-1),$E143))</f>
        <v>84.72</v>
      </c>
      <c r="BD143" s="777" cm="1">
        <f t="array" aca="1" ref="BD143" ca="1">INDIRECT("'Definition of Typical Day'!"&amp; ADDRESS($D143+29*(BD$16-1),$E143))</f>
        <v>1</v>
      </c>
      <c r="BE143" s="776">
        <f t="shared" si="137"/>
        <v>0</v>
      </c>
      <c r="BF143" s="771">
        <f t="shared" ca="1" si="138"/>
        <v>0</v>
      </c>
      <c r="BG143" s="771">
        <f t="shared" ca="1" si="139"/>
        <v>0</v>
      </c>
      <c r="BH143" s="771">
        <f t="shared" ca="1" si="140"/>
        <v>0</v>
      </c>
      <c r="BI143" s="776">
        <f t="shared" ca="1" si="141"/>
        <v>0</v>
      </c>
      <c r="BJ143" s="776">
        <f t="shared" ca="1" si="142"/>
        <v>0</v>
      </c>
      <c r="BK143" s="776">
        <f t="shared" ca="1" si="143"/>
        <v>0</v>
      </c>
      <c r="BL143" s="776">
        <f t="shared" ca="1" si="144"/>
        <v>0</v>
      </c>
      <c r="BM143" s="135"/>
      <c r="BN143" s="776">
        <f t="shared" ca="1" si="145"/>
        <v>0</v>
      </c>
      <c r="BO143" s="778">
        <f t="shared" ca="1" si="82"/>
        <v>0</v>
      </c>
      <c r="BP143" s="770">
        <f t="shared" ca="1" si="83"/>
        <v>0</v>
      </c>
      <c r="BQ143" s="771">
        <f t="shared" ca="1" si="84"/>
        <v>0</v>
      </c>
      <c r="BR143" s="771">
        <f t="shared" ca="1" si="85"/>
        <v>0</v>
      </c>
      <c r="BS143" s="776">
        <f t="shared" ca="1" si="146"/>
        <v>0</v>
      </c>
      <c r="BT143" s="776">
        <f t="shared" ca="1" si="86"/>
        <v>0</v>
      </c>
      <c r="BU143" s="783">
        <f t="shared" ca="1" si="87"/>
        <v>0</v>
      </c>
      <c r="BV143" s="783">
        <f t="shared" ca="1" si="88"/>
        <v>0</v>
      </c>
      <c r="BW143" s="1019">
        <f t="shared" ca="1" si="147"/>
        <v>0</v>
      </c>
      <c r="BX143" s="771" cm="1">
        <f t="array" aca="1" ref="BX143" ca="1">INDIRECT("'Definition of Typical Day'!"&amp; ADDRESS($D143+29*(BX$16-1),$E143))</f>
        <v>55</v>
      </c>
      <c r="BY143" s="771">
        <f t="shared" ca="1" si="148"/>
        <v>0</v>
      </c>
      <c r="BZ143" s="781">
        <f t="shared" ca="1" si="89"/>
        <v>0</v>
      </c>
      <c r="CA143" s="781">
        <f t="shared" ca="1" si="90"/>
        <v>0</v>
      </c>
      <c r="CB143" s="776">
        <f t="shared" ca="1" si="91"/>
        <v>0</v>
      </c>
      <c r="CC143" s="782">
        <f t="shared" si="92"/>
        <v>6</v>
      </c>
      <c r="CD143" s="782">
        <f t="shared" si="93"/>
        <v>3</v>
      </c>
      <c r="CE143" s="784" t="str" cm="1">
        <f t="array" aca="1" ref="CE143" ca="1">INDIRECT("'Definition of Typical Day'!"&amp;ADDRESS(CE$16,$E143))</f>
        <v>Maintenance of HP</v>
      </c>
      <c r="CF143" s="232"/>
      <c r="CG143" s="232"/>
      <c r="CH143" s="776">
        <f t="shared" ca="1" si="94"/>
        <v>0</v>
      </c>
      <c r="CI143" s="806">
        <f t="shared" ca="1" si="95"/>
        <v>0</v>
      </c>
      <c r="CJ143" s="770">
        <f t="shared" ca="1" si="96"/>
        <v>0</v>
      </c>
      <c r="CK143" s="771">
        <f t="shared" ca="1" si="97"/>
        <v>0</v>
      </c>
      <c r="CL143" s="771">
        <f t="shared" ca="1" si="98"/>
        <v>0</v>
      </c>
      <c r="CM143" s="772">
        <f t="shared" ca="1" si="99"/>
        <v>0</v>
      </c>
      <c r="CN143" s="135"/>
      <c r="CO143" s="770">
        <f t="shared" ca="1" si="149"/>
        <v>1.05</v>
      </c>
      <c r="CP143" s="771">
        <f t="shared" ca="1" si="100"/>
        <v>0.02</v>
      </c>
      <c r="CQ143" s="771">
        <f t="shared" ca="1" si="101"/>
        <v>-2.5000000000000001E-2</v>
      </c>
      <c r="CR143" s="771">
        <f t="shared" ca="1" si="102"/>
        <v>0.95</v>
      </c>
      <c r="CS143" s="771">
        <f t="shared" ca="1" si="103"/>
        <v>0.03</v>
      </c>
      <c r="CT143" s="772">
        <f t="shared" ca="1" si="104"/>
        <v>0.02</v>
      </c>
      <c r="CU143" s="135"/>
      <c r="CV143" s="135"/>
      <c r="CW143" s="135"/>
      <c r="CX143" s="135"/>
      <c r="CY143" s="135"/>
      <c r="CZ143" s="135"/>
      <c r="DA143" s="135"/>
      <c r="DB143" s="135"/>
      <c r="DC143" s="135"/>
      <c r="DD143" s="135"/>
      <c r="DE143" s="135"/>
      <c r="DF143" s="135"/>
      <c r="DG143" s="135"/>
      <c r="DH143" s="135"/>
      <c r="DI143" s="135"/>
      <c r="DJ143" s="135"/>
      <c r="DK143" s="135"/>
      <c r="DL143" s="135"/>
      <c r="DX143" s="135"/>
      <c r="DY143" s="135"/>
      <c r="DZ143" s="135"/>
      <c r="EA143" s="135"/>
      <c r="EB143" s="135"/>
      <c r="EC143" s="135"/>
      <c r="ED143" s="135"/>
      <c r="EE143" s="135"/>
      <c r="EF143" s="135"/>
      <c r="EG143" s="135"/>
      <c r="EH143" s="135"/>
      <c r="EI143" s="135"/>
      <c r="EJ143" s="135"/>
      <c r="EK143" s="135"/>
      <c r="EL143" s="135"/>
      <c r="EM143" s="135"/>
      <c r="EN143" s="135"/>
      <c r="EO143" s="135"/>
      <c r="EP143" s="135"/>
      <c r="EQ143" s="135"/>
      <c r="ER143" s="135"/>
      <c r="ES143" s="135"/>
      <c r="ET143" s="135"/>
      <c r="EU143" s="135"/>
      <c r="EV143" s="135"/>
      <c r="EW143" s="135"/>
      <c r="EX143" s="135"/>
      <c r="EY143" s="135"/>
      <c r="EZ143" s="135"/>
      <c r="FA143" s="135"/>
      <c r="FB143" s="135"/>
      <c r="FC143" s="135"/>
      <c r="FD143" s="135"/>
      <c r="FE143" s="135"/>
      <c r="FF143" s="135"/>
      <c r="FG143" s="135"/>
    </row>
    <row r="144" spans="1:163" s="57" customFormat="1" ht="11.25" outlineLevel="1">
      <c r="A144" s="765">
        <f t="shared" si="150"/>
        <v>6</v>
      </c>
      <c r="B144" s="715" t="str" cm="1">
        <f t="array" aca="1" ref="B144" ca="1">INDIRECT("'Definition of Typical Day'!"&amp;ADDRESS(B$16,$E144))</f>
        <v>Maintenance of HP</v>
      </c>
      <c r="C144" s="766">
        <f t="shared" si="151"/>
        <v>4</v>
      </c>
      <c r="D144" s="715">
        <f t="shared" si="151"/>
        <v>38</v>
      </c>
      <c r="E144" s="715">
        <f t="shared" si="79"/>
        <v>10</v>
      </c>
      <c r="F144" s="767" cm="1">
        <f t="array" aca="1" ref="F144" ca="1">INDIRECT("'Definition of Typical Day'!D"&amp;D144)</f>
        <v>4</v>
      </c>
      <c r="G144" s="767" cm="1">
        <f t="array" aca="1" ref="G144" ca="1">INDIRECT("'Definition of Typical Day'!"&amp;ADDRESS(13,E144))</f>
        <v>6</v>
      </c>
      <c r="H144" s="768" cm="1">
        <f t="array" aca="1" ref="H144" ca="1">INDIRECT("'Definition of Typical Day'!"&amp; ADDRESS($D144+28*(H$16-1),$E144))</f>
        <v>0</v>
      </c>
      <c r="I144" s="715" cm="1">
        <f t="array" aca="1" ref="I144" ca="1">INDIRECT("'Definition of Typical Day'!"&amp; ADDRESS($D144+29*(I$16-1),$E144))</f>
        <v>40</v>
      </c>
      <c r="J144" s="715">
        <f t="shared" ca="1" si="105"/>
        <v>37</v>
      </c>
      <c r="K144" s="785">
        <f t="shared" si="106"/>
        <v>28</v>
      </c>
      <c r="L144" s="786" cm="1">
        <f t="array" aca="1" ref="L144" ca="1">INDIRECT("'Definition of Typical Day'!"&amp; ADDRESS($D144+29*(L$16-1),$E144))</f>
        <v>0</v>
      </c>
      <c r="M144" s="768" cm="1">
        <f t="array" aca="1" ref="M144" ca="1">INDIRECT("'Definition of Typical Day'!"&amp; ADDRESS($D144+29*(M$16-1),$E144))</f>
        <v>74.166666666666657</v>
      </c>
      <c r="N144" s="715">
        <f t="shared" si="107"/>
        <v>3</v>
      </c>
      <c r="O144" s="715">
        <f t="shared" ca="1" si="108"/>
        <v>77.166666666666657</v>
      </c>
      <c r="P144" s="715" cm="1">
        <f t="array" aca="1" ref="P144" ca="1">INDIRECT("'Definition of Typical Day'!"&amp; ADDRESS($D144+29*(P$16-1),$E144))</f>
        <v>45</v>
      </c>
      <c r="Q144" s="787">
        <f t="shared" ca="1" si="109"/>
        <v>48</v>
      </c>
      <c r="R144" s="792">
        <f t="shared" ca="1" si="110"/>
        <v>77.166666666666657</v>
      </c>
      <c r="S144" s="769">
        <f t="shared" si="111"/>
        <v>3</v>
      </c>
      <c r="T144" s="769">
        <f t="shared" ca="1" si="112"/>
        <v>0.24</v>
      </c>
      <c r="U144" s="769">
        <f t="shared" ca="1" si="113"/>
        <v>0.33366666666666689</v>
      </c>
      <c r="V144" s="769">
        <f t="shared" ca="1" si="114"/>
        <v>0</v>
      </c>
      <c r="W144" s="769">
        <f t="shared" ca="1" si="115"/>
        <v>3.573666666666667</v>
      </c>
      <c r="X144" s="794">
        <f t="shared" si="116"/>
        <v>3</v>
      </c>
      <c r="Y144" s="769">
        <f t="shared" ca="1" si="117"/>
        <v>2.9580398915498076</v>
      </c>
      <c r="Z144" s="769">
        <f t="shared" ca="1" si="118"/>
        <v>0</v>
      </c>
      <c r="AA144" s="795">
        <f t="shared" ca="1" si="119"/>
        <v>0</v>
      </c>
      <c r="AB144" s="769">
        <f t="shared" ca="1" si="120"/>
        <v>0</v>
      </c>
      <c r="AC144" s="769">
        <f t="shared" ca="1" si="121"/>
        <v>0</v>
      </c>
      <c r="AD144" s="769">
        <f t="shared" ca="1" si="122"/>
        <v>0</v>
      </c>
      <c r="AE144" s="794">
        <f t="shared" ca="1" si="123"/>
        <v>0</v>
      </c>
      <c r="AF144" s="769">
        <f t="shared" ca="1" si="124"/>
        <v>0</v>
      </c>
      <c r="AG144" s="769">
        <f t="shared" ca="1" si="125"/>
        <v>0</v>
      </c>
      <c r="AH144" s="799">
        <f t="shared" ca="1" si="126"/>
        <v>0</v>
      </c>
      <c r="AI144" s="801">
        <f t="shared" ca="1" si="127"/>
        <v>1</v>
      </c>
      <c r="AJ144" s="794">
        <f t="shared" ca="1" si="128"/>
        <v>0</v>
      </c>
      <c r="AK144" s="769">
        <f t="shared" ca="1" si="129"/>
        <v>0</v>
      </c>
      <c r="AL144" s="769">
        <f t="shared" ca="1" si="130"/>
        <v>0</v>
      </c>
      <c r="AM144" s="804">
        <f t="shared" ca="1" si="80"/>
        <v>0</v>
      </c>
      <c r="AN144" s="795">
        <f t="shared" ca="1" si="81"/>
        <v>0</v>
      </c>
      <c r="AO144" s="251"/>
      <c r="AP144" s="770">
        <f t="shared" si="131"/>
        <v>0</v>
      </c>
      <c r="AQ144" s="771">
        <f t="shared" ca="1" si="132"/>
        <v>0</v>
      </c>
      <c r="AR144" s="771">
        <f t="shared" ca="1" si="133"/>
        <v>0</v>
      </c>
      <c r="AS144" s="772">
        <f t="shared" ca="1" si="134"/>
        <v>0</v>
      </c>
      <c r="AT144" s="231"/>
      <c r="AU144" s="770">
        <f>'Main Results - IRR DC Operator'!$F$16</f>
        <v>2</v>
      </c>
      <c r="AV144" s="773">
        <f>'Main Results - IRR DC Operator'!$F$15</f>
        <v>1</v>
      </c>
      <c r="AW144" s="771">
        <f t="shared" ca="1" si="135"/>
        <v>0</v>
      </c>
      <c r="AX144" s="772">
        <f t="shared" si="136"/>
        <v>0</v>
      </c>
      <c r="AY144" s="231"/>
      <c r="AZ144" s="770" cm="1">
        <f t="array" aca="1" ref="AZ144" ca="1">INDIRECT("'Definition of Typical Day'!"&amp; ADDRESS($D144+29*(AZ$16-1),$E144))+$AZ$17</f>
        <v>82.844999999999999</v>
      </c>
      <c r="BA144" s="771" cm="1">
        <f t="array" aca="1" ref="BA144" ca="1">INDIRECT("'Definition of Typical Day'!"&amp; ADDRESS($D144+29*(BA$16-1),$E144))+$BA$17</f>
        <v>82.844999999999999</v>
      </c>
      <c r="BB144" s="772" cm="1">
        <f t="array" aca="1" ref="BB144" ca="1">INDIRECT("'Definition of Typical Day'!"&amp;ADDRESS(BB$16,$E144))</f>
        <v>66</v>
      </c>
      <c r="BC144" s="776" cm="1">
        <f t="array" aca="1" ref="BC144" ca="1">INDIRECT("'Definition of Typical Day'!"&amp; ADDRESS($D144+29*(BC$16-1),$E144))</f>
        <v>81.844999999999999</v>
      </c>
      <c r="BD144" s="777" cm="1">
        <f t="array" aca="1" ref="BD144" ca="1">INDIRECT("'Definition of Typical Day'!"&amp; ADDRESS($D144+29*(BD$16-1),$E144))</f>
        <v>1</v>
      </c>
      <c r="BE144" s="776">
        <f t="shared" si="137"/>
        <v>0</v>
      </c>
      <c r="BF144" s="771">
        <f t="shared" ca="1" si="138"/>
        <v>0</v>
      </c>
      <c r="BG144" s="771">
        <f t="shared" ca="1" si="139"/>
        <v>0</v>
      </c>
      <c r="BH144" s="771">
        <f t="shared" ca="1" si="140"/>
        <v>0</v>
      </c>
      <c r="BI144" s="776">
        <f t="shared" ca="1" si="141"/>
        <v>0</v>
      </c>
      <c r="BJ144" s="776">
        <f t="shared" ca="1" si="142"/>
        <v>0</v>
      </c>
      <c r="BK144" s="776">
        <f t="shared" ca="1" si="143"/>
        <v>0</v>
      </c>
      <c r="BL144" s="776">
        <f t="shared" ca="1" si="144"/>
        <v>0</v>
      </c>
      <c r="BM144" s="135"/>
      <c r="BN144" s="776">
        <f t="shared" ca="1" si="145"/>
        <v>0</v>
      </c>
      <c r="BO144" s="778">
        <f t="shared" ca="1" si="82"/>
        <v>0</v>
      </c>
      <c r="BP144" s="770">
        <f t="shared" ca="1" si="83"/>
        <v>0</v>
      </c>
      <c r="BQ144" s="771">
        <f t="shared" ca="1" si="84"/>
        <v>0</v>
      </c>
      <c r="BR144" s="771">
        <f t="shared" ca="1" si="85"/>
        <v>0</v>
      </c>
      <c r="BS144" s="776">
        <f t="shared" ca="1" si="146"/>
        <v>0</v>
      </c>
      <c r="BT144" s="776">
        <f t="shared" ca="1" si="86"/>
        <v>0</v>
      </c>
      <c r="BU144" s="783">
        <f t="shared" ca="1" si="87"/>
        <v>0</v>
      </c>
      <c r="BV144" s="783">
        <f t="shared" ca="1" si="88"/>
        <v>0</v>
      </c>
      <c r="BW144" s="1019">
        <f t="shared" ca="1" si="147"/>
        <v>0</v>
      </c>
      <c r="BX144" s="771" cm="1">
        <f t="array" aca="1" ref="BX144" ca="1">INDIRECT("'Definition of Typical Day'!"&amp; ADDRESS($D144+29*(BX$16-1),$E144))</f>
        <v>55</v>
      </c>
      <c r="BY144" s="771">
        <f t="shared" ca="1" si="148"/>
        <v>0</v>
      </c>
      <c r="BZ144" s="781">
        <f t="shared" ca="1" si="89"/>
        <v>0</v>
      </c>
      <c r="CA144" s="781">
        <f t="shared" ca="1" si="90"/>
        <v>0</v>
      </c>
      <c r="CB144" s="776">
        <f t="shared" ca="1" si="91"/>
        <v>0</v>
      </c>
      <c r="CC144" s="782">
        <f t="shared" si="92"/>
        <v>6</v>
      </c>
      <c r="CD144" s="782">
        <f t="shared" si="93"/>
        <v>4</v>
      </c>
      <c r="CE144" s="784" t="str" cm="1">
        <f t="array" aca="1" ref="CE144" ca="1">INDIRECT("'Definition of Typical Day'!"&amp;ADDRESS(CE$16,$E144))</f>
        <v>Maintenance of HP</v>
      </c>
      <c r="CF144" s="232"/>
      <c r="CG144" s="232"/>
      <c r="CH144" s="776">
        <f t="shared" ca="1" si="94"/>
        <v>0</v>
      </c>
      <c r="CI144" s="806">
        <f t="shared" ca="1" si="95"/>
        <v>0</v>
      </c>
      <c r="CJ144" s="770">
        <f t="shared" ca="1" si="96"/>
        <v>0</v>
      </c>
      <c r="CK144" s="771">
        <f t="shared" ca="1" si="97"/>
        <v>0</v>
      </c>
      <c r="CL144" s="771">
        <f t="shared" ca="1" si="98"/>
        <v>0</v>
      </c>
      <c r="CM144" s="772">
        <f t="shared" ca="1" si="99"/>
        <v>0</v>
      </c>
      <c r="CN144" s="135"/>
      <c r="CO144" s="770">
        <f t="shared" ca="1" si="149"/>
        <v>1.05</v>
      </c>
      <c r="CP144" s="771">
        <f t="shared" ca="1" si="100"/>
        <v>0.02</v>
      </c>
      <c r="CQ144" s="771">
        <f t="shared" ca="1" si="101"/>
        <v>-2.5000000000000001E-2</v>
      </c>
      <c r="CR144" s="771">
        <f t="shared" ca="1" si="102"/>
        <v>0.95</v>
      </c>
      <c r="CS144" s="771">
        <f t="shared" ca="1" si="103"/>
        <v>0.03</v>
      </c>
      <c r="CT144" s="772">
        <f t="shared" ca="1" si="104"/>
        <v>0.02</v>
      </c>
      <c r="CU144" s="135"/>
      <c r="CV144" s="135"/>
      <c r="CW144" s="135"/>
      <c r="CX144" s="135"/>
      <c r="CY144" s="135"/>
      <c r="CZ144" s="135"/>
      <c r="DA144" s="135"/>
      <c r="DB144" s="135"/>
      <c r="DC144" s="135"/>
      <c r="DD144" s="135"/>
      <c r="DE144" s="135"/>
      <c r="DF144" s="135"/>
      <c r="DG144" s="135"/>
      <c r="DH144" s="135"/>
      <c r="DI144" s="135"/>
      <c r="DJ144" s="135"/>
      <c r="DK144" s="135"/>
      <c r="DL144" s="135"/>
      <c r="DX144" s="135"/>
      <c r="DY144" s="135"/>
      <c r="DZ144" s="135"/>
      <c r="EA144" s="135"/>
      <c r="EB144" s="135"/>
      <c r="EC144" s="135"/>
      <c r="ED144" s="135"/>
      <c r="EE144" s="135"/>
      <c r="EF144" s="135"/>
      <c r="EG144" s="135"/>
      <c r="EH144" s="135"/>
      <c r="EI144" s="135"/>
      <c r="EJ144" s="135"/>
      <c r="EK144" s="135"/>
      <c r="EL144" s="135"/>
      <c r="EM144" s="135"/>
      <c r="EN144" s="135"/>
      <c r="EO144" s="135"/>
      <c r="EP144" s="135"/>
      <c r="EQ144" s="135"/>
      <c r="ER144" s="135"/>
      <c r="ES144" s="135"/>
      <c r="ET144" s="135"/>
      <c r="EU144" s="135"/>
      <c r="EV144" s="135"/>
      <c r="EW144" s="135"/>
      <c r="EX144" s="135"/>
      <c r="EY144" s="135"/>
      <c r="EZ144" s="135"/>
      <c r="FA144" s="135"/>
      <c r="FB144" s="135"/>
      <c r="FC144" s="135"/>
      <c r="FD144" s="135"/>
      <c r="FE144" s="135"/>
      <c r="FF144" s="135"/>
      <c r="FG144" s="135"/>
    </row>
    <row r="145" spans="1:163" s="57" customFormat="1" ht="11.25" outlineLevel="1">
      <c r="A145" s="765">
        <f t="shared" si="150"/>
        <v>6</v>
      </c>
      <c r="B145" s="715" t="str" cm="1">
        <f t="array" aca="1" ref="B145" ca="1">INDIRECT("'Definition of Typical Day'!"&amp;ADDRESS(B$16,$E145))</f>
        <v>Maintenance of HP</v>
      </c>
      <c r="C145" s="766">
        <f t="shared" si="151"/>
        <v>5</v>
      </c>
      <c r="D145" s="715">
        <f t="shared" si="151"/>
        <v>39</v>
      </c>
      <c r="E145" s="715">
        <f t="shared" si="79"/>
        <v>10</v>
      </c>
      <c r="F145" s="767" cm="1">
        <f t="array" aca="1" ref="F145" ca="1">INDIRECT("'Definition of Typical Day'!D"&amp;D145)</f>
        <v>5</v>
      </c>
      <c r="G145" s="767" cm="1">
        <f t="array" aca="1" ref="G145" ca="1">INDIRECT("'Definition of Typical Day'!"&amp;ADDRESS(13,E145))</f>
        <v>6</v>
      </c>
      <c r="H145" s="768" cm="1">
        <f t="array" aca="1" ref="H145" ca="1">INDIRECT("'Definition of Typical Day'!"&amp; ADDRESS($D145+28*(H$16-1),$E145))</f>
        <v>0</v>
      </c>
      <c r="I145" s="715" cm="1">
        <f t="array" aca="1" ref="I145" ca="1">INDIRECT("'Definition of Typical Day'!"&amp; ADDRESS($D145+29*(I$16-1),$E145))</f>
        <v>40</v>
      </c>
      <c r="J145" s="715">
        <f t="shared" ca="1" si="105"/>
        <v>37</v>
      </c>
      <c r="K145" s="785">
        <f t="shared" si="106"/>
        <v>28</v>
      </c>
      <c r="L145" s="786" cm="1">
        <f t="array" aca="1" ref="L145" ca="1">INDIRECT("'Definition of Typical Day'!"&amp; ADDRESS($D145+29*(L$16-1),$E145))</f>
        <v>0</v>
      </c>
      <c r="M145" s="768" cm="1">
        <f t="array" aca="1" ref="M145" ca="1">INDIRECT("'Definition of Typical Day'!"&amp; ADDRESS($D145+29*(M$16-1),$E145))</f>
        <v>75</v>
      </c>
      <c r="N145" s="715">
        <f t="shared" si="107"/>
        <v>3</v>
      </c>
      <c r="O145" s="715">
        <f t="shared" ca="1" si="108"/>
        <v>78</v>
      </c>
      <c r="P145" s="715" cm="1">
        <f t="array" aca="1" ref="P145" ca="1">INDIRECT("'Definition of Typical Day'!"&amp; ADDRESS($D145+29*(P$16-1),$E145))</f>
        <v>45</v>
      </c>
      <c r="Q145" s="787">
        <f t="shared" ca="1" si="109"/>
        <v>48</v>
      </c>
      <c r="R145" s="792">
        <f t="shared" ca="1" si="110"/>
        <v>78</v>
      </c>
      <c r="S145" s="769">
        <f t="shared" si="111"/>
        <v>3</v>
      </c>
      <c r="T145" s="769">
        <f t="shared" ca="1" si="112"/>
        <v>0.24</v>
      </c>
      <c r="U145" s="769">
        <f t="shared" ca="1" si="113"/>
        <v>0.312</v>
      </c>
      <c r="V145" s="769">
        <f t="shared" ca="1" si="114"/>
        <v>0</v>
      </c>
      <c r="W145" s="769">
        <f t="shared" ca="1" si="115"/>
        <v>3.552</v>
      </c>
      <c r="X145" s="794">
        <f t="shared" si="116"/>
        <v>3</v>
      </c>
      <c r="Y145" s="769">
        <f t="shared" ca="1" si="117"/>
        <v>3</v>
      </c>
      <c r="Z145" s="769">
        <f t="shared" ca="1" si="118"/>
        <v>0</v>
      </c>
      <c r="AA145" s="795">
        <f t="shared" ca="1" si="119"/>
        <v>0</v>
      </c>
      <c r="AB145" s="769">
        <f t="shared" ca="1" si="120"/>
        <v>0</v>
      </c>
      <c r="AC145" s="769">
        <f t="shared" ca="1" si="121"/>
        <v>0</v>
      </c>
      <c r="AD145" s="769">
        <f t="shared" ca="1" si="122"/>
        <v>0</v>
      </c>
      <c r="AE145" s="794">
        <f t="shared" ca="1" si="123"/>
        <v>0</v>
      </c>
      <c r="AF145" s="769">
        <f t="shared" ca="1" si="124"/>
        <v>0</v>
      </c>
      <c r="AG145" s="769">
        <f t="shared" ca="1" si="125"/>
        <v>0</v>
      </c>
      <c r="AH145" s="799">
        <f t="shared" ca="1" si="126"/>
        <v>0</v>
      </c>
      <c r="AI145" s="801">
        <f t="shared" ca="1" si="127"/>
        <v>1</v>
      </c>
      <c r="AJ145" s="794">
        <f t="shared" ca="1" si="128"/>
        <v>0</v>
      </c>
      <c r="AK145" s="769">
        <f t="shared" ca="1" si="129"/>
        <v>0</v>
      </c>
      <c r="AL145" s="769">
        <f t="shared" ca="1" si="130"/>
        <v>0</v>
      </c>
      <c r="AM145" s="804">
        <f t="shared" ca="1" si="80"/>
        <v>0</v>
      </c>
      <c r="AN145" s="795">
        <f t="shared" ca="1" si="81"/>
        <v>0</v>
      </c>
      <c r="AO145" s="251"/>
      <c r="AP145" s="770">
        <f t="shared" si="131"/>
        <v>0</v>
      </c>
      <c r="AQ145" s="771">
        <f t="shared" ca="1" si="132"/>
        <v>0</v>
      </c>
      <c r="AR145" s="771">
        <f t="shared" ca="1" si="133"/>
        <v>0</v>
      </c>
      <c r="AS145" s="772">
        <f t="shared" ca="1" si="134"/>
        <v>0</v>
      </c>
      <c r="AT145" s="231"/>
      <c r="AU145" s="770">
        <f>'Main Results - IRR DC Operator'!$F$16</f>
        <v>2</v>
      </c>
      <c r="AV145" s="773">
        <f>'Main Results - IRR DC Operator'!$F$15</f>
        <v>1</v>
      </c>
      <c r="AW145" s="771">
        <f t="shared" ca="1" si="135"/>
        <v>0</v>
      </c>
      <c r="AX145" s="772">
        <f t="shared" si="136"/>
        <v>0</v>
      </c>
      <c r="AY145" s="231"/>
      <c r="AZ145" s="770" cm="1">
        <f t="array" aca="1" ref="AZ145" ca="1">INDIRECT("'Definition of Typical Day'!"&amp; ADDRESS($D145+29*(AZ$16-1),$E145))+$AZ$17</f>
        <v>84.63</v>
      </c>
      <c r="BA145" s="771" cm="1">
        <f t="array" aca="1" ref="BA145" ca="1">INDIRECT("'Definition of Typical Day'!"&amp; ADDRESS($D145+29*(BA$16-1),$E145))+$BA$17</f>
        <v>84.63</v>
      </c>
      <c r="BB145" s="772" cm="1">
        <f t="array" aca="1" ref="BB145" ca="1">INDIRECT("'Definition of Typical Day'!"&amp;ADDRESS(BB$16,$E145))</f>
        <v>66</v>
      </c>
      <c r="BC145" s="776" cm="1">
        <f t="array" aca="1" ref="BC145" ca="1">INDIRECT("'Definition of Typical Day'!"&amp; ADDRESS($D145+29*(BC$16-1),$E145))</f>
        <v>83.63</v>
      </c>
      <c r="BD145" s="777" cm="1">
        <f t="array" aca="1" ref="BD145" ca="1">INDIRECT("'Definition of Typical Day'!"&amp; ADDRESS($D145+29*(BD$16-1),$E145))</f>
        <v>1</v>
      </c>
      <c r="BE145" s="776">
        <f t="shared" si="137"/>
        <v>0</v>
      </c>
      <c r="BF145" s="771">
        <f t="shared" ca="1" si="138"/>
        <v>0</v>
      </c>
      <c r="BG145" s="771">
        <f t="shared" ca="1" si="139"/>
        <v>0</v>
      </c>
      <c r="BH145" s="771">
        <f t="shared" ca="1" si="140"/>
        <v>0</v>
      </c>
      <c r="BI145" s="776">
        <f t="shared" ca="1" si="141"/>
        <v>0</v>
      </c>
      <c r="BJ145" s="776">
        <f t="shared" ca="1" si="142"/>
        <v>0</v>
      </c>
      <c r="BK145" s="776">
        <f t="shared" ca="1" si="143"/>
        <v>0</v>
      </c>
      <c r="BL145" s="776">
        <f t="shared" ca="1" si="144"/>
        <v>0</v>
      </c>
      <c r="BM145" s="135"/>
      <c r="BN145" s="776">
        <f t="shared" ca="1" si="145"/>
        <v>0</v>
      </c>
      <c r="BO145" s="778">
        <f t="shared" ca="1" si="82"/>
        <v>0</v>
      </c>
      <c r="BP145" s="770">
        <f t="shared" ca="1" si="83"/>
        <v>0</v>
      </c>
      <c r="BQ145" s="771">
        <f t="shared" ca="1" si="84"/>
        <v>0</v>
      </c>
      <c r="BR145" s="771">
        <f t="shared" ca="1" si="85"/>
        <v>0</v>
      </c>
      <c r="BS145" s="776">
        <f t="shared" ca="1" si="146"/>
        <v>0</v>
      </c>
      <c r="BT145" s="776">
        <f t="shared" ca="1" si="86"/>
        <v>0</v>
      </c>
      <c r="BU145" s="783">
        <f t="shared" ca="1" si="87"/>
        <v>0</v>
      </c>
      <c r="BV145" s="783">
        <f t="shared" ca="1" si="88"/>
        <v>0</v>
      </c>
      <c r="BW145" s="1019">
        <f t="shared" ca="1" si="147"/>
        <v>0</v>
      </c>
      <c r="BX145" s="771" cm="1">
        <f t="array" aca="1" ref="BX145" ca="1">INDIRECT("'Definition of Typical Day'!"&amp; ADDRESS($D145+29*(BX$16-1),$E145))</f>
        <v>55</v>
      </c>
      <c r="BY145" s="771">
        <f t="shared" ca="1" si="148"/>
        <v>0</v>
      </c>
      <c r="BZ145" s="781">
        <f t="shared" ca="1" si="89"/>
        <v>0</v>
      </c>
      <c r="CA145" s="781">
        <f t="shared" ca="1" si="90"/>
        <v>0</v>
      </c>
      <c r="CB145" s="776">
        <f t="shared" ca="1" si="91"/>
        <v>0</v>
      </c>
      <c r="CC145" s="782">
        <f t="shared" si="92"/>
        <v>6</v>
      </c>
      <c r="CD145" s="782">
        <f t="shared" si="93"/>
        <v>5</v>
      </c>
      <c r="CE145" s="784" t="str" cm="1">
        <f t="array" aca="1" ref="CE145" ca="1">INDIRECT("'Definition of Typical Day'!"&amp;ADDRESS(CE$16,$E145))</f>
        <v>Maintenance of HP</v>
      </c>
      <c r="CF145" s="232"/>
      <c r="CG145" s="232"/>
      <c r="CH145" s="776">
        <f t="shared" ca="1" si="94"/>
        <v>0</v>
      </c>
      <c r="CI145" s="806">
        <f t="shared" ca="1" si="95"/>
        <v>0</v>
      </c>
      <c r="CJ145" s="770">
        <f t="shared" ca="1" si="96"/>
        <v>0</v>
      </c>
      <c r="CK145" s="771">
        <f t="shared" ca="1" si="97"/>
        <v>0</v>
      </c>
      <c r="CL145" s="771">
        <f t="shared" ca="1" si="98"/>
        <v>0</v>
      </c>
      <c r="CM145" s="772">
        <f t="shared" ca="1" si="99"/>
        <v>0</v>
      </c>
      <c r="CN145" s="135"/>
      <c r="CO145" s="770">
        <f t="shared" ca="1" si="149"/>
        <v>1.05</v>
      </c>
      <c r="CP145" s="771">
        <f t="shared" ca="1" si="100"/>
        <v>0.02</v>
      </c>
      <c r="CQ145" s="771">
        <f t="shared" ca="1" si="101"/>
        <v>-2.5000000000000001E-2</v>
      </c>
      <c r="CR145" s="771">
        <f t="shared" ca="1" si="102"/>
        <v>0.95</v>
      </c>
      <c r="CS145" s="771">
        <f t="shared" ca="1" si="103"/>
        <v>0.03</v>
      </c>
      <c r="CT145" s="772">
        <f t="shared" ca="1" si="104"/>
        <v>0.02</v>
      </c>
      <c r="CU145" s="135"/>
      <c r="CV145" s="135"/>
      <c r="CW145" s="135"/>
      <c r="CX145" s="135"/>
      <c r="CY145" s="135"/>
      <c r="CZ145" s="135"/>
      <c r="DA145" s="135"/>
      <c r="DB145" s="135"/>
      <c r="DC145" s="135"/>
      <c r="DD145" s="135"/>
      <c r="DE145" s="135"/>
      <c r="DF145" s="135"/>
      <c r="DG145" s="135"/>
      <c r="DH145" s="135"/>
      <c r="DI145" s="135"/>
      <c r="DJ145" s="135"/>
      <c r="DK145" s="135"/>
      <c r="DL145" s="135"/>
      <c r="DX145" s="135"/>
      <c r="DY145" s="135"/>
      <c r="DZ145" s="135"/>
      <c r="EA145" s="135"/>
      <c r="EB145" s="135"/>
      <c r="EC145" s="135"/>
      <c r="ED145" s="135"/>
      <c r="EE145" s="135"/>
      <c r="EF145" s="135"/>
      <c r="EG145" s="135"/>
      <c r="EH145" s="135"/>
      <c r="EI145" s="135"/>
      <c r="EJ145" s="135"/>
      <c r="EK145" s="135"/>
      <c r="EL145" s="135"/>
      <c r="EM145" s="135"/>
      <c r="EN145" s="135"/>
      <c r="EO145" s="135"/>
      <c r="EP145" s="135"/>
      <c r="EQ145" s="135"/>
      <c r="ER145" s="135"/>
      <c r="ES145" s="135"/>
      <c r="ET145" s="135"/>
      <c r="EU145" s="135"/>
      <c r="EV145" s="135"/>
      <c r="EW145" s="135"/>
      <c r="EX145" s="135"/>
      <c r="EY145" s="135"/>
      <c r="EZ145" s="135"/>
      <c r="FA145" s="135"/>
      <c r="FB145" s="135"/>
      <c r="FC145" s="135"/>
      <c r="FD145" s="135"/>
      <c r="FE145" s="135"/>
      <c r="FF145" s="135"/>
      <c r="FG145" s="135"/>
    </row>
    <row r="146" spans="1:163" s="57" customFormat="1" ht="11.25" outlineLevel="1">
      <c r="A146" s="765">
        <f t="shared" si="150"/>
        <v>6</v>
      </c>
      <c r="B146" s="715" t="str" cm="1">
        <f t="array" aca="1" ref="B146" ca="1">INDIRECT("'Definition of Typical Day'!"&amp;ADDRESS(B$16,$E146))</f>
        <v>Maintenance of HP</v>
      </c>
      <c r="C146" s="766">
        <f t="shared" si="151"/>
        <v>6</v>
      </c>
      <c r="D146" s="715">
        <f t="shared" si="151"/>
        <v>40</v>
      </c>
      <c r="E146" s="715">
        <f t="shared" si="79"/>
        <v>10</v>
      </c>
      <c r="F146" s="767" cm="1">
        <f t="array" aca="1" ref="F146" ca="1">INDIRECT("'Definition of Typical Day'!D"&amp;D146)</f>
        <v>6</v>
      </c>
      <c r="G146" s="767" cm="1">
        <f t="array" aca="1" ref="G146" ca="1">INDIRECT("'Definition of Typical Day'!"&amp;ADDRESS(13,E146))</f>
        <v>6</v>
      </c>
      <c r="H146" s="768" cm="1">
        <f t="array" aca="1" ref="H146" ca="1">INDIRECT("'Definition of Typical Day'!"&amp; ADDRESS($D146+28*(H$16-1),$E146))</f>
        <v>0</v>
      </c>
      <c r="I146" s="715" cm="1">
        <f t="array" aca="1" ref="I146" ca="1">INDIRECT("'Definition of Typical Day'!"&amp; ADDRESS($D146+29*(I$16-1),$E146))</f>
        <v>40</v>
      </c>
      <c r="J146" s="715">
        <f t="shared" ca="1" si="105"/>
        <v>37</v>
      </c>
      <c r="K146" s="785">
        <f t="shared" si="106"/>
        <v>28</v>
      </c>
      <c r="L146" s="786" cm="1">
        <f t="array" aca="1" ref="L146" ca="1">INDIRECT("'Definition of Typical Day'!"&amp; ADDRESS($D146+29*(L$16-1),$E146))</f>
        <v>0</v>
      </c>
      <c r="M146" s="768" cm="1">
        <f t="array" aca="1" ref="M146" ca="1">INDIRECT("'Definition of Typical Day'!"&amp; ADDRESS($D146+29*(M$16-1),$E146))</f>
        <v>74.166666666666657</v>
      </c>
      <c r="N146" s="715">
        <f t="shared" si="107"/>
        <v>3</v>
      </c>
      <c r="O146" s="715">
        <f t="shared" ca="1" si="108"/>
        <v>77.166666666666657</v>
      </c>
      <c r="P146" s="715" cm="1">
        <f t="array" aca="1" ref="P146" ca="1">INDIRECT("'Definition of Typical Day'!"&amp; ADDRESS($D146+29*(P$16-1),$E146))</f>
        <v>45</v>
      </c>
      <c r="Q146" s="787">
        <f t="shared" ca="1" si="109"/>
        <v>48</v>
      </c>
      <c r="R146" s="792">
        <f t="shared" ca="1" si="110"/>
        <v>77.166666666666657</v>
      </c>
      <c r="S146" s="769">
        <f t="shared" si="111"/>
        <v>3</v>
      </c>
      <c r="T146" s="769">
        <f t="shared" ca="1" si="112"/>
        <v>0.24</v>
      </c>
      <c r="U146" s="769">
        <f t="shared" ca="1" si="113"/>
        <v>0.33366666666666689</v>
      </c>
      <c r="V146" s="769">
        <f t="shared" ca="1" si="114"/>
        <v>0</v>
      </c>
      <c r="W146" s="769">
        <f t="shared" ca="1" si="115"/>
        <v>3.573666666666667</v>
      </c>
      <c r="X146" s="794">
        <f t="shared" si="116"/>
        <v>3</v>
      </c>
      <c r="Y146" s="769">
        <f t="shared" ca="1" si="117"/>
        <v>2.9580398915498076</v>
      </c>
      <c r="Z146" s="769">
        <f t="shared" ca="1" si="118"/>
        <v>0</v>
      </c>
      <c r="AA146" s="795">
        <f t="shared" ca="1" si="119"/>
        <v>0</v>
      </c>
      <c r="AB146" s="769">
        <f t="shared" ca="1" si="120"/>
        <v>0</v>
      </c>
      <c r="AC146" s="769">
        <f t="shared" ca="1" si="121"/>
        <v>0</v>
      </c>
      <c r="AD146" s="769">
        <f t="shared" ca="1" si="122"/>
        <v>0</v>
      </c>
      <c r="AE146" s="794">
        <f t="shared" ca="1" si="123"/>
        <v>0</v>
      </c>
      <c r="AF146" s="769">
        <f t="shared" ca="1" si="124"/>
        <v>0</v>
      </c>
      <c r="AG146" s="769">
        <f t="shared" ca="1" si="125"/>
        <v>0</v>
      </c>
      <c r="AH146" s="799">
        <f t="shared" ca="1" si="126"/>
        <v>0</v>
      </c>
      <c r="AI146" s="801">
        <f t="shared" ca="1" si="127"/>
        <v>1</v>
      </c>
      <c r="AJ146" s="794">
        <f t="shared" ca="1" si="128"/>
        <v>0</v>
      </c>
      <c r="AK146" s="769">
        <f t="shared" ca="1" si="129"/>
        <v>0</v>
      </c>
      <c r="AL146" s="769">
        <f t="shared" ca="1" si="130"/>
        <v>0</v>
      </c>
      <c r="AM146" s="804">
        <f t="shared" ca="1" si="80"/>
        <v>0</v>
      </c>
      <c r="AN146" s="795">
        <f t="shared" ca="1" si="81"/>
        <v>0</v>
      </c>
      <c r="AO146" s="251"/>
      <c r="AP146" s="770">
        <f t="shared" si="131"/>
        <v>0</v>
      </c>
      <c r="AQ146" s="771">
        <f t="shared" ca="1" si="132"/>
        <v>0</v>
      </c>
      <c r="AR146" s="771">
        <f t="shared" ca="1" si="133"/>
        <v>0</v>
      </c>
      <c r="AS146" s="772">
        <f t="shared" ca="1" si="134"/>
        <v>0</v>
      </c>
      <c r="AT146" s="231"/>
      <c r="AU146" s="770">
        <f>'Main Results - IRR DC Operator'!$F$16</f>
        <v>2</v>
      </c>
      <c r="AV146" s="773">
        <f>'Main Results - IRR DC Operator'!$F$15</f>
        <v>1</v>
      </c>
      <c r="AW146" s="771">
        <f t="shared" ca="1" si="135"/>
        <v>0</v>
      </c>
      <c r="AX146" s="772">
        <f t="shared" si="136"/>
        <v>0</v>
      </c>
      <c r="AY146" s="231"/>
      <c r="AZ146" s="770" cm="1">
        <f t="array" aca="1" ref="AZ146" ca="1">INDIRECT("'Definition of Typical Day'!"&amp; ADDRESS($D146+29*(AZ$16-1),$E146))+$AZ$17</f>
        <v>88.5</v>
      </c>
      <c r="BA146" s="771" cm="1">
        <f t="array" aca="1" ref="BA146" ca="1">INDIRECT("'Definition of Typical Day'!"&amp; ADDRESS($D146+29*(BA$16-1),$E146))+$BA$17</f>
        <v>88.5</v>
      </c>
      <c r="BB146" s="772" cm="1">
        <f t="array" aca="1" ref="BB146" ca="1">INDIRECT("'Definition of Typical Day'!"&amp;ADDRESS(BB$16,$E146))</f>
        <v>66</v>
      </c>
      <c r="BC146" s="776" cm="1">
        <f t="array" aca="1" ref="BC146" ca="1">INDIRECT("'Definition of Typical Day'!"&amp; ADDRESS($D146+29*(BC$16-1),$E146))</f>
        <v>87.5</v>
      </c>
      <c r="BD146" s="777" cm="1">
        <f t="array" aca="1" ref="BD146" ca="1">INDIRECT("'Definition of Typical Day'!"&amp; ADDRESS($D146+29*(BD$16-1),$E146))</f>
        <v>1</v>
      </c>
      <c r="BE146" s="776">
        <f t="shared" si="137"/>
        <v>0</v>
      </c>
      <c r="BF146" s="771">
        <f t="shared" ca="1" si="138"/>
        <v>0</v>
      </c>
      <c r="BG146" s="771">
        <f t="shared" ca="1" si="139"/>
        <v>0</v>
      </c>
      <c r="BH146" s="771">
        <f t="shared" ca="1" si="140"/>
        <v>0</v>
      </c>
      <c r="BI146" s="776">
        <f t="shared" ca="1" si="141"/>
        <v>0</v>
      </c>
      <c r="BJ146" s="776">
        <f t="shared" ca="1" si="142"/>
        <v>0</v>
      </c>
      <c r="BK146" s="776">
        <f t="shared" ca="1" si="143"/>
        <v>0</v>
      </c>
      <c r="BL146" s="776">
        <f t="shared" ca="1" si="144"/>
        <v>0</v>
      </c>
      <c r="BM146" s="135"/>
      <c r="BN146" s="776">
        <f t="shared" ca="1" si="145"/>
        <v>0</v>
      </c>
      <c r="BO146" s="778">
        <f t="shared" ca="1" si="82"/>
        <v>0</v>
      </c>
      <c r="BP146" s="770">
        <f t="shared" ca="1" si="83"/>
        <v>0</v>
      </c>
      <c r="BQ146" s="771">
        <f t="shared" ca="1" si="84"/>
        <v>0</v>
      </c>
      <c r="BR146" s="771">
        <f t="shared" ca="1" si="85"/>
        <v>0</v>
      </c>
      <c r="BS146" s="776">
        <f t="shared" ca="1" si="146"/>
        <v>0</v>
      </c>
      <c r="BT146" s="776">
        <f t="shared" ca="1" si="86"/>
        <v>0</v>
      </c>
      <c r="BU146" s="783">
        <f t="shared" ca="1" si="87"/>
        <v>0</v>
      </c>
      <c r="BV146" s="783">
        <f t="shared" ca="1" si="88"/>
        <v>0</v>
      </c>
      <c r="BW146" s="1019">
        <f t="shared" ca="1" si="147"/>
        <v>0</v>
      </c>
      <c r="BX146" s="771" cm="1">
        <f t="array" aca="1" ref="BX146" ca="1">INDIRECT("'Definition of Typical Day'!"&amp; ADDRESS($D146+29*(BX$16-1),$E146))</f>
        <v>55</v>
      </c>
      <c r="BY146" s="771">
        <f t="shared" ca="1" si="148"/>
        <v>0</v>
      </c>
      <c r="BZ146" s="781">
        <f t="shared" ca="1" si="89"/>
        <v>0</v>
      </c>
      <c r="CA146" s="781">
        <f t="shared" ca="1" si="90"/>
        <v>0</v>
      </c>
      <c r="CB146" s="776">
        <f t="shared" ca="1" si="91"/>
        <v>0</v>
      </c>
      <c r="CC146" s="782">
        <f t="shared" si="92"/>
        <v>6</v>
      </c>
      <c r="CD146" s="782">
        <f t="shared" si="93"/>
        <v>6</v>
      </c>
      <c r="CE146" s="784" t="str" cm="1">
        <f t="array" aca="1" ref="CE146" ca="1">INDIRECT("'Definition of Typical Day'!"&amp;ADDRESS(CE$16,$E146))</f>
        <v>Maintenance of HP</v>
      </c>
      <c r="CF146" s="232"/>
      <c r="CG146" s="232"/>
      <c r="CH146" s="776">
        <f t="shared" ca="1" si="94"/>
        <v>0</v>
      </c>
      <c r="CI146" s="806">
        <f t="shared" ca="1" si="95"/>
        <v>0</v>
      </c>
      <c r="CJ146" s="770">
        <f t="shared" ca="1" si="96"/>
        <v>0</v>
      </c>
      <c r="CK146" s="771">
        <f t="shared" ca="1" si="97"/>
        <v>0</v>
      </c>
      <c r="CL146" s="771">
        <f t="shared" ca="1" si="98"/>
        <v>0</v>
      </c>
      <c r="CM146" s="772">
        <f t="shared" ca="1" si="99"/>
        <v>0</v>
      </c>
      <c r="CN146" s="135"/>
      <c r="CO146" s="770">
        <f t="shared" ca="1" si="149"/>
        <v>1.05</v>
      </c>
      <c r="CP146" s="771">
        <f t="shared" ca="1" si="100"/>
        <v>0.02</v>
      </c>
      <c r="CQ146" s="771">
        <f t="shared" ca="1" si="101"/>
        <v>-2.5000000000000001E-2</v>
      </c>
      <c r="CR146" s="771">
        <f t="shared" ca="1" si="102"/>
        <v>0.95</v>
      </c>
      <c r="CS146" s="771">
        <f t="shared" ca="1" si="103"/>
        <v>0.03</v>
      </c>
      <c r="CT146" s="772">
        <f t="shared" ca="1" si="104"/>
        <v>0.02</v>
      </c>
      <c r="CU146" s="135"/>
      <c r="CV146" s="135"/>
      <c r="CW146" s="135"/>
      <c r="CX146" s="135"/>
      <c r="CY146" s="135"/>
      <c r="CZ146" s="135"/>
      <c r="DA146" s="135"/>
      <c r="DB146" s="135"/>
      <c r="DC146" s="135"/>
      <c r="DD146" s="135"/>
      <c r="DE146" s="135"/>
      <c r="DF146" s="135"/>
      <c r="DG146" s="135"/>
      <c r="DH146" s="135"/>
      <c r="DI146" s="135"/>
      <c r="DJ146" s="135"/>
      <c r="DK146" s="135"/>
      <c r="DL146" s="135"/>
      <c r="DX146" s="135"/>
      <c r="DY146" s="135"/>
      <c r="DZ146" s="135"/>
      <c r="EA146" s="135"/>
      <c r="EB146" s="135"/>
      <c r="EC146" s="135"/>
      <c r="ED146" s="135"/>
      <c r="EE146" s="135"/>
      <c r="EF146" s="135"/>
      <c r="EG146" s="135"/>
      <c r="EH146" s="135"/>
      <c r="EI146" s="135"/>
      <c r="EJ146" s="135"/>
      <c r="EK146" s="135"/>
      <c r="EL146" s="135"/>
      <c r="EM146" s="135"/>
      <c r="EN146" s="135"/>
      <c r="EO146" s="135"/>
      <c r="EP146" s="135"/>
      <c r="EQ146" s="135"/>
      <c r="ER146" s="135"/>
      <c r="ES146" s="135"/>
      <c r="ET146" s="135"/>
      <c r="EU146" s="135"/>
      <c r="EV146" s="135"/>
      <c r="EW146" s="135"/>
      <c r="EX146" s="135"/>
      <c r="EY146" s="135"/>
      <c r="EZ146" s="135"/>
      <c r="FA146" s="135"/>
      <c r="FB146" s="135"/>
      <c r="FC146" s="135"/>
      <c r="FD146" s="135"/>
      <c r="FE146" s="135"/>
      <c r="FF146" s="135"/>
      <c r="FG146" s="135"/>
    </row>
    <row r="147" spans="1:163" s="57" customFormat="1" ht="11.25" outlineLevel="1">
      <c r="A147" s="765">
        <f t="shared" si="150"/>
        <v>6</v>
      </c>
      <c r="B147" s="715" t="str" cm="1">
        <f t="array" aca="1" ref="B147" ca="1">INDIRECT("'Definition of Typical Day'!"&amp;ADDRESS(B$16,$E147))</f>
        <v>Maintenance of HP</v>
      </c>
      <c r="C147" s="766">
        <f t="shared" si="151"/>
        <v>7</v>
      </c>
      <c r="D147" s="715">
        <f t="shared" si="151"/>
        <v>41</v>
      </c>
      <c r="E147" s="715">
        <f t="shared" si="79"/>
        <v>10</v>
      </c>
      <c r="F147" s="767" cm="1">
        <f t="array" aca="1" ref="F147" ca="1">INDIRECT("'Definition of Typical Day'!D"&amp;D147)</f>
        <v>7</v>
      </c>
      <c r="G147" s="767" cm="1">
        <f t="array" aca="1" ref="G147" ca="1">INDIRECT("'Definition of Typical Day'!"&amp;ADDRESS(13,E147))</f>
        <v>6</v>
      </c>
      <c r="H147" s="768" cm="1">
        <f t="array" aca="1" ref="H147" ca="1">INDIRECT("'Definition of Typical Day'!"&amp; ADDRESS($D147+28*(H$16-1),$E147))</f>
        <v>0</v>
      </c>
      <c r="I147" s="715" cm="1">
        <f t="array" aca="1" ref="I147" ca="1">INDIRECT("'Definition of Typical Day'!"&amp; ADDRESS($D147+29*(I$16-1),$E147))</f>
        <v>40</v>
      </c>
      <c r="J147" s="715">
        <f t="shared" ca="1" si="105"/>
        <v>37</v>
      </c>
      <c r="K147" s="785">
        <f t="shared" si="106"/>
        <v>28</v>
      </c>
      <c r="L147" s="786" cm="1">
        <f t="array" aca="1" ref="L147" ca="1">INDIRECT("'Definition of Typical Day'!"&amp; ADDRESS($D147+29*(L$16-1),$E147))</f>
        <v>0</v>
      </c>
      <c r="M147" s="768" cm="1">
        <f t="array" aca="1" ref="M147" ca="1">INDIRECT("'Definition of Typical Day'!"&amp; ADDRESS($D147+29*(M$16-1),$E147))</f>
        <v>74.166666666666657</v>
      </c>
      <c r="N147" s="715">
        <f t="shared" si="107"/>
        <v>3</v>
      </c>
      <c r="O147" s="715">
        <f t="shared" ca="1" si="108"/>
        <v>77.166666666666657</v>
      </c>
      <c r="P147" s="715" cm="1">
        <f t="array" aca="1" ref="P147" ca="1">INDIRECT("'Definition of Typical Day'!"&amp; ADDRESS($D147+29*(P$16-1),$E147))</f>
        <v>45</v>
      </c>
      <c r="Q147" s="787">
        <f t="shared" ca="1" si="109"/>
        <v>48</v>
      </c>
      <c r="R147" s="792">
        <f t="shared" ca="1" si="110"/>
        <v>77.166666666666657</v>
      </c>
      <c r="S147" s="769">
        <f t="shared" si="111"/>
        <v>3</v>
      </c>
      <c r="T147" s="769">
        <f t="shared" ca="1" si="112"/>
        <v>0.24</v>
      </c>
      <c r="U147" s="769">
        <f t="shared" ca="1" si="113"/>
        <v>0.33366666666666689</v>
      </c>
      <c r="V147" s="769">
        <f t="shared" ca="1" si="114"/>
        <v>0</v>
      </c>
      <c r="W147" s="769">
        <f t="shared" ca="1" si="115"/>
        <v>3.573666666666667</v>
      </c>
      <c r="X147" s="794">
        <f t="shared" si="116"/>
        <v>3</v>
      </c>
      <c r="Y147" s="769">
        <f t="shared" ca="1" si="117"/>
        <v>2.9580398915498076</v>
      </c>
      <c r="Z147" s="769">
        <f t="shared" ca="1" si="118"/>
        <v>0</v>
      </c>
      <c r="AA147" s="795">
        <f t="shared" ca="1" si="119"/>
        <v>0</v>
      </c>
      <c r="AB147" s="769">
        <f t="shared" ca="1" si="120"/>
        <v>0</v>
      </c>
      <c r="AC147" s="769">
        <f t="shared" ca="1" si="121"/>
        <v>0</v>
      </c>
      <c r="AD147" s="769">
        <f t="shared" ca="1" si="122"/>
        <v>0</v>
      </c>
      <c r="AE147" s="794">
        <f t="shared" ca="1" si="123"/>
        <v>0</v>
      </c>
      <c r="AF147" s="769">
        <f t="shared" ca="1" si="124"/>
        <v>0</v>
      </c>
      <c r="AG147" s="769">
        <f t="shared" ca="1" si="125"/>
        <v>0</v>
      </c>
      <c r="AH147" s="799">
        <f t="shared" ca="1" si="126"/>
        <v>0</v>
      </c>
      <c r="AI147" s="801">
        <f t="shared" ca="1" si="127"/>
        <v>1</v>
      </c>
      <c r="AJ147" s="794">
        <f t="shared" ca="1" si="128"/>
        <v>0</v>
      </c>
      <c r="AK147" s="769">
        <f t="shared" ca="1" si="129"/>
        <v>0</v>
      </c>
      <c r="AL147" s="769">
        <f t="shared" ca="1" si="130"/>
        <v>0</v>
      </c>
      <c r="AM147" s="804">
        <f t="shared" ca="1" si="80"/>
        <v>0</v>
      </c>
      <c r="AN147" s="795">
        <f t="shared" ca="1" si="81"/>
        <v>0</v>
      </c>
      <c r="AO147" s="251"/>
      <c r="AP147" s="770">
        <f t="shared" si="131"/>
        <v>0</v>
      </c>
      <c r="AQ147" s="771">
        <f t="shared" ca="1" si="132"/>
        <v>0</v>
      </c>
      <c r="AR147" s="771">
        <f t="shared" ca="1" si="133"/>
        <v>0</v>
      </c>
      <c r="AS147" s="772">
        <f t="shared" ca="1" si="134"/>
        <v>0</v>
      </c>
      <c r="AT147" s="231"/>
      <c r="AU147" s="770">
        <f>'Main Results - IRR DC Operator'!$F$16</f>
        <v>2</v>
      </c>
      <c r="AV147" s="773">
        <f>'Main Results - IRR DC Operator'!$F$15</f>
        <v>1</v>
      </c>
      <c r="AW147" s="771">
        <f t="shared" ca="1" si="135"/>
        <v>0</v>
      </c>
      <c r="AX147" s="772">
        <f t="shared" si="136"/>
        <v>0</v>
      </c>
      <c r="AY147" s="231"/>
      <c r="AZ147" s="770" cm="1">
        <f t="array" aca="1" ref="AZ147" ca="1">INDIRECT("'Definition of Typical Day'!"&amp; ADDRESS($D147+29*(AZ$16-1),$E147))+$AZ$17</f>
        <v>101.015</v>
      </c>
      <c r="BA147" s="771" cm="1">
        <f t="array" aca="1" ref="BA147" ca="1">INDIRECT("'Definition of Typical Day'!"&amp; ADDRESS($D147+29*(BA$16-1),$E147))+$BA$17</f>
        <v>101.015</v>
      </c>
      <c r="BB147" s="772" cm="1">
        <f t="array" aca="1" ref="BB147" ca="1">INDIRECT("'Definition of Typical Day'!"&amp;ADDRESS(BB$16,$E147))</f>
        <v>66</v>
      </c>
      <c r="BC147" s="776" cm="1">
        <f t="array" aca="1" ref="BC147" ca="1">INDIRECT("'Definition of Typical Day'!"&amp; ADDRESS($D147+29*(BC$16-1),$E147))</f>
        <v>100.015</v>
      </c>
      <c r="BD147" s="777" cm="1">
        <f t="array" aca="1" ref="BD147" ca="1">INDIRECT("'Definition of Typical Day'!"&amp; ADDRESS($D147+29*(BD$16-1),$E147))</f>
        <v>1</v>
      </c>
      <c r="BE147" s="776">
        <f t="shared" si="137"/>
        <v>0</v>
      </c>
      <c r="BF147" s="771">
        <f t="shared" ca="1" si="138"/>
        <v>0</v>
      </c>
      <c r="BG147" s="771">
        <f t="shared" ca="1" si="139"/>
        <v>0</v>
      </c>
      <c r="BH147" s="771">
        <f t="shared" ca="1" si="140"/>
        <v>0</v>
      </c>
      <c r="BI147" s="776">
        <f t="shared" ca="1" si="141"/>
        <v>0</v>
      </c>
      <c r="BJ147" s="776">
        <f t="shared" ca="1" si="142"/>
        <v>0</v>
      </c>
      <c r="BK147" s="776">
        <f t="shared" ca="1" si="143"/>
        <v>0</v>
      </c>
      <c r="BL147" s="776">
        <f t="shared" ca="1" si="144"/>
        <v>0</v>
      </c>
      <c r="BM147" s="135"/>
      <c r="BN147" s="776">
        <f t="shared" ca="1" si="145"/>
        <v>0</v>
      </c>
      <c r="BO147" s="778">
        <f t="shared" ca="1" si="82"/>
        <v>0</v>
      </c>
      <c r="BP147" s="770">
        <f t="shared" ca="1" si="83"/>
        <v>0</v>
      </c>
      <c r="BQ147" s="771">
        <f t="shared" ca="1" si="84"/>
        <v>0</v>
      </c>
      <c r="BR147" s="771">
        <f t="shared" ca="1" si="85"/>
        <v>0</v>
      </c>
      <c r="BS147" s="776">
        <f t="shared" ca="1" si="146"/>
        <v>0</v>
      </c>
      <c r="BT147" s="776">
        <f t="shared" ca="1" si="86"/>
        <v>0</v>
      </c>
      <c r="BU147" s="783">
        <f t="shared" ca="1" si="87"/>
        <v>0</v>
      </c>
      <c r="BV147" s="783">
        <f t="shared" ca="1" si="88"/>
        <v>0</v>
      </c>
      <c r="BW147" s="1019">
        <f t="shared" ca="1" si="147"/>
        <v>0</v>
      </c>
      <c r="BX147" s="771" cm="1">
        <f t="array" aca="1" ref="BX147" ca="1">INDIRECT("'Definition of Typical Day'!"&amp; ADDRESS($D147+29*(BX$16-1),$E147))</f>
        <v>55</v>
      </c>
      <c r="BY147" s="771">
        <f t="shared" ca="1" si="148"/>
        <v>0</v>
      </c>
      <c r="BZ147" s="781">
        <f t="shared" ca="1" si="89"/>
        <v>0</v>
      </c>
      <c r="CA147" s="781">
        <f t="shared" ca="1" si="90"/>
        <v>0</v>
      </c>
      <c r="CB147" s="776">
        <f t="shared" ca="1" si="91"/>
        <v>0</v>
      </c>
      <c r="CC147" s="782">
        <f t="shared" si="92"/>
        <v>6</v>
      </c>
      <c r="CD147" s="782">
        <f t="shared" si="93"/>
        <v>7</v>
      </c>
      <c r="CE147" s="784" t="str" cm="1">
        <f t="array" aca="1" ref="CE147" ca="1">INDIRECT("'Definition of Typical Day'!"&amp;ADDRESS(CE$16,$E147))</f>
        <v>Maintenance of HP</v>
      </c>
      <c r="CF147" s="232"/>
      <c r="CG147" s="232"/>
      <c r="CH147" s="776">
        <f t="shared" ca="1" si="94"/>
        <v>0</v>
      </c>
      <c r="CI147" s="806">
        <f t="shared" ca="1" si="95"/>
        <v>0</v>
      </c>
      <c r="CJ147" s="770">
        <f t="shared" ca="1" si="96"/>
        <v>0</v>
      </c>
      <c r="CK147" s="771">
        <f t="shared" ca="1" si="97"/>
        <v>0</v>
      </c>
      <c r="CL147" s="771">
        <f t="shared" ca="1" si="98"/>
        <v>0</v>
      </c>
      <c r="CM147" s="772">
        <f t="shared" ca="1" si="99"/>
        <v>0</v>
      </c>
      <c r="CN147" s="135"/>
      <c r="CO147" s="770">
        <f t="shared" ca="1" si="149"/>
        <v>1.05</v>
      </c>
      <c r="CP147" s="771">
        <f t="shared" ca="1" si="100"/>
        <v>0.02</v>
      </c>
      <c r="CQ147" s="771">
        <f t="shared" ca="1" si="101"/>
        <v>-2.5000000000000001E-2</v>
      </c>
      <c r="CR147" s="771">
        <f t="shared" ca="1" si="102"/>
        <v>0.95</v>
      </c>
      <c r="CS147" s="771">
        <f t="shared" ca="1" si="103"/>
        <v>0.03</v>
      </c>
      <c r="CT147" s="772">
        <f t="shared" ca="1" si="104"/>
        <v>0.02</v>
      </c>
      <c r="CU147" s="135"/>
      <c r="CV147" s="135"/>
      <c r="CW147" s="135"/>
      <c r="CX147" s="135"/>
      <c r="CY147" s="135"/>
      <c r="CZ147" s="135"/>
      <c r="DA147" s="135"/>
      <c r="DB147" s="135"/>
      <c r="DC147" s="135"/>
      <c r="DD147" s="135"/>
      <c r="DE147" s="135"/>
      <c r="DF147" s="135"/>
      <c r="DG147" s="135"/>
      <c r="DH147" s="135"/>
      <c r="DI147" s="135"/>
      <c r="DJ147" s="135"/>
      <c r="DK147" s="135"/>
      <c r="DL147" s="135"/>
      <c r="DX147" s="135"/>
      <c r="DY147" s="135"/>
      <c r="DZ147" s="135"/>
      <c r="EA147" s="135"/>
      <c r="EB147" s="135"/>
      <c r="EC147" s="135"/>
      <c r="ED147" s="135"/>
      <c r="EE147" s="135"/>
      <c r="EF147" s="135"/>
      <c r="EG147" s="135"/>
      <c r="EH147" s="135"/>
      <c r="EI147" s="135"/>
      <c r="EJ147" s="135"/>
      <c r="EK147" s="135"/>
      <c r="EL147" s="135"/>
      <c r="EM147" s="135"/>
      <c r="EN147" s="135"/>
      <c r="EO147" s="135"/>
      <c r="EP147" s="135"/>
      <c r="EQ147" s="135"/>
      <c r="ER147" s="135"/>
      <c r="ES147" s="135"/>
      <c r="ET147" s="135"/>
      <c r="EU147" s="135"/>
      <c r="EV147" s="135"/>
      <c r="EW147" s="135"/>
      <c r="EX147" s="135"/>
      <c r="EY147" s="135"/>
      <c r="EZ147" s="135"/>
      <c r="FA147" s="135"/>
      <c r="FB147" s="135"/>
      <c r="FC147" s="135"/>
      <c r="FD147" s="135"/>
      <c r="FE147" s="135"/>
      <c r="FF147" s="135"/>
      <c r="FG147" s="135"/>
    </row>
    <row r="148" spans="1:163" s="57" customFormat="1" ht="11.25" outlineLevel="1">
      <c r="A148" s="765">
        <f t="shared" si="150"/>
        <v>6</v>
      </c>
      <c r="B148" s="715" t="str" cm="1">
        <f t="array" aca="1" ref="B148" ca="1">INDIRECT("'Definition of Typical Day'!"&amp;ADDRESS(B$16,$E148))</f>
        <v>Maintenance of HP</v>
      </c>
      <c r="C148" s="766">
        <f t="shared" si="151"/>
        <v>8</v>
      </c>
      <c r="D148" s="715">
        <f t="shared" si="151"/>
        <v>42</v>
      </c>
      <c r="E148" s="715">
        <f t="shared" si="79"/>
        <v>10</v>
      </c>
      <c r="F148" s="767" cm="1">
        <f t="array" aca="1" ref="F148" ca="1">INDIRECT("'Definition of Typical Day'!D"&amp;D148)</f>
        <v>8</v>
      </c>
      <c r="G148" s="767" cm="1">
        <f t="array" aca="1" ref="G148" ca="1">INDIRECT("'Definition of Typical Day'!"&amp;ADDRESS(13,E148))</f>
        <v>6</v>
      </c>
      <c r="H148" s="768" cm="1">
        <f t="array" aca="1" ref="H148" ca="1">INDIRECT("'Definition of Typical Day'!"&amp; ADDRESS($D148+28*(H$16-1),$E148))</f>
        <v>0</v>
      </c>
      <c r="I148" s="715" cm="1">
        <f t="array" aca="1" ref="I148" ca="1">INDIRECT("'Definition of Typical Day'!"&amp; ADDRESS($D148+29*(I$16-1),$E148))</f>
        <v>40</v>
      </c>
      <c r="J148" s="715">
        <f t="shared" ca="1" si="105"/>
        <v>37</v>
      </c>
      <c r="K148" s="785">
        <f t="shared" si="106"/>
        <v>28</v>
      </c>
      <c r="L148" s="786" cm="1">
        <f t="array" aca="1" ref="L148" ca="1">INDIRECT("'Definition of Typical Day'!"&amp; ADDRESS($D148+29*(L$16-1),$E148))</f>
        <v>0</v>
      </c>
      <c r="M148" s="768" cm="1">
        <f t="array" aca="1" ref="M148" ca="1">INDIRECT("'Definition of Typical Day'!"&amp; ADDRESS($D148+29*(M$16-1),$E148))</f>
        <v>73.333333333333329</v>
      </c>
      <c r="N148" s="715">
        <f t="shared" si="107"/>
        <v>3</v>
      </c>
      <c r="O148" s="715">
        <f t="shared" ca="1" si="108"/>
        <v>76.333333333333329</v>
      </c>
      <c r="P148" s="715" cm="1">
        <f t="array" aca="1" ref="P148" ca="1">INDIRECT("'Definition of Typical Day'!"&amp; ADDRESS($D148+29*(P$16-1),$E148))</f>
        <v>45</v>
      </c>
      <c r="Q148" s="787">
        <f t="shared" ca="1" si="109"/>
        <v>48</v>
      </c>
      <c r="R148" s="792">
        <f t="shared" ca="1" si="110"/>
        <v>76.333333333333329</v>
      </c>
      <c r="S148" s="769">
        <f t="shared" si="111"/>
        <v>3</v>
      </c>
      <c r="T148" s="769">
        <f t="shared" ca="1" si="112"/>
        <v>0.24</v>
      </c>
      <c r="U148" s="769">
        <f t="shared" ca="1" si="113"/>
        <v>0.35533333333333345</v>
      </c>
      <c r="V148" s="769">
        <f t="shared" ca="1" si="114"/>
        <v>0</v>
      </c>
      <c r="W148" s="769">
        <f t="shared" ca="1" si="115"/>
        <v>3.5953333333333335</v>
      </c>
      <c r="X148" s="794">
        <f t="shared" si="116"/>
        <v>3</v>
      </c>
      <c r="Y148" s="769">
        <f t="shared" ca="1" si="117"/>
        <v>2.9154759474226504</v>
      </c>
      <c r="Z148" s="769">
        <f t="shared" ca="1" si="118"/>
        <v>0</v>
      </c>
      <c r="AA148" s="795">
        <f t="shared" ca="1" si="119"/>
        <v>0</v>
      </c>
      <c r="AB148" s="769">
        <f t="shared" ca="1" si="120"/>
        <v>0</v>
      </c>
      <c r="AC148" s="769">
        <f t="shared" ca="1" si="121"/>
        <v>0</v>
      </c>
      <c r="AD148" s="769">
        <f t="shared" ca="1" si="122"/>
        <v>0</v>
      </c>
      <c r="AE148" s="794">
        <f t="shared" ca="1" si="123"/>
        <v>0</v>
      </c>
      <c r="AF148" s="769">
        <f t="shared" ca="1" si="124"/>
        <v>0</v>
      </c>
      <c r="AG148" s="769">
        <f t="shared" ca="1" si="125"/>
        <v>0</v>
      </c>
      <c r="AH148" s="799">
        <f t="shared" ca="1" si="126"/>
        <v>0</v>
      </c>
      <c r="AI148" s="801">
        <f t="shared" ca="1" si="127"/>
        <v>1</v>
      </c>
      <c r="AJ148" s="794">
        <f t="shared" ca="1" si="128"/>
        <v>0</v>
      </c>
      <c r="AK148" s="769">
        <f t="shared" ca="1" si="129"/>
        <v>0</v>
      </c>
      <c r="AL148" s="769">
        <f t="shared" ca="1" si="130"/>
        <v>0</v>
      </c>
      <c r="AM148" s="804">
        <f t="shared" ca="1" si="80"/>
        <v>0</v>
      </c>
      <c r="AN148" s="795">
        <f t="shared" ca="1" si="81"/>
        <v>0</v>
      </c>
      <c r="AO148" s="251"/>
      <c r="AP148" s="770">
        <f t="shared" si="131"/>
        <v>0</v>
      </c>
      <c r="AQ148" s="771">
        <f t="shared" ca="1" si="132"/>
        <v>0</v>
      </c>
      <c r="AR148" s="771">
        <f t="shared" ca="1" si="133"/>
        <v>0</v>
      </c>
      <c r="AS148" s="772">
        <f t="shared" ca="1" si="134"/>
        <v>0</v>
      </c>
      <c r="AT148" s="231"/>
      <c r="AU148" s="770">
        <f>'Main Results - IRR DC Operator'!$F$16</f>
        <v>2</v>
      </c>
      <c r="AV148" s="773">
        <f>'Main Results - IRR DC Operator'!$F$15</f>
        <v>1</v>
      </c>
      <c r="AW148" s="771">
        <f t="shared" ca="1" si="135"/>
        <v>0</v>
      </c>
      <c r="AX148" s="772">
        <f t="shared" si="136"/>
        <v>0</v>
      </c>
      <c r="AY148" s="231"/>
      <c r="AZ148" s="770" cm="1">
        <f t="array" aca="1" ref="AZ148" ca="1">INDIRECT("'Definition of Typical Day'!"&amp; ADDRESS($D148+29*(AZ$16-1),$E148))+$AZ$17</f>
        <v>96.625</v>
      </c>
      <c r="BA148" s="771" cm="1">
        <f t="array" aca="1" ref="BA148" ca="1">INDIRECT("'Definition of Typical Day'!"&amp; ADDRESS($D148+29*(BA$16-1),$E148))+$BA$17</f>
        <v>96.625</v>
      </c>
      <c r="BB148" s="772" cm="1">
        <f t="array" aca="1" ref="BB148" ca="1">INDIRECT("'Definition of Typical Day'!"&amp;ADDRESS(BB$16,$E148))</f>
        <v>66</v>
      </c>
      <c r="BC148" s="776" cm="1">
        <f t="array" aca="1" ref="BC148" ca="1">INDIRECT("'Definition of Typical Day'!"&amp; ADDRESS($D148+29*(BC$16-1),$E148))</f>
        <v>95.625</v>
      </c>
      <c r="BD148" s="777" cm="1">
        <f t="array" aca="1" ref="BD148" ca="1">INDIRECT("'Definition of Typical Day'!"&amp; ADDRESS($D148+29*(BD$16-1),$E148))</f>
        <v>1</v>
      </c>
      <c r="BE148" s="776">
        <f t="shared" si="137"/>
        <v>0</v>
      </c>
      <c r="BF148" s="771">
        <f t="shared" ca="1" si="138"/>
        <v>0</v>
      </c>
      <c r="BG148" s="771">
        <f t="shared" ca="1" si="139"/>
        <v>0</v>
      </c>
      <c r="BH148" s="771">
        <f t="shared" ca="1" si="140"/>
        <v>0</v>
      </c>
      <c r="BI148" s="776">
        <f t="shared" ca="1" si="141"/>
        <v>0</v>
      </c>
      <c r="BJ148" s="776">
        <f t="shared" ca="1" si="142"/>
        <v>0</v>
      </c>
      <c r="BK148" s="776">
        <f t="shared" ca="1" si="143"/>
        <v>0</v>
      </c>
      <c r="BL148" s="776">
        <f t="shared" ca="1" si="144"/>
        <v>0</v>
      </c>
      <c r="BM148" s="135"/>
      <c r="BN148" s="776">
        <f t="shared" ca="1" si="145"/>
        <v>0</v>
      </c>
      <c r="BO148" s="778">
        <f t="shared" ca="1" si="82"/>
        <v>0</v>
      </c>
      <c r="BP148" s="770">
        <f t="shared" ca="1" si="83"/>
        <v>0</v>
      </c>
      <c r="BQ148" s="771">
        <f t="shared" ca="1" si="84"/>
        <v>0</v>
      </c>
      <c r="BR148" s="771">
        <f t="shared" ca="1" si="85"/>
        <v>0</v>
      </c>
      <c r="BS148" s="776">
        <f t="shared" ca="1" si="146"/>
        <v>0</v>
      </c>
      <c r="BT148" s="776">
        <f t="shared" ca="1" si="86"/>
        <v>0</v>
      </c>
      <c r="BU148" s="783">
        <f t="shared" ca="1" si="87"/>
        <v>0</v>
      </c>
      <c r="BV148" s="783">
        <f t="shared" ca="1" si="88"/>
        <v>0</v>
      </c>
      <c r="BW148" s="1019">
        <f t="shared" ca="1" si="147"/>
        <v>0</v>
      </c>
      <c r="BX148" s="771" cm="1">
        <f t="array" aca="1" ref="BX148" ca="1">INDIRECT("'Definition of Typical Day'!"&amp; ADDRESS($D148+29*(BX$16-1),$E148))</f>
        <v>55</v>
      </c>
      <c r="BY148" s="771">
        <f t="shared" ca="1" si="148"/>
        <v>0</v>
      </c>
      <c r="BZ148" s="781">
        <f t="shared" ca="1" si="89"/>
        <v>0</v>
      </c>
      <c r="CA148" s="781">
        <f t="shared" ca="1" si="90"/>
        <v>0</v>
      </c>
      <c r="CB148" s="776">
        <f t="shared" ca="1" si="91"/>
        <v>0</v>
      </c>
      <c r="CC148" s="782">
        <f t="shared" si="92"/>
        <v>6</v>
      </c>
      <c r="CD148" s="782">
        <f t="shared" si="93"/>
        <v>8</v>
      </c>
      <c r="CE148" s="784" t="str" cm="1">
        <f t="array" aca="1" ref="CE148" ca="1">INDIRECT("'Definition of Typical Day'!"&amp;ADDRESS(CE$16,$E148))</f>
        <v>Maintenance of HP</v>
      </c>
      <c r="CF148" s="232"/>
      <c r="CG148" s="232"/>
      <c r="CH148" s="776">
        <f t="shared" ca="1" si="94"/>
        <v>0</v>
      </c>
      <c r="CI148" s="806">
        <f t="shared" ca="1" si="95"/>
        <v>0</v>
      </c>
      <c r="CJ148" s="770">
        <f t="shared" ca="1" si="96"/>
        <v>0</v>
      </c>
      <c r="CK148" s="771">
        <f t="shared" ca="1" si="97"/>
        <v>0</v>
      </c>
      <c r="CL148" s="771">
        <f t="shared" ca="1" si="98"/>
        <v>0</v>
      </c>
      <c r="CM148" s="772">
        <f t="shared" ca="1" si="99"/>
        <v>0</v>
      </c>
      <c r="CN148" s="135"/>
      <c r="CO148" s="770">
        <f t="shared" ca="1" si="149"/>
        <v>1.05</v>
      </c>
      <c r="CP148" s="771">
        <f t="shared" ca="1" si="100"/>
        <v>0.02</v>
      </c>
      <c r="CQ148" s="771">
        <f t="shared" ca="1" si="101"/>
        <v>-2.5000000000000001E-2</v>
      </c>
      <c r="CR148" s="771">
        <f t="shared" ca="1" si="102"/>
        <v>0.95</v>
      </c>
      <c r="CS148" s="771">
        <f t="shared" ca="1" si="103"/>
        <v>0.03</v>
      </c>
      <c r="CT148" s="772">
        <f t="shared" ca="1" si="104"/>
        <v>0.02</v>
      </c>
      <c r="CU148" s="135"/>
      <c r="CV148" s="135"/>
      <c r="CW148" s="135"/>
      <c r="CX148" s="135"/>
      <c r="CY148" s="135"/>
      <c r="CZ148" s="135"/>
      <c r="DA148" s="135"/>
      <c r="DB148" s="135"/>
      <c r="DC148" s="135"/>
      <c r="DD148" s="135"/>
      <c r="DE148" s="135"/>
      <c r="DF148" s="135"/>
      <c r="DG148" s="135"/>
      <c r="DH148" s="135"/>
      <c r="DI148" s="135"/>
      <c r="DJ148" s="135"/>
      <c r="DK148" s="135"/>
      <c r="DL148" s="135"/>
      <c r="DX148" s="135"/>
      <c r="DY148" s="135"/>
      <c r="DZ148" s="135"/>
      <c r="EA148" s="135"/>
      <c r="EB148" s="135"/>
      <c r="EC148" s="135"/>
      <c r="ED148" s="135"/>
      <c r="EE148" s="135"/>
      <c r="EF148" s="135"/>
      <c r="EG148" s="135"/>
      <c r="EH148" s="135"/>
      <c r="EI148" s="135"/>
      <c r="EJ148" s="135"/>
      <c r="EK148" s="135"/>
      <c r="EL148" s="135"/>
      <c r="EM148" s="135"/>
      <c r="EN148" s="135"/>
      <c r="EO148" s="135"/>
      <c r="EP148" s="135"/>
      <c r="EQ148" s="135"/>
      <c r="ER148" s="135"/>
      <c r="ES148" s="135"/>
      <c r="ET148" s="135"/>
      <c r="EU148" s="135"/>
      <c r="EV148" s="135"/>
      <c r="EW148" s="135"/>
      <c r="EX148" s="135"/>
      <c r="EY148" s="135"/>
      <c r="EZ148" s="135"/>
      <c r="FA148" s="135"/>
      <c r="FB148" s="135"/>
      <c r="FC148" s="135"/>
      <c r="FD148" s="135"/>
      <c r="FE148" s="135"/>
      <c r="FF148" s="135"/>
      <c r="FG148" s="135"/>
    </row>
    <row r="149" spans="1:163" s="57" customFormat="1" ht="11.25" outlineLevel="1">
      <c r="A149" s="765">
        <f t="shared" si="150"/>
        <v>6</v>
      </c>
      <c r="B149" s="715" t="str" cm="1">
        <f t="array" aca="1" ref="B149" ca="1">INDIRECT("'Definition of Typical Day'!"&amp;ADDRESS(B$16,$E149))</f>
        <v>Maintenance of HP</v>
      </c>
      <c r="C149" s="766">
        <f t="shared" si="151"/>
        <v>9</v>
      </c>
      <c r="D149" s="715">
        <f t="shared" si="151"/>
        <v>43</v>
      </c>
      <c r="E149" s="715">
        <f t="shared" ref="E149:E212" si="152">A149+4</f>
        <v>10</v>
      </c>
      <c r="F149" s="767" cm="1">
        <f t="array" aca="1" ref="F149" ca="1">INDIRECT("'Definition of Typical Day'!D"&amp;D149)</f>
        <v>9</v>
      </c>
      <c r="G149" s="767" cm="1">
        <f t="array" aca="1" ref="G149" ca="1">INDIRECT("'Definition of Typical Day'!"&amp;ADDRESS(13,E149))</f>
        <v>6</v>
      </c>
      <c r="H149" s="768" cm="1">
        <f t="array" aca="1" ref="H149" ca="1">INDIRECT("'Definition of Typical Day'!"&amp; ADDRESS($D149+28*(H$16-1),$E149))</f>
        <v>0</v>
      </c>
      <c r="I149" s="715" cm="1">
        <f t="array" aca="1" ref="I149" ca="1">INDIRECT("'Definition of Typical Day'!"&amp; ADDRESS($D149+29*(I$16-1),$E149))</f>
        <v>40</v>
      </c>
      <c r="J149" s="715">
        <f t="shared" ca="1" si="105"/>
        <v>37</v>
      </c>
      <c r="K149" s="785">
        <f t="shared" si="106"/>
        <v>28</v>
      </c>
      <c r="L149" s="786" cm="1">
        <f t="array" aca="1" ref="L149" ca="1">INDIRECT("'Definition of Typical Day'!"&amp; ADDRESS($D149+29*(L$16-1),$E149))</f>
        <v>0</v>
      </c>
      <c r="M149" s="768" cm="1">
        <f t="array" aca="1" ref="M149" ca="1">INDIRECT("'Definition of Typical Day'!"&amp; ADDRESS($D149+29*(M$16-1),$E149))</f>
        <v>72.5</v>
      </c>
      <c r="N149" s="715">
        <f t="shared" si="107"/>
        <v>3</v>
      </c>
      <c r="O149" s="715">
        <f t="shared" ca="1" si="108"/>
        <v>75.5</v>
      </c>
      <c r="P149" s="715" cm="1">
        <f t="array" aca="1" ref="P149" ca="1">INDIRECT("'Definition of Typical Day'!"&amp; ADDRESS($D149+29*(P$16-1),$E149))</f>
        <v>45</v>
      </c>
      <c r="Q149" s="787">
        <f t="shared" ca="1" si="109"/>
        <v>48</v>
      </c>
      <c r="R149" s="792">
        <f t="shared" ca="1" si="110"/>
        <v>75.5</v>
      </c>
      <c r="S149" s="769">
        <f t="shared" si="111"/>
        <v>3</v>
      </c>
      <c r="T149" s="769">
        <f t="shared" ca="1" si="112"/>
        <v>0.24</v>
      </c>
      <c r="U149" s="769">
        <f t="shared" ca="1" si="113"/>
        <v>0.377</v>
      </c>
      <c r="V149" s="769">
        <f t="shared" ca="1" si="114"/>
        <v>0</v>
      </c>
      <c r="W149" s="769">
        <f t="shared" ca="1" si="115"/>
        <v>3.617</v>
      </c>
      <c r="X149" s="794">
        <f t="shared" si="116"/>
        <v>3</v>
      </c>
      <c r="Y149" s="769">
        <f t="shared" ca="1" si="117"/>
        <v>2.8722813232690143</v>
      </c>
      <c r="Z149" s="769">
        <f t="shared" ca="1" si="118"/>
        <v>0</v>
      </c>
      <c r="AA149" s="795">
        <f t="shared" ca="1" si="119"/>
        <v>0</v>
      </c>
      <c r="AB149" s="769">
        <f t="shared" ca="1" si="120"/>
        <v>0</v>
      </c>
      <c r="AC149" s="769">
        <f t="shared" ca="1" si="121"/>
        <v>0</v>
      </c>
      <c r="AD149" s="769">
        <f t="shared" ca="1" si="122"/>
        <v>0</v>
      </c>
      <c r="AE149" s="794">
        <f t="shared" ca="1" si="123"/>
        <v>0</v>
      </c>
      <c r="AF149" s="769">
        <f t="shared" ca="1" si="124"/>
        <v>0</v>
      </c>
      <c r="AG149" s="769">
        <f t="shared" ca="1" si="125"/>
        <v>0</v>
      </c>
      <c r="AH149" s="799">
        <f t="shared" ca="1" si="126"/>
        <v>0</v>
      </c>
      <c r="AI149" s="801">
        <f t="shared" ca="1" si="127"/>
        <v>1</v>
      </c>
      <c r="AJ149" s="794">
        <f t="shared" ca="1" si="128"/>
        <v>0</v>
      </c>
      <c r="AK149" s="769">
        <f t="shared" ca="1" si="129"/>
        <v>0</v>
      </c>
      <c r="AL149" s="769">
        <f t="shared" ca="1" si="130"/>
        <v>0</v>
      </c>
      <c r="AM149" s="804">
        <f t="shared" ref="AM149:AM212" ca="1" si="153">IF($BY149=1,$AJ149,0)*$BD149/AM$16</f>
        <v>0</v>
      </c>
      <c r="AN149" s="795">
        <f t="shared" ref="AN149:AN212" ca="1" si="154">(H149-IF($BY149=1,$AJ149,0))*$BD149/AN$16</f>
        <v>0</v>
      </c>
      <c r="AO149" s="251"/>
      <c r="AP149" s="770">
        <f t="shared" si="131"/>
        <v>0</v>
      </c>
      <c r="AQ149" s="771">
        <f t="shared" ca="1" si="132"/>
        <v>0</v>
      </c>
      <c r="AR149" s="771">
        <f t="shared" ca="1" si="133"/>
        <v>0</v>
      </c>
      <c r="AS149" s="772">
        <f t="shared" ca="1" si="134"/>
        <v>0</v>
      </c>
      <c r="AT149" s="231"/>
      <c r="AU149" s="770">
        <f>'Main Results - IRR DC Operator'!$F$16</f>
        <v>2</v>
      </c>
      <c r="AV149" s="773">
        <f>'Main Results - IRR DC Operator'!$F$15</f>
        <v>1</v>
      </c>
      <c r="AW149" s="771">
        <f t="shared" ca="1" si="135"/>
        <v>0</v>
      </c>
      <c r="AX149" s="772">
        <f t="shared" si="136"/>
        <v>0</v>
      </c>
      <c r="AY149" s="231"/>
      <c r="AZ149" s="770" cm="1">
        <f t="array" aca="1" ref="AZ149" ca="1">INDIRECT("'Definition of Typical Day'!"&amp; ADDRESS($D149+29*(AZ$16-1),$E149))+$AZ$17</f>
        <v>90.64</v>
      </c>
      <c r="BA149" s="771" cm="1">
        <f t="array" aca="1" ref="BA149" ca="1">INDIRECT("'Definition of Typical Day'!"&amp; ADDRESS($D149+29*(BA$16-1),$E149))+$BA$17</f>
        <v>90.64</v>
      </c>
      <c r="BB149" s="772" cm="1">
        <f t="array" aca="1" ref="BB149" ca="1">INDIRECT("'Definition of Typical Day'!"&amp;ADDRESS(BB$16,$E149))</f>
        <v>66</v>
      </c>
      <c r="BC149" s="776" cm="1">
        <f t="array" aca="1" ref="BC149" ca="1">INDIRECT("'Definition of Typical Day'!"&amp; ADDRESS($D149+29*(BC$16-1),$E149))</f>
        <v>89.64</v>
      </c>
      <c r="BD149" s="777" cm="1">
        <f t="array" aca="1" ref="BD149" ca="1">INDIRECT("'Definition of Typical Day'!"&amp; ADDRESS($D149+29*(BD$16-1),$E149))</f>
        <v>1</v>
      </c>
      <c r="BE149" s="776">
        <f t="shared" si="137"/>
        <v>0</v>
      </c>
      <c r="BF149" s="771">
        <f t="shared" ca="1" si="138"/>
        <v>0</v>
      </c>
      <c r="BG149" s="771">
        <f t="shared" ca="1" si="139"/>
        <v>0</v>
      </c>
      <c r="BH149" s="771">
        <f t="shared" ca="1" si="140"/>
        <v>0</v>
      </c>
      <c r="BI149" s="776">
        <f t="shared" ca="1" si="141"/>
        <v>0</v>
      </c>
      <c r="BJ149" s="776">
        <f t="shared" ca="1" si="142"/>
        <v>0</v>
      </c>
      <c r="BK149" s="776">
        <f t="shared" ca="1" si="143"/>
        <v>0</v>
      </c>
      <c r="BL149" s="776">
        <f t="shared" ca="1" si="144"/>
        <v>0</v>
      </c>
      <c r="BM149" s="135"/>
      <c r="BN149" s="776">
        <f t="shared" ca="1" si="145"/>
        <v>0</v>
      </c>
      <c r="BO149" s="778">
        <f t="shared" ref="BO149:BO212" ca="1" si="155">BN149/MAX(0.0001,AH149)</f>
        <v>0</v>
      </c>
      <c r="BP149" s="770">
        <f t="shared" ref="BP149:BP212" ca="1" si="156">SUM(AX149,BF149:BH149)</f>
        <v>0</v>
      </c>
      <c r="BQ149" s="771">
        <f t="shared" ref="BQ149:BQ212" ca="1" si="157">$BQ$16*AH149</f>
        <v>0</v>
      </c>
      <c r="BR149" s="771">
        <f t="shared" ref="BR149:BR212" ca="1" si="158">$BR$16*AD149</f>
        <v>0</v>
      </c>
      <c r="BS149" s="776">
        <f t="shared" ca="1" si="146"/>
        <v>0</v>
      </c>
      <c r="BT149" s="776">
        <f t="shared" ref="BT149:BT212" ca="1" si="159">BP149+BQ149+BR149</f>
        <v>0</v>
      </c>
      <c r="BU149" s="783">
        <f t="shared" ref="BU149:BU212" ca="1" si="160">BT149/MAX(0.0001,AH149)</f>
        <v>0</v>
      </c>
      <c r="BV149" s="783">
        <f t="shared" ref="BV149:BV212" ca="1" si="161">(BT149-BL149)/MAX(0.0001,AH149)</f>
        <v>0</v>
      </c>
      <c r="BW149" s="1019">
        <f t="shared" ca="1" si="147"/>
        <v>0</v>
      </c>
      <c r="BX149" s="771" cm="1">
        <f t="array" aca="1" ref="BX149" ca="1">INDIRECT("'Definition of Typical Day'!"&amp; ADDRESS($D149+29*(BX$16-1),$E149))</f>
        <v>55</v>
      </c>
      <c r="BY149" s="771">
        <f t="shared" ca="1" si="148"/>
        <v>0</v>
      </c>
      <c r="BZ149" s="781">
        <f t="shared" ref="BZ149:BZ212" ca="1" si="162">IF(AND(AJ149&gt;0,BY149&gt;0),1,0)</f>
        <v>0</v>
      </c>
      <c r="CA149" s="781">
        <f t="shared" ref="CA149:CA212" ca="1" si="163">IF(BY149&gt;0,(AJ149+AK149)/X$16,0)</f>
        <v>0</v>
      </c>
      <c r="CB149" s="776">
        <f t="shared" ref="CB149:CB212" ca="1" si="164">BX149*AH149</f>
        <v>0</v>
      </c>
      <c r="CC149" s="782">
        <f t="shared" ref="CC149:CC212" si="165">A149</f>
        <v>6</v>
      </c>
      <c r="CD149" s="782">
        <f t="shared" ref="CD149:CD212" si="166">C149</f>
        <v>9</v>
      </c>
      <c r="CE149" s="784" t="str" cm="1">
        <f t="array" aca="1" ref="CE149" ca="1">INDIRECT("'Definition of Typical Day'!"&amp;ADDRESS(CE$16,$E149))</f>
        <v>Maintenance of HP</v>
      </c>
      <c r="CF149" s="232"/>
      <c r="CG149" s="232"/>
      <c r="CH149" s="776">
        <f t="shared" ref="CH149:CH212" ca="1" si="167">H149</f>
        <v>0</v>
      </c>
      <c r="CI149" s="806">
        <f t="shared" ref="CI149:CI212" ca="1" si="168">L149</f>
        <v>0</v>
      </c>
      <c r="CJ149" s="770">
        <f t="shared" ref="CJ149:CJ212" ca="1" si="169">AH149*$BY149</f>
        <v>0</v>
      </c>
      <c r="CK149" s="771">
        <f t="shared" ref="CK149:CK212" ca="1" si="170">AJ149*$BY149</f>
        <v>0</v>
      </c>
      <c r="CL149" s="771">
        <f t="shared" ref="CL149:CL212" ca="1" si="171">AK149*$BY149</f>
        <v>0</v>
      </c>
      <c r="CM149" s="772">
        <f t="shared" ref="CM149:CM212" ca="1" si="172">AL149*$BY149</f>
        <v>0</v>
      </c>
      <c r="CN149" s="135"/>
      <c r="CO149" s="770">
        <f t="shared" ca="1" si="149"/>
        <v>1.05</v>
      </c>
      <c r="CP149" s="771">
        <f t="shared" ref="CP149:CP212" ca="1" si="173">IF(L149&lt;0.01,2%,98%)</f>
        <v>0.02</v>
      </c>
      <c r="CQ149" s="771">
        <f t="shared" ref="CQ149:CQ212" ca="1" si="174">IF(H149&lt;0.01,-2.5%,96%)</f>
        <v>-2.5000000000000001E-2</v>
      </c>
      <c r="CR149" s="771">
        <f t="shared" ref="CR149:CR212" ca="1" si="175">IF(OR(AB149=0,AD149&gt;0),95%,5%)</f>
        <v>0.95</v>
      </c>
      <c r="CS149" s="771">
        <f t="shared" ref="CS149:CS212" ca="1" si="176">IF(AJ149&gt;0.01,102%,3%)</f>
        <v>0.03</v>
      </c>
      <c r="CT149" s="772">
        <f t="shared" ref="CT149:CT212" ca="1" si="177">IF(AL149&gt;0.01,101%,2%)</f>
        <v>0.02</v>
      </c>
      <c r="CU149" s="135"/>
      <c r="CV149" s="135"/>
      <c r="CW149" s="135"/>
      <c r="CX149" s="135"/>
      <c r="CY149" s="135"/>
      <c r="CZ149" s="135"/>
      <c r="DA149" s="135"/>
      <c r="DB149" s="135"/>
      <c r="DC149" s="135"/>
      <c r="DD149" s="135"/>
      <c r="DE149" s="135"/>
      <c r="DF149" s="135"/>
      <c r="DG149" s="135"/>
      <c r="DH149" s="135"/>
      <c r="DI149" s="135"/>
      <c r="DJ149" s="135"/>
      <c r="DK149" s="135"/>
      <c r="DL149" s="135"/>
      <c r="DX149" s="135"/>
      <c r="DY149" s="135"/>
      <c r="DZ149" s="135"/>
      <c r="EA149" s="135"/>
      <c r="EB149" s="135"/>
      <c r="EC149" s="135"/>
      <c r="ED149" s="135"/>
      <c r="EE149" s="135"/>
      <c r="EF149" s="135"/>
      <c r="EG149" s="135"/>
      <c r="EH149" s="135"/>
      <c r="EI149" s="135"/>
      <c r="EJ149" s="135"/>
      <c r="EK149" s="135"/>
      <c r="EL149" s="135"/>
      <c r="EM149" s="135"/>
      <c r="EN149" s="135"/>
      <c r="EO149" s="135"/>
      <c r="EP149" s="135"/>
      <c r="EQ149" s="135"/>
      <c r="ER149" s="135"/>
      <c r="ES149" s="135"/>
      <c r="ET149" s="135"/>
      <c r="EU149" s="135"/>
      <c r="EV149" s="135"/>
      <c r="EW149" s="135"/>
      <c r="EX149" s="135"/>
      <c r="EY149" s="135"/>
      <c r="EZ149" s="135"/>
      <c r="FA149" s="135"/>
      <c r="FB149" s="135"/>
      <c r="FC149" s="135"/>
      <c r="FD149" s="135"/>
      <c r="FE149" s="135"/>
      <c r="FF149" s="135"/>
      <c r="FG149" s="135"/>
    </row>
    <row r="150" spans="1:163" s="57" customFormat="1" ht="11.25" outlineLevel="1">
      <c r="A150" s="765">
        <f t="shared" si="150"/>
        <v>6</v>
      </c>
      <c r="B150" s="715" t="str" cm="1">
        <f t="array" aca="1" ref="B150" ca="1">INDIRECT("'Definition of Typical Day'!"&amp;ADDRESS(B$16,$E150))</f>
        <v>Maintenance of HP</v>
      </c>
      <c r="C150" s="766">
        <f t="shared" si="151"/>
        <v>10</v>
      </c>
      <c r="D150" s="715">
        <f t="shared" si="151"/>
        <v>44</v>
      </c>
      <c r="E150" s="715">
        <f t="shared" si="152"/>
        <v>10</v>
      </c>
      <c r="F150" s="767" cm="1">
        <f t="array" aca="1" ref="F150" ca="1">INDIRECT("'Definition of Typical Day'!D"&amp;D150)</f>
        <v>10</v>
      </c>
      <c r="G150" s="767" cm="1">
        <f t="array" aca="1" ref="G150" ca="1">INDIRECT("'Definition of Typical Day'!"&amp;ADDRESS(13,E150))</f>
        <v>6</v>
      </c>
      <c r="H150" s="768" cm="1">
        <f t="array" aca="1" ref="H150" ca="1">INDIRECT("'Definition of Typical Day'!"&amp; ADDRESS($D150+28*(H$16-1),$E150))</f>
        <v>0</v>
      </c>
      <c r="I150" s="715" cm="1">
        <f t="array" aca="1" ref="I150" ca="1">INDIRECT("'Definition of Typical Day'!"&amp; ADDRESS($D150+29*(I$16-1),$E150))</f>
        <v>40</v>
      </c>
      <c r="J150" s="715">
        <f t="shared" ref="J150:J213" ca="1" si="178">IF(I150&lt;K150,0,I150-$J$16)</f>
        <v>37</v>
      </c>
      <c r="K150" s="785">
        <f t="shared" ref="K150:K213" si="179">$K$16</f>
        <v>28</v>
      </c>
      <c r="L150" s="786" cm="1">
        <f t="array" aca="1" ref="L150" ca="1">INDIRECT("'Definition of Typical Day'!"&amp; ADDRESS($D150+29*(L$16-1),$E150))</f>
        <v>0</v>
      </c>
      <c r="M150" s="768" cm="1">
        <f t="array" aca="1" ref="M150" ca="1">INDIRECT("'Definition of Typical Day'!"&amp; ADDRESS($D150+29*(M$16-1),$E150))</f>
        <v>71.666666666666657</v>
      </c>
      <c r="N150" s="715">
        <f t="shared" ref="N150:N213" si="180">$N$16</f>
        <v>3</v>
      </c>
      <c r="O150" s="715">
        <f t="shared" ref="O150:O213" ca="1" si="181">N150+M150</f>
        <v>74.666666666666657</v>
      </c>
      <c r="P150" s="715" cm="1">
        <f t="array" aca="1" ref="P150" ca="1">INDIRECT("'Definition of Typical Day'!"&amp; ADDRESS($D150+29*(P$16-1),$E150))</f>
        <v>45</v>
      </c>
      <c r="Q150" s="787">
        <f t="shared" ref="Q150:Q213" ca="1" si="182">P150+N150</f>
        <v>48</v>
      </c>
      <c r="R150" s="792">
        <f t="shared" ref="R150:R213" ca="1" si="183">MIN($R$16,O150)</f>
        <v>74.666666666666657</v>
      </c>
      <c r="S150" s="769">
        <f t="shared" ref="S150:S213" si="184">$S$16</f>
        <v>3</v>
      </c>
      <c r="T150" s="769">
        <f t="shared" ref="T150:T213" ca="1" si="185">ABS($T$16)*(J150-$T$17)</f>
        <v>0.24</v>
      </c>
      <c r="U150" s="769">
        <f t="shared" ref="U150:U213" ca="1" si="186">ABS($U$16)*($U$17-R150)</f>
        <v>0.39866666666666689</v>
      </c>
      <c r="V150" s="769">
        <f t="shared" ref="V150:V213" ca="1" si="187">($V$16)*(Q150-$V$17)</f>
        <v>0</v>
      </c>
      <c r="W150" s="769">
        <f t="shared" ref="W150:W213" ca="1" si="188">SUM(S150:V150)</f>
        <v>3.6386666666666669</v>
      </c>
      <c r="X150" s="794">
        <f t="shared" ref="X150:X213" si="189">$X$16</f>
        <v>3</v>
      </c>
      <c r="Y150" s="769">
        <f t="shared" ref="Y150:Y213" ca="1" si="190">X150*MIN(1,(MAX(1,R150-Q150)/$Y$16)^$Y$17)</f>
        <v>2.8284271247461898</v>
      </c>
      <c r="Z150" s="769">
        <f t="shared" ref="Z150:Z213" ca="1" si="191">MIN(H150*W150/(W150-1),Y150)</f>
        <v>0</v>
      </c>
      <c r="AA150" s="795">
        <f t="shared" ref="AA150:AA213" ca="1" si="192">(0.00001 + AD150)/(0.00001+AC150)*Z150</f>
        <v>0</v>
      </c>
      <c r="AB150" s="769">
        <f t="shared" ref="AB150:AB213" ca="1" si="193">MAX(0, O150-R150)</f>
        <v>0</v>
      </c>
      <c r="AC150" s="769">
        <f t="shared" ref="AC150:AC213" ca="1" si="194">(AB150/MAX(1,R150-Q150)*Z150)</f>
        <v>0</v>
      </c>
      <c r="AD150" s="769">
        <f t="shared" ref="AD150:AD213" ca="1" si="195">MIN(AC150,$AD$16)</f>
        <v>0</v>
      </c>
      <c r="AE150" s="794">
        <f t="shared" ref="AE150:AE213" ca="1" si="196">AD150+AA150</f>
        <v>0</v>
      </c>
      <c r="AF150" s="769">
        <f t="shared" ref="AF150:AF213" ca="1" si="197">AE150*$AF$16/100</f>
        <v>0</v>
      </c>
      <c r="AG150" s="769">
        <f t="shared" ref="AG150:AG213" ca="1" si="198">AE150-AF150</f>
        <v>0</v>
      </c>
      <c r="AH150" s="799">
        <f t="shared" ref="AH150:AH213" ca="1" si="199">MIN(AG150,L150)</f>
        <v>0</v>
      </c>
      <c r="AI150" s="801">
        <f t="shared" ref="AI150:AI213" ca="1" si="200">(0.00001 + AH150)/(0.00001+AG150)</f>
        <v>1</v>
      </c>
      <c r="AJ150" s="794">
        <f t="shared" ref="AJ150:AJ213" ca="1" si="201">AA150*(W150-1)/(W150)*$AI150</f>
        <v>0</v>
      </c>
      <c r="AK150" s="769">
        <f t="shared" ref="AK150:AK213" ca="1" si="202">AA150/(W150)*$AI150</f>
        <v>0</v>
      </c>
      <c r="AL150" s="769">
        <f t="shared" ref="AL150:AL213" ca="1" si="203">AD150/MAX(0.001, $AL$16/100)*$AI150</f>
        <v>0</v>
      </c>
      <c r="AM150" s="804">
        <f t="shared" ca="1" si="153"/>
        <v>0</v>
      </c>
      <c r="AN150" s="795">
        <f t="shared" ca="1" si="154"/>
        <v>0</v>
      </c>
      <c r="AO150" s="251"/>
      <c r="AP150" s="770">
        <f t="shared" ref="AP150:AP213" si="204">$AP$16</f>
        <v>0</v>
      </c>
      <c r="AQ150" s="771">
        <f t="shared" ref="AQ150:AQ213" ca="1" si="205">AP150*H150</f>
        <v>0</v>
      </c>
      <c r="AR150" s="771">
        <f t="shared" ref="AR150:AR213" ca="1" si="206">$AR$16*AJ150</f>
        <v>0</v>
      </c>
      <c r="AS150" s="772">
        <f t="shared" ref="AS150:AS213" ca="1" si="207">AR150+AQ150</f>
        <v>0</v>
      </c>
      <c r="AT150" s="231"/>
      <c r="AU150" s="770">
        <f>'Main Results - IRR DC Operator'!$F$16</f>
        <v>2</v>
      </c>
      <c r="AV150" s="773">
        <f>'Main Results - IRR DC Operator'!$F$15</f>
        <v>1</v>
      </c>
      <c r="AW150" s="771">
        <f t="shared" ref="AW150:AW213" ca="1" si="208">IF(AV150=1,H150*AU150,0)</f>
        <v>0</v>
      </c>
      <c r="AX150" s="772">
        <f t="shared" ref="AX150:AX213" si="209">IF(AV150=2,AJ150*AU150,0)</f>
        <v>0</v>
      </c>
      <c r="AY150" s="231"/>
      <c r="AZ150" s="770" cm="1">
        <f t="array" aca="1" ref="AZ150" ca="1">INDIRECT("'Definition of Typical Day'!"&amp; ADDRESS($D150+29*(AZ$16-1),$E150))+$AZ$17</f>
        <v>79.405000000000001</v>
      </c>
      <c r="BA150" s="771" cm="1">
        <f t="array" aca="1" ref="BA150" ca="1">INDIRECT("'Definition of Typical Day'!"&amp; ADDRESS($D150+29*(BA$16-1),$E150))+$BA$17</f>
        <v>79.405000000000001</v>
      </c>
      <c r="BB150" s="772" cm="1">
        <f t="array" aca="1" ref="BB150" ca="1">INDIRECT("'Definition of Typical Day'!"&amp;ADDRESS(BB$16,$E150))</f>
        <v>66</v>
      </c>
      <c r="BC150" s="776" cm="1">
        <f t="array" aca="1" ref="BC150" ca="1">INDIRECT("'Definition of Typical Day'!"&amp; ADDRESS($D150+29*(BC$16-1),$E150))</f>
        <v>78.405000000000001</v>
      </c>
      <c r="BD150" s="777" cm="1">
        <f t="array" aca="1" ref="BD150" ca="1">INDIRECT("'Definition of Typical Day'!"&amp; ADDRESS($D150+29*(BD$16-1),$E150))</f>
        <v>1</v>
      </c>
      <c r="BE150" s="776">
        <f t="shared" ref="BE150:BE213" si="210">$BE$16</f>
        <v>0</v>
      </c>
      <c r="BF150" s="771">
        <f t="shared" ref="BF150:BF213" ca="1" si="211">AZ150*AK150</f>
        <v>0</v>
      </c>
      <c r="BG150" s="771">
        <f t="shared" ref="BG150:BG213" ca="1" si="212">AE150*BG$16/100*BB150*AI150</f>
        <v>0</v>
      </c>
      <c r="BH150" s="771">
        <f t="shared" ref="BH150:BH213" ca="1" si="213">BA150*AL150</f>
        <v>0</v>
      </c>
      <c r="BI150" s="776">
        <f t="shared" ref="BI150:BI213" ca="1" si="214">AM150*$BC150</f>
        <v>0</v>
      </c>
      <c r="BJ150" s="776">
        <f t="shared" ref="BJ150:BJ213" ca="1" si="215">AN150*$BC150</f>
        <v>0</v>
      </c>
      <c r="BK150" s="776">
        <f t="shared" ref="BK150:BK213" ca="1" si="216">BE150*AJ150</f>
        <v>0</v>
      </c>
      <c r="BL150" s="776">
        <f t="shared" ref="BL150:BL213" ca="1" si="217">MIN(MAX(SUM(BF150:BG150),0), BK150)</f>
        <v>0</v>
      </c>
      <c r="BM150" s="135"/>
      <c r="BN150" s="776">
        <f t="shared" ref="BN150:BN213" ca="1" si="218">SUM(AW150:AX150,BF150:BH150)-BL150</f>
        <v>0</v>
      </c>
      <c r="BO150" s="778">
        <f t="shared" ca="1" si="155"/>
        <v>0</v>
      </c>
      <c r="BP150" s="770">
        <f t="shared" ca="1" si="156"/>
        <v>0</v>
      </c>
      <c r="BQ150" s="771">
        <f t="shared" ca="1" si="157"/>
        <v>0</v>
      </c>
      <c r="BR150" s="771">
        <f t="shared" ca="1" si="158"/>
        <v>0</v>
      </c>
      <c r="BS150" s="776">
        <f t="shared" ref="BS150:BS213" ca="1" si="219">BN150+BQ150+BR150</f>
        <v>0</v>
      </c>
      <c r="BT150" s="776">
        <f t="shared" ca="1" si="159"/>
        <v>0</v>
      </c>
      <c r="BU150" s="783">
        <f t="shared" ca="1" si="160"/>
        <v>0</v>
      </c>
      <c r="BV150" s="783">
        <f t="shared" ca="1" si="161"/>
        <v>0</v>
      </c>
      <c r="BW150" s="1019">
        <f t="shared" ref="BW150:BW213" ca="1" si="220">IF(BW$16=1,BV150,BU150)</f>
        <v>0</v>
      </c>
      <c r="BX150" s="771" cm="1">
        <f t="array" aca="1" ref="BX150" ca="1">INDIRECT("'Definition of Typical Day'!"&amp; ADDRESS($D150+29*(BX$16-1),$E150))</f>
        <v>55</v>
      </c>
      <c r="BY150" s="771">
        <f t="shared" ref="BY150:BY213" ca="1" si="221">IF(OR(BW150&gt;BX150,SUM(AJ150:AL150)&lt;0.01),0%,100%)</f>
        <v>0</v>
      </c>
      <c r="BZ150" s="781">
        <f t="shared" ca="1" si="162"/>
        <v>0</v>
      </c>
      <c r="CA150" s="781">
        <f t="shared" ca="1" si="163"/>
        <v>0</v>
      </c>
      <c r="CB150" s="776">
        <f t="shared" ca="1" si="164"/>
        <v>0</v>
      </c>
      <c r="CC150" s="782">
        <f t="shared" si="165"/>
        <v>6</v>
      </c>
      <c r="CD150" s="782">
        <f t="shared" si="166"/>
        <v>10</v>
      </c>
      <c r="CE150" s="784" t="str" cm="1">
        <f t="array" aca="1" ref="CE150" ca="1">INDIRECT("'Definition of Typical Day'!"&amp;ADDRESS(CE$16,$E150))</f>
        <v>Maintenance of HP</v>
      </c>
      <c r="CF150" s="232"/>
      <c r="CG150" s="232"/>
      <c r="CH150" s="776">
        <f t="shared" ca="1" si="167"/>
        <v>0</v>
      </c>
      <c r="CI150" s="806">
        <f t="shared" ca="1" si="168"/>
        <v>0</v>
      </c>
      <c r="CJ150" s="770">
        <f t="shared" ca="1" si="169"/>
        <v>0</v>
      </c>
      <c r="CK150" s="771">
        <f t="shared" ca="1" si="170"/>
        <v>0</v>
      </c>
      <c r="CL150" s="771">
        <f t="shared" ca="1" si="171"/>
        <v>0</v>
      </c>
      <c r="CM150" s="772">
        <f t="shared" ca="1" si="172"/>
        <v>0</v>
      </c>
      <c r="CN150" s="135"/>
      <c r="CO150" s="770">
        <f t="shared" ca="1" si="149"/>
        <v>1.05</v>
      </c>
      <c r="CP150" s="771">
        <f t="shared" ca="1" si="173"/>
        <v>0.02</v>
      </c>
      <c r="CQ150" s="771">
        <f t="shared" ca="1" si="174"/>
        <v>-2.5000000000000001E-2</v>
      </c>
      <c r="CR150" s="771">
        <f t="shared" ca="1" si="175"/>
        <v>0.95</v>
      </c>
      <c r="CS150" s="771">
        <f t="shared" ca="1" si="176"/>
        <v>0.03</v>
      </c>
      <c r="CT150" s="772">
        <f t="shared" ca="1" si="177"/>
        <v>0.02</v>
      </c>
      <c r="CU150" s="135"/>
      <c r="CV150" s="135"/>
      <c r="CW150" s="135"/>
      <c r="CX150" s="135"/>
      <c r="CY150" s="135"/>
      <c r="CZ150" s="135"/>
      <c r="DA150" s="135"/>
      <c r="DB150" s="135"/>
      <c r="DC150" s="135"/>
      <c r="DD150" s="135"/>
      <c r="DE150" s="135"/>
      <c r="DF150" s="135"/>
      <c r="DG150" s="135"/>
      <c r="DH150" s="135"/>
      <c r="DI150" s="135"/>
      <c r="DJ150" s="135"/>
      <c r="DK150" s="135"/>
      <c r="DL150" s="135"/>
      <c r="DX150" s="135"/>
      <c r="DY150" s="135"/>
      <c r="DZ150" s="135"/>
      <c r="EA150" s="135"/>
      <c r="EB150" s="135"/>
      <c r="EC150" s="135"/>
      <c r="ED150" s="135"/>
      <c r="EE150" s="135"/>
      <c r="EF150" s="135"/>
      <c r="EG150" s="135"/>
      <c r="EH150" s="135"/>
      <c r="EI150" s="135"/>
      <c r="EJ150" s="135"/>
      <c r="EK150" s="135"/>
      <c r="EL150" s="135"/>
      <c r="EM150" s="135"/>
      <c r="EN150" s="135"/>
      <c r="EO150" s="135"/>
      <c r="EP150" s="135"/>
      <c r="EQ150" s="135"/>
      <c r="ER150" s="135"/>
      <c r="ES150" s="135"/>
      <c r="ET150" s="135"/>
      <c r="EU150" s="135"/>
      <c r="EV150" s="135"/>
      <c r="EW150" s="135"/>
      <c r="EX150" s="135"/>
      <c r="EY150" s="135"/>
      <c r="EZ150" s="135"/>
      <c r="FA150" s="135"/>
      <c r="FB150" s="135"/>
      <c r="FC150" s="135"/>
      <c r="FD150" s="135"/>
      <c r="FE150" s="135"/>
      <c r="FF150" s="135"/>
      <c r="FG150" s="135"/>
    </row>
    <row r="151" spans="1:163" s="57" customFormat="1" ht="11.25" outlineLevel="1">
      <c r="A151" s="765">
        <f t="shared" si="150"/>
        <v>6</v>
      </c>
      <c r="B151" s="715" t="str" cm="1">
        <f t="array" aca="1" ref="B151" ca="1">INDIRECT("'Definition of Typical Day'!"&amp;ADDRESS(B$16,$E151))</f>
        <v>Maintenance of HP</v>
      </c>
      <c r="C151" s="766">
        <f t="shared" si="151"/>
        <v>11</v>
      </c>
      <c r="D151" s="715">
        <f t="shared" si="151"/>
        <v>45</v>
      </c>
      <c r="E151" s="715">
        <f t="shared" si="152"/>
        <v>10</v>
      </c>
      <c r="F151" s="767" cm="1">
        <f t="array" aca="1" ref="F151" ca="1">INDIRECT("'Definition of Typical Day'!D"&amp;D151)</f>
        <v>11</v>
      </c>
      <c r="G151" s="767" cm="1">
        <f t="array" aca="1" ref="G151" ca="1">INDIRECT("'Definition of Typical Day'!"&amp;ADDRESS(13,E151))</f>
        <v>6</v>
      </c>
      <c r="H151" s="768" cm="1">
        <f t="array" aca="1" ref="H151" ca="1">INDIRECT("'Definition of Typical Day'!"&amp; ADDRESS($D151+28*(H$16-1),$E151))</f>
        <v>0</v>
      </c>
      <c r="I151" s="715" cm="1">
        <f t="array" aca="1" ref="I151" ca="1">INDIRECT("'Definition of Typical Day'!"&amp; ADDRESS($D151+29*(I$16-1),$E151))</f>
        <v>40</v>
      </c>
      <c r="J151" s="715">
        <f t="shared" ca="1" si="178"/>
        <v>37</v>
      </c>
      <c r="K151" s="785">
        <f t="shared" si="179"/>
        <v>28</v>
      </c>
      <c r="L151" s="786" cm="1">
        <f t="array" aca="1" ref="L151" ca="1">INDIRECT("'Definition of Typical Day'!"&amp; ADDRESS($D151+29*(L$16-1),$E151))</f>
        <v>0</v>
      </c>
      <c r="M151" s="768" cm="1">
        <f t="array" aca="1" ref="M151" ca="1">INDIRECT("'Definition of Typical Day'!"&amp; ADDRESS($D151+29*(M$16-1),$E151))</f>
        <v>70.833333333333314</v>
      </c>
      <c r="N151" s="715">
        <f t="shared" si="180"/>
        <v>3</v>
      </c>
      <c r="O151" s="715">
        <f t="shared" ca="1" si="181"/>
        <v>73.833333333333314</v>
      </c>
      <c r="P151" s="715" cm="1">
        <f t="array" aca="1" ref="P151" ca="1">INDIRECT("'Definition of Typical Day'!"&amp; ADDRESS($D151+29*(P$16-1),$E151))</f>
        <v>45</v>
      </c>
      <c r="Q151" s="787">
        <f t="shared" ca="1" si="182"/>
        <v>48</v>
      </c>
      <c r="R151" s="792">
        <f t="shared" ca="1" si="183"/>
        <v>73.833333333333314</v>
      </c>
      <c r="S151" s="769">
        <f t="shared" si="184"/>
        <v>3</v>
      </c>
      <c r="T151" s="769">
        <f t="shared" ca="1" si="185"/>
        <v>0.24</v>
      </c>
      <c r="U151" s="769">
        <f t="shared" ca="1" si="186"/>
        <v>0.42033333333333378</v>
      </c>
      <c r="V151" s="769">
        <f t="shared" ca="1" si="187"/>
        <v>0</v>
      </c>
      <c r="W151" s="769">
        <f t="shared" ca="1" si="188"/>
        <v>3.6603333333333339</v>
      </c>
      <c r="X151" s="794">
        <f t="shared" si="189"/>
        <v>3</v>
      </c>
      <c r="Y151" s="769">
        <f t="shared" ca="1" si="190"/>
        <v>2.7838821814150099</v>
      </c>
      <c r="Z151" s="769">
        <f t="shared" ca="1" si="191"/>
        <v>0</v>
      </c>
      <c r="AA151" s="795">
        <f t="shared" ca="1" si="192"/>
        <v>0</v>
      </c>
      <c r="AB151" s="769">
        <f t="shared" ca="1" si="193"/>
        <v>0</v>
      </c>
      <c r="AC151" s="769">
        <f t="shared" ca="1" si="194"/>
        <v>0</v>
      </c>
      <c r="AD151" s="769">
        <f t="shared" ca="1" si="195"/>
        <v>0</v>
      </c>
      <c r="AE151" s="794">
        <f t="shared" ca="1" si="196"/>
        <v>0</v>
      </c>
      <c r="AF151" s="769">
        <f t="shared" ca="1" si="197"/>
        <v>0</v>
      </c>
      <c r="AG151" s="769">
        <f t="shared" ca="1" si="198"/>
        <v>0</v>
      </c>
      <c r="AH151" s="799">
        <f t="shared" ca="1" si="199"/>
        <v>0</v>
      </c>
      <c r="AI151" s="801">
        <f t="shared" ca="1" si="200"/>
        <v>1</v>
      </c>
      <c r="AJ151" s="794">
        <f t="shared" ca="1" si="201"/>
        <v>0</v>
      </c>
      <c r="AK151" s="769">
        <f t="shared" ca="1" si="202"/>
        <v>0</v>
      </c>
      <c r="AL151" s="769">
        <f t="shared" ca="1" si="203"/>
        <v>0</v>
      </c>
      <c r="AM151" s="804">
        <f t="shared" ca="1" si="153"/>
        <v>0</v>
      </c>
      <c r="AN151" s="795">
        <f t="shared" ca="1" si="154"/>
        <v>0</v>
      </c>
      <c r="AO151" s="251"/>
      <c r="AP151" s="770">
        <f t="shared" si="204"/>
        <v>0</v>
      </c>
      <c r="AQ151" s="771">
        <f t="shared" ca="1" si="205"/>
        <v>0</v>
      </c>
      <c r="AR151" s="771">
        <f t="shared" ca="1" si="206"/>
        <v>0</v>
      </c>
      <c r="AS151" s="772">
        <f t="shared" ca="1" si="207"/>
        <v>0</v>
      </c>
      <c r="AT151" s="231"/>
      <c r="AU151" s="770">
        <f>'Main Results - IRR DC Operator'!$F$16</f>
        <v>2</v>
      </c>
      <c r="AV151" s="773">
        <f>'Main Results - IRR DC Operator'!$F$15</f>
        <v>1</v>
      </c>
      <c r="AW151" s="771">
        <f t="shared" ca="1" si="208"/>
        <v>0</v>
      </c>
      <c r="AX151" s="772">
        <f t="shared" si="209"/>
        <v>0</v>
      </c>
      <c r="AY151" s="231"/>
      <c r="AZ151" s="770" cm="1">
        <f t="array" aca="1" ref="AZ151" ca="1">INDIRECT("'Definition of Typical Day'!"&amp; ADDRESS($D151+29*(AZ$16-1),$E151))+$AZ$17</f>
        <v>62.495000000000005</v>
      </c>
      <c r="BA151" s="771" cm="1">
        <f t="array" aca="1" ref="BA151" ca="1">INDIRECT("'Definition of Typical Day'!"&amp; ADDRESS($D151+29*(BA$16-1),$E151))+$BA$17</f>
        <v>62.495000000000005</v>
      </c>
      <c r="BB151" s="772" cm="1">
        <f t="array" aca="1" ref="BB151" ca="1">INDIRECT("'Definition of Typical Day'!"&amp;ADDRESS(BB$16,$E151))</f>
        <v>66</v>
      </c>
      <c r="BC151" s="776" cm="1">
        <f t="array" aca="1" ref="BC151" ca="1">INDIRECT("'Definition of Typical Day'!"&amp; ADDRESS($D151+29*(BC$16-1),$E151))</f>
        <v>61.495000000000005</v>
      </c>
      <c r="BD151" s="777" cm="1">
        <f t="array" aca="1" ref="BD151" ca="1">INDIRECT("'Definition of Typical Day'!"&amp; ADDRESS($D151+29*(BD$16-1),$E151))</f>
        <v>1</v>
      </c>
      <c r="BE151" s="776">
        <f t="shared" si="210"/>
        <v>0</v>
      </c>
      <c r="BF151" s="771">
        <f t="shared" ca="1" si="211"/>
        <v>0</v>
      </c>
      <c r="BG151" s="771">
        <f t="shared" ca="1" si="212"/>
        <v>0</v>
      </c>
      <c r="BH151" s="771">
        <f t="shared" ca="1" si="213"/>
        <v>0</v>
      </c>
      <c r="BI151" s="776">
        <f t="shared" ca="1" si="214"/>
        <v>0</v>
      </c>
      <c r="BJ151" s="776">
        <f t="shared" ca="1" si="215"/>
        <v>0</v>
      </c>
      <c r="BK151" s="776">
        <f t="shared" ca="1" si="216"/>
        <v>0</v>
      </c>
      <c r="BL151" s="776">
        <f t="shared" ca="1" si="217"/>
        <v>0</v>
      </c>
      <c r="BM151" s="135"/>
      <c r="BN151" s="776">
        <f t="shared" ca="1" si="218"/>
        <v>0</v>
      </c>
      <c r="BO151" s="778">
        <f t="shared" ca="1" si="155"/>
        <v>0</v>
      </c>
      <c r="BP151" s="770">
        <f t="shared" ca="1" si="156"/>
        <v>0</v>
      </c>
      <c r="BQ151" s="771">
        <f t="shared" ca="1" si="157"/>
        <v>0</v>
      </c>
      <c r="BR151" s="771">
        <f t="shared" ca="1" si="158"/>
        <v>0</v>
      </c>
      <c r="BS151" s="776">
        <f t="shared" ca="1" si="219"/>
        <v>0</v>
      </c>
      <c r="BT151" s="776">
        <f t="shared" ca="1" si="159"/>
        <v>0</v>
      </c>
      <c r="BU151" s="783">
        <f t="shared" ca="1" si="160"/>
        <v>0</v>
      </c>
      <c r="BV151" s="783">
        <f t="shared" ca="1" si="161"/>
        <v>0</v>
      </c>
      <c r="BW151" s="1019">
        <f t="shared" ca="1" si="220"/>
        <v>0</v>
      </c>
      <c r="BX151" s="771" cm="1">
        <f t="array" aca="1" ref="BX151" ca="1">INDIRECT("'Definition of Typical Day'!"&amp; ADDRESS($D151+29*(BX$16-1),$E151))</f>
        <v>55</v>
      </c>
      <c r="BY151" s="771">
        <f t="shared" ca="1" si="221"/>
        <v>0</v>
      </c>
      <c r="BZ151" s="781">
        <f t="shared" ca="1" si="162"/>
        <v>0</v>
      </c>
      <c r="CA151" s="781">
        <f t="shared" ca="1" si="163"/>
        <v>0</v>
      </c>
      <c r="CB151" s="776">
        <f t="shared" ca="1" si="164"/>
        <v>0</v>
      </c>
      <c r="CC151" s="782">
        <f t="shared" si="165"/>
        <v>6</v>
      </c>
      <c r="CD151" s="782">
        <f t="shared" si="166"/>
        <v>11</v>
      </c>
      <c r="CE151" s="784" t="str" cm="1">
        <f t="array" aca="1" ref="CE151" ca="1">INDIRECT("'Definition of Typical Day'!"&amp;ADDRESS(CE$16,$E151))</f>
        <v>Maintenance of HP</v>
      </c>
      <c r="CF151" s="232"/>
      <c r="CG151" s="232"/>
      <c r="CH151" s="776">
        <f t="shared" ca="1" si="167"/>
        <v>0</v>
      </c>
      <c r="CI151" s="806">
        <f t="shared" ca="1" si="168"/>
        <v>0</v>
      </c>
      <c r="CJ151" s="770">
        <f t="shared" ca="1" si="169"/>
        <v>0</v>
      </c>
      <c r="CK151" s="771">
        <f t="shared" ca="1" si="170"/>
        <v>0</v>
      </c>
      <c r="CL151" s="771">
        <f t="shared" ca="1" si="171"/>
        <v>0</v>
      </c>
      <c r="CM151" s="772">
        <f t="shared" ca="1" si="172"/>
        <v>0</v>
      </c>
      <c r="CN151" s="135"/>
      <c r="CO151" s="770">
        <f t="shared" ca="1" si="149"/>
        <v>1.05</v>
      </c>
      <c r="CP151" s="771">
        <f t="shared" ca="1" si="173"/>
        <v>0.02</v>
      </c>
      <c r="CQ151" s="771">
        <f t="shared" ca="1" si="174"/>
        <v>-2.5000000000000001E-2</v>
      </c>
      <c r="CR151" s="771">
        <f t="shared" ca="1" si="175"/>
        <v>0.95</v>
      </c>
      <c r="CS151" s="771">
        <f t="shared" ca="1" si="176"/>
        <v>0.03</v>
      </c>
      <c r="CT151" s="772">
        <f t="shared" ca="1" si="177"/>
        <v>0.02</v>
      </c>
      <c r="CU151" s="135"/>
      <c r="CV151" s="135"/>
      <c r="CW151" s="135"/>
      <c r="CX151" s="135"/>
      <c r="CY151" s="135"/>
      <c r="CZ151" s="135"/>
      <c r="DA151" s="135"/>
      <c r="DB151" s="135"/>
      <c r="DC151" s="135"/>
      <c r="DD151" s="135"/>
      <c r="DE151" s="135"/>
      <c r="DF151" s="135"/>
      <c r="DG151" s="135"/>
      <c r="DH151" s="135"/>
      <c r="DI151" s="135"/>
      <c r="DJ151" s="135"/>
      <c r="DK151" s="135"/>
      <c r="DL151" s="135"/>
      <c r="DX151" s="135"/>
      <c r="DY151" s="135"/>
      <c r="DZ151" s="135"/>
      <c r="EA151" s="135"/>
      <c r="EB151" s="135"/>
      <c r="EC151" s="135"/>
      <c r="ED151" s="135"/>
      <c r="EE151" s="135"/>
      <c r="EF151" s="135"/>
      <c r="EG151" s="135"/>
      <c r="EH151" s="135"/>
      <c r="EI151" s="135"/>
      <c r="EJ151" s="135"/>
      <c r="EK151" s="135"/>
      <c r="EL151" s="135"/>
      <c r="EM151" s="135"/>
      <c r="EN151" s="135"/>
      <c r="EO151" s="135"/>
      <c r="EP151" s="135"/>
      <c r="EQ151" s="135"/>
      <c r="ER151" s="135"/>
      <c r="ES151" s="135"/>
      <c r="ET151" s="135"/>
      <c r="EU151" s="135"/>
      <c r="EV151" s="135"/>
      <c r="EW151" s="135"/>
      <c r="EX151" s="135"/>
      <c r="EY151" s="135"/>
      <c r="EZ151" s="135"/>
      <c r="FA151" s="135"/>
      <c r="FB151" s="135"/>
      <c r="FC151" s="135"/>
      <c r="FD151" s="135"/>
      <c r="FE151" s="135"/>
      <c r="FF151" s="135"/>
      <c r="FG151" s="135"/>
    </row>
    <row r="152" spans="1:163" s="57" customFormat="1" ht="11.25" outlineLevel="1">
      <c r="A152" s="765">
        <f t="shared" si="150"/>
        <v>6</v>
      </c>
      <c r="B152" s="715" t="str" cm="1">
        <f t="array" aca="1" ref="B152" ca="1">INDIRECT("'Definition of Typical Day'!"&amp;ADDRESS(B$16,$E152))</f>
        <v>Maintenance of HP</v>
      </c>
      <c r="C152" s="766">
        <f t="shared" si="151"/>
        <v>12</v>
      </c>
      <c r="D152" s="715">
        <f t="shared" si="151"/>
        <v>46</v>
      </c>
      <c r="E152" s="715">
        <f t="shared" si="152"/>
        <v>10</v>
      </c>
      <c r="F152" s="767" cm="1">
        <f t="array" aca="1" ref="F152" ca="1">INDIRECT("'Definition of Typical Day'!D"&amp;D152)</f>
        <v>12</v>
      </c>
      <c r="G152" s="767" cm="1">
        <f t="array" aca="1" ref="G152" ca="1">INDIRECT("'Definition of Typical Day'!"&amp;ADDRESS(13,E152))</f>
        <v>6</v>
      </c>
      <c r="H152" s="768" cm="1">
        <f t="array" aca="1" ref="H152" ca="1">INDIRECT("'Definition of Typical Day'!"&amp; ADDRESS($D152+28*(H$16-1),$E152))</f>
        <v>0</v>
      </c>
      <c r="I152" s="715" cm="1">
        <f t="array" aca="1" ref="I152" ca="1">INDIRECT("'Definition of Typical Day'!"&amp; ADDRESS($D152+29*(I$16-1),$E152))</f>
        <v>40</v>
      </c>
      <c r="J152" s="715">
        <f t="shared" ca="1" si="178"/>
        <v>37</v>
      </c>
      <c r="K152" s="785">
        <f t="shared" si="179"/>
        <v>28</v>
      </c>
      <c r="L152" s="786" cm="1">
        <f t="array" aca="1" ref="L152" ca="1">INDIRECT("'Definition of Typical Day'!"&amp; ADDRESS($D152+29*(L$16-1),$E152))</f>
        <v>0</v>
      </c>
      <c r="M152" s="768" cm="1">
        <f t="array" aca="1" ref="M152" ca="1">INDIRECT("'Definition of Typical Day'!"&amp; ADDRESS($D152+29*(M$16-1),$E152))</f>
        <v>70</v>
      </c>
      <c r="N152" s="715">
        <f t="shared" si="180"/>
        <v>3</v>
      </c>
      <c r="O152" s="715">
        <f t="shared" ca="1" si="181"/>
        <v>73</v>
      </c>
      <c r="P152" s="715" cm="1">
        <f t="array" aca="1" ref="P152" ca="1">INDIRECT("'Definition of Typical Day'!"&amp; ADDRESS($D152+29*(P$16-1),$E152))</f>
        <v>45</v>
      </c>
      <c r="Q152" s="787">
        <f t="shared" ca="1" si="182"/>
        <v>48</v>
      </c>
      <c r="R152" s="792">
        <f t="shared" ca="1" si="183"/>
        <v>73</v>
      </c>
      <c r="S152" s="769">
        <f t="shared" si="184"/>
        <v>3</v>
      </c>
      <c r="T152" s="769">
        <f t="shared" ca="1" si="185"/>
        <v>0.24</v>
      </c>
      <c r="U152" s="769">
        <f t="shared" ca="1" si="186"/>
        <v>0.442</v>
      </c>
      <c r="V152" s="769">
        <f t="shared" ca="1" si="187"/>
        <v>0</v>
      </c>
      <c r="W152" s="769">
        <f t="shared" ca="1" si="188"/>
        <v>3.6820000000000004</v>
      </c>
      <c r="X152" s="794">
        <f t="shared" si="189"/>
        <v>3</v>
      </c>
      <c r="Y152" s="769">
        <f t="shared" ca="1" si="190"/>
        <v>2.7386127875258306</v>
      </c>
      <c r="Z152" s="769">
        <f t="shared" ca="1" si="191"/>
        <v>0</v>
      </c>
      <c r="AA152" s="795">
        <f t="shared" ca="1" si="192"/>
        <v>0</v>
      </c>
      <c r="AB152" s="769">
        <f t="shared" ca="1" si="193"/>
        <v>0</v>
      </c>
      <c r="AC152" s="769">
        <f t="shared" ca="1" si="194"/>
        <v>0</v>
      </c>
      <c r="AD152" s="769">
        <f t="shared" ca="1" si="195"/>
        <v>0</v>
      </c>
      <c r="AE152" s="794">
        <f t="shared" ca="1" si="196"/>
        <v>0</v>
      </c>
      <c r="AF152" s="769">
        <f t="shared" ca="1" si="197"/>
        <v>0</v>
      </c>
      <c r="AG152" s="769">
        <f t="shared" ca="1" si="198"/>
        <v>0</v>
      </c>
      <c r="AH152" s="799">
        <f t="shared" ca="1" si="199"/>
        <v>0</v>
      </c>
      <c r="AI152" s="801">
        <f t="shared" ca="1" si="200"/>
        <v>1</v>
      </c>
      <c r="AJ152" s="794">
        <f t="shared" ca="1" si="201"/>
        <v>0</v>
      </c>
      <c r="AK152" s="769">
        <f t="shared" ca="1" si="202"/>
        <v>0</v>
      </c>
      <c r="AL152" s="769">
        <f t="shared" ca="1" si="203"/>
        <v>0</v>
      </c>
      <c r="AM152" s="804">
        <f t="shared" ca="1" si="153"/>
        <v>0</v>
      </c>
      <c r="AN152" s="795">
        <f t="shared" ca="1" si="154"/>
        <v>0</v>
      </c>
      <c r="AO152" s="251"/>
      <c r="AP152" s="770">
        <f t="shared" si="204"/>
        <v>0</v>
      </c>
      <c r="AQ152" s="771">
        <f t="shared" ca="1" si="205"/>
        <v>0</v>
      </c>
      <c r="AR152" s="771">
        <f t="shared" ca="1" si="206"/>
        <v>0</v>
      </c>
      <c r="AS152" s="772">
        <f t="shared" ca="1" si="207"/>
        <v>0</v>
      </c>
      <c r="AT152" s="231"/>
      <c r="AU152" s="770">
        <f>'Main Results - IRR DC Operator'!$F$16</f>
        <v>2</v>
      </c>
      <c r="AV152" s="773">
        <f>'Main Results - IRR DC Operator'!$F$15</f>
        <v>1</v>
      </c>
      <c r="AW152" s="771">
        <f t="shared" ca="1" si="208"/>
        <v>0</v>
      </c>
      <c r="AX152" s="772">
        <f t="shared" si="209"/>
        <v>0</v>
      </c>
      <c r="AY152" s="231"/>
      <c r="AZ152" s="770" cm="1">
        <f t="array" aca="1" ref="AZ152" ca="1">INDIRECT("'Definition of Typical Day'!"&amp; ADDRESS($D152+29*(AZ$16-1),$E152))+$AZ$17</f>
        <v>58.855000000000004</v>
      </c>
      <c r="BA152" s="771" cm="1">
        <f t="array" aca="1" ref="BA152" ca="1">INDIRECT("'Definition of Typical Day'!"&amp; ADDRESS($D152+29*(BA$16-1),$E152))+$BA$17</f>
        <v>58.855000000000004</v>
      </c>
      <c r="BB152" s="772" cm="1">
        <f t="array" aca="1" ref="BB152" ca="1">INDIRECT("'Definition of Typical Day'!"&amp;ADDRESS(BB$16,$E152))</f>
        <v>66</v>
      </c>
      <c r="BC152" s="776" cm="1">
        <f t="array" aca="1" ref="BC152" ca="1">INDIRECT("'Definition of Typical Day'!"&amp; ADDRESS($D152+29*(BC$16-1),$E152))</f>
        <v>57.855000000000004</v>
      </c>
      <c r="BD152" s="777" cm="1">
        <f t="array" aca="1" ref="BD152" ca="1">INDIRECT("'Definition of Typical Day'!"&amp; ADDRESS($D152+29*(BD$16-1),$E152))</f>
        <v>1</v>
      </c>
      <c r="BE152" s="776">
        <f t="shared" si="210"/>
        <v>0</v>
      </c>
      <c r="BF152" s="771">
        <f t="shared" ca="1" si="211"/>
        <v>0</v>
      </c>
      <c r="BG152" s="771">
        <f t="shared" ca="1" si="212"/>
        <v>0</v>
      </c>
      <c r="BH152" s="771">
        <f t="shared" ca="1" si="213"/>
        <v>0</v>
      </c>
      <c r="BI152" s="776">
        <f t="shared" ca="1" si="214"/>
        <v>0</v>
      </c>
      <c r="BJ152" s="776">
        <f t="shared" ca="1" si="215"/>
        <v>0</v>
      </c>
      <c r="BK152" s="776">
        <f t="shared" ca="1" si="216"/>
        <v>0</v>
      </c>
      <c r="BL152" s="776">
        <f t="shared" ca="1" si="217"/>
        <v>0</v>
      </c>
      <c r="BM152" s="135"/>
      <c r="BN152" s="776">
        <f t="shared" ca="1" si="218"/>
        <v>0</v>
      </c>
      <c r="BO152" s="778">
        <f t="shared" ca="1" si="155"/>
        <v>0</v>
      </c>
      <c r="BP152" s="770">
        <f t="shared" ca="1" si="156"/>
        <v>0</v>
      </c>
      <c r="BQ152" s="771">
        <f t="shared" ca="1" si="157"/>
        <v>0</v>
      </c>
      <c r="BR152" s="771">
        <f t="shared" ca="1" si="158"/>
        <v>0</v>
      </c>
      <c r="BS152" s="776">
        <f t="shared" ca="1" si="219"/>
        <v>0</v>
      </c>
      <c r="BT152" s="776">
        <f t="shared" ca="1" si="159"/>
        <v>0</v>
      </c>
      <c r="BU152" s="783">
        <f t="shared" ca="1" si="160"/>
        <v>0</v>
      </c>
      <c r="BV152" s="783">
        <f t="shared" ca="1" si="161"/>
        <v>0</v>
      </c>
      <c r="BW152" s="1019">
        <f t="shared" ca="1" si="220"/>
        <v>0</v>
      </c>
      <c r="BX152" s="771" cm="1">
        <f t="array" aca="1" ref="BX152" ca="1">INDIRECT("'Definition of Typical Day'!"&amp; ADDRESS($D152+29*(BX$16-1),$E152))</f>
        <v>55</v>
      </c>
      <c r="BY152" s="771">
        <f t="shared" ca="1" si="221"/>
        <v>0</v>
      </c>
      <c r="BZ152" s="781">
        <f t="shared" ca="1" si="162"/>
        <v>0</v>
      </c>
      <c r="CA152" s="781">
        <f t="shared" ca="1" si="163"/>
        <v>0</v>
      </c>
      <c r="CB152" s="776">
        <f t="shared" ca="1" si="164"/>
        <v>0</v>
      </c>
      <c r="CC152" s="782">
        <f t="shared" si="165"/>
        <v>6</v>
      </c>
      <c r="CD152" s="782">
        <f t="shared" si="166"/>
        <v>12</v>
      </c>
      <c r="CE152" s="784" t="str" cm="1">
        <f t="array" aca="1" ref="CE152" ca="1">INDIRECT("'Definition of Typical Day'!"&amp;ADDRESS(CE$16,$E152))</f>
        <v>Maintenance of HP</v>
      </c>
      <c r="CF152" s="232"/>
      <c r="CG152" s="232"/>
      <c r="CH152" s="776">
        <f t="shared" ca="1" si="167"/>
        <v>0</v>
      </c>
      <c r="CI152" s="806">
        <f t="shared" ca="1" si="168"/>
        <v>0</v>
      </c>
      <c r="CJ152" s="770">
        <f t="shared" ca="1" si="169"/>
        <v>0</v>
      </c>
      <c r="CK152" s="771">
        <f t="shared" ca="1" si="170"/>
        <v>0</v>
      </c>
      <c r="CL152" s="771">
        <f t="shared" ca="1" si="171"/>
        <v>0</v>
      </c>
      <c r="CM152" s="772">
        <f t="shared" ca="1" si="172"/>
        <v>0</v>
      </c>
      <c r="CN152" s="135"/>
      <c r="CO152" s="770">
        <f t="shared" ca="1" si="149"/>
        <v>1.05</v>
      </c>
      <c r="CP152" s="771">
        <f t="shared" ca="1" si="173"/>
        <v>0.02</v>
      </c>
      <c r="CQ152" s="771">
        <f t="shared" ca="1" si="174"/>
        <v>-2.5000000000000001E-2</v>
      </c>
      <c r="CR152" s="771">
        <f t="shared" ca="1" si="175"/>
        <v>0.95</v>
      </c>
      <c r="CS152" s="771">
        <f t="shared" ca="1" si="176"/>
        <v>0.03</v>
      </c>
      <c r="CT152" s="772">
        <f t="shared" ca="1" si="177"/>
        <v>0.02</v>
      </c>
      <c r="CU152" s="135"/>
      <c r="CV152" s="135"/>
      <c r="CW152" s="135"/>
      <c r="CX152" s="135"/>
      <c r="CY152" s="135"/>
      <c r="CZ152" s="135"/>
      <c r="DA152" s="135"/>
      <c r="DB152" s="135"/>
      <c r="DC152" s="135"/>
      <c r="DD152" s="135"/>
      <c r="DE152" s="135"/>
      <c r="DF152" s="135"/>
      <c r="DG152" s="135"/>
      <c r="DH152" s="135"/>
      <c r="DI152" s="135"/>
      <c r="DJ152" s="135"/>
      <c r="DK152" s="135"/>
      <c r="DL152" s="135"/>
      <c r="DX152" s="135"/>
      <c r="DY152" s="135"/>
      <c r="DZ152" s="135"/>
      <c r="EA152" s="135"/>
      <c r="EB152" s="135"/>
      <c r="EC152" s="135"/>
      <c r="ED152" s="135"/>
      <c r="EE152" s="135"/>
      <c r="EF152" s="135"/>
      <c r="EG152" s="135"/>
      <c r="EH152" s="135"/>
      <c r="EI152" s="135"/>
      <c r="EJ152" s="135"/>
      <c r="EK152" s="135"/>
      <c r="EL152" s="135"/>
      <c r="EM152" s="135"/>
      <c r="EN152" s="135"/>
      <c r="EO152" s="135"/>
      <c r="EP152" s="135"/>
      <c r="EQ152" s="135"/>
      <c r="ER152" s="135"/>
      <c r="ES152" s="135"/>
      <c r="ET152" s="135"/>
      <c r="EU152" s="135"/>
      <c r="EV152" s="135"/>
      <c r="EW152" s="135"/>
      <c r="EX152" s="135"/>
      <c r="EY152" s="135"/>
      <c r="EZ152" s="135"/>
      <c r="FA152" s="135"/>
      <c r="FB152" s="135"/>
      <c r="FC152" s="135"/>
      <c r="FD152" s="135"/>
      <c r="FE152" s="135"/>
      <c r="FF152" s="135"/>
      <c r="FG152" s="135"/>
    </row>
    <row r="153" spans="1:163" s="57" customFormat="1" ht="11.25" outlineLevel="1">
      <c r="A153" s="765">
        <f t="shared" si="150"/>
        <v>6</v>
      </c>
      <c r="B153" s="715" t="str" cm="1">
        <f t="array" aca="1" ref="B153" ca="1">INDIRECT("'Definition of Typical Day'!"&amp;ADDRESS(B$16,$E153))</f>
        <v>Maintenance of HP</v>
      </c>
      <c r="C153" s="766">
        <f t="shared" si="151"/>
        <v>13</v>
      </c>
      <c r="D153" s="715">
        <f t="shared" si="151"/>
        <v>47</v>
      </c>
      <c r="E153" s="715">
        <f t="shared" si="152"/>
        <v>10</v>
      </c>
      <c r="F153" s="767" cm="1">
        <f t="array" aca="1" ref="F153" ca="1">INDIRECT("'Definition of Typical Day'!D"&amp;D153)</f>
        <v>13</v>
      </c>
      <c r="G153" s="767" cm="1">
        <f t="array" aca="1" ref="G153" ca="1">INDIRECT("'Definition of Typical Day'!"&amp;ADDRESS(13,E153))</f>
        <v>6</v>
      </c>
      <c r="H153" s="768" cm="1">
        <f t="array" aca="1" ref="H153" ca="1">INDIRECT("'Definition of Typical Day'!"&amp; ADDRESS($D153+28*(H$16-1),$E153))</f>
        <v>0</v>
      </c>
      <c r="I153" s="715" cm="1">
        <f t="array" aca="1" ref="I153" ca="1">INDIRECT("'Definition of Typical Day'!"&amp; ADDRESS($D153+29*(I$16-1),$E153))</f>
        <v>40</v>
      </c>
      <c r="J153" s="715">
        <f t="shared" ca="1" si="178"/>
        <v>37</v>
      </c>
      <c r="K153" s="785">
        <f t="shared" si="179"/>
        <v>28</v>
      </c>
      <c r="L153" s="786" cm="1">
        <f t="array" aca="1" ref="L153" ca="1">INDIRECT("'Definition of Typical Day'!"&amp; ADDRESS($D153+29*(L$16-1),$E153))</f>
        <v>0</v>
      </c>
      <c r="M153" s="768" cm="1">
        <f t="array" aca="1" ref="M153" ca="1">INDIRECT("'Definition of Typical Day'!"&amp; ADDRESS($D153+29*(M$16-1),$E153))</f>
        <v>69.166666666666657</v>
      </c>
      <c r="N153" s="715">
        <f t="shared" si="180"/>
        <v>3</v>
      </c>
      <c r="O153" s="715">
        <f t="shared" ca="1" si="181"/>
        <v>72.166666666666657</v>
      </c>
      <c r="P153" s="715" cm="1">
        <f t="array" aca="1" ref="P153" ca="1">INDIRECT("'Definition of Typical Day'!"&amp; ADDRESS($D153+29*(P$16-1),$E153))</f>
        <v>45</v>
      </c>
      <c r="Q153" s="787">
        <f t="shared" ca="1" si="182"/>
        <v>48</v>
      </c>
      <c r="R153" s="792">
        <f t="shared" ca="1" si="183"/>
        <v>72.166666666666657</v>
      </c>
      <c r="S153" s="769">
        <f t="shared" si="184"/>
        <v>3</v>
      </c>
      <c r="T153" s="769">
        <f t="shared" ca="1" si="185"/>
        <v>0.24</v>
      </c>
      <c r="U153" s="769">
        <f t="shared" ca="1" si="186"/>
        <v>0.46366666666666689</v>
      </c>
      <c r="V153" s="769">
        <f t="shared" ca="1" si="187"/>
        <v>0</v>
      </c>
      <c r="W153" s="769">
        <f t="shared" ca="1" si="188"/>
        <v>3.7036666666666669</v>
      </c>
      <c r="X153" s="794">
        <f t="shared" si="189"/>
        <v>3</v>
      </c>
      <c r="Y153" s="769">
        <f t="shared" ca="1" si="190"/>
        <v>2.6925824035672514</v>
      </c>
      <c r="Z153" s="769">
        <f t="shared" ca="1" si="191"/>
        <v>0</v>
      </c>
      <c r="AA153" s="795">
        <f t="shared" ca="1" si="192"/>
        <v>0</v>
      </c>
      <c r="AB153" s="769">
        <f t="shared" ca="1" si="193"/>
        <v>0</v>
      </c>
      <c r="AC153" s="769">
        <f t="shared" ca="1" si="194"/>
        <v>0</v>
      </c>
      <c r="AD153" s="769">
        <f t="shared" ca="1" si="195"/>
        <v>0</v>
      </c>
      <c r="AE153" s="794">
        <f t="shared" ca="1" si="196"/>
        <v>0</v>
      </c>
      <c r="AF153" s="769">
        <f t="shared" ca="1" si="197"/>
        <v>0</v>
      </c>
      <c r="AG153" s="769">
        <f t="shared" ca="1" si="198"/>
        <v>0</v>
      </c>
      <c r="AH153" s="799">
        <f t="shared" ca="1" si="199"/>
        <v>0</v>
      </c>
      <c r="AI153" s="801">
        <f t="shared" ca="1" si="200"/>
        <v>1</v>
      </c>
      <c r="AJ153" s="794">
        <f t="shared" ca="1" si="201"/>
        <v>0</v>
      </c>
      <c r="AK153" s="769">
        <f t="shared" ca="1" si="202"/>
        <v>0</v>
      </c>
      <c r="AL153" s="769">
        <f t="shared" ca="1" si="203"/>
        <v>0</v>
      </c>
      <c r="AM153" s="804">
        <f t="shared" ca="1" si="153"/>
        <v>0</v>
      </c>
      <c r="AN153" s="795">
        <f t="shared" ca="1" si="154"/>
        <v>0</v>
      </c>
      <c r="AO153" s="251"/>
      <c r="AP153" s="770">
        <f t="shared" si="204"/>
        <v>0</v>
      </c>
      <c r="AQ153" s="771">
        <f t="shared" ca="1" si="205"/>
        <v>0</v>
      </c>
      <c r="AR153" s="771">
        <f t="shared" ca="1" si="206"/>
        <v>0</v>
      </c>
      <c r="AS153" s="772">
        <f t="shared" ca="1" si="207"/>
        <v>0</v>
      </c>
      <c r="AT153" s="231"/>
      <c r="AU153" s="770">
        <f>'Main Results - IRR DC Operator'!$F$16</f>
        <v>2</v>
      </c>
      <c r="AV153" s="773">
        <f>'Main Results - IRR DC Operator'!$F$15</f>
        <v>1</v>
      </c>
      <c r="AW153" s="771">
        <f t="shared" ca="1" si="208"/>
        <v>0</v>
      </c>
      <c r="AX153" s="772">
        <f t="shared" si="209"/>
        <v>0</v>
      </c>
      <c r="AY153" s="231"/>
      <c r="AZ153" s="770" cm="1">
        <f t="array" aca="1" ref="AZ153" ca="1">INDIRECT("'Definition of Typical Day'!"&amp; ADDRESS($D153+29*(AZ$16-1),$E153))+$AZ$17</f>
        <v>36.200000000000003</v>
      </c>
      <c r="BA153" s="771" cm="1">
        <f t="array" aca="1" ref="BA153" ca="1">INDIRECT("'Definition of Typical Day'!"&amp; ADDRESS($D153+29*(BA$16-1),$E153))+$BA$17</f>
        <v>36.200000000000003</v>
      </c>
      <c r="BB153" s="772" cm="1">
        <f t="array" aca="1" ref="BB153" ca="1">INDIRECT("'Definition of Typical Day'!"&amp;ADDRESS(BB$16,$E153))</f>
        <v>66</v>
      </c>
      <c r="BC153" s="776" cm="1">
        <f t="array" aca="1" ref="BC153" ca="1">INDIRECT("'Definition of Typical Day'!"&amp; ADDRESS($D153+29*(BC$16-1),$E153))</f>
        <v>35.200000000000003</v>
      </c>
      <c r="BD153" s="777" cm="1">
        <f t="array" aca="1" ref="BD153" ca="1">INDIRECT("'Definition of Typical Day'!"&amp; ADDRESS($D153+29*(BD$16-1),$E153))</f>
        <v>1</v>
      </c>
      <c r="BE153" s="776">
        <f t="shared" si="210"/>
        <v>0</v>
      </c>
      <c r="BF153" s="771">
        <f t="shared" ca="1" si="211"/>
        <v>0</v>
      </c>
      <c r="BG153" s="771">
        <f t="shared" ca="1" si="212"/>
        <v>0</v>
      </c>
      <c r="BH153" s="771">
        <f t="shared" ca="1" si="213"/>
        <v>0</v>
      </c>
      <c r="BI153" s="776">
        <f t="shared" ca="1" si="214"/>
        <v>0</v>
      </c>
      <c r="BJ153" s="776">
        <f t="shared" ca="1" si="215"/>
        <v>0</v>
      </c>
      <c r="BK153" s="776">
        <f t="shared" ca="1" si="216"/>
        <v>0</v>
      </c>
      <c r="BL153" s="776">
        <f t="shared" ca="1" si="217"/>
        <v>0</v>
      </c>
      <c r="BM153" s="135"/>
      <c r="BN153" s="776">
        <f t="shared" ca="1" si="218"/>
        <v>0</v>
      </c>
      <c r="BO153" s="778">
        <f t="shared" ca="1" si="155"/>
        <v>0</v>
      </c>
      <c r="BP153" s="770">
        <f t="shared" ca="1" si="156"/>
        <v>0</v>
      </c>
      <c r="BQ153" s="771">
        <f t="shared" ca="1" si="157"/>
        <v>0</v>
      </c>
      <c r="BR153" s="771">
        <f t="shared" ca="1" si="158"/>
        <v>0</v>
      </c>
      <c r="BS153" s="776">
        <f t="shared" ca="1" si="219"/>
        <v>0</v>
      </c>
      <c r="BT153" s="776">
        <f t="shared" ca="1" si="159"/>
        <v>0</v>
      </c>
      <c r="BU153" s="783">
        <f t="shared" ca="1" si="160"/>
        <v>0</v>
      </c>
      <c r="BV153" s="783">
        <f t="shared" ca="1" si="161"/>
        <v>0</v>
      </c>
      <c r="BW153" s="1019">
        <f t="shared" ca="1" si="220"/>
        <v>0</v>
      </c>
      <c r="BX153" s="771" cm="1">
        <f t="array" aca="1" ref="BX153" ca="1">INDIRECT("'Definition of Typical Day'!"&amp; ADDRESS($D153+29*(BX$16-1),$E153))</f>
        <v>55</v>
      </c>
      <c r="BY153" s="771">
        <f t="shared" ca="1" si="221"/>
        <v>0</v>
      </c>
      <c r="BZ153" s="781">
        <f t="shared" ca="1" si="162"/>
        <v>0</v>
      </c>
      <c r="CA153" s="781">
        <f t="shared" ca="1" si="163"/>
        <v>0</v>
      </c>
      <c r="CB153" s="776">
        <f t="shared" ca="1" si="164"/>
        <v>0</v>
      </c>
      <c r="CC153" s="782">
        <f t="shared" si="165"/>
        <v>6</v>
      </c>
      <c r="CD153" s="782">
        <f t="shared" si="166"/>
        <v>13</v>
      </c>
      <c r="CE153" s="784" t="str" cm="1">
        <f t="array" aca="1" ref="CE153" ca="1">INDIRECT("'Definition of Typical Day'!"&amp;ADDRESS(CE$16,$E153))</f>
        <v>Maintenance of HP</v>
      </c>
      <c r="CF153" s="232"/>
      <c r="CG153" s="232"/>
      <c r="CH153" s="776">
        <f t="shared" ca="1" si="167"/>
        <v>0</v>
      </c>
      <c r="CI153" s="806">
        <f t="shared" ca="1" si="168"/>
        <v>0</v>
      </c>
      <c r="CJ153" s="770">
        <f t="shared" ca="1" si="169"/>
        <v>0</v>
      </c>
      <c r="CK153" s="771">
        <f t="shared" ca="1" si="170"/>
        <v>0</v>
      </c>
      <c r="CL153" s="771">
        <f t="shared" ca="1" si="171"/>
        <v>0</v>
      </c>
      <c r="CM153" s="772">
        <f t="shared" ca="1" si="172"/>
        <v>0</v>
      </c>
      <c r="CN153" s="135"/>
      <c r="CO153" s="770">
        <f t="shared" ca="1" si="149"/>
        <v>1.05</v>
      </c>
      <c r="CP153" s="771">
        <f t="shared" ca="1" si="173"/>
        <v>0.02</v>
      </c>
      <c r="CQ153" s="771">
        <f t="shared" ca="1" si="174"/>
        <v>-2.5000000000000001E-2</v>
      </c>
      <c r="CR153" s="771">
        <f t="shared" ca="1" si="175"/>
        <v>0.95</v>
      </c>
      <c r="CS153" s="771">
        <f t="shared" ca="1" si="176"/>
        <v>0.03</v>
      </c>
      <c r="CT153" s="772">
        <f t="shared" ca="1" si="177"/>
        <v>0.02</v>
      </c>
      <c r="CU153" s="135"/>
      <c r="CV153" s="135"/>
      <c r="CW153" s="135"/>
      <c r="CX153" s="135"/>
      <c r="CY153" s="135"/>
      <c r="CZ153" s="135"/>
      <c r="DA153" s="135"/>
      <c r="DB153" s="135"/>
      <c r="DC153" s="135"/>
      <c r="DD153" s="135"/>
      <c r="DE153" s="135"/>
      <c r="DF153" s="135"/>
      <c r="DG153" s="135"/>
      <c r="DH153" s="135"/>
      <c r="DI153" s="135"/>
      <c r="DJ153" s="135"/>
      <c r="DK153" s="135"/>
      <c r="DL153" s="135"/>
      <c r="DX153" s="135"/>
      <c r="DY153" s="135"/>
      <c r="DZ153" s="135"/>
      <c r="EA153" s="135"/>
      <c r="EB153" s="135"/>
      <c r="EC153" s="135"/>
      <c r="ED153" s="135"/>
      <c r="EE153" s="135"/>
      <c r="EF153" s="135"/>
      <c r="EG153" s="135"/>
      <c r="EH153" s="135"/>
      <c r="EI153" s="135"/>
      <c r="EJ153" s="135"/>
      <c r="EK153" s="135"/>
      <c r="EL153" s="135"/>
      <c r="EM153" s="135"/>
      <c r="EN153" s="135"/>
      <c r="EO153" s="135"/>
      <c r="EP153" s="135"/>
      <c r="EQ153" s="135"/>
      <c r="ER153" s="135"/>
      <c r="ES153" s="135"/>
      <c r="ET153" s="135"/>
      <c r="EU153" s="135"/>
      <c r="EV153" s="135"/>
      <c r="EW153" s="135"/>
      <c r="EX153" s="135"/>
      <c r="EY153" s="135"/>
      <c r="EZ153" s="135"/>
      <c r="FA153" s="135"/>
      <c r="FB153" s="135"/>
      <c r="FC153" s="135"/>
      <c r="FD153" s="135"/>
      <c r="FE153" s="135"/>
      <c r="FF153" s="135"/>
      <c r="FG153" s="135"/>
    </row>
    <row r="154" spans="1:163" s="57" customFormat="1" ht="11.25" outlineLevel="1">
      <c r="A154" s="765">
        <f t="shared" si="150"/>
        <v>6</v>
      </c>
      <c r="B154" s="715" t="str" cm="1">
        <f t="array" aca="1" ref="B154" ca="1">INDIRECT("'Definition of Typical Day'!"&amp;ADDRESS(B$16,$E154))</f>
        <v>Maintenance of HP</v>
      </c>
      <c r="C154" s="766">
        <f t="shared" si="151"/>
        <v>14</v>
      </c>
      <c r="D154" s="715">
        <f t="shared" si="151"/>
        <v>48</v>
      </c>
      <c r="E154" s="715">
        <f t="shared" si="152"/>
        <v>10</v>
      </c>
      <c r="F154" s="767" cm="1">
        <f t="array" aca="1" ref="F154" ca="1">INDIRECT("'Definition of Typical Day'!D"&amp;D154)</f>
        <v>14</v>
      </c>
      <c r="G154" s="767" cm="1">
        <f t="array" aca="1" ref="G154" ca="1">INDIRECT("'Definition of Typical Day'!"&amp;ADDRESS(13,E154))</f>
        <v>6</v>
      </c>
      <c r="H154" s="768" cm="1">
        <f t="array" aca="1" ref="H154" ca="1">INDIRECT("'Definition of Typical Day'!"&amp; ADDRESS($D154+28*(H$16-1),$E154))</f>
        <v>0</v>
      </c>
      <c r="I154" s="715" cm="1">
        <f t="array" aca="1" ref="I154" ca="1">INDIRECT("'Definition of Typical Day'!"&amp; ADDRESS($D154+29*(I$16-1),$E154))</f>
        <v>40</v>
      </c>
      <c r="J154" s="715">
        <f t="shared" ca="1" si="178"/>
        <v>37</v>
      </c>
      <c r="K154" s="785">
        <f t="shared" si="179"/>
        <v>28</v>
      </c>
      <c r="L154" s="786" cm="1">
        <f t="array" aca="1" ref="L154" ca="1">INDIRECT("'Definition of Typical Day'!"&amp; ADDRESS($D154+29*(L$16-1),$E154))</f>
        <v>0</v>
      </c>
      <c r="M154" s="768" cm="1">
        <f t="array" aca="1" ref="M154" ca="1">INDIRECT("'Definition of Typical Day'!"&amp; ADDRESS($D154+29*(M$16-1),$E154))</f>
        <v>68.333333333333314</v>
      </c>
      <c r="N154" s="715">
        <f t="shared" si="180"/>
        <v>3</v>
      </c>
      <c r="O154" s="715">
        <f t="shared" ca="1" si="181"/>
        <v>71.333333333333314</v>
      </c>
      <c r="P154" s="715" cm="1">
        <f t="array" aca="1" ref="P154" ca="1">INDIRECT("'Definition of Typical Day'!"&amp; ADDRESS($D154+29*(P$16-1),$E154))</f>
        <v>45</v>
      </c>
      <c r="Q154" s="787">
        <f t="shared" ca="1" si="182"/>
        <v>48</v>
      </c>
      <c r="R154" s="792">
        <f t="shared" ca="1" si="183"/>
        <v>71.333333333333314</v>
      </c>
      <c r="S154" s="769">
        <f t="shared" si="184"/>
        <v>3</v>
      </c>
      <c r="T154" s="769">
        <f t="shared" ca="1" si="185"/>
        <v>0.24</v>
      </c>
      <c r="U154" s="769">
        <f t="shared" ca="1" si="186"/>
        <v>0.48533333333333378</v>
      </c>
      <c r="V154" s="769">
        <f t="shared" ca="1" si="187"/>
        <v>0</v>
      </c>
      <c r="W154" s="769">
        <f t="shared" ca="1" si="188"/>
        <v>3.7253333333333338</v>
      </c>
      <c r="X154" s="794">
        <f t="shared" si="189"/>
        <v>3</v>
      </c>
      <c r="Y154" s="769">
        <f t="shared" ca="1" si="190"/>
        <v>2.6457513110645898</v>
      </c>
      <c r="Z154" s="769">
        <f t="shared" ca="1" si="191"/>
        <v>0</v>
      </c>
      <c r="AA154" s="795">
        <f t="shared" ca="1" si="192"/>
        <v>0</v>
      </c>
      <c r="AB154" s="769">
        <f t="shared" ca="1" si="193"/>
        <v>0</v>
      </c>
      <c r="AC154" s="769">
        <f t="shared" ca="1" si="194"/>
        <v>0</v>
      </c>
      <c r="AD154" s="769">
        <f t="shared" ca="1" si="195"/>
        <v>0</v>
      </c>
      <c r="AE154" s="794">
        <f t="shared" ca="1" si="196"/>
        <v>0</v>
      </c>
      <c r="AF154" s="769">
        <f t="shared" ca="1" si="197"/>
        <v>0</v>
      </c>
      <c r="AG154" s="769">
        <f t="shared" ca="1" si="198"/>
        <v>0</v>
      </c>
      <c r="AH154" s="799">
        <f t="shared" ca="1" si="199"/>
        <v>0</v>
      </c>
      <c r="AI154" s="801">
        <f t="shared" ca="1" si="200"/>
        <v>1</v>
      </c>
      <c r="AJ154" s="794">
        <f t="shared" ca="1" si="201"/>
        <v>0</v>
      </c>
      <c r="AK154" s="769">
        <f t="shared" ca="1" si="202"/>
        <v>0</v>
      </c>
      <c r="AL154" s="769">
        <f t="shared" ca="1" si="203"/>
        <v>0</v>
      </c>
      <c r="AM154" s="804">
        <f t="shared" ca="1" si="153"/>
        <v>0</v>
      </c>
      <c r="AN154" s="795">
        <f t="shared" ca="1" si="154"/>
        <v>0</v>
      </c>
      <c r="AO154" s="251"/>
      <c r="AP154" s="770">
        <f t="shared" si="204"/>
        <v>0</v>
      </c>
      <c r="AQ154" s="771">
        <f t="shared" ca="1" si="205"/>
        <v>0</v>
      </c>
      <c r="AR154" s="771">
        <f t="shared" ca="1" si="206"/>
        <v>0</v>
      </c>
      <c r="AS154" s="772">
        <f t="shared" ca="1" si="207"/>
        <v>0</v>
      </c>
      <c r="AT154" s="231"/>
      <c r="AU154" s="770">
        <f>'Main Results - IRR DC Operator'!$F$16</f>
        <v>2</v>
      </c>
      <c r="AV154" s="773">
        <f>'Main Results - IRR DC Operator'!$F$15</f>
        <v>1</v>
      </c>
      <c r="AW154" s="771">
        <f t="shared" ca="1" si="208"/>
        <v>0</v>
      </c>
      <c r="AX154" s="772">
        <f t="shared" si="209"/>
        <v>0</v>
      </c>
      <c r="AY154" s="231"/>
      <c r="AZ154" s="770" cm="1">
        <f t="array" aca="1" ref="AZ154" ca="1">INDIRECT("'Definition of Typical Day'!"&amp; ADDRESS($D154+29*(AZ$16-1),$E154))+$AZ$17</f>
        <v>29.39</v>
      </c>
      <c r="BA154" s="771" cm="1">
        <f t="array" aca="1" ref="BA154" ca="1">INDIRECT("'Definition of Typical Day'!"&amp; ADDRESS($D154+29*(BA$16-1),$E154))+$BA$17</f>
        <v>29.39</v>
      </c>
      <c r="BB154" s="772" cm="1">
        <f t="array" aca="1" ref="BB154" ca="1">INDIRECT("'Definition of Typical Day'!"&amp;ADDRESS(BB$16,$E154))</f>
        <v>66</v>
      </c>
      <c r="BC154" s="776" cm="1">
        <f t="array" aca="1" ref="BC154" ca="1">INDIRECT("'Definition of Typical Day'!"&amp; ADDRESS($D154+29*(BC$16-1),$E154))</f>
        <v>28.39</v>
      </c>
      <c r="BD154" s="777" cm="1">
        <f t="array" aca="1" ref="BD154" ca="1">INDIRECT("'Definition of Typical Day'!"&amp; ADDRESS($D154+29*(BD$16-1),$E154))</f>
        <v>1</v>
      </c>
      <c r="BE154" s="776">
        <f t="shared" si="210"/>
        <v>0</v>
      </c>
      <c r="BF154" s="771">
        <f t="shared" ca="1" si="211"/>
        <v>0</v>
      </c>
      <c r="BG154" s="771">
        <f t="shared" ca="1" si="212"/>
        <v>0</v>
      </c>
      <c r="BH154" s="771">
        <f t="shared" ca="1" si="213"/>
        <v>0</v>
      </c>
      <c r="BI154" s="776">
        <f t="shared" ca="1" si="214"/>
        <v>0</v>
      </c>
      <c r="BJ154" s="776">
        <f t="shared" ca="1" si="215"/>
        <v>0</v>
      </c>
      <c r="BK154" s="776">
        <f t="shared" ca="1" si="216"/>
        <v>0</v>
      </c>
      <c r="BL154" s="776">
        <f t="shared" ca="1" si="217"/>
        <v>0</v>
      </c>
      <c r="BM154" s="135"/>
      <c r="BN154" s="776">
        <f t="shared" ca="1" si="218"/>
        <v>0</v>
      </c>
      <c r="BO154" s="778">
        <f t="shared" ca="1" si="155"/>
        <v>0</v>
      </c>
      <c r="BP154" s="770">
        <f t="shared" ca="1" si="156"/>
        <v>0</v>
      </c>
      <c r="BQ154" s="771">
        <f t="shared" ca="1" si="157"/>
        <v>0</v>
      </c>
      <c r="BR154" s="771">
        <f t="shared" ca="1" si="158"/>
        <v>0</v>
      </c>
      <c r="BS154" s="776">
        <f t="shared" ca="1" si="219"/>
        <v>0</v>
      </c>
      <c r="BT154" s="776">
        <f t="shared" ca="1" si="159"/>
        <v>0</v>
      </c>
      <c r="BU154" s="783">
        <f t="shared" ca="1" si="160"/>
        <v>0</v>
      </c>
      <c r="BV154" s="783">
        <f t="shared" ca="1" si="161"/>
        <v>0</v>
      </c>
      <c r="BW154" s="1019">
        <f t="shared" ca="1" si="220"/>
        <v>0</v>
      </c>
      <c r="BX154" s="771" cm="1">
        <f t="array" aca="1" ref="BX154" ca="1">INDIRECT("'Definition of Typical Day'!"&amp; ADDRESS($D154+29*(BX$16-1),$E154))</f>
        <v>55</v>
      </c>
      <c r="BY154" s="771">
        <f t="shared" ca="1" si="221"/>
        <v>0</v>
      </c>
      <c r="BZ154" s="781">
        <f t="shared" ca="1" si="162"/>
        <v>0</v>
      </c>
      <c r="CA154" s="781">
        <f t="shared" ca="1" si="163"/>
        <v>0</v>
      </c>
      <c r="CB154" s="776">
        <f t="shared" ca="1" si="164"/>
        <v>0</v>
      </c>
      <c r="CC154" s="782">
        <f t="shared" si="165"/>
        <v>6</v>
      </c>
      <c r="CD154" s="782">
        <f t="shared" si="166"/>
        <v>14</v>
      </c>
      <c r="CE154" s="784" t="str" cm="1">
        <f t="array" aca="1" ref="CE154" ca="1">INDIRECT("'Definition of Typical Day'!"&amp;ADDRESS(CE$16,$E154))</f>
        <v>Maintenance of HP</v>
      </c>
      <c r="CF154" s="232"/>
      <c r="CG154" s="232"/>
      <c r="CH154" s="776">
        <f t="shared" ca="1" si="167"/>
        <v>0</v>
      </c>
      <c r="CI154" s="806">
        <f t="shared" ca="1" si="168"/>
        <v>0</v>
      </c>
      <c r="CJ154" s="770">
        <f t="shared" ca="1" si="169"/>
        <v>0</v>
      </c>
      <c r="CK154" s="771">
        <f t="shared" ca="1" si="170"/>
        <v>0</v>
      </c>
      <c r="CL154" s="771">
        <f t="shared" ca="1" si="171"/>
        <v>0</v>
      </c>
      <c r="CM154" s="772">
        <f t="shared" ca="1" si="172"/>
        <v>0</v>
      </c>
      <c r="CN154" s="135"/>
      <c r="CO154" s="770">
        <f t="shared" ca="1" si="149"/>
        <v>1.05</v>
      </c>
      <c r="CP154" s="771">
        <f t="shared" ca="1" si="173"/>
        <v>0.02</v>
      </c>
      <c r="CQ154" s="771">
        <f t="shared" ca="1" si="174"/>
        <v>-2.5000000000000001E-2</v>
      </c>
      <c r="CR154" s="771">
        <f t="shared" ca="1" si="175"/>
        <v>0.95</v>
      </c>
      <c r="CS154" s="771">
        <f t="shared" ca="1" si="176"/>
        <v>0.03</v>
      </c>
      <c r="CT154" s="772">
        <f t="shared" ca="1" si="177"/>
        <v>0.02</v>
      </c>
      <c r="CU154" s="135"/>
      <c r="CV154" s="135"/>
      <c r="CW154" s="135"/>
      <c r="CX154" s="135"/>
      <c r="CY154" s="135"/>
      <c r="CZ154" s="135"/>
      <c r="DA154" s="135"/>
      <c r="DB154" s="135"/>
      <c r="DC154" s="135"/>
      <c r="DD154" s="135"/>
      <c r="DE154" s="135"/>
      <c r="DF154" s="135"/>
      <c r="DG154" s="135"/>
      <c r="DH154" s="135"/>
      <c r="DI154" s="135"/>
      <c r="DJ154" s="135"/>
      <c r="DK154" s="135"/>
      <c r="DL154" s="135"/>
      <c r="DX154" s="135"/>
      <c r="DY154" s="135"/>
      <c r="DZ154" s="135"/>
      <c r="EA154" s="135"/>
      <c r="EB154" s="135"/>
      <c r="EC154" s="135"/>
      <c r="ED154" s="135"/>
      <c r="EE154" s="135"/>
      <c r="EF154" s="135"/>
      <c r="EG154" s="135"/>
      <c r="EH154" s="135"/>
      <c r="EI154" s="135"/>
      <c r="EJ154" s="135"/>
      <c r="EK154" s="135"/>
      <c r="EL154" s="135"/>
      <c r="EM154" s="135"/>
      <c r="EN154" s="135"/>
      <c r="EO154" s="135"/>
      <c r="EP154" s="135"/>
      <c r="EQ154" s="135"/>
      <c r="ER154" s="135"/>
      <c r="ES154" s="135"/>
      <c r="ET154" s="135"/>
      <c r="EU154" s="135"/>
      <c r="EV154" s="135"/>
      <c r="EW154" s="135"/>
      <c r="EX154" s="135"/>
      <c r="EY154" s="135"/>
      <c r="EZ154" s="135"/>
      <c r="FA154" s="135"/>
      <c r="FB154" s="135"/>
      <c r="FC154" s="135"/>
      <c r="FD154" s="135"/>
      <c r="FE154" s="135"/>
      <c r="FF154" s="135"/>
      <c r="FG154" s="135"/>
    </row>
    <row r="155" spans="1:163" s="57" customFormat="1" ht="11.25" outlineLevel="1">
      <c r="A155" s="765">
        <f t="shared" si="150"/>
        <v>6</v>
      </c>
      <c r="B155" s="715" t="str" cm="1">
        <f t="array" aca="1" ref="B155" ca="1">INDIRECT("'Definition of Typical Day'!"&amp;ADDRESS(B$16,$E155))</f>
        <v>Maintenance of HP</v>
      </c>
      <c r="C155" s="766">
        <f t="shared" si="151"/>
        <v>15</v>
      </c>
      <c r="D155" s="715">
        <f t="shared" si="151"/>
        <v>49</v>
      </c>
      <c r="E155" s="715">
        <f t="shared" si="152"/>
        <v>10</v>
      </c>
      <c r="F155" s="767" cm="1">
        <f t="array" aca="1" ref="F155" ca="1">INDIRECT("'Definition of Typical Day'!D"&amp;D155)</f>
        <v>15</v>
      </c>
      <c r="G155" s="767" cm="1">
        <f t="array" aca="1" ref="G155" ca="1">INDIRECT("'Definition of Typical Day'!"&amp;ADDRESS(13,E155))</f>
        <v>6</v>
      </c>
      <c r="H155" s="768" cm="1">
        <f t="array" aca="1" ref="H155" ca="1">INDIRECT("'Definition of Typical Day'!"&amp; ADDRESS($D155+28*(H$16-1),$E155))</f>
        <v>0</v>
      </c>
      <c r="I155" s="715" cm="1">
        <f t="array" aca="1" ref="I155" ca="1">INDIRECT("'Definition of Typical Day'!"&amp; ADDRESS($D155+29*(I$16-1),$E155))</f>
        <v>40</v>
      </c>
      <c r="J155" s="715">
        <f t="shared" ca="1" si="178"/>
        <v>37</v>
      </c>
      <c r="K155" s="785">
        <f t="shared" si="179"/>
        <v>28</v>
      </c>
      <c r="L155" s="786" cm="1">
        <f t="array" aca="1" ref="L155" ca="1">INDIRECT("'Definition of Typical Day'!"&amp; ADDRESS($D155+29*(L$16-1),$E155))</f>
        <v>0</v>
      </c>
      <c r="M155" s="768" cm="1">
        <f t="array" aca="1" ref="M155" ca="1">INDIRECT("'Definition of Typical Day'!"&amp; ADDRESS($D155+29*(M$16-1),$E155))</f>
        <v>68.333333333333314</v>
      </c>
      <c r="N155" s="715">
        <f t="shared" si="180"/>
        <v>3</v>
      </c>
      <c r="O155" s="715">
        <f t="shared" ca="1" si="181"/>
        <v>71.333333333333314</v>
      </c>
      <c r="P155" s="715" cm="1">
        <f t="array" aca="1" ref="P155" ca="1">INDIRECT("'Definition of Typical Day'!"&amp; ADDRESS($D155+29*(P$16-1),$E155))</f>
        <v>45</v>
      </c>
      <c r="Q155" s="787">
        <f t="shared" ca="1" si="182"/>
        <v>48</v>
      </c>
      <c r="R155" s="792">
        <f t="shared" ca="1" si="183"/>
        <v>71.333333333333314</v>
      </c>
      <c r="S155" s="769">
        <f t="shared" si="184"/>
        <v>3</v>
      </c>
      <c r="T155" s="769">
        <f t="shared" ca="1" si="185"/>
        <v>0.24</v>
      </c>
      <c r="U155" s="769">
        <f t="shared" ca="1" si="186"/>
        <v>0.48533333333333378</v>
      </c>
      <c r="V155" s="769">
        <f t="shared" ca="1" si="187"/>
        <v>0</v>
      </c>
      <c r="W155" s="769">
        <f t="shared" ca="1" si="188"/>
        <v>3.7253333333333338</v>
      </c>
      <c r="X155" s="794">
        <f t="shared" si="189"/>
        <v>3</v>
      </c>
      <c r="Y155" s="769">
        <f t="shared" ca="1" si="190"/>
        <v>2.6457513110645898</v>
      </c>
      <c r="Z155" s="769">
        <f t="shared" ca="1" si="191"/>
        <v>0</v>
      </c>
      <c r="AA155" s="795">
        <f t="shared" ca="1" si="192"/>
        <v>0</v>
      </c>
      <c r="AB155" s="769">
        <f t="shared" ca="1" si="193"/>
        <v>0</v>
      </c>
      <c r="AC155" s="769">
        <f t="shared" ca="1" si="194"/>
        <v>0</v>
      </c>
      <c r="AD155" s="769">
        <f t="shared" ca="1" si="195"/>
        <v>0</v>
      </c>
      <c r="AE155" s="794">
        <f t="shared" ca="1" si="196"/>
        <v>0</v>
      </c>
      <c r="AF155" s="769">
        <f t="shared" ca="1" si="197"/>
        <v>0</v>
      </c>
      <c r="AG155" s="769">
        <f t="shared" ca="1" si="198"/>
        <v>0</v>
      </c>
      <c r="AH155" s="799">
        <f t="shared" ca="1" si="199"/>
        <v>0</v>
      </c>
      <c r="AI155" s="801">
        <f t="shared" ca="1" si="200"/>
        <v>1</v>
      </c>
      <c r="AJ155" s="794">
        <f t="shared" ca="1" si="201"/>
        <v>0</v>
      </c>
      <c r="AK155" s="769">
        <f t="shared" ca="1" si="202"/>
        <v>0</v>
      </c>
      <c r="AL155" s="769">
        <f t="shared" ca="1" si="203"/>
        <v>0</v>
      </c>
      <c r="AM155" s="804">
        <f t="shared" ca="1" si="153"/>
        <v>0</v>
      </c>
      <c r="AN155" s="795">
        <f t="shared" ca="1" si="154"/>
        <v>0</v>
      </c>
      <c r="AO155" s="251"/>
      <c r="AP155" s="770">
        <f t="shared" si="204"/>
        <v>0</v>
      </c>
      <c r="AQ155" s="771">
        <f t="shared" ca="1" si="205"/>
        <v>0</v>
      </c>
      <c r="AR155" s="771">
        <f t="shared" ca="1" si="206"/>
        <v>0</v>
      </c>
      <c r="AS155" s="772">
        <f t="shared" ca="1" si="207"/>
        <v>0</v>
      </c>
      <c r="AT155" s="231"/>
      <c r="AU155" s="770">
        <f>'Main Results - IRR DC Operator'!$F$16</f>
        <v>2</v>
      </c>
      <c r="AV155" s="773">
        <f>'Main Results - IRR DC Operator'!$F$15</f>
        <v>1</v>
      </c>
      <c r="AW155" s="771">
        <f t="shared" ca="1" si="208"/>
        <v>0</v>
      </c>
      <c r="AX155" s="772">
        <f t="shared" si="209"/>
        <v>0</v>
      </c>
      <c r="AY155" s="231"/>
      <c r="AZ155" s="770" cm="1">
        <f t="array" aca="1" ref="AZ155" ca="1">INDIRECT("'Definition of Typical Day'!"&amp; ADDRESS($D155+29*(AZ$16-1),$E155))+$AZ$17</f>
        <v>28.650000000000002</v>
      </c>
      <c r="BA155" s="771" cm="1">
        <f t="array" aca="1" ref="BA155" ca="1">INDIRECT("'Definition of Typical Day'!"&amp; ADDRESS($D155+29*(BA$16-1),$E155))+$BA$17</f>
        <v>28.650000000000002</v>
      </c>
      <c r="BB155" s="772" cm="1">
        <f t="array" aca="1" ref="BB155" ca="1">INDIRECT("'Definition of Typical Day'!"&amp;ADDRESS(BB$16,$E155))</f>
        <v>66</v>
      </c>
      <c r="BC155" s="776" cm="1">
        <f t="array" aca="1" ref="BC155" ca="1">INDIRECT("'Definition of Typical Day'!"&amp; ADDRESS($D155+29*(BC$16-1),$E155))</f>
        <v>27.650000000000002</v>
      </c>
      <c r="BD155" s="777" cm="1">
        <f t="array" aca="1" ref="BD155" ca="1">INDIRECT("'Definition of Typical Day'!"&amp; ADDRESS($D155+29*(BD$16-1),$E155))</f>
        <v>1</v>
      </c>
      <c r="BE155" s="776">
        <f t="shared" si="210"/>
        <v>0</v>
      </c>
      <c r="BF155" s="771">
        <f t="shared" ca="1" si="211"/>
        <v>0</v>
      </c>
      <c r="BG155" s="771">
        <f t="shared" ca="1" si="212"/>
        <v>0</v>
      </c>
      <c r="BH155" s="771">
        <f t="shared" ca="1" si="213"/>
        <v>0</v>
      </c>
      <c r="BI155" s="776">
        <f t="shared" ca="1" si="214"/>
        <v>0</v>
      </c>
      <c r="BJ155" s="776">
        <f t="shared" ca="1" si="215"/>
        <v>0</v>
      </c>
      <c r="BK155" s="776">
        <f t="shared" ca="1" si="216"/>
        <v>0</v>
      </c>
      <c r="BL155" s="776">
        <f t="shared" ca="1" si="217"/>
        <v>0</v>
      </c>
      <c r="BM155" s="135"/>
      <c r="BN155" s="776">
        <f t="shared" ca="1" si="218"/>
        <v>0</v>
      </c>
      <c r="BO155" s="778">
        <f t="shared" ca="1" si="155"/>
        <v>0</v>
      </c>
      <c r="BP155" s="770">
        <f t="shared" ca="1" si="156"/>
        <v>0</v>
      </c>
      <c r="BQ155" s="771">
        <f t="shared" ca="1" si="157"/>
        <v>0</v>
      </c>
      <c r="BR155" s="771">
        <f t="shared" ca="1" si="158"/>
        <v>0</v>
      </c>
      <c r="BS155" s="776">
        <f t="shared" ca="1" si="219"/>
        <v>0</v>
      </c>
      <c r="BT155" s="776">
        <f t="shared" ca="1" si="159"/>
        <v>0</v>
      </c>
      <c r="BU155" s="783">
        <f t="shared" ca="1" si="160"/>
        <v>0</v>
      </c>
      <c r="BV155" s="783">
        <f t="shared" ca="1" si="161"/>
        <v>0</v>
      </c>
      <c r="BW155" s="1019">
        <f t="shared" ca="1" si="220"/>
        <v>0</v>
      </c>
      <c r="BX155" s="771" cm="1">
        <f t="array" aca="1" ref="BX155" ca="1">INDIRECT("'Definition of Typical Day'!"&amp; ADDRESS($D155+29*(BX$16-1),$E155))</f>
        <v>55</v>
      </c>
      <c r="BY155" s="771">
        <f t="shared" ca="1" si="221"/>
        <v>0</v>
      </c>
      <c r="BZ155" s="781">
        <f t="shared" ca="1" si="162"/>
        <v>0</v>
      </c>
      <c r="CA155" s="781">
        <f t="shared" ca="1" si="163"/>
        <v>0</v>
      </c>
      <c r="CB155" s="776">
        <f t="shared" ca="1" si="164"/>
        <v>0</v>
      </c>
      <c r="CC155" s="782">
        <f t="shared" si="165"/>
        <v>6</v>
      </c>
      <c r="CD155" s="782">
        <f t="shared" si="166"/>
        <v>15</v>
      </c>
      <c r="CE155" s="784" t="str" cm="1">
        <f t="array" aca="1" ref="CE155" ca="1">INDIRECT("'Definition of Typical Day'!"&amp;ADDRESS(CE$16,$E155))</f>
        <v>Maintenance of HP</v>
      </c>
      <c r="CF155" s="232"/>
      <c r="CG155" s="232"/>
      <c r="CH155" s="776">
        <f t="shared" ca="1" si="167"/>
        <v>0</v>
      </c>
      <c r="CI155" s="806">
        <f t="shared" ca="1" si="168"/>
        <v>0</v>
      </c>
      <c r="CJ155" s="770">
        <f t="shared" ca="1" si="169"/>
        <v>0</v>
      </c>
      <c r="CK155" s="771">
        <f t="shared" ca="1" si="170"/>
        <v>0</v>
      </c>
      <c r="CL155" s="771">
        <f t="shared" ca="1" si="171"/>
        <v>0</v>
      </c>
      <c r="CM155" s="772">
        <f t="shared" ca="1" si="172"/>
        <v>0</v>
      </c>
      <c r="CN155" s="135"/>
      <c r="CO155" s="770">
        <f t="shared" ca="1" si="149"/>
        <v>1.05</v>
      </c>
      <c r="CP155" s="771">
        <f t="shared" ca="1" si="173"/>
        <v>0.02</v>
      </c>
      <c r="CQ155" s="771">
        <f t="shared" ca="1" si="174"/>
        <v>-2.5000000000000001E-2</v>
      </c>
      <c r="CR155" s="771">
        <f t="shared" ca="1" si="175"/>
        <v>0.95</v>
      </c>
      <c r="CS155" s="771">
        <f t="shared" ca="1" si="176"/>
        <v>0.03</v>
      </c>
      <c r="CT155" s="772">
        <f t="shared" ca="1" si="177"/>
        <v>0.02</v>
      </c>
      <c r="CU155" s="135"/>
      <c r="CV155" s="135"/>
      <c r="CW155" s="135"/>
      <c r="CX155" s="135"/>
      <c r="CY155" s="135"/>
      <c r="CZ155" s="135"/>
      <c r="DA155" s="135"/>
      <c r="DB155" s="135"/>
      <c r="DC155" s="135"/>
      <c r="DD155" s="135"/>
      <c r="DE155" s="135"/>
      <c r="DF155" s="135"/>
      <c r="DG155" s="135"/>
      <c r="DH155" s="135"/>
      <c r="DI155" s="135"/>
      <c r="DJ155" s="135"/>
      <c r="DK155" s="135"/>
      <c r="DL155" s="135"/>
      <c r="DX155" s="135"/>
      <c r="DY155" s="135"/>
      <c r="DZ155" s="135"/>
      <c r="EA155" s="135"/>
      <c r="EB155" s="135"/>
      <c r="EC155" s="135"/>
      <c r="ED155" s="135"/>
      <c r="EE155" s="135"/>
      <c r="EF155" s="135"/>
      <c r="EG155" s="135"/>
      <c r="EH155" s="135"/>
      <c r="EI155" s="135"/>
      <c r="EJ155" s="135"/>
      <c r="EK155" s="135"/>
      <c r="EL155" s="135"/>
      <c r="EM155" s="135"/>
      <c r="EN155" s="135"/>
      <c r="EO155" s="135"/>
      <c r="EP155" s="135"/>
      <c r="EQ155" s="135"/>
      <c r="ER155" s="135"/>
      <c r="ES155" s="135"/>
      <c r="ET155" s="135"/>
      <c r="EU155" s="135"/>
      <c r="EV155" s="135"/>
      <c r="EW155" s="135"/>
      <c r="EX155" s="135"/>
      <c r="EY155" s="135"/>
      <c r="EZ155" s="135"/>
      <c r="FA155" s="135"/>
      <c r="FB155" s="135"/>
      <c r="FC155" s="135"/>
      <c r="FD155" s="135"/>
      <c r="FE155" s="135"/>
      <c r="FF155" s="135"/>
      <c r="FG155" s="135"/>
    </row>
    <row r="156" spans="1:163" s="57" customFormat="1" ht="11.25" outlineLevel="1">
      <c r="A156" s="765">
        <f t="shared" si="150"/>
        <v>6</v>
      </c>
      <c r="B156" s="715" t="str" cm="1">
        <f t="array" aca="1" ref="B156" ca="1">INDIRECT("'Definition of Typical Day'!"&amp;ADDRESS(B$16,$E156))</f>
        <v>Maintenance of HP</v>
      </c>
      <c r="C156" s="766">
        <f t="shared" si="151"/>
        <v>16</v>
      </c>
      <c r="D156" s="715">
        <f t="shared" si="151"/>
        <v>50</v>
      </c>
      <c r="E156" s="715">
        <f t="shared" si="152"/>
        <v>10</v>
      </c>
      <c r="F156" s="767" cm="1">
        <f t="array" aca="1" ref="F156" ca="1">INDIRECT("'Definition of Typical Day'!D"&amp;D156)</f>
        <v>16</v>
      </c>
      <c r="G156" s="767" cm="1">
        <f t="array" aca="1" ref="G156" ca="1">INDIRECT("'Definition of Typical Day'!"&amp;ADDRESS(13,E156))</f>
        <v>6</v>
      </c>
      <c r="H156" s="768" cm="1">
        <f t="array" aca="1" ref="H156" ca="1">INDIRECT("'Definition of Typical Day'!"&amp; ADDRESS($D156+28*(H$16-1),$E156))</f>
        <v>0</v>
      </c>
      <c r="I156" s="715" cm="1">
        <f t="array" aca="1" ref="I156" ca="1">INDIRECT("'Definition of Typical Day'!"&amp; ADDRESS($D156+29*(I$16-1),$E156))</f>
        <v>40</v>
      </c>
      <c r="J156" s="715">
        <f t="shared" ca="1" si="178"/>
        <v>37</v>
      </c>
      <c r="K156" s="785">
        <f t="shared" si="179"/>
        <v>28</v>
      </c>
      <c r="L156" s="786" cm="1">
        <f t="array" aca="1" ref="L156" ca="1">INDIRECT("'Definition of Typical Day'!"&amp; ADDRESS($D156+29*(L$16-1),$E156))</f>
        <v>0</v>
      </c>
      <c r="M156" s="768" cm="1">
        <f t="array" aca="1" ref="M156" ca="1">INDIRECT("'Definition of Typical Day'!"&amp; ADDRESS($D156+29*(M$16-1),$E156))</f>
        <v>67.5</v>
      </c>
      <c r="N156" s="715">
        <f t="shared" si="180"/>
        <v>3</v>
      </c>
      <c r="O156" s="715">
        <f t="shared" ca="1" si="181"/>
        <v>70.5</v>
      </c>
      <c r="P156" s="715" cm="1">
        <f t="array" aca="1" ref="P156" ca="1">INDIRECT("'Definition of Typical Day'!"&amp; ADDRESS($D156+29*(P$16-1),$E156))</f>
        <v>45</v>
      </c>
      <c r="Q156" s="787">
        <f t="shared" ca="1" si="182"/>
        <v>48</v>
      </c>
      <c r="R156" s="792">
        <f t="shared" ca="1" si="183"/>
        <v>70.5</v>
      </c>
      <c r="S156" s="769">
        <f t="shared" si="184"/>
        <v>3</v>
      </c>
      <c r="T156" s="769">
        <f t="shared" ca="1" si="185"/>
        <v>0.24</v>
      </c>
      <c r="U156" s="769">
        <f t="shared" ca="1" si="186"/>
        <v>0.50700000000000001</v>
      </c>
      <c r="V156" s="769">
        <f t="shared" ca="1" si="187"/>
        <v>0</v>
      </c>
      <c r="W156" s="769">
        <f t="shared" ca="1" si="188"/>
        <v>3.7470000000000003</v>
      </c>
      <c r="X156" s="794">
        <f t="shared" si="189"/>
        <v>3</v>
      </c>
      <c r="Y156" s="769">
        <f t="shared" ca="1" si="190"/>
        <v>2.598076211353316</v>
      </c>
      <c r="Z156" s="769">
        <f t="shared" ca="1" si="191"/>
        <v>0</v>
      </c>
      <c r="AA156" s="795">
        <f t="shared" ca="1" si="192"/>
        <v>0</v>
      </c>
      <c r="AB156" s="769">
        <f t="shared" ca="1" si="193"/>
        <v>0</v>
      </c>
      <c r="AC156" s="769">
        <f t="shared" ca="1" si="194"/>
        <v>0</v>
      </c>
      <c r="AD156" s="769">
        <f t="shared" ca="1" si="195"/>
        <v>0</v>
      </c>
      <c r="AE156" s="794">
        <f t="shared" ca="1" si="196"/>
        <v>0</v>
      </c>
      <c r="AF156" s="769">
        <f t="shared" ca="1" si="197"/>
        <v>0</v>
      </c>
      <c r="AG156" s="769">
        <f t="shared" ca="1" si="198"/>
        <v>0</v>
      </c>
      <c r="AH156" s="799">
        <f t="shared" ca="1" si="199"/>
        <v>0</v>
      </c>
      <c r="AI156" s="801">
        <f t="shared" ca="1" si="200"/>
        <v>1</v>
      </c>
      <c r="AJ156" s="794">
        <f t="shared" ca="1" si="201"/>
        <v>0</v>
      </c>
      <c r="AK156" s="769">
        <f t="shared" ca="1" si="202"/>
        <v>0</v>
      </c>
      <c r="AL156" s="769">
        <f t="shared" ca="1" si="203"/>
        <v>0</v>
      </c>
      <c r="AM156" s="804">
        <f t="shared" ca="1" si="153"/>
        <v>0</v>
      </c>
      <c r="AN156" s="795">
        <f t="shared" ca="1" si="154"/>
        <v>0</v>
      </c>
      <c r="AO156" s="251"/>
      <c r="AP156" s="770">
        <f t="shared" si="204"/>
        <v>0</v>
      </c>
      <c r="AQ156" s="771">
        <f t="shared" ca="1" si="205"/>
        <v>0</v>
      </c>
      <c r="AR156" s="771">
        <f t="shared" ca="1" si="206"/>
        <v>0</v>
      </c>
      <c r="AS156" s="772">
        <f t="shared" ca="1" si="207"/>
        <v>0</v>
      </c>
      <c r="AT156" s="231"/>
      <c r="AU156" s="770">
        <f>'Main Results - IRR DC Operator'!$F$16</f>
        <v>2</v>
      </c>
      <c r="AV156" s="773">
        <f>'Main Results - IRR DC Operator'!$F$15</f>
        <v>1</v>
      </c>
      <c r="AW156" s="771">
        <f t="shared" ca="1" si="208"/>
        <v>0</v>
      </c>
      <c r="AX156" s="772">
        <f t="shared" si="209"/>
        <v>0</v>
      </c>
      <c r="AY156" s="231"/>
      <c r="AZ156" s="770" cm="1">
        <f t="array" aca="1" ref="AZ156" ca="1">INDIRECT("'Definition of Typical Day'!"&amp; ADDRESS($D156+29*(AZ$16-1),$E156))+$AZ$17</f>
        <v>32.644999999999996</v>
      </c>
      <c r="BA156" s="771" cm="1">
        <f t="array" aca="1" ref="BA156" ca="1">INDIRECT("'Definition of Typical Day'!"&amp; ADDRESS($D156+29*(BA$16-1),$E156))+$BA$17</f>
        <v>32.644999999999996</v>
      </c>
      <c r="BB156" s="772" cm="1">
        <f t="array" aca="1" ref="BB156" ca="1">INDIRECT("'Definition of Typical Day'!"&amp;ADDRESS(BB$16,$E156))</f>
        <v>66</v>
      </c>
      <c r="BC156" s="776" cm="1">
        <f t="array" aca="1" ref="BC156" ca="1">INDIRECT("'Definition of Typical Day'!"&amp; ADDRESS($D156+29*(BC$16-1),$E156))</f>
        <v>31.645</v>
      </c>
      <c r="BD156" s="777" cm="1">
        <f t="array" aca="1" ref="BD156" ca="1">INDIRECT("'Definition of Typical Day'!"&amp; ADDRESS($D156+29*(BD$16-1),$E156))</f>
        <v>1</v>
      </c>
      <c r="BE156" s="776">
        <f t="shared" si="210"/>
        <v>0</v>
      </c>
      <c r="BF156" s="771">
        <f t="shared" ca="1" si="211"/>
        <v>0</v>
      </c>
      <c r="BG156" s="771">
        <f t="shared" ca="1" si="212"/>
        <v>0</v>
      </c>
      <c r="BH156" s="771">
        <f t="shared" ca="1" si="213"/>
        <v>0</v>
      </c>
      <c r="BI156" s="776">
        <f t="shared" ca="1" si="214"/>
        <v>0</v>
      </c>
      <c r="BJ156" s="776">
        <f t="shared" ca="1" si="215"/>
        <v>0</v>
      </c>
      <c r="BK156" s="776">
        <f t="shared" ca="1" si="216"/>
        <v>0</v>
      </c>
      <c r="BL156" s="776">
        <f t="shared" ca="1" si="217"/>
        <v>0</v>
      </c>
      <c r="BM156" s="135"/>
      <c r="BN156" s="776">
        <f t="shared" ca="1" si="218"/>
        <v>0</v>
      </c>
      <c r="BO156" s="778">
        <f t="shared" ca="1" si="155"/>
        <v>0</v>
      </c>
      <c r="BP156" s="770">
        <f t="shared" ca="1" si="156"/>
        <v>0</v>
      </c>
      <c r="BQ156" s="771">
        <f t="shared" ca="1" si="157"/>
        <v>0</v>
      </c>
      <c r="BR156" s="771">
        <f t="shared" ca="1" si="158"/>
        <v>0</v>
      </c>
      <c r="BS156" s="776">
        <f t="shared" ca="1" si="219"/>
        <v>0</v>
      </c>
      <c r="BT156" s="776">
        <f t="shared" ca="1" si="159"/>
        <v>0</v>
      </c>
      <c r="BU156" s="783">
        <f t="shared" ca="1" si="160"/>
        <v>0</v>
      </c>
      <c r="BV156" s="783">
        <f t="shared" ca="1" si="161"/>
        <v>0</v>
      </c>
      <c r="BW156" s="1019">
        <f t="shared" ca="1" si="220"/>
        <v>0</v>
      </c>
      <c r="BX156" s="771" cm="1">
        <f t="array" aca="1" ref="BX156" ca="1">INDIRECT("'Definition of Typical Day'!"&amp; ADDRESS($D156+29*(BX$16-1),$E156))</f>
        <v>55</v>
      </c>
      <c r="BY156" s="771">
        <f t="shared" ca="1" si="221"/>
        <v>0</v>
      </c>
      <c r="BZ156" s="781">
        <f t="shared" ca="1" si="162"/>
        <v>0</v>
      </c>
      <c r="CA156" s="781">
        <f t="shared" ca="1" si="163"/>
        <v>0</v>
      </c>
      <c r="CB156" s="776">
        <f t="shared" ca="1" si="164"/>
        <v>0</v>
      </c>
      <c r="CC156" s="782">
        <f t="shared" si="165"/>
        <v>6</v>
      </c>
      <c r="CD156" s="782">
        <f t="shared" si="166"/>
        <v>16</v>
      </c>
      <c r="CE156" s="784" t="str" cm="1">
        <f t="array" aca="1" ref="CE156" ca="1">INDIRECT("'Definition of Typical Day'!"&amp;ADDRESS(CE$16,$E156))</f>
        <v>Maintenance of HP</v>
      </c>
      <c r="CF156" s="232"/>
      <c r="CG156" s="232"/>
      <c r="CH156" s="776">
        <f t="shared" ca="1" si="167"/>
        <v>0</v>
      </c>
      <c r="CI156" s="806">
        <f t="shared" ca="1" si="168"/>
        <v>0</v>
      </c>
      <c r="CJ156" s="770">
        <f t="shared" ca="1" si="169"/>
        <v>0</v>
      </c>
      <c r="CK156" s="771">
        <f t="shared" ca="1" si="170"/>
        <v>0</v>
      </c>
      <c r="CL156" s="771">
        <f t="shared" ca="1" si="171"/>
        <v>0</v>
      </c>
      <c r="CM156" s="772">
        <f t="shared" ca="1" si="172"/>
        <v>0</v>
      </c>
      <c r="CN156" s="135"/>
      <c r="CO156" s="770">
        <f t="shared" ca="1" si="149"/>
        <v>1.05</v>
      </c>
      <c r="CP156" s="771">
        <f t="shared" ca="1" si="173"/>
        <v>0.02</v>
      </c>
      <c r="CQ156" s="771">
        <f t="shared" ca="1" si="174"/>
        <v>-2.5000000000000001E-2</v>
      </c>
      <c r="CR156" s="771">
        <f t="shared" ca="1" si="175"/>
        <v>0.95</v>
      </c>
      <c r="CS156" s="771">
        <f t="shared" ca="1" si="176"/>
        <v>0.03</v>
      </c>
      <c r="CT156" s="772">
        <f t="shared" ca="1" si="177"/>
        <v>0.02</v>
      </c>
      <c r="CU156" s="135"/>
      <c r="CV156" s="135"/>
      <c r="CW156" s="135"/>
      <c r="CX156" s="135"/>
      <c r="CY156" s="135"/>
      <c r="CZ156" s="135"/>
      <c r="DA156" s="135"/>
      <c r="DB156" s="135"/>
      <c r="DC156" s="135"/>
      <c r="DD156" s="135"/>
      <c r="DE156" s="135"/>
      <c r="DF156" s="135"/>
      <c r="DG156" s="135"/>
      <c r="DH156" s="135"/>
      <c r="DI156" s="135"/>
      <c r="DJ156" s="135"/>
      <c r="DK156" s="135"/>
      <c r="DL156" s="135"/>
      <c r="DX156" s="135"/>
      <c r="DY156" s="135"/>
      <c r="DZ156" s="135"/>
      <c r="EA156" s="135"/>
      <c r="EB156" s="135"/>
      <c r="EC156" s="135"/>
      <c r="ED156" s="135"/>
      <c r="EE156" s="135"/>
      <c r="EF156" s="135"/>
      <c r="EG156" s="135"/>
      <c r="EH156" s="135"/>
      <c r="EI156" s="135"/>
      <c r="EJ156" s="135"/>
      <c r="EK156" s="135"/>
      <c r="EL156" s="135"/>
      <c r="EM156" s="135"/>
      <c r="EN156" s="135"/>
      <c r="EO156" s="135"/>
      <c r="EP156" s="135"/>
      <c r="EQ156" s="135"/>
      <c r="ER156" s="135"/>
      <c r="ES156" s="135"/>
      <c r="ET156" s="135"/>
      <c r="EU156" s="135"/>
      <c r="EV156" s="135"/>
      <c r="EW156" s="135"/>
      <c r="EX156" s="135"/>
      <c r="EY156" s="135"/>
      <c r="EZ156" s="135"/>
      <c r="FA156" s="135"/>
      <c r="FB156" s="135"/>
      <c r="FC156" s="135"/>
      <c r="FD156" s="135"/>
      <c r="FE156" s="135"/>
      <c r="FF156" s="135"/>
      <c r="FG156" s="135"/>
    </row>
    <row r="157" spans="1:163" s="57" customFormat="1" ht="11.25" outlineLevel="1">
      <c r="A157" s="765">
        <f t="shared" si="150"/>
        <v>6</v>
      </c>
      <c r="B157" s="715" t="str" cm="1">
        <f t="array" aca="1" ref="B157" ca="1">INDIRECT("'Definition of Typical Day'!"&amp;ADDRESS(B$16,$E157))</f>
        <v>Maintenance of HP</v>
      </c>
      <c r="C157" s="766">
        <f t="shared" si="151"/>
        <v>17</v>
      </c>
      <c r="D157" s="715">
        <f t="shared" si="151"/>
        <v>51</v>
      </c>
      <c r="E157" s="715">
        <f t="shared" si="152"/>
        <v>10</v>
      </c>
      <c r="F157" s="767" cm="1">
        <f t="array" aca="1" ref="F157" ca="1">INDIRECT("'Definition of Typical Day'!D"&amp;D157)</f>
        <v>17</v>
      </c>
      <c r="G157" s="767" cm="1">
        <f t="array" aca="1" ref="G157" ca="1">INDIRECT("'Definition of Typical Day'!"&amp;ADDRESS(13,E157))</f>
        <v>6</v>
      </c>
      <c r="H157" s="768" cm="1">
        <f t="array" aca="1" ref="H157" ca="1">INDIRECT("'Definition of Typical Day'!"&amp; ADDRESS($D157+28*(H$16-1),$E157))</f>
        <v>0</v>
      </c>
      <c r="I157" s="715" cm="1">
        <f t="array" aca="1" ref="I157" ca="1">INDIRECT("'Definition of Typical Day'!"&amp; ADDRESS($D157+29*(I$16-1),$E157))</f>
        <v>40</v>
      </c>
      <c r="J157" s="715">
        <f t="shared" ca="1" si="178"/>
        <v>37</v>
      </c>
      <c r="K157" s="785">
        <f t="shared" si="179"/>
        <v>28</v>
      </c>
      <c r="L157" s="786" cm="1">
        <f t="array" aca="1" ref="L157" ca="1">INDIRECT("'Definition of Typical Day'!"&amp; ADDRESS($D157+29*(L$16-1),$E157))</f>
        <v>0</v>
      </c>
      <c r="M157" s="768" cm="1">
        <f t="array" aca="1" ref="M157" ca="1">INDIRECT("'Definition of Typical Day'!"&amp; ADDRESS($D157+29*(M$16-1),$E157))</f>
        <v>68.333333333333314</v>
      </c>
      <c r="N157" s="715">
        <f t="shared" si="180"/>
        <v>3</v>
      </c>
      <c r="O157" s="715">
        <f t="shared" ca="1" si="181"/>
        <v>71.333333333333314</v>
      </c>
      <c r="P157" s="715" cm="1">
        <f t="array" aca="1" ref="P157" ca="1">INDIRECT("'Definition of Typical Day'!"&amp; ADDRESS($D157+29*(P$16-1),$E157))</f>
        <v>45</v>
      </c>
      <c r="Q157" s="787">
        <f t="shared" ca="1" si="182"/>
        <v>48</v>
      </c>
      <c r="R157" s="792">
        <f t="shared" ca="1" si="183"/>
        <v>71.333333333333314</v>
      </c>
      <c r="S157" s="769">
        <f t="shared" si="184"/>
        <v>3</v>
      </c>
      <c r="T157" s="769">
        <f t="shared" ca="1" si="185"/>
        <v>0.24</v>
      </c>
      <c r="U157" s="769">
        <f t="shared" ca="1" si="186"/>
        <v>0.48533333333333378</v>
      </c>
      <c r="V157" s="769">
        <f t="shared" ca="1" si="187"/>
        <v>0</v>
      </c>
      <c r="W157" s="769">
        <f t="shared" ca="1" si="188"/>
        <v>3.7253333333333338</v>
      </c>
      <c r="X157" s="794">
        <f t="shared" si="189"/>
        <v>3</v>
      </c>
      <c r="Y157" s="769">
        <f t="shared" ca="1" si="190"/>
        <v>2.6457513110645898</v>
      </c>
      <c r="Z157" s="769">
        <f t="shared" ca="1" si="191"/>
        <v>0</v>
      </c>
      <c r="AA157" s="795">
        <f t="shared" ca="1" si="192"/>
        <v>0</v>
      </c>
      <c r="AB157" s="769">
        <f t="shared" ca="1" si="193"/>
        <v>0</v>
      </c>
      <c r="AC157" s="769">
        <f t="shared" ca="1" si="194"/>
        <v>0</v>
      </c>
      <c r="AD157" s="769">
        <f t="shared" ca="1" si="195"/>
        <v>0</v>
      </c>
      <c r="AE157" s="794">
        <f t="shared" ca="1" si="196"/>
        <v>0</v>
      </c>
      <c r="AF157" s="769">
        <f t="shared" ca="1" si="197"/>
        <v>0</v>
      </c>
      <c r="AG157" s="769">
        <f t="shared" ca="1" si="198"/>
        <v>0</v>
      </c>
      <c r="AH157" s="799">
        <f t="shared" ca="1" si="199"/>
        <v>0</v>
      </c>
      <c r="AI157" s="801">
        <f t="shared" ca="1" si="200"/>
        <v>1</v>
      </c>
      <c r="AJ157" s="794">
        <f t="shared" ca="1" si="201"/>
        <v>0</v>
      </c>
      <c r="AK157" s="769">
        <f t="shared" ca="1" si="202"/>
        <v>0</v>
      </c>
      <c r="AL157" s="769">
        <f t="shared" ca="1" si="203"/>
        <v>0</v>
      </c>
      <c r="AM157" s="804">
        <f t="shared" ca="1" si="153"/>
        <v>0</v>
      </c>
      <c r="AN157" s="795">
        <f t="shared" ca="1" si="154"/>
        <v>0</v>
      </c>
      <c r="AO157" s="251"/>
      <c r="AP157" s="770">
        <f t="shared" si="204"/>
        <v>0</v>
      </c>
      <c r="AQ157" s="771">
        <f t="shared" ca="1" si="205"/>
        <v>0</v>
      </c>
      <c r="AR157" s="771">
        <f t="shared" ca="1" si="206"/>
        <v>0</v>
      </c>
      <c r="AS157" s="772">
        <f t="shared" ca="1" si="207"/>
        <v>0</v>
      </c>
      <c r="AT157" s="231"/>
      <c r="AU157" s="770">
        <f>'Main Results - IRR DC Operator'!$F$16</f>
        <v>2</v>
      </c>
      <c r="AV157" s="773">
        <f>'Main Results - IRR DC Operator'!$F$15</f>
        <v>1</v>
      </c>
      <c r="AW157" s="771">
        <f t="shared" ca="1" si="208"/>
        <v>0</v>
      </c>
      <c r="AX157" s="772">
        <f t="shared" si="209"/>
        <v>0</v>
      </c>
      <c r="AY157" s="231"/>
      <c r="AZ157" s="770" cm="1">
        <f t="array" aca="1" ref="AZ157" ca="1">INDIRECT("'Definition of Typical Day'!"&amp; ADDRESS($D157+29*(AZ$16-1),$E157))+$AZ$17</f>
        <v>45.9</v>
      </c>
      <c r="BA157" s="771" cm="1">
        <f t="array" aca="1" ref="BA157" ca="1">INDIRECT("'Definition of Typical Day'!"&amp; ADDRESS($D157+29*(BA$16-1),$E157))+$BA$17</f>
        <v>45.9</v>
      </c>
      <c r="BB157" s="772" cm="1">
        <f t="array" aca="1" ref="BB157" ca="1">INDIRECT("'Definition of Typical Day'!"&amp;ADDRESS(BB$16,$E157))</f>
        <v>66</v>
      </c>
      <c r="BC157" s="776" cm="1">
        <f t="array" aca="1" ref="BC157" ca="1">INDIRECT("'Definition of Typical Day'!"&amp; ADDRESS($D157+29*(BC$16-1),$E157))</f>
        <v>44.9</v>
      </c>
      <c r="BD157" s="777" cm="1">
        <f t="array" aca="1" ref="BD157" ca="1">INDIRECT("'Definition of Typical Day'!"&amp; ADDRESS($D157+29*(BD$16-1),$E157))</f>
        <v>1</v>
      </c>
      <c r="BE157" s="776">
        <f t="shared" si="210"/>
        <v>0</v>
      </c>
      <c r="BF157" s="771">
        <f t="shared" ca="1" si="211"/>
        <v>0</v>
      </c>
      <c r="BG157" s="771">
        <f t="shared" ca="1" si="212"/>
        <v>0</v>
      </c>
      <c r="BH157" s="771">
        <f t="shared" ca="1" si="213"/>
        <v>0</v>
      </c>
      <c r="BI157" s="776">
        <f t="shared" ca="1" si="214"/>
        <v>0</v>
      </c>
      <c r="BJ157" s="776">
        <f t="shared" ca="1" si="215"/>
        <v>0</v>
      </c>
      <c r="BK157" s="776">
        <f t="shared" ca="1" si="216"/>
        <v>0</v>
      </c>
      <c r="BL157" s="776">
        <f t="shared" ca="1" si="217"/>
        <v>0</v>
      </c>
      <c r="BM157" s="135"/>
      <c r="BN157" s="776">
        <f t="shared" ca="1" si="218"/>
        <v>0</v>
      </c>
      <c r="BO157" s="778">
        <f t="shared" ca="1" si="155"/>
        <v>0</v>
      </c>
      <c r="BP157" s="770">
        <f t="shared" ca="1" si="156"/>
        <v>0</v>
      </c>
      <c r="BQ157" s="771">
        <f t="shared" ca="1" si="157"/>
        <v>0</v>
      </c>
      <c r="BR157" s="771">
        <f t="shared" ca="1" si="158"/>
        <v>0</v>
      </c>
      <c r="BS157" s="776">
        <f t="shared" ca="1" si="219"/>
        <v>0</v>
      </c>
      <c r="BT157" s="776">
        <f t="shared" ca="1" si="159"/>
        <v>0</v>
      </c>
      <c r="BU157" s="783">
        <f t="shared" ca="1" si="160"/>
        <v>0</v>
      </c>
      <c r="BV157" s="783">
        <f t="shared" ca="1" si="161"/>
        <v>0</v>
      </c>
      <c r="BW157" s="1019">
        <f t="shared" ca="1" si="220"/>
        <v>0</v>
      </c>
      <c r="BX157" s="771" cm="1">
        <f t="array" aca="1" ref="BX157" ca="1">INDIRECT("'Definition of Typical Day'!"&amp; ADDRESS($D157+29*(BX$16-1),$E157))</f>
        <v>55</v>
      </c>
      <c r="BY157" s="771">
        <f t="shared" ca="1" si="221"/>
        <v>0</v>
      </c>
      <c r="BZ157" s="781">
        <f t="shared" ca="1" si="162"/>
        <v>0</v>
      </c>
      <c r="CA157" s="781">
        <f t="shared" ca="1" si="163"/>
        <v>0</v>
      </c>
      <c r="CB157" s="776">
        <f t="shared" ca="1" si="164"/>
        <v>0</v>
      </c>
      <c r="CC157" s="782">
        <f t="shared" si="165"/>
        <v>6</v>
      </c>
      <c r="CD157" s="782">
        <f t="shared" si="166"/>
        <v>17</v>
      </c>
      <c r="CE157" s="784" t="str" cm="1">
        <f t="array" aca="1" ref="CE157" ca="1">INDIRECT("'Definition of Typical Day'!"&amp;ADDRESS(CE$16,$E157))</f>
        <v>Maintenance of HP</v>
      </c>
      <c r="CF157" s="232"/>
      <c r="CG157" s="232"/>
      <c r="CH157" s="776">
        <f t="shared" ca="1" si="167"/>
        <v>0</v>
      </c>
      <c r="CI157" s="806">
        <f t="shared" ca="1" si="168"/>
        <v>0</v>
      </c>
      <c r="CJ157" s="770">
        <f t="shared" ca="1" si="169"/>
        <v>0</v>
      </c>
      <c r="CK157" s="771">
        <f t="shared" ca="1" si="170"/>
        <v>0</v>
      </c>
      <c r="CL157" s="771">
        <f t="shared" ca="1" si="171"/>
        <v>0</v>
      </c>
      <c r="CM157" s="772">
        <f t="shared" ca="1" si="172"/>
        <v>0</v>
      </c>
      <c r="CN157" s="135"/>
      <c r="CO157" s="770">
        <f t="shared" ca="1" si="149"/>
        <v>1.05</v>
      </c>
      <c r="CP157" s="771">
        <f t="shared" ca="1" si="173"/>
        <v>0.02</v>
      </c>
      <c r="CQ157" s="771">
        <f t="shared" ca="1" si="174"/>
        <v>-2.5000000000000001E-2</v>
      </c>
      <c r="CR157" s="771">
        <f t="shared" ca="1" si="175"/>
        <v>0.95</v>
      </c>
      <c r="CS157" s="771">
        <f t="shared" ca="1" si="176"/>
        <v>0.03</v>
      </c>
      <c r="CT157" s="772">
        <f t="shared" ca="1" si="177"/>
        <v>0.02</v>
      </c>
      <c r="CU157" s="135"/>
      <c r="CV157" s="135"/>
      <c r="CW157" s="135"/>
      <c r="CX157" s="135"/>
      <c r="CY157" s="135"/>
      <c r="CZ157" s="135"/>
      <c r="DA157" s="135"/>
      <c r="DB157" s="135"/>
      <c r="DC157" s="135"/>
      <c r="DD157" s="135"/>
      <c r="DE157" s="135"/>
      <c r="DF157" s="135"/>
      <c r="DG157" s="135"/>
      <c r="DH157" s="135"/>
      <c r="DI157" s="135"/>
      <c r="DJ157" s="135"/>
      <c r="DK157" s="135"/>
      <c r="DL157" s="135"/>
      <c r="DX157" s="135"/>
      <c r="DY157" s="135"/>
      <c r="DZ157" s="135"/>
      <c r="EA157" s="135"/>
      <c r="EB157" s="135"/>
      <c r="EC157" s="135"/>
      <c r="ED157" s="135"/>
      <c r="EE157" s="135"/>
      <c r="EF157" s="135"/>
      <c r="EG157" s="135"/>
      <c r="EH157" s="135"/>
      <c r="EI157" s="135"/>
      <c r="EJ157" s="135"/>
      <c r="EK157" s="135"/>
      <c r="EL157" s="135"/>
      <c r="EM157" s="135"/>
      <c r="EN157" s="135"/>
      <c r="EO157" s="135"/>
      <c r="EP157" s="135"/>
      <c r="EQ157" s="135"/>
      <c r="ER157" s="135"/>
      <c r="ES157" s="135"/>
      <c r="ET157" s="135"/>
      <c r="EU157" s="135"/>
      <c r="EV157" s="135"/>
      <c r="EW157" s="135"/>
      <c r="EX157" s="135"/>
      <c r="EY157" s="135"/>
      <c r="EZ157" s="135"/>
      <c r="FA157" s="135"/>
      <c r="FB157" s="135"/>
      <c r="FC157" s="135"/>
      <c r="FD157" s="135"/>
      <c r="FE157" s="135"/>
      <c r="FF157" s="135"/>
      <c r="FG157" s="135"/>
    </row>
    <row r="158" spans="1:163" s="57" customFormat="1" ht="11.25" outlineLevel="1">
      <c r="A158" s="765">
        <f t="shared" si="150"/>
        <v>6</v>
      </c>
      <c r="B158" s="715" t="str" cm="1">
        <f t="array" aca="1" ref="B158" ca="1">INDIRECT("'Definition of Typical Day'!"&amp;ADDRESS(B$16,$E158))</f>
        <v>Maintenance of HP</v>
      </c>
      <c r="C158" s="766">
        <f t="shared" si="151"/>
        <v>18</v>
      </c>
      <c r="D158" s="715">
        <f t="shared" si="151"/>
        <v>52</v>
      </c>
      <c r="E158" s="715">
        <f t="shared" si="152"/>
        <v>10</v>
      </c>
      <c r="F158" s="767" cm="1">
        <f t="array" aca="1" ref="F158" ca="1">INDIRECT("'Definition of Typical Day'!D"&amp;D158)</f>
        <v>18</v>
      </c>
      <c r="G158" s="767" cm="1">
        <f t="array" aca="1" ref="G158" ca="1">INDIRECT("'Definition of Typical Day'!"&amp;ADDRESS(13,E158))</f>
        <v>6</v>
      </c>
      <c r="H158" s="768" cm="1">
        <f t="array" aca="1" ref="H158" ca="1">INDIRECT("'Definition of Typical Day'!"&amp; ADDRESS($D158+28*(H$16-1),$E158))</f>
        <v>0</v>
      </c>
      <c r="I158" s="715" cm="1">
        <f t="array" aca="1" ref="I158" ca="1">INDIRECT("'Definition of Typical Day'!"&amp; ADDRESS($D158+29*(I$16-1),$E158))</f>
        <v>40</v>
      </c>
      <c r="J158" s="715">
        <f t="shared" ca="1" si="178"/>
        <v>37</v>
      </c>
      <c r="K158" s="785">
        <f t="shared" si="179"/>
        <v>28</v>
      </c>
      <c r="L158" s="786" cm="1">
        <f t="array" aca="1" ref="L158" ca="1">INDIRECT("'Definition of Typical Day'!"&amp; ADDRESS($D158+29*(L$16-1),$E158))</f>
        <v>0</v>
      </c>
      <c r="M158" s="768" cm="1">
        <f t="array" aca="1" ref="M158" ca="1">INDIRECT("'Definition of Typical Day'!"&amp; ADDRESS($D158+29*(M$16-1),$E158))</f>
        <v>69.166666666666657</v>
      </c>
      <c r="N158" s="715">
        <f t="shared" si="180"/>
        <v>3</v>
      </c>
      <c r="O158" s="715">
        <f t="shared" ca="1" si="181"/>
        <v>72.166666666666657</v>
      </c>
      <c r="P158" s="715" cm="1">
        <f t="array" aca="1" ref="P158" ca="1">INDIRECT("'Definition of Typical Day'!"&amp; ADDRESS($D158+29*(P$16-1),$E158))</f>
        <v>45</v>
      </c>
      <c r="Q158" s="787">
        <f t="shared" ca="1" si="182"/>
        <v>48</v>
      </c>
      <c r="R158" s="792">
        <f t="shared" ca="1" si="183"/>
        <v>72.166666666666657</v>
      </c>
      <c r="S158" s="769">
        <f t="shared" si="184"/>
        <v>3</v>
      </c>
      <c r="T158" s="769">
        <f t="shared" ca="1" si="185"/>
        <v>0.24</v>
      </c>
      <c r="U158" s="769">
        <f t="shared" ca="1" si="186"/>
        <v>0.46366666666666689</v>
      </c>
      <c r="V158" s="769">
        <f t="shared" ca="1" si="187"/>
        <v>0</v>
      </c>
      <c r="W158" s="769">
        <f t="shared" ca="1" si="188"/>
        <v>3.7036666666666669</v>
      </c>
      <c r="X158" s="794">
        <f t="shared" si="189"/>
        <v>3</v>
      </c>
      <c r="Y158" s="769">
        <f t="shared" ca="1" si="190"/>
        <v>2.6925824035672514</v>
      </c>
      <c r="Z158" s="769">
        <f t="shared" ca="1" si="191"/>
        <v>0</v>
      </c>
      <c r="AA158" s="795">
        <f t="shared" ca="1" si="192"/>
        <v>0</v>
      </c>
      <c r="AB158" s="769">
        <f t="shared" ca="1" si="193"/>
        <v>0</v>
      </c>
      <c r="AC158" s="769">
        <f t="shared" ca="1" si="194"/>
        <v>0</v>
      </c>
      <c r="AD158" s="769">
        <f t="shared" ca="1" si="195"/>
        <v>0</v>
      </c>
      <c r="AE158" s="794">
        <f t="shared" ca="1" si="196"/>
        <v>0</v>
      </c>
      <c r="AF158" s="769">
        <f t="shared" ca="1" si="197"/>
        <v>0</v>
      </c>
      <c r="AG158" s="769">
        <f t="shared" ca="1" si="198"/>
        <v>0</v>
      </c>
      <c r="AH158" s="799">
        <f t="shared" ca="1" si="199"/>
        <v>0</v>
      </c>
      <c r="AI158" s="801">
        <f t="shared" ca="1" si="200"/>
        <v>1</v>
      </c>
      <c r="AJ158" s="794">
        <f t="shared" ca="1" si="201"/>
        <v>0</v>
      </c>
      <c r="AK158" s="769">
        <f t="shared" ca="1" si="202"/>
        <v>0</v>
      </c>
      <c r="AL158" s="769">
        <f t="shared" ca="1" si="203"/>
        <v>0</v>
      </c>
      <c r="AM158" s="804">
        <f t="shared" ca="1" si="153"/>
        <v>0</v>
      </c>
      <c r="AN158" s="795">
        <f t="shared" ca="1" si="154"/>
        <v>0</v>
      </c>
      <c r="AO158" s="251"/>
      <c r="AP158" s="770">
        <f t="shared" si="204"/>
        <v>0</v>
      </c>
      <c r="AQ158" s="771">
        <f t="shared" ca="1" si="205"/>
        <v>0</v>
      </c>
      <c r="AR158" s="771">
        <f t="shared" ca="1" si="206"/>
        <v>0</v>
      </c>
      <c r="AS158" s="772">
        <f t="shared" ca="1" si="207"/>
        <v>0</v>
      </c>
      <c r="AT158" s="231"/>
      <c r="AU158" s="770">
        <f>'Main Results - IRR DC Operator'!$F$16</f>
        <v>2</v>
      </c>
      <c r="AV158" s="773">
        <f>'Main Results - IRR DC Operator'!$F$15</f>
        <v>1</v>
      </c>
      <c r="AW158" s="771">
        <f t="shared" ca="1" si="208"/>
        <v>0</v>
      </c>
      <c r="AX158" s="772">
        <f t="shared" si="209"/>
        <v>0</v>
      </c>
      <c r="AY158" s="231"/>
      <c r="AZ158" s="770" cm="1">
        <f t="array" aca="1" ref="AZ158" ca="1">INDIRECT("'Definition of Typical Day'!"&amp; ADDRESS($D158+29*(AZ$16-1),$E158))+$AZ$17</f>
        <v>78.78</v>
      </c>
      <c r="BA158" s="771" cm="1">
        <f t="array" aca="1" ref="BA158" ca="1">INDIRECT("'Definition of Typical Day'!"&amp; ADDRESS($D158+29*(BA$16-1),$E158))+$BA$17</f>
        <v>78.78</v>
      </c>
      <c r="BB158" s="772" cm="1">
        <f t="array" aca="1" ref="BB158" ca="1">INDIRECT("'Definition of Typical Day'!"&amp;ADDRESS(BB$16,$E158))</f>
        <v>66</v>
      </c>
      <c r="BC158" s="776" cm="1">
        <f t="array" aca="1" ref="BC158" ca="1">INDIRECT("'Definition of Typical Day'!"&amp; ADDRESS($D158+29*(BC$16-1),$E158))</f>
        <v>77.78</v>
      </c>
      <c r="BD158" s="777" cm="1">
        <f t="array" aca="1" ref="BD158" ca="1">INDIRECT("'Definition of Typical Day'!"&amp; ADDRESS($D158+29*(BD$16-1),$E158))</f>
        <v>1</v>
      </c>
      <c r="BE158" s="776">
        <f t="shared" si="210"/>
        <v>0</v>
      </c>
      <c r="BF158" s="771">
        <f t="shared" ca="1" si="211"/>
        <v>0</v>
      </c>
      <c r="BG158" s="771">
        <f t="shared" ca="1" si="212"/>
        <v>0</v>
      </c>
      <c r="BH158" s="771">
        <f t="shared" ca="1" si="213"/>
        <v>0</v>
      </c>
      <c r="BI158" s="776">
        <f t="shared" ca="1" si="214"/>
        <v>0</v>
      </c>
      <c r="BJ158" s="776">
        <f t="shared" ca="1" si="215"/>
        <v>0</v>
      </c>
      <c r="BK158" s="776">
        <f t="shared" ca="1" si="216"/>
        <v>0</v>
      </c>
      <c r="BL158" s="776">
        <f t="shared" ca="1" si="217"/>
        <v>0</v>
      </c>
      <c r="BM158" s="135"/>
      <c r="BN158" s="776">
        <f t="shared" ca="1" si="218"/>
        <v>0</v>
      </c>
      <c r="BO158" s="778">
        <f t="shared" ca="1" si="155"/>
        <v>0</v>
      </c>
      <c r="BP158" s="770">
        <f t="shared" ca="1" si="156"/>
        <v>0</v>
      </c>
      <c r="BQ158" s="771">
        <f t="shared" ca="1" si="157"/>
        <v>0</v>
      </c>
      <c r="BR158" s="771">
        <f t="shared" ca="1" si="158"/>
        <v>0</v>
      </c>
      <c r="BS158" s="776">
        <f t="shared" ca="1" si="219"/>
        <v>0</v>
      </c>
      <c r="BT158" s="776">
        <f t="shared" ca="1" si="159"/>
        <v>0</v>
      </c>
      <c r="BU158" s="783">
        <f t="shared" ca="1" si="160"/>
        <v>0</v>
      </c>
      <c r="BV158" s="783">
        <f t="shared" ca="1" si="161"/>
        <v>0</v>
      </c>
      <c r="BW158" s="1019">
        <f t="shared" ca="1" si="220"/>
        <v>0</v>
      </c>
      <c r="BX158" s="771" cm="1">
        <f t="array" aca="1" ref="BX158" ca="1">INDIRECT("'Definition of Typical Day'!"&amp; ADDRESS($D158+29*(BX$16-1),$E158))</f>
        <v>55</v>
      </c>
      <c r="BY158" s="771">
        <f t="shared" ca="1" si="221"/>
        <v>0</v>
      </c>
      <c r="BZ158" s="781">
        <f t="shared" ca="1" si="162"/>
        <v>0</v>
      </c>
      <c r="CA158" s="781">
        <f t="shared" ca="1" si="163"/>
        <v>0</v>
      </c>
      <c r="CB158" s="776">
        <f t="shared" ca="1" si="164"/>
        <v>0</v>
      </c>
      <c r="CC158" s="782">
        <f t="shared" si="165"/>
        <v>6</v>
      </c>
      <c r="CD158" s="782">
        <f t="shared" si="166"/>
        <v>18</v>
      </c>
      <c r="CE158" s="784" t="str" cm="1">
        <f t="array" aca="1" ref="CE158" ca="1">INDIRECT("'Definition of Typical Day'!"&amp;ADDRESS(CE$16,$E158))</f>
        <v>Maintenance of HP</v>
      </c>
      <c r="CF158" s="232"/>
      <c r="CG158" s="232"/>
      <c r="CH158" s="776">
        <f t="shared" ca="1" si="167"/>
        <v>0</v>
      </c>
      <c r="CI158" s="806">
        <f t="shared" ca="1" si="168"/>
        <v>0</v>
      </c>
      <c r="CJ158" s="770">
        <f t="shared" ca="1" si="169"/>
        <v>0</v>
      </c>
      <c r="CK158" s="771">
        <f t="shared" ca="1" si="170"/>
        <v>0</v>
      </c>
      <c r="CL158" s="771">
        <f t="shared" ca="1" si="171"/>
        <v>0</v>
      </c>
      <c r="CM158" s="772">
        <f t="shared" ca="1" si="172"/>
        <v>0</v>
      </c>
      <c r="CN158" s="135"/>
      <c r="CO158" s="770">
        <f t="shared" ca="1" si="149"/>
        <v>1.05</v>
      </c>
      <c r="CP158" s="771">
        <f t="shared" ca="1" si="173"/>
        <v>0.02</v>
      </c>
      <c r="CQ158" s="771">
        <f t="shared" ca="1" si="174"/>
        <v>-2.5000000000000001E-2</v>
      </c>
      <c r="CR158" s="771">
        <f t="shared" ca="1" si="175"/>
        <v>0.95</v>
      </c>
      <c r="CS158" s="771">
        <f t="shared" ca="1" si="176"/>
        <v>0.03</v>
      </c>
      <c r="CT158" s="772">
        <f t="shared" ca="1" si="177"/>
        <v>0.02</v>
      </c>
      <c r="CU158" s="135"/>
      <c r="CV158" s="135"/>
      <c r="CW158" s="135"/>
      <c r="CX158" s="135"/>
      <c r="CY158" s="135"/>
      <c r="CZ158" s="135"/>
      <c r="DA158" s="135"/>
      <c r="DB158" s="135"/>
      <c r="DC158" s="135"/>
      <c r="DD158" s="135"/>
      <c r="DE158" s="135"/>
      <c r="DF158" s="135"/>
      <c r="DG158" s="135"/>
      <c r="DH158" s="135"/>
      <c r="DI158" s="135"/>
      <c r="DJ158" s="135"/>
      <c r="DK158" s="135"/>
      <c r="DL158" s="135"/>
      <c r="DX158" s="135"/>
      <c r="DY158" s="135"/>
      <c r="DZ158" s="135"/>
      <c r="EA158" s="135"/>
      <c r="EB158" s="135"/>
      <c r="EC158" s="135"/>
      <c r="ED158" s="135"/>
      <c r="EE158" s="135"/>
      <c r="EF158" s="135"/>
      <c r="EG158" s="135"/>
      <c r="EH158" s="135"/>
      <c r="EI158" s="135"/>
      <c r="EJ158" s="135"/>
      <c r="EK158" s="135"/>
      <c r="EL158" s="135"/>
      <c r="EM158" s="135"/>
      <c r="EN158" s="135"/>
      <c r="EO158" s="135"/>
      <c r="EP158" s="135"/>
      <c r="EQ158" s="135"/>
      <c r="ER158" s="135"/>
      <c r="ES158" s="135"/>
      <c r="ET158" s="135"/>
      <c r="EU158" s="135"/>
      <c r="EV158" s="135"/>
      <c r="EW158" s="135"/>
      <c r="EX158" s="135"/>
      <c r="EY158" s="135"/>
      <c r="EZ158" s="135"/>
      <c r="FA158" s="135"/>
      <c r="FB158" s="135"/>
      <c r="FC158" s="135"/>
      <c r="FD158" s="135"/>
      <c r="FE158" s="135"/>
      <c r="FF158" s="135"/>
      <c r="FG158" s="135"/>
    </row>
    <row r="159" spans="1:163" s="57" customFormat="1" ht="11.25" outlineLevel="1">
      <c r="A159" s="765">
        <f t="shared" si="150"/>
        <v>6</v>
      </c>
      <c r="B159" s="715" t="str" cm="1">
        <f t="array" aca="1" ref="B159" ca="1">INDIRECT("'Definition of Typical Day'!"&amp;ADDRESS(B$16,$E159))</f>
        <v>Maintenance of HP</v>
      </c>
      <c r="C159" s="766">
        <f t="shared" si="151"/>
        <v>19</v>
      </c>
      <c r="D159" s="715">
        <f t="shared" si="151"/>
        <v>53</v>
      </c>
      <c r="E159" s="715">
        <f t="shared" si="152"/>
        <v>10</v>
      </c>
      <c r="F159" s="767" cm="1">
        <f t="array" aca="1" ref="F159" ca="1">INDIRECT("'Definition of Typical Day'!D"&amp;D159)</f>
        <v>19</v>
      </c>
      <c r="G159" s="767" cm="1">
        <f t="array" aca="1" ref="G159" ca="1">INDIRECT("'Definition of Typical Day'!"&amp;ADDRESS(13,E159))</f>
        <v>6</v>
      </c>
      <c r="H159" s="768" cm="1">
        <f t="array" aca="1" ref="H159" ca="1">INDIRECT("'Definition of Typical Day'!"&amp; ADDRESS($D159+28*(H$16-1),$E159))</f>
        <v>0</v>
      </c>
      <c r="I159" s="715" cm="1">
        <f t="array" aca="1" ref="I159" ca="1">INDIRECT("'Definition of Typical Day'!"&amp; ADDRESS($D159+29*(I$16-1),$E159))</f>
        <v>40</v>
      </c>
      <c r="J159" s="715">
        <f t="shared" ca="1" si="178"/>
        <v>37</v>
      </c>
      <c r="K159" s="785">
        <f t="shared" si="179"/>
        <v>28</v>
      </c>
      <c r="L159" s="786" cm="1">
        <f t="array" aca="1" ref="L159" ca="1">INDIRECT("'Definition of Typical Day'!"&amp; ADDRESS($D159+29*(L$16-1),$E159))</f>
        <v>0</v>
      </c>
      <c r="M159" s="768" cm="1">
        <f t="array" aca="1" ref="M159" ca="1">INDIRECT("'Definition of Typical Day'!"&amp; ADDRESS($D159+29*(M$16-1),$E159))</f>
        <v>70</v>
      </c>
      <c r="N159" s="715">
        <f t="shared" si="180"/>
        <v>3</v>
      </c>
      <c r="O159" s="715">
        <f t="shared" ca="1" si="181"/>
        <v>73</v>
      </c>
      <c r="P159" s="715" cm="1">
        <f t="array" aca="1" ref="P159" ca="1">INDIRECT("'Definition of Typical Day'!"&amp; ADDRESS($D159+29*(P$16-1),$E159))</f>
        <v>45</v>
      </c>
      <c r="Q159" s="787">
        <f t="shared" ca="1" si="182"/>
        <v>48</v>
      </c>
      <c r="R159" s="792">
        <f t="shared" ca="1" si="183"/>
        <v>73</v>
      </c>
      <c r="S159" s="769">
        <f t="shared" si="184"/>
        <v>3</v>
      </c>
      <c r="T159" s="769">
        <f t="shared" ca="1" si="185"/>
        <v>0.24</v>
      </c>
      <c r="U159" s="769">
        <f t="shared" ca="1" si="186"/>
        <v>0.442</v>
      </c>
      <c r="V159" s="769">
        <f t="shared" ca="1" si="187"/>
        <v>0</v>
      </c>
      <c r="W159" s="769">
        <f t="shared" ca="1" si="188"/>
        <v>3.6820000000000004</v>
      </c>
      <c r="X159" s="794">
        <f t="shared" si="189"/>
        <v>3</v>
      </c>
      <c r="Y159" s="769">
        <f t="shared" ca="1" si="190"/>
        <v>2.7386127875258306</v>
      </c>
      <c r="Z159" s="769">
        <f t="shared" ca="1" si="191"/>
        <v>0</v>
      </c>
      <c r="AA159" s="795">
        <f t="shared" ca="1" si="192"/>
        <v>0</v>
      </c>
      <c r="AB159" s="769">
        <f t="shared" ca="1" si="193"/>
        <v>0</v>
      </c>
      <c r="AC159" s="769">
        <f t="shared" ca="1" si="194"/>
        <v>0</v>
      </c>
      <c r="AD159" s="769">
        <f t="shared" ca="1" si="195"/>
        <v>0</v>
      </c>
      <c r="AE159" s="794">
        <f t="shared" ca="1" si="196"/>
        <v>0</v>
      </c>
      <c r="AF159" s="769">
        <f t="shared" ca="1" si="197"/>
        <v>0</v>
      </c>
      <c r="AG159" s="769">
        <f t="shared" ca="1" si="198"/>
        <v>0</v>
      </c>
      <c r="AH159" s="799">
        <f t="shared" ca="1" si="199"/>
        <v>0</v>
      </c>
      <c r="AI159" s="801">
        <f t="shared" ca="1" si="200"/>
        <v>1</v>
      </c>
      <c r="AJ159" s="794">
        <f t="shared" ca="1" si="201"/>
        <v>0</v>
      </c>
      <c r="AK159" s="769">
        <f t="shared" ca="1" si="202"/>
        <v>0</v>
      </c>
      <c r="AL159" s="769">
        <f t="shared" ca="1" si="203"/>
        <v>0</v>
      </c>
      <c r="AM159" s="804">
        <f t="shared" ca="1" si="153"/>
        <v>0</v>
      </c>
      <c r="AN159" s="795">
        <f t="shared" ca="1" si="154"/>
        <v>0</v>
      </c>
      <c r="AO159" s="251"/>
      <c r="AP159" s="770">
        <f t="shared" si="204"/>
        <v>0</v>
      </c>
      <c r="AQ159" s="771">
        <f t="shared" ca="1" si="205"/>
        <v>0</v>
      </c>
      <c r="AR159" s="771">
        <f t="shared" ca="1" si="206"/>
        <v>0</v>
      </c>
      <c r="AS159" s="772">
        <f t="shared" ca="1" si="207"/>
        <v>0</v>
      </c>
      <c r="AT159" s="231"/>
      <c r="AU159" s="770">
        <f>'Main Results - IRR DC Operator'!$F$16</f>
        <v>2</v>
      </c>
      <c r="AV159" s="773">
        <f>'Main Results - IRR DC Operator'!$F$15</f>
        <v>1</v>
      </c>
      <c r="AW159" s="771">
        <f t="shared" ca="1" si="208"/>
        <v>0</v>
      </c>
      <c r="AX159" s="772">
        <f t="shared" si="209"/>
        <v>0</v>
      </c>
      <c r="AY159" s="231"/>
      <c r="AZ159" s="770" cm="1">
        <f t="array" aca="1" ref="AZ159" ca="1">INDIRECT("'Definition of Typical Day'!"&amp; ADDRESS($D159+29*(AZ$16-1),$E159))+$AZ$17</f>
        <v>94.10499999999999</v>
      </c>
      <c r="BA159" s="771" cm="1">
        <f t="array" aca="1" ref="BA159" ca="1">INDIRECT("'Definition of Typical Day'!"&amp; ADDRESS($D159+29*(BA$16-1),$E159))+$BA$17</f>
        <v>94.10499999999999</v>
      </c>
      <c r="BB159" s="772" cm="1">
        <f t="array" aca="1" ref="BB159" ca="1">INDIRECT("'Definition of Typical Day'!"&amp;ADDRESS(BB$16,$E159))</f>
        <v>66</v>
      </c>
      <c r="BC159" s="776" cm="1">
        <f t="array" aca="1" ref="BC159" ca="1">INDIRECT("'Definition of Typical Day'!"&amp; ADDRESS($D159+29*(BC$16-1),$E159))</f>
        <v>93.10499999999999</v>
      </c>
      <c r="BD159" s="777" cm="1">
        <f t="array" aca="1" ref="BD159" ca="1">INDIRECT("'Definition of Typical Day'!"&amp; ADDRESS($D159+29*(BD$16-1),$E159))</f>
        <v>1</v>
      </c>
      <c r="BE159" s="776">
        <f t="shared" si="210"/>
        <v>0</v>
      </c>
      <c r="BF159" s="771">
        <f t="shared" ca="1" si="211"/>
        <v>0</v>
      </c>
      <c r="BG159" s="771">
        <f t="shared" ca="1" si="212"/>
        <v>0</v>
      </c>
      <c r="BH159" s="771">
        <f t="shared" ca="1" si="213"/>
        <v>0</v>
      </c>
      <c r="BI159" s="776">
        <f t="shared" ca="1" si="214"/>
        <v>0</v>
      </c>
      <c r="BJ159" s="776">
        <f t="shared" ca="1" si="215"/>
        <v>0</v>
      </c>
      <c r="BK159" s="776">
        <f t="shared" ca="1" si="216"/>
        <v>0</v>
      </c>
      <c r="BL159" s="776">
        <f t="shared" ca="1" si="217"/>
        <v>0</v>
      </c>
      <c r="BM159" s="135"/>
      <c r="BN159" s="776">
        <f t="shared" ca="1" si="218"/>
        <v>0</v>
      </c>
      <c r="BO159" s="778">
        <f t="shared" ca="1" si="155"/>
        <v>0</v>
      </c>
      <c r="BP159" s="770">
        <f t="shared" ca="1" si="156"/>
        <v>0</v>
      </c>
      <c r="BQ159" s="771">
        <f t="shared" ca="1" si="157"/>
        <v>0</v>
      </c>
      <c r="BR159" s="771">
        <f t="shared" ca="1" si="158"/>
        <v>0</v>
      </c>
      <c r="BS159" s="776">
        <f t="shared" ca="1" si="219"/>
        <v>0</v>
      </c>
      <c r="BT159" s="776">
        <f t="shared" ca="1" si="159"/>
        <v>0</v>
      </c>
      <c r="BU159" s="783">
        <f t="shared" ca="1" si="160"/>
        <v>0</v>
      </c>
      <c r="BV159" s="783">
        <f t="shared" ca="1" si="161"/>
        <v>0</v>
      </c>
      <c r="BW159" s="1019">
        <f t="shared" ca="1" si="220"/>
        <v>0</v>
      </c>
      <c r="BX159" s="771" cm="1">
        <f t="array" aca="1" ref="BX159" ca="1">INDIRECT("'Definition of Typical Day'!"&amp; ADDRESS($D159+29*(BX$16-1),$E159))</f>
        <v>55</v>
      </c>
      <c r="BY159" s="771">
        <f t="shared" ca="1" si="221"/>
        <v>0</v>
      </c>
      <c r="BZ159" s="781">
        <f t="shared" ca="1" si="162"/>
        <v>0</v>
      </c>
      <c r="CA159" s="781">
        <f t="shared" ca="1" si="163"/>
        <v>0</v>
      </c>
      <c r="CB159" s="776">
        <f t="shared" ca="1" si="164"/>
        <v>0</v>
      </c>
      <c r="CC159" s="782">
        <f t="shared" si="165"/>
        <v>6</v>
      </c>
      <c r="CD159" s="782">
        <f t="shared" si="166"/>
        <v>19</v>
      </c>
      <c r="CE159" s="784" t="str" cm="1">
        <f t="array" aca="1" ref="CE159" ca="1">INDIRECT("'Definition of Typical Day'!"&amp;ADDRESS(CE$16,$E159))</f>
        <v>Maintenance of HP</v>
      </c>
      <c r="CF159" s="232"/>
      <c r="CG159" s="232"/>
      <c r="CH159" s="776">
        <f t="shared" ca="1" si="167"/>
        <v>0</v>
      </c>
      <c r="CI159" s="806">
        <f t="shared" ca="1" si="168"/>
        <v>0</v>
      </c>
      <c r="CJ159" s="770">
        <f t="shared" ca="1" si="169"/>
        <v>0</v>
      </c>
      <c r="CK159" s="771">
        <f t="shared" ca="1" si="170"/>
        <v>0</v>
      </c>
      <c r="CL159" s="771">
        <f t="shared" ca="1" si="171"/>
        <v>0</v>
      </c>
      <c r="CM159" s="772">
        <f t="shared" ca="1" si="172"/>
        <v>0</v>
      </c>
      <c r="CN159" s="135"/>
      <c r="CO159" s="770">
        <f t="shared" ref="CO159:CO222" ca="1" si="222">IF(BU159&gt;BX159,3%,105%)</f>
        <v>1.05</v>
      </c>
      <c r="CP159" s="771">
        <f t="shared" ca="1" si="173"/>
        <v>0.02</v>
      </c>
      <c r="CQ159" s="771">
        <f t="shared" ca="1" si="174"/>
        <v>-2.5000000000000001E-2</v>
      </c>
      <c r="CR159" s="771">
        <f t="shared" ca="1" si="175"/>
        <v>0.95</v>
      </c>
      <c r="CS159" s="771">
        <f t="shared" ca="1" si="176"/>
        <v>0.03</v>
      </c>
      <c r="CT159" s="772">
        <f t="shared" ca="1" si="177"/>
        <v>0.02</v>
      </c>
      <c r="CU159" s="135"/>
      <c r="CV159" s="135"/>
      <c r="CW159" s="135"/>
      <c r="CX159" s="135"/>
      <c r="CY159" s="135"/>
      <c r="CZ159" s="135"/>
      <c r="DA159" s="135"/>
      <c r="DB159" s="135"/>
      <c r="DC159" s="135"/>
      <c r="DD159" s="135"/>
      <c r="DE159" s="135"/>
      <c r="DF159" s="135"/>
      <c r="DG159" s="135"/>
      <c r="DH159" s="135"/>
      <c r="DI159" s="135"/>
      <c r="DJ159" s="135"/>
      <c r="DK159" s="135"/>
      <c r="DL159" s="135"/>
      <c r="DX159" s="135"/>
      <c r="DY159" s="135"/>
      <c r="DZ159" s="135"/>
      <c r="EA159" s="135"/>
      <c r="EB159" s="135"/>
      <c r="EC159" s="135"/>
      <c r="ED159" s="135"/>
      <c r="EE159" s="135"/>
      <c r="EF159" s="135"/>
      <c r="EG159" s="135"/>
      <c r="EH159" s="135"/>
      <c r="EI159" s="135"/>
      <c r="EJ159" s="135"/>
      <c r="EK159" s="135"/>
      <c r="EL159" s="135"/>
      <c r="EM159" s="135"/>
      <c r="EN159" s="135"/>
      <c r="EO159" s="135"/>
      <c r="EP159" s="135"/>
      <c r="EQ159" s="135"/>
      <c r="ER159" s="135"/>
      <c r="ES159" s="135"/>
      <c r="ET159" s="135"/>
      <c r="EU159" s="135"/>
      <c r="EV159" s="135"/>
      <c r="EW159" s="135"/>
      <c r="EX159" s="135"/>
      <c r="EY159" s="135"/>
      <c r="EZ159" s="135"/>
      <c r="FA159" s="135"/>
      <c r="FB159" s="135"/>
      <c r="FC159" s="135"/>
      <c r="FD159" s="135"/>
      <c r="FE159" s="135"/>
      <c r="FF159" s="135"/>
      <c r="FG159" s="135"/>
    </row>
    <row r="160" spans="1:163" s="57" customFormat="1" ht="11.25" outlineLevel="1">
      <c r="A160" s="765">
        <f t="shared" si="150"/>
        <v>6</v>
      </c>
      <c r="B160" s="715" t="str" cm="1">
        <f t="array" aca="1" ref="B160" ca="1">INDIRECT("'Definition of Typical Day'!"&amp;ADDRESS(B$16,$E160))</f>
        <v>Maintenance of HP</v>
      </c>
      <c r="C160" s="766">
        <f t="shared" si="151"/>
        <v>20</v>
      </c>
      <c r="D160" s="715">
        <f t="shared" si="151"/>
        <v>54</v>
      </c>
      <c r="E160" s="715">
        <f t="shared" si="152"/>
        <v>10</v>
      </c>
      <c r="F160" s="767" cm="1">
        <f t="array" aca="1" ref="F160" ca="1">INDIRECT("'Definition of Typical Day'!D"&amp;D160)</f>
        <v>20</v>
      </c>
      <c r="G160" s="767" cm="1">
        <f t="array" aca="1" ref="G160" ca="1">INDIRECT("'Definition of Typical Day'!"&amp;ADDRESS(13,E160))</f>
        <v>6</v>
      </c>
      <c r="H160" s="768" cm="1">
        <f t="array" aca="1" ref="H160" ca="1">INDIRECT("'Definition of Typical Day'!"&amp; ADDRESS($D160+28*(H$16-1),$E160))</f>
        <v>0</v>
      </c>
      <c r="I160" s="715" cm="1">
        <f t="array" aca="1" ref="I160" ca="1">INDIRECT("'Definition of Typical Day'!"&amp; ADDRESS($D160+29*(I$16-1),$E160))</f>
        <v>40</v>
      </c>
      <c r="J160" s="715">
        <f t="shared" ca="1" si="178"/>
        <v>37</v>
      </c>
      <c r="K160" s="785">
        <f t="shared" si="179"/>
        <v>28</v>
      </c>
      <c r="L160" s="786" cm="1">
        <f t="array" aca="1" ref="L160" ca="1">INDIRECT("'Definition of Typical Day'!"&amp; ADDRESS($D160+29*(L$16-1),$E160))</f>
        <v>0</v>
      </c>
      <c r="M160" s="768" cm="1">
        <f t="array" aca="1" ref="M160" ca="1">INDIRECT("'Definition of Typical Day'!"&amp; ADDRESS($D160+29*(M$16-1),$E160))</f>
        <v>70.833333333333314</v>
      </c>
      <c r="N160" s="715">
        <f t="shared" si="180"/>
        <v>3</v>
      </c>
      <c r="O160" s="715">
        <f t="shared" ca="1" si="181"/>
        <v>73.833333333333314</v>
      </c>
      <c r="P160" s="715" cm="1">
        <f t="array" aca="1" ref="P160" ca="1">INDIRECT("'Definition of Typical Day'!"&amp; ADDRESS($D160+29*(P$16-1),$E160))</f>
        <v>45</v>
      </c>
      <c r="Q160" s="787">
        <f t="shared" ca="1" si="182"/>
        <v>48</v>
      </c>
      <c r="R160" s="792">
        <f t="shared" ca="1" si="183"/>
        <v>73.833333333333314</v>
      </c>
      <c r="S160" s="769">
        <f t="shared" si="184"/>
        <v>3</v>
      </c>
      <c r="T160" s="769">
        <f t="shared" ca="1" si="185"/>
        <v>0.24</v>
      </c>
      <c r="U160" s="769">
        <f t="shared" ca="1" si="186"/>
        <v>0.42033333333333378</v>
      </c>
      <c r="V160" s="769">
        <f t="shared" ca="1" si="187"/>
        <v>0</v>
      </c>
      <c r="W160" s="769">
        <f t="shared" ca="1" si="188"/>
        <v>3.6603333333333339</v>
      </c>
      <c r="X160" s="794">
        <f t="shared" si="189"/>
        <v>3</v>
      </c>
      <c r="Y160" s="769">
        <f t="shared" ca="1" si="190"/>
        <v>2.7838821814150099</v>
      </c>
      <c r="Z160" s="769">
        <f t="shared" ca="1" si="191"/>
        <v>0</v>
      </c>
      <c r="AA160" s="795">
        <f t="shared" ca="1" si="192"/>
        <v>0</v>
      </c>
      <c r="AB160" s="769">
        <f t="shared" ca="1" si="193"/>
        <v>0</v>
      </c>
      <c r="AC160" s="769">
        <f t="shared" ca="1" si="194"/>
        <v>0</v>
      </c>
      <c r="AD160" s="769">
        <f t="shared" ca="1" si="195"/>
        <v>0</v>
      </c>
      <c r="AE160" s="794">
        <f t="shared" ca="1" si="196"/>
        <v>0</v>
      </c>
      <c r="AF160" s="769">
        <f t="shared" ca="1" si="197"/>
        <v>0</v>
      </c>
      <c r="AG160" s="769">
        <f t="shared" ca="1" si="198"/>
        <v>0</v>
      </c>
      <c r="AH160" s="799">
        <f t="shared" ca="1" si="199"/>
        <v>0</v>
      </c>
      <c r="AI160" s="801">
        <f t="shared" ca="1" si="200"/>
        <v>1</v>
      </c>
      <c r="AJ160" s="794">
        <f t="shared" ca="1" si="201"/>
        <v>0</v>
      </c>
      <c r="AK160" s="769">
        <f t="shared" ca="1" si="202"/>
        <v>0</v>
      </c>
      <c r="AL160" s="769">
        <f t="shared" ca="1" si="203"/>
        <v>0</v>
      </c>
      <c r="AM160" s="804">
        <f t="shared" ca="1" si="153"/>
        <v>0</v>
      </c>
      <c r="AN160" s="795">
        <f t="shared" ca="1" si="154"/>
        <v>0</v>
      </c>
      <c r="AO160" s="251"/>
      <c r="AP160" s="770">
        <f t="shared" si="204"/>
        <v>0</v>
      </c>
      <c r="AQ160" s="771">
        <f t="shared" ca="1" si="205"/>
        <v>0</v>
      </c>
      <c r="AR160" s="771">
        <f t="shared" ca="1" si="206"/>
        <v>0</v>
      </c>
      <c r="AS160" s="772">
        <f t="shared" ca="1" si="207"/>
        <v>0</v>
      </c>
      <c r="AT160" s="231"/>
      <c r="AU160" s="770">
        <f>'Main Results - IRR DC Operator'!$F$16</f>
        <v>2</v>
      </c>
      <c r="AV160" s="773">
        <f>'Main Results - IRR DC Operator'!$F$15</f>
        <v>1</v>
      </c>
      <c r="AW160" s="771">
        <f t="shared" ca="1" si="208"/>
        <v>0</v>
      </c>
      <c r="AX160" s="772">
        <f t="shared" si="209"/>
        <v>0</v>
      </c>
      <c r="AY160" s="231"/>
      <c r="AZ160" s="770" cm="1">
        <f t="array" aca="1" ref="AZ160" ca="1">INDIRECT("'Definition of Typical Day'!"&amp; ADDRESS($D160+29*(AZ$16-1),$E160))+$AZ$17</f>
        <v>116.19</v>
      </c>
      <c r="BA160" s="771" cm="1">
        <f t="array" aca="1" ref="BA160" ca="1">INDIRECT("'Definition of Typical Day'!"&amp; ADDRESS($D160+29*(BA$16-1),$E160))+$BA$17</f>
        <v>116.19</v>
      </c>
      <c r="BB160" s="772" cm="1">
        <f t="array" aca="1" ref="BB160" ca="1">INDIRECT("'Definition of Typical Day'!"&amp;ADDRESS(BB$16,$E160))</f>
        <v>66</v>
      </c>
      <c r="BC160" s="776" cm="1">
        <f t="array" aca="1" ref="BC160" ca="1">INDIRECT("'Definition of Typical Day'!"&amp; ADDRESS($D160+29*(BC$16-1),$E160))</f>
        <v>115.19</v>
      </c>
      <c r="BD160" s="777" cm="1">
        <f t="array" aca="1" ref="BD160" ca="1">INDIRECT("'Definition of Typical Day'!"&amp; ADDRESS($D160+29*(BD$16-1),$E160))</f>
        <v>1</v>
      </c>
      <c r="BE160" s="776">
        <f t="shared" si="210"/>
        <v>0</v>
      </c>
      <c r="BF160" s="771">
        <f t="shared" ca="1" si="211"/>
        <v>0</v>
      </c>
      <c r="BG160" s="771">
        <f t="shared" ca="1" si="212"/>
        <v>0</v>
      </c>
      <c r="BH160" s="771">
        <f t="shared" ca="1" si="213"/>
        <v>0</v>
      </c>
      <c r="BI160" s="776">
        <f t="shared" ca="1" si="214"/>
        <v>0</v>
      </c>
      <c r="BJ160" s="776">
        <f t="shared" ca="1" si="215"/>
        <v>0</v>
      </c>
      <c r="BK160" s="776">
        <f t="shared" ca="1" si="216"/>
        <v>0</v>
      </c>
      <c r="BL160" s="776">
        <f t="shared" ca="1" si="217"/>
        <v>0</v>
      </c>
      <c r="BM160" s="135"/>
      <c r="BN160" s="776">
        <f t="shared" ca="1" si="218"/>
        <v>0</v>
      </c>
      <c r="BO160" s="778">
        <f t="shared" ca="1" si="155"/>
        <v>0</v>
      </c>
      <c r="BP160" s="770">
        <f t="shared" ca="1" si="156"/>
        <v>0</v>
      </c>
      <c r="BQ160" s="771">
        <f t="shared" ca="1" si="157"/>
        <v>0</v>
      </c>
      <c r="BR160" s="771">
        <f t="shared" ca="1" si="158"/>
        <v>0</v>
      </c>
      <c r="BS160" s="776">
        <f t="shared" ca="1" si="219"/>
        <v>0</v>
      </c>
      <c r="BT160" s="776">
        <f t="shared" ca="1" si="159"/>
        <v>0</v>
      </c>
      <c r="BU160" s="783">
        <f t="shared" ca="1" si="160"/>
        <v>0</v>
      </c>
      <c r="BV160" s="783">
        <f t="shared" ca="1" si="161"/>
        <v>0</v>
      </c>
      <c r="BW160" s="1019">
        <f t="shared" ca="1" si="220"/>
        <v>0</v>
      </c>
      <c r="BX160" s="771" cm="1">
        <f t="array" aca="1" ref="BX160" ca="1">INDIRECT("'Definition of Typical Day'!"&amp; ADDRESS($D160+29*(BX$16-1),$E160))</f>
        <v>55</v>
      </c>
      <c r="BY160" s="771">
        <f t="shared" ca="1" si="221"/>
        <v>0</v>
      </c>
      <c r="BZ160" s="781">
        <f t="shared" ca="1" si="162"/>
        <v>0</v>
      </c>
      <c r="CA160" s="781">
        <f t="shared" ca="1" si="163"/>
        <v>0</v>
      </c>
      <c r="CB160" s="776">
        <f t="shared" ca="1" si="164"/>
        <v>0</v>
      </c>
      <c r="CC160" s="782">
        <f t="shared" si="165"/>
        <v>6</v>
      </c>
      <c r="CD160" s="782">
        <f t="shared" si="166"/>
        <v>20</v>
      </c>
      <c r="CE160" s="784" t="str" cm="1">
        <f t="array" aca="1" ref="CE160" ca="1">INDIRECT("'Definition of Typical Day'!"&amp;ADDRESS(CE$16,$E160))</f>
        <v>Maintenance of HP</v>
      </c>
      <c r="CF160" s="232"/>
      <c r="CG160" s="232"/>
      <c r="CH160" s="776">
        <f t="shared" ca="1" si="167"/>
        <v>0</v>
      </c>
      <c r="CI160" s="806">
        <f t="shared" ca="1" si="168"/>
        <v>0</v>
      </c>
      <c r="CJ160" s="770">
        <f t="shared" ca="1" si="169"/>
        <v>0</v>
      </c>
      <c r="CK160" s="771">
        <f t="shared" ca="1" si="170"/>
        <v>0</v>
      </c>
      <c r="CL160" s="771">
        <f t="shared" ca="1" si="171"/>
        <v>0</v>
      </c>
      <c r="CM160" s="772">
        <f t="shared" ca="1" si="172"/>
        <v>0</v>
      </c>
      <c r="CN160" s="135"/>
      <c r="CO160" s="770">
        <f t="shared" ca="1" si="222"/>
        <v>1.05</v>
      </c>
      <c r="CP160" s="771">
        <f t="shared" ca="1" si="173"/>
        <v>0.02</v>
      </c>
      <c r="CQ160" s="771">
        <f t="shared" ca="1" si="174"/>
        <v>-2.5000000000000001E-2</v>
      </c>
      <c r="CR160" s="771">
        <f t="shared" ca="1" si="175"/>
        <v>0.95</v>
      </c>
      <c r="CS160" s="771">
        <f t="shared" ca="1" si="176"/>
        <v>0.03</v>
      </c>
      <c r="CT160" s="772">
        <f t="shared" ca="1" si="177"/>
        <v>0.02</v>
      </c>
      <c r="CU160" s="135"/>
      <c r="CV160" s="135"/>
      <c r="CW160" s="135"/>
      <c r="CX160" s="135"/>
      <c r="CY160" s="135"/>
      <c r="CZ160" s="135"/>
      <c r="DA160" s="135"/>
      <c r="DB160" s="135"/>
      <c r="DC160" s="135"/>
      <c r="DD160" s="135"/>
      <c r="DE160" s="135"/>
      <c r="DF160" s="135"/>
      <c r="DG160" s="135"/>
      <c r="DH160" s="135"/>
      <c r="DI160" s="135"/>
      <c r="DJ160" s="135"/>
      <c r="DK160" s="135"/>
      <c r="DL160" s="135"/>
      <c r="DX160" s="135"/>
      <c r="DY160" s="135"/>
      <c r="DZ160" s="135"/>
      <c r="EA160" s="135"/>
      <c r="EB160" s="135"/>
      <c r="EC160" s="135"/>
      <c r="ED160" s="135"/>
      <c r="EE160" s="135"/>
      <c r="EF160" s="135"/>
      <c r="EG160" s="135"/>
      <c r="EH160" s="135"/>
      <c r="EI160" s="135"/>
      <c r="EJ160" s="135"/>
      <c r="EK160" s="135"/>
      <c r="EL160" s="135"/>
      <c r="EM160" s="135"/>
      <c r="EN160" s="135"/>
      <c r="EO160" s="135"/>
      <c r="EP160" s="135"/>
      <c r="EQ160" s="135"/>
      <c r="ER160" s="135"/>
      <c r="ES160" s="135"/>
      <c r="ET160" s="135"/>
      <c r="EU160" s="135"/>
      <c r="EV160" s="135"/>
      <c r="EW160" s="135"/>
      <c r="EX160" s="135"/>
      <c r="EY160" s="135"/>
      <c r="EZ160" s="135"/>
      <c r="FA160" s="135"/>
      <c r="FB160" s="135"/>
      <c r="FC160" s="135"/>
      <c r="FD160" s="135"/>
      <c r="FE160" s="135"/>
      <c r="FF160" s="135"/>
      <c r="FG160" s="135"/>
    </row>
    <row r="161" spans="1:163" s="57" customFormat="1" ht="11.25" outlineLevel="1">
      <c r="A161" s="765">
        <f t="shared" si="150"/>
        <v>6</v>
      </c>
      <c r="B161" s="715" t="str" cm="1">
        <f t="array" aca="1" ref="B161" ca="1">INDIRECT("'Definition of Typical Day'!"&amp;ADDRESS(B$16,$E161))</f>
        <v>Maintenance of HP</v>
      </c>
      <c r="C161" s="766">
        <f t="shared" si="151"/>
        <v>21</v>
      </c>
      <c r="D161" s="715">
        <f t="shared" si="151"/>
        <v>55</v>
      </c>
      <c r="E161" s="715">
        <f t="shared" si="152"/>
        <v>10</v>
      </c>
      <c r="F161" s="767" cm="1">
        <f t="array" aca="1" ref="F161" ca="1">INDIRECT("'Definition of Typical Day'!D"&amp;D161)</f>
        <v>21</v>
      </c>
      <c r="G161" s="767" cm="1">
        <f t="array" aca="1" ref="G161" ca="1">INDIRECT("'Definition of Typical Day'!"&amp;ADDRESS(13,E161))</f>
        <v>6</v>
      </c>
      <c r="H161" s="768" cm="1">
        <f t="array" aca="1" ref="H161" ca="1">INDIRECT("'Definition of Typical Day'!"&amp; ADDRESS($D161+28*(H$16-1),$E161))</f>
        <v>0</v>
      </c>
      <c r="I161" s="715" cm="1">
        <f t="array" aca="1" ref="I161" ca="1">INDIRECT("'Definition of Typical Day'!"&amp; ADDRESS($D161+29*(I$16-1),$E161))</f>
        <v>40</v>
      </c>
      <c r="J161" s="715">
        <f t="shared" ca="1" si="178"/>
        <v>37</v>
      </c>
      <c r="K161" s="785">
        <f t="shared" si="179"/>
        <v>28</v>
      </c>
      <c r="L161" s="786" cm="1">
        <f t="array" aca="1" ref="L161" ca="1">INDIRECT("'Definition of Typical Day'!"&amp; ADDRESS($D161+29*(L$16-1),$E161))</f>
        <v>0</v>
      </c>
      <c r="M161" s="768" cm="1">
        <f t="array" aca="1" ref="M161" ca="1">INDIRECT("'Definition of Typical Day'!"&amp; ADDRESS($D161+29*(M$16-1),$E161))</f>
        <v>71.666666666666657</v>
      </c>
      <c r="N161" s="715">
        <f t="shared" si="180"/>
        <v>3</v>
      </c>
      <c r="O161" s="715">
        <f t="shared" ca="1" si="181"/>
        <v>74.666666666666657</v>
      </c>
      <c r="P161" s="715" cm="1">
        <f t="array" aca="1" ref="P161" ca="1">INDIRECT("'Definition of Typical Day'!"&amp; ADDRESS($D161+29*(P$16-1),$E161))</f>
        <v>45</v>
      </c>
      <c r="Q161" s="787">
        <f t="shared" ca="1" si="182"/>
        <v>48</v>
      </c>
      <c r="R161" s="792">
        <f t="shared" ca="1" si="183"/>
        <v>74.666666666666657</v>
      </c>
      <c r="S161" s="769">
        <f t="shared" si="184"/>
        <v>3</v>
      </c>
      <c r="T161" s="769">
        <f t="shared" ca="1" si="185"/>
        <v>0.24</v>
      </c>
      <c r="U161" s="769">
        <f t="shared" ca="1" si="186"/>
        <v>0.39866666666666689</v>
      </c>
      <c r="V161" s="769">
        <f t="shared" ca="1" si="187"/>
        <v>0</v>
      </c>
      <c r="W161" s="769">
        <f t="shared" ca="1" si="188"/>
        <v>3.6386666666666669</v>
      </c>
      <c r="X161" s="794">
        <f t="shared" si="189"/>
        <v>3</v>
      </c>
      <c r="Y161" s="769">
        <f t="shared" ca="1" si="190"/>
        <v>2.8284271247461898</v>
      </c>
      <c r="Z161" s="769">
        <f t="shared" ca="1" si="191"/>
        <v>0</v>
      </c>
      <c r="AA161" s="795">
        <f t="shared" ca="1" si="192"/>
        <v>0</v>
      </c>
      <c r="AB161" s="769">
        <f t="shared" ca="1" si="193"/>
        <v>0</v>
      </c>
      <c r="AC161" s="769">
        <f t="shared" ca="1" si="194"/>
        <v>0</v>
      </c>
      <c r="AD161" s="769">
        <f t="shared" ca="1" si="195"/>
        <v>0</v>
      </c>
      <c r="AE161" s="794">
        <f t="shared" ca="1" si="196"/>
        <v>0</v>
      </c>
      <c r="AF161" s="769">
        <f t="shared" ca="1" si="197"/>
        <v>0</v>
      </c>
      <c r="AG161" s="769">
        <f t="shared" ca="1" si="198"/>
        <v>0</v>
      </c>
      <c r="AH161" s="799">
        <f t="shared" ca="1" si="199"/>
        <v>0</v>
      </c>
      <c r="AI161" s="801">
        <f t="shared" ca="1" si="200"/>
        <v>1</v>
      </c>
      <c r="AJ161" s="794">
        <f t="shared" ca="1" si="201"/>
        <v>0</v>
      </c>
      <c r="AK161" s="769">
        <f t="shared" ca="1" si="202"/>
        <v>0</v>
      </c>
      <c r="AL161" s="769">
        <f t="shared" ca="1" si="203"/>
        <v>0</v>
      </c>
      <c r="AM161" s="804">
        <f t="shared" ca="1" si="153"/>
        <v>0</v>
      </c>
      <c r="AN161" s="795">
        <f t="shared" ca="1" si="154"/>
        <v>0</v>
      </c>
      <c r="AO161" s="251"/>
      <c r="AP161" s="770">
        <f t="shared" si="204"/>
        <v>0</v>
      </c>
      <c r="AQ161" s="771">
        <f t="shared" ca="1" si="205"/>
        <v>0</v>
      </c>
      <c r="AR161" s="771">
        <f t="shared" ca="1" si="206"/>
        <v>0</v>
      </c>
      <c r="AS161" s="772">
        <f t="shared" ca="1" si="207"/>
        <v>0</v>
      </c>
      <c r="AT161" s="231"/>
      <c r="AU161" s="770">
        <f>'Main Results - IRR DC Operator'!$F$16</f>
        <v>2</v>
      </c>
      <c r="AV161" s="773">
        <f>'Main Results - IRR DC Operator'!$F$15</f>
        <v>1</v>
      </c>
      <c r="AW161" s="771">
        <f t="shared" ca="1" si="208"/>
        <v>0</v>
      </c>
      <c r="AX161" s="772">
        <f t="shared" si="209"/>
        <v>0</v>
      </c>
      <c r="AY161" s="231"/>
      <c r="AZ161" s="770" cm="1">
        <f t="array" aca="1" ref="AZ161" ca="1">INDIRECT("'Definition of Typical Day'!"&amp; ADDRESS($D161+29*(AZ$16-1),$E161))+$AZ$17</f>
        <v>153.86000000000001</v>
      </c>
      <c r="BA161" s="771" cm="1">
        <f t="array" aca="1" ref="BA161" ca="1">INDIRECT("'Definition of Typical Day'!"&amp; ADDRESS($D161+29*(BA$16-1),$E161))+$BA$17</f>
        <v>153.86000000000001</v>
      </c>
      <c r="BB161" s="772" cm="1">
        <f t="array" aca="1" ref="BB161" ca="1">INDIRECT("'Definition of Typical Day'!"&amp;ADDRESS(BB$16,$E161))</f>
        <v>66</v>
      </c>
      <c r="BC161" s="776" cm="1">
        <f t="array" aca="1" ref="BC161" ca="1">INDIRECT("'Definition of Typical Day'!"&amp; ADDRESS($D161+29*(BC$16-1),$E161))</f>
        <v>152.86000000000001</v>
      </c>
      <c r="BD161" s="777" cm="1">
        <f t="array" aca="1" ref="BD161" ca="1">INDIRECT("'Definition of Typical Day'!"&amp; ADDRESS($D161+29*(BD$16-1),$E161))</f>
        <v>1</v>
      </c>
      <c r="BE161" s="776">
        <f t="shared" si="210"/>
        <v>0</v>
      </c>
      <c r="BF161" s="771">
        <f t="shared" ca="1" si="211"/>
        <v>0</v>
      </c>
      <c r="BG161" s="771">
        <f t="shared" ca="1" si="212"/>
        <v>0</v>
      </c>
      <c r="BH161" s="771">
        <f t="shared" ca="1" si="213"/>
        <v>0</v>
      </c>
      <c r="BI161" s="776">
        <f t="shared" ca="1" si="214"/>
        <v>0</v>
      </c>
      <c r="BJ161" s="776">
        <f t="shared" ca="1" si="215"/>
        <v>0</v>
      </c>
      <c r="BK161" s="776">
        <f t="shared" ca="1" si="216"/>
        <v>0</v>
      </c>
      <c r="BL161" s="776">
        <f t="shared" ca="1" si="217"/>
        <v>0</v>
      </c>
      <c r="BM161" s="135"/>
      <c r="BN161" s="776">
        <f t="shared" ca="1" si="218"/>
        <v>0</v>
      </c>
      <c r="BO161" s="778">
        <f t="shared" ca="1" si="155"/>
        <v>0</v>
      </c>
      <c r="BP161" s="770">
        <f t="shared" ca="1" si="156"/>
        <v>0</v>
      </c>
      <c r="BQ161" s="771">
        <f t="shared" ca="1" si="157"/>
        <v>0</v>
      </c>
      <c r="BR161" s="771">
        <f t="shared" ca="1" si="158"/>
        <v>0</v>
      </c>
      <c r="BS161" s="776">
        <f t="shared" ca="1" si="219"/>
        <v>0</v>
      </c>
      <c r="BT161" s="776">
        <f t="shared" ca="1" si="159"/>
        <v>0</v>
      </c>
      <c r="BU161" s="783">
        <f t="shared" ca="1" si="160"/>
        <v>0</v>
      </c>
      <c r="BV161" s="783">
        <f t="shared" ca="1" si="161"/>
        <v>0</v>
      </c>
      <c r="BW161" s="1019">
        <f t="shared" ca="1" si="220"/>
        <v>0</v>
      </c>
      <c r="BX161" s="771" cm="1">
        <f t="array" aca="1" ref="BX161" ca="1">INDIRECT("'Definition of Typical Day'!"&amp; ADDRESS($D161+29*(BX$16-1),$E161))</f>
        <v>55</v>
      </c>
      <c r="BY161" s="771">
        <f t="shared" ca="1" si="221"/>
        <v>0</v>
      </c>
      <c r="BZ161" s="781">
        <f t="shared" ca="1" si="162"/>
        <v>0</v>
      </c>
      <c r="CA161" s="781">
        <f t="shared" ca="1" si="163"/>
        <v>0</v>
      </c>
      <c r="CB161" s="776">
        <f t="shared" ca="1" si="164"/>
        <v>0</v>
      </c>
      <c r="CC161" s="782">
        <f t="shared" si="165"/>
        <v>6</v>
      </c>
      <c r="CD161" s="782">
        <f t="shared" si="166"/>
        <v>21</v>
      </c>
      <c r="CE161" s="784" t="str" cm="1">
        <f t="array" aca="1" ref="CE161" ca="1">INDIRECT("'Definition of Typical Day'!"&amp;ADDRESS(CE$16,$E161))</f>
        <v>Maintenance of HP</v>
      </c>
      <c r="CF161" s="232"/>
      <c r="CG161" s="232"/>
      <c r="CH161" s="776">
        <f t="shared" ca="1" si="167"/>
        <v>0</v>
      </c>
      <c r="CI161" s="806">
        <f t="shared" ca="1" si="168"/>
        <v>0</v>
      </c>
      <c r="CJ161" s="770">
        <f t="shared" ca="1" si="169"/>
        <v>0</v>
      </c>
      <c r="CK161" s="771">
        <f t="shared" ca="1" si="170"/>
        <v>0</v>
      </c>
      <c r="CL161" s="771">
        <f t="shared" ca="1" si="171"/>
        <v>0</v>
      </c>
      <c r="CM161" s="772">
        <f t="shared" ca="1" si="172"/>
        <v>0</v>
      </c>
      <c r="CN161" s="135"/>
      <c r="CO161" s="770">
        <f t="shared" ca="1" si="222"/>
        <v>1.05</v>
      </c>
      <c r="CP161" s="771">
        <f t="shared" ca="1" si="173"/>
        <v>0.02</v>
      </c>
      <c r="CQ161" s="771">
        <f t="shared" ca="1" si="174"/>
        <v>-2.5000000000000001E-2</v>
      </c>
      <c r="CR161" s="771">
        <f t="shared" ca="1" si="175"/>
        <v>0.95</v>
      </c>
      <c r="CS161" s="771">
        <f t="shared" ca="1" si="176"/>
        <v>0.03</v>
      </c>
      <c r="CT161" s="772">
        <f t="shared" ca="1" si="177"/>
        <v>0.02</v>
      </c>
      <c r="CU161" s="135"/>
      <c r="CV161" s="135"/>
      <c r="CW161" s="135"/>
      <c r="CX161" s="135"/>
      <c r="CY161" s="135"/>
      <c r="CZ161" s="135"/>
      <c r="DA161" s="135"/>
      <c r="DB161" s="135"/>
      <c r="DC161" s="135"/>
      <c r="DD161" s="135"/>
      <c r="DE161" s="135"/>
      <c r="DF161" s="135"/>
      <c r="DG161" s="135"/>
      <c r="DH161" s="135"/>
      <c r="DI161" s="135"/>
      <c r="DJ161" s="135"/>
      <c r="DK161" s="135"/>
      <c r="DL161" s="135"/>
      <c r="DX161" s="135"/>
      <c r="DY161" s="135"/>
      <c r="DZ161" s="135"/>
      <c r="EA161" s="135"/>
      <c r="EB161" s="135"/>
      <c r="EC161" s="135"/>
      <c r="ED161" s="135"/>
      <c r="EE161" s="135"/>
      <c r="EF161" s="135"/>
      <c r="EG161" s="135"/>
      <c r="EH161" s="135"/>
      <c r="EI161" s="135"/>
      <c r="EJ161" s="135"/>
      <c r="EK161" s="135"/>
      <c r="EL161" s="135"/>
      <c r="EM161" s="135"/>
      <c r="EN161" s="135"/>
      <c r="EO161" s="135"/>
      <c r="EP161" s="135"/>
      <c r="EQ161" s="135"/>
      <c r="ER161" s="135"/>
      <c r="ES161" s="135"/>
      <c r="ET161" s="135"/>
      <c r="EU161" s="135"/>
      <c r="EV161" s="135"/>
      <c r="EW161" s="135"/>
      <c r="EX161" s="135"/>
      <c r="EY161" s="135"/>
      <c r="EZ161" s="135"/>
      <c r="FA161" s="135"/>
      <c r="FB161" s="135"/>
      <c r="FC161" s="135"/>
      <c r="FD161" s="135"/>
      <c r="FE161" s="135"/>
      <c r="FF161" s="135"/>
      <c r="FG161" s="135"/>
    </row>
    <row r="162" spans="1:163" s="57" customFormat="1" ht="11.25" outlineLevel="1">
      <c r="A162" s="765">
        <f t="shared" si="150"/>
        <v>6</v>
      </c>
      <c r="B162" s="715" t="str" cm="1">
        <f t="array" aca="1" ref="B162" ca="1">INDIRECT("'Definition of Typical Day'!"&amp;ADDRESS(B$16,$E162))</f>
        <v>Maintenance of HP</v>
      </c>
      <c r="C162" s="766">
        <f t="shared" si="151"/>
        <v>22</v>
      </c>
      <c r="D162" s="715">
        <f t="shared" si="151"/>
        <v>56</v>
      </c>
      <c r="E162" s="715">
        <f t="shared" si="152"/>
        <v>10</v>
      </c>
      <c r="F162" s="767" cm="1">
        <f t="array" aca="1" ref="F162" ca="1">INDIRECT("'Definition of Typical Day'!D"&amp;D162)</f>
        <v>22</v>
      </c>
      <c r="G162" s="767" cm="1">
        <f t="array" aca="1" ref="G162" ca="1">INDIRECT("'Definition of Typical Day'!"&amp;ADDRESS(13,E162))</f>
        <v>6</v>
      </c>
      <c r="H162" s="768" cm="1">
        <f t="array" aca="1" ref="H162" ca="1">INDIRECT("'Definition of Typical Day'!"&amp; ADDRESS($D162+28*(H$16-1),$E162))</f>
        <v>0</v>
      </c>
      <c r="I162" s="715" cm="1">
        <f t="array" aca="1" ref="I162" ca="1">INDIRECT("'Definition of Typical Day'!"&amp; ADDRESS($D162+29*(I$16-1),$E162))</f>
        <v>40</v>
      </c>
      <c r="J162" s="715">
        <f t="shared" ca="1" si="178"/>
        <v>37</v>
      </c>
      <c r="K162" s="785">
        <f t="shared" si="179"/>
        <v>28</v>
      </c>
      <c r="L162" s="786" cm="1">
        <f t="array" aca="1" ref="L162" ca="1">INDIRECT("'Definition of Typical Day'!"&amp; ADDRESS($D162+29*(L$16-1),$E162))</f>
        <v>0</v>
      </c>
      <c r="M162" s="768" cm="1">
        <f t="array" aca="1" ref="M162" ca="1">INDIRECT("'Definition of Typical Day'!"&amp; ADDRESS($D162+29*(M$16-1),$E162))</f>
        <v>72.5</v>
      </c>
      <c r="N162" s="715">
        <f t="shared" si="180"/>
        <v>3</v>
      </c>
      <c r="O162" s="715">
        <f t="shared" ca="1" si="181"/>
        <v>75.5</v>
      </c>
      <c r="P162" s="715" cm="1">
        <f t="array" aca="1" ref="P162" ca="1">INDIRECT("'Definition of Typical Day'!"&amp; ADDRESS($D162+29*(P$16-1),$E162))</f>
        <v>45</v>
      </c>
      <c r="Q162" s="787">
        <f t="shared" ca="1" si="182"/>
        <v>48</v>
      </c>
      <c r="R162" s="792">
        <f t="shared" ca="1" si="183"/>
        <v>75.5</v>
      </c>
      <c r="S162" s="769">
        <f t="shared" si="184"/>
        <v>3</v>
      </c>
      <c r="T162" s="769">
        <f t="shared" ca="1" si="185"/>
        <v>0.24</v>
      </c>
      <c r="U162" s="769">
        <f t="shared" ca="1" si="186"/>
        <v>0.377</v>
      </c>
      <c r="V162" s="769">
        <f t="shared" ca="1" si="187"/>
        <v>0</v>
      </c>
      <c r="W162" s="769">
        <f t="shared" ca="1" si="188"/>
        <v>3.617</v>
      </c>
      <c r="X162" s="794">
        <f t="shared" si="189"/>
        <v>3</v>
      </c>
      <c r="Y162" s="769">
        <f t="shared" ca="1" si="190"/>
        <v>2.8722813232690143</v>
      </c>
      <c r="Z162" s="769">
        <f t="shared" ca="1" si="191"/>
        <v>0</v>
      </c>
      <c r="AA162" s="795">
        <f t="shared" ca="1" si="192"/>
        <v>0</v>
      </c>
      <c r="AB162" s="769">
        <f t="shared" ca="1" si="193"/>
        <v>0</v>
      </c>
      <c r="AC162" s="769">
        <f t="shared" ca="1" si="194"/>
        <v>0</v>
      </c>
      <c r="AD162" s="769">
        <f t="shared" ca="1" si="195"/>
        <v>0</v>
      </c>
      <c r="AE162" s="794">
        <f t="shared" ca="1" si="196"/>
        <v>0</v>
      </c>
      <c r="AF162" s="769">
        <f t="shared" ca="1" si="197"/>
        <v>0</v>
      </c>
      <c r="AG162" s="769">
        <f t="shared" ca="1" si="198"/>
        <v>0</v>
      </c>
      <c r="AH162" s="799">
        <f t="shared" ca="1" si="199"/>
        <v>0</v>
      </c>
      <c r="AI162" s="801">
        <f t="shared" ca="1" si="200"/>
        <v>1</v>
      </c>
      <c r="AJ162" s="794">
        <f t="shared" ca="1" si="201"/>
        <v>0</v>
      </c>
      <c r="AK162" s="769">
        <f t="shared" ca="1" si="202"/>
        <v>0</v>
      </c>
      <c r="AL162" s="769">
        <f t="shared" ca="1" si="203"/>
        <v>0</v>
      </c>
      <c r="AM162" s="804">
        <f t="shared" ca="1" si="153"/>
        <v>0</v>
      </c>
      <c r="AN162" s="795">
        <f t="shared" ca="1" si="154"/>
        <v>0</v>
      </c>
      <c r="AO162" s="251"/>
      <c r="AP162" s="770">
        <f t="shared" si="204"/>
        <v>0</v>
      </c>
      <c r="AQ162" s="771">
        <f t="shared" ca="1" si="205"/>
        <v>0</v>
      </c>
      <c r="AR162" s="771">
        <f t="shared" ca="1" si="206"/>
        <v>0</v>
      </c>
      <c r="AS162" s="772">
        <f t="shared" ca="1" si="207"/>
        <v>0</v>
      </c>
      <c r="AT162" s="231"/>
      <c r="AU162" s="770">
        <f>'Main Results - IRR DC Operator'!$F$16</f>
        <v>2</v>
      </c>
      <c r="AV162" s="773">
        <f>'Main Results - IRR DC Operator'!$F$15</f>
        <v>1</v>
      </c>
      <c r="AW162" s="771">
        <f t="shared" ca="1" si="208"/>
        <v>0</v>
      </c>
      <c r="AX162" s="772">
        <f t="shared" si="209"/>
        <v>0</v>
      </c>
      <c r="AY162" s="231"/>
      <c r="AZ162" s="770" cm="1">
        <f t="array" aca="1" ref="AZ162" ca="1">INDIRECT("'Definition of Typical Day'!"&amp; ADDRESS($D162+29*(AZ$16-1),$E162))+$AZ$17</f>
        <v>116.535</v>
      </c>
      <c r="BA162" s="771" cm="1">
        <f t="array" aca="1" ref="BA162" ca="1">INDIRECT("'Definition of Typical Day'!"&amp; ADDRESS($D162+29*(BA$16-1),$E162))+$BA$17</f>
        <v>116.535</v>
      </c>
      <c r="BB162" s="772" cm="1">
        <f t="array" aca="1" ref="BB162" ca="1">INDIRECT("'Definition of Typical Day'!"&amp;ADDRESS(BB$16,$E162))</f>
        <v>66</v>
      </c>
      <c r="BC162" s="776" cm="1">
        <f t="array" aca="1" ref="BC162" ca="1">INDIRECT("'Definition of Typical Day'!"&amp; ADDRESS($D162+29*(BC$16-1),$E162))</f>
        <v>115.535</v>
      </c>
      <c r="BD162" s="777" cm="1">
        <f t="array" aca="1" ref="BD162" ca="1">INDIRECT("'Definition of Typical Day'!"&amp; ADDRESS($D162+29*(BD$16-1),$E162))</f>
        <v>1</v>
      </c>
      <c r="BE162" s="776">
        <f t="shared" si="210"/>
        <v>0</v>
      </c>
      <c r="BF162" s="771">
        <f t="shared" ca="1" si="211"/>
        <v>0</v>
      </c>
      <c r="BG162" s="771">
        <f t="shared" ca="1" si="212"/>
        <v>0</v>
      </c>
      <c r="BH162" s="771">
        <f t="shared" ca="1" si="213"/>
        <v>0</v>
      </c>
      <c r="BI162" s="776">
        <f t="shared" ca="1" si="214"/>
        <v>0</v>
      </c>
      <c r="BJ162" s="776">
        <f t="shared" ca="1" si="215"/>
        <v>0</v>
      </c>
      <c r="BK162" s="776">
        <f t="shared" ca="1" si="216"/>
        <v>0</v>
      </c>
      <c r="BL162" s="776">
        <f t="shared" ca="1" si="217"/>
        <v>0</v>
      </c>
      <c r="BM162" s="135"/>
      <c r="BN162" s="776">
        <f t="shared" ca="1" si="218"/>
        <v>0</v>
      </c>
      <c r="BO162" s="778">
        <f t="shared" ca="1" si="155"/>
        <v>0</v>
      </c>
      <c r="BP162" s="770">
        <f t="shared" ca="1" si="156"/>
        <v>0</v>
      </c>
      <c r="BQ162" s="771">
        <f t="shared" ca="1" si="157"/>
        <v>0</v>
      </c>
      <c r="BR162" s="771">
        <f t="shared" ca="1" si="158"/>
        <v>0</v>
      </c>
      <c r="BS162" s="776">
        <f t="shared" ca="1" si="219"/>
        <v>0</v>
      </c>
      <c r="BT162" s="776">
        <f t="shared" ca="1" si="159"/>
        <v>0</v>
      </c>
      <c r="BU162" s="783">
        <f t="shared" ca="1" si="160"/>
        <v>0</v>
      </c>
      <c r="BV162" s="783">
        <f t="shared" ca="1" si="161"/>
        <v>0</v>
      </c>
      <c r="BW162" s="1019">
        <f t="shared" ca="1" si="220"/>
        <v>0</v>
      </c>
      <c r="BX162" s="771" cm="1">
        <f t="array" aca="1" ref="BX162" ca="1">INDIRECT("'Definition of Typical Day'!"&amp; ADDRESS($D162+29*(BX$16-1),$E162))</f>
        <v>55</v>
      </c>
      <c r="BY162" s="771">
        <f t="shared" ca="1" si="221"/>
        <v>0</v>
      </c>
      <c r="BZ162" s="781">
        <f t="shared" ca="1" si="162"/>
        <v>0</v>
      </c>
      <c r="CA162" s="781">
        <f t="shared" ca="1" si="163"/>
        <v>0</v>
      </c>
      <c r="CB162" s="776">
        <f t="shared" ca="1" si="164"/>
        <v>0</v>
      </c>
      <c r="CC162" s="782">
        <f t="shared" si="165"/>
        <v>6</v>
      </c>
      <c r="CD162" s="782">
        <f t="shared" si="166"/>
        <v>22</v>
      </c>
      <c r="CE162" s="784" t="str" cm="1">
        <f t="array" aca="1" ref="CE162" ca="1">INDIRECT("'Definition of Typical Day'!"&amp;ADDRESS(CE$16,$E162))</f>
        <v>Maintenance of HP</v>
      </c>
      <c r="CF162" s="232"/>
      <c r="CG162" s="232"/>
      <c r="CH162" s="776">
        <f t="shared" ca="1" si="167"/>
        <v>0</v>
      </c>
      <c r="CI162" s="806">
        <f t="shared" ca="1" si="168"/>
        <v>0</v>
      </c>
      <c r="CJ162" s="770">
        <f t="shared" ca="1" si="169"/>
        <v>0</v>
      </c>
      <c r="CK162" s="771">
        <f t="shared" ca="1" si="170"/>
        <v>0</v>
      </c>
      <c r="CL162" s="771">
        <f t="shared" ca="1" si="171"/>
        <v>0</v>
      </c>
      <c r="CM162" s="772">
        <f t="shared" ca="1" si="172"/>
        <v>0</v>
      </c>
      <c r="CN162" s="135"/>
      <c r="CO162" s="770">
        <f t="shared" ca="1" si="222"/>
        <v>1.05</v>
      </c>
      <c r="CP162" s="771">
        <f t="shared" ca="1" si="173"/>
        <v>0.02</v>
      </c>
      <c r="CQ162" s="771">
        <f t="shared" ca="1" si="174"/>
        <v>-2.5000000000000001E-2</v>
      </c>
      <c r="CR162" s="771">
        <f t="shared" ca="1" si="175"/>
        <v>0.95</v>
      </c>
      <c r="CS162" s="771">
        <f t="shared" ca="1" si="176"/>
        <v>0.03</v>
      </c>
      <c r="CT162" s="772">
        <f t="shared" ca="1" si="177"/>
        <v>0.02</v>
      </c>
      <c r="CU162" s="135"/>
      <c r="CV162" s="135"/>
      <c r="CW162" s="135"/>
      <c r="CX162" s="135"/>
      <c r="CY162" s="135"/>
      <c r="CZ162" s="135"/>
      <c r="DA162" s="135"/>
      <c r="DB162" s="135"/>
      <c r="DC162" s="135"/>
      <c r="DD162" s="135"/>
      <c r="DE162" s="135"/>
      <c r="DF162" s="135"/>
      <c r="DG162" s="135"/>
      <c r="DH162" s="135"/>
      <c r="DI162" s="135"/>
      <c r="DJ162" s="135"/>
      <c r="DK162" s="135"/>
      <c r="DL162" s="135"/>
      <c r="DX162" s="135"/>
      <c r="DY162" s="135"/>
      <c r="DZ162" s="135"/>
      <c r="EA162" s="135"/>
      <c r="EB162" s="135"/>
      <c r="EC162" s="135"/>
      <c r="ED162" s="135"/>
      <c r="EE162" s="135"/>
      <c r="EF162" s="135"/>
      <c r="EG162" s="135"/>
      <c r="EH162" s="135"/>
      <c r="EI162" s="135"/>
      <c r="EJ162" s="135"/>
      <c r="EK162" s="135"/>
      <c r="EL162" s="135"/>
      <c r="EM162" s="135"/>
      <c r="EN162" s="135"/>
      <c r="EO162" s="135"/>
      <c r="EP162" s="135"/>
      <c r="EQ162" s="135"/>
      <c r="ER162" s="135"/>
      <c r="ES162" s="135"/>
      <c r="ET162" s="135"/>
      <c r="EU162" s="135"/>
      <c r="EV162" s="135"/>
      <c r="EW162" s="135"/>
      <c r="EX162" s="135"/>
      <c r="EY162" s="135"/>
      <c r="EZ162" s="135"/>
      <c r="FA162" s="135"/>
      <c r="FB162" s="135"/>
      <c r="FC162" s="135"/>
      <c r="FD162" s="135"/>
      <c r="FE162" s="135"/>
      <c r="FF162" s="135"/>
      <c r="FG162" s="135"/>
    </row>
    <row r="163" spans="1:163" s="57" customFormat="1" ht="11.25" outlineLevel="1">
      <c r="A163" s="765">
        <f t="shared" si="150"/>
        <v>6</v>
      </c>
      <c r="B163" s="715" t="str" cm="1">
        <f t="array" aca="1" ref="B163" ca="1">INDIRECT("'Definition of Typical Day'!"&amp;ADDRESS(B$16,$E163))</f>
        <v>Maintenance of HP</v>
      </c>
      <c r="C163" s="766">
        <f t="shared" si="151"/>
        <v>23</v>
      </c>
      <c r="D163" s="715">
        <f t="shared" si="151"/>
        <v>57</v>
      </c>
      <c r="E163" s="715">
        <f t="shared" si="152"/>
        <v>10</v>
      </c>
      <c r="F163" s="767" cm="1">
        <f t="array" aca="1" ref="F163" ca="1">INDIRECT("'Definition of Typical Day'!D"&amp;D163)</f>
        <v>23</v>
      </c>
      <c r="G163" s="767" cm="1">
        <f t="array" aca="1" ref="G163" ca="1">INDIRECT("'Definition of Typical Day'!"&amp;ADDRESS(13,E163))</f>
        <v>6</v>
      </c>
      <c r="H163" s="768" cm="1">
        <f t="array" aca="1" ref="H163" ca="1">INDIRECT("'Definition of Typical Day'!"&amp; ADDRESS($D163+28*(H$16-1),$E163))</f>
        <v>0</v>
      </c>
      <c r="I163" s="715" cm="1">
        <f t="array" aca="1" ref="I163" ca="1">INDIRECT("'Definition of Typical Day'!"&amp; ADDRESS($D163+29*(I$16-1),$E163))</f>
        <v>40</v>
      </c>
      <c r="J163" s="715">
        <f t="shared" ca="1" si="178"/>
        <v>37</v>
      </c>
      <c r="K163" s="785">
        <f t="shared" si="179"/>
        <v>28</v>
      </c>
      <c r="L163" s="786" cm="1">
        <f t="array" aca="1" ref="L163" ca="1">INDIRECT("'Definition of Typical Day'!"&amp; ADDRESS($D163+29*(L$16-1),$E163))</f>
        <v>0</v>
      </c>
      <c r="M163" s="768" cm="1">
        <f t="array" aca="1" ref="M163" ca="1">INDIRECT("'Definition of Typical Day'!"&amp; ADDRESS($D163+29*(M$16-1),$E163))</f>
        <v>72.5</v>
      </c>
      <c r="N163" s="715">
        <f t="shared" si="180"/>
        <v>3</v>
      </c>
      <c r="O163" s="715">
        <f t="shared" ca="1" si="181"/>
        <v>75.5</v>
      </c>
      <c r="P163" s="715" cm="1">
        <f t="array" aca="1" ref="P163" ca="1">INDIRECT("'Definition of Typical Day'!"&amp; ADDRESS($D163+29*(P$16-1),$E163))</f>
        <v>45</v>
      </c>
      <c r="Q163" s="787">
        <f t="shared" ca="1" si="182"/>
        <v>48</v>
      </c>
      <c r="R163" s="792">
        <f t="shared" ca="1" si="183"/>
        <v>75.5</v>
      </c>
      <c r="S163" s="769">
        <f t="shared" si="184"/>
        <v>3</v>
      </c>
      <c r="T163" s="769">
        <f t="shared" ca="1" si="185"/>
        <v>0.24</v>
      </c>
      <c r="U163" s="769">
        <f t="shared" ca="1" si="186"/>
        <v>0.377</v>
      </c>
      <c r="V163" s="769">
        <f t="shared" ca="1" si="187"/>
        <v>0</v>
      </c>
      <c r="W163" s="769">
        <f t="shared" ca="1" si="188"/>
        <v>3.617</v>
      </c>
      <c r="X163" s="794">
        <f t="shared" si="189"/>
        <v>3</v>
      </c>
      <c r="Y163" s="769">
        <f t="shared" ca="1" si="190"/>
        <v>2.8722813232690143</v>
      </c>
      <c r="Z163" s="769">
        <f t="shared" ca="1" si="191"/>
        <v>0</v>
      </c>
      <c r="AA163" s="795">
        <f t="shared" ca="1" si="192"/>
        <v>0</v>
      </c>
      <c r="AB163" s="769">
        <f t="shared" ca="1" si="193"/>
        <v>0</v>
      </c>
      <c r="AC163" s="769">
        <f t="shared" ca="1" si="194"/>
        <v>0</v>
      </c>
      <c r="AD163" s="769">
        <f t="shared" ca="1" si="195"/>
        <v>0</v>
      </c>
      <c r="AE163" s="794">
        <f t="shared" ca="1" si="196"/>
        <v>0</v>
      </c>
      <c r="AF163" s="769">
        <f t="shared" ca="1" si="197"/>
        <v>0</v>
      </c>
      <c r="AG163" s="769">
        <f t="shared" ca="1" si="198"/>
        <v>0</v>
      </c>
      <c r="AH163" s="799">
        <f t="shared" ca="1" si="199"/>
        <v>0</v>
      </c>
      <c r="AI163" s="801">
        <f t="shared" ca="1" si="200"/>
        <v>1</v>
      </c>
      <c r="AJ163" s="794">
        <f t="shared" ca="1" si="201"/>
        <v>0</v>
      </c>
      <c r="AK163" s="769">
        <f t="shared" ca="1" si="202"/>
        <v>0</v>
      </c>
      <c r="AL163" s="769">
        <f t="shared" ca="1" si="203"/>
        <v>0</v>
      </c>
      <c r="AM163" s="804">
        <f t="shared" ca="1" si="153"/>
        <v>0</v>
      </c>
      <c r="AN163" s="795">
        <f t="shared" ca="1" si="154"/>
        <v>0</v>
      </c>
      <c r="AO163" s="251"/>
      <c r="AP163" s="770">
        <f t="shared" si="204"/>
        <v>0</v>
      </c>
      <c r="AQ163" s="771">
        <f t="shared" ca="1" si="205"/>
        <v>0</v>
      </c>
      <c r="AR163" s="771">
        <f t="shared" ca="1" si="206"/>
        <v>0</v>
      </c>
      <c r="AS163" s="772">
        <f t="shared" ca="1" si="207"/>
        <v>0</v>
      </c>
      <c r="AT163" s="231"/>
      <c r="AU163" s="770">
        <f>'Main Results - IRR DC Operator'!$F$16</f>
        <v>2</v>
      </c>
      <c r="AV163" s="773">
        <f>'Main Results - IRR DC Operator'!$F$15</f>
        <v>1</v>
      </c>
      <c r="AW163" s="771">
        <f t="shared" ca="1" si="208"/>
        <v>0</v>
      </c>
      <c r="AX163" s="772">
        <f t="shared" si="209"/>
        <v>0</v>
      </c>
      <c r="AY163" s="231"/>
      <c r="AZ163" s="770" cm="1">
        <f t="array" aca="1" ref="AZ163" ca="1">INDIRECT("'Definition of Typical Day'!"&amp; ADDRESS($D163+29*(AZ$16-1),$E163))+$AZ$17</f>
        <v>109.13499999999999</v>
      </c>
      <c r="BA163" s="771" cm="1">
        <f t="array" aca="1" ref="BA163" ca="1">INDIRECT("'Definition of Typical Day'!"&amp; ADDRESS($D163+29*(BA$16-1),$E163))+$BA$17</f>
        <v>109.13499999999999</v>
      </c>
      <c r="BB163" s="772" cm="1">
        <f t="array" aca="1" ref="BB163" ca="1">INDIRECT("'Definition of Typical Day'!"&amp;ADDRESS(BB$16,$E163))</f>
        <v>66</v>
      </c>
      <c r="BC163" s="776" cm="1">
        <f t="array" aca="1" ref="BC163" ca="1">INDIRECT("'Definition of Typical Day'!"&amp; ADDRESS($D163+29*(BC$16-1),$E163))</f>
        <v>108.13499999999999</v>
      </c>
      <c r="BD163" s="777" cm="1">
        <f t="array" aca="1" ref="BD163" ca="1">INDIRECT("'Definition of Typical Day'!"&amp; ADDRESS($D163+29*(BD$16-1),$E163))</f>
        <v>1</v>
      </c>
      <c r="BE163" s="776">
        <f t="shared" si="210"/>
        <v>0</v>
      </c>
      <c r="BF163" s="771">
        <f t="shared" ca="1" si="211"/>
        <v>0</v>
      </c>
      <c r="BG163" s="771">
        <f t="shared" ca="1" si="212"/>
        <v>0</v>
      </c>
      <c r="BH163" s="771">
        <f t="shared" ca="1" si="213"/>
        <v>0</v>
      </c>
      <c r="BI163" s="776">
        <f t="shared" ca="1" si="214"/>
        <v>0</v>
      </c>
      <c r="BJ163" s="776">
        <f t="shared" ca="1" si="215"/>
        <v>0</v>
      </c>
      <c r="BK163" s="776">
        <f t="shared" ca="1" si="216"/>
        <v>0</v>
      </c>
      <c r="BL163" s="776">
        <f t="shared" ca="1" si="217"/>
        <v>0</v>
      </c>
      <c r="BM163" s="135"/>
      <c r="BN163" s="776">
        <f t="shared" ca="1" si="218"/>
        <v>0</v>
      </c>
      <c r="BO163" s="778">
        <f t="shared" ca="1" si="155"/>
        <v>0</v>
      </c>
      <c r="BP163" s="770">
        <f t="shared" ca="1" si="156"/>
        <v>0</v>
      </c>
      <c r="BQ163" s="771">
        <f t="shared" ca="1" si="157"/>
        <v>0</v>
      </c>
      <c r="BR163" s="771">
        <f t="shared" ca="1" si="158"/>
        <v>0</v>
      </c>
      <c r="BS163" s="776">
        <f t="shared" ca="1" si="219"/>
        <v>0</v>
      </c>
      <c r="BT163" s="776">
        <f t="shared" ca="1" si="159"/>
        <v>0</v>
      </c>
      <c r="BU163" s="783">
        <f t="shared" ca="1" si="160"/>
        <v>0</v>
      </c>
      <c r="BV163" s="783">
        <f t="shared" ca="1" si="161"/>
        <v>0</v>
      </c>
      <c r="BW163" s="1019">
        <f t="shared" ca="1" si="220"/>
        <v>0</v>
      </c>
      <c r="BX163" s="771" cm="1">
        <f t="array" aca="1" ref="BX163" ca="1">INDIRECT("'Definition of Typical Day'!"&amp; ADDRESS($D163+29*(BX$16-1),$E163))</f>
        <v>55</v>
      </c>
      <c r="BY163" s="771">
        <f t="shared" ca="1" si="221"/>
        <v>0</v>
      </c>
      <c r="BZ163" s="781">
        <f t="shared" ca="1" si="162"/>
        <v>0</v>
      </c>
      <c r="CA163" s="781">
        <f t="shared" ca="1" si="163"/>
        <v>0</v>
      </c>
      <c r="CB163" s="776">
        <f t="shared" ca="1" si="164"/>
        <v>0</v>
      </c>
      <c r="CC163" s="782">
        <f t="shared" si="165"/>
        <v>6</v>
      </c>
      <c r="CD163" s="782">
        <f t="shared" si="166"/>
        <v>23</v>
      </c>
      <c r="CE163" s="784" t="str" cm="1">
        <f t="array" aca="1" ref="CE163" ca="1">INDIRECT("'Definition of Typical Day'!"&amp;ADDRESS(CE$16,$E163))</f>
        <v>Maintenance of HP</v>
      </c>
      <c r="CF163" s="232"/>
      <c r="CG163" s="232"/>
      <c r="CH163" s="776">
        <f t="shared" ca="1" si="167"/>
        <v>0</v>
      </c>
      <c r="CI163" s="806">
        <f t="shared" ca="1" si="168"/>
        <v>0</v>
      </c>
      <c r="CJ163" s="770">
        <f t="shared" ca="1" si="169"/>
        <v>0</v>
      </c>
      <c r="CK163" s="771">
        <f t="shared" ca="1" si="170"/>
        <v>0</v>
      </c>
      <c r="CL163" s="771">
        <f t="shared" ca="1" si="171"/>
        <v>0</v>
      </c>
      <c r="CM163" s="772">
        <f t="shared" ca="1" si="172"/>
        <v>0</v>
      </c>
      <c r="CN163" s="135"/>
      <c r="CO163" s="770">
        <f t="shared" ca="1" si="222"/>
        <v>1.05</v>
      </c>
      <c r="CP163" s="771">
        <f t="shared" ca="1" si="173"/>
        <v>0.02</v>
      </c>
      <c r="CQ163" s="771">
        <f t="shared" ca="1" si="174"/>
        <v>-2.5000000000000001E-2</v>
      </c>
      <c r="CR163" s="771">
        <f t="shared" ca="1" si="175"/>
        <v>0.95</v>
      </c>
      <c r="CS163" s="771">
        <f t="shared" ca="1" si="176"/>
        <v>0.03</v>
      </c>
      <c r="CT163" s="772">
        <f t="shared" ca="1" si="177"/>
        <v>0.02</v>
      </c>
      <c r="CU163" s="135"/>
      <c r="CV163" s="135"/>
      <c r="CW163" s="135"/>
      <c r="CX163" s="135"/>
      <c r="CY163" s="135"/>
      <c r="CZ163" s="135"/>
      <c r="DA163" s="135"/>
      <c r="DB163" s="135"/>
      <c r="DC163" s="135"/>
      <c r="DD163" s="135"/>
      <c r="DE163" s="135"/>
      <c r="DF163" s="135"/>
      <c r="DG163" s="135"/>
      <c r="DH163" s="135"/>
      <c r="DI163" s="135"/>
      <c r="DJ163" s="135"/>
      <c r="DK163" s="135"/>
      <c r="DL163" s="135"/>
      <c r="DX163" s="135"/>
      <c r="DY163" s="135"/>
      <c r="DZ163" s="135"/>
      <c r="EA163" s="135"/>
      <c r="EB163" s="135"/>
      <c r="EC163" s="135"/>
      <c r="ED163" s="135"/>
      <c r="EE163" s="135"/>
      <c r="EF163" s="135"/>
      <c r="EG163" s="135"/>
      <c r="EH163" s="135"/>
      <c r="EI163" s="135"/>
      <c r="EJ163" s="135"/>
      <c r="EK163" s="135"/>
      <c r="EL163" s="135"/>
      <c r="EM163" s="135"/>
      <c r="EN163" s="135"/>
      <c r="EO163" s="135"/>
      <c r="EP163" s="135"/>
      <c r="EQ163" s="135"/>
      <c r="ER163" s="135"/>
      <c r="ES163" s="135"/>
      <c r="ET163" s="135"/>
      <c r="EU163" s="135"/>
      <c r="EV163" s="135"/>
      <c r="EW163" s="135"/>
      <c r="EX163" s="135"/>
      <c r="EY163" s="135"/>
      <c r="EZ163" s="135"/>
      <c r="FA163" s="135"/>
      <c r="FB163" s="135"/>
      <c r="FC163" s="135"/>
      <c r="FD163" s="135"/>
      <c r="FE163" s="135"/>
      <c r="FF163" s="135"/>
      <c r="FG163" s="135"/>
    </row>
    <row r="164" spans="1:163" s="57" customFormat="1" ht="11.25" outlineLevel="1">
      <c r="A164" s="765">
        <f t="shared" si="150"/>
        <v>6</v>
      </c>
      <c r="B164" s="715" t="str" cm="1">
        <f t="array" aca="1" ref="B164" ca="1">INDIRECT("'Definition of Typical Day'!"&amp;ADDRESS(B$16,$E164))</f>
        <v>Maintenance of HP</v>
      </c>
      <c r="C164" s="766">
        <f t="shared" si="151"/>
        <v>24</v>
      </c>
      <c r="D164" s="715">
        <f t="shared" si="151"/>
        <v>58</v>
      </c>
      <c r="E164" s="715">
        <f t="shared" si="152"/>
        <v>10</v>
      </c>
      <c r="F164" s="767" cm="1">
        <f t="array" aca="1" ref="F164" ca="1">INDIRECT("'Definition of Typical Day'!D"&amp;D164)</f>
        <v>24</v>
      </c>
      <c r="G164" s="767" cm="1">
        <f t="array" aca="1" ref="G164" ca="1">INDIRECT("'Definition of Typical Day'!"&amp;ADDRESS(13,E164))</f>
        <v>6</v>
      </c>
      <c r="H164" s="768" cm="1">
        <f t="array" aca="1" ref="H164" ca="1">INDIRECT("'Definition of Typical Day'!"&amp; ADDRESS($D164+28*(H$16-1),$E164))</f>
        <v>0</v>
      </c>
      <c r="I164" s="715" cm="1">
        <f t="array" aca="1" ref="I164" ca="1">INDIRECT("'Definition of Typical Day'!"&amp; ADDRESS($D164+29*(I$16-1),$E164))</f>
        <v>40</v>
      </c>
      <c r="J164" s="715">
        <f t="shared" ca="1" si="178"/>
        <v>37</v>
      </c>
      <c r="K164" s="785">
        <f t="shared" si="179"/>
        <v>28</v>
      </c>
      <c r="L164" s="786" cm="1">
        <f t="array" aca="1" ref="L164" ca="1">INDIRECT("'Definition of Typical Day'!"&amp; ADDRESS($D164+29*(L$16-1),$E164))</f>
        <v>0</v>
      </c>
      <c r="M164" s="768" cm="1">
        <f t="array" aca="1" ref="M164" ca="1">INDIRECT("'Definition of Typical Day'!"&amp; ADDRESS($D164+29*(M$16-1),$E164))</f>
        <v>73.333333333333329</v>
      </c>
      <c r="N164" s="715">
        <f t="shared" si="180"/>
        <v>3</v>
      </c>
      <c r="O164" s="715">
        <f t="shared" ca="1" si="181"/>
        <v>76.333333333333329</v>
      </c>
      <c r="P164" s="715" cm="1">
        <f t="array" aca="1" ref="P164" ca="1">INDIRECT("'Definition of Typical Day'!"&amp; ADDRESS($D164+29*(P$16-1),$E164))</f>
        <v>45</v>
      </c>
      <c r="Q164" s="787">
        <f t="shared" ca="1" si="182"/>
        <v>48</v>
      </c>
      <c r="R164" s="792">
        <f t="shared" ca="1" si="183"/>
        <v>76.333333333333329</v>
      </c>
      <c r="S164" s="769">
        <f t="shared" si="184"/>
        <v>3</v>
      </c>
      <c r="T164" s="769">
        <f t="shared" ca="1" si="185"/>
        <v>0.24</v>
      </c>
      <c r="U164" s="769">
        <f t="shared" ca="1" si="186"/>
        <v>0.35533333333333345</v>
      </c>
      <c r="V164" s="769">
        <f t="shared" ca="1" si="187"/>
        <v>0</v>
      </c>
      <c r="W164" s="769">
        <f t="shared" ca="1" si="188"/>
        <v>3.5953333333333335</v>
      </c>
      <c r="X164" s="794">
        <f t="shared" si="189"/>
        <v>3</v>
      </c>
      <c r="Y164" s="769">
        <f t="shared" ca="1" si="190"/>
        <v>2.9154759474226504</v>
      </c>
      <c r="Z164" s="769">
        <f t="shared" ca="1" si="191"/>
        <v>0</v>
      </c>
      <c r="AA164" s="795">
        <f t="shared" ca="1" si="192"/>
        <v>0</v>
      </c>
      <c r="AB164" s="769">
        <f t="shared" ca="1" si="193"/>
        <v>0</v>
      </c>
      <c r="AC164" s="769">
        <f t="shared" ca="1" si="194"/>
        <v>0</v>
      </c>
      <c r="AD164" s="769">
        <f t="shared" ca="1" si="195"/>
        <v>0</v>
      </c>
      <c r="AE164" s="794">
        <f t="shared" ca="1" si="196"/>
        <v>0</v>
      </c>
      <c r="AF164" s="769">
        <f t="shared" ca="1" si="197"/>
        <v>0</v>
      </c>
      <c r="AG164" s="769">
        <f t="shared" ca="1" si="198"/>
        <v>0</v>
      </c>
      <c r="AH164" s="799">
        <f t="shared" ca="1" si="199"/>
        <v>0</v>
      </c>
      <c r="AI164" s="801">
        <f t="shared" ca="1" si="200"/>
        <v>1</v>
      </c>
      <c r="AJ164" s="794">
        <f t="shared" ca="1" si="201"/>
        <v>0</v>
      </c>
      <c r="AK164" s="769">
        <f t="shared" ca="1" si="202"/>
        <v>0</v>
      </c>
      <c r="AL164" s="769">
        <f t="shared" ca="1" si="203"/>
        <v>0</v>
      </c>
      <c r="AM164" s="804">
        <f t="shared" ca="1" si="153"/>
        <v>0</v>
      </c>
      <c r="AN164" s="795">
        <f t="shared" ca="1" si="154"/>
        <v>0</v>
      </c>
      <c r="AO164" s="251"/>
      <c r="AP164" s="770">
        <f t="shared" si="204"/>
        <v>0</v>
      </c>
      <c r="AQ164" s="771">
        <f t="shared" ca="1" si="205"/>
        <v>0</v>
      </c>
      <c r="AR164" s="771">
        <f t="shared" ca="1" si="206"/>
        <v>0</v>
      </c>
      <c r="AS164" s="772">
        <f t="shared" ca="1" si="207"/>
        <v>0</v>
      </c>
      <c r="AT164" s="231"/>
      <c r="AU164" s="770">
        <f>'Main Results - IRR DC Operator'!$F$16</f>
        <v>2</v>
      </c>
      <c r="AV164" s="773">
        <f>'Main Results - IRR DC Operator'!$F$15</f>
        <v>1</v>
      </c>
      <c r="AW164" s="771">
        <f t="shared" ca="1" si="208"/>
        <v>0</v>
      </c>
      <c r="AX164" s="772">
        <f t="shared" si="209"/>
        <v>0</v>
      </c>
      <c r="AY164" s="231"/>
      <c r="AZ164" s="770" cm="1">
        <f t="array" aca="1" ref="AZ164" ca="1">INDIRECT("'Definition of Typical Day'!"&amp; ADDRESS($D164+29*(AZ$16-1),$E164))+$AZ$17</f>
        <v>101.005</v>
      </c>
      <c r="BA164" s="771" cm="1">
        <f t="array" aca="1" ref="BA164" ca="1">INDIRECT("'Definition of Typical Day'!"&amp; ADDRESS($D164+29*(BA$16-1),$E164))+$BA$17</f>
        <v>101.005</v>
      </c>
      <c r="BB164" s="772" cm="1">
        <f t="array" aca="1" ref="BB164" ca="1">INDIRECT("'Definition of Typical Day'!"&amp;ADDRESS(BB$16,$E164))</f>
        <v>66</v>
      </c>
      <c r="BC164" s="776" cm="1">
        <f t="array" aca="1" ref="BC164" ca="1">INDIRECT("'Definition of Typical Day'!"&amp; ADDRESS($D164+29*(BC$16-1),$E164))</f>
        <v>100.005</v>
      </c>
      <c r="BD164" s="777" cm="1">
        <f t="array" aca="1" ref="BD164" ca="1">INDIRECT("'Definition of Typical Day'!"&amp; ADDRESS($D164+29*(BD$16-1),$E164))</f>
        <v>1</v>
      </c>
      <c r="BE164" s="776">
        <f t="shared" si="210"/>
        <v>0</v>
      </c>
      <c r="BF164" s="771">
        <f t="shared" ca="1" si="211"/>
        <v>0</v>
      </c>
      <c r="BG164" s="771">
        <f t="shared" ca="1" si="212"/>
        <v>0</v>
      </c>
      <c r="BH164" s="771">
        <f t="shared" ca="1" si="213"/>
        <v>0</v>
      </c>
      <c r="BI164" s="776">
        <f t="shared" ca="1" si="214"/>
        <v>0</v>
      </c>
      <c r="BJ164" s="776">
        <f t="shared" ca="1" si="215"/>
        <v>0</v>
      </c>
      <c r="BK164" s="776">
        <f t="shared" ca="1" si="216"/>
        <v>0</v>
      </c>
      <c r="BL164" s="776">
        <f t="shared" ca="1" si="217"/>
        <v>0</v>
      </c>
      <c r="BM164" s="135"/>
      <c r="BN164" s="776">
        <f t="shared" ca="1" si="218"/>
        <v>0</v>
      </c>
      <c r="BO164" s="778">
        <f t="shared" ca="1" si="155"/>
        <v>0</v>
      </c>
      <c r="BP164" s="770">
        <f t="shared" ca="1" si="156"/>
        <v>0</v>
      </c>
      <c r="BQ164" s="771">
        <f t="shared" ca="1" si="157"/>
        <v>0</v>
      </c>
      <c r="BR164" s="771">
        <f t="shared" ca="1" si="158"/>
        <v>0</v>
      </c>
      <c r="BS164" s="776">
        <f t="shared" ca="1" si="219"/>
        <v>0</v>
      </c>
      <c r="BT164" s="776">
        <f t="shared" ca="1" si="159"/>
        <v>0</v>
      </c>
      <c r="BU164" s="783">
        <f t="shared" ca="1" si="160"/>
        <v>0</v>
      </c>
      <c r="BV164" s="783">
        <f t="shared" ca="1" si="161"/>
        <v>0</v>
      </c>
      <c r="BW164" s="1019">
        <f t="shared" ca="1" si="220"/>
        <v>0</v>
      </c>
      <c r="BX164" s="771" cm="1">
        <f t="array" aca="1" ref="BX164" ca="1">INDIRECT("'Definition of Typical Day'!"&amp; ADDRESS($D164+29*(BX$16-1),$E164))</f>
        <v>55</v>
      </c>
      <c r="BY164" s="771">
        <f t="shared" ca="1" si="221"/>
        <v>0</v>
      </c>
      <c r="BZ164" s="781">
        <f t="shared" ca="1" si="162"/>
        <v>0</v>
      </c>
      <c r="CA164" s="781">
        <f t="shared" ca="1" si="163"/>
        <v>0</v>
      </c>
      <c r="CB164" s="776">
        <f t="shared" ca="1" si="164"/>
        <v>0</v>
      </c>
      <c r="CC164" s="782">
        <f t="shared" si="165"/>
        <v>6</v>
      </c>
      <c r="CD164" s="782">
        <f t="shared" si="166"/>
        <v>24</v>
      </c>
      <c r="CE164" s="784" t="str" cm="1">
        <f t="array" aca="1" ref="CE164" ca="1">INDIRECT("'Definition of Typical Day'!"&amp;ADDRESS(CE$16,$E164))</f>
        <v>Maintenance of HP</v>
      </c>
      <c r="CF164" s="232"/>
      <c r="CG164" s="232"/>
      <c r="CH164" s="776">
        <f t="shared" ca="1" si="167"/>
        <v>0</v>
      </c>
      <c r="CI164" s="806">
        <f t="shared" ca="1" si="168"/>
        <v>0</v>
      </c>
      <c r="CJ164" s="770">
        <f t="shared" ca="1" si="169"/>
        <v>0</v>
      </c>
      <c r="CK164" s="771">
        <f t="shared" ca="1" si="170"/>
        <v>0</v>
      </c>
      <c r="CL164" s="771">
        <f t="shared" ca="1" si="171"/>
        <v>0</v>
      </c>
      <c r="CM164" s="772">
        <f t="shared" ca="1" si="172"/>
        <v>0</v>
      </c>
      <c r="CN164" s="135"/>
      <c r="CO164" s="770">
        <f t="shared" ca="1" si="222"/>
        <v>1.05</v>
      </c>
      <c r="CP164" s="771">
        <f t="shared" ca="1" si="173"/>
        <v>0.02</v>
      </c>
      <c r="CQ164" s="771">
        <f t="shared" ca="1" si="174"/>
        <v>-2.5000000000000001E-2</v>
      </c>
      <c r="CR164" s="771">
        <f t="shared" ca="1" si="175"/>
        <v>0.95</v>
      </c>
      <c r="CS164" s="771">
        <f t="shared" ca="1" si="176"/>
        <v>0.03</v>
      </c>
      <c r="CT164" s="772">
        <f t="shared" ca="1" si="177"/>
        <v>0.02</v>
      </c>
      <c r="CU164" s="135"/>
      <c r="CV164" s="135"/>
      <c r="CW164" s="135"/>
      <c r="CX164" s="135"/>
      <c r="CY164" s="135"/>
      <c r="CZ164" s="135"/>
      <c r="DA164" s="135"/>
      <c r="DB164" s="135"/>
      <c r="DC164" s="135"/>
      <c r="DD164" s="135"/>
      <c r="DE164" s="135"/>
      <c r="DF164" s="135"/>
      <c r="DG164" s="135"/>
      <c r="DH164" s="135"/>
      <c r="DI164" s="135"/>
      <c r="DJ164" s="135"/>
      <c r="DK164" s="135"/>
      <c r="DL164" s="135"/>
      <c r="DX164" s="135"/>
      <c r="DY164" s="135"/>
      <c r="DZ164" s="135"/>
      <c r="EA164" s="135"/>
      <c r="EB164" s="135"/>
      <c r="EC164" s="135"/>
      <c r="ED164" s="135"/>
      <c r="EE164" s="135"/>
      <c r="EF164" s="135"/>
      <c r="EG164" s="135"/>
      <c r="EH164" s="135"/>
      <c r="EI164" s="135"/>
      <c r="EJ164" s="135"/>
      <c r="EK164" s="135"/>
      <c r="EL164" s="135"/>
      <c r="EM164" s="135"/>
      <c r="EN164" s="135"/>
      <c r="EO164" s="135"/>
      <c r="EP164" s="135"/>
      <c r="EQ164" s="135"/>
      <c r="ER164" s="135"/>
      <c r="ES164" s="135"/>
      <c r="ET164" s="135"/>
      <c r="EU164" s="135"/>
      <c r="EV164" s="135"/>
      <c r="EW164" s="135"/>
      <c r="EX164" s="135"/>
      <c r="EY164" s="135"/>
      <c r="EZ164" s="135"/>
      <c r="FA164" s="135"/>
      <c r="FB164" s="135"/>
      <c r="FC164" s="135"/>
      <c r="FD164" s="135"/>
      <c r="FE164" s="135"/>
      <c r="FF164" s="135"/>
      <c r="FG164" s="135"/>
    </row>
    <row r="165" spans="1:163" s="57" customFormat="1" ht="11.25">
      <c r="A165" s="765">
        <f t="shared" si="150"/>
        <v>7</v>
      </c>
      <c r="B165" s="715" cm="1">
        <f t="array" aca="1" ref="B165" ca="1">INDIRECT("'Definition of Typical Day'!"&amp;ADDRESS(B$16,$E165))</f>
        <v>7</v>
      </c>
      <c r="C165" s="766">
        <f t="shared" si="151"/>
        <v>1</v>
      </c>
      <c r="D165" s="715">
        <f t="shared" si="151"/>
        <v>35</v>
      </c>
      <c r="E165" s="715">
        <f t="shared" si="152"/>
        <v>11</v>
      </c>
      <c r="F165" s="767" cm="1">
        <f t="array" aca="1" ref="F165" ca="1">INDIRECT("'Definition of Typical Day'!D"&amp;D165)</f>
        <v>1</v>
      </c>
      <c r="G165" s="767" cm="1">
        <f t="array" aca="1" ref="G165" ca="1">INDIRECT("'Definition of Typical Day'!"&amp;ADDRESS(13,E165))</f>
        <v>7</v>
      </c>
      <c r="H165" s="768" cm="1">
        <f t="array" aca="1" ref="H165" ca="1">INDIRECT("'Definition of Typical Day'!"&amp; ADDRESS($D165+28*(H$16-1),$E165))</f>
        <v>0</v>
      </c>
      <c r="I165" s="715" cm="1">
        <f t="array" aca="1" ref="I165" ca="1">INDIRECT("'Definition of Typical Day'!"&amp; ADDRESS($D165+29*(I$16-1),$E165))</f>
        <v>0</v>
      </c>
      <c r="J165" s="715">
        <f t="shared" ca="1" si="178"/>
        <v>0</v>
      </c>
      <c r="K165" s="785">
        <f t="shared" si="179"/>
        <v>28</v>
      </c>
      <c r="L165" s="786" cm="1">
        <f t="array" aca="1" ref="L165" ca="1">INDIRECT("'Definition of Typical Day'!"&amp; ADDRESS($D165+29*(L$16-1),$E165))</f>
        <v>0</v>
      </c>
      <c r="M165" s="768" cm="1">
        <f t="array" aca="1" ref="M165" ca="1">INDIRECT("'Definition of Typical Day'!"&amp; ADDRESS($D165+29*(M$16-1),$E165))</f>
        <v>0</v>
      </c>
      <c r="N165" s="715">
        <f t="shared" si="180"/>
        <v>3</v>
      </c>
      <c r="O165" s="715">
        <f t="shared" ca="1" si="181"/>
        <v>3</v>
      </c>
      <c r="P165" s="715" cm="1">
        <f t="array" aca="1" ref="P165" ca="1">INDIRECT("'Definition of Typical Day'!"&amp; ADDRESS($D165+29*(P$16-1),$E165))</f>
        <v>0</v>
      </c>
      <c r="Q165" s="787">
        <f t="shared" ca="1" si="182"/>
        <v>3</v>
      </c>
      <c r="R165" s="792">
        <f t="shared" ca="1" si="183"/>
        <v>3</v>
      </c>
      <c r="S165" s="769">
        <f t="shared" si="184"/>
        <v>3</v>
      </c>
      <c r="T165" s="769">
        <f t="shared" ca="1" si="185"/>
        <v>-0.5</v>
      </c>
      <c r="U165" s="769">
        <f t="shared" ca="1" si="186"/>
        <v>2.262</v>
      </c>
      <c r="V165" s="769">
        <f t="shared" ca="1" si="187"/>
        <v>0</v>
      </c>
      <c r="W165" s="769">
        <f t="shared" ca="1" si="188"/>
        <v>4.7620000000000005</v>
      </c>
      <c r="X165" s="794">
        <f t="shared" si="189"/>
        <v>3</v>
      </c>
      <c r="Y165" s="769">
        <f t="shared" ca="1" si="190"/>
        <v>0.54772255750516607</v>
      </c>
      <c r="Z165" s="769">
        <f t="shared" ca="1" si="191"/>
        <v>0</v>
      </c>
      <c r="AA165" s="795">
        <f t="shared" ca="1" si="192"/>
        <v>0</v>
      </c>
      <c r="AB165" s="769">
        <f t="shared" ca="1" si="193"/>
        <v>0</v>
      </c>
      <c r="AC165" s="769">
        <f t="shared" ca="1" si="194"/>
        <v>0</v>
      </c>
      <c r="AD165" s="769">
        <f t="shared" ca="1" si="195"/>
        <v>0</v>
      </c>
      <c r="AE165" s="794">
        <f t="shared" ca="1" si="196"/>
        <v>0</v>
      </c>
      <c r="AF165" s="769">
        <f t="shared" ca="1" si="197"/>
        <v>0</v>
      </c>
      <c r="AG165" s="769">
        <f t="shared" ca="1" si="198"/>
        <v>0</v>
      </c>
      <c r="AH165" s="799">
        <f t="shared" ca="1" si="199"/>
        <v>0</v>
      </c>
      <c r="AI165" s="801">
        <f t="shared" ca="1" si="200"/>
        <v>1</v>
      </c>
      <c r="AJ165" s="794">
        <f t="shared" ca="1" si="201"/>
        <v>0</v>
      </c>
      <c r="AK165" s="769">
        <f t="shared" ca="1" si="202"/>
        <v>0</v>
      </c>
      <c r="AL165" s="769">
        <f t="shared" ca="1" si="203"/>
        <v>0</v>
      </c>
      <c r="AM165" s="804">
        <f t="shared" ca="1" si="153"/>
        <v>0</v>
      </c>
      <c r="AN165" s="795">
        <f t="shared" ca="1" si="154"/>
        <v>0</v>
      </c>
      <c r="AO165" s="251"/>
      <c r="AP165" s="770">
        <f t="shared" si="204"/>
        <v>0</v>
      </c>
      <c r="AQ165" s="771">
        <f t="shared" ca="1" si="205"/>
        <v>0</v>
      </c>
      <c r="AR165" s="771">
        <f t="shared" ca="1" si="206"/>
        <v>0</v>
      </c>
      <c r="AS165" s="772">
        <f t="shared" ca="1" si="207"/>
        <v>0</v>
      </c>
      <c r="AT165" s="231"/>
      <c r="AU165" s="770">
        <f>'Main Results - IRR DC Operator'!$F$16</f>
        <v>2</v>
      </c>
      <c r="AV165" s="773">
        <f>'Main Results - IRR DC Operator'!$F$15</f>
        <v>1</v>
      </c>
      <c r="AW165" s="771">
        <f t="shared" ca="1" si="208"/>
        <v>0</v>
      </c>
      <c r="AX165" s="772">
        <f t="shared" si="209"/>
        <v>0</v>
      </c>
      <c r="AY165" s="231"/>
      <c r="AZ165" s="770" cm="1">
        <f t="array" aca="1" ref="AZ165" ca="1">INDIRECT("'Definition of Typical Day'!"&amp; ADDRESS($D165+29*(AZ$16-1),$E165))+$AZ$17</f>
        <v>11</v>
      </c>
      <c r="BA165" s="771" cm="1">
        <f t="array" aca="1" ref="BA165" ca="1">INDIRECT("'Definition of Typical Day'!"&amp; ADDRESS($D165+29*(BA$16-1),$E165))+$BA$17</f>
        <v>11</v>
      </c>
      <c r="BB165" s="772" cm="1">
        <f t="array" aca="1" ref="BB165" ca="1">INDIRECT("'Definition of Typical Day'!"&amp;ADDRESS(BB$16,$E165))</f>
        <v>0</v>
      </c>
      <c r="BC165" s="776" cm="1">
        <f t="array" aca="1" ref="BC165" ca="1">INDIRECT("'Definition of Typical Day'!"&amp; ADDRESS($D165+29*(BC$16-1),$E165))</f>
        <v>0</v>
      </c>
      <c r="BD165" s="777" cm="1">
        <f t="array" aca="1" ref="BD165" ca="1">INDIRECT("'Definition of Typical Day'!"&amp; ADDRESS($D165+29*(BD$16-1),$E165))</f>
        <v>0</v>
      </c>
      <c r="BE165" s="776">
        <f t="shared" si="210"/>
        <v>0</v>
      </c>
      <c r="BF165" s="771">
        <f t="shared" ca="1" si="211"/>
        <v>0</v>
      </c>
      <c r="BG165" s="771">
        <f t="shared" ca="1" si="212"/>
        <v>0</v>
      </c>
      <c r="BH165" s="771">
        <f t="shared" ca="1" si="213"/>
        <v>0</v>
      </c>
      <c r="BI165" s="776">
        <f t="shared" ca="1" si="214"/>
        <v>0</v>
      </c>
      <c r="BJ165" s="776">
        <f t="shared" ca="1" si="215"/>
        <v>0</v>
      </c>
      <c r="BK165" s="776">
        <f t="shared" ca="1" si="216"/>
        <v>0</v>
      </c>
      <c r="BL165" s="776">
        <f t="shared" ca="1" si="217"/>
        <v>0</v>
      </c>
      <c r="BM165" s="135"/>
      <c r="BN165" s="776">
        <f t="shared" ca="1" si="218"/>
        <v>0</v>
      </c>
      <c r="BO165" s="778">
        <f t="shared" ca="1" si="155"/>
        <v>0</v>
      </c>
      <c r="BP165" s="770">
        <f t="shared" ca="1" si="156"/>
        <v>0</v>
      </c>
      <c r="BQ165" s="771">
        <f t="shared" ca="1" si="157"/>
        <v>0</v>
      </c>
      <c r="BR165" s="771">
        <f t="shared" ca="1" si="158"/>
        <v>0</v>
      </c>
      <c r="BS165" s="776">
        <f t="shared" ca="1" si="219"/>
        <v>0</v>
      </c>
      <c r="BT165" s="776">
        <f t="shared" ca="1" si="159"/>
        <v>0</v>
      </c>
      <c r="BU165" s="783">
        <f t="shared" ca="1" si="160"/>
        <v>0</v>
      </c>
      <c r="BV165" s="783">
        <f t="shared" ca="1" si="161"/>
        <v>0</v>
      </c>
      <c r="BW165" s="1019">
        <f t="shared" ca="1" si="220"/>
        <v>0</v>
      </c>
      <c r="BX165" s="771" cm="1">
        <f t="array" aca="1" ref="BX165" ca="1">INDIRECT("'Definition of Typical Day'!"&amp; ADDRESS($D165+29*(BX$16-1),$E165))</f>
        <v>0</v>
      </c>
      <c r="BY165" s="771">
        <f t="shared" ca="1" si="221"/>
        <v>0</v>
      </c>
      <c r="BZ165" s="781">
        <f t="shared" ca="1" si="162"/>
        <v>0</v>
      </c>
      <c r="CA165" s="781">
        <f t="shared" ca="1" si="163"/>
        <v>0</v>
      </c>
      <c r="CB165" s="776">
        <f t="shared" ca="1" si="164"/>
        <v>0</v>
      </c>
      <c r="CC165" s="782">
        <f t="shared" si="165"/>
        <v>7</v>
      </c>
      <c r="CD165" s="782">
        <f t="shared" si="166"/>
        <v>1</v>
      </c>
      <c r="CE165" s="784" cm="1">
        <f t="array" aca="1" ref="CE165" ca="1">INDIRECT("'Definition of Typical Day'!"&amp;ADDRESS(CE$16,$E165))</f>
        <v>7</v>
      </c>
      <c r="CF165" s="232"/>
      <c r="CG165" s="232"/>
      <c r="CH165" s="776">
        <f t="shared" ca="1" si="167"/>
        <v>0</v>
      </c>
      <c r="CI165" s="806">
        <f t="shared" ca="1" si="168"/>
        <v>0</v>
      </c>
      <c r="CJ165" s="770">
        <f t="shared" ca="1" si="169"/>
        <v>0</v>
      </c>
      <c r="CK165" s="771">
        <f t="shared" ca="1" si="170"/>
        <v>0</v>
      </c>
      <c r="CL165" s="771">
        <f t="shared" ca="1" si="171"/>
        <v>0</v>
      </c>
      <c r="CM165" s="772">
        <f t="shared" ca="1" si="172"/>
        <v>0</v>
      </c>
      <c r="CN165" s="135"/>
      <c r="CO165" s="770">
        <f t="shared" ca="1" si="222"/>
        <v>1.05</v>
      </c>
      <c r="CP165" s="771">
        <f t="shared" ca="1" si="173"/>
        <v>0.02</v>
      </c>
      <c r="CQ165" s="771">
        <f t="shared" ca="1" si="174"/>
        <v>-2.5000000000000001E-2</v>
      </c>
      <c r="CR165" s="771">
        <f t="shared" ca="1" si="175"/>
        <v>0.95</v>
      </c>
      <c r="CS165" s="771">
        <f t="shared" ca="1" si="176"/>
        <v>0.03</v>
      </c>
      <c r="CT165" s="772">
        <f t="shared" ca="1" si="177"/>
        <v>0.02</v>
      </c>
      <c r="CU165" s="135"/>
      <c r="CV165" s="135"/>
      <c r="CW165" s="135"/>
      <c r="CX165" s="135"/>
      <c r="CY165" s="135"/>
      <c r="CZ165" s="135"/>
      <c r="DA165" s="135"/>
      <c r="DB165" s="135"/>
      <c r="DC165" s="135"/>
      <c r="DD165" s="135"/>
      <c r="DE165" s="135"/>
      <c r="DF165" s="135"/>
      <c r="DG165" s="135"/>
      <c r="DH165" s="135"/>
      <c r="DI165" s="135"/>
      <c r="DJ165" s="135"/>
      <c r="DK165" s="135"/>
      <c r="DL165" s="135"/>
      <c r="DX165" s="135"/>
      <c r="DY165" s="135"/>
      <c r="DZ165" s="135"/>
      <c r="EA165" s="135"/>
      <c r="EB165" s="135"/>
      <c r="EC165" s="135"/>
      <c r="ED165" s="135"/>
      <c r="EE165" s="135"/>
      <c r="EF165" s="135"/>
      <c r="EG165" s="135"/>
      <c r="EH165" s="135"/>
      <c r="EI165" s="135"/>
      <c r="EJ165" s="135"/>
      <c r="EK165" s="135"/>
      <c r="EL165" s="135"/>
      <c r="EM165" s="135"/>
      <c r="EN165" s="135"/>
      <c r="EO165" s="135"/>
      <c r="EP165" s="135"/>
      <c r="EQ165" s="135"/>
      <c r="ER165" s="135"/>
      <c r="ES165" s="135"/>
      <c r="ET165" s="135"/>
      <c r="EU165" s="135"/>
      <c r="EV165" s="135"/>
      <c r="EW165" s="135"/>
      <c r="EX165" s="135"/>
      <c r="EY165" s="135"/>
      <c r="EZ165" s="135"/>
      <c r="FA165" s="135"/>
      <c r="FB165" s="135"/>
      <c r="FC165" s="135"/>
      <c r="FD165" s="135"/>
      <c r="FE165" s="135"/>
      <c r="FF165" s="135"/>
      <c r="FG165" s="135"/>
    </row>
    <row r="166" spans="1:163" s="57" customFormat="1" ht="11.25" outlineLevel="1">
      <c r="A166" s="765">
        <f t="shared" si="150"/>
        <v>7</v>
      </c>
      <c r="B166" s="715" cm="1">
        <f t="array" aca="1" ref="B166" ca="1">INDIRECT("'Definition of Typical Day'!"&amp;ADDRESS(B$16,$E166))</f>
        <v>7</v>
      </c>
      <c r="C166" s="766">
        <f t="shared" si="151"/>
        <v>2</v>
      </c>
      <c r="D166" s="715">
        <f t="shared" si="151"/>
        <v>36</v>
      </c>
      <c r="E166" s="715">
        <f t="shared" si="152"/>
        <v>11</v>
      </c>
      <c r="F166" s="767" cm="1">
        <f t="array" aca="1" ref="F166" ca="1">INDIRECT("'Definition of Typical Day'!D"&amp;D166)</f>
        <v>2</v>
      </c>
      <c r="G166" s="767" cm="1">
        <f t="array" aca="1" ref="G166" ca="1">INDIRECT("'Definition of Typical Day'!"&amp;ADDRESS(13,E166))</f>
        <v>7</v>
      </c>
      <c r="H166" s="768" cm="1">
        <f t="array" aca="1" ref="H166" ca="1">INDIRECT("'Definition of Typical Day'!"&amp; ADDRESS($D166+28*(H$16-1),$E166))</f>
        <v>0</v>
      </c>
      <c r="I166" s="715" cm="1">
        <f t="array" aca="1" ref="I166" ca="1">INDIRECT("'Definition of Typical Day'!"&amp; ADDRESS($D166+29*(I$16-1),$E166))</f>
        <v>0</v>
      </c>
      <c r="J166" s="715">
        <f t="shared" ca="1" si="178"/>
        <v>0</v>
      </c>
      <c r="K166" s="785">
        <f t="shared" si="179"/>
        <v>28</v>
      </c>
      <c r="L166" s="786" cm="1">
        <f t="array" aca="1" ref="L166" ca="1">INDIRECT("'Definition of Typical Day'!"&amp; ADDRESS($D166+29*(L$16-1),$E166))</f>
        <v>0</v>
      </c>
      <c r="M166" s="768" cm="1">
        <f t="array" aca="1" ref="M166" ca="1">INDIRECT("'Definition of Typical Day'!"&amp; ADDRESS($D166+29*(M$16-1),$E166))</f>
        <v>0</v>
      </c>
      <c r="N166" s="715">
        <f t="shared" si="180"/>
        <v>3</v>
      </c>
      <c r="O166" s="715">
        <f t="shared" ca="1" si="181"/>
        <v>3</v>
      </c>
      <c r="P166" s="715" cm="1">
        <f t="array" aca="1" ref="P166" ca="1">INDIRECT("'Definition of Typical Day'!"&amp; ADDRESS($D166+29*(P$16-1),$E166))</f>
        <v>0</v>
      </c>
      <c r="Q166" s="787">
        <f t="shared" ca="1" si="182"/>
        <v>3</v>
      </c>
      <c r="R166" s="792">
        <f t="shared" ca="1" si="183"/>
        <v>3</v>
      </c>
      <c r="S166" s="769">
        <f t="shared" si="184"/>
        <v>3</v>
      </c>
      <c r="T166" s="769">
        <f t="shared" ca="1" si="185"/>
        <v>-0.5</v>
      </c>
      <c r="U166" s="769">
        <f t="shared" ca="1" si="186"/>
        <v>2.262</v>
      </c>
      <c r="V166" s="769">
        <f t="shared" ca="1" si="187"/>
        <v>0</v>
      </c>
      <c r="W166" s="769">
        <f t="shared" ca="1" si="188"/>
        <v>4.7620000000000005</v>
      </c>
      <c r="X166" s="794">
        <f t="shared" si="189"/>
        <v>3</v>
      </c>
      <c r="Y166" s="769">
        <f t="shared" ca="1" si="190"/>
        <v>0.54772255750516607</v>
      </c>
      <c r="Z166" s="769">
        <f t="shared" ca="1" si="191"/>
        <v>0</v>
      </c>
      <c r="AA166" s="795">
        <f t="shared" ca="1" si="192"/>
        <v>0</v>
      </c>
      <c r="AB166" s="769">
        <f t="shared" ca="1" si="193"/>
        <v>0</v>
      </c>
      <c r="AC166" s="769">
        <f t="shared" ca="1" si="194"/>
        <v>0</v>
      </c>
      <c r="AD166" s="769">
        <f t="shared" ca="1" si="195"/>
        <v>0</v>
      </c>
      <c r="AE166" s="794">
        <f t="shared" ca="1" si="196"/>
        <v>0</v>
      </c>
      <c r="AF166" s="769">
        <f t="shared" ca="1" si="197"/>
        <v>0</v>
      </c>
      <c r="AG166" s="769">
        <f t="shared" ca="1" si="198"/>
        <v>0</v>
      </c>
      <c r="AH166" s="799">
        <f t="shared" ca="1" si="199"/>
        <v>0</v>
      </c>
      <c r="AI166" s="801">
        <f t="shared" ca="1" si="200"/>
        <v>1</v>
      </c>
      <c r="AJ166" s="794">
        <f t="shared" ca="1" si="201"/>
        <v>0</v>
      </c>
      <c r="AK166" s="769">
        <f t="shared" ca="1" si="202"/>
        <v>0</v>
      </c>
      <c r="AL166" s="769">
        <f t="shared" ca="1" si="203"/>
        <v>0</v>
      </c>
      <c r="AM166" s="804">
        <f t="shared" ca="1" si="153"/>
        <v>0</v>
      </c>
      <c r="AN166" s="795">
        <f t="shared" ca="1" si="154"/>
        <v>0</v>
      </c>
      <c r="AO166" s="251"/>
      <c r="AP166" s="770">
        <f t="shared" si="204"/>
        <v>0</v>
      </c>
      <c r="AQ166" s="771">
        <f t="shared" ca="1" si="205"/>
        <v>0</v>
      </c>
      <c r="AR166" s="771">
        <f t="shared" ca="1" si="206"/>
        <v>0</v>
      </c>
      <c r="AS166" s="772">
        <f t="shared" ca="1" si="207"/>
        <v>0</v>
      </c>
      <c r="AT166" s="231"/>
      <c r="AU166" s="770">
        <f>'Main Results - IRR DC Operator'!$F$16</f>
        <v>2</v>
      </c>
      <c r="AV166" s="773">
        <f>'Main Results - IRR DC Operator'!$F$15</f>
        <v>1</v>
      </c>
      <c r="AW166" s="771">
        <f t="shared" ca="1" si="208"/>
        <v>0</v>
      </c>
      <c r="AX166" s="772">
        <f t="shared" si="209"/>
        <v>0</v>
      </c>
      <c r="AY166" s="231"/>
      <c r="AZ166" s="770" cm="1">
        <f t="array" aca="1" ref="AZ166" ca="1">INDIRECT("'Definition of Typical Day'!"&amp; ADDRESS($D166+29*(AZ$16-1),$E166))+$AZ$17</f>
        <v>11</v>
      </c>
      <c r="BA166" s="771" cm="1">
        <f t="array" aca="1" ref="BA166" ca="1">INDIRECT("'Definition of Typical Day'!"&amp; ADDRESS($D166+29*(BA$16-1),$E166))+$BA$17</f>
        <v>11</v>
      </c>
      <c r="BB166" s="772" cm="1">
        <f t="array" aca="1" ref="BB166" ca="1">INDIRECT("'Definition of Typical Day'!"&amp;ADDRESS(BB$16,$E166))</f>
        <v>0</v>
      </c>
      <c r="BC166" s="776" cm="1">
        <f t="array" aca="1" ref="BC166" ca="1">INDIRECT("'Definition of Typical Day'!"&amp; ADDRESS($D166+29*(BC$16-1),$E166))</f>
        <v>0</v>
      </c>
      <c r="BD166" s="777" cm="1">
        <f t="array" aca="1" ref="BD166" ca="1">INDIRECT("'Definition of Typical Day'!"&amp; ADDRESS($D166+29*(BD$16-1),$E166))</f>
        <v>0</v>
      </c>
      <c r="BE166" s="776">
        <f t="shared" si="210"/>
        <v>0</v>
      </c>
      <c r="BF166" s="771">
        <f t="shared" ca="1" si="211"/>
        <v>0</v>
      </c>
      <c r="BG166" s="771">
        <f t="shared" ca="1" si="212"/>
        <v>0</v>
      </c>
      <c r="BH166" s="771">
        <f t="shared" ca="1" si="213"/>
        <v>0</v>
      </c>
      <c r="BI166" s="776">
        <f t="shared" ca="1" si="214"/>
        <v>0</v>
      </c>
      <c r="BJ166" s="776">
        <f t="shared" ca="1" si="215"/>
        <v>0</v>
      </c>
      <c r="BK166" s="776">
        <f t="shared" ca="1" si="216"/>
        <v>0</v>
      </c>
      <c r="BL166" s="776">
        <f t="shared" ca="1" si="217"/>
        <v>0</v>
      </c>
      <c r="BM166" s="135"/>
      <c r="BN166" s="776">
        <f t="shared" ca="1" si="218"/>
        <v>0</v>
      </c>
      <c r="BO166" s="778">
        <f t="shared" ca="1" si="155"/>
        <v>0</v>
      </c>
      <c r="BP166" s="770">
        <f t="shared" ca="1" si="156"/>
        <v>0</v>
      </c>
      <c r="BQ166" s="771">
        <f t="shared" ca="1" si="157"/>
        <v>0</v>
      </c>
      <c r="BR166" s="771">
        <f t="shared" ca="1" si="158"/>
        <v>0</v>
      </c>
      <c r="BS166" s="776">
        <f t="shared" ca="1" si="219"/>
        <v>0</v>
      </c>
      <c r="BT166" s="776">
        <f t="shared" ca="1" si="159"/>
        <v>0</v>
      </c>
      <c r="BU166" s="783">
        <f t="shared" ca="1" si="160"/>
        <v>0</v>
      </c>
      <c r="BV166" s="783">
        <f t="shared" ca="1" si="161"/>
        <v>0</v>
      </c>
      <c r="BW166" s="1019">
        <f t="shared" ca="1" si="220"/>
        <v>0</v>
      </c>
      <c r="BX166" s="771" cm="1">
        <f t="array" aca="1" ref="BX166" ca="1">INDIRECT("'Definition of Typical Day'!"&amp; ADDRESS($D166+29*(BX$16-1),$E166))</f>
        <v>0</v>
      </c>
      <c r="BY166" s="771">
        <f t="shared" ca="1" si="221"/>
        <v>0</v>
      </c>
      <c r="BZ166" s="781">
        <f t="shared" ca="1" si="162"/>
        <v>0</v>
      </c>
      <c r="CA166" s="781">
        <f t="shared" ca="1" si="163"/>
        <v>0</v>
      </c>
      <c r="CB166" s="776">
        <f t="shared" ca="1" si="164"/>
        <v>0</v>
      </c>
      <c r="CC166" s="782">
        <f t="shared" si="165"/>
        <v>7</v>
      </c>
      <c r="CD166" s="782">
        <f t="shared" si="166"/>
        <v>2</v>
      </c>
      <c r="CE166" s="784" cm="1">
        <f t="array" aca="1" ref="CE166" ca="1">INDIRECT("'Definition of Typical Day'!"&amp;ADDRESS(CE$16,$E166))</f>
        <v>7</v>
      </c>
      <c r="CF166" s="232"/>
      <c r="CG166" s="232"/>
      <c r="CH166" s="776">
        <f t="shared" ca="1" si="167"/>
        <v>0</v>
      </c>
      <c r="CI166" s="806">
        <f t="shared" ca="1" si="168"/>
        <v>0</v>
      </c>
      <c r="CJ166" s="770">
        <f t="shared" ca="1" si="169"/>
        <v>0</v>
      </c>
      <c r="CK166" s="771">
        <f t="shared" ca="1" si="170"/>
        <v>0</v>
      </c>
      <c r="CL166" s="771">
        <f t="shared" ca="1" si="171"/>
        <v>0</v>
      </c>
      <c r="CM166" s="772">
        <f t="shared" ca="1" si="172"/>
        <v>0</v>
      </c>
      <c r="CN166" s="135"/>
      <c r="CO166" s="770">
        <f t="shared" ca="1" si="222"/>
        <v>1.05</v>
      </c>
      <c r="CP166" s="771">
        <f t="shared" ca="1" si="173"/>
        <v>0.02</v>
      </c>
      <c r="CQ166" s="771">
        <f t="shared" ca="1" si="174"/>
        <v>-2.5000000000000001E-2</v>
      </c>
      <c r="CR166" s="771">
        <f t="shared" ca="1" si="175"/>
        <v>0.95</v>
      </c>
      <c r="CS166" s="771">
        <f t="shared" ca="1" si="176"/>
        <v>0.03</v>
      </c>
      <c r="CT166" s="772">
        <f t="shared" ca="1" si="177"/>
        <v>0.02</v>
      </c>
      <c r="CU166" s="135"/>
      <c r="CV166" s="135"/>
      <c r="CW166" s="135"/>
      <c r="CX166" s="135"/>
      <c r="CY166" s="135"/>
      <c r="CZ166" s="135"/>
      <c r="DA166" s="135"/>
      <c r="DB166" s="135"/>
      <c r="DC166" s="135"/>
      <c r="DD166" s="135"/>
      <c r="DE166" s="135"/>
      <c r="DF166" s="135"/>
      <c r="DG166" s="135"/>
      <c r="DH166" s="135"/>
      <c r="DI166" s="135"/>
      <c r="DJ166" s="135"/>
      <c r="DK166" s="135"/>
      <c r="DL166" s="135"/>
      <c r="DX166" s="135"/>
      <c r="DY166" s="135"/>
      <c r="DZ166" s="135"/>
      <c r="EA166" s="135"/>
      <c r="EB166" s="135"/>
      <c r="EC166" s="135"/>
      <c r="ED166" s="135"/>
      <c r="EE166" s="135"/>
      <c r="EF166" s="135"/>
      <c r="EG166" s="135"/>
      <c r="EH166" s="135"/>
      <c r="EI166" s="135"/>
      <c r="EJ166" s="135"/>
      <c r="EK166" s="135"/>
      <c r="EL166" s="135"/>
      <c r="EM166" s="135"/>
      <c r="EN166" s="135"/>
      <c r="EO166" s="135"/>
      <c r="EP166" s="135"/>
      <c r="EQ166" s="135"/>
      <c r="ER166" s="135"/>
      <c r="ES166" s="135"/>
      <c r="ET166" s="135"/>
      <c r="EU166" s="135"/>
      <c r="EV166" s="135"/>
      <c r="EW166" s="135"/>
      <c r="EX166" s="135"/>
      <c r="EY166" s="135"/>
      <c r="EZ166" s="135"/>
      <c r="FA166" s="135"/>
      <c r="FB166" s="135"/>
      <c r="FC166" s="135"/>
      <c r="FD166" s="135"/>
      <c r="FE166" s="135"/>
      <c r="FF166" s="135"/>
      <c r="FG166" s="135"/>
    </row>
    <row r="167" spans="1:163" s="57" customFormat="1" ht="11.25" outlineLevel="1">
      <c r="A167" s="765">
        <f t="shared" si="150"/>
        <v>7</v>
      </c>
      <c r="B167" s="715" cm="1">
        <f t="array" aca="1" ref="B167" ca="1">INDIRECT("'Definition of Typical Day'!"&amp;ADDRESS(B$16,$E167))</f>
        <v>7</v>
      </c>
      <c r="C167" s="766">
        <f t="shared" si="151"/>
        <v>3</v>
      </c>
      <c r="D167" s="715">
        <f t="shared" si="151"/>
        <v>37</v>
      </c>
      <c r="E167" s="715">
        <f t="shared" si="152"/>
        <v>11</v>
      </c>
      <c r="F167" s="767" cm="1">
        <f t="array" aca="1" ref="F167" ca="1">INDIRECT("'Definition of Typical Day'!D"&amp;D167)</f>
        <v>3</v>
      </c>
      <c r="G167" s="767" cm="1">
        <f t="array" aca="1" ref="G167" ca="1">INDIRECT("'Definition of Typical Day'!"&amp;ADDRESS(13,E167))</f>
        <v>7</v>
      </c>
      <c r="H167" s="768" cm="1">
        <f t="array" aca="1" ref="H167" ca="1">INDIRECT("'Definition of Typical Day'!"&amp; ADDRESS($D167+28*(H$16-1),$E167))</f>
        <v>0</v>
      </c>
      <c r="I167" s="715" cm="1">
        <f t="array" aca="1" ref="I167" ca="1">INDIRECT("'Definition of Typical Day'!"&amp; ADDRESS($D167+29*(I$16-1),$E167))</f>
        <v>0</v>
      </c>
      <c r="J167" s="715">
        <f t="shared" ca="1" si="178"/>
        <v>0</v>
      </c>
      <c r="K167" s="785">
        <f t="shared" si="179"/>
        <v>28</v>
      </c>
      <c r="L167" s="786" cm="1">
        <f t="array" aca="1" ref="L167" ca="1">INDIRECT("'Definition of Typical Day'!"&amp; ADDRESS($D167+29*(L$16-1),$E167))</f>
        <v>0</v>
      </c>
      <c r="M167" s="768" cm="1">
        <f t="array" aca="1" ref="M167" ca="1">INDIRECT("'Definition of Typical Day'!"&amp; ADDRESS($D167+29*(M$16-1),$E167))</f>
        <v>0</v>
      </c>
      <c r="N167" s="715">
        <f t="shared" si="180"/>
        <v>3</v>
      </c>
      <c r="O167" s="715">
        <f t="shared" ca="1" si="181"/>
        <v>3</v>
      </c>
      <c r="P167" s="715" cm="1">
        <f t="array" aca="1" ref="P167" ca="1">INDIRECT("'Definition of Typical Day'!"&amp; ADDRESS($D167+29*(P$16-1),$E167))</f>
        <v>0</v>
      </c>
      <c r="Q167" s="787">
        <f t="shared" ca="1" si="182"/>
        <v>3</v>
      </c>
      <c r="R167" s="792">
        <f t="shared" ca="1" si="183"/>
        <v>3</v>
      </c>
      <c r="S167" s="769">
        <f t="shared" si="184"/>
        <v>3</v>
      </c>
      <c r="T167" s="769">
        <f t="shared" ca="1" si="185"/>
        <v>-0.5</v>
      </c>
      <c r="U167" s="769">
        <f t="shared" ca="1" si="186"/>
        <v>2.262</v>
      </c>
      <c r="V167" s="769">
        <f t="shared" ca="1" si="187"/>
        <v>0</v>
      </c>
      <c r="W167" s="769">
        <f t="shared" ca="1" si="188"/>
        <v>4.7620000000000005</v>
      </c>
      <c r="X167" s="794">
        <f t="shared" si="189"/>
        <v>3</v>
      </c>
      <c r="Y167" s="769">
        <f t="shared" ca="1" si="190"/>
        <v>0.54772255750516607</v>
      </c>
      <c r="Z167" s="769">
        <f t="shared" ca="1" si="191"/>
        <v>0</v>
      </c>
      <c r="AA167" s="795">
        <f t="shared" ca="1" si="192"/>
        <v>0</v>
      </c>
      <c r="AB167" s="769">
        <f t="shared" ca="1" si="193"/>
        <v>0</v>
      </c>
      <c r="AC167" s="769">
        <f t="shared" ca="1" si="194"/>
        <v>0</v>
      </c>
      <c r="AD167" s="769">
        <f t="shared" ca="1" si="195"/>
        <v>0</v>
      </c>
      <c r="AE167" s="794">
        <f t="shared" ca="1" si="196"/>
        <v>0</v>
      </c>
      <c r="AF167" s="769">
        <f t="shared" ca="1" si="197"/>
        <v>0</v>
      </c>
      <c r="AG167" s="769">
        <f t="shared" ca="1" si="198"/>
        <v>0</v>
      </c>
      <c r="AH167" s="799">
        <f t="shared" ca="1" si="199"/>
        <v>0</v>
      </c>
      <c r="AI167" s="801">
        <f t="shared" ca="1" si="200"/>
        <v>1</v>
      </c>
      <c r="AJ167" s="794">
        <f t="shared" ca="1" si="201"/>
        <v>0</v>
      </c>
      <c r="AK167" s="769">
        <f t="shared" ca="1" si="202"/>
        <v>0</v>
      </c>
      <c r="AL167" s="769">
        <f t="shared" ca="1" si="203"/>
        <v>0</v>
      </c>
      <c r="AM167" s="804">
        <f t="shared" ca="1" si="153"/>
        <v>0</v>
      </c>
      <c r="AN167" s="795">
        <f t="shared" ca="1" si="154"/>
        <v>0</v>
      </c>
      <c r="AO167" s="251"/>
      <c r="AP167" s="770">
        <f t="shared" si="204"/>
        <v>0</v>
      </c>
      <c r="AQ167" s="771">
        <f t="shared" ca="1" si="205"/>
        <v>0</v>
      </c>
      <c r="AR167" s="771">
        <f t="shared" ca="1" si="206"/>
        <v>0</v>
      </c>
      <c r="AS167" s="772">
        <f t="shared" ca="1" si="207"/>
        <v>0</v>
      </c>
      <c r="AT167" s="231"/>
      <c r="AU167" s="770">
        <f>'Main Results - IRR DC Operator'!$F$16</f>
        <v>2</v>
      </c>
      <c r="AV167" s="773">
        <f>'Main Results - IRR DC Operator'!$F$15</f>
        <v>1</v>
      </c>
      <c r="AW167" s="771">
        <f t="shared" ca="1" si="208"/>
        <v>0</v>
      </c>
      <c r="AX167" s="772">
        <f t="shared" si="209"/>
        <v>0</v>
      </c>
      <c r="AY167" s="231"/>
      <c r="AZ167" s="770" cm="1">
        <f t="array" aca="1" ref="AZ167" ca="1">INDIRECT("'Definition of Typical Day'!"&amp; ADDRESS($D167+29*(AZ$16-1),$E167))+$AZ$17</f>
        <v>11</v>
      </c>
      <c r="BA167" s="771" cm="1">
        <f t="array" aca="1" ref="BA167" ca="1">INDIRECT("'Definition of Typical Day'!"&amp; ADDRESS($D167+29*(BA$16-1),$E167))+$BA$17</f>
        <v>11</v>
      </c>
      <c r="BB167" s="772" cm="1">
        <f t="array" aca="1" ref="BB167" ca="1">INDIRECT("'Definition of Typical Day'!"&amp;ADDRESS(BB$16,$E167))</f>
        <v>0</v>
      </c>
      <c r="BC167" s="776" cm="1">
        <f t="array" aca="1" ref="BC167" ca="1">INDIRECT("'Definition of Typical Day'!"&amp; ADDRESS($D167+29*(BC$16-1),$E167))</f>
        <v>0</v>
      </c>
      <c r="BD167" s="777" cm="1">
        <f t="array" aca="1" ref="BD167" ca="1">INDIRECT("'Definition of Typical Day'!"&amp; ADDRESS($D167+29*(BD$16-1),$E167))</f>
        <v>0</v>
      </c>
      <c r="BE167" s="776">
        <f t="shared" si="210"/>
        <v>0</v>
      </c>
      <c r="BF167" s="771">
        <f t="shared" ca="1" si="211"/>
        <v>0</v>
      </c>
      <c r="BG167" s="771">
        <f t="shared" ca="1" si="212"/>
        <v>0</v>
      </c>
      <c r="BH167" s="771">
        <f t="shared" ca="1" si="213"/>
        <v>0</v>
      </c>
      <c r="BI167" s="776">
        <f t="shared" ca="1" si="214"/>
        <v>0</v>
      </c>
      <c r="BJ167" s="776">
        <f t="shared" ca="1" si="215"/>
        <v>0</v>
      </c>
      <c r="BK167" s="776">
        <f t="shared" ca="1" si="216"/>
        <v>0</v>
      </c>
      <c r="BL167" s="776">
        <f t="shared" ca="1" si="217"/>
        <v>0</v>
      </c>
      <c r="BM167" s="135"/>
      <c r="BN167" s="776">
        <f t="shared" ca="1" si="218"/>
        <v>0</v>
      </c>
      <c r="BO167" s="778">
        <f t="shared" ca="1" si="155"/>
        <v>0</v>
      </c>
      <c r="BP167" s="770">
        <f t="shared" ca="1" si="156"/>
        <v>0</v>
      </c>
      <c r="BQ167" s="771">
        <f t="shared" ca="1" si="157"/>
        <v>0</v>
      </c>
      <c r="BR167" s="771">
        <f t="shared" ca="1" si="158"/>
        <v>0</v>
      </c>
      <c r="BS167" s="776">
        <f t="shared" ca="1" si="219"/>
        <v>0</v>
      </c>
      <c r="BT167" s="776">
        <f t="shared" ca="1" si="159"/>
        <v>0</v>
      </c>
      <c r="BU167" s="783">
        <f t="shared" ca="1" si="160"/>
        <v>0</v>
      </c>
      <c r="BV167" s="783">
        <f t="shared" ca="1" si="161"/>
        <v>0</v>
      </c>
      <c r="BW167" s="1019">
        <f t="shared" ca="1" si="220"/>
        <v>0</v>
      </c>
      <c r="BX167" s="771" cm="1">
        <f t="array" aca="1" ref="BX167" ca="1">INDIRECT("'Definition of Typical Day'!"&amp; ADDRESS($D167+29*(BX$16-1),$E167))</f>
        <v>0</v>
      </c>
      <c r="BY167" s="771">
        <f t="shared" ca="1" si="221"/>
        <v>0</v>
      </c>
      <c r="BZ167" s="781">
        <f t="shared" ca="1" si="162"/>
        <v>0</v>
      </c>
      <c r="CA167" s="781">
        <f t="shared" ca="1" si="163"/>
        <v>0</v>
      </c>
      <c r="CB167" s="776">
        <f t="shared" ca="1" si="164"/>
        <v>0</v>
      </c>
      <c r="CC167" s="782">
        <f t="shared" si="165"/>
        <v>7</v>
      </c>
      <c r="CD167" s="782">
        <f t="shared" si="166"/>
        <v>3</v>
      </c>
      <c r="CE167" s="784" cm="1">
        <f t="array" aca="1" ref="CE167" ca="1">INDIRECT("'Definition of Typical Day'!"&amp;ADDRESS(CE$16,$E167))</f>
        <v>7</v>
      </c>
      <c r="CF167" s="232"/>
      <c r="CG167" s="232"/>
      <c r="CH167" s="776">
        <f t="shared" ca="1" si="167"/>
        <v>0</v>
      </c>
      <c r="CI167" s="806">
        <f t="shared" ca="1" si="168"/>
        <v>0</v>
      </c>
      <c r="CJ167" s="770">
        <f t="shared" ca="1" si="169"/>
        <v>0</v>
      </c>
      <c r="CK167" s="771">
        <f t="shared" ca="1" si="170"/>
        <v>0</v>
      </c>
      <c r="CL167" s="771">
        <f t="shared" ca="1" si="171"/>
        <v>0</v>
      </c>
      <c r="CM167" s="772">
        <f t="shared" ca="1" si="172"/>
        <v>0</v>
      </c>
      <c r="CN167" s="135"/>
      <c r="CO167" s="770">
        <f t="shared" ca="1" si="222"/>
        <v>1.05</v>
      </c>
      <c r="CP167" s="771">
        <f t="shared" ca="1" si="173"/>
        <v>0.02</v>
      </c>
      <c r="CQ167" s="771">
        <f t="shared" ca="1" si="174"/>
        <v>-2.5000000000000001E-2</v>
      </c>
      <c r="CR167" s="771">
        <f t="shared" ca="1" si="175"/>
        <v>0.95</v>
      </c>
      <c r="CS167" s="771">
        <f t="shared" ca="1" si="176"/>
        <v>0.03</v>
      </c>
      <c r="CT167" s="772">
        <f t="shared" ca="1" si="177"/>
        <v>0.02</v>
      </c>
      <c r="CU167" s="135"/>
      <c r="CV167" s="135"/>
      <c r="CW167" s="135"/>
      <c r="CX167" s="135"/>
      <c r="CY167" s="135"/>
      <c r="CZ167" s="135"/>
      <c r="DA167" s="135"/>
      <c r="DB167" s="135"/>
      <c r="DC167" s="135"/>
      <c r="DD167" s="135"/>
      <c r="DE167" s="135"/>
      <c r="DF167" s="135"/>
      <c r="DG167" s="135"/>
      <c r="DH167" s="135"/>
      <c r="DI167" s="135"/>
      <c r="DJ167" s="135"/>
      <c r="DK167" s="135"/>
      <c r="DL167" s="135"/>
      <c r="DX167" s="135"/>
      <c r="DY167" s="135"/>
      <c r="DZ167" s="135"/>
      <c r="EA167" s="135"/>
      <c r="EB167" s="135"/>
      <c r="EC167" s="135"/>
      <c r="ED167" s="135"/>
      <c r="EE167" s="135"/>
      <c r="EF167" s="135"/>
      <c r="EG167" s="135"/>
      <c r="EH167" s="135"/>
      <c r="EI167" s="135"/>
      <c r="EJ167" s="135"/>
      <c r="EK167" s="135"/>
      <c r="EL167" s="135"/>
      <c r="EM167" s="135"/>
      <c r="EN167" s="135"/>
      <c r="EO167" s="135"/>
      <c r="EP167" s="135"/>
      <c r="EQ167" s="135"/>
      <c r="ER167" s="135"/>
      <c r="ES167" s="135"/>
      <c r="ET167" s="135"/>
      <c r="EU167" s="135"/>
      <c r="EV167" s="135"/>
      <c r="EW167" s="135"/>
      <c r="EX167" s="135"/>
      <c r="EY167" s="135"/>
      <c r="EZ167" s="135"/>
      <c r="FA167" s="135"/>
      <c r="FB167" s="135"/>
      <c r="FC167" s="135"/>
      <c r="FD167" s="135"/>
      <c r="FE167" s="135"/>
      <c r="FF167" s="135"/>
      <c r="FG167" s="135"/>
    </row>
    <row r="168" spans="1:163" s="57" customFormat="1" ht="11.25" outlineLevel="1">
      <c r="A168" s="765">
        <f t="shared" si="150"/>
        <v>7</v>
      </c>
      <c r="B168" s="715" cm="1">
        <f t="array" aca="1" ref="B168" ca="1">INDIRECT("'Definition of Typical Day'!"&amp;ADDRESS(B$16,$E168))</f>
        <v>7</v>
      </c>
      <c r="C168" s="766">
        <f t="shared" si="151"/>
        <v>4</v>
      </c>
      <c r="D168" s="715">
        <f t="shared" si="151"/>
        <v>38</v>
      </c>
      <c r="E168" s="715">
        <f t="shared" si="152"/>
        <v>11</v>
      </c>
      <c r="F168" s="767" cm="1">
        <f t="array" aca="1" ref="F168" ca="1">INDIRECT("'Definition of Typical Day'!D"&amp;D168)</f>
        <v>4</v>
      </c>
      <c r="G168" s="767" cm="1">
        <f t="array" aca="1" ref="G168" ca="1">INDIRECT("'Definition of Typical Day'!"&amp;ADDRESS(13,E168))</f>
        <v>7</v>
      </c>
      <c r="H168" s="768" cm="1">
        <f t="array" aca="1" ref="H168" ca="1">INDIRECT("'Definition of Typical Day'!"&amp; ADDRESS($D168+28*(H$16-1),$E168))</f>
        <v>0</v>
      </c>
      <c r="I168" s="715" cm="1">
        <f t="array" aca="1" ref="I168" ca="1">INDIRECT("'Definition of Typical Day'!"&amp; ADDRESS($D168+29*(I$16-1),$E168))</f>
        <v>0</v>
      </c>
      <c r="J168" s="715">
        <f t="shared" ca="1" si="178"/>
        <v>0</v>
      </c>
      <c r="K168" s="785">
        <f t="shared" si="179"/>
        <v>28</v>
      </c>
      <c r="L168" s="786" cm="1">
        <f t="array" aca="1" ref="L168" ca="1">INDIRECT("'Definition of Typical Day'!"&amp; ADDRESS($D168+29*(L$16-1),$E168))</f>
        <v>0</v>
      </c>
      <c r="M168" s="768" cm="1">
        <f t="array" aca="1" ref="M168" ca="1">INDIRECT("'Definition of Typical Day'!"&amp; ADDRESS($D168+29*(M$16-1),$E168))</f>
        <v>0</v>
      </c>
      <c r="N168" s="715">
        <f t="shared" si="180"/>
        <v>3</v>
      </c>
      <c r="O168" s="715">
        <f t="shared" ca="1" si="181"/>
        <v>3</v>
      </c>
      <c r="P168" s="715" cm="1">
        <f t="array" aca="1" ref="P168" ca="1">INDIRECT("'Definition of Typical Day'!"&amp; ADDRESS($D168+29*(P$16-1),$E168))</f>
        <v>0</v>
      </c>
      <c r="Q168" s="787">
        <f t="shared" ca="1" si="182"/>
        <v>3</v>
      </c>
      <c r="R168" s="792">
        <f t="shared" ca="1" si="183"/>
        <v>3</v>
      </c>
      <c r="S168" s="769">
        <f t="shared" si="184"/>
        <v>3</v>
      </c>
      <c r="T168" s="769">
        <f t="shared" ca="1" si="185"/>
        <v>-0.5</v>
      </c>
      <c r="U168" s="769">
        <f t="shared" ca="1" si="186"/>
        <v>2.262</v>
      </c>
      <c r="V168" s="769">
        <f t="shared" ca="1" si="187"/>
        <v>0</v>
      </c>
      <c r="W168" s="769">
        <f t="shared" ca="1" si="188"/>
        <v>4.7620000000000005</v>
      </c>
      <c r="X168" s="794">
        <f t="shared" si="189"/>
        <v>3</v>
      </c>
      <c r="Y168" s="769">
        <f t="shared" ca="1" si="190"/>
        <v>0.54772255750516607</v>
      </c>
      <c r="Z168" s="769">
        <f t="shared" ca="1" si="191"/>
        <v>0</v>
      </c>
      <c r="AA168" s="795">
        <f t="shared" ca="1" si="192"/>
        <v>0</v>
      </c>
      <c r="AB168" s="769">
        <f t="shared" ca="1" si="193"/>
        <v>0</v>
      </c>
      <c r="AC168" s="769">
        <f t="shared" ca="1" si="194"/>
        <v>0</v>
      </c>
      <c r="AD168" s="769">
        <f t="shared" ca="1" si="195"/>
        <v>0</v>
      </c>
      <c r="AE168" s="794">
        <f t="shared" ca="1" si="196"/>
        <v>0</v>
      </c>
      <c r="AF168" s="769">
        <f t="shared" ca="1" si="197"/>
        <v>0</v>
      </c>
      <c r="AG168" s="769">
        <f t="shared" ca="1" si="198"/>
        <v>0</v>
      </c>
      <c r="AH168" s="799">
        <f t="shared" ca="1" si="199"/>
        <v>0</v>
      </c>
      <c r="AI168" s="801">
        <f t="shared" ca="1" si="200"/>
        <v>1</v>
      </c>
      <c r="AJ168" s="794">
        <f t="shared" ca="1" si="201"/>
        <v>0</v>
      </c>
      <c r="AK168" s="769">
        <f t="shared" ca="1" si="202"/>
        <v>0</v>
      </c>
      <c r="AL168" s="769">
        <f t="shared" ca="1" si="203"/>
        <v>0</v>
      </c>
      <c r="AM168" s="804">
        <f t="shared" ca="1" si="153"/>
        <v>0</v>
      </c>
      <c r="AN168" s="795">
        <f t="shared" ca="1" si="154"/>
        <v>0</v>
      </c>
      <c r="AO168" s="251"/>
      <c r="AP168" s="770">
        <f t="shared" si="204"/>
        <v>0</v>
      </c>
      <c r="AQ168" s="771">
        <f t="shared" ca="1" si="205"/>
        <v>0</v>
      </c>
      <c r="AR168" s="771">
        <f t="shared" ca="1" si="206"/>
        <v>0</v>
      </c>
      <c r="AS168" s="772">
        <f t="shared" ca="1" si="207"/>
        <v>0</v>
      </c>
      <c r="AT168" s="231"/>
      <c r="AU168" s="770">
        <f>'Main Results - IRR DC Operator'!$F$16</f>
        <v>2</v>
      </c>
      <c r="AV168" s="773">
        <f>'Main Results - IRR DC Operator'!$F$15</f>
        <v>1</v>
      </c>
      <c r="AW168" s="771">
        <f t="shared" ca="1" si="208"/>
        <v>0</v>
      </c>
      <c r="AX168" s="772">
        <f t="shared" si="209"/>
        <v>0</v>
      </c>
      <c r="AY168" s="231"/>
      <c r="AZ168" s="770" cm="1">
        <f t="array" aca="1" ref="AZ168" ca="1">INDIRECT("'Definition of Typical Day'!"&amp; ADDRESS($D168+29*(AZ$16-1),$E168))+$AZ$17</f>
        <v>11</v>
      </c>
      <c r="BA168" s="771" cm="1">
        <f t="array" aca="1" ref="BA168" ca="1">INDIRECT("'Definition of Typical Day'!"&amp; ADDRESS($D168+29*(BA$16-1),$E168))+$BA$17</f>
        <v>11</v>
      </c>
      <c r="BB168" s="772" cm="1">
        <f t="array" aca="1" ref="BB168" ca="1">INDIRECT("'Definition of Typical Day'!"&amp;ADDRESS(BB$16,$E168))</f>
        <v>0</v>
      </c>
      <c r="BC168" s="776" cm="1">
        <f t="array" aca="1" ref="BC168" ca="1">INDIRECT("'Definition of Typical Day'!"&amp; ADDRESS($D168+29*(BC$16-1),$E168))</f>
        <v>0</v>
      </c>
      <c r="BD168" s="777" cm="1">
        <f t="array" aca="1" ref="BD168" ca="1">INDIRECT("'Definition of Typical Day'!"&amp; ADDRESS($D168+29*(BD$16-1),$E168))</f>
        <v>0</v>
      </c>
      <c r="BE168" s="776">
        <f t="shared" si="210"/>
        <v>0</v>
      </c>
      <c r="BF168" s="771">
        <f t="shared" ca="1" si="211"/>
        <v>0</v>
      </c>
      <c r="BG168" s="771">
        <f t="shared" ca="1" si="212"/>
        <v>0</v>
      </c>
      <c r="BH168" s="771">
        <f t="shared" ca="1" si="213"/>
        <v>0</v>
      </c>
      <c r="BI168" s="776">
        <f t="shared" ca="1" si="214"/>
        <v>0</v>
      </c>
      <c r="BJ168" s="776">
        <f t="shared" ca="1" si="215"/>
        <v>0</v>
      </c>
      <c r="BK168" s="776">
        <f t="shared" ca="1" si="216"/>
        <v>0</v>
      </c>
      <c r="BL168" s="776">
        <f t="shared" ca="1" si="217"/>
        <v>0</v>
      </c>
      <c r="BM168" s="135"/>
      <c r="BN168" s="776">
        <f t="shared" ca="1" si="218"/>
        <v>0</v>
      </c>
      <c r="BO168" s="778">
        <f t="shared" ca="1" si="155"/>
        <v>0</v>
      </c>
      <c r="BP168" s="770">
        <f t="shared" ca="1" si="156"/>
        <v>0</v>
      </c>
      <c r="BQ168" s="771">
        <f t="shared" ca="1" si="157"/>
        <v>0</v>
      </c>
      <c r="BR168" s="771">
        <f t="shared" ca="1" si="158"/>
        <v>0</v>
      </c>
      <c r="BS168" s="776">
        <f t="shared" ca="1" si="219"/>
        <v>0</v>
      </c>
      <c r="BT168" s="776">
        <f t="shared" ca="1" si="159"/>
        <v>0</v>
      </c>
      <c r="BU168" s="783">
        <f t="shared" ca="1" si="160"/>
        <v>0</v>
      </c>
      <c r="BV168" s="783">
        <f t="shared" ca="1" si="161"/>
        <v>0</v>
      </c>
      <c r="BW168" s="1019">
        <f t="shared" ca="1" si="220"/>
        <v>0</v>
      </c>
      <c r="BX168" s="771" cm="1">
        <f t="array" aca="1" ref="BX168" ca="1">INDIRECT("'Definition of Typical Day'!"&amp; ADDRESS($D168+29*(BX$16-1),$E168))</f>
        <v>0</v>
      </c>
      <c r="BY168" s="771">
        <f t="shared" ca="1" si="221"/>
        <v>0</v>
      </c>
      <c r="BZ168" s="781">
        <f t="shared" ca="1" si="162"/>
        <v>0</v>
      </c>
      <c r="CA168" s="781">
        <f t="shared" ca="1" si="163"/>
        <v>0</v>
      </c>
      <c r="CB168" s="776">
        <f t="shared" ca="1" si="164"/>
        <v>0</v>
      </c>
      <c r="CC168" s="782">
        <f t="shared" si="165"/>
        <v>7</v>
      </c>
      <c r="CD168" s="782">
        <f t="shared" si="166"/>
        <v>4</v>
      </c>
      <c r="CE168" s="784" cm="1">
        <f t="array" aca="1" ref="CE168" ca="1">INDIRECT("'Definition of Typical Day'!"&amp;ADDRESS(CE$16,$E168))</f>
        <v>7</v>
      </c>
      <c r="CF168" s="232"/>
      <c r="CG168" s="232"/>
      <c r="CH168" s="776">
        <f t="shared" ca="1" si="167"/>
        <v>0</v>
      </c>
      <c r="CI168" s="806">
        <f t="shared" ca="1" si="168"/>
        <v>0</v>
      </c>
      <c r="CJ168" s="770">
        <f t="shared" ca="1" si="169"/>
        <v>0</v>
      </c>
      <c r="CK168" s="771">
        <f t="shared" ca="1" si="170"/>
        <v>0</v>
      </c>
      <c r="CL168" s="771">
        <f t="shared" ca="1" si="171"/>
        <v>0</v>
      </c>
      <c r="CM168" s="772">
        <f t="shared" ca="1" si="172"/>
        <v>0</v>
      </c>
      <c r="CN168" s="135"/>
      <c r="CO168" s="770">
        <f t="shared" ca="1" si="222"/>
        <v>1.05</v>
      </c>
      <c r="CP168" s="771">
        <f t="shared" ca="1" si="173"/>
        <v>0.02</v>
      </c>
      <c r="CQ168" s="771">
        <f t="shared" ca="1" si="174"/>
        <v>-2.5000000000000001E-2</v>
      </c>
      <c r="CR168" s="771">
        <f t="shared" ca="1" si="175"/>
        <v>0.95</v>
      </c>
      <c r="CS168" s="771">
        <f t="shared" ca="1" si="176"/>
        <v>0.03</v>
      </c>
      <c r="CT168" s="772">
        <f t="shared" ca="1" si="177"/>
        <v>0.02</v>
      </c>
      <c r="CU168" s="135"/>
      <c r="CV168" s="135"/>
      <c r="CW168" s="135"/>
      <c r="CX168" s="135"/>
      <c r="CY168" s="135"/>
      <c r="CZ168" s="135"/>
      <c r="DA168" s="135"/>
      <c r="DB168" s="135"/>
      <c r="DC168" s="135"/>
      <c r="DD168" s="135"/>
      <c r="DE168" s="135"/>
      <c r="DF168" s="135"/>
      <c r="DG168" s="135"/>
      <c r="DH168" s="135"/>
      <c r="DI168" s="135"/>
      <c r="DJ168" s="135"/>
      <c r="DK168" s="135"/>
      <c r="DL168" s="135"/>
      <c r="DX168" s="135"/>
      <c r="DY168" s="135"/>
      <c r="DZ168" s="135"/>
      <c r="EA168" s="135"/>
      <c r="EB168" s="135"/>
      <c r="EC168" s="135"/>
      <c r="ED168" s="135"/>
      <c r="EE168" s="135"/>
      <c r="EF168" s="135"/>
      <c r="EG168" s="135"/>
      <c r="EH168" s="135"/>
      <c r="EI168" s="135"/>
      <c r="EJ168" s="135"/>
      <c r="EK168" s="135"/>
      <c r="EL168" s="135"/>
      <c r="EM168" s="135"/>
      <c r="EN168" s="135"/>
      <c r="EO168" s="135"/>
      <c r="EP168" s="135"/>
      <c r="EQ168" s="135"/>
      <c r="ER168" s="135"/>
      <c r="ES168" s="135"/>
      <c r="ET168" s="135"/>
      <c r="EU168" s="135"/>
      <c r="EV168" s="135"/>
      <c r="EW168" s="135"/>
      <c r="EX168" s="135"/>
      <c r="EY168" s="135"/>
      <c r="EZ168" s="135"/>
      <c r="FA168" s="135"/>
      <c r="FB168" s="135"/>
      <c r="FC168" s="135"/>
      <c r="FD168" s="135"/>
      <c r="FE168" s="135"/>
      <c r="FF168" s="135"/>
      <c r="FG168" s="135"/>
    </row>
    <row r="169" spans="1:163" s="57" customFormat="1" ht="11.25" outlineLevel="1">
      <c r="A169" s="765">
        <f t="shared" si="150"/>
        <v>7</v>
      </c>
      <c r="B169" s="715" cm="1">
        <f t="array" aca="1" ref="B169" ca="1">INDIRECT("'Definition of Typical Day'!"&amp;ADDRESS(B$16,$E169))</f>
        <v>7</v>
      </c>
      <c r="C169" s="766">
        <f t="shared" si="151"/>
        <v>5</v>
      </c>
      <c r="D169" s="715">
        <f t="shared" si="151"/>
        <v>39</v>
      </c>
      <c r="E169" s="715">
        <f t="shared" si="152"/>
        <v>11</v>
      </c>
      <c r="F169" s="767" cm="1">
        <f t="array" aca="1" ref="F169" ca="1">INDIRECT("'Definition of Typical Day'!D"&amp;D169)</f>
        <v>5</v>
      </c>
      <c r="G169" s="767" cm="1">
        <f t="array" aca="1" ref="G169" ca="1">INDIRECT("'Definition of Typical Day'!"&amp;ADDRESS(13,E169))</f>
        <v>7</v>
      </c>
      <c r="H169" s="768" cm="1">
        <f t="array" aca="1" ref="H169" ca="1">INDIRECT("'Definition of Typical Day'!"&amp; ADDRESS($D169+28*(H$16-1),$E169))</f>
        <v>0</v>
      </c>
      <c r="I169" s="715" cm="1">
        <f t="array" aca="1" ref="I169" ca="1">INDIRECT("'Definition of Typical Day'!"&amp; ADDRESS($D169+29*(I$16-1),$E169))</f>
        <v>0</v>
      </c>
      <c r="J169" s="715">
        <f t="shared" ca="1" si="178"/>
        <v>0</v>
      </c>
      <c r="K169" s="785">
        <f t="shared" si="179"/>
        <v>28</v>
      </c>
      <c r="L169" s="786" cm="1">
        <f t="array" aca="1" ref="L169" ca="1">INDIRECT("'Definition of Typical Day'!"&amp; ADDRESS($D169+29*(L$16-1),$E169))</f>
        <v>0</v>
      </c>
      <c r="M169" s="768" cm="1">
        <f t="array" aca="1" ref="M169" ca="1">INDIRECT("'Definition of Typical Day'!"&amp; ADDRESS($D169+29*(M$16-1),$E169))</f>
        <v>0</v>
      </c>
      <c r="N169" s="715">
        <f t="shared" si="180"/>
        <v>3</v>
      </c>
      <c r="O169" s="715">
        <f t="shared" ca="1" si="181"/>
        <v>3</v>
      </c>
      <c r="P169" s="715" cm="1">
        <f t="array" aca="1" ref="P169" ca="1">INDIRECT("'Definition of Typical Day'!"&amp; ADDRESS($D169+29*(P$16-1),$E169))</f>
        <v>0</v>
      </c>
      <c r="Q169" s="787">
        <f t="shared" ca="1" si="182"/>
        <v>3</v>
      </c>
      <c r="R169" s="792">
        <f t="shared" ca="1" si="183"/>
        <v>3</v>
      </c>
      <c r="S169" s="769">
        <f t="shared" si="184"/>
        <v>3</v>
      </c>
      <c r="T169" s="769">
        <f t="shared" ca="1" si="185"/>
        <v>-0.5</v>
      </c>
      <c r="U169" s="769">
        <f t="shared" ca="1" si="186"/>
        <v>2.262</v>
      </c>
      <c r="V169" s="769">
        <f t="shared" ca="1" si="187"/>
        <v>0</v>
      </c>
      <c r="W169" s="769">
        <f t="shared" ca="1" si="188"/>
        <v>4.7620000000000005</v>
      </c>
      <c r="X169" s="794">
        <f t="shared" si="189"/>
        <v>3</v>
      </c>
      <c r="Y169" s="769">
        <f t="shared" ca="1" si="190"/>
        <v>0.54772255750516607</v>
      </c>
      <c r="Z169" s="769">
        <f t="shared" ca="1" si="191"/>
        <v>0</v>
      </c>
      <c r="AA169" s="795">
        <f t="shared" ca="1" si="192"/>
        <v>0</v>
      </c>
      <c r="AB169" s="769">
        <f t="shared" ca="1" si="193"/>
        <v>0</v>
      </c>
      <c r="AC169" s="769">
        <f t="shared" ca="1" si="194"/>
        <v>0</v>
      </c>
      <c r="AD169" s="769">
        <f t="shared" ca="1" si="195"/>
        <v>0</v>
      </c>
      <c r="AE169" s="794">
        <f t="shared" ca="1" si="196"/>
        <v>0</v>
      </c>
      <c r="AF169" s="769">
        <f t="shared" ca="1" si="197"/>
        <v>0</v>
      </c>
      <c r="AG169" s="769">
        <f t="shared" ca="1" si="198"/>
        <v>0</v>
      </c>
      <c r="AH169" s="799">
        <f t="shared" ca="1" si="199"/>
        <v>0</v>
      </c>
      <c r="AI169" s="801">
        <f t="shared" ca="1" si="200"/>
        <v>1</v>
      </c>
      <c r="AJ169" s="794">
        <f t="shared" ca="1" si="201"/>
        <v>0</v>
      </c>
      <c r="AK169" s="769">
        <f t="shared" ca="1" si="202"/>
        <v>0</v>
      </c>
      <c r="AL169" s="769">
        <f t="shared" ca="1" si="203"/>
        <v>0</v>
      </c>
      <c r="AM169" s="804">
        <f t="shared" ca="1" si="153"/>
        <v>0</v>
      </c>
      <c r="AN169" s="795">
        <f t="shared" ca="1" si="154"/>
        <v>0</v>
      </c>
      <c r="AO169" s="251"/>
      <c r="AP169" s="770">
        <f t="shared" si="204"/>
        <v>0</v>
      </c>
      <c r="AQ169" s="771">
        <f t="shared" ca="1" si="205"/>
        <v>0</v>
      </c>
      <c r="AR169" s="771">
        <f t="shared" ca="1" si="206"/>
        <v>0</v>
      </c>
      <c r="AS169" s="772">
        <f t="shared" ca="1" si="207"/>
        <v>0</v>
      </c>
      <c r="AT169" s="231"/>
      <c r="AU169" s="770">
        <f>'Main Results - IRR DC Operator'!$F$16</f>
        <v>2</v>
      </c>
      <c r="AV169" s="773">
        <f>'Main Results - IRR DC Operator'!$F$15</f>
        <v>1</v>
      </c>
      <c r="AW169" s="771">
        <f t="shared" ca="1" si="208"/>
        <v>0</v>
      </c>
      <c r="AX169" s="772">
        <f t="shared" si="209"/>
        <v>0</v>
      </c>
      <c r="AY169" s="231"/>
      <c r="AZ169" s="770" cm="1">
        <f t="array" aca="1" ref="AZ169" ca="1">INDIRECT("'Definition of Typical Day'!"&amp; ADDRESS($D169+29*(AZ$16-1),$E169))+$AZ$17</f>
        <v>11</v>
      </c>
      <c r="BA169" s="771" cm="1">
        <f t="array" aca="1" ref="BA169" ca="1">INDIRECT("'Definition of Typical Day'!"&amp; ADDRESS($D169+29*(BA$16-1),$E169))+$BA$17</f>
        <v>11</v>
      </c>
      <c r="BB169" s="772" cm="1">
        <f t="array" aca="1" ref="BB169" ca="1">INDIRECT("'Definition of Typical Day'!"&amp;ADDRESS(BB$16,$E169))</f>
        <v>0</v>
      </c>
      <c r="BC169" s="776" cm="1">
        <f t="array" aca="1" ref="BC169" ca="1">INDIRECT("'Definition of Typical Day'!"&amp; ADDRESS($D169+29*(BC$16-1),$E169))</f>
        <v>0</v>
      </c>
      <c r="BD169" s="777" cm="1">
        <f t="array" aca="1" ref="BD169" ca="1">INDIRECT("'Definition of Typical Day'!"&amp; ADDRESS($D169+29*(BD$16-1),$E169))</f>
        <v>0</v>
      </c>
      <c r="BE169" s="776">
        <f t="shared" si="210"/>
        <v>0</v>
      </c>
      <c r="BF169" s="771">
        <f t="shared" ca="1" si="211"/>
        <v>0</v>
      </c>
      <c r="BG169" s="771">
        <f t="shared" ca="1" si="212"/>
        <v>0</v>
      </c>
      <c r="BH169" s="771">
        <f t="shared" ca="1" si="213"/>
        <v>0</v>
      </c>
      <c r="BI169" s="776">
        <f t="shared" ca="1" si="214"/>
        <v>0</v>
      </c>
      <c r="BJ169" s="776">
        <f t="shared" ca="1" si="215"/>
        <v>0</v>
      </c>
      <c r="BK169" s="776">
        <f t="shared" ca="1" si="216"/>
        <v>0</v>
      </c>
      <c r="BL169" s="776">
        <f t="shared" ca="1" si="217"/>
        <v>0</v>
      </c>
      <c r="BM169" s="135"/>
      <c r="BN169" s="776">
        <f t="shared" ca="1" si="218"/>
        <v>0</v>
      </c>
      <c r="BO169" s="778">
        <f t="shared" ca="1" si="155"/>
        <v>0</v>
      </c>
      <c r="BP169" s="770">
        <f t="shared" ca="1" si="156"/>
        <v>0</v>
      </c>
      <c r="BQ169" s="771">
        <f t="shared" ca="1" si="157"/>
        <v>0</v>
      </c>
      <c r="BR169" s="771">
        <f t="shared" ca="1" si="158"/>
        <v>0</v>
      </c>
      <c r="BS169" s="776">
        <f t="shared" ca="1" si="219"/>
        <v>0</v>
      </c>
      <c r="BT169" s="776">
        <f t="shared" ca="1" si="159"/>
        <v>0</v>
      </c>
      <c r="BU169" s="783">
        <f t="shared" ca="1" si="160"/>
        <v>0</v>
      </c>
      <c r="BV169" s="783">
        <f t="shared" ca="1" si="161"/>
        <v>0</v>
      </c>
      <c r="BW169" s="1019">
        <f t="shared" ca="1" si="220"/>
        <v>0</v>
      </c>
      <c r="BX169" s="771" cm="1">
        <f t="array" aca="1" ref="BX169" ca="1">INDIRECT("'Definition of Typical Day'!"&amp; ADDRESS($D169+29*(BX$16-1),$E169))</f>
        <v>0</v>
      </c>
      <c r="BY169" s="771">
        <f t="shared" ca="1" si="221"/>
        <v>0</v>
      </c>
      <c r="BZ169" s="781">
        <f t="shared" ca="1" si="162"/>
        <v>0</v>
      </c>
      <c r="CA169" s="781">
        <f t="shared" ca="1" si="163"/>
        <v>0</v>
      </c>
      <c r="CB169" s="776">
        <f t="shared" ca="1" si="164"/>
        <v>0</v>
      </c>
      <c r="CC169" s="782">
        <f t="shared" si="165"/>
        <v>7</v>
      </c>
      <c r="CD169" s="782">
        <f t="shared" si="166"/>
        <v>5</v>
      </c>
      <c r="CE169" s="784" cm="1">
        <f t="array" aca="1" ref="CE169" ca="1">INDIRECT("'Definition of Typical Day'!"&amp;ADDRESS(CE$16,$E169))</f>
        <v>7</v>
      </c>
      <c r="CF169" s="232"/>
      <c r="CG169" s="232"/>
      <c r="CH169" s="776">
        <f t="shared" ca="1" si="167"/>
        <v>0</v>
      </c>
      <c r="CI169" s="806">
        <f t="shared" ca="1" si="168"/>
        <v>0</v>
      </c>
      <c r="CJ169" s="770">
        <f t="shared" ca="1" si="169"/>
        <v>0</v>
      </c>
      <c r="CK169" s="771">
        <f t="shared" ca="1" si="170"/>
        <v>0</v>
      </c>
      <c r="CL169" s="771">
        <f t="shared" ca="1" si="171"/>
        <v>0</v>
      </c>
      <c r="CM169" s="772">
        <f t="shared" ca="1" si="172"/>
        <v>0</v>
      </c>
      <c r="CN169" s="135"/>
      <c r="CO169" s="770">
        <f t="shared" ca="1" si="222"/>
        <v>1.05</v>
      </c>
      <c r="CP169" s="771">
        <f t="shared" ca="1" si="173"/>
        <v>0.02</v>
      </c>
      <c r="CQ169" s="771">
        <f t="shared" ca="1" si="174"/>
        <v>-2.5000000000000001E-2</v>
      </c>
      <c r="CR169" s="771">
        <f t="shared" ca="1" si="175"/>
        <v>0.95</v>
      </c>
      <c r="CS169" s="771">
        <f t="shared" ca="1" si="176"/>
        <v>0.03</v>
      </c>
      <c r="CT169" s="772">
        <f t="shared" ca="1" si="177"/>
        <v>0.02</v>
      </c>
      <c r="CU169" s="135"/>
      <c r="CV169" s="135"/>
      <c r="CW169" s="135"/>
      <c r="CX169" s="135"/>
      <c r="CY169" s="135"/>
      <c r="CZ169" s="135"/>
      <c r="DA169" s="135"/>
      <c r="DB169" s="135"/>
      <c r="DC169" s="135"/>
      <c r="DD169" s="135"/>
      <c r="DE169" s="135"/>
      <c r="DF169" s="135"/>
      <c r="DG169" s="135"/>
      <c r="DH169" s="135"/>
      <c r="DI169" s="135"/>
      <c r="DJ169" s="135"/>
      <c r="DK169" s="135"/>
      <c r="DL169" s="135"/>
      <c r="DX169" s="135"/>
      <c r="DY169" s="135"/>
      <c r="DZ169" s="135"/>
      <c r="EA169" s="135"/>
      <c r="EB169" s="135"/>
      <c r="EC169" s="135"/>
      <c r="ED169" s="135"/>
      <c r="EE169" s="135"/>
      <c r="EF169" s="135"/>
      <c r="EG169" s="135"/>
      <c r="EH169" s="135"/>
      <c r="EI169" s="135"/>
      <c r="EJ169" s="135"/>
      <c r="EK169" s="135"/>
      <c r="EL169" s="135"/>
      <c r="EM169" s="135"/>
      <c r="EN169" s="135"/>
      <c r="EO169" s="135"/>
      <c r="EP169" s="135"/>
      <c r="EQ169" s="135"/>
      <c r="ER169" s="135"/>
      <c r="ES169" s="135"/>
      <c r="ET169" s="135"/>
      <c r="EU169" s="135"/>
      <c r="EV169" s="135"/>
      <c r="EW169" s="135"/>
      <c r="EX169" s="135"/>
      <c r="EY169" s="135"/>
      <c r="EZ169" s="135"/>
      <c r="FA169" s="135"/>
      <c r="FB169" s="135"/>
      <c r="FC169" s="135"/>
      <c r="FD169" s="135"/>
      <c r="FE169" s="135"/>
      <c r="FF169" s="135"/>
      <c r="FG169" s="135"/>
    </row>
    <row r="170" spans="1:163" s="57" customFormat="1" ht="11.25" outlineLevel="1">
      <c r="A170" s="765">
        <f t="shared" si="150"/>
        <v>7</v>
      </c>
      <c r="B170" s="715" cm="1">
        <f t="array" aca="1" ref="B170" ca="1">INDIRECT("'Definition of Typical Day'!"&amp;ADDRESS(B$16,$E170))</f>
        <v>7</v>
      </c>
      <c r="C170" s="766">
        <f t="shared" si="151"/>
        <v>6</v>
      </c>
      <c r="D170" s="715">
        <f t="shared" si="151"/>
        <v>40</v>
      </c>
      <c r="E170" s="715">
        <f t="shared" si="152"/>
        <v>11</v>
      </c>
      <c r="F170" s="767" cm="1">
        <f t="array" aca="1" ref="F170" ca="1">INDIRECT("'Definition of Typical Day'!D"&amp;D170)</f>
        <v>6</v>
      </c>
      <c r="G170" s="767" cm="1">
        <f t="array" aca="1" ref="G170" ca="1">INDIRECT("'Definition of Typical Day'!"&amp;ADDRESS(13,E170))</f>
        <v>7</v>
      </c>
      <c r="H170" s="768" cm="1">
        <f t="array" aca="1" ref="H170" ca="1">INDIRECT("'Definition of Typical Day'!"&amp; ADDRESS($D170+28*(H$16-1),$E170))</f>
        <v>0</v>
      </c>
      <c r="I170" s="715" cm="1">
        <f t="array" aca="1" ref="I170" ca="1">INDIRECT("'Definition of Typical Day'!"&amp; ADDRESS($D170+29*(I$16-1),$E170))</f>
        <v>0</v>
      </c>
      <c r="J170" s="715">
        <f t="shared" ca="1" si="178"/>
        <v>0</v>
      </c>
      <c r="K170" s="785">
        <f t="shared" si="179"/>
        <v>28</v>
      </c>
      <c r="L170" s="786" cm="1">
        <f t="array" aca="1" ref="L170" ca="1">INDIRECT("'Definition of Typical Day'!"&amp; ADDRESS($D170+29*(L$16-1),$E170))</f>
        <v>0</v>
      </c>
      <c r="M170" s="768" cm="1">
        <f t="array" aca="1" ref="M170" ca="1">INDIRECT("'Definition of Typical Day'!"&amp; ADDRESS($D170+29*(M$16-1),$E170))</f>
        <v>0</v>
      </c>
      <c r="N170" s="715">
        <f t="shared" si="180"/>
        <v>3</v>
      </c>
      <c r="O170" s="715">
        <f t="shared" ca="1" si="181"/>
        <v>3</v>
      </c>
      <c r="P170" s="715" cm="1">
        <f t="array" aca="1" ref="P170" ca="1">INDIRECT("'Definition of Typical Day'!"&amp; ADDRESS($D170+29*(P$16-1),$E170))</f>
        <v>0</v>
      </c>
      <c r="Q170" s="787">
        <f t="shared" ca="1" si="182"/>
        <v>3</v>
      </c>
      <c r="R170" s="792">
        <f t="shared" ca="1" si="183"/>
        <v>3</v>
      </c>
      <c r="S170" s="769">
        <f t="shared" si="184"/>
        <v>3</v>
      </c>
      <c r="T170" s="769">
        <f t="shared" ca="1" si="185"/>
        <v>-0.5</v>
      </c>
      <c r="U170" s="769">
        <f t="shared" ca="1" si="186"/>
        <v>2.262</v>
      </c>
      <c r="V170" s="769">
        <f t="shared" ca="1" si="187"/>
        <v>0</v>
      </c>
      <c r="W170" s="769">
        <f t="shared" ca="1" si="188"/>
        <v>4.7620000000000005</v>
      </c>
      <c r="X170" s="794">
        <f t="shared" si="189"/>
        <v>3</v>
      </c>
      <c r="Y170" s="769">
        <f t="shared" ca="1" si="190"/>
        <v>0.54772255750516607</v>
      </c>
      <c r="Z170" s="769">
        <f t="shared" ca="1" si="191"/>
        <v>0</v>
      </c>
      <c r="AA170" s="795">
        <f t="shared" ca="1" si="192"/>
        <v>0</v>
      </c>
      <c r="AB170" s="769">
        <f t="shared" ca="1" si="193"/>
        <v>0</v>
      </c>
      <c r="AC170" s="769">
        <f t="shared" ca="1" si="194"/>
        <v>0</v>
      </c>
      <c r="AD170" s="769">
        <f t="shared" ca="1" si="195"/>
        <v>0</v>
      </c>
      <c r="AE170" s="794">
        <f t="shared" ca="1" si="196"/>
        <v>0</v>
      </c>
      <c r="AF170" s="769">
        <f t="shared" ca="1" si="197"/>
        <v>0</v>
      </c>
      <c r="AG170" s="769">
        <f t="shared" ca="1" si="198"/>
        <v>0</v>
      </c>
      <c r="AH170" s="799">
        <f t="shared" ca="1" si="199"/>
        <v>0</v>
      </c>
      <c r="AI170" s="801">
        <f t="shared" ca="1" si="200"/>
        <v>1</v>
      </c>
      <c r="AJ170" s="794">
        <f t="shared" ca="1" si="201"/>
        <v>0</v>
      </c>
      <c r="AK170" s="769">
        <f t="shared" ca="1" si="202"/>
        <v>0</v>
      </c>
      <c r="AL170" s="769">
        <f t="shared" ca="1" si="203"/>
        <v>0</v>
      </c>
      <c r="AM170" s="804">
        <f t="shared" ca="1" si="153"/>
        <v>0</v>
      </c>
      <c r="AN170" s="795">
        <f t="shared" ca="1" si="154"/>
        <v>0</v>
      </c>
      <c r="AO170" s="251"/>
      <c r="AP170" s="770">
        <f t="shared" si="204"/>
        <v>0</v>
      </c>
      <c r="AQ170" s="771">
        <f t="shared" ca="1" si="205"/>
        <v>0</v>
      </c>
      <c r="AR170" s="771">
        <f t="shared" ca="1" si="206"/>
        <v>0</v>
      </c>
      <c r="AS170" s="772">
        <f t="shared" ca="1" si="207"/>
        <v>0</v>
      </c>
      <c r="AT170" s="231"/>
      <c r="AU170" s="770">
        <f>'Main Results - IRR DC Operator'!$F$16</f>
        <v>2</v>
      </c>
      <c r="AV170" s="773">
        <f>'Main Results - IRR DC Operator'!$F$15</f>
        <v>1</v>
      </c>
      <c r="AW170" s="771">
        <f t="shared" ca="1" si="208"/>
        <v>0</v>
      </c>
      <c r="AX170" s="772">
        <f t="shared" si="209"/>
        <v>0</v>
      </c>
      <c r="AY170" s="231"/>
      <c r="AZ170" s="770" cm="1">
        <f t="array" aca="1" ref="AZ170" ca="1">INDIRECT("'Definition of Typical Day'!"&amp; ADDRESS($D170+29*(AZ$16-1),$E170))+$AZ$17</f>
        <v>11</v>
      </c>
      <c r="BA170" s="771" cm="1">
        <f t="array" aca="1" ref="BA170" ca="1">INDIRECT("'Definition of Typical Day'!"&amp; ADDRESS($D170+29*(BA$16-1),$E170))+$BA$17</f>
        <v>11</v>
      </c>
      <c r="BB170" s="772" cm="1">
        <f t="array" aca="1" ref="BB170" ca="1">INDIRECT("'Definition of Typical Day'!"&amp;ADDRESS(BB$16,$E170))</f>
        <v>0</v>
      </c>
      <c r="BC170" s="776" cm="1">
        <f t="array" aca="1" ref="BC170" ca="1">INDIRECT("'Definition of Typical Day'!"&amp; ADDRESS($D170+29*(BC$16-1),$E170))</f>
        <v>0</v>
      </c>
      <c r="BD170" s="777" cm="1">
        <f t="array" aca="1" ref="BD170" ca="1">INDIRECT("'Definition of Typical Day'!"&amp; ADDRESS($D170+29*(BD$16-1),$E170))</f>
        <v>0</v>
      </c>
      <c r="BE170" s="776">
        <f t="shared" si="210"/>
        <v>0</v>
      </c>
      <c r="BF170" s="771">
        <f t="shared" ca="1" si="211"/>
        <v>0</v>
      </c>
      <c r="BG170" s="771">
        <f t="shared" ca="1" si="212"/>
        <v>0</v>
      </c>
      <c r="BH170" s="771">
        <f t="shared" ca="1" si="213"/>
        <v>0</v>
      </c>
      <c r="BI170" s="776">
        <f t="shared" ca="1" si="214"/>
        <v>0</v>
      </c>
      <c r="BJ170" s="776">
        <f t="shared" ca="1" si="215"/>
        <v>0</v>
      </c>
      <c r="BK170" s="776">
        <f t="shared" ca="1" si="216"/>
        <v>0</v>
      </c>
      <c r="BL170" s="776">
        <f t="shared" ca="1" si="217"/>
        <v>0</v>
      </c>
      <c r="BM170" s="135"/>
      <c r="BN170" s="776">
        <f t="shared" ca="1" si="218"/>
        <v>0</v>
      </c>
      <c r="BO170" s="778">
        <f t="shared" ca="1" si="155"/>
        <v>0</v>
      </c>
      <c r="BP170" s="770">
        <f t="shared" ca="1" si="156"/>
        <v>0</v>
      </c>
      <c r="BQ170" s="771">
        <f t="shared" ca="1" si="157"/>
        <v>0</v>
      </c>
      <c r="BR170" s="771">
        <f t="shared" ca="1" si="158"/>
        <v>0</v>
      </c>
      <c r="BS170" s="776">
        <f t="shared" ca="1" si="219"/>
        <v>0</v>
      </c>
      <c r="BT170" s="776">
        <f t="shared" ca="1" si="159"/>
        <v>0</v>
      </c>
      <c r="BU170" s="783">
        <f t="shared" ca="1" si="160"/>
        <v>0</v>
      </c>
      <c r="BV170" s="783">
        <f t="shared" ca="1" si="161"/>
        <v>0</v>
      </c>
      <c r="BW170" s="1019">
        <f t="shared" ca="1" si="220"/>
        <v>0</v>
      </c>
      <c r="BX170" s="771" cm="1">
        <f t="array" aca="1" ref="BX170" ca="1">INDIRECT("'Definition of Typical Day'!"&amp; ADDRESS($D170+29*(BX$16-1),$E170))</f>
        <v>0</v>
      </c>
      <c r="BY170" s="771">
        <f t="shared" ca="1" si="221"/>
        <v>0</v>
      </c>
      <c r="BZ170" s="781">
        <f t="shared" ca="1" si="162"/>
        <v>0</v>
      </c>
      <c r="CA170" s="781">
        <f t="shared" ca="1" si="163"/>
        <v>0</v>
      </c>
      <c r="CB170" s="776">
        <f t="shared" ca="1" si="164"/>
        <v>0</v>
      </c>
      <c r="CC170" s="782">
        <f t="shared" si="165"/>
        <v>7</v>
      </c>
      <c r="CD170" s="782">
        <f t="shared" si="166"/>
        <v>6</v>
      </c>
      <c r="CE170" s="784" cm="1">
        <f t="array" aca="1" ref="CE170" ca="1">INDIRECT("'Definition of Typical Day'!"&amp;ADDRESS(CE$16,$E170))</f>
        <v>7</v>
      </c>
      <c r="CF170" s="232"/>
      <c r="CG170" s="232"/>
      <c r="CH170" s="776">
        <f t="shared" ca="1" si="167"/>
        <v>0</v>
      </c>
      <c r="CI170" s="806">
        <f t="shared" ca="1" si="168"/>
        <v>0</v>
      </c>
      <c r="CJ170" s="770">
        <f t="shared" ca="1" si="169"/>
        <v>0</v>
      </c>
      <c r="CK170" s="771">
        <f t="shared" ca="1" si="170"/>
        <v>0</v>
      </c>
      <c r="CL170" s="771">
        <f t="shared" ca="1" si="171"/>
        <v>0</v>
      </c>
      <c r="CM170" s="772">
        <f t="shared" ca="1" si="172"/>
        <v>0</v>
      </c>
      <c r="CN170" s="135"/>
      <c r="CO170" s="770">
        <f t="shared" ca="1" si="222"/>
        <v>1.05</v>
      </c>
      <c r="CP170" s="771">
        <f t="shared" ca="1" si="173"/>
        <v>0.02</v>
      </c>
      <c r="CQ170" s="771">
        <f t="shared" ca="1" si="174"/>
        <v>-2.5000000000000001E-2</v>
      </c>
      <c r="CR170" s="771">
        <f t="shared" ca="1" si="175"/>
        <v>0.95</v>
      </c>
      <c r="CS170" s="771">
        <f t="shared" ca="1" si="176"/>
        <v>0.03</v>
      </c>
      <c r="CT170" s="772">
        <f t="shared" ca="1" si="177"/>
        <v>0.02</v>
      </c>
      <c r="CU170" s="135"/>
      <c r="CV170" s="135"/>
      <c r="CW170" s="135"/>
      <c r="CX170" s="135"/>
      <c r="CY170" s="135"/>
      <c r="CZ170" s="135"/>
      <c r="DA170" s="135"/>
      <c r="DB170" s="135"/>
      <c r="DC170" s="135"/>
      <c r="DD170" s="135"/>
      <c r="DE170" s="135"/>
      <c r="DF170" s="135"/>
      <c r="DG170" s="135"/>
      <c r="DH170" s="135"/>
      <c r="DI170" s="135"/>
      <c r="DJ170" s="135"/>
      <c r="DK170" s="135"/>
      <c r="DL170" s="135"/>
      <c r="DX170" s="135"/>
      <c r="DY170" s="135"/>
      <c r="DZ170" s="135"/>
      <c r="EA170" s="135"/>
      <c r="EB170" s="135"/>
      <c r="EC170" s="135"/>
      <c r="ED170" s="135"/>
      <c r="EE170" s="135"/>
      <c r="EF170" s="135"/>
      <c r="EG170" s="135"/>
      <c r="EH170" s="135"/>
      <c r="EI170" s="135"/>
      <c r="EJ170" s="135"/>
      <c r="EK170" s="135"/>
      <c r="EL170" s="135"/>
      <c r="EM170" s="135"/>
      <c r="EN170" s="135"/>
      <c r="EO170" s="135"/>
      <c r="EP170" s="135"/>
      <c r="EQ170" s="135"/>
      <c r="ER170" s="135"/>
      <c r="ES170" s="135"/>
      <c r="ET170" s="135"/>
      <c r="EU170" s="135"/>
      <c r="EV170" s="135"/>
      <c r="EW170" s="135"/>
      <c r="EX170" s="135"/>
      <c r="EY170" s="135"/>
      <c r="EZ170" s="135"/>
      <c r="FA170" s="135"/>
      <c r="FB170" s="135"/>
      <c r="FC170" s="135"/>
      <c r="FD170" s="135"/>
      <c r="FE170" s="135"/>
      <c r="FF170" s="135"/>
      <c r="FG170" s="135"/>
    </row>
    <row r="171" spans="1:163" s="57" customFormat="1" ht="11.25" outlineLevel="1">
      <c r="A171" s="765">
        <f t="shared" si="150"/>
        <v>7</v>
      </c>
      <c r="B171" s="715" cm="1">
        <f t="array" aca="1" ref="B171" ca="1">INDIRECT("'Definition of Typical Day'!"&amp;ADDRESS(B$16,$E171))</f>
        <v>7</v>
      </c>
      <c r="C171" s="766">
        <f t="shared" si="151"/>
        <v>7</v>
      </c>
      <c r="D171" s="715">
        <f t="shared" si="151"/>
        <v>41</v>
      </c>
      <c r="E171" s="715">
        <f t="shared" si="152"/>
        <v>11</v>
      </c>
      <c r="F171" s="767" cm="1">
        <f t="array" aca="1" ref="F171" ca="1">INDIRECT("'Definition of Typical Day'!D"&amp;D171)</f>
        <v>7</v>
      </c>
      <c r="G171" s="767" cm="1">
        <f t="array" aca="1" ref="G171" ca="1">INDIRECT("'Definition of Typical Day'!"&amp;ADDRESS(13,E171))</f>
        <v>7</v>
      </c>
      <c r="H171" s="768" cm="1">
        <f t="array" aca="1" ref="H171" ca="1">INDIRECT("'Definition of Typical Day'!"&amp; ADDRESS($D171+28*(H$16-1),$E171))</f>
        <v>0</v>
      </c>
      <c r="I171" s="715" cm="1">
        <f t="array" aca="1" ref="I171" ca="1">INDIRECT("'Definition of Typical Day'!"&amp; ADDRESS($D171+29*(I$16-1),$E171))</f>
        <v>0</v>
      </c>
      <c r="J171" s="715">
        <f t="shared" ca="1" si="178"/>
        <v>0</v>
      </c>
      <c r="K171" s="785">
        <f t="shared" si="179"/>
        <v>28</v>
      </c>
      <c r="L171" s="786" cm="1">
        <f t="array" aca="1" ref="L171" ca="1">INDIRECT("'Definition of Typical Day'!"&amp; ADDRESS($D171+29*(L$16-1),$E171))</f>
        <v>0</v>
      </c>
      <c r="M171" s="768" cm="1">
        <f t="array" aca="1" ref="M171" ca="1">INDIRECT("'Definition of Typical Day'!"&amp; ADDRESS($D171+29*(M$16-1),$E171))</f>
        <v>0</v>
      </c>
      <c r="N171" s="715">
        <f t="shared" si="180"/>
        <v>3</v>
      </c>
      <c r="O171" s="715">
        <f t="shared" ca="1" si="181"/>
        <v>3</v>
      </c>
      <c r="P171" s="715" cm="1">
        <f t="array" aca="1" ref="P171" ca="1">INDIRECT("'Definition of Typical Day'!"&amp; ADDRESS($D171+29*(P$16-1),$E171))</f>
        <v>0</v>
      </c>
      <c r="Q171" s="787">
        <f t="shared" ca="1" si="182"/>
        <v>3</v>
      </c>
      <c r="R171" s="792">
        <f t="shared" ca="1" si="183"/>
        <v>3</v>
      </c>
      <c r="S171" s="769">
        <f t="shared" si="184"/>
        <v>3</v>
      </c>
      <c r="T171" s="769">
        <f t="shared" ca="1" si="185"/>
        <v>-0.5</v>
      </c>
      <c r="U171" s="769">
        <f t="shared" ca="1" si="186"/>
        <v>2.262</v>
      </c>
      <c r="V171" s="769">
        <f t="shared" ca="1" si="187"/>
        <v>0</v>
      </c>
      <c r="W171" s="769">
        <f t="shared" ca="1" si="188"/>
        <v>4.7620000000000005</v>
      </c>
      <c r="X171" s="794">
        <f t="shared" si="189"/>
        <v>3</v>
      </c>
      <c r="Y171" s="769">
        <f t="shared" ca="1" si="190"/>
        <v>0.54772255750516607</v>
      </c>
      <c r="Z171" s="769">
        <f t="shared" ca="1" si="191"/>
        <v>0</v>
      </c>
      <c r="AA171" s="795">
        <f t="shared" ca="1" si="192"/>
        <v>0</v>
      </c>
      <c r="AB171" s="769">
        <f t="shared" ca="1" si="193"/>
        <v>0</v>
      </c>
      <c r="AC171" s="769">
        <f t="shared" ca="1" si="194"/>
        <v>0</v>
      </c>
      <c r="AD171" s="769">
        <f t="shared" ca="1" si="195"/>
        <v>0</v>
      </c>
      <c r="AE171" s="794">
        <f t="shared" ca="1" si="196"/>
        <v>0</v>
      </c>
      <c r="AF171" s="769">
        <f t="shared" ca="1" si="197"/>
        <v>0</v>
      </c>
      <c r="AG171" s="769">
        <f t="shared" ca="1" si="198"/>
        <v>0</v>
      </c>
      <c r="AH171" s="799">
        <f t="shared" ca="1" si="199"/>
        <v>0</v>
      </c>
      <c r="AI171" s="801">
        <f t="shared" ca="1" si="200"/>
        <v>1</v>
      </c>
      <c r="AJ171" s="794">
        <f t="shared" ca="1" si="201"/>
        <v>0</v>
      </c>
      <c r="AK171" s="769">
        <f t="shared" ca="1" si="202"/>
        <v>0</v>
      </c>
      <c r="AL171" s="769">
        <f t="shared" ca="1" si="203"/>
        <v>0</v>
      </c>
      <c r="AM171" s="804">
        <f t="shared" ca="1" si="153"/>
        <v>0</v>
      </c>
      <c r="AN171" s="795">
        <f t="shared" ca="1" si="154"/>
        <v>0</v>
      </c>
      <c r="AO171" s="251"/>
      <c r="AP171" s="770">
        <f t="shared" si="204"/>
        <v>0</v>
      </c>
      <c r="AQ171" s="771">
        <f t="shared" ca="1" si="205"/>
        <v>0</v>
      </c>
      <c r="AR171" s="771">
        <f t="shared" ca="1" si="206"/>
        <v>0</v>
      </c>
      <c r="AS171" s="772">
        <f t="shared" ca="1" si="207"/>
        <v>0</v>
      </c>
      <c r="AT171" s="231"/>
      <c r="AU171" s="770">
        <f>'Main Results - IRR DC Operator'!$F$16</f>
        <v>2</v>
      </c>
      <c r="AV171" s="773">
        <f>'Main Results - IRR DC Operator'!$F$15</f>
        <v>1</v>
      </c>
      <c r="AW171" s="771">
        <f t="shared" ca="1" si="208"/>
        <v>0</v>
      </c>
      <c r="AX171" s="772">
        <f t="shared" si="209"/>
        <v>0</v>
      </c>
      <c r="AY171" s="231"/>
      <c r="AZ171" s="770" cm="1">
        <f t="array" aca="1" ref="AZ171" ca="1">INDIRECT("'Definition of Typical Day'!"&amp; ADDRESS($D171+29*(AZ$16-1),$E171))+$AZ$17</f>
        <v>11</v>
      </c>
      <c r="BA171" s="771" cm="1">
        <f t="array" aca="1" ref="BA171" ca="1">INDIRECT("'Definition of Typical Day'!"&amp; ADDRESS($D171+29*(BA$16-1),$E171))+$BA$17</f>
        <v>11</v>
      </c>
      <c r="BB171" s="772" cm="1">
        <f t="array" aca="1" ref="BB171" ca="1">INDIRECT("'Definition of Typical Day'!"&amp;ADDRESS(BB$16,$E171))</f>
        <v>0</v>
      </c>
      <c r="BC171" s="776" cm="1">
        <f t="array" aca="1" ref="BC171" ca="1">INDIRECT("'Definition of Typical Day'!"&amp; ADDRESS($D171+29*(BC$16-1),$E171))</f>
        <v>0</v>
      </c>
      <c r="BD171" s="777" cm="1">
        <f t="array" aca="1" ref="BD171" ca="1">INDIRECT("'Definition of Typical Day'!"&amp; ADDRESS($D171+29*(BD$16-1),$E171))</f>
        <v>0</v>
      </c>
      <c r="BE171" s="776">
        <f t="shared" si="210"/>
        <v>0</v>
      </c>
      <c r="BF171" s="771">
        <f t="shared" ca="1" si="211"/>
        <v>0</v>
      </c>
      <c r="BG171" s="771">
        <f t="shared" ca="1" si="212"/>
        <v>0</v>
      </c>
      <c r="BH171" s="771">
        <f t="shared" ca="1" si="213"/>
        <v>0</v>
      </c>
      <c r="BI171" s="776">
        <f t="shared" ca="1" si="214"/>
        <v>0</v>
      </c>
      <c r="BJ171" s="776">
        <f t="shared" ca="1" si="215"/>
        <v>0</v>
      </c>
      <c r="BK171" s="776">
        <f t="shared" ca="1" si="216"/>
        <v>0</v>
      </c>
      <c r="BL171" s="776">
        <f t="shared" ca="1" si="217"/>
        <v>0</v>
      </c>
      <c r="BM171" s="135"/>
      <c r="BN171" s="776">
        <f t="shared" ca="1" si="218"/>
        <v>0</v>
      </c>
      <c r="BO171" s="778">
        <f t="shared" ca="1" si="155"/>
        <v>0</v>
      </c>
      <c r="BP171" s="770">
        <f t="shared" ca="1" si="156"/>
        <v>0</v>
      </c>
      <c r="BQ171" s="771">
        <f t="shared" ca="1" si="157"/>
        <v>0</v>
      </c>
      <c r="BR171" s="771">
        <f t="shared" ca="1" si="158"/>
        <v>0</v>
      </c>
      <c r="BS171" s="776">
        <f t="shared" ca="1" si="219"/>
        <v>0</v>
      </c>
      <c r="BT171" s="776">
        <f t="shared" ca="1" si="159"/>
        <v>0</v>
      </c>
      <c r="BU171" s="783">
        <f t="shared" ca="1" si="160"/>
        <v>0</v>
      </c>
      <c r="BV171" s="783">
        <f t="shared" ca="1" si="161"/>
        <v>0</v>
      </c>
      <c r="BW171" s="1019">
        <f t="shared" ca="1" si="220"/>
        <v>0</v>
      </c>
      <c r="BX171" s="771" cm="1">
        <f t="array" aca="1" ref="BX171" ca="1">INDIRECT("'Definition of Typical Day'!"&amp; ADDRESS($D171+29*(BX$16-1),$E171))</f>
        <v>0</v>
      </c>
      <c r="BY171" s="771">
        <f t="shared" ca="1" si="221"/>
        <v>0</v>
      </c>
      <c r="BZ171" s="781">
        <f t="shared" ca="1" si="162"/>
        <v>0</v>
      </c>
      <c r="CA171" s="781">
        <f t="shared" ca="1" si="163"/>
        <v>0</v>
      </c>
      <c r="CB171" s="776">
        <f t="shared" ca="1" si="164"/>
        <v>0</v>
      </c>
      <c r="CC171" s="782">
        <f t="shared" si="165"/>
        <v>7</v>
      </c>
      <c r="CD171" s="782">
        <f t="shared" si="166"/>
        <v>7</v>
      </c>
      <c r="CE171" s="784" cm="1">
        <f t="array" aca="1" ref="CE171" ca="1">INDIRECT("'Definition of Typical Day'!"&amp;ADDRESS(CE$16,$E171))</f>
        <v>7</v>
      </c>
      <c r="CF171" s="232"/>
      <c r="CG171" s="232"/>
      <c r="CH171" s="776">
        <f t="shared" ca="1" si="167"/>
        <v>0</v>
      </c>
      <c r="CI171" s="806">
        <f t="shared" ca="1" si="168"/>
        <v>0</v>
      </c>
      <c r="CJ171" s="770">
        <f t="shared" ca="1" si="169"/>
        <v>0</v>
      </c>
      <c r="CK171" s="771">
        <f t="shared" ca="1" si="170"/>
        <v>0</v>
      </c>
      <c r="CL171" s="771">
        <f t="shared" ca="1" si="171"/>
        <v>0</v>
      </c>
      <c r="CM171" s="772">
        <f t="shared" ca="1" si="172"/>
        <v>0</v>
      </c>
      <c r="CN171" s="135"/>
      <c r="CO171" s="770">
        <f t="shared" ca="1" si="222"/>
        <v>1.05</v>
      </c>
      <c r="CP171" s="771">
        <f t="shared" ca="1" si="173"/>
        <v>0.02</v>
      </c>
      <c r="CQ171" s="771">
        <f t="shared" ca="1" si="174"/>
        <v>-2.5000000000000001E-2</v>
      </c>
      <c r="CR171" s="771">
        <f t="shared" ca="1" si="175"/>
        <v>0.95</v>
      </c>
      <c r="CS171" s="771">
        <f t="shared" ca="1" si="176"/>
        <v>0.03</v>
      </c>
      <c r="CT171" s="772">
        <f t="shared" ca="1" si="177"/>
        <v>0.02</v>
      </c>
      <c r="CU171" s="135"/>
      <c r="CV171" s="135"/>
      <c r="CW171" s="135"/>
      <c r="CX171" s="135"/>
      <c r="CY171" s="135"/>
      <c r="CZ171" s="135"/>
      <c r="DA171" s="135"/>
      <c r="DB171" s="135"/>
      <c r="DC171" s="135"/>
      <c r="DD171" s="135"/>
      <c r="DE171" s="135"/>
      <c r="DF171" s="135"/>
      <c r="DG171" s="135"/>
      <c r="DH171" s="135"/>
      <c r="DI171" s="135"/>
      <c r="DJ171" s="135"/>
      <c r="DK171" s="135"/>
      <c r="DL171" s="135"/>
      <c r="DX171" s="135"/>
      <c r="DY171" s="135"/>
      <c r="DZ171" s="135"/>
      <c r="EA171" s="135"/>
      <c r="EB171" s="135"/>
      <c r="EC171" s="135"/>
      <c r="ED171" s="135"/>
      <c r="EE171" s="135"/>
      <c r="EF171" s="135"/>
      <c r="EG171" s="135"/>
      <c r="EH171" s="135"/>
      <c r="EI171" s="135"/>
      <c r="EJ171" s="135"/>
      <c r="EK171" s="135"/>
      <c r="EL171" s="135"/>
      <c r="EM171" s="135"/>
      <c r="EN171" s="135"/>
      <c r="EO171" s="135"/>
      <c r="EP171" s="135"/>
      <c r="EQ171" s="135"/>
      <c r="ER171" s="135"/>
      <c r="ES171" s="135"/>
      <c r="ET171" s="135"/>
      <c r="EU171" s="135"/>
      <c r="EV171" s="135"/>
      <c r="EW171" s="135"/>
      <c r="EX171" s="135"/>
      <c r="EY171" s="135"/>
      <c r="EZ171" s="135"/>
      <c r="FA171" s="135"/>
      <c r="FB171" s="135"/>
      <c r="FC171" s="135"/>
      <c r="FD171" s="135"/>
      <c r="FE171" s="135"/>
      <c r="FF171" s="135"/>
      <c r="FG171" s="135"/>
    </row>
    <row r="172" spans="1:163" s="57" customFormat="1" ht="11.25" outlineLevel="1">
      <c r="A172" s="765">
        <f t="shared" si="150"/>
        <v>7</v>
      </c>
      <c r="B172" s="715" cm="1">
        <f t="array" aca="1" ref="B172" ca="1">INDIRECT("'Definition of Typical Day'!"&amp;ADDRESS(B$16,$E172))</f>
        <v>7</v>
      </c>
      <c r="C172" s="766">
        <f t="shared" si="151"/>
        <v>8</v>
      </c>
      <c r="D172" s="715">
        <f t="shared" si="151"/>
        <v>42</v>
      </c>
      <c r="E172" s="715">
        <f t="shared" si="152"/>
        <v>11</v>
      </c>
      <c r="F172" s="767" cm="1">
        <f t="array" aca="1" ref="F172" ca="1">INDIRECT("'Definition of Typical Day'!D"&amp;D172)</f>
        <v>8</v>
      </c>
      <c r="G172" s="767" cm="1">
        <f t="array" aca="1" ref="G172" ca="1">INDIRECT("'Definition of Typical Day'!"&amp;ADDRESS(13,E172))</f>
        <v>7</v>
      </c>
      <c r="H172" s="768" cm="1">
        <f t="array" aca="1" ref="H172" ca="1">INDIRECT("'Definition of Typical Day'!"&amp; ADDRESS($D172+28*(H$16-1),$E172))</f>
        <v>0</v>
      </c>
      <c r="I172" s="715" cm="1">
        <f t="array" aca="1" ref="I172" ca="1">INDIRECT("'Definition of Typical Day'!"&amp; ADDRESS($D172+29*(I$16-1),$E172))</f>
        <v>0</v>
      </c>
      <c r="J172" s="715">
        <f t="shared" ca="1" si="178"/>
        <v>0</v>
      </c>
      <c r="K172" s="785">
        <f t="shared" si="179"/>
        <v>28</v>
      </c>
      <c r="L172" s="786" cm="1">
        <f t="array" aca="1" ref="L172" ca="1">INDIRECT("'Definition of Typical Day'!"&amp; ADDRESS($D172+29*(L$16-1),$E172))</f>
        <v>0</v>
      </c>
      <c r="M172" s="768" cm="1">
        <f t="array" aca="1" ref="M172" ca="1">INDIRECT("'Definition of Typical Day'!"&amp; ADDRESS($D172+29*(M$16-1),$E172))</f>
        <v>0</v>
      </c>
      <c r="N172" s="715">
        <f t="shared" si="180"/>
        <v>3</v>
      </c>
      <c r="O172" s="715">
        <f t="shared" ca="1" si="181"/>
        <v>3</v>
      </c>
      <c r="P172" s="715" cm="1">
        <f t="array" aca="1" ref="P172" ca="1">INDIRECT("'Definition of Typical Day'!"&amp; ADDRESS($D172+29*(P$16-1),$E172))</f>
        <v>0</v>
      </c>
      <c r="Q172" s="787">
        <f t="shared" ca="1" si="182"/>
        <v>3</v>
      </c>
      <c r="R172" s="792">
        <f t="shared" ca="1" si="183"/>
        <v>3</v>
      </c>
      <c r="S172" s="769">
        <f t="shared" si="184"/>
        <v>3</v>
      </c>
      <c r="T172" s="769">
        <f t="shared" ca="1" si="185"/>
        <v>-0.5</v>
      </c>
      <c r="U172" s="769">
        <f t="shared" ca="1" si="186"/>
        <v>2.262</v>
      </c>
      <c r="V172" s="769">
        <f t="shared" ca="1" si="187"/>
        <v>0</v>
      </c>
      <c r="W172" s="769">
        <f t="shared" ca="1" si="188"/>
        <v>4.7620000000000005</v>
      </c>
      <c r="X172" s="794">
        <f t="shared" si="189"/>
        <v>3</v>
      </c>
      <c r="Y172" s="769">
        <f t="shared" ca="1" si="190"/>
        <v>0.54772255750516607</v>
      </c>
      <c r="Z172" s="769">
        <f t="shared" ca="1" si="191"/>
        <v>0</v>
      </c>
      <c r="AA172" s="795">
        <f t="shared" ca="1" si="192"/>
        <v>0</v>
      </c>
      <c r="AB172" s="769">
        <f t="shared" ca="1" si="193"/>
        <v>0</v>
      </c>
      <c r="AC172" s="769">
        <f t="shared" ca="1" si="194"/>
        <v>0</v>
      </c>
      <c r="AD172" s="769">
        <f t="shared" ca="1" si="195"/>
        <v>0</v>
      </c>
      <c r="AE172" s="794">
        <f t="shared" ca="1" si="196"/>
        <v>0</v>
      </c>
      <c r="AF172" s="769">
        <f t="shared" ca="1" si="197"/>
        <v>0</v>
      </c>
      <c r="AG172" s="769">
        <f t="shared" ca="1" si="198"/>
        <v>0</v>
      </c>
      <c r="AH172" s="799">
        <f t="shared" ca="1" si="199"/>
        <v>0</v>
      </c>
      <c r="AI172" s="801">
        <f t="shared" ca="1" si="200"/>
        <v>1</v>
      </c>
      <c r="AJ172" s="794">
        <f t="shared" ca="1" si="201"/>
        <v>0</v>
      </c>
      <c r="AK172" s="769">
        <f t="shared" ca="1" si="202"/>
        <v>0</v>
      </c>
      <c r="AL172" s="769">
        <f t="shared" ca="1" si="203"/>
        <v>0</v>
      </c>
      <c r="AM172" s="804">
        <f t="shared" ca="1" si="153"/>
        <v>0</v>
      </c>
      <c r="AN172" s="795">
        <f t="shared" ca="1" si="154"/>
        <v>0</v>
      </c>
      <c r="AO172" s="251"/>
      <c r="AP172" s="770">
        <f t="shared" si="204"/>
        <v>0</v>
      </c>
      <c r="AQ172" s="771">
        <f t="shared" ca="1" si="205"/>
        <v>0</v>
      </c>
      <c r="AR172" s="771">
        <f t="shared" ca="1" si="206"/>
        <v>0</v>
      </c>
      <c r="AS172" s="772">
        <f t="shared" ca="1" si="207"/>
        <v>0</v>
      </c>
      <c r="AT172" s="231"/>
      <c r="AU172" s="770">
        <f>'Main Results - IRR DC Operator'!$F$16</f>
        <v>2</v>
      </c>
      <c r="AV172" s="773">
        <f>'Main Results - IRR DC Operator'!$F$15</f>
        <v>1</v>
      </c>
      <c r="AW172" s="771">
        <f t="shared" ca="1" si="208"/>
        <v>0</v>
      </c>
      <c r="AX172" s="772">
        <f t="shared" si="209"/>
        <v>0</v>
      </c>
      <c r="AY172" s="231"/>
      <c r="AZ172" s="770" cm="1">
        <f t="array" aca="1" ref="AZ172" ca="1">INDIRECT("'Definition of Typical Day'!"&amp; ADDRESS($D172+29*(AZ$16-1),$E172))+$AZ$17</f>
        <v>11</v>
      </c>
      <c r="BA172" s="771" cm="1">
        <f t="array" aca="1" ref="BA172" ca="1">INDIRECT("'Definition of Typical Day'!"&amp; ADDRESS($D172+29*(BA$16-1),$E172))+$BA$17</f>
        <v>11</v>
      </c>
      <c r="BB172" s="772" cm="1">
        <f t="array" aca="1" ref="BB172" ca="1">INDIRECT("'Definition of Typical Day'!"&amp;ADDRESS(BB$16,$E172))</f>
        <v>0</v>
      </c>
      <c r="BC172" s="776" cm="1">
        <f t="array" aca="1" ref="BC172" ca="1">INDIRECT("'Definition of Typical Day'!"&amp; ADDRESS($D172+29*(BC$16-1),$E172))</f>
        <v>0</v>
      </c>
      <c r="BD172" s="777" cm="1">
        <f t="array" aca="1" ref="BD172" ca="1">INDIRECT("'Definition of Typical Day'!"&amp; ADDRESS($D172+29*(BD$16-1),$E172))</f>
        <v>0</v>
      </c>
      <c r="BE172" s="776">
        <f t="shared" si="210"/>
        <v>0</v>
      </c>
      <c r="BF172" s="771">
        <f t="shared" ca="1" si="211"/>
        <v>0</v>
      </c>
      <c r="BG172" s="771">
        <f t="shared" ca="1" si="212"/>
        <v>0</v>
      </c>
      <c r="BH172" s="771">
        <f t="shared" ca="1" si="213"/>
        <v>0</v>
      </c>
      <c r="BI172" s="776">
        <f t="shared" ca="1" si="214"/>
        <v>0</v>
      </c>
      <c r="BJ172" s="776">
        <f t="shared" ca="1" si="215"/>
        <v>0</v>
      </c>
      <c r="BK172" s="776">
        <f t="shared" ca="1" si="216"/>
        <v>0</v>
      </c>
      <c r="BL172" s="776">
        <f t="shared" ca="1" si="217"/>
        <v>0</v>
      </c>
      <c r="BM172" s="135"/>
      <c r="BN172" s="776">
        <f t="shared" ca="1" si="218"/>
        <v>0</v>
      </c>
      <c r="BO172" s="778">
        <f t="shared" ca="1" si="155"/>
        <v>0</v>
      </c>
      <c r="BP172" s="770">
        <f t="shared" ca="1" si="156"/>
        <v>0</v>
      </c>
      <c r="BQ172" s="771">
        <f t="shared" ca="1" si="157"/>
        <v>0</v>
      </c>
      <c r="BR172" s="771">
        <f t="shared" ca="1" si="158"/>
        <v>0</v>
      </c>
      <c r="BS172" s="776">
        <f t="shared" ca="1" si="219"/>
        <v>0</v>
      </c>
      <c r="BT172" s="776">
        <f t="shared" ca="1" si="159"/>
        <v>0</v>
      </c>
      <c r="BU172" s="783">
        <f t="shared" ca="1" si="160"/>
        <v>0</v>
      </c>
      <c r="BV172" s="783">
        <f t="shared" ca="1" si="161"/>
        <v>0</v>
      </c>
      <c r="BW172" s="1019">
        <f t="shared" ca="1" si="220"/>
        <v>0</v>
      </c>
      <c r="BX172" s="771" cm="1">
        <f t="array" aca="1" ref="BX172" ca="1">INDIRECT("'Definition of Typical Day'!"&amp; ADDRESS($D172+29*(BX$16-1),$E172))</f>
        <v>0</v>
      </c>
      <c r="BY172" s="771">
        <f t="shared" ca="1" si="221"/>
        <v>0</v>
      </c>
      <c r="BZ172" s="781">
        <f t="shared" ca="1" si="162"/>
        <v>0</v>
      </c>
      <c r="CA172" s="781">
        <f t="shared" ca="1" si="163"/>
        <v>0</v>
      </c>
      <c r="CB172" s="776">
        <f t="shared" ca="1" si="164"/>
        <v>0</v>
      </c>
      <c r="CC172" s="782">
        <f t="shared" si="165"/>
        <v>7</v>
      </c>
      <c r="CD172" s="782">
        <f t="shared" si="166"/>
        <v>8</v>
      </c>
      <c r="CE172" s="784" cm="1">
        <f t="array" aca="1" ref="CE172" ca="1">INDIRECT("'Definition of Typical Day'!"&amp;ADDRESS(CE$16,$E172))</f>
        <v>7</v>
      </c>
      <c r="CF172" s="232"/>
      <c r="CG172" s="232"/>
      <c r="CH172" s="776">
        <f t="shared" ca="1" si="167"/>
        <v>0</v>
      </c>
      <c r="CI172" s="806">
        <f t="shared" ca="1" si="168"/>
        <v>0</v>
      </c>
      <c r="CJ172" s="770">
        <f t="shared" ca="1" si="169"/>
        <v>0</v>
      </c>
      <c r="CK172" s="771">
        <f t="shared" ca="1" si="170"/>
        <v>0</v>
      </c>
      <c r="CL172" s="771">
        <f t="shared" ca="1" si="171"/>
        <v>0</v>
      </c>
      <c r="CM172" s="772">
        <f t="shared" ca="1" si="172"/>
        <v>0</v>
      </c>
      <c r="CN172" s="135"/>
      <c r="CO172" s="770">
        <f t="shared" ca="1" si="222"/>
        <v>1.05</v>
      </c>
      <c r="CP172" s="771">
        <f t="shared" ca="1" si="173"/>
        <v>0.02</v>
      </c>
      <c r="CQ172" s="771">
        <f t="shared" ca="1" si="174"/>
        <v>-2.5000000000000001E-2</v>
      </c>
      <c r="CR172" s="771">
        <f t="shared" ca="1" si="175"/>
        <v>0.95</v>
      </c>
      <c r="CS172" s="771">
        <f t="shared" ca="1" si="176"/>
        <v>0.03</v>
      </c>
      <c r="CT172" s="772">
        <f t="shared" ca="1" si="177"/>
        <v>0.02</v>
      </c>
      <c r="CU172" s="135"/>
      <c r="CV172" s="135"/>
      <c r="CW172" s="135"/>
      <c r="CX172" s="135"/>
      <c r="CY172" s="135"/>
      <c r="CZ172" s="135"/>
      <c r="DA172" s="135"/>
      <c r="DB172" s="135"/>
      <c r="DC172" s="135"/>
      <c r="DD172" s="135"/>
      <c r="DE172" s="135"/>
      <c r="DF172" s="135"/>
      <c r="DG172" s="135"/>
      <c r="DH172" s="135"/>
      <c r="DI172" s="135"/>
      <c r="DJ172" s="135"/>
      <c r="DK172" s="135"/>
      <c r="DL172" s="135"/>
      <c r="DX172" s="135"/>
      <c r="DY172" s="135"/>
      <c r="DZ172" s="135"/>
      <c r="EA172" s="135"/>
      <c r="EB172" s="135"/>
      <c r="EC172" s="135"/>
      <c r="ED172" s="135"/>
      <c r="EE172" s="135"/>
      <c r="EF172" s="135"/>
      <c r="EG172" s="135"/>
      <c r="EH172" s="135"/>
      <c r="EI172" s="135"/>
      <c r="EJ172" s="135"/>
      <c r="EK172" s="135"/>
      <c r="EL172" s="135"/>
      <c r="EM172" s="135"/>
      <c r="EN172" s="135"/>
      <c r="EO172" s="135"/>
      <c r="EP172" s="135"/>
      <c r="EQ172" s="135"/>
      <c r="ER172" s="135"/>
      <c r="ES172" s="135"/>
      <c r="ET172" s="135"/>
      <c r="EU172" s="135"/>
      <c r="EV172" s="135"/>
      <c r="EW172" s="135"/>
      <c r="EX172" s="135"/>
      <c r="EY172" s="135"/>
      <c r="EZ172" s="135"/>
      <c r="FA172" s="135"/>
      <c r="FB172" s="135"/>
      <c r="FC172" s="135"/>
      <c r="FD172" s="135"/>
      <c r="FE172" s="135"/>
      <c r="FF172" s="135"/>
      <c r="FG172" s="135"/>
    </row>
    <row r="173" spans="1:163" s="57" customFormat="1" ht="11.25" outlineLevel="1">
      <c r="A173" s="765">
        <f t="shared" si="150"/>
        <v>7</v>
      </c>
      <c r="B173" s="715" cm="1">
        <f t="array" aca="1" ref="B173" ca="1">INDIRECT("'Definition of Typical Day'!"&amp;ADDRESS(B$16,$E173))</f>
        <v>7</v>
      </c>
      <c r="C173" s="766">
        <f t="shared" si="151"/>
        <v>9</v>
      </c>
      <c r="D173" s="715">
        <f t="shared" si="151"/>
        <v>43</v>
      </c>
      <c r="E173" s="715">
        <f t="shared" si="152"/>
        <v>11</v>
      </c>
      <c r="F173" s="767" cm="1">
        <f t="array" aca="1" ref="F173" ca="1">INDIRECT("'Definition of Typical Day'!D"&amp;D173)</f>
        <v>9</v>
      </c>
      <c r="G173" s="767" cm="1">
        <f t="array" aca="1" ref="G173" ca="1">INDIRECT("'Definition of Typical Day'!"&amp;ADDRESS(13,E173))</f>
        <v>7</v>
      </c>
      <c r="H173" s="768" cm="1">
        <f t="array" aca="1" ref="H173" ca="1">INDIRECT("'Definition of Typical Day'!"&amp; ADDRESS($D173+28*(H$16-1),$E173))</f>
        <v>0</v>
      </c>
      <c r="I173" s="715" cm="1">
        <f t="array" aca="1" ref="I173" ca="1">INDIRECT("'Definition of Typical Day'!"&amp; ADDRESS($D173+29*(I$16-1),$E173))</f>
        <v>0</v>
      </c>
      <c r="J173" s="715">
        <f t="shared" ca="1" si="178"/>
        <v>0</v>
      </c>
      <c r="K173" s="785">
        <f t="shared" si="179"/>
        <v>28</v>
      </c>
      <c r="L173" s="786" cm="1">
        <f t="array" aca="1" ref="L173" ca="1">INDIRECT("'Definition of Typical Day'!"&amp; ADDRESS($D173+29*(L$16-1),$E173))</f>
        <v>0</v>
      </c>
      <c r="M173" s="768" cm="1">
        <f t="array" aca="1" ref="M173" ca="1">INDIRECT("'Definition of Typical Day'!"&amp; ADDRESS($D173+29*(M$16-1),$E173))</f>
        <v>0</v>
      </c>
      <c r="N173" s="715">
        <f t="shared" si="180"/>
        <v>3</v>
      </c>
      <c r="O173" s="715">
        <f t="shared" ca="1" si="181"/>
        <v>3</v>
      </c>
      <c r="P173" s="715" cm="1">
        <f t="array" aca="1" ref="P173" ca="1">INDIRECT("'Definition of Typical Day'!"&amp; ADDRESS($D173+29*(P$16-1),$E173))</f>
        <v>0</v>
      </c>
      <c r="Q173" s="787">
        <f t="shared" ca="1" si="182"/>
        <v>3</v>
      </c>
      <c r="R173" s="792">
        <f t="shared" ca="1" si="183"/>
        <v>3</v>
      </c>
      <c r="S173" s="769">
        <f t="shared" si="184"/>
        <v>3</v>
      </c>
      <c r="T173" s="769">
        <f t="shared" ca="1" si="185"/>
        <v>-0.5</v>
      </c>
      <c r="U173" s="769">
        <f t="shared" ca="1" si="186"/>
        <v>2.262</v>
      </c>
      <c r="V173" s="769">
        <f t="shared" ca="1" si="187"/>
        <v>0</v>
      </c>
      <c r="W173" s="769">
        <f t="shared" ca="1" si="188"/>
        <v>4.7620000000000005</v>
      </c>
      <c r="X173" s="794">
        <f t="shared" si="189"/>
        <v>3</v>
      </c>
      <c r="Y173" s="769">
        <f t="shared" ca="1" si="190"/>
        <v>0.54772255750516607</v>
      </c>
      <c r="Z173" s="769">
        <f t="shared" ca="1" si="191"/>
        <v>0</v>
      </c>
      <c r="AA173" s="795">
        <f t="shared" ca="1" si="192"/>
        <v>0</v>
      </c>
      <c r="AB173" s="769">
        <f t="shared" ca="1" si="193"/>
        <v>0</v>
      </c>
      <c r="AC173" s="769">
        <f t="shared" ca="1" si="194"/>
        <v>0</v>
      </c>
      <c r="AD173" s="769">
        <f t="shared" ca="1" si="195"/>
        <v>0</v>
      </c>
      <c r="AE173" s="794">
        <f t="shared" ca="1" si="196"/>
        <v>0</v>
      </c>
      <c r="AF173" s="769">
        <f t="shared" ca="1" si="197"/>
        <v>0</v>
      </c>
      <c r="AG173" s="769">
        <f t="shared" ca="1" si="198"/>
        <v>0</v>
      </c>
      <c r="AH173" s="799">
        <f t="shared" ca="1" si="199"/>
        <v>0</v>
      </c>
      <c r="AI173" s="801">
        <f t="shared" ca="1" si="200"/>
        <v>1</v>
      </c>
      <c r="AJ173" s="794">
        <f t="shared" ca="1" si="201"/>
        <v>0</v>
      </c>
      <c r="AK173" s="769">
        <f t="shared" ca="1" si="202"/>
        <v>0</v>
      </c>
      <c r="AL173" s="769">
        <f t="shared" ca="1" si="203"/>
        <v>0</v>
      </c>
      <c r="AM173" s="804">
        <f t="shared" ca="1" si="153"/>
        <v>0</v>
      </c>
      <c r="AN173" s="795">
        <f t="shared" ca="1" si="154"/>
        <v>0</v>
      </c>
      <c r="AO173" s="251"/>
      <c r="AP173" s="770">
        <f t="shared" si="204"/>
        <v>0</v>
      </c>
      <c r="AQ173" s="771">
        <f t="shared" ca="1" si="205"/>
        <v>0</v>
      </c>
      <c r="AR173" s="771">
        <f t="shared" ca="1" si="206"/>
        <v>0</v>
      </c>
      <c r="AS173" s="772">
        <f t="shared" ca="1" si="207"/>
        <v>0</v>
      </c>
      <c r="AT173" s="231"/>
      <c r="AU173" s="770">
        <f>'Main Results - IRR DC Operator'!$F$16</f>
        <v>2</v>
      </c>
      <c r="AV173" s="773">
        <f>'Main Results - IRR DC Operator'!$F$15</f>
        <v>1</v>
      </c>
      <c r="AW173" s="771">
        <f t="shared" ca="1" si="208"/>
        <v>0</v>
      </c>
      <c r="AX173" s="772">
        <f t="shared" si="209"/>
        <v>0</v>
      </c>
      <c r="AY173" s="231"/>
      <c r="AZ173" s="770" cm="1">
        <f t="array" aca="1" ref="AZ173" ca="1">INDIRECT("'Definition of Typical Day'!"&amp; ADDRESS($D173+29*(AZ$16-1),$E173))+$AZ$17</f>
        <v>11</v>
      </c>
      <c r="BA173" s="771" cm="1">
        <f t="array" aca="1" ref="BA173" ca="1">INDIRECT("'Definition of Typical Day'!"&amp; ADDRESS($D173+29*(BA$16-1),$E173))+$BA$17</f>
        <v>11</v>
      </c>
      <c r="BB173" s="772" cm="1">
        <f t="array" aca="1" ref="BB173" ca="1">INDIRECT("'Definition of Typical Day'!"&amp;ADDRESS(BB$16,$E173))</f>
        <v>0</v>
      </c>
      <c r="BC173" s="776" cm="1">
        <f t="array" aca="1" ref="BC173" ca="1">INDIRECT("'Definition of Typical Day'!"&amp; ADDRESS($D173+29*(BC$16-1),$E173))</f>
        <v>0</v>
      </c>
      <c r="BD173" s="777" cm="1">
        <f t="array" aca="1" ref="BD173" ca="1">INDIRECT("'Definition of Typical Day'!"&amp; ADDRESS($D173+29*(BD$16-1),$E173))</f>
        <v>0</v>
      </c>
      <c r="BE173" s="776">
        <f t="shared" si="210"/>
        <v>0</v>
      </c>
      <c r="BF173" s="771">
        <f t="shared" ca="1" si="211"/>
        <v>0</v>
      </c>
      <c r="BG173" s="771">
        <f t="shared" ca="1" si="212"/>
        <v>0</v>
      </c>
      <c r="BH173" s="771">
        <f t="shared" ca="1" si="213"/>
        <v>0</v>
      </c>
      <c r="BI173" s="776">
        <f t="shared" ca="1" si="214"/>
        <v>0</v>
      </c>
      <c r="BJ173" s="776">
        <f t="shared" ca="1" si="215"/>
        <v>0</v>
      </c>
      <c r="BK173" s="776">
        <f t="shared" ca="1" si="216"/>
        <v>0</v>
      </c>
      <c r="BL173" s="776">
        <f t="shared" ca="1" si="217"/>
        <v>0</v>
      </c>
      <c r="BM173" s="135"/>
      <c r="BN173" s="776">
        <f t="shared" ca="1" si="218"/>
        <v>0</v>
      </c>
      <c r="BO173" s="778">
        <f t="shared" ca="1" si="155"/>
        <v>0</v>
      </c>
      <c r="BP173" s="770">
        <f t="shared" ca="1" si="156"/>
        <v>0</v>
      </c>
      <c r="BQ173" s="771">
        <f t="shared" ca="1" si="157"/>
        <v>0</v>
      </c>
      <c r="BR173" s="771">
        <f t="shared" ca="1" si="158"/>
        <v>0</v>
      </c>
      <c r="BS173" s="776">
        <f t="shared" ca="1" si="219"/>
        <v>0</v>
      </c>
      <c r="BT173" s="776">
        <f t="shared" ca="1" si="159"/>
        <v>0</v>
      </c>
      <c r="BU173" s="783">
        <f t="shared" ca="1" si="160"/>
        <v>0</v>
      </c>
      <c r="BV173" s="783">
        <f t="shared" ca="1" si="161"/>
        <v>0</v>
      </c>
      <c r="BW173" s="1019">
        <f t="shared" ca="1" si="220"/>
        <v>0</v>
      </c>
      <c r="BX173" s="771" cm="1">
        <f t="array" aca="1" ref="BX173" ca="1">INDIRECT("'Definition of Typical Day'!"&amp; ADDRESS($D173+29*(BX$16-1),$E173))</f>
        <v>0</v>
      </c>
      <c r="BY173" s="771">
        <f t="shared" ca="1" si="221"/>
        <v>0</v>
      </c>
      <c r="BZ173" s="781">
        <f t="shared" ca="1" si="162"/>
        <v>0</v>
      </c>
      <c r="CA173" s="781">
        <f t="shared" ca="1" si="163"/>
        <v>0</v>
      </c>
      <c r="CB173" s="776">
        <f t="shared" ca="1" si="164"/>
        <v>0</v>
      </c>
      <c r="CC173" s="782">
        <f t="shared" si="165"/>
        <v>7</v>
      </c>
      <c r="CD173" s="782">
        <f t="shared" si="166"/>
        <v>9</v>
      </c>
      <c r="CE173" s="784" cm="1">
        <f t="array" aca="1" ref="CE173" ca="1">INDIRECT("'Definition of Typical Day'!"&amp;ADDRESS(CE$16,$E173))</f>
        <v>7</v>
      </c>
      <c r="CF173" s="232"/>
      <c r="CG173" s="232"/>
      <c r="CH173" s="776">
        <f t="shared" ca="1" si="167"/>
        <v>0</v>
      </c>
      <c r="CI173" s="806">
        <f t="shared" ca="1" si="168"/>
        <v>0</v>
      </c>
      <c r="CJ173" s="770">
        <f t="shared" ca="1" si="169"/>
        <v>0</v>
      </c>
      <c r="CK173" s="771">
        <f t="shared" ca="1" si="170"/>
        <v>0</v>
      </c>
      <c r="CL173" s="771">
        <f t="shared" ca="1" si="171"/>
        <v>0</v>
      </c>
      <c r="CM173" s="772">
        <f t="shared" ca="1" si="172"/>
        <v>0</v>
      </c>
      <c r="CN173" s="135"/>
      <c r="CO173" s="770">
        <f t="shared" ca="1" si="222"/>
        <v>1.05</v>
      </c>
      <c r="CP173" s="771">
        <f t="shared" ca="1" si="173"/>
        <v>0.02</v>
      </c>
      <c r="CQ173" s="771">
        <f t="shared" ca="1" si="174"/>
        <v>-2.5000000000000001E-2</v>
      </c>
      <c r="CR173" s="771">
        <f t="shared" ca="1" si="175"/>
        <v>0.95</v>
      </c>
      <c r="CS173" s="771">
        <f t="shared" ca="1" si="176"/>
        <v>0.03</v>
      </c>
      <c r="CT173" s="772">
        <f t="shared" ca="1" si="177"/>
        <v>0.02</v>
      </c>
      <c r="CU173" s="135"/>
      <c r="CV173" s="135"/>
      <c r="CW173" s="135"/>
      <c r="CX173" s="135"/>
      <c r="CY173" s="135"/>
      <c r="CZ173" s="135"/>
      <c r="DA173" s="135"/>
      <c r="DB173" s="135"/>
      <c r="DC173" s="135"/>
      <c r="DD173" s="135"/>
      <c r="DE173" s="135"/>
      <c r="DF173" s="135"/>
      <c r="DG173" s="135"/>
      <c r="DH173" s="135"/>
      <c r="DI173" s="135"/>
      <c r="DJ173" s="135"/>
      <c r="DK173" s="135"/>
      <c r="DL173" s="135"/>
      <c r="DX173" s="135"/>
      <c r="DY173" s="135"/>
      <c r="DZ173" s="135"/>
      <c r="EA173" s="135"/>
      <c r="EB173" s="135"/>
      <c r="EC173" s="135"/>
      <c r="ED173" s="135"/>
      <c r="EE173" s="135"/>
      <c r="EF173" s="135"/>
      <c r="EG173" s="135"/>
      <c r="EH173" s="135"/>
      <c r="EI173" s="135"/>
      <c r="EJ173" s="135"/>
      <c r="EK173" s="135"/>
      <c r="EL173" s="135"/>
      <c r="EM173" s="135"/>
      <c r="EN173" s="135"/>
      <c r="EO173" s="135"/>
      <c r="EP173" s="135"/>
      <c r="EQ173" s="135"/>
      <c r="ER173" s="135"/>
      <c r="ES173" s="135"/>
      <c r="ET173" s="135"/>
      <c r="EU173" s="135"/>
      <c r="EV173" s="135"/>
      <c r="EW173" s="135"/>
      <c r="EX173" s="135"/>
      <c r="EY173" s="135"/>
      <c r="EZ173" s="135"/>
      <c r="FA173" s="135"/>
      <c r="FB173" s="135"/>
      <c r="FC173" s="135"/>
      <c r="FD173" s="135"/>
      <c r="FE173" s="135"/>
      <c r="FF173" s="135"/>
      <c r="FG173" s="135"/>
    </row>
    <row r="174" spans="1:163" s="57" customFormat="1" ht="11.25" outlineLevel="1">
      <c r="A174" s="765">
        <f t="shared" ref="A174:A237" si="223">A150+1</f>
        <v>7</v>
      </c>
      <c r="B174" s="715" cm="1">
        <f t="array" aca="1" ref="B174" ca="1">INDIRECT("'Definition of Typical Day'!"&amp;ADDRESS(B$16,$E174))</f>
        <v>7</v>
      </c>
      <c r="C174" s="766">
        <f t="shared" ref="C174:D237" si="224">C150</f>
        <v>10</v>
      </c>
      <c r="D174" s="715">
        <f t="shared" si="224"/>
        <v>44</v>
      </c>
      <c r="E174" s="715">
        <f t="shared" si="152"/>
        <v>11</v>
      </c>
      <c r="F174" s="767" cm="1">
        <f t="array" aca="1" ref="F174" ca="1">INDIRECT("'Definition of Typical Day'!D"&amp;D174)</f>
        <v>10</v>
      </c>
      <c r="G174" s="767" cm="1">
        <f t="array" aca="1" ref="G174" ca="1">INDIRECT("'Definition of Typical Day'!"&amp;ADDRESS(13,E174))</f>
        <v>7</v>
      </c>
      <c r="H174" s="768" cm="1">
        <f t="array" aca="1" ref="H174" ca="1">INDIRECT("'Definition of Typical Day'!"&amp; ADDRESS($D174+28*(H$16-1),$E174))</f>
        <v>0</v>
      </c>
      <c r="I174" s="715" cm="1">
        <f t="array" aca="1" ref="I174" ca="1">INDIRECT("'Definition of Typical Day'!"&amp; ADDRESS($D174+29*(I$16-1),$E174))</f>
        <v>0</v>
      </c>
      <c r="J174" s="715">
        <f t="shared" ca="1" si="178"/>
        <v>0</v>
      </c>
      <c r="K174" s="785">
        <f t="shared" si="179"/>
        <v>28</v>
      </c>
      <c r="L174" s="786" cm="1">
        <f t="array" aca="1" ref="L174" ca="1">INDIRECT("'Definition of Typical Day'!"&amp; ADDRESS($D174+29*(L$16-1),$E174))</f>
        <v>0</v>
      </c>
      <c r="M174" s="768" cm="1">
        <f t="array" aca="1" ref="M174" ca="1">INDIRECT("'Definition of Typical Day'!"&amp; ADDRESS($D174+29*(M$16-1),$E174))</f>
        <v>0</v>
      </c>
      <c r="N174" s="715">
        <f t="shared" si="180"/>
        <v>3</v>
      </c>
      <c r="O174" s="715">
        <f t="shared" ca="1" si="181"/>
        <v>3</v>
      </c>
      <c r="P174" s="715" cm="1">
        <f t="array" aca="1" ref="P174" ca="1">INDIRECT("'Definition of Typical Day'!"&amp; ADDRESS($D174+29*(P$16-1),$E174))</f>
        <v>0</v>
      </c>
      <c r="Q174" s="787">
        <f t="shared" ca="1" si="182"/>
        <v>3</v>
      </c>
      <c r="R174" s="792">
        <f t="shared" ca="1" si="183"/>
        <v>3</v>
      </c>
      <c r="S174" s="769">
        <f t="shared" si="184"/>
        <v>3</v>
      </c>
      <c r="T174" s="769">
        <f t="shared" ca="1" si="185"/>
        <v>-0.5</v>
      </c>
      <c r="U174" s="769">
        <f t="shared" ca="1" si="186"/>
        <v>2.262</v>
      </c>
      <c r="V174" s="769">
        <f t="shared" ca="1" si="187"/>
        <v>0</v>
      </c>
      <c r="W174" s="769">
        <f t="shared" ca="1" si="188"/>
        <v>4.7620000000000005</v>
      </c>
      <c r="X174" s="794">
        <f t="shared" si="189"/>
        <v>3</v>
      </c>
      <c r="Y174" s="769">
        <f t="shared" ca="1" si="190"/>
        <v>0.54772255750516607</v>
      </c>
      <c r="Z174" s="769">
        <f t="shared" ca="1" si="191"/>
        <v>0</v>
      </c>
      <c r="AA174" s="795">
        <f t="shared" ca="1" si="192"/>
        <v>0</v>
      </c>
      <c r="AB174" s="769">
        <f t="shared" ca="1" si="193"/>
        <v>0</v>
      </c>
      <c r="AC174" s="769">
        <f t="shared" ca="1" si="194"/>
        <v>0</v>
      </c>
      <c r="AD174" s="769">
        <f t="shared" ca="1" si="195"/>
        <v>0</v>
      </c>
      <c r="AE174" s="794">
        <f t="shared" ca="1" si="196"/>
        <v>0</v>
      </c>
      <c r="AF174" s="769">
        <f t="shared" ca="1" si="197"/>
        <v>0</v>
      </c>
      <c r="AG174" s="769">
        <f t="shared" ca="1" si="198"/>
        <v>0</v>
      </c>
      <c r="AH174" s="799">
        <f t="shared" ca="1" si="199"/>
        <v>0</v>
      </c>
      <c r="AI174" s="801">
        <f t="shared" ca="1" si="200"/>
        <v>1</v>
      </c>
      <c r="AJ174" s="794">
        <f t="shared" ca="1" si="201"/>
        <v>0</v>
      </c>
      <c r="AK174" s="769">
        <f t="shared" ca="1" si="202"/>
        <v>0</v>
      </c>
      <c r="AL174" s="769">
        <f t="shared" ca="1" si="203"/>
        <v>0</v>
      </c>
      <c r="AM174" s="804">
        <f t="shared" ca="1" si="153"/>
        <v>0</v>
      </c>
      <c r="AN174" s="795">
        <f t="shared" ca="1" si="154"/>
        <v>0</v>
      </c>
      <c r="AO174" s="251"/>
      <c r="AP174" s="770">
        <f t="shared" si="204"/>
        <v>0</v>
      </c>
      <c r="AQ174" s="771">
        <f t="shared" ca="1" si="205"/>
        <v>0</v>
      </c>
      <c r="AR174" s="771">
        <f t="shared" ca="1" si="206"/>
        <v>0</v>
      </c>
      <c r="AS174" s="772">
        <f t="shared" ca="1" si="207"/>
        <v>0</v>
      </c>
      <c r="AT174" s="231"/>
      <c r="AU174" s="770">
        <f>'Main Results - IRR DC Operator'!$F$16</f>
        <v>2</v>
      </c>
      <c r="AV174" s="773">
        <f>'Main Results - IRR DC Operator'!$F$15</f>
        <v>1</v>
      </c>
      <c r="AW174" s="771">
        <f t="shared" ca="1" si="208"/>
        <v>0</v>
      </c>
      <c r="AX174" s="772">
        <f t="shared" si="209"/>
        <v>0</v>
      </c>
      <c r="AY174" s="231"/>
      <c r="AZ174" s="770" cm="1">
        <f t="array" aca="1" ref="AZ174" ca="1">INDIRECT("'Definition of Typical Day'!"&amp; ADDRESS($D174+29*(AZ$16-1),$E174))+$AZ$17</f>
        <v>11</v>
      </c>
      <c r="BA174" s="771" cm="1">
        <f t="array" aca="1" ref="BA174" ca="1">INDIRECT("'Definition of Typical Day'!"&amp; ADDRESS($D174+29*(BA$16-1),$E174))+$BA$17</f>
        <v>11</v>
      </c>
      <c r="BB174" s="772" cm="1">
        <f t="array" aca="1" ref="BB174" ca="1">INDIRECT("'Definition of Typical Day'!"&amp;ADDRESS(BB$16,$E174))</f>
        <v>0</v>
      </c>
      <c r="BC174" s="776" cm="1">
        <f t="array" aca="1" ref="BC174" ca="1">INDIRECT("'Definition of Typical Day'!"&amp; ADDRESS($D174+29*(BC$16-1),$E174))</f>
        <v>0</v>
      </c>
      <c r="BD174" s="777" cm="1">
        <f t="array" aca="1" ref="BD174" ca="1">INDIRECT("'Definition of Typical Day'!"&amp; ADDRESS($D174+29*(BD$16-1),$E174))</f>
        <v>0</v>
      </c>
      <c r="BE174" s="776">
        <f t="shared" si="210"/>
        <v>0</v>
      </c>
      <c r="BF174" s="771">
        <f t="shared" ca="1" si="211"/>
        <v>0</v>
      </c>
      <c r="BG174" s="771">
        <f t="shared" ca="1" si="212"/>
        <v>0</v>
      </c>
      <c r="BH174" s="771">
        <f t="shared" ca="1" si="213"/>
        <v>0</v>
      </c>
      <c r="BI174" s="776">
        <f t="shared" ca="1" si="214"/>
        <v>0</v>
      </c>
      <c r="BJ174" s="776">
        <f t="shared" ca="1" si="215"/>
        <v>0</v>
      </c>
      <c r="BK174" s="776">
        <f t="shared" ca="1" si="216"/>
        <v>0</v>
      </c>
      <c r="BL174" s="776">
        <f t="shared" ca="1" si="217"/>
        <v>0</v>
      </c>
      <c r="BM174" s="135"/>
      <c r="BN174" s="776">
        <f t="shared" ca="1" si="218"/>
        <v>0</v>
      </c>
      <c r="BO174" s="778">
        <f t="shared" ca="1" si="155"/>
        <v>0</v>
      </c>
      <c r="BP174" s="770">
        <f t="shared" ca="1" si="156"/>
        <v>0</v>
      </c>
      <c r="BQ174" s="771">
        <f t="shared" ca="1" si="157"/>
        <v>0</v>
      </c>
      <c r="BR174" s="771">
        <f t="shared" ca="1" si="158"/>
        <v>0</v>
      </c>
      <c r="BS174" s="776">
        <f t="shared" ca="1" si="219"/>
        <v>0</v>
      </c>
      <c r="BT174" s="776">
        <f t="shared" ca="1" si="159"/>
        <v>0</v>
      </c>
      <c r="BU174" s="783">
        <f t="shared" ca="1" si="160"/>
        <v>0</v>
      </c>
      <c r="BV174" s="783">
        <f t="shared" ca="1" si="161"/>
        <v>0</v>
      </c>
      <c r="BW174" s="1019">
        <f t="shared" ca="1" si="220"/>
        <v>0</v>
      </c>
      <c r="BX174" s="771" cm="1">
        <f t="array" aca="1" ref="BX174" ca="1">INDIRECT("'Definition of Typical Day'!"&amp; ADDRESS($D174+29*(BX$16-1),$E174))</f>
        <v>0</v>
      </c>
      <c r="BY174" s="771">
        <f t="shared" ca="1" si="221"/>
        <v>0</v>
      </c>
      <c r="BZ174" s="781">
        <f t="shared" ca="1" si="162"/>
        <v>0</v>
      </c>
      <c r="CA174" s="781">
        <f t="shared" ca="1" si="163"/>
        <v>0</v>
      </c>
      <c r="CB174" s="776">
        <f t="shared" ca="1" si="164"/>
        <v>0</v>
      </c>
      <c r="CC174" s="782">
        <f t="shared" si="165"/>
        <v>7</v>
      </c>
      <c r="CD174" s="782">
        <f t="shared" si="166"/>
        <v>10</v>
      </c>
      <c r="CE174" s="784" cm="1">
        <f t="array" aca="1" ref="CE174" ca="1">INDIRECT("'Definition of Typical Day'!"&amp;ADDRESS(CE$16,$E174))</f>
        <v>7</v>
      </c>
      <c r="CF174" s="232"/>
      <c r="CG174" s="232"/>
      <c r="CH174" s="776">
        <f t="shared" ca="1" si="167"/>
        <v>0</v>
      </c>
      <c r="CI174" s="806">
        <f t="shared" ca="1" si="168"/>
        <v>0</v>
      </c>
      <c r="CJ174" s="770">
        <f t="shared" ca="1" si="169"/>
        <v>0</v>
      </c>
      <c r="CK174" s="771">
        <f t="shared" ca="1" si="170"/>
        <v>0</v>
      </c>
      <c r="CL174" s="771">
        <f t="shared" ca="1" si="171"/>
        <v>0</v>
      </c>
      <c r="CM174" s="772">
        <f t="shared" ca="1" si="172"/>
        <v>0</v>
      </c>
      <c r="CN174" s="135"/>
      <c r="CO174" s="770">
        <f t="shared" ca="1" si="222"/>
        <v>1.05</v>
      </c>
      <c r="CP174" s="771">
        <f t="shared" ca="1" si="173"/>
        <v>0.02</v>
      </c>
      <c r="CQ174" s="771">
        <f t="shared" ca="1" si="174"/>
        <v>-2.5000000000000001E-2</v>
      </c>
      <c r="CR174" s="771">
        <f t="shared" ca="1" si="175"/>
        <v>0.95</v>
      </c>
      <c r="CS174" s="771">
        <f t="shared" ca="1" si="176"/>
        <v>0.03</v>
      </c>
      <c r="CT174" s="772">
        <f t="shared" ca="1" si="177"/>
        <v>0.02</v>
      </c>
      <c r="CU174" s="135"/>
      <c r="CV174" s="135"/>
      <c r="CW174" s="135"/>
      <c r="CX174" s="135"/>
      <c r="CY174" s="135"/>
      <c r="CZ174" s="135"/>
      <c r="DA174" s="135"/>
      <c r="DB174" s="135"/>
      <c r="DC174" s="135"/>
      <c r="DD174" s="135"/>
      <c r="DE174" s="135"/>
      <c r="DF174" s="135"/>
      <c r="DG174" s="135"/>
      <c r="DH174" s="135"/>
      <c r="DI174" s="135"/>
      <c r="DJ174" s="135"/>
      <c r="DK174" s="135"/>
      <c r="DL174" s="135"/>
      <c r="DX174" s="135"/>
      <c r="DY174" s="135"/>
      <c r="DZ174" s="135"/>
      <c r="EA174" s="135"/>
      <c r="EB174" s="135"/>
      <c r="EC174" s="135"/>
      <c r="ED174" s="135"/>
      <c r="EE174" s="135"/>
      <c r="EF174" s="135"/>
      <c r="EG174" s="135"/>
      <c r="EH174" s="135"/>
      <c r="EI174" s="135"/>
      <c r="EJ174" s="135"/>
      <c r="EK174" s="135"/>
      <c r="EL174" s="135"/>
      <c r="EM174" s="135"/>
      <c r="EN174" s="135"/>
      <c r="EO174" s="135"/>
      <c r="EP174" s="135"/>
      <c r="EQ174" s="135"/>
      <c r="ER174" s="135"/>
      <c r="ES174" s="135"/>
      <c r="ET174" s="135"/>
      <c r="EU174" s="135"/>
      <c r="EV174" s="135"/>
      <c r="EW174" s="135"/>
      <c r="EX174" s="135"/>
      <c r="EY174" s="135"/>
      <c r="EZ174" s="135"/>
      <c r="FA174" s="135"/>
      <c r="FB174" s="135"/>
      <c r="FC174" s="135"/>
      <c r="FD174" s="135"/>
      <c r="FE174" s="135"/>
      <c r="FF174" s="135"/>
      <c r="FG174" s="135"/>
    </row>
    <row r="175" spans="1:163" s="57" customFormat="1" ht="11.25" outlineLevel="1">
      <c r="A175" s="765">
        <f t="shared" si="223"/>
        <v>7</v>
      </c>
      <c r="B175" s="715" cm="1">
        <f t="array" aca="1" ref="B175" ca="1">INDIRECT("'Definition of Typical Day'!"&amp;ADDRESS(B$16,$E175))</f>
        <v>7</v>
      </c>
      <c r="C175" s="766">
        <f t="shared" si="224"/>
        <v>11</v>
      </c>
      <c r="D175" s="715">
        <f t="shared" si="224"/>
        <v>45</v>
      </c>
      <c r="E175" s="715">
        <f t="shared" si="152"/>
        <v>11</v>
      </c>
      <c r="F175" s="767" cm="1">
        <f t="array" aca="1" ref="F175" ca="1">INDIRECT("'Definition of Typical Day'!D"&amp;D175)</f>
        <v>11</v>
      </c>
      <c r="G175" s="767" cm="1">
        <f t="array" aca="1" ref="G175" ca="1">INDIRECT("'Definition of Typical Day'!"&amp;ADDRESS(13,E175))</f>
        <v>7</v>
      </c>
      <c r="H175" s="768" cm="1">
        <f t="array" aca="1" ref="H175" ca="1">INDIRECT("'Definition of Typical Day'!"&amp; ADDRESS($D175+28*(H$16-1),$E175))</f>
        <v>0</v>
      </c>
      <c r="I175" s="715" cm="1">
        <f t="array" aca="1" ref="I175" ca="1">INDIRECT("'Definition of Typical Day'!"&amp; ADDRESS($D175+29*(I$16-1),$E175))</f>
        <v>0</v>
      </c>
      <c r="J175" s="715">
        <f t="shared" ca="1" si="178"/>
        <v>0</v>
      </c>
      <c r="K175" s="785">
        <f t="shared" si="179"/>
        <v>28</v>
      </c>
      <c r="L175" s="786" cm="1">
        <f t="array" aca="1" ref="L175" ca="1">INDIRECT("'Definition of Typical Day'!"&amp; ADDRESS($D175+29*(L$16-1),$E175))</f>
        <v>0</v>
      </c>
      <c r="M175" s="768" cm="1">
        <f t="array" aca="1" ref="M175" ca="1">INDIRECT("'Definition of Typical Day'!"&amp; ADDRESS($D175+29*(M$16-1),$E175))</f>
        <v>0</v>
      </c>
      <c r="N175" s="715">
        <f t="shared" si="180"/>
        <v>3</v>
      </c>
      <c r="O175" s="715">
        <f t="shared" ca="1" si="181"/>
        <v>3</v>
      </c>
      <c r="P175" s="715" cm="1">
        <f t="array" aca="1" ref="P175" ca="1">INDIRECT("'Definition of Typical Day'!"&amp; ADDRESS($D175+29*(P$16-1),$E175))</f>
        <v>0</v>
      </c>
      <c r="Q175" s="787">
        <f t="shared" ca="1" si="182"/>
        <v>3</v>
      </c>
      <c r="R175" s="792">
        <f t="shared" ca="1" si="183"/>
        <v>3</v>
      </c>
      <c r="S175" s="769">
        <f t="shared" si="184"/>
        <v>3</v>
      </c>
      <c r="T175" s="769">
        <f t="shared" ca="1" si="185"/>
        <v>-0.5</v>
      </c>
      <c r="U175" s="769">
        <f t="shared" ca="1" si="186"/>
        <v>2.262</v>
      </c>
      <c r="V175" s="769">
        <f t="shared" ca="1" si="187"/>
        <v>0</v>
      </c>
      <c r="W175" s="769">
        <f t="shared" ca="1" si="188"/>
        <v>4.7620000000000005</v>
      </c>
      <c r="X175" s="794">
        <f t="shared" si="189"/>
        <v>3</v>
      </c>
      <c r="Y175" s="769">
        <f t="shared" ca="1" si="190"/>
        <v>0.54772255750516607</v>
      </c>
      <c r="Z175" s="769">
        <f t="shared" ca="1" si="191"/>
        <v>0</v>
      </c>
      <c r="AA175" s="795">
        <f t="shared" ca="1" si="192"/>
        <v>0</v>
      </c>
      <c r="AB175" s="769">
        <f t="shared" ca="1" si="193"/>
        <v>0</v>
      </c>
      <c r="AC175" s="769">
        <f t="shared" ca="1" si="194"/>
        <v>0</v>
      </c>
      <c r="AD175" s="769">
        <f t="shared" ca="1" si="195"/>
        <v>0</v>
      </c>
      <c r="AE175" s="794">
        <f t="shared" ca="1" si="196"/>
        <v>0</v>
      </c>
      <c r="AF175" s="769">
        <f t="shared" ca="1" si="197"/>
        <v>0</v>
      </c>
      <c r="AG175" s="769">
        <f t="shared" ca="1" si="198"/>
        <v>0</v>
      </c>
      <c r="AH175" s="799">
        <f t="shared" ca="1" si="199"/>
        <v>0</v>
      </c>
      <c r="AI175" s="801">
        <f t="shared" ca="1" si="200"/>
        <v>1</v>
      </c>
      <c r="AJ175" s="794">
        <f t="shared" ca="1" si="201"/>
        <v>0</v>
      </c>
      <c r="AK175" s="769">
        <f t="shared" ca="1" si="202"/>
        <v>0</v>
      </c>
      <c r="AL175" s="769">
        <f t="shared" ca="1" si="203"/>
        <v>0</v>
      </c>
      <c r="AM175" s="804">
        <f t="shared" ca="1" si="153"/>
        <v>0</v>
      </c>
      <c r="AN175" s="795">
        <f t="shared" ca="1" si="154"/>
        <v>0</v>
      </c>
      <c r="AO175" s="251"/>
      <c r="AP175" s="770">
        <f t="shared" si="204"/>
        <v>0</v>
      </c>
      <c r="AQ175" s="771">
        <f t="shared" ca="1" si="205"/>
        <v>0</v>
      </c>
      <c r="AR175" s="771">
        <f t="shared" ca="1" si="206"/>
        <v>0</v>
      </c>
      <c r="AS175" s="772">
        <f t="shared" ca="1" si="207"/>
        <v>0</v>
      </c>
      <c r="AT175" s="231"/>
      <c r="AU175" s="770">
        <f>'Main Results - IRR DC Operator'!$F$16</f>
        <v>2</v>
      </c>
      <c r="AV175" s="773">
        <f>'Main Results - IRR DC Operator'!$F$15</f>
        <v>1</v>
      </c>
      <c r="AW175" s="771">
        <f t="shared" ca="1" si="208"/>
        <v>0</v>
      </c>
      <c r="AX175" s="772">
        <f t="shared" si="209"/>
        <v>0</v>
      </c>
      <c r="AY175" s="231"/>
      <c r="AZ175" s="770" cm="1">
        <f t="array" aca="1" ref="AZ175" ca="1">INDIRECT("'Definition of Typical Day'!"&amp; ADDRESS($D175+29*(AZ$16-1),$E175))+$AZ$17</f>
        <v>11</v>
      </c>
      <c r="BA175" s="771" cm="1">
        <f t="array" aca="1" ref="BA175" ca="1">INDIRECT("'Definition of Typical Day'!"&amp; ADDRESS($D175+29*(BA$16-1),$E175))+$BA$17</f>
        <v>11</v>
      </c>
      <c r="BB175" s="772" cm="1">
        <f t="array" aca="1" ref="BB175" ca="1">INDIRECT("'Definition of Typical Day'!"&amp;ADDRESS(BB$16,$E175))</f>
        <v>0</v>
      </c>
      <c r="BC175" s="776" cm="1">
        <f t="array" aca="1" ref="BC175" ca="1">INDIRECT("'Definition of Typical Day'!"&amp; ADDRESS($D175+29*(BC$16-1),$E175))</f>
        <v>0</v>
      </c>
      <c r="BD175" s="777" cm="1">
        <f t="array" aca="1" ref="BD175" ca="1">INDIRECT("'Definition of Typical Day'!"&amp; ADDRESS($D175+29*(BD$16-1),$E175))</f>
        <v>0</v>
      </c>
      <c r="BE175" s="776">
        <f t="shared" si="210"/>
        <v>0</v>
      </c>
      <c r="BF175" s="771">
        <f t="shared" ca="1" si="211"/>
        <v>0</v>
      </c>
      <c r="BG175" s="771">
        <f t="shared" ca="1" si="212"/>
        <v>0</v>
      </c>
      <c r="BH175" s="771">
        <f t="shared" ca="1" si="213"/>
        <v>0</v>
      </c>
      <c r="BI175" s="776">
        <f t="shared" ca="1" si="214"/>
        <v>0</v>
      </c>
      <c r="BJ175" s="776">
        <f t="shared" ca="1" si="215"/>
        <v>0</v>
      </c>
      <c r="BK175" s="776">
        <f t="shared" ca="1" si="216"/>
        <v>0</v>
      </c>
      <c r="BL175" s="776">
        <f t="shared" ca="1" si="217"/>
        <v>0</v>
      </c>
      <c r="BM175" s="135"/>
      <c r="BN175" s="776">
        <f t="shared" ca="1" si="218"/>
        <v>0</v>
      </c>
      <c r="BO175" s="778">
        <f t="shared" ca="1" si="155"/>
        <v>0</v>
      </c>
      <c r="BP175" s="770">
        <f t="shared" ca="1" si="156"/>
        <v>0</v>
      </c>
      <c r="BQ175" s="771">
        <f t="shared" ca="1" si="157"/>
        <v>0</v>
      </c>
      <c r="BR175" s="771">
        <f t="shared" ca="1" si="158"/>
        <v>0</v>
      </c>
      <c r="BS175" s="776">
        <f t="shared" ca="1" si="219"/>
        <v>0</v>
      </c>
      <c r="BT175" s="776">
        <f t="shared" ca="1" si="159"/>
        <v>0</v>
      </c>
      <c r="BU175" s="783">
        <f t="shared" ca="1" si="160"/>
        <v>0</v>
      </c>
      <c r="BV175" s="783">
        <f t="shared" ca="1" si="161"/>
        <v>0</v>
      </c>
      <c r="BW175" s="1019">
        <f t="shared" ca="1" si="220"/>
        <v>0</v>
      </c>
      <c r="BX175" s="771" cm="1">
        <f t="array" aca="1" ref="BX175" ca="1">INDIRECT("'Definition of Typical Day'!"&amp; ADDRESS($D175+29*(BX$16-1),$E175))</f>
        <v>0</v>
      </c>
      <c r="BY175" s="771">
        <f t="shared" ca="1" si="221"/>
        <v>0</v>
      </c>
      <c r="BZ175" s="781">
        <f t="shared" ca="1" si="162"/>
        <v>0</v>
      </c>
      <c r="CA175" s="781">
        <f t="shared" ca="1" si="163"/>
        <v>0</v>
      </c>
      <c r="CB175" s="776">
        <f t="shared" ca="1" si="164"/>
        <v>0</v>
      </c>
      <c r="CC175" s="782">
        <f t="shared" si="165"/>
        <v>7</v>
      </c>
      <c r="CD175" s="782">
        <f t="shared" si="166"/>
        <v>11</v>
      </c>
      <c r="CE175" s="784" cm="1">
        <f t="array" aca="1" ref="CE175" ca="1">INDIRECT("'Definition of Typical Day'!"&amp;ADDRESS(CE$16,$E175))</f>
        <v>7</v>
      </c>
      <c r="CF175" s="232"/>
      <c r="CG175" s="232"/>
      <c r="CH175" s="776">
        <f t="shared" ca="1" si="167"/>
        <v>0</v>
      </c>
      <c r="CI175" s="806">
        <f t="shared" ca="1" si="168"/>
        <v>0</v>
      </c>
      <c r="CJ175" s="770">
        <f t="shared" ca="1" si="169"/>
        <v>0</v>
      </c>
      <c r="CK175" s="771">
        <f t="shared" ca="1" si="170"/>
        <v>0</v>
      </c>
      <c r="CL175" s="771">
        <f t="shared" ca="1" si="171"/>
        <v>0</v>
      </c>
      <c r="CM175" s="772">
        <f t="shared" ca="1" si="172"/>
        <v>0</v>
      </c>
      <c r="CN175" s="135"/>
      <c r="CO175" s="770">
        <f t="shared" ca="1" si="222"/>
        <v>1.05</v>
      </c>
      <c r="CP175" s="771">
        <f t="shared" ca="1" si="173"/>
        <v>0.02</v>
      </c>
      <c r="CQ175" s="771">
        <f t="shared" ca="1" si="174"/>
        <v>-2.5000000000000001E-2</v>
      </c>
      <c r="CR175" s="771">
        <f t="shared" ca="1" si="175"/>
        <v>0.95</v>
      </c>
      <c r="CS175" s="771">
        <f t="shared" ca="1" si="176"/>
        <v>0.03</v>
      </c>
      <c r="CT175" s="772">
        <f t="shared" ca="1" si="177"/>
        <v>0.02</v>
      </c>
      <c r="CU175" s="135"/>
      <c r="CV175" s="135"/>
      <c r="CW175" s="135"/>
      <c r="CX175" s="135"/>
      <c r="CY175" s="135"/>
      <c r="CZ175" s="135"/>
      <c r="DA175" s="135"/>
      <c r="DB175" s="135"/>
      <c r="DC175" s="135"/>
      <c r="DD175" s="135"/>
      <c r="DE175" s="135"/>
      <c r="DF175" s="135"/>
      <c r="DG175" s="135"/>
      <c r="DH175" s="135"/>
      <c r="DI175" s="135"/>
      <c r="DJ175" s="135"/>
      <c r="DK175" s="135"/>
      <c r="DL175" s="135"/>
      <c r="DX175" s="135"/>
      <c r="DY175" s="135"/>
      <c r="DZ175" s="135"/>
      <c r="EA175" s="135"/>
      <c r="EB175" s="135"/>
      <c r="EC175" s="135"/>
      <c r="ED175" s="135"/>
      <c r="EE175" s="135"/>
      <c r="EF175" s="135"/>
      <c r="EG175" s="135"/>
      <c r="EH175" s="135"/>
      <c r="EI175" s="135"/>
      <c r="EJ175" s="135"/>
      <c r="EK175" s="135"/>
      <c r="EL175" s="135"/>
      <c r="EM175" s="135"/>
      <c r="EN175" s="135"/>
      <c r="EO175" s="135"/>
      <c r="EP175" s="135"/>
      <c r="EQ175" s="135"/>
      <c r="ER175" s="135"/>
      <c r="ES175" s="135"/>
      <c r="ET175" s="135"/>
      <c r="EU175" s="135"/>
      <c r="EV175" s="135"/>
      <c r="EW175" s="135"/>
      <c r="EX175" s="135"/>
      <c r="EY175" s="135"/>
      <c r="EZ175" s="135"/>
      <c r="FA175" s="135"/>
      <c r="FB175" s="135"/>
      <c r="FC175" s="135"/>
      <c r="FD175" s="135"/>
      <c r="FE175" s="135"/>
      <c r="FF175" s="135"/>
      <c r="FG175" s="135"/>
    </row>
    <row r="176" spans="1:163" s="57" customFormat="1" ht="11.25" outlineLevel="1">
      <c r="A176" s="765">
        <f t="shared" si="223"/>
        <v>7</v>
      </c>
      <c r="B176" s="715" cm="1">
        <f t="array" aca="1" ref="B176" ca="1">INDIRECT("'Definition of Typical Day'!"&amp;ADDRESS(B$16,$E176))</f>
        <v>7</v>
      </c>
      <c r="C176" s="766">
        <f t="shared" si="224"/>
        <v>12</v>
      </c>
      <c r="D176" s="715">
        <f t="shared" si="224"/>
        <v>46</v>
      </c>
      <c r="E176" s="715">
        <f t="shared" si="152"/>
        <v>11</v>
      </c>
      <c r="F176" s="767" cm="1">
        <f t="array" aca="1" ref="F176" ca="1">INDIRECT("'Definition of Typical Day'!D"&amp;D176)</f>
        <v>12</v>
      </c>
      <c r="G176" s="767" cm="1">
        <f t="array" aca="1" ref="G176" ca="1">INDIRECT("'Definition of Typical Day'!"&amp;ADDRESS(13,E176))</f>
        <v>7</v>
      </c>
      <c r="H176" s="768" cm="1">
        <f t="array" aca="1" ref="H176" ca="1">INDIRECT("'Definition of Typical Day'!"&amp; ADDRESS($D176+28*(H$16-1),$E176))</f>
        <v>0</v>
      </c>
      <c r="I176" s="715" cm="1">
        <f t="array" aca="1" ref="I176" ca="1">INDIRECT("'Definition of Typical Day'!"&amp; ADDRESS($D176+29*(I$16-1),$E176))</f>
        <v>0</v>
      </c>
      <c r="J176" s="715">
        <f t="shared" ca="1" si="178"/>
        <v>0</v>
      </c>
      <c r="K176" s="785">
        <f t="shared" si="179"/>
        <v>28</v>
      </c>
      <c r="L176" s="786" cm="1">
        <f t="array" aca="1" ref="L176" ca="1">INDIRECT("'Definition of Typical Day'!"&amp; ADDRESS($D176+29*(L$16-1),$E176))</f>
        <v>0</v>
      </c>
      <c r="M176" s="768" cm="1">
        <f t="array" aca="1" ref="M176" ca="1">INDIRECT("'Definition of Typical Day'!"&amp; ADDRESS($D176+29*(M$16-1),$E176))</f>
        <v>0</v>
      </c>
      <c r="N176" s="715">
        <f t="shared" si="180"/>
        <v>3</v>
      </c>
      <c r="O176" s="715">
        <f t="shared" ca="1" si="181"/>
        <v>3</v>
      </c>
      <c r="P176" s="715" cm="1">
        <f t="array" aca="1" ref="P176" ca="1">INDIRECT("'Definition of Typical Day'!"&amp; ADDRESS($D176+29*(P$16-1),$E176))</f>
        <v>0</v>
      </c>
      <c r="Q176" s="787">
        <f t="shared" ca="1" si="182"/>
        <v>3</v>
      </c>
      <c r="R176" s="792">
        <f t="shared" ca="1" si="183"/>
        <v>3</v>
      </c>
      <c r="S176" s="769">
        <f t="shared" si="184"/>
        <v>3</v>
      </c>
      <c r="T176" s="769">
        <f t="shared" ca="1" si="185"/>
        <v>-0.5</v>
      </c>
      <c r="U176" s="769">
        <f t="shared" ca="1" si="186"/>
        <v>2.262</v>
      </c>
      <c r="V176" s="769">
        <f t="shared" ca="1" si="187"/>
        <v>0</v>
      </c>
      <c r="W176" s="769">
        <f t="shared" ca="1" si="188"/>
        <v>4.7620000000000005</v>
      </c>
      <c r="X176" s="794">
        <f t="shared" si="189"/>
        <v>3</v>
      </c>
      <c r="Y176" s="769">
        <f t="shared" ca="1" si="190"/>
        <v>0.54772255750516607</v>
      </c>
      <c r="Z176" s="769">
        <f t="shared" ca="1" si="191"/>
        <v>0</v>
      </c>
      <c r="AA176" s="795">
        <f t="shared" ca="1" si="192"/>
        <v>0</v>
      </c>
      <c r="AB176" s="769">
        <f t="shared" ca="1" si="193"/>
        <v>0</v>
      </c>
      <c r="AC176" s="769">
        <f t="shared" ca="1" si="194"/>
        <v>0</v>
      </c>
      <c r="AD176" s="769">
        <f t="shared" ca="1" si="195"/>
        <v>0</v>
      </c>
      <c r="AE176" s="794">
        <f t="shared" ca="1" si="196"/>
        <v>0</v>
      </c>
      <c r="AF176" s="769">
        <f t="shared" ca="1" si="197"/>
        <v>0</v>
      </c>
      <c r="AG176" s="769">
        <f t="shared" ca="1" si="198"/>
        <v>0</v>
      </c>
      <c r="AH176" s="799">
        <f t="shared" ca="1" si="199"/>
        <v>0</v>
      </c>
      <c r="AI176" s="801">
        <f t="shared" ca="1" si="200"/>
        <v>1</v>
      </c>
      <c r="AJ176" s="794">
        <f t="shared" ca="1" si="201"/>
        <v>0</v>
      </c>
      <c r="AK176" s="769">
        <f t="shared" ca="1" si="202"/>
        <v>0</v>
      </c>
      <c r="AL176" s="769">
        <f t="shared" ca="1" si="203"/>
        <v>0</v>
      </c>
      <c r="AM176" s="804">
        <f t="shared" ca="1" si="153"/>
        <v>0</v>
      </c>
      <c r="AN176" s="795">
        <f t="shared" ca="1" si="154"/>
        <v>0</v>
      </c>
      <c r="AO176" s="251"/>
      <c r="AP176" s="770">
        <f t="shared" si="204"/>
        <v>0</v>
      </c>
      <c r="AQ176" s="771">
        <f t="shared" ca="1" si="205"/>
        <v>0</v>
      </c>
      <c r="AR176" s="771">
        <f t="shared" ca="1" si="206"/>
        <v>0</v>
      </c>
      <c r="AS176" s="772">
        <f t="shared" ca="1" si="207"/>
        <v>0</v>
      </c>
      <c r="AT176" s="231"/>
      <c r="AU176" s="770">
        <f>'Main Results - IRR DC Operator'!$F$16</f>
        <v>2</v>
      </c>
      <c r="AV176" s="773">
        <f>'Main Results - IRR DC Operator'!$F$15</f>
        <v>1</v>
      </c>
      <c r="AW176" s="771">
        <f t="shared" ca="1" si="208"/>
        <v>0</v>
      </c>
      <c r="AX176" s="772">
        <f t="shared" si="209"/>
        <v>0</v>
      </c>
      <c r="AY176" s="231"/>
      <c r="AZ176" s="770" cm="1">
        <f t="array" aca="1" ref="AZ176" ca="1">INDIRECT("'Definition of Typical Day'!"&amp; ADDRESS($D176+29*(AZ$16-1),$E176))+$AZ$17</f>
        <v>11</v>
      </c>
      <c r="BA176" s="771" cm="1">
        <f t="array" aca="1" ref="BA176" ca="1">INDIRECT("'Definition of Typical Day'!"&amp; ADDRESS($D176+29*(BA$16-1),$E176))+$BA$17</f>
        <v>11</v>
      </c>
      <c r="BB176" s="772" cm="1">
        <f t="array" aca="1" ref="BB176" ca="1">INDIRECT("'Definition of Typical Day'!"&amp;ADDRESS(BB$16,$E176))</f>
        <v>0</v>
      </c>
      <c r="BC176" s="776" cm="1">
        <f t="array" aca="1" ref="BC176" ca="1">INDIRECT("'Definition of Typical Day'!"&amp; ADDRESS($D176+29*(BC$16-1),$E176))</f>
        <v>0</v>
      </c>
      <c r="BD176" s="777" cm="1">
        <f t="array" aca="1" ref="BD176" ca="1">INDIRECT("'Definition of Typical Day'!"&amp; ADDRESS($D176+29*(BD$16-1),$E176))</f>
        <v>0</v>
      </c>
      <c r="BE176" s="776">
        <f t="shared" si="210"/>
        <v>0</v>
      </c>
      <c r="BF176" s="771">
        <f t="shared" ca="1" si="211"/>
        <v>0</v>
      </c>
      <c r="BG176" s="771">
        <f t="shared" ca="1" si="212"/>
        <v>0</v>
      </c>
      <c r="BH176" s="771">
        <f t="shared" ca="1" si="213"/>
        <v>0</v>
      </c>
      <c r="BI176" s="776">
        <f t="shared" ca="1" si="214"/>
        <v>0</v>
      </c>
      <c r="BJ176" s="776">
        <f t="shared" ca="1" si="215"/>
        <v>0</v>
      </c>
      <c r="BK176" s="776">
        <f t="shared" ca="1" si="216"/>
        <v>0</v>
      </c>
      <c r="BL176" s="776">
        <f t="shared" ca="1" si="217"/>
        <v>0</v>
      </c>
      <c r="BM176" s="135"/>
      <c r="BN176" s="776">
        <f t="shared" ca="1" si="218"/>
        <v>0</v>
      </c>
      <c r="BO176" s="778">
        <f t="shared" ca="1" si="155"/>
        <v>0</v>
      </c>
      <c r="BP176" s="770">
        <f t="shared" ca="1" si="156"/>
        <v>0</v>
      </c>
      <c r="BQ176" s="771">
        <f t="shared" ca="1" si="157"/>
        <v>0</v>
      </c>
      <c r="BR176" s="771">
        <f t="shared" ca="1" si="158"/>
        <v>0</v>
      </c>
      <c r="BS176" s="776">
        <f t="shared" ca="1" si="219"/>
        <v>0</v>
      </c>
      <c r="BT176" s="776">
        <f t="shared" ca="1" si="159"/>
        <v>0</v>
      </c>
      <c r="BU176" s="783">
        <f t="shared" ca="1" si="160"/>
        <v>0</v>
      </c>
      <c r="BV176" s="783">
        <f t="shared" ca="1" si="161"/>
        <v>0</v>
      </c>
      <c r="BW176" s="1019">
        <f t="shared" ca="1" si="220"/>
        <v>0</v>
      </c>
      <c r="BX176" s="771" cm="1">
        <f t="array" aca="1" ref="BX176" ca="1">INDIRECT("'Definition of Typical Day'!"&amp; ADDRESS($D176+29*(BX$16-1),$E176))</f>
        <v>0</v>
      </c>
      <c r="BY176" s="771">
        <f t="shared" ca="1" si="221"/>
        <v>0</v>
      </c>
      <c r="BZ176" s="781">
        <f t="shared" ca="1" si="162"/>
        <v>0</v>
      </c>
      <c r="CA176" s="781">
        <f t="shared" ca="1" si="163"/>
        <v>0</v>
      </c>
      <c r="CB176" s="776">
        <f t="shared" ca="1" si="164"/>
        <v>0</v>
      </c>
      <c r="CC176" s="782">
        <f t="shared" si="165"/>
        <v>7</v>
      </c>
      <c r="CD176" s="782">
        <f t="shared" si="166"/>
        <v>12</v>
      </c>
      <c r="CE176" s="784" cm="1">
        <f t="array" aca="1" ref="CE176" ca="1">INDIRECT("'Definition of Typical Day'!"&amp;ADDRESS(CE$16,$E176))</f>
        <v>7</v>
      </c>
      <c r="CF176" s="232"/>
      <c r="CG176" s="232"/>
      <c r="CH176" s="776">
        <f t="shared" ca="1" si="167"/>
        <v>0</v>
      </c>
      <c r="CI176" s="806">
        <f t="shared" ca="1" si="168"/>
        <v>0</v>
      </c>
      <c r="CJ176" s="770">
        <f t="shared" ca="1" si="169"/>
        <v>0</v>
      </c>
      <c r="CK176" s="771">
        <f t="shared" ca="1" si="170"/>
        <v>0</v>
      </c>
      <c r="CL176" s="771">
        <f t="shared" ca="1" si="171"/>
        <v>0</v>
      </c>
      <c r="CM176" s="772">
        <f t="shared" ca="1" si="172"/>
        <v>0</v>
      </c>
      <c r="CN176" s="135"/>
      <c r="CO176" s="770">
        <f t="shared" ca="1" si="222"/>
        <v>1.05</v>
      </c>
      <c r="CP176" s="771">
        <f t="shared" ca="1" si="173"/>
        <v>0.02</v>
      </c>
      <c r="CQ176" s="771">
        <f t="shared" ca="1" si="174"/>
        <v>-2.5000000000000001E-2</v>
      </c>
      <c r="CR176" s="771">
        <f t="shared" ca="1" si="175"/>
        <v>0.95</v>
      </c>
      <c r="CS176" s="771">
        <f t="shared" ca="1" si="176"/>
        <v>0.03</v>
      </c>
      <c r="CT176" s="772">
        <f t="shared" ca="1" si="177"/>
        <v>0.02</v>
      </c>
      <c r="CU176" s="135"/>
      <c r="CV176" s="135"/>
      <c r="CW176" s="135"/>
      <c r="CX176" s="135"/>
      <c r="CY176" s="135"/>
      <c r="CZ176" s="135"/>
      <c r="DA176" s="135"/>
      <c r="DB176" s="135"/>
      <c r="DC176" s="135"/>
      <c r="DD176" s="135"/>
      <c r="DE176" s="135"/>
      <c r="DF176" s="135"/>
      <c r="DG176" s="135"/>
      <c r="DH176" s="135"/>
      <c r="DI176" s="135"/>
      <c r="DJ176" s="135"/>
      <c r="DK176" s="135"/>
      <c r="DL176" s="135"/>
      <c r="DX176" s="135"/>
      <c r="DY176" s="135"/>
      <c r="DZ176" s="135"/>
      <c r="EA176" s="135"/>
      <c r="EB176" s="135"/>
      <c r="EC176" s="135"/>
      <c r="ED176" s="135"/>
      <c r="EE176" s="135"/>
      <c r="EF176" s="135"/>
      <c r="EG176" s="135"/>
      <c r="EH176" s="135"/>
      <c r="EI176" s="135"/>
      <c r="EJ176" s="135"/>
      <c r="EK176" s="135"/>
      <c r="EL176" s="135"/>
      <c r="EM176" s="135"/>
      <c r="EN176" s="135"/>
      <c r="EO176" s="135"/>
      <c r="EP176" s="135"/>
      <c r="EQ176" s="135"/>
      <c r="ER176" s="135"/>
      <c r="ES176" s="135"/>
      <c r="ET176" s="135"/>
      <c r="EU176" s="135"/>
      <c r="EV176" s="135"/>
      <c r="EW176" s="135"/>
      <c r="EX176" s="135"/>
      <c r="EY176" s="135"/>
      <c r="EZ176" s="135"/>
      <c r="FA176" s="135"/>
      <c r="FB176" s="135"/>
      <c r="FC176" s="135"/>
      <c r="FD176" s="135"/>
      <c r="FE176" s="135"/>
      <c r="FF176" s="135"/>
      <c r="FG176" s="135"/>
    </row>
    <row r="177" spans="1:163" s="57" customFormat="1" ht="11.25" outlineLevel="1">
      <c r="A177" s="765">
        <f t="shared" si="223"/>
        <v>7</v>
      </c>
      <c r="B177" s="715" cm="1">
        <f t="array" aca="1" ref="B177" ca="1">INDIRECT("'Definition of Typical Day'!"&amp;ADDRESS(B$16,$E177))</f>
        <v>7</v>
      </c>
      <c r="C177" s="766">
        <f t="shared" si="224"/>
        <v>13</v>
      </c>
      <c r="D177" s="715">
        <f t="shared" si="224"/>
        <v>47</v>
      </c>
      <c r="E177" s="715">
        <f t="shared" si="152"/>
        <v>11</v>
      </c>
      <c r="F177" s="767" cm="1">
        <f t="array" aca="1" ref="F177" ca="1">INDIRECT("'Definition of Typical Day'!D"&amp;D177)</f>
        <v>13</v>
      </c>
      <c r="G177" s="767" cm="1">
        <f t="array" aca="1" ref="G177" ca="1">INDIRECT("'Definition of Typical Day'!"&amp;ADDRESS(13,E177))</f>
        <v>7</v>
      </c>
      <c r="H177" s="768" cm="1">
        <f t="array" aca="1" ref="H177" ca="1">INDIRECT("'Definition of Typical Day'!"&amp; ADDRESS($D177+28*(H$16-1),$E177))</f>
        <v>0</v>
      </c>
      <c r="I177" s="715" cm="1">
        <f t="array" aca="1" ref="I177" ca="1">INDIRECT("'Definition of Typical Day'!"&amp; ADDRESS($D177+29*(I$16-1),$E177))</f>
        <v>0</v>
      </c>
      <c r="J177" s="715">
        <f t="shared" ca="1" si="178"/>
        <v>0</v>
      </c>
      <c r="K177" s="785">
        <f t="shared" si="179"/>
        <v>28</v>
      </c>
      <c r="L177" s="786" cm="1">
        <f t="array" aca="1" ref="L177" ca="1">INDIRECT("'Definition of Typical Day'!"&amp; ADDRESS($D177+29*(L$16-1),$E177))</f>
        <v>0</v>
      </c>
      <c r="M177" s="768" cm="1">
        <f t="array" aca="1" ref="M177" ca="1">INDIRECT("'Definition of Typical Day'!"&amp; ADDRESS($D177+29*(M$16-1),$E177))</f>
        <v>0</v>
      </c>
      <c r="N177" s="715">
        <f t="shared" si="180"/>
        <v>3</v>
      </c>
      <c r="O177" s="715">
        <f t="shared" ca="1" si="181"/>
        <v>3</v>
      </c>
      <c r="P177" s="715" cm="1">
        <f t="array" aca="1" ref="P177" ca="1">INDIRECT("'Definition of Typical Day'!"&amp; ADDRESS($D177+29*(P$16-1),$E177))</f>
        <v>0</v>
      </c>
      <c r="Q177" s="787">
        <f t="shared" ca="1" si="182"/>
        <v>3</v>
      </c>
      <c r="R177" s="792">
        <f t="shared" ca="1" si="183"/>
        <v>3</v>
      </c>
      <c r="S177" s="769">
        <f t="shared" si="184"/>
        <v>3</v>
      </c>
      <c r="T177" s="769">
        <f t="shared" ca="1" si="185"/>
        <v>-0.5</v>
      </c>
      <c r="U177" s="769">
        <f t="shared" ca="1" si="186"/>
        <v>2.262</v>
      </c>
      <c r="V177" s="769">
        <f t="shared" ca="1" si="187"/>
        <v>0</v>
      </c>
      <c r="W177" s="769">
        <f t="shared" ca="1" si="188"/>
        <v>4.7620000000000005</v>
      </c>
      <c r="X177" s="794">
        <f t="shared" si="189"/>
        <v>3</v>
      </c>
      <c r="Y177" s="769">
        <f t="shared" ca="1" si="190"/>
        <v>0.54772255750516607</v>
      </c>
      <c r="Z177" s="769">
        <f t="shared" ca="1" si="191"/>
        <v>0</v>
      </c>
      <c r="AA177" s="795">
        <f t="shared" ca="1" si="192"/>
        <v>0</v>
      </c>
      <c r="AB177" s="769">
        <f t="shared" ca="1" si="193"/>
        <v>0</v>
      </c>
      <c r="AC177" s="769">
        <f t="shared" ca="1" si="194"/>
        <v>0</v>
      </c>
      <c r="AD177" s="769">
        <f t="shared" ca="1" si="195"/>
        <v>0</v>
      </c>
      <c r="AE177" s="794">
        <f t="shared" ca="1" si="196"/>
        <v>0</v>
      </c>
      <c r="AF177" s="769">
        <f t="shared" ca="1" si="197"/>
        <v>0</v>
      </c>
      <c r="AG177" s="769">
        <f t="shared" ca="1" si="198"/>
        <v>0</v>
      </c>
      <c r="AH177" s="799">
        <f t="shared" ca="1" si="199"/>
        <v>0</v>
      </c>
      <c r="AI177" s="801">
        <f t="shared" ca="1" si="200"/>
        <v>1</v>
      </c>
      <c r="AJ177" s="794">
        <f t="shared" ca="1" si="201"/>
        <v>0</v>
      </c>
      <c r="AK177" s="769">
        <f t="shared" ca="1" si="202"/>
        <v>0</v>
      </c>
      <c r="AL177" s="769">
        <f t="shared" ca="1" si="203"/>
        <v>0</v>
      </c>
      <c r="AM177" s="804">
        <f t="shared" ca="1" si="153"/>
        <v>0</v>
      </c>
      <c r="AN177" s="795">
        <f t="shared" ca="1" si="154"/>
        <v>0</v>
      </c>
      <c r="AO177" s="251"/>
      <c r="AP177" s="770">
        <f t="shared" si="204"/>
        <v>0</v>
      </c>
      <c r="AQ177" s="771">
        <f t="shared" ca="1" si="205"/>
        <v>0</v>
      </c>
      <c r="AR177" s="771">
        <f t="shared" ca="1" si="206"/>
        <v>0</v>
      </c>
      <c r="AS177" s="772">
        <f t="shared" ca="1" si="207"/>
        <v>0</v>
      </c>
      <c r="AT177" s="231"/>
      <c r="AU177" s="770">
        <f>'Main Results - IRR DC Operator'!$F$16</f>
        <v>2</v>
      </c>
      <c r="AV177" s="773">
        <f>'Main Results - IRR DC Operator'!$F$15</f>
        <v>1</v>
      </c>
      <c r="AW177" s="771">
        <f t="shared" ca="1" si="208"/>
        <v>0</v>
      </c>
      <c r="AX177" s="772">
        <f t="shared" si="209"/>
        <v>0</v>
      </c>
      <c r="AY177" s="231"/>
      <c r="AZ177" s="770" cm="1">
        <f t="array" aca="1" ref="AZ177" ca="1">INDIRECT("'Definition of Typical Day'!"&amp; ADDRESS($D177+29*(AZ$16-1),$E177))+$AZ$17</f>
        <v>11</v>
      </c>
      <c r="BA177" s="771" cm="1">
        <f t="array" aca="1" ref="BA177" ca="1">INDIRECT("'Definition of Typical Day'!"&amp; ADDRESS($D177+29*(BA$16-1),$E177))+$BA$17</f>
        <v>11</v>
      </c>
      <c r="BB177" s="772" cm="1">
        <f t="array" aca="1" ref="BB177" ca="1">INDIRECT("'Definition of Typical Day'!"&amp;ADDRESS(BB$16,$E177))</f>
        <v>0</v>
      </c>
      <c r="BC177" s="776" cm="1">
        <f t="array" aca="1" ref="BC177" ca="1">INDIRECT("'Definition of Typical Day'!"&amp; ADDRESS($D177+29*(BC$16-1),$E177))</f>
        <v>0</v>
      </c>
      <c r="BD177" s="777" cm="1">
        <f t="array" aca="1" ref="BD177" ca="1">INDIRECT("'Definition of Typical Day'!"&amp; ADDRESS($D177+29*(BD$16-1),$E177))</f>
        <v>0</v>
      </c>
      <c r="BE177" s="776">
        <f t="shared" si="210"/>
        <v>0</v>
      </c>
      <c r="BF177" s="771">
        <f t="shared" ca="1" si="211"/>
        <v>0</v>
      </c>
      <c r="BG177" s="771">
        <f t="shared" ca="1" si="212"/>
        <v>0</v>
      </c>
      <c r="BH177" s="771">
        <f t="shared" ca="1" si="213"/>
        <v>0</v>
      </c>
      <c r="BI177" s="776">
        <f t="shared" ca="1" si="214"/>
        <v>0</v>
      </c>
      <c r="BJ177" s="776">
        <f t="shared" ca="1" si="215"/>
        <v>0</v>
      </c>
      <c r="BK177" s="776">
        <f t="shared" ca="1" si="216"/>
        <v>0</v>
      </c>
      <c r="BL177" s="776">
        <f t="shared" ca="1" si="217"/>
        <v>0</v>
      </c>
      <c r="BM177" s="135"/>
      <c r="BN177" s="776">
        <f t="shared" ca="1" si="218"/>
        <v>0</v>
      </c>
      <c r="BO177" s="778">
        <f t="shared" ca="1" si="155"/>
        <v>0</v>
      </c>
      <c r="BP177" s="770">
        <f t="shared" ca="1" si="156"/>
        <v>0</v>
      </c>
      <c r="BQ177" s="771">
        <f t="shared" ca="1" si="157"/>
        <v>0</v>
      </c>
      <c r="BR177" s="771">
        <f t="shared" ca="1" si="158"/>
        <v>0</v>
      </c>
      <c r="BS177" s="776">
        <f t="shared" ca="1" si="219"/>
        <v>0</v>
      </c>
      <c r="BT177" s="776">
        <f t="shared" ca="1" si="159"/>
        <v>0</v>
      </c>
      <c r="BU177" s="783">
        <f t="shared" ca="1" si="160"/>
        <v>0</v>
      </c>
      <c r="BV177" s="783">
        <f t="shared" ca="1" si="161"/>
        <v>0</v>
      </c>
      <c r="BW177" s="1019">
        <f t="shared" ca="1" si="220"/>
        <v>0</v>
      </c>
      <c r="BX177" s="771" cm="1">
        <f t="array" aca="1" ref="BX177" ca="1">INDIRECT("'Definition of Typical Day'!"&amp; ADDRESS($D177+29*(BX$16-1),$E177))</f>
        <v>0</v>
      </c>
      <c r="BY177" s="771">
        <f t="shared" ca="1" si="221"/>
        <v>0</v>
      </c>
      <c r="BZ177" s="781">
        <f t="shared" ca="1" si="162"/>
        <v>0</v>
      </c>
      <c r="CA177" s="781">
        <f t="shared" ca="1" si="163"/>
        <v>0</v>
      </c>
      <c r="CB177" s="776">
        <f t="shared" ca="1" si="164"/>
        <v>0</v>
      </c>
      <c r="CC177" s="782">
        <f t="shared" si="165"/>
        <v>7</v>
      </c>
      <c r="CD177" s="782">
        <f t="shared" si="166"/>
        <v>13</v>
      </c>
      <c r="CE177" s="784" cm="1">
        <f t="array" aca="1" ref="CE177" ca="1">INDIRECT("'Definition of Typical Day'!"&amp;ADDRESS(CE$16,$E177))</f>
        <v>7</v>
      </c>
      <c r="CF177" s="232"/>
      <c r="CG177" s="232"/>
      <c r="CH177" s="776">
        <f t="shared" ca="1" si="167"/>
        <v>0</v>
      </c>
      <c r="CI177" s="806">
        <f t="shared" ca="1" si="168"/>
        <v>0</v>
      </c>
      <c r="CJ177" s="770">
        <f t="shared" ca="1" si="169"/>
        <v>0</v>
      </c>
      <c r="CK177" s="771">
        <f t="shared" ca="1" si="170"/>
        <v>0</v>
      </c>
      <c r="CL177" s="771">
        <f t="shared" ca="1" si="171"/>
        <v>0</v>
      </c>
      <c r="CM177" s="772">
        <f t="shared" ca="1" si="172"/>
        <v>0</v>
      </c>
      <c r="CN177" s="135"/>
      <c r="CO177" s="770">
        <f t="shared" ca="1" si="222"/>
        <v>1.05</v>
      </c>
      <c r="CP177" s="771">
        <f t="shared" ca="1" si="173"/>
        <v>0.02</v>
      </c>
      <c r="CQ177" s="771">
        <f t="shared" ca="1" si="174"/>
        <v>-2.5000000000000001E-2</v>
      </c>
      <c r="CR177" s="771">
        <f t="shared" ca="1" si="175"/>
        <v>0.95</v>
      </c>
      <c r="CS177" s="771">
        <f t="shared" ca="1" si="176"/>
        <v>0.03</v>
      </c>
      <c r="CT177" s="772">
        <f t="shared" ca="1" si="177"/>
        <v>0.02</v>
      </c>
      <c r="CU177" s="135"/>
      <c r="CV177" s="135"/>
      <c r="CW177" s="135"/>
      <c r="CX177" s="135"/>
      <c r="CY177" s="135"/>
      <c r="CZ177" s="135"/>
      <c r="DA177" s="135"/>
      <c r="DB177" s="135"/>
      <c r="DC177" s="135"/>
      <c r="DD177" s="135"/>
      <c r="DE177" s="135"/>
      <c r="DF177" s="135"/>
      <c r="DG177" s="135"/>
      <c r="DH177" s="135"/>
      <c r="DI177" s="135"/>
      <c r="DJ177" s="135"/>
      <c r="DK177" s="135"/>
      <c r="DL177" s="135"/>
      <c r="DX177" s="135"/>
      <c r="DY177" s="135"/>
      <c r="DZ177" s="135"/>
      <c r="EA177" s="135"/>
      <c r="EB177" s="135"/>
      <c r="EC177" s="135"/>
      <c r="ED177" s="135"/>
      <c r="EE177" s="135"/>
      <c r="EF177" s="135"/>
      <c r="EG177" s="135"/>
      <c r="EH177" s="135"/>
      <c r="EI177" s="135"/>
      <c r="EJ177" s="135"/>
      <c r="EK177" s="135"/>
      <c r="EL177" s="135"/>
      <c r="EM177" s="135"/>
      <c r="EN177" s="135"/>
      <c r="EO177" s="135"/>
      <c r="EP177" s="135"/>
      <c r="EQ177" s="135"/>
      <c r="ER177" s="135"/>
      <c r="ES177" s="135"/>
      <c r="ET177" s="135"/>
      <c r="EU177" s="135"/>
      <c r="EV177" s="135"/>
      <c r="EW177" s="135"/>
      <c r="EX177" s="135"/>
      <c r="EY177" s="135"/>
      <c r="EZ177" s="135"/>
      <c r="FA177" s="135"/>
      <c r="FB177" s="135"/>
      <c r="FC177" s="135"/>
      <c r="FD177" s="135"/>
      <c r="FE177" s="135"/>
      <c r="FF177" s="135"/>
      <c r="FG177" s="135"/>
    </row>
    <row r="178" spans="1:163" s="57" customFormat="1" ht="11.25" outlineLevel="1">
      <c r="A178" s="765">
        <f t="shared" si="223"/>
        <v>7</v>
      </c>
      <c r="B178" s="715" cm="1">
        <f t="array" aca="1" ref="B178" ca="1">INDIRECT("'Definition of Typical Day'!"&amp;ADDRESS(B$16,$E178))</f>
        <v>7</v>
      </c>
      <c r="C178" s="766">
        <f t="shared" si="224"/>
        <v>14</v>
      </c>
      <c r="D178" s="715">
        <f t="shared" si="224"/>
        <v>48</v>
      </c>
      <c r="E178" s="715">
        <f t="shared" si="152"/>
        <v>11</v>
      </c>
      <c r="F178" s="767" cm="1">
        <f t="array" aca="1" ref="F178" ca="1">INDIRECT("'Definition of Typical Day'!D"&amp;D178)</f>
        <v>14</v>
      </c>
      <c r="G178" s="767" cm="1">
        <f t="array" aca="1" ref="G178" ca="1">INDIRECT("'Definition of Typical Day'!"&amp;ADDRESS(13,E178))</f>
        <v>7</v>
      </c>
      <c r="H178" s="768" cm="1">
        <f t="array" aca="1" ref="H178" ca="1">INDIRECT("'Definition of Typical Day'!"&amp; ADDRESS($D178+28*(H$16-1),$E178))</f>
        <v>0</v>
      </c>
      <c r="I178" s="715" cm="1">
        <f t="array" aca="1" ref="I178" ca="1">INDIRECT("'Definition of Typical Day'!"&amp; ADDRESS($D178+29*(I$16-1),$E178))</f>
        <v>0</v>
      </c>
      <c r="J178" s="715">
        <f t="shared" ca="1" si="178"/>
        <v>0</v>
      </c>
      <c r="K178" s="785">
        <f t="shared" si="179"/>
        <v>28</v>
      </c>
      <c r="L178" s="786" cm="1">
        <f t="array" aca="1" ref="L178" ca="1">INDIRECT("'Definition of Typical Day'!"&amp; ADDRESS($D178+29*(L$16-1),$E178))</f>
        <v>0</v>
      </c>
      <c r="M178" s="768" cm="1">
        <f t="array" aca="1" ref="M178" ca="1">INDIRECT("'Definition of Typical Day'!"&amp; ADDRESS($D178+29*(M$16-1),$E178))</f>
        <v>0</v>
      </c>
      <c r="N178" s="715">
        <f t="shared" si="180"/>
        <v>3</v>
      </c>
      <c r="O178" s="715">
        <f t="shared" ca="1" si="181"/>
        <v>3</v>
      </c>
      <c r="P178" s="715" cm="1">
        <f t="array" aca="1" ref="P178" ca="1">INDIRECT("'Definition of Typical Day'!"&amp; ADDRESS($D178+29*(P$16-1),$E178))</f>
        <v>0</v>
      </c>
      <c r="Q178" s="787">
        <f t="shared" ca="1" si="182"/>
        <v>3</v>
      </c>
      <c r="R178" s="792">
        <f t="shared" ca="1" si="183"/>
        <v>3</v>
      </c>
      <c r="S178" s="769">
        <f t="shared" si="184"/>
        <v>3</v>
      </c>
      <c r="T178" s="769">
        <f t="shared" ca="1" si="185"/>
        <v>-0.5</v>
      </c>
      <c r="U178" s="769">
        <f t="shared" ca="1" si="186"/>
        <v>2.262</v>
      </c>
      <c r="V178" s="769">
        <f t="shared" ca="1" si="187"/>
        <v>0</v>
      </c>
      <c r="W178" s="769">
        <f t="shared" ca="1" si="188"/>
        <v>4.7620000000000005</v>
      </c>
      <c r="X178" s="794">
        <f t="shared" si="189"/>
        <v>3</v>
      </c>
      <c r="Y178" s="769">
        <f t="shared" ca="1" si="190"/>
        <v>0.54772255750516607</v>
      </c>
      <c r="Z178" s="769">
        <f t="shared" ca="1" si="191"/>
        <v>0</v>
      </c>
      <c r="AA178" s="795">
        <f t="shared" ca="1" si="192"/>
        <v>0</v>
      </c>
      <c r="AB178" s="769">
        <f t="shared" ca="1" si="193"/>
        <v>0</v>
      </c>
      <c r="AC178" s="769">
        <f t="shared" ca="1" si="194"/>
        <v>0</v>
      </c>
      <c r="AD178" s="769">
        <f t="shared" ca="1" si="195"/>
        <v>0</v>
      </c>
      <c r="AE178" s="794">
        <f t="shared" ca="1" si="196"/>
        <v>0</v>
      </c>
      <c r="AF178" s="769">
        <f t="shared" ca="1" si="197"/>
        <v>0</v>
      </c>
      <c r="AG178" s="769">
        <f t="shared" ca="1" si="198"/>
        <v>0</v>
      </c>
      <c r="AH178" s="799">
        <f t="shared" ca="1" si="199"/>
        <v>0</v>
      </c>
      <c r="AI178" s="801">
        <f t="shared" ca="1" si="200"/>
        <v>1</v>
      </c>
      <c r="AJ178" s="794">
        <f t="shared" ca="1" si="201"/>
        <v>0</v>
      </c>
      <c r="AK178" s="769">
        <f t="shared" ca="1" si="202"/>
        <v>0</v>
      </c>
      <c r="AL178" s="769">
        <f t="shared" ca="1" si="203"/>
        <v>0</v>
      </c>
      <c r="AM178" s="804">
        <f t="shared" ca="1" si="153"/>
        <v>0</v>
      </c>
      <c r="AN178" s="795">
        <f t="shared" ca="1" si="154"/>
        <v>0</v>
      </c>
      <c r="AO178" s="251"/>
      <c r="AP178" s="770">
        <f t="shared" si="204"/>
        <v>0</v>
      </c>
      <c r="AQ178" s="771">
        <f t="shared" ca="1" si="205"/>
        <v>0</v>
      </c>
      <c r="AR178" s="771">
        <f t="shared" ca="1" si="206"/>
        <v>0</v>
      </c>
      <c r="AS178" s="772">
        <f t="shared" ca="1" si="207"/>
        <v>0</v>
      </c>
      <c r="AT178" s="231"/>
      <c r="AU178" s="770">
        <f>'Main Results - IRR DC Operator'!$F$16</f>
        <v>2</v>
      </c>
      <c r="AV178" s="773">
        <f>'Main Results - IRR DC Operator'!$F$15</f>
        <v>1</v>
      </c>
      <c r="AW178" s="771">
        <f t="shared" ca="1" si="208"/>
        <v>0</v>
      </c>
      <c r="AX178" s="772">
        <f t="shared" si="209"/>
        <v>0</v>
      </c>
      <c r="AY178" s="231"/>
      <c r="AZ178" s="770" cm="1">
        <f t="array" aca="1" ref="AZ178" ca="1">INDIRECT("'Definition of Typical Day'!"&amp; ADDRESS($D178+29*(AZ$16-1),$E178))+$AZ$17</f>
        <v>11</v>
      </c>
      <c r="BA178" s="771" cm="1">
        <f t="array" aca="1" ref="BA178" ca="1">INDIRECT("'Definition of Typical Day'!"&amp; ADDRESS($D178+29*(BA$16-1),$E178))+$BA$17</f>
        <v>11</v>
      </c>
      <c r="BB178" s="772" cm="1">
        <f t="array" aca="1" ref="BB178" ca="1">INDIRECT("'Definition of Typical Day'!"&amp;ADDRESS(BB$16,$E178))</f>
        <v>0</v>
      </c>
      <c r="BC178" s="776" cm="1">
        <f t="array" aca="1" ref="BC178" ca="1">INDIRECT("'Definition of Typical Day'!"&amp; ADDRESS($D178+29*(BC$16-1),$E178))</f>
        <v>0</v>
      </c>
      <c r="BD178" s="777" cm="1">
        <f t="array" aca="1" ref="BD178" ca="1">INDIRECT("'Definition of Typical Day'!"&amp; ADDRESS($D178+29*(BD$16-1),$E178))</f>
        <v>0</v>
      </c>
      <c r="BE178" s="776">
        <f t="shared" si="210"/>
        <v>0</v>
      </c>
      <c r="BF178" s="771">
        <f t="shared" ca="1" si="211"/>
        <v>0</v>
      </c>
      <c r="BG178" s="771">
        <f t="shared" ca="1" si="212"/>
        <v>0</v>
      </c>
      <c r="BH178" s="771">
        <f t="shared" ca="1" si="213"/>
        <v>0</v>
      </c>
      <c r="BI178" s="776">
        <f t="shared" ca="1" si="214"/>
        <v>0</v>
      </c>
      <c r="BJ178" s="776">
        <f t="shared" ca="1" si="215"/>
        <v>0</v>
      </c>
      <c r="BK178" s="776">
        <f t="shared" ca="1" si="216"/>
        <v>0</v>
      </c>
      <c r="BL178" s="776">
        <f t="shared" ca="1" si="217"/>
        <v>0</v>
      </c>
      <c r="BM178" s="135"/>
      <c r="BN178" s="776">
        <f t="shared" ca="1" si="218"/>
        <v>0</v>
      </c>
      <c r="BO178" s="778">
        <f t="shared" ca="1" si="155"/>
        <v>0</v>
      </c>
      <c r="BP178" s="770">
        <f t="shared" ca="1" si="156"/>
        <v>0</v>
      </c>
      <c r="BQ178" s="771">
        <f t="shared" ca="1" si="157"/>
        <v>0</v>
      </c>
      <c r="BR178" s="771">
        <f t="shared" ca="1" si="158"/>
        <v>0</v>
      </c>
      <c r="BS178" s="776">
        <f t="shared" ca="1" si="219"/>
        <v>0</v>
      </c>
      <c r="BT178" s="776">
        <f t="shared" ca="1" si="159"/>
        <v>0</v>
      </c>
      <c r="BU178" s="783">
        <f t="shared" ca="1" si="160"/>
        <v>0</v>
      </c>
      <c r="BV178" s="783">
        <f t="shared" ca="1" si="161"/>
        <v>0</v>
      </c>
      <c r="BW178" s="1019">
        <f t="shared" ca="1" si="220"/>
        <v>0</v>
      </c>
      <c r="BX178" s="771" cm="1">
        <f t="array" aca="1" ref="BX178" ca="1">INDIRECT("'Definition of Typical Day'!"&amp; ADDRESS($D178+29*(BX$16-1),$E178))</f>
        <v>0</v>
      </c>
      <c r="BY178" s="771">
        <f t="shared" ca="1" si="221"/>
        <v>0</v>
      </c>
      <c r="BZ178" s="781">
        <f t="shared" ca="1" si="162"/>
        <v>0</v>
      </c>
      <c r="CA178" s="781">
        <f t="shared" ca="1" si="163"/>
        <v>0</v>
      </c>
      <c r="CB178" s="776">
        <f t="shared" ca="1" si="164"/>
        <v>0</v>
      </c>
      <c r="CC178" s="782">
        <f t="shared" si="165"/>
        <v>7</v>
      </c>
      <c r="CD178" s="782">
        <f t="shared" si="166"/>
        <v>14</v>
      </c>
      <c r="CE178" s="784" cm="1">
        <f t="array" aca="1" ref="CE178" ca="1">INDIRECT("'Definition of Typical Day'!"&amp;ADDRESS(CE$16,$E178))</f>
        <v>7</v>
      </c>
      <c r="CF178" s="232"/>
      <c r="CG178" s="232"/>
      <c r="CH178" s="776">
        <f t="shared" ca="1" si="167"/>
        <v>0</v>
      </c>
      <c r="CI178" s="806">
        <f t="shared" ca="1" si="168"/>
        <v>0</v>
      </c>
      <c r="CJ178" s="770">
        <f t="shared" ca="1" si="169"/>
        <v>0</v>
      </c>
      <c r="CK178" s="771">
        <f t="shared" ca="1" si="170"/>
        <v>0</v>
      </c>
      <c r="CL178" s="771">
        <f t="shared" ca="1" si="171"/>
        <v>0</v>
      </c>
      <c r="CM178" s="772">
        <f t="shared" ca="1" si="172"/>
        <v>0</v>
      </c>
      <c r="CN178" s="135"/>
      <c r="CO178" s="770">
        <f t="shared" ca="1" si="222"/>
        <v>1.05</v>
      </c>
      <c r="CP178" s="771">
        <f t="shared" ca="1" si="173"/>
        <v>0.02</v>
      </c>
      <c r="CQ178" s="771">
        <f t="shared" ca="1" si="174"/>
        <v>-2.5000000000000001E-2</v>
      </c>
      <c r="CR178" s="771">
        <f t="shared" ca="1" si="175"/>
        <v>0.95</v>
      </c>
      <c r="CS178" s="771">
        <f t="shared" ca="1" si="176"/>
        <v>0.03</v>
      </c>
      <c r="CT178" s="772">
        <f t="shared" ca="1" si="177"/>
        <v>0.02</v>
      </c>
      <c r="CU178" s="135"/>
      <c r="CV178" s="135"/>
      <c r="CW178" s="135"/>
      <c r="CX178" s="135"/>
      <c r="CY178" s="135"/>
      <c r="CZ178" s="135"/>
      <c r="DA178" s="135"/>
      <c r="DB178" s="135"/>
      <c r="DC178" s="135"/>
      <c r="DD178" s="135"/>
      <c r="DE178" s="135"/>
      <c r="DF178" s="135"/>
      <c r="DG178" s="135"/>
      <c r="DH178" s="135"/>
      <c r="DI178" s="135"/>
      <c r="DJ178" s="135"/>
      <c r="DK178" s="135"/>
      <c r="DL178" s="135"/>
      <c r="DX178" s="135"/>
      <c r="DY178" s="135"/>
      <c r="DZ178" s="135"/>
      <c r="EA178" s="135"/>
      <c r="EB178" s="135"/>
      <c r="EC178" s="135"/>
      <c r="ED178" s="135"/>
      <c r="EE178" s="135"/>
      <c r="EF178" s="135"/>
      <c r="EG178" s="135"/>
      <c r="EH178" s="135"/>
      <c r="EI178" s="135"/>
      <c r="EJ178" s="135"/>
      <c r="EK178" s="135"/>
      <c r="EL178" s="135"/>
      <c r="EM178" s="135"/>
      <c r="EN178" s="135"/>
      <c r="EO178" s="135"/>
      <c r="EP178" s="135"/>
      <c r="EQ178" s="135"/>
      <c r="ER178" s="135"/>
      <c r="ES178" s="135"/>
      <c r="ET178" s="135"/>
      <c r="EU178" s="135"/>
      <c r="EV178" s="135"/>
      <c r="EW178" s="135"/>
      <c r="EX178" s="135"/>
      <c r="EY178" s="135"/>
      <c r="EZ178" s="135"/>
      <c r="FA178" s="135"/>
      <c r="FB178" s="135"/>
      <c r="FC178" s="135"/>
      <c r="FD178" s="135"/>
      <c r="FE178" s="135"/>
      <c r="FF178" s="135"/>
      <c r="FG178" s="135"/>
    </row>
    <row r="179" spans="1:163" s="57" customFormat="1" ht="11.25" outlineLevel="1">
      <c r="A179" s="765">
        <f t="shared" si="223"/>
        <v>7</v>
      </c>
      <c r="B179" s="715" cm="1">
        <f t="array" aca="1" ref="B179" ca="1">INDIRECT("'Definition of Typical Day'!"&amp;ADDRESS(B$16,$E179))</f>
        <v>7</v>
      </c>
      <c r="C179" s="766">
        <f t="shared" si="224"/>
        <v>15</v>
      </c>
      <c r="D179" s="715">
        <f t="shared" si="224"/>
        <v>49</v>
      </c>
      <c r="E179" s="715">
        <f t="shared" si="152"/>
        <v>11</v>
      </c>
      <c r="F179" s="767" cm="1">
        <f t="array" aca="1" ref="F179" ca="1">INDIRECT("'Definition of Typical Day'!D"&amp;D179)</f>
        <v>15</v>
      </c>
      <c r="G179" s="767" cm="1">
        <f t="array" aca="1" ref="G179" ca="1">INDIRECT("'Definition of Typical Day'!"&amp;ADDRESS(13,E179))</f>
        <v>7</v>
      </c>
      <c r="H179" s="768" cm="1">
        <f t="array" aca="1" ref="H179" ca="1">INDIRECT("'Definition of Typical Day'!"&amp; ADDRESS($D179+28*(H$16-1),$E179))</f>
        <v>0</v>
      </c>
      <c r="I179" s="715" cm="1">
        <f t="array" aca="1" ref="I179" ca="1">INDIRECT("'Definition of Typical Day'!"&amp; ADDRESS($D179+29*(I$16-1),$E179))</f>
        <v>0</v>
      </c>
      <c r="J179" s="715">
        <f t="shared" ca="1" si="178"/>
        <v>0</v>
      </c>
      <c r="K179" s="785">
        <f t="shared" si="179"/>
        <v>28</v>
      </c>
      <c r="L179" s="786" cm="1">
        <f t="array" aca="1" ref="L179" ca="1">INDIRECT("'Definition of Typical Day'!"&amp; ADDRESS($D179+29*(L$16-1),$E179))</f>
        <v>0</v>
      </c>
      <c r="M179" s="768" cm="1">
        <f t="array" aca="1" ref="M179" ca="1">INDIRECT("'Definition of Typical Day'!"&amp; ADDRESS($D179+29*(M$16-1),$E179))</f>
        <v>0</v>
      </c>
      <c r="N179" s="715">
        <f t="shared" si="180"/>
        <v>3</v>
      </c>
      <c r="O179" s="715">
        <f t="shared" ca="1" si="181"/>
        <v>3</v>
      </c>
      <c r="P179" s="715" cm="1">
        <f t="array" aca="1" ref="P179" ca="1">INDIRECT("'Definition of Typical Day'!"&amp; ADDRESS($D179+29*(P$16-1),$E179))</f>
        <v>0</v>
      </c>
      <c r="Q179" s="787">
        <f t="shared" ca="1" si="182"/>
        <v>3</v>
      </c>
      <c r="R179" s="792">
        <f t="shared" ca="1" si="183"/>
        <v>3</v>
      </c>
      <c r="S179" s="769">
        <f t="shared" si="184"/>
        <v>3</v>
      </c>
      <c r="T179" s="769">
        <f t="shared" ca="1" si="185"/>
        <v>-0.5</v>
      </c>
      <c r="U179" s="769">
        <f t="shared" ca="1" si="186"/>
        <v>2.262</v>
      </c>
      <c r="V179" s="769">
        <f t="shared" ca="1" si="187"/>
        <v>0</v>
      </c>
      <c r="W179" s="769">
        <f t="shared" ca="1" si="188"/>
        <v>4.7620000000000005</v>
      </c>
      <c r="X179" s="794">
        <f t="shared" si="189"/>
        <v>3</v>
      </c>
      <c r="Y179" s="769">
        <f t="shared" ca="1" si="190"/>
        <v>0.54772255750516607</v>
      </c>
      <c r="Z179" s="769">
        <f t="shared" ca="1" si="191"/>
        <v>0</v>
      </c>
      <c r="AA179" s="795">
        <f t="shared" ca="1" si="192"/>
        <v>0</v>
      </c>
      <c r="AB179" s="769">
        <f t="shared" ca="1" si="193"/>
        <v>0</v>
      </c>
      <c r="AC179" s="769">
        <f t="shared" ca="1" si="194"/>
        <v>0</v>
      </c>
      <c r="AD179" s="769">
        <f t="shared" ca="1" si="195"/>
        <v>0</v>
      </c>
      <c r="AE179" s="794">
        <f t="shared" ca="1" si="196"/>
        <v>0</v>
      </c>
      <c r="AF179" s="769">
        <f t="shared" ca="1" si="197"/>
        <v>0</v>
      </c>
      <c r="AG179" s="769">
        <f t="shared" ca="1" si="198"/>
        <v>0</v>
      </c>
      <c r="AH179" s="799">
        <f t="shared" ca="1" si="199"/>
        <v>0</v>
      </c>
      <c r="AI179" s="801">
        <f t="shared" ca="1" si="200"/>
        <v>1</v>
      </c>
      <c r="AJ179" s="794">
        <f t="shared" ca="1" si="201"/>
        <v>0</v>
      </c>
      <c r="AK179" s="769">
        <f t="shared" ca="1" si="202"/>
        <v>0</v>
      </c>
      <c r="AL179" s="769">
        <f t="shared" ca="1" si="203"/>
        <v>0</v>
      </c>
      <c r="AM179" s="804">
        <f t="shared" ca="1" si="153"/>
        <v>0</v>
      </c>
      <c r="AN179" s="795">
        <f t="shared" ca="1" si="154"/>
        <v>0</v>
      </c>
      <c r="AO179" s="251"/>
      <c r="AP179" s="770">
        <f t="shared" si="204"/>
        <v>0</v>
      </c>
      <c r="AQ179" s="771">
        <f t="shared" ca="1" si="205"/>
        <v>0</v>
      </c>
      <c r="AR179" s="771">
        <f t="shared" ca="1" si="206"/>
        <v>0</v>
      </c>
      <c r="AS179" s="772">
        <f t="shared" ca="1" si="207"/>
        <v>0</v>
      </c>
      <c r="AT179" s="231"/>
      <c r="AU179" s="770">
        <f>'Main Results - IRR DC Operator'!$F$16</f>
        <v>2</v>
      </c>
      <c r="AV179" s="773">
        <f>'Main Results - IRR DC Operator'!$F$15</f>
        <v>1</v>
      </c>
      <c r="AW179" s="771">
        <f t="shared" ca="1" si="208"/>
        <v>0</v>
      </c>
      <c r="AX179" s="772">
        <f t="shared" si="209"/>
        <v>0</v>
      </c>
      <c r="AY179" s="231"/>
      <c r="AZ179" s="770" cm="1">
        <f t="array" aca="1" ref="AZ179" ca="1">INDIRECT("'Definition of Typical Day'!"&amp; ADDRESS($D179+29*(AZ$16-1),$E179))+$AZ$17</f>
        <v>11</v>
      </c>
      <c r="BA179" s="771" cm="1">
        <f t="array" aca="1" ref="BA179" ca="1">INDIRECT("'Definition of Typical Day'!"&amp; ADDRESS($D179+29*(BA$16-1),$E179))+$BA$17</f>
        <v>11</v>
      </c>
      <c r="BB179" s="772" cm="1">
        <f t="array" aca="1" ref="BB179" ca="1">INDIRECT("'Definition of Typical Day'!"&amp;ADDRESS(BB$16,$E179))</f>
        <v>0</v>
      </c>
      <c r="BC179" s="776" cm="1">
        <f t="array" aca="1" ref="BC179" ca="1">INDIRECT("'Definition of Typical Day'!"&amp; ADDRESS($D179+29*(BC$16-1),$E179))</f>
        <v>0</v>
      </c>
      <c r="BD179" s="777" cm="1">
        <f t="array" aca="1" ref="BD179" ca="1">INDIRECT("'Definition of Typical Day'!"&amp; ADDRESS($D179+29*(BD$16-1),$E179))</f>
        <v>0</v>
      </c>
      <c r="BE179" s="776">
        <f t="shared" si="210"/>
        <v>0</v>
      </c>
      <c r="BF179" s="771">
        <f t="shared" ca="1" si="211"/>
        <v>0</v>
      </c>
      <c r="BG179" s="771">
        <f t="shared" ca="1" si="212"/>
        <v>0</v>
      </c>
      <c r="BH179" s="771">
        <f t="shared" ca="1" si="213"/>
        <v>0</v>
      </c>
      <c r="BI179" s="776">
        <f t="shared" ca="1" si="214"/>
        <v>0</v>
      </c>
      <c r="BJ179" s="776">
        <f t="shared" ca="1" si="215"/>
        <v>0</v>
      </c>
      <c r="BK179" s="776">
        <f t="shared" ca="1" si="216"/>
        <v>0</v>
      </c>
      <c r="BL179" s="776">
        <f t="shared" ca="1" si="217"/>
        <v>0</v>
      </c>
      <c r="BM179" s="135"/>
      <c r="BN179" s="776">
        <f t="shared" ca="1" si="218"/>
        <v>0</v>
      </c>
      <c r="BO179" s="778">
        <f t="shared" ca="1" si="155"/>
        <v>0</v>
      </c>
      <c r="BP179" s="770">
        <f t="shared" ca="1" si="156"/>
        <v>0</v>
      </c>
      <c r="BQ179" s="771">
        <f t="shared" ca="1" si="157"/>
        <v>0</v>
      </c>
      <c r="BR179" s="771">
        <f t="shared" ca="1" si="158"/>
        <v>0</v>
      </c>
      <c r="BS179" s="776">
        <f t="shared" ca="1" si="219"/>
        <v>0</v>
      </c>
      <c r="BT179" s="776">
        <f t="shared" ca="1" si="159"/>
        <v>0</v>
      </c>
      <c r="BU179" s="783">
        <f t="shared" ca="1" si="160"/>
        <v>0</v>
      </c>
      <c r="BV179" s="783">
        <f t="shared" ca="1" si="161"/>
        <v>0</v>
      </c>
      <c r="BW179" s="1019">
        <f t="shared" ca="1" si="220"/>
        <v>0</v>
      </c>
      <c r="BX179" s="771" cm="1">
        <f t="array" aca="1" ref="BX179" ca="1">INDIRECT("'Definition of Typical Day'!"&amp; ADDRESS($D179+29*(BX$16-1),$E179))</f>
        <v>0</v>
      </c>
      <c r="BY179" s="771">
        <f t="shared" ca="1" si="221"/>
        <v>0</v>
      </c>
      <c r="BZ179" s="781">
        <f t="shared" ca="1" si="162"/>
        <v>0</v>
      </c>
      <c r="CA179" s="781">
        <f t="shared" ca="1" si="163"/>
        <v>0</v>
      </c>
      <c r="CB179" s="776">
        <f t="shared" ca="1" si="164"/>
        <v>0</v>
      </c>
      <c r="CC179" s="782">
        <f t="shared" si="165"/>
        <v>7</v>
      </c>
      <c r="CD179" s="782">
        <f t="shared" si="166"/>
        <v>15</v>
      </c>
      <c r="CE179" s="784" cm="1">
        <f t="array" aca="1" ref="CE179" ca="1">INDIRECT("'Definition of Typical Day'!"&amp;ADDRESS(CE$16,$E179))</f>
        <v>7</v>
      </c>
      <c r="CF179" s="232"/>
      <c r="CG179" s="232"/>
      <c r="CH179" s="776">
        <f t="shared" ca="1" si="167"/>
        <v>0</v>
      </c>
      <c r="CI179" s="806">
        <f t="shared" ca="1" si="168"/>
        <v>0</v>
      </c>
      <c r="CJ179" s="770">
        <f t="shared" ca="1" si="169"/>
        <v>0</v>
      </c>
      <c r="CK179" s="771">
        <f t="shared" ca="1" si="170"/>
        <v>0</v>
      </c>
      <c r="CL179" s="771">
        <f t="shared" ca="1" si="171"/>
        <v>0</v>
      </c>
      <c r="CM179" s="772">
        <f t="shared" ca="1" si="172"/>
        <v>0</v>
      </c>
      <c r="CN179" s="135"/>
      <c r="CO179" s="770">
        <f t="shared" ca="1" si="222"/>
        <v>1.05</v>
      </c>
      <c r="CP179" s="771">
        <f t="shared" ca="1" si="173"/>
        <v>0.02</v>
      </c>
      <c r="CQ179" s="771">
        <f t="shared" ca="1" si="174"/>
        <v>-2.5000000000000001E-2</v>
      </c>
      <c r="CR179" s="771">
        <f t="shared" ca="1" si="175"/>
        <v>0.95</v>
      </c>
      <c r="CS179" s="771">
        <f t="shared" ca="1" si="176"/>
        <v>0.03</v>
      </c>
      <c r="CT179" s="772">
        <f t="shared" ca="1" si="177"/>
        <v>0.02</v>
      </c>
      <c r="CU179" s="135"/>
      <c r="CV179" s="135"/>
      <c r="CW179" s="135"/>
      <c r="CX179" s="135"/>
      <c r="CY179" s="135"/>
      <c r="CZ179" s="135"/>
      <c r="DA179" s="135"/>
      <c r="DB179" s="135"/>
      <c r="DC179" s="135"/>
      <c r="DD179" s="135"/>
      <c r="DE179" s="135"/>
      <c r="DF179" s="135"/>
      <c r="DG179" s="135"/>
      <c r="DH179" s="135"/>
      <c r="DI179" s="135"/>
      <c r="DJ179" s="135"/>
      <c r="DK179" s="135"/>
      <c r="DL179" s="135"/>
      <c r="DX179" s="135"/>
      <c r="DY179" s="135"/>
      <c r="DZ179" s="135"/>
      <c r="EA179" s="135"/>
      <c r="EB179" s="135"/>
      <c r="EC179" s="135"/>
      <c r="ED179" s="135"/>
      <c r="EE179" s="135"/>
      <c r="EF179" s="135"/>
      <c r="EG179" s="135"/>
      <c r="EH179" s="135"/>
      <c r="EI179" s="135"/>
      <c r="EJ179" s="135"/>
      <c r="EK179" s="135"/>
      <c r="EL179" s="135"/>
      <c r="EM179" s="135"/>
      <c r="EN179" s="135"/>
      <c r="EO179" s="135"/>
      <c r="EP179" s="135"/>
      <c r="EQ179" s="135"/>
      <c r="ER179" s="135"/>
      <c r="ES179" s="135"/>
      <c r="ET179" s="135"/>
      <c r="EU179" s="135"/>
      <c r="EV179" s="135"/>
      <c r="EW179" s="135"/>
      <c r="EX179" s="135"/>
      <c r="EY179" s="135"/>
      <c r="EZ179" s="135"/>
      <c r="FA179" s="135"/>
      <c r="FB179" s="135"/>
      <c r="FC179" s="135"/>
      <c r="FD179" s="135"/>
      <c r="FE179" s="135"/>
      <c r="FF179" s="135"/>
      <c r="FG179" s="135"/>
    </row>
    <row r="180" spans="1:163" s="57" customFormat="1" ht="11.25" outlineLevel="1">
      <c r="A180" s="765">
        <f t="shared" si="223"/>
        <v>7</v>
      </c>
      <c r="B180" s="715" cm="1">
        <f t="array" aca="1" ref="B180" ca="1">INDIRECT("'Definition of Typical Day'!"&amp;ADDRESS(B$16,$E180))</f>
        <v>7</v>
      </c>
      <c r="C180" s="766">
        <f t="shared" si="224"/>
        <v>16</v>
      </c>
      <c r="D180" s="715">
        <f t="shared" si="224"/>
        <v>50</v>
      </c>
      <c r="E180" s="715">
        <f t="shared" si="152"/>
        <v>11</v>
      </c>
      <c r="F180" s="767" cm="1">
        <f t="array" aca="1" ref="F180" ca="1">INDIRECT("'Definition of Typical Day'!D"&amp;D180)</f>
        <v>16</v>
      </c>
      <c r="G180" s="767" cm="1">
        <f t="array" aca="1" ref="G180" ca="1">INDIRECT("'Definition of Typical Day'!"&amp;ADDRESS(13,E180))</f>
        <v>7</v>
      </c>
      <c r="H180" s="768" cm="1">
        <f t="array" aca="1" ref="H180" ca="1">INDIRECT("'Definition of Typical Day'!"&amp; ADDRESS($D180+28*(H$16-1),$E180))</f>
        <v>0</v>
      </c>
      <c r="I180" s="715" cm="1">
        <f t="array" aca="1" ref="I180" ca="1">INDIRECT("'Definition of Typical Day'!"&amp; ADDRESS($D180+29*(I$16-1),$E180))</f>
        <v>0</v>
      </c>
      <c r="J180" s="715">
        <f t="shared" ca="1" si="178"/>
        <v>0</v>
      </c>
      <c r="K180" s="785">
        <f t="shared" si="179"/>
        <v>28</v>
      </c>
      <c r="L180" s="786" cm="1">
        <f t="array" aca="1" ref="L180" ca="1">INDIRECT("'Definition of Typical Day'!"&amp; ADDRESS($D180+29*(L$16-1),$E180))</f>
        <v>0</v>
      </c>
      <c r="M180" s="768" cm="1">
        <f t="array" aca="1" ref="M180" ca="1">INDIRECT("'Definition of Typical Day'!"&amp; ADDRESS($D180+29*(M$16-1),$E180))</f>
        <v>0</v>
      </c>
      <c r="N180" s="715">
        <f t="shared" si="180"/>
        <v>3</v>
      </c>
      <c r="O180" s="715">
        <f t="shared" ca="1" si="181"/>
        <v>3</v>
      </c>
      <c r="P180" s="715" cm="1">
        <f t="array" aca="1" ref="P180" ca="1">INDIRECT("'Definition of Typical Day'!"&amp; ADDRESS($D180+29*(P$16-1),$E180))</f>
        <v>0</v>
      </c>
      <c r="Q180" s="787">
        <f t="shared" ca="1" si="182"/>
        <v>3</v>
      </c>
      <c r="R180" s="792">
        <f t="shared" ca="1" si="183"/>
        <v>3</v>
      </c>
      <c r="S180" s="769">
        <f t="shared" si="184"/>
        <v>3</v>
      </c>
      <c r="T180" s="769">
        <f t="shared" ca="1" si="185"/>
        <v>-0.5</v>
      </c>
      <c r="U180" s="769">
        <f t="shared" ca="1" si="186"/>
        <v>2.262</v>
      </c>
      <c r="V180" s="769">
        <f t="shared" ca="1" si="187"/>
        <v>0</v>
      </c>
      <c r="W180" s="769">
        <f t="shared" ca="1" si="188"/>
        <v>4.7620000000000005</v>
      </c>
      <c r="X180" s="794">
        <f t="shared" si="189"/>
        <v>3</v>
      </c>
      <c r="Y180" s="769">
        <f t="shared" ca="1" si="190"/>
        <v>0.54772255750516607</v>
      </c>
      <c r="Z180" s="769">
        <f t="shared" ca="1" si="191"/>
        <v>0</v>
      </c>
      <c r="AA180" s="795">
        <f t="shared" ca="1" si="192"/>
        <v>0</v>
      </c>
      <c r="AB180" s="769">
        <f t="shared" ca="1" si="193"/>
        <v>0</v>
      </c>
      <c r="AC180" s="769">
        <f t="shared" ca="1" si="194"/>
        <v>0</v>
      </c>
      <c r="AD180" s="769">
        <f t="shared" ca="1" si="195"/>
        <v>0</v>
      </c>
      <c r="AE180" s="794">
        <f t="shared" ca="1" si="196"/>
        <v>0</v>
      </c>
      <c r="AF180" s="769">
        <f t="shared" ca="1" si="197"/>
        <v>0</v>
      </c>
      <c r="AG180" s="769">
        <f t="shared" ca="1" si="198"/>
        <v>0</v>
      </c>
      <c r="AH180" s="799">
        <f t="shared" ca="1" si="199"/>
        <v>0</v>
      </c>
      <c r="AI180" s="801">
        <f t="shared" ca="1" si="200"/>
        <v>1</v>
      </c>
      <c r="AJ180" s="794">
        <f t="shared" ca="1" si="201"/>
        <v>0</v>
      </c>
      <c r="AK180" s="769">
        <f t="shared" ca="1" si="202"/>
        <v>0</v>
      </c>
      <c r="AL180" s="769">
        <f t="shared" ca="1" si="203"/>
        <v>0</v>
      </c>
      <c r="AM180" s="804">
        <f t="shared" ca="1" si="153"/>
        <v>0</v>
      </c>
      <c r="AN180" s="795">
        <f t="shared" ca="1" si="154"/>
        <v>0</v>
      </c>
      <c r="AO180" s="251"/>
      <c r="AP180" s="770">
        <f t="shared" si="204"/>
        <v>0</v>
      </c>
      <c r="AQ180" s="771">
        <f t="shared" ca="1" si="205"/>
        <v>0</v>
      </c>
      <c r="AR180" s="771">
        <f t="shared" ca="1" si="206"/>
        <v>0</v>
      </c>
      <c r="AS180" s="772">
        <f t="shared" ca="1" si="207"/>
        <v>0</v>
      </c>
      <c r="AT180" s="231"/>
      <c r="AU180" s="770">
        <f>'Main Results - IRR DC Operator'!$F$16</f>
        <v>2</v>
      </c>
      <c r="AV180" s="773">
        <f>'Main Results - IRR DC Operator'!$F$15</f>
        <v>1</v>
      </c>
      <c r="AW180" s="771">
        <f t="shared" ca="1" si="208"/>
        <v>0</v>
      </c>
      <c r="AX180" s="772">
        <f t="shared" si="209"/>
        <v>0</v>
      </c>
      <c r="AY180" s="231"/>
      <c r="AZ180" s="770" cm="1">
        <f t="array" aca="1" ref="AZ180" ca="1">INDIRECT("'Definition of Typical Day'!"&amp; ADDRESS($D180+29*(AZ$16-1),$E180))+$AZ$17</f>
        <v>11</v>
      </c>
      <c r="BA180" s="771" cm="1">
        <f t="array" aca="1" ref="BA180" ca="1">INDIRECT("'Definition of Typical Day'!"&amp; ADDRESS($D180+29*(BA$16-1),$E180))+$BA$17</f>
        <v>11</v>
      </c>
      <c r="BB180" s="772" cm="1">
        <f t="array" aca="1" ref="BB180" ca="1">INDIRECT("'Definition of Typical Day'!"&amp;ADDRESS(BB$16,$E180))</f>
        <v>0</v>
      </c>
      <c r="BC180" s="776" cm="1">
        <f t="array" aca="1" ref="BC180" ca="1">INDIRECT("'Definition of Typical Day'!"&amp; ADDRESS($D180+29*(BC$16-1),$E180))</f>
        <v>0</v>
      </c>
      <c r="BD180" s="777" cm="1">
        <f t="array" aca="1" ref="BD180" ca="1">INDIRECT("'Definition of Typical Day'!"&amp; ADDRESS($D180+29*(BD$16-1),$E180))</f>
        <v>0</v>
      </c>
      <c r="BE180" s="776">
        <f t="shared" si="210"/>
        <v>0</v>
      </c>
      <c r="BF180" s="771">
        <f t="shared" ca="1" si="211"/>
        <v>0</v>
      </c>
      <c r="BG180" s="771">
        <f t="shared" ca="1" si="212"/>
        <v>0</v>
      </c>
      <c r="BH180" s="771">
        <f t="shared" ca="1" si="213"/>
        <v>0</v>
      </c>
      <c r="BI180" s="776">
        <f t="shared" ca="1" si="214"/>
        <v>0</v>
      </c>
      <c r="BJ180" s="776">
        <f t="shared" ca="1" si="215"/>
        <v>0</v>
      </c>
      <c r="BK180" s="776">
        <f t="shared" ca="1" si="216"/>
        <v>0</v>
      </c>
      <c r="BL180" s="776">
        <f t="shared" ca="1" si="217"/>
        <v>0</v>
      </c>
      <c r="BM180" s="135"/>
      <c r="BN180" s="776">
        <f t="shared" ca="1" si="218"/>
        <v>0</v>
      </c>
      <c r="BO180" s="778">
        <f t="shared" ca="1" si="155"/>
        <v>0</v>
      </c>
      <c r="BP180" s="770">
        <f t="shared" ca="1" si="156"/>
        <v>0</v>
      </c>
      <c r="BQ180" s="771">
        <f t="shared" ca="1" si="157"/>
        <v>0</v>
      </c>
      <c r="BR180" s="771">
        <f t="shared" ca="1" si="158"/>
        <v>0</v>
      </c>
      <c r="BS180" s="776">
        <f t="shared" ca="1" si="219"/>
        <v>0</v>
      </c>
      <c r="BT180" s="776">
        <f t="shared" ca="1" si="159"/>
        <v>0</v>
      </c>
      <c r="BU180" s="783">
        <f t="shared" ca="1" si="160"/>
        <v>0</v>
      </c>
      <c r="BV180" s="783">
        <f t="shared" ca="1" si="161"/>
        <v>0</v>
      </c>
      <c r="BW180" s="1019">
        <f t="shared" ca="1" si="220"/>
        <v>0</v>
      </c>
      <c r="BX180" s="771" cm="1">
        <f t="array" aca="1" ref="BX180" ca="1">INDIRECT("'Definition of Typical Day'!"&amp; ADDRESS($D180+29*(BX$16-1),$E180))</f>
        <v>0</v>
      </c>
      <c r="BY180" s="771">
        <f t="shared" ca="1" si="221"/>
        <v>0</v>
      </c>
      <c r="BZ180" s="781">
        <f t="shared" ca="1" si="162"/>
        <v>0</v>
      </c>
      <c r="CA180" s="781">
        <f t="shared" ca="1" si="163"/>
        <v>0</v>
      </c>
      <c r="CB180" s="776">
        <f t="shared" ca="1" si="164"/>
        <v>0</v>
      </c>
      <c r="CC180" s="782">
        <f t="shared" si="165"/>
        <v>7</v>
      </c>
      <c r="CD180" s="782">
        <f t="shared" si="166"/>
        <v>16</v>
      </c>
      <c r="CE180" s="784" cm="1">
        <f t="array" aca="1" ref="CE180" ca="1">INDIRECT("'Definition of Typical Day'!"&amp;ADDRESS(CE$16,$E180))</f>
        <v>7</v>
      </c>
      <c r="CF180" s="232"/>
      <c r="CG180" s="232"/>
      <c r="CH180" s="776">
        <f t="shared" ca="1" si="167"/>
        <v>0</v>
      </c>
      <c r="CI180" s="806">
        <f t="shared" ca="1" si="168"/>
        <v>0</v>
      </c>
      <c r="CJ180" s="770">
        <f t="shared" ca="1" si="169"/>
        <v>0</v>
      </c>
      <c r="CK180" s="771">
        <f t="shared" ca="1" si="170"/>
        <v>0</v>
      </c>
      <c r="CL180" s="771">
        <f t="shared" ca="1" si="171"/>
        <v>0</v>
      </c>
      <c r="CM180" s="772">
        <f t="shared" ca="1" si="172"/>
        <v>0</v>
      </c>
      <c r="CN180" s="135"/>
      <c r="CO180" s="770">
        <f t="shared" ca="1" si="222"/>
        <v>1.05</v>
      </c>
      <c r="CP180" s="771">
        <f t="shared" ca="1" si="173"/>
        <v>0.02</v>
      </c>
      <c r="CQ180" s="771">
        <f t="shared" ca="1" si="174"/>
        <v>-2.5000000000000001E-2</v>
      </c>
      <c r="CR180" s="771">
        <f t="shared" ca="1" si="175"/>
        <v>0.95</v>
      </c>
      <c r="CS180" s="771">
        <f t="shared" ca="1" si="176"/>
        <v>0.03</v>
      </c>
      <c r="CT180" s="772">
        <f t="shared" ca="1" si="177"/>
        <v>0.02</v>
      </c>
      <c r="CU180" s="135"/>
      <c r="CV180" s="135"/>
      <c r="CW180" s="135"/>
      <c r="CX180" s="135"/>
      <c r="CY180" s="135"/>
      <c r="CZ180" s="135"/>
      <c r="DA180" s="135"/>
      <c r="DB180" s="135"/>
      <c r="DC180" s="135"/>
      <c r="DD180" s="135"/>
      <c r="DE180" s="135"/>
      <c r="DF180" s="135"/>
      <c r="DG180" s="135"/>
      <c r="DH180" s="135"/>
      <c r="DI180" s="135"/>
      <c r="DJ180" s="135"/>
      <c r="DK180" s="135"/>
      <c r="DL180" s="135"/>
      <c r="DX180" s="135"/>
      <c r="DY180" s="135"/>
      <c r="DZ180" s="135"/>
      <c r="EA180" s="135"/>
      <c r="EB180" s="135"/>
      <c r="EC180" s="135"/>
      <c r="ED180" s="135"/>
      <c r="EE180" s="135"/>
      <c r="EF180" s="135"/>
      <c r="EG180" s="135"/>
      <c r="EH180" s="135"/>
      <c r="EI180" s="135"/>
      <c r="EJ180" s="135"/>
      <c r="EK180" s="135"/>
      <c r="EL180" s="135"/>
      <c r="EM180" s="135"/>
      <c r="EN180" s="135"/>
      <c r="EO180" s="135"/>
      <c r="EP180" s="135"/>
      <c r="EQ180" s="135"/>
      <c r="ER180" s="135"/>
      <c r="ES180" s="135"/>
      <c r="ET180" s="135"/>
      <c r="EU180" s="135"/>
      <c r="EV180" s="135"/>
      <c r="EW180" s="135"/>
      <c r="EX180" s="135"/>
      <c r="EY180" s="135"/>
      <c r="EZ180" s="135"/>
      <c r="FA180" s="135"/>
      <c r="FB180" s="135"/>
      <c r="FC180" s="135"/>
      <c r="FD180" s="135"/>
      <c r="FE180" s="135"/>
      <c r="FF180" s="135"/>
      <c r="FG180" s="135"/>
    </row>
    <row r="181" spans="1:163" s="57" customFormat="1" ht="11.25" outlineLevel="1">
      <c r="A181" s="765">
        <f t="shared" si="223"/>
        <v>7</v>
      </c>
      <c r="B181" s="715" cm="1">
        <f t="array" aca="1" ref="B181" ca="1">INDIRECT("'Definition of Typical Day'!"&amp;ADDRESS(B$16,$E181))</f>
        <v>7</v>
      </c>
      <c r="C181" s="766">
        <f t="shared" si="224"/>
        <v>17</v>
      </c>
      <c r="D181" s="715">
        <f t="shared" si="224"/>
        <v>51</v>
      </c>
      <c r="E181" s="715">
        <f t="shared" si="152"/>
        <v>11</v>
      </c>
      <c r="F181" s="767" cm="1">
        <f t="array" aca="1" ref="F181" ca="1">INDIRECT("'Definition of Typical Day'!D"&amp;D181)</f>
        <v>17</v>
      </c>
      <c r="G181" s="767" cm="1">
        <f t="array" aca="1" ref="G181" ca="1">INDIRECT("'Definition of Typical Day'!"&amp;ADDRESS(13,E181))</f>
        <v>7</v>
      </c>
      <c r="H181" s="768" cm="1">
        <f t="array" aca="1" ref="H181" ca="1">INDIRECT("'Definition of Typical Day'!"&amp; ADDRESS($D181+28*(H$16-1),$E181))</f>
        <v>0</v>
      </c>
      <c r="I181" s="715" cm="1">
        <f t="array" aca="1" ref="I181" ca="1">INDIRECT("'Definition of Typical Day'!"&amp; ADDRESS($D181+29*(I$16-1),$E181))</f>
        <v>0</v>
      </c>
      <c r="J181" s="715">
        <f t="shared" ca="1" si="178"/>
        <v>0</v>
      </c>
      <c r="K181" s="785">
        <f t="shared" si="179"/>
        <v>28</v>
      </c>
      <c r="L181" s="786" cm="1">
        <f t="array" aca="1" ref="L181" ca="1">INDIRECT("'Definition of Typical Day'!"&amp; ADDRESS($D181+29*(L$16-1),$E181))</f>
        <v>0</v>
      </c>
      <c r="M181" s="768" cm="1">
        <f t="array" aca="1" ref="M181" ca="1">INDIRECT("'Definition of Typical Day'!"&amp; ADDRESS($D181+29*(M$16-1),$E181))</f>
        <v>0</v>
      </c>
      <c r="N181" s="715">
        <f t="shared" si="180"/>
        <v>3</v>
      </c>
      <c r="O181" s="715">
        <f t="shared" ca="1" si="181"/>
        <v>3</v>
      </c>
      <c r="P181" s="715" cm="1">
        <f t="array" aca="1" ref="P181" ca="1">INDIRECT("'Definition of Typical Day'!"&amp; ADDRESS($D181+29*(P$16-1),$E181))</f>
        <v>0</v>
      </c>
      <c r="Q181" s="787">
        <f t="shared" ca="1" si="182"/>
        <v>3</v>
      </c>
      <c r="R181" s="792">
        <f t="shared" ca="1" si="183"/>
        <v>3</v>
      </c>
      <c r="S181" s="769">
        <f t="shared" si="184"/>
        <v>3</v>
      </c>
      <c r="T181" s="769">
        <f t="shared" ca="1" si="185"/>
        <v>-0.5</v>
      </c>
      <c r="U181" s="769">
        <f t="shared" ca="1" si="186"/>
        <v>2.262</v>
      </c>
      <c r="V181" s="769">
        <f t="shared" ca="1" si="187"/>
        <v>0</v>
      </c>
      <c r="W181" s="769">
        <f t="shared" ca="1" si="188"/>
        <v>4.7620000000000005</v>
      </c>
      <c r="X181" s="794">
        <f t="shared" si="189"/>
        <v>3</v>
      </c>
      <c r="Y181" s="769">
        <f t="shared" ca="1" si="190"/>
        <v>0.54772255750516607</v>
      </c>
      <c r="Z181" s="769">
        <f t="shared" ca="1" si="191"/>
        <v>0</v>
      </c>
      <c r="AA181" s="795">
        <f t="shared" ca="1" si="192"/>
        <v>0</v>
      </c>
      <c r="AB181" s="769">
        <f t="shared" ca="1" si="193"/>
        <v>0</v>
      </c>
      <c r="AC181" s="769">
        <f t="shared" ca="1" si="194"/>
        <v>0</v>
      </c>
      <c r="AD181" s="769">
        <f t="shared" ca="1" si="195"/>
        <v>0</v>
      </c>
      <c r="AE181" s="794">
        <f t="shared" ca="1" si="196"/>
        <v>0</v>
      </c>
      <c r="AF181" s="769">
        <f t="shared" ca="1" si="197"/>
        <v>0</v>
      </c>
      <c r="AG181" s="769">
        <f t="shared" ca="1" si="198"/>
        <v>0</v>
      </c>
      <c r="AH181" s="799">
        <f t="shared" ca="1" si="199"/>
        <v>0</v>
      </c>
      <c r="AI181" s="801">
        <f t="shared" ca="1" si="200"/>
        <v>1</v>
      </c>
      <c r="AJ181" s="794">
        <f t="shared" ca="1" si="201"/>
        <v>0</v>
      </c>
      <c r="AK181" s="769">
        <f t="shared" ca="1" si="202"/>
        <v>0</v>
      </c>
      <c r="AL181" s="769">
        <f t="shared" ca="1" si="203"/>
        <v>0</v>
      </c>
      <c r="AM181" s="804">
        <f t="shared" ca="1" si="153"/>
        <v>0</v>
      </c>
      <c r="AN181" s="795">
        <f t="shared" ca="1" si="154"/>
        <v>0</v>
      </c>
      <c r="AO181" s="251"/>
      <c r="AP181" s="770">
        <f t="shared" si="204"/>
        <v>0</v>
      </c>
      <c r="AQ181" s="771">
        <f t="shared" ca="1" si="205"/>
        <v>0</v>
      </c>
      <c r="AR181" s="771">
        <f t="shared" ca="1" si="206"/>
        <v>0</v>
      </c>
      <c r="AS181" s="772">
        <f t="shared" ca="1" si="207"/>
        <v>0</v>
      </c>
      <c r="AT181" s="231"/>
      <c r="AU181" s="770">
        <f>'Main Results - IRR DC Operator'!$F$16</f>
        <v>2</v>
      </c>
      <c r="AV181" s="773">
        <f>'Main Results - IRR DC Operator'!$F$15</f>
        <v>1</v>
      </c>
      <c r="AW181" s="771">
        <f t="shared" ca="1" si="208"/>
        <v>0</v>
      </c>
      <c r="AX181" s="772">
        <f t="shared" si="209"/>
        <v>0</v>
      </c>
      <c r="AY181" s="231"/>
      <c r="AZ181" s="770" cm="1">
        <f t="array" aca="1" ref="AZ181" ca="1">INDIRECT("'Definition of Typical Day'!"&amp; ADDRESS($D181+29*(AZ$16-1),$E181))+$AZ$17</f>
        <v>11</v>
      </c>
      <c r="BA181" s="771" cm="1">
        <f t="array" aca="1" ref="BA181" ca="1">INDIRECT("'Definition of Typical Day'!"&amp; ADDRESS($D181+29*(BA$16-1),$E181))+$BA$17</f>
        <v>11</v>
      </c>
      <c r="BB181" s="772" cm="1">
        <f t="array" aca="1" ref="BB181" ca="1">INDIRECT("'Definition of Typical Day'!"&amp;ADDRESS(BB$16,$E181))</f>
        <v>0</v>
      </c>
      <c r="BC181" s="776" cm="1">
        <f t="array" aca="1" ref="BC181" ca="1">INDIRECT("'Definition of Typical Day'!"&amp; ADDRESS($D181+29*(BC$16-1),$E181))</f>
        <v>0</v>
      </c>
      <c r="BD181" s="777" cm="1">
        <f t="array" aca="1" ref="BD181" ca="1">INDIRECT("'Definition of Typical Day'!"&amp; ADDRESS($D181+29*(BD$16-1),$E181))</f>
        <v>0</v>
      </c>
      <c r="BE181" s="776">
        <f t="shared" si="210"/>
        <v>0</v>
      </c>
      <c r="BF181" s="771">
        <f t="shared" ca="1" si="211"/>
        <v>0</v>
      </c>
      <c r="BG181" s="771">
        <f t="shared" ca="1" si="212"/>
        <v>0</v>
      </c>
      <c r="BH181" s="771">
        <f t="shared" ca="1" si="213"/>
        <v>0</v>
      </c>
      <c r="BI181" s="776">
        <f t="shared" ca="1" si="214"/>
        <v>0</v>
      </c>
      <c r="BJ181" s="776">
        <f t="shared" ca="1" si="215"/>
        <v>0</v>
      </c>
      <c r="BK181" s="776">
        <f t="shared" ca="1" si="216"/>
        <v>0</v>
      </c>
      <c r="BL181" s="776">
        <f t="shared" ca="1" si="217"/>
        <v>0</v>
      </c>
      <c r="BM181" s="135"/>
      <c r="BN181" s="776">
        <f t="shared" ca="1" si="218"/>
        <v>0</v>
      </c>
      <c r="BO181" s="778">
        <f t="shared" ca="1" si="155"/>
        <v>0</v>
      </c>
      <c r="BP181" s="770">
        <f t="shared" ca="1" si="156"/>
        <v>0</v>
      </c>
      <c r="BQ181" s="771">
        <f t="shared" ca="1" si="157"/>
        <v>0</v>
      </c>
      <c r="BR181" s="771">
        <f t="shared" ca="1" si="158"/>
        <v>0</v>
      </c>
      <c r="BS181" s="776">
        <f t="shared" ca="1" si="219"/>
        <v>0</v>
      </c>
      <c r="BT181" s="776">
        <f t="shared" ca="1" si="159"/>
        <v>0</v>
      </c>
      <c r="BU181" s="783">
        <f t="shared" ca="1" si="160"/>
        <v>0</v>
      </c>
      <c r="BV181" s="783">
        <f t="shared" ca="1" si="161"/>
        <v>0</v>
      </c>
      <c r="BW181" s="1019">
        <f t="shared" ca="1" si="220"/>
        <v>0</v>
      </c>
      <c r="BX181" s="771" cm="1">
        <f t="array" aca="1" ref="BX181" ca="1">INDIRECT("'Definition of Typical Day'!"&amp; ADDRESS($D181+29*(BX$16-1),$E181))</f>
        <v>0</v>
      </c>
      <c r="BY181" s="771">
        <f t="shared" ca="1" si="221"/>
        <v>0</v>
      </c>
      <c r="BZ181" s="781">
        <f t="shared" ca="1" si="162"/>
        <v>0</v>
      </c>
      <c r="CA181" s="781">
        <f t="shared" ca="1" si="163"/>
        <v>0</v>
      </c>
      <c r="CB181" s="776">
        <f t="shared" ca="1" si="164"/>
        <v>0</v>
      </c>
      <c r="CC181" s="782">
        <f t="shared" si="165"/>
        <v>7</v>
      </c>
      <c r="CD181" s="782">
        <f t="shared" si="166"/>
        <v>17</v>
      </c>
      <c r="CE181" s="784" cm="1">
        <f t="array" aca="1" ref="CE181" ca="1">INDIRECT("'Definition of Typical Day'!"&amp;ADDRESS(CE$16,$E181))</f>
        <v>7</v>
      </c>
      <c r="CF181" s="232"/>
      <c r="CG181" s="232"/>
      <c r="CH181" s="776">
        <f t="shared" ca="1" si="167"/>
        <v>0</v>
      </c>
      <c r="CI181" s="806">
        <f t="shared" ca="1" si="168"/>
        <v>0</v>
      </c>
      <c r="CJ181" s="770">
        <f t="shared" ca="1" si="169"/>
        <v>0</v>
      </c>
      <c r="CK181" s="771">
        <f t="shared" ca="1" si="170"/>
        <v>0</v>
      </c>
      <c r="CL181" s="771">
        <f t="shared" ca="1" si="171"/>
        <v>0</v>
      </c>
      <c r="CM181" s="772">
        <f t="shared" ca="1" si="172"/>
        <v>0</v>
      </c>
      <c r="CN181" s="135"/>
      <c r="CO181" s="770">
        <f t="shared" ca="1" si="222"/>
        <v>1.05</v>
      </c>
      <c r="CP181" s="771">
        <f t="shared" ca="1" si="173"/>
        <v>0.02</v>
      </c>
      <c r="CQ181" s="771">
        <f t="shared" ca="1" si="174"/>
        <v>-2.5000000000000001E-2</v>
      </c>
      <c r="CR181" s="771">
        <f t="shared" ca="1" si="175"/>
        <v>0.95</v>
      </c>
      <c r="CS181" s="771">
        <f t="shared" ca="1" si="176"/>
        <v>0.03</v>
      </c>
      <c r="CT181" s="772">
        <f t="shared" ca="1" si="177"/>
        <v>0.02</v>
      </c>
      <c r="CU181" s="135"/>
      <c r="CV181" s="135"/>
      <c r="CW181" s="135"/>
      <c r="CX181" s="135"/>
      <c r="CY181" s="135"/>
      <c r="CZ181" s="135"/>
      <c r="DA181" s="135"/>
      <c r="DB181" s="135"/>
      <c r="DC181" s="135"/>
      <c r="DD181" s="135"/>
      <c r="DE181" s="135"/>
      <c r="DF181" s="135"/>
      <c r="DG181" s="135"/>
      <c r="DH181" s="135"/>
      <c r="DI181" s="135"/>
      <c r="DJ181" s="135"/>
      <c r="DK181" s="135"/>
      <c r="DL181" s="135"/>
      <c r="DX181" s="135"/>
      <c r="DY181" s="135"/>
      <c r="DZ181" s="135"/>
      <c r="EA181" s="135"/>
      <c r="EB181" s="135"/>
      <c r="EC181" s="135"/>
      <c r="ED181" s="135"/>
      <c r="EE181" s="135"/>
      <c r="EF181" s="135"/>
      <c r="EG181" s="135"/>
      <c r="EH181" s="135"/>
      <c r="EI181" s="135"/>
      <c r="EJ181" s="135"/>
      <c r="EK181" s="135"/>
      <c r="EL181" s="135"/>
      <c r="EM181" s="135"/>
      <c r="EN181" s="135"/>
      <c r="EO181" s="135"/>
      <c r="EP181" s="135"/>
      <c r="EQ181" s="135"/>
      <c r="ER181" s="135"/>
      <c r="ES181" s="135"/>
      <c r="ET181" s="135"/>
      <c r="EU181" s="135"/>
      <c r="EV181" s="135"/>
      <c r="EW181" s="135"/>
      <c r="EX181" s="135"/>
      <c r="EY181" s="135"/>
      <c r="EZ181" s="135"/>
      <c r="FA181" s="135"/>
      <c r="FB181" s="135"/>
      <c r="FC181" s="135"/>
      <c r="FD181" s="135"/>
      <c r="FE181" s="135"/>
      <c r="FF181" s="135"/>
      <c r="FG181" s="135"/>
    </row>
    <row r="182" spans="1:163" s="57" customFormat="1" ht="11.25" outlineLevel="1">
      <c r="A182" s="765">
        <f t="shared" si="223"/>
        <v>7</v>
      </c>
      <c r="B182" s="715" cm="1">
        <f t="array" aca="1" ref="B182" ca="1">INDIRECT("'Definition of Typical Day'!"&amp;ADDRESS(B$16,$E182))</f>
        <v>7</v>
      </c>
      <c r="C182" s="766">
        <f t="shared" si="224"/>
        <v>18</v>
      </c>
      <c r="D182" s="715">
        <f t="shared" si="224"/>
        <v>52</v>
      </c>
      <c r="E182" s="715">
        <f t="shared" si="152"/>
        <v>11</v>
      </c>
      <c r="F182" s="767" cm="1">
        <f t="array" aca="1" ref="F182" ca="1">INDIRECT("'Definition of Typical Day'!D"&amp;D182)</f>
        <v>18</v>
      </c>
      <c r="G182" s="767" cm="1">
        <f t="array" aca="1" ref="G182" ca="1">INDIRECT("'Definition of Typical Day'!"&amp;ADDRESS(13,E182))</f>
        <v>7</v>
      </c>
      <c r="H182" s="768" cm="1">
        <f t="array" aca="1" ref="H182" ca="1">INDIRECT("'Definition of Typical Day'!"&amp; ADDRESS($D182+28*(H$16-1),$E182))</f>
        <v>0</v>
      </c>
      <c r="I182" s="715" cm="1">
        <f t="array" aca="1" ref="I182" ca="1">INDIRECT("'Definition of Typical Day'!"&amp; ADDRESS($D182+29*(I$16-1),$E182))</f>
        <v>0</v>
      </c>
      <c r="J182" s="715">
        <f t="shared" ca="1" si="178"/>
        <v>0</v>
      </c>
      <c r="K182" s="785">
        <f t="shared" si="179"/>
        <v>28</v>
      </c>
      <c r="L182" s="786" cm="1">
        <f t="array" aca="1" ref="L182" ca="1">INDIRECT("'Definition of Typical Day'!"&amp; ADDRESS($D182+29*(L$16-1),$E182))</f>
        <v>0</v>
      </c>
      <c r="M182" s="768" cm="1">
        <f t="array" aca="1" ref="M182" ca="1">INDIRECT("'Definition of Typical Day'!"&amp; ADDRESS($D182+29*(M$16-1),$E182))</f>
        <v>0</v>
      </c>
      <c r="N182" s="715">
        <f t="shared" si="180"/>
        <v>3</v>
      </c>
      <c r="O182" s="715">
        <f t="shared" ca="1" si="181"/>
        <v>3</v>
      </c>
      <c r="P182" s="715" cm="1">
        <f t="array" aca="1" ref="P182" ca="1">INDIRECT("'Definition of Typical Day'!"&amp; ADDRESS($D182+29*(P$16-1),$E182))</f>
        <v>0</v>
      </c>
      <c r="Q182" s="787">
        <f t="shared" ca="1" si="182"/>
        <v>3</v>
      </c>
      <c r="R182" s="792">
        <f t="shared" ca="1" si="183"/>
        <v>3</v>
      </c>
      <c r="S182" s="769">
        <f t="shared" si="184"/>
        <v>3</v>
      </c>
      <c r="T182" s="769">
        <f t="shared" ca="1" si="185"/>
        <v>-0.5</v>
      </c>
      <c r="U182" s="769">
        <f t="shared" ca="1" si="186"/>
        <v>2.262</v>
      </c>
      <c r="V182" s="769">
        <f t="shared" ca="1" si="187"/>
        <v>0</v>
      </c>
      <c r="W182" s="769">
        <f t="shared" ca="1" si="188"/>
        <v>4.7620000000000005</v>
      </c>
      <c r="X182" s="794">
        <f t="shared" si="189"/>
        <v>3</v>
      </c>
      <c r="Y182" s="769">
        <f t="shared" ca="1" si="190"/>
        <v>0.54772255750516607</v>
      </c>
      <c r="Z182" s="769">
        <f t="shared" ca="1" si="191"/>
        <v>0</v>
      </c>
      <c r="AA182" s="795">
        <f t="shared" ca="1" si="192"/>
        <v>0</v>
      </c>
      <c r="AB182" s="769">
        <f t="shared" ca="1" si="193"/>
        <v>0</v>
      </c>
      <c r="AC182" s="769">
        <f t="shared" ca="1" si="194"/>
        <v>0</v>
      </c>
      <c r="AD182" s="769">
        <f t="shared" ca="1" si="195"/>
        <v>0</v>
      </c>
      <c r="AE182" s="794">
        <f t="shared" ca="1" si="196"/>
        <v>0</v>
      </c>
      <c r="AF182" s="769">
        <f t="shared" ca="1" si="197"/>
        <v>0</v>
      </c>
      <c r="AG182" s="769">
        <f t="shared" ca="1" si="198"/>
        <v>0</v>
      </c>
      <c r="AH182" s="799">
        <f t="shared" ca="1" si="199"/>
        <v>0</v>
      </c>
      <c r="AI182" s="801">
        <f t="shared" ca="1" si="200"/>
        <v>1</v>
      </c>
      <c r="AJ182" s="794">
        <f t="shared" ca="1" si="201"/>
        <v>0</v>
      </c>
      <c r="AK182" s="769">
        <f t="shared" ca="1" si="202"/>
        <v>0</v>
      </c>
      <c r="AL182" s="769">
        <f t="shared" ca="1" si="203"/>
        <v>0</v>
      </c>
      <c r="AM182" s="804">
        <f t="shared" ca="1" si="153"/>
        <v>0</v>
      </c>
      <c r="AN182" s="795">
        <f t="shared" ca="1" si="154"/>
        <v>0</v>
      </c>
      <c r="AO182" s="251"/>
      <c r="AP182" s="770">
        <f t="shared" si="204"/>
        <v>0</v>
      </c>
      <c r="AQ182" s="771">
        <f t="shared" ca="1" si="205"/>
        <v>0</v>
      </c>
      <c r="AR182" s="771">
        <f t="shared" ca="1" si="206"/>
        <v>0</v>
      </c>
      <c r="AS182" s="772">
        <f t="shared" ca="1" si="207"/>
        <v>0</v>
      </c>
      <c r="AT182" s="231"/>
      <c r="AU182" s="770">
        <f>'Main Results - IRR DC Operator'!$F$16</f>
        <v>2</v>
      </c>
      <c r="AV182" s="773">
        <f>'Main Results - IRR DC Operator'!$F$15</f>
        <v>1</v>
      </c>
      <c r="AW182" s="771">
        <f t="shared" ca="1" si="208"/>
        <v>0</v>
      </c>
      <c r="AX182" s="772">
        <f t="shared" si="209"/>
        <v>0</v>
      </c>
      <c r="AY182" s="231"/>
      <c r="AZ182" s="770" cm="1">
        <f t="array" aca="1" ref="AZ182" ca="1">INDIRECT("'Definition of Typical Day'!"&amp; ADDRESS($D182+29*(AZ$16-1),$E182))+$AZ$17</f>
        <v>11</v>
      </c>
      <c r="BA182" s="771" cm="1">
        <f t="array" aca="1" ref="BA182" ca="1">INDIRECT("'Definition of Typical Day'!"&amp; ADDRESS($D182+29*(BA$16-1),$E182))+$BA$17</f>
        <v>11</v>
      </c>
      <c r="BB182" s="772" cm="1">
        <f t="array" aca="1" ref="BB182" ca="1">INDIRECT("'Definition of Typical Day'!"&amp;ADDRESS(BB$16,$E182))</f>
        <v>0</v>
      </c>
      <c r="BC182" s="776" cm="1">
        <f t="array" aca="1" ref="BC182" ca="1">INDIRECT("'Definition of Typical Day'!"&amp; ADDRESS($D182+29*(BC$16-1),$E182))</f>
        <v>0</v>
      </c>
      <c r="BD182" s="777" cm="1">
        <f t="array" aca="1" ref="BD182" ca="1">INDIRECT("'Definition of Typical Day'!"&amp; ADDRESS($D182+29*(BD$16-1),$E182))</f>
        <v>0</v>
      </c>
      <c r="BE182" s="776">
        <f t="shared" si="210"/>
        <v>0</v>
      </c>
      <c r="BF182" s="771">
        <f t="shared" ca="1" si="211"/>
        <v>0</v>
      </c>
      <c r="BG182" s="771">
        <f t="shared" ca="1" si="212"/>
        <v>0</v>
      </c>
      <c r="BH182" s="771">
        <f t="shared" ca="1" si="213"/>
        <v>0</v>
      </c>
      <c r="BI182" s="776">
        <f t="shared" ca="1" si="214"/>
        <v>0</v>
      </c>
      <c r="BJ182" s="776">
        <f t="shared" ca="1" si="215"/>
        <v>0</v>
      </c>
      <c r="BK182" s="776">
        <f t="shared" ca="1" si="216"/>
        <v>0</v>
      </c>
      <c r="BL182" s="776">
        <f t="shared" ca="1" si="217"/>
        <v>0</v>
      </c>
      <c r="BM182" s="135"/>
      <c r="BN182" s="776">
        <f t="shared" ca="1" si="218"/>
        <v>0</v>
      </c>
      <c r="BO182" s="778">
        <f t="shared" ca="1" si="155"/>
        <v>0</v>
      </c>
      <c r="BP182" s="770">
        <f t="shared" ca="1" si="156"/>
        <v>0</v>
      </c>
      <c r="BQ182" s="771">
        <f t="shared" ca="1" si="157"/>
        <v>0</v>
      </c>
      <c r="BR182" s="771">
        <f t="shared" ca="1" si="158"/>
        <v>0</v>
      </c>
      <c r="BS182" s="776">
        <f t="shared" ca="1" si="219"/>
        <v>0</v>
      </c>
      <c r="BT182" s="776">
        <f t="shared" ca="1" si="159"/>
        <v>0</v>
      </c>
      <c r="BU182" s="783">
        <f t="shared" ca="1" si="160"/>
        <v>0</v>
      </c>
      <c r="BV182" s="783">
        <f t="shared" ca="1" si="161"/>
        <v>0</v>
      </c>
      <c r="BW182" s="1019">
        <f t="shared" ca="1" si="220"/>
        <v>0</v>
      </c>
      <c r="BX182" s="771" cm="1">
        <f t="array" aca="1" ref="BX182" ca="1">INDIRECT("'Definition of Typical Day'!"&amp; ADDRESS($D182+29*(BX$16-1),$E182))</f>
        <v>0</v>
      </c>
      <c r="BY182" s="771">
        <f t="shared" ca="1" si="221"/>
        <v>0</v>
      </c>
      <c r="BZ182" s="781">
        <f t="shared" ca="1" si="162"/>
        <v>0</v>
      </c>
      <c r="CA182" s="781">
        <f t="shared" ca="1" si="163"/>
        <v>0</v>
      </c>
      <c r="CB182" s="776">
        <f t="shared" ca="1" si="164"/>
        <v>0</v>
      </c>
      <c r="CC182" s="782">
        <f t="shared" si="165"/>
        <v>7</v>
      </c>
      <c r="CD182" s="782">
        <f t="shared" si="166"/>
        <v>18</v>
      </c>
      <c r="CE182" s="784" cm="1">
        <f t="array" aca="1" ref="CE182" ca="1">INDIRECT("'Definition of Typical Day'!"&amp;ADDRESS(CE$16,$E182))</f>
        <v>7</v>
      </c>
      <c r="CF182" s="232"/>
      <c r="CG182" s="232"/>
      <c r="CH182" s="776">
        <f t="shared" ca="1" si="167"/>
        <v>0</v>
      </c>
      <c r="CI182" s="806">
        <f t="shared" ca="1" si="168"/>
        <v>0</v>
      </c>
      <c r="CJ182" s="770">
        <f t="shared" ca="1" si="169"/>
        <v>0</v>
      </c>
      <c r="CK182" s="771">
        <f t="shared" ca="1" si="170"/>
        <v>0</v>
      </c>
      <c r="CL182" s="771">
        <f t="shared" ca="1" si="171"/>
        <v>0</v>
      </c>
      <c r="CM182" s="772">
        <f t="shared" ca="1" si="172"/>
        <v>0</v>
      </c>
      <c r="CN182" s="135"/>
      <c r="CO182" s="770">
        <f t="shared" ca="1" si="222"/>
        <v>1.05</v>
      </c>
      <c r="CP182" s="771">
        <f t="shared" ca="1" si="173"/>
        <v>0.02</v>
      </c>
      <c r="CQ182" s="771">
        <f t="shared" ca="1" si="174"/>
        <v>-2.5000000000000001E-2</v>
      </c>
      <c r="CR182" s="771">
        <f t="shared" ca="1" si="175"/>
        <v>0.95</v>
      </c>
      <c r="CS182" s="771">
        <f t="shared" ca="1" si="176"/>
        <v>0.03</v>
      </c>
      <c r="CT182" s="772">
        <f t="shared" ca="1" si="177"/>
        <v>0.02</v>
      </c>
      <c r="CU182" s="135"/>
      <c r="CV182" s="135"/>
      <c r="CW182" s="135"/>
      <c r="CX182" s="135"/>
      <c r="CY182" s="135"/>
      <c r="CZ182" s="135"/>
      <c r="DA182" s="135"/>
      <c r="DB182" s="135"/>
      <c r="DC182" s="135"/>
      <c r="DD182" s="135"/>
      <c r="DE182" s="135"/>
      <c r="DF182" s="135"/>
      <c r="DG182" s="135"/>
      <c r="DH182" s="135"/>
      <c r="DI182" s="135"/>
      <c r="DJ182" s="135"/>
      <c r="DK182" s="135"/>
      <c r="DL182" s="135"/>
      <c r="DX182" s="135"/>
      <c r="DY182" s="135"/>
      <c r="DZ182" s="135"/>
      <c r="EA182" s="135"/>
      <c r="EB182" s="135"/>
      <c r="EC182" s="135"/>
      <c r="ED182" s="135"/>
      <c r="EE182" s="135"/>
      <c r="EF182" s="135"/>
      <c r="EG182" s="135"/>
      <c r="EH182" s="135"/>
      <c r="EI182" s="135"/>
      <c r="EJ182" s="135"/>
      <c r="EK182" s="135"/>
      <c r="EL182" s="135"/>
      <c r="EM182" s="135"/>
      <c r="EN182" s="135"/>
      <c r="EO182" s="135"/>
      <c r="EP182" s="135"/>
      <c r="EQ182" s="135"/>
      <c r="ER182" s="135"/>
      <c r="ES182" s="135"/>
      <c r="ET182" s="135"/>
      <c r="EU182" s="135"/>
      <c r="EV182" s="135"/>
      <c r="EW182" s="135"/>
      <c r="EX182" s="135"/>
      <c r="EY182" s="135"/>
      <c r="EZ182" s="135"/>
      <c r="FA182" s="135"/>
      <c r="FB182" s="135"/>
      <c r="FC182" s="135"/>
      <c r="FD182" s="135"/>
      <c r="FE182" s="135"/>
      <c r="FF182" s="135"/>
      <c r="FG182" s="135"/>
    </row>
    <row r="183" spans="1:163" s="57" customFormat="1" ht="11.25" outlineLevel="1">
      <c r="A183" s="765">
        <f t="shared" si="223"/>
        <v>7</v>
      </c>
      <c r="B183" s="715" cm="1">
        <f t="array" aca="1" ref="B183" ca="1">INDIRECT("'Definition of Typical Day'!"&amp;ADDRESS(B$16,$E183))</f>
        <v>7</v>
      </c>
      <c r="C183" s="766">
        <f t="shared" si="224"/>
        <v>19</v>
      </c>
      <c r="D183" s="715">
        <f t="shared" si="224"/>
        <v>53</v>
      </c>
      <c r="E183" s="715">
        <f t="shared" si="152"/>
        <v>11</v>
      </c>
      <c r="F183" s="767" cm="1">
        <f t="array" aca="1" ref="F183" ca="1">INDIRECT("'Definition of Typical Day'!D"&amp;D183)</f>
        <v>19</v>
      </c>
      <c r="G183" s="767" cm="1">
        <f t="array" aca="1" ref="G183" ca="1">INDIRECT("'Definition of Typical Day'!"&amp;ADDRESS(13,E183))</f>
        <v>7</v>
      </c>
      <c r="H183" s="768" cm="1">
        <f t="array" aca="1" ref="H183" ca="1">INDIRECT("'Definition of Typical Day'!"&amp; ADDRESS($D183+28*(H$16-1),$E183))</f>
        <v>0</v>
      </c>
      <c r="I183" s="715" cm="1">
        <f t="array" aca="1" ref="I183" ca="1">INDIRECT("'Definition of Typical Day'!"&amp; ADDRESS($D183+29*(I$16-1),$E183))</f>
        <v>0</v>
      </c>
      <c r="J183" s="715">
        <f t="shared" ca="1" si="178"/>
        <v>0</v>
      </c>
      <c r="K183" s="785">
        <f t="shared" si="179"/>
        <v>28</v>
      </c>
      <c r="L183" s="786" cm="1">
        <f t="array" aca="1" ref="L183" ca="1">INDIRECT("'Definition of Typical Day'!"&amp; ADDRESS($D183+29*(L$16-1),$E183))</f>
        <v>0</v>
      </c>
      <c r="M183" s="768" cm="1">
        <f t="array" aca="1" ref="M183" ca="1">INDIRECT("'Definition of Typical Day'!"&amp; ADDRESS($D183+29*(M$16-1),$E183))</f>
        <v>0</v>
      </c>
      <c r="N183" s="715">
        <f t="shared" si="180"/>
        <v>3</v>
      </c>
      <c r="O183" s="715">
        <f t="shared" ca="1" si="181"/>
        <v>3</v>
      </c>
      <c r="P183" s="715" cm="1">
        <f t="array" aca="1" ref="P183" ca="1">INDIRECT("'Definition of Typical Day'!"&amp; ADDRESS($D183+29*(P$16-1),$E183))</f>
        <v>0</v>
      </c>
      <c r="Q183" s="787">
        <f t="shared" ca="1" si="182"/>
        <v>3</v>
      </c>
      <c r="R183" s="792">
        <f t="shared" ca="1" si="183"/>
        <v>3</v>
      </c>
      <c r="S183" s="769">
        <f t="shared" si="184"/>
        <v>3</v>
      </c>
      <c r="T183" s="769">
        <f t="shared" ca="1" si="185"/>
        <v>-0.5</v>
      </c>
      <c r="U183" s="769">
        <f t="shared" ca="1" si="186"/>
        <v>2.262</v>
      </c>
      <c r="V183" s="769">
        <f t="shared" ca="1" si="187"/>
        <v>0</v>
      </c>
      <c r="W183" s="769">
        <f t="shared" ca="1" si="188"/>
        <v>4.7620000000000005</v>
      </c>
      <c r="X183" s="794">
        <f t="shared" si="189"/>
        <v>3</v>
      </c>
      <c r="Y183" s="769">
        <f t="shared" ca="1" si="190"/>
        <v>0.54772255750516607</v>
      </c>
      <c r="Z183" s="769">
        <f t="shared" ca="1" si="191"/>
        <v>0</v>
      </c>
      <c r="AA183" s="795">
        <f t="shared" ca="1" si="192"/>
        <v>0</v>
      </c>
      <c r="AB183" s="769">
        <f t="shared" ca="1" si="193"/>
        <v>0</v>
      </c>
      <c r="AC183" s="769">
        <f t="shared" ca="1" si="194"/>
        <v>0</v>
      </c>
      <c r="AD183" s="769">
        <f t="shared" ca="1" si="195"/>
        <v>0</v>
      </c>
      <c r="AE183" s="794">
        <f t="shared" ca="1" si="196"/>
        <v>0</v>
      </c>
      <c r="AF183" s="769">
        <f t="shared" ca="1" si="197"/>
        <v>0</v>
      </c>
      <c r="AG183" s="769">
        <f t="shared" ca="1" si="198"/>
        <v>0</v>
      </c>
      <c r="AH183" s="799">
        <f t="shared" ca="1" si="199"/>
        <v>0</v>
      </c>
      <c r="AI183" s="801">
        <f t="shared" ca="1" si="200"/>
        <v>1</v>
      </c>
      <c r="AJ183" s="794">
        <f t="shared" ca="1" si="201"/>
        <v>0</v>
      </c>
      <c r="AK183" s="769">
        <f t="shared" ca="1" si="202"/>
        <v>0</v>
      </c>
      <c r="AL183" s="769">
        <f t="shared" ca="1" si="203"/>
        <v>0</v>
      </c>
      <c r="AM183" s="804">
        <f t="shared" ca="1" si="153"/>
        <v>0</v>
      </c>
      <c r="AN183" s="795">
        <f t="shared" ca="1" si="154"/>
        <v>0</v>
      </c>
      <c r="AO183" s="251"/>
      <c r="AP183" s="770">
        <f t="shared" si="204"/>
        <v>0</v>
      </c>
      <c r="AQ183" s="771">
        <f t="shared" ca="1" si="205"/>
        <v>0</v>
      </c>
      <c r="AR183" s="771">
        <f t="shared" ca="1" si="206"/>
        <v>0</v>
      </c>
      <c r="AS183" s="772">
        <f t="shared" ca="1" si="207"/>
        <v>0</v>
      </c>
      <c r="AT183" s="231"/>
      <c r="AU183" s="770">
        <f>'Main Results - IRR DC Operator'!$F$16</f>
        <v>2</v>
      </c>
      <c r="AV183" s="773">
        <f>'Main Results - IRR DC Operator'!$F$15</f>
        <v>1</v>
      </c>
      <c r="AW183" s="771">
        <f t="shared" ca="1" si="208"/>
        <v>0</v>
      </c>
      <c r="AX183" s="772">
        <f t="shared" si="209"/>
        <v>0</v>
      </c>
      <c r="AY183" s="231"/>
      <c r="AZ183" s="770" cm="1">
        <f t="array" aca="1" ref="AZ183" ca="1">INDIRECT("'Definition of Typical Day'!"&amp; ADDRESS($D183+29*(AZ$16-1),$E183))+$AZ$17</f>
        <v>11</v>
      </c>
      <c r="BA183" s="771" cm="1">
        <f t="array" aca="1" ref="BA183" ca="1">INDIRECT("'Definition of Typical Day'!"&amp; ADDRESS($D183+29*(BA$16-1),$E183))+$BA$17</f>
        <v>11</v>
      </c>
      <c r="BB183" s="772" cm="1">
        <f t="array" aca="1" ref="BB183" ca="1">INDIRECT("'Definition of Typical Day'!"&amp;ADDRESS(BB$16,$E183))</f>
        <v>0</v>
      </c>
      <c r="BC183" s="776" cm="1">
        <f t="array" aca="1" ref="BC183" ca="1">INDIRECT("'Definition of Typical Day'!"&amp; ADDRESS($D183+29*(BC$16-1),$E183))</f>
        <v>0</v>
      </c>
      <c r="BD183" s="777" cm="1">
        <f t="array" aca="1" ref="BD183" ca="1">INDIRECT("'Definition of Typical Day'!"&amp; ADDRESS($D183+29*(BD$16-1),$E183))</f>
        <v>0</v>
      </c>
      <c r="BE183" s="776">
        <f t="shared" si="210"/>
        <v>0</v>
      </c>
      <c r="BF183" s="771">
        <f t="shared" ca="1" si="211"/>
        <v>0</v>
      </c>
      <c r="BG183" s="771">
        <f t="shared" ca="1" si="212"/>
        <v>0</v>
      </c>
      <c r="BH183" s="771">
        <f t="shared" ca="1" si="213"/>
        <v>0</v>
      </c>
      <c r="BI183" s="776">
        <f t="shared" ca="1" si="214"/>
        <v>0</v>
      </c>
      <c r="BJ183" s="776">
        <f t="shared" ca="1" si="215"/>
        <v>0</v>
      </c>
      <c r="BK183" s="776">
        <f t="shared" ca="1" si="216"/>
        <v>0</v>
      </c>
      <c r="BL183" s="776">
        <f t="shared" ca="1" si="217"/>
        <v>0</v>
      </c>
      <c r="BM183" s="135"/>
      <c r="BN183" s="776">
        <f t="shared" ca="1" si="218"/>
        <v>0</v>
      </c>
      <c r="BO183" s="778">
        <f t="shared" ca="1" si="155"/>
        <v>0</v>
      </c>
      <c r="BP183" s="770">
        <f t="shared" ca="1" si="156"/>
        <v>0</v>
      </c>
      <c r="BQ183" s="771">
        <f t="shared" ca="1" si="157"/>
        <v>0</v>
      </c>
      <c r="BR183" s="771">
        <f t="shared" ca="1" si="158"/>
        <v>0</v>
      </c>
      <c r="BS183" s="776">
        <f t="shared" ca="1" si="219"/>
        <v>0</v>
      </c>
      <c r="BT183" s="776">
        <f t="shared" ca="1" si="159"/>
        <v>0</v>
      </c>
      <c r="BU183" s="783">
        <f t="shared" ca="1" si="160"/>
        <v>0</v>
      </c>
      <c r="BV183" s="783">
        <f t="shared" ca="1" si="161"/>
        <v>0</v>
      </c>
      <c r="BW183" s="1019">
        <f t="shared" ca="1" si="220"/>
        <v>0</v>
      </c>
      <c r="BX183" s="771" cm="1">
        <f t="array" aca="1" ref="BX183" ca="1">INDIRECT("'Definition of Typical Day'!"&amp; ADDRESS($D183+29*(BX$16-1),$E183))</f>
        <v>0</v>
      </c>
      <c r="BY183" s="771">
        <f t="shared" ca="1" si="221"/>
        <v>0</v>
      </c>
      <c r="BZ183" s="781">
        <f t="shared" ca="1" si="162"/>
        <v>0</v>
      </c>
      <c r="CA183" s="781">
        <f t="shared" ca="1" si="163"/>
        <v>0</v>
      </c>
      <c r="CB183" s="776">
        <f t="shared" ca="1" si="164"/>
        <v>0</v>
      </c>
      <c r="CC183" s="782">
        <f t="shared" si="165"/>
        <v>7</v>
      </c>
      <c r="CD183" s="782">
        <f t="shared" si="166"/>
        <v>19</v>
      </c>
      <c r="CE183" s="784" cm="1">
        <f t="array" aca="1" ref="CE183" ca="1">INDIRECT("'Definition of Typical Day'!"&amp;ADDRESS(CE$16,$E183))</f>
        <v>7</v>
      </c>
      <c r="CF183" s="232"/>
      <c r="CG183" s="232"/>
      <c r="CH183" s="776">
        <f t="shared" ca="1" si="167"/>
        <v>0</v>
      </c>
      <c r="CI183" s="806">
        <f t="shared" ca="1" si="168"/>
        <v>0</v>
      </c>
      <c r="CJ183" s="770">
        <f t="shared" ca="1" si="169"/>
        <v>0</v>
      </c>
      <c r="CK183" s="771">
        <f t="shared" ca="1" si="170"/>
        <v>0</v>
      </c>
      <c r="CL183" s="771">
        <f t="shared" ca="1" si="171"/>
        <v>0</v>
      </c>
      <c r="CM183" s="772">
        <f t="shared" ca="1" si="172"/>
        <v>0</v>
      </c>
      <c r="CN183" s="135"/>
      <c r="CO183" s="770">
        <f t="shared" ca="1" si="222"/>
        <v>1.05</v>
      </c>
      <c r="CP183" s="771">
        <f t="shared" ca="1" si="173"/>
        <v>0.02</v>
      </c>
      <c r="CQ183" s="771">
        <f t="shared" ca="1" si="174"/>
        <v>-2.5000000000000001E-2</v>
      </c>
      <c r="CR183" s="771">
        <f t="shared" ca="1" si="175"/>
        <v>0.95</v>
      </c>
      <c r="CS183" s="771">
        <f t="shared" ca="1" si="176"/>
        <v>0.03</v>
      </c>
      <c r="CT183" s="772">
        <f t="shared" ca="1" si="177"/>
        <v>0.02</v>
      </c>
      <c r="CU183" s="135"/>
      <c r="CV183" s="135"/>
      <c r="CW183" s="135"/>
      <c r="CX183" s="135"/>
      <c r="CY183" s="135"/>
      <c r="CZ183" s="135"/>
      <c r="DA183" s="135"/>
      <c r="DB183" s="135"/>
      <c r="DC183" s="135"/>
      <c r="DD183" s="135"/>
      <c r="DE183" s="135"/>
      <c r="DF183" s="135"/>
      <c r="DG183" s="135"/>
      <c r="DH183" s="135"/>
      <c r="DI183" s="135"/>
      <c r="DJ183" s="135"/>
      <c r="DK183" s="135"/>
      <c r="DL183" s="135"/>
      <c r="DX183" s="135"/>
      <c r="DY183" s="135"/>
      <c r="DZ183" s="135"/>
      <c r="EA183" s="135"/>
      <c r="EB183" s="135"/>
      <c r="EC183" s="135"/>
      <c r="ED183" s="135"/>
      <c r="EE183" s="135"/>
      <c r="EF183" s="135"/>
      <c r="EG183" s="135"/>
      <c r="EH183" s="135"/>
      <c r="EI183" s="135"/>
      <c r="EJ183" s="135"/>
      <c r="EK183" s="135"/>
      <c r="EL183" s="135"/>
      <c r="EM183" s="135"/>
      <c r="EN183" s="135"/>
      <c r="EO183" s="135"/>
      <c r="EP183" s="135"/>
      <c r="EQ183" s="135"/>
      <c r="ER183" s="135"/>
      <c r="ES183" s="135"/>
      <c r="ET183" s="135"/>
      <c r="EU183" s="135"/>
      <c r="EV183" s="135"/>
      <c r="EW183" s="135"/>
      <c r="EX183" s="135"/>
      <c r="EY183" s="135"/>
      <c r="EZ183" s="135"/>
      <c r="FA183" s="135"/>
      <c r="FB183" s="135"/>
      <c r="FC183" s="135"/>
      <c r="FD183" s="135"/>
      <c r="FE183" s="135"/>
      <c r="FF183" s="135"/>
      <c r="FG183" s="135"/>
    </row>
    <row r="184" spans="1:163" s="57" customFormat="1" ht="11.25" outlineLevel="1">
      <c r="A184" s="765">
        <f t="shared" si="223"/>
        <v>7</v>
      </c>
      <c r="B184" s="715" cm="1">
        <f t="array" aca="1" ref="B184" ca="1">INDIRECT("'Definition of Typical Day'!"&amp;ADDRESS(B$16,$E184))</f>
        <v>7</v>
      </c>
      <c r="C184" s="766">
        <f t="shared" si="224"/>
        <v>20</v>
      </c>
      <c r="D184" s="715">
        <f t="shared" si="224"/>
        <v>54</v>
      </c>
      <c r="E184" s="715">
        <f t="shared" si="152"/>
        <v>11</v>
      </c>
      <c r="F184" s="767" cm="1">
        <f t="array" aca="1" ref="F184" ca="1">INDIRECT("'Definition of Typical Day'!D"&amp;D184)</f>
        <v>20</v>
      </c>
      <c r="G184" s="767" cm="1">
        <f t="array" aca="1" ref="G184" ca="1">INDIRECT("'Definition of Typical Day'!"&amp;ADDRESS(13,E184))</f>
        <v>7</v>
      </c>
      <c r="H184" s="768" cm="1">
        <f t="array" aca="1" ref="H184" ca="1">INDIRECT("'Definition of Typical Day'!"&amp; ADDRESS($D184+28*(H$16-1),$E184))</f>
        <v>0</v>
      </c>
      <c r="I184" s="715" cm="1">
        <f t="array" aca="1" ref="I184" ca="1">INDIRECT("'Definition of Typical Day'!"&amp; ADDRESS($D184+29*(I$16-1),$E184))</f>
        <v>0</v>
      </c>
      <c r="J184" s="715">
        <f t="shared" ca="1" si="178"/>
        <v>0</v>
      </c>
      <c r="K184" s="785">
        <f t="shared" si="179"/>
        <v>28</v>
      </c>
      <c r="L184" s="786" cm="1">
        <f t="array" aca="1" ref="L184" ca="1">INDIRECT("'Definition of Typical Day'!"&amp; ADDRESS($D184+29*(L$16-1),$E184))</f>
        <v>0</v>
      </c>
      <c r="M184" s="768" cm="1">
        <f t="array" aca="1" ref="M184" ca="1">INDIRECT("'Definition of Typical Day'!"&amp; ADDRESS($D184+29*(M$16-1),$E184))</f>
        <v>0</v>
      </c>
      <c r="N184" s="715">
        <f t="shared" si="180"/>
        <v>3</v>
      </c>
      <c r="O184" s="715">
        <f t="shared" ca="1" si="181"/>
        <v>3</v>
      </c>
      <c r="P184" s="715" cm="1">
        <f t="array" aca="1" ref="P184" ca="1">INDIRECT("'Definition of Typical Day'!"&amp; ADDRESS($D184+29*(P$16-1),$E184))</f>
        <v>0</v>
      </c>
      <c r="Q184" s="787">
        <f t="shared" ca="1" si="182"/>
        <v>3</v>
      </c>
      <c r="R184" s="792">
        <f t="shared" ca="1" si="183"/>
        <v>3</v>
      </c>
      <c r="S184" s="769">
        <f t="shared" si="184"/>
        <v>3</v>
      </c>
      <c r="T184" s="769">
        <f t="shared" ca="1" si="185"/>
        <v>-0.5</v>
      </c>
      <c r="U184" s="769">
        <f t="shared" ca="1" si="186"/>
        <v>2.262</v>
      </c>
      <c r="V184" s="769">
        <f t="shared" ca="1" si="187"/>
        <v>0</v>
      </c>
      <c r="W184" s="769">
        <f t="shared" ca="1" si="188"/>
        <v>4.7620000000000005</v>
      </c>
      <c r="X184" s="794">
        <f t="shared" si="189"/>
        <v>3</v>
      </c>
      <c r="Y184" s="769">
        <f t="shared" ca="1" si="190"/>
        <v>0.54772255750516607</v>
      </c>
      <c r="Z184" s="769">
        <f t="shared" ca="1" si="191"/>
        <v>0</v>
      </c>
      <c r="AA184" s="795">
        <f t="shared" ca="1" si="192"/>
        <v>0</v>
      </c>
      <c r="AB184" s="769">
        <f t="shared" ca="1" si="193"/>
        <v>0</v>
      </c>
      <c r="AC184" s="769">
        <f t="shared" ca="1" si="194"/>
        <v>0</v>
      </c>
      <c r="AD184" s="769">
        <f t="shared" ca="1" si="195"/>
        <v>0</v>
      </c>
      <c r="AE184" s="794">
        <f t="shared" ca="1" si="196"/>
        <v>0</v>
      </c>
      <c r="AF184" s="769">
        <f t="shared" ca="1" si="197"/>
        <v>0</v>
      </c>
      <c r="AG184" s="769">
        <f t="shared" ca="1" si="198"/>
        <v>0</v>
      </c>
      <c r="AH184" s="799">
        <f t="shared" ca="1" si="199"/>
        <v>0</v>
      </c>
      <c r="AI184" s="801">
        <f t="shared" ca="1" si="200"/>
        <v>1</v>
      </c>
      <c r="AJ184" s="794">
        <f t="shared" ca="1" si="201"/>
        <v>0</v>
      </c>
      <c r="AK184" s="769">
        <f t="shared" ca="1" si="202"/>
        <v>0</v>
      </c>
      <c r="AL184" s="769">
        <f t="shared" ca="1" si="203"/>
        <v>0</v>
      </c>
      <c r="AM184" s="804">
        <f t="shared" ca="1" si="153"/>
        <v>0</v>
      </c>
      <c r="AN184" s="795">
        <f t="shared" ca="1" si="154"/>
        <v>0</v>
      </c>
      <c r="AO184" s="251"/>
      <c r="AP184" s="770">
        <f t="shared" si="204"/>
        <v>0</v>
      </c>
      <c r="AQ184" s="771">
        <f t="shared" ca="1" si="205"/>
        <v>0</v>
      </c>
      <c r="AR184" s="771">
        <f t="shared" ca="1" si="206"/>
        <v>0</v>
      </c>
      <c r="AS184" s="772">
        <f t="shared" ca="1" si="207"/>
        <v>0</v>
      </c>
      <c r="AT184" s="231"/>
      <c r="AU184" s="770">
        <f>'Main Results - IRR DC Operator'!$F$16</f>
        <v>2</v>
      </c>
      <c r="AV184" s="773">
        <f>'Main Results - IRR DC Operator'!$F$15</f>
        <v>1</v>
      </c>
      <c r="AW184" s="771">
        <f t="shared" ca="1" si="208"/>
        <v>0</v>
      </c>
      <c r="AX184" s="772">
        <f t="shared" si="209"/>
        <v>0</v>
      </c>
      <c r="AY184" s="231"/>
      <c r="AZ184" s="770" cm="1">
        <f t="array" aca="1" ref="AZ184" ca="1">INDIRECT("'Definition of Typical Day'!"&amp; ADDRESS($D184+29*(AZ$16-1),$E184))+$AZ$17</f>
        <v>11</v>
      </c>
      <c r="BA184" s="771" cm="1">
        <f t="array" aca="1" ref="BA184" ca="1">INDIRECT("'Definition of Typical Day'!"&amp; ADDRESS($D184+29*(BA$16-1),$E184))+$BA$17</f>
        <v>11</v>
      </c>
      <c r="BB184" s="772" cm="1">
        <f t="array" aca="1" ref="BB184" ca="1">INDIRECT("'Definition of Typical Day'!"&amp;ADDRESS(BB$16,$E184))</f>
        <v>0</v>
      </c>
      <c r="BC184" s="776" cm="1">
        <f t="array" aca="1" ref="BC184" ca="1">INDIRECT("'Definition of Typical Day'!"&amp; ADDRESS($D184+29*(BC$16-1),$E184))</f>
        <v>0</v>
      </c>
      <c r="BD184" s="777" cm="1">
        <f t="array" aca="1" ref="BD184" ca="1">INDIRECT("'Definition of Typical Day'!"&amp; ADDRESS($D184+29*(BD$16-1),$E184))</f>
        <v>0</v>
      </c>
      <c r="BE184" s="776">
        <f t="shared" si="210"/>
        <v>0</v>
      </c>
      <c r="BF184" s="771">
        <f t="shared" ca="1" si="211"/>
        <v>0</v>
      </c>
      <c r="BG184" s="771">
        <f t="shared" ca="1" si="212"/>
        <v>0</v>
      </c>
      <c r="BH184" s="771">
        <f t="shared" ca="1" si="213"/>
        <v>0</v>
      </c>
      <c r="BI184" s="776">
        <f t="shared" ca="1" si="214"/>
        <v>0</v>
      </c>
      <c r="BJ184" s="776">
        <f t="shared" ca="1" si="215"/>
        <v>0</v>
      </c>
      <c r="BK184" s="776">
        <f t="shared" ca="1" si="216"/>
        <v>0</v>
      </c>
      <c r="BL184" s="776">
        <f t="shared" ca="1" si="217"/>
        <v>0</v>
      </c>
      <c r="BM184" s="135"/>
      <c r="BN184" s="776">
        <f t="shared" ca="1" si="218"/>
        <v>0</v>
      </c>
      <c r="BO184" s="778">
        <f t="shared" ca="1" si="155"/>
        <v>0</v>
      </c>
      <c r="BP184" s="770">
        <f t="shared" ca="1" si="156"/>
        <v>0</v>
      </c>
      <c r="BQ184" s="771">
        <f t="shared" ca="1" si="157"/>
        <v>0</v>
      </c>
      <c r="BR184" s="771">
        <f t="shared" ca="1" si="158"/>
        <v>0</v>
      </c>
      <c r="BS184" s="776">
        <f t="shared" ca="1" si="219"/>
        <v>0</v>
      </c>
      <c r="BT184" s="776">
        <f t="shared" ca="1" si="159"/>
        <v>0</v>
      </c>
      <c r="BU184" s="783">
        <f t="shared" ca="1" si="160"/>
        <v>0</v>
      </c>
      <c r="BV184" s="783">
        <f t="shared" ca="1" si="161"/>
        <v>0</v>
      </c>
      <c r="BW184" s="1019">
        <f t="shared" ca="1" si="220"/>
        <v>0</v>
      </c>
      <c r="BX184" s="771" cm="1">
        <f t="array" aca="1" ref="BX184" ca="1">INDIRECT("'Definition of Typical Day'!"&amp; ADDRESS($D184+29*(BX$16-1),$E184))</f>
        <v>0</v>
      </c>
      <c r="BY184" s="771">
        <f t="shared" ca="1" si="221"/>
        <v>0</v>
      </c>
      <c r="BZ184" s="781">
        <f t="shared" ca="1" si="162"/>
        <v>0</v>
      </c>
      <c r="CA184" s="781">
        <f t="shared" ca="1" si="163"/>
        <v>0</v>
      </c>
      <c r="CB184" s="776">
        <f t="shared" ca="1" si="164"/>
        <v>0</v>
      </c>
      <c r="CC184" s="782">
        <f t="shared" si="165"/>
        <v>7</v>
      </c>
      <c r="CD184" s="782">
        <f t="shared" si="166"/>
        <v>20</v>
      </c>
      <c r="CE184" s="784" cm="1">
        <f t="array" aca="1" ref="CE184" ca="1">INDIRECT("'Definition of Typical Day'!"&amp;ADDRESS(CE$16,$E184))</f>
        <v>7</v>
      </c>
      <c r="CF184" s="232"/>
      <c r="CG184" s="232"/>
      <c r="CH184" s="776">
        <f t="shared" ca="1" si="167"/>
        <v>0</v>
      </c>
      <c r="CI184" s="806">
        <f t="shared" ca="1" si="168"/>
        <v>0</v>
      </c>
      <c r="CJ184" s="770">
        <f t="shared" ca="1" si="169"/>
        <v>0</v>
      </c>
      <c r="CK184" s="771">
        <f t="shared" ca="1" si="170"/>
        <v>0</v>
      </c>
      <c r="CL184" s="771">
        <f t="shared" ca="1" si="171"/>
        <v>0</v>
      </c>
      <c r="CM184" s="772">
        <f t="shared" ca="1" si="172"/>
        <v>0</v>
      </c>
      <c r="CN184" s="135"/>
      <c r="CO184" s="770">
        <f t="shared" ca="1" si="222"/>
        <v>1.05</v>
      </c>
      <c r="CP184" s="771">
        <f t="shared" ca="1" si="173"/>
        <v>0.02</v>
      </c>
      <c r="CQ184" s="771">
        <f t="shared" ca="1" si="174"/>
        <v>-2.5000000000000001E-2</v>
      </c>
      <c r="CR184" s="771">
        <f t="shared" ca="1" si="175"/>
        <v>0.95</v>
      </c>
      <c r="CS184" s="771">
        <f t="shared" ca="1" si="176"/>
        <v>0.03</v>
      </c>
      <c r="CT184" s="772">
        <f t="shared" ca="1" si="177"/>
        <v>0.02</v>
      </c>
      <c r="CU184" s="135"/>
      <c r="CV184" s="135"/>
      <c r="CW184" s="135"/>
      <c r="CX184" s="135"/>
      <c r="CY184" s="135"/>
      <c r="CZ184" s="135"/>
      <c r="DA184" s="135"/>
      <c r="DB184" s="135"/>
      <c r="DC184" s="135"/>
      <c r="DD184" s="135"/>
      <c r="DE184" s="135"/>
      <c r="DF184" s="135"/>
      <c r="DG184" s="135"/>
      <c r="DH184" s="135"/>
      <c r="DI184" s="135"/>
      <c r="DJ184" s="135"/>
      <c r="DK184" s="135"/>
      <c r="DL184" s="135"/>
      <c r="DX184" s="135"/>
      <c r="DY184" s="135"/>
      <c r="DZ184" s="135"/>
      <c r="EA184" s="135"/>
      <c r="EB184" s="135"/>
      <c r="EC184" s="135"/>
      <c r="ED184" s="135"/>
      <c r="EE184" s="135"/>
      <c r="EF184" s="135"/>
      <c r="EG184" s="135"/>
      <c r="EH184" s="135"/>
      <c r="EI184" s="135"/>
      <c r="EJ184" s="135"/>
      <c r="EK184" s="135"/>
      <c r="EL184" s="135"/>
      <c r="EM184" s="135"/>
      <c r="EN184" s="135"/>
      <c r="EO184" s="135"/>
      <c r="EP184" s="135"/>
      <c r="EQ184" s="135"/>
      <c r="ER184" s="135"/>
      <c r="ES184" s="135"/>
      <c r="ET184" s="135"/>
      <c r="EU184" s="135"/>
      <c r="EV184" s="135"/>
      <c r="EW184" s="135"/>
      <c r="EX184" s="135"/>
      <c r="EY184" s="135"/>
      <c r="EZ184" s="135"/>
      <c r="FA184" s="135"/>
      <c r="FB184" s="135"/>
      <c r="FC184" s="135"/>
      <c r="FD184" s="135"/>
      <c r="FE184" s="135"/>
      <c r="FF184" s="135"/>
      <c r="FG184" s="135"/>
    </row>
    <row r="185" spans="1:163" s="57" customFormat="1" ht="11.25" outlineLevel="1">
      <c r="A185" s="765">
        <f t="shared" si="223"/>
        <v>7</v>
      </c>
      <c r="B185" s="715" cm="1">
        <f t="array" aca="1" ref="B185" ca="1">INDIRECT("'Definition of Typical Day'!"&amp;ADDRESS(B$16,$E185))</f>
        <v>7</v>
      </c>
      <c r="C185" s="766">
        <f t="shared" si="224"/>
        <v>21</v>
      </c>
      <c r="D185" s="715">
        <f t="shared" si="224"/>
        <v>55</v>
      </c>
      <c r="E185" s="715">
        <f t="shared" si="152"/>
        <v>11</v>
      </c>
      <c r="F185" s="767" cm="1">
        <f t="array" aca="1" ref="F185" ca="1">INDIRECT("'Definition of Typical Day'!D"&amp;D185)</f>
        <v>21</v>
      </c>
      <c r="G185" s="767" cm="1">
        <f t="array" aca="1" ref="G185" ca="1">INDIRECT("'Definition of Typical Day'!"&amp;ADDRESS(13,E185))</f>
        <v>7</v>
      </c>
      <c r="H185" s="768" cm="1">
        <f t="array" aca="1" ref="H185" ca="1">INDIRECT("'Definition of Typical Day'!"&amp; ADDRESS($D185+28*(H$16-1),$E185))</f>
        <v>0</v>
      </c>
      <c r="I185" s="715" cm="1">
        <f t="array" aca="1" ref="I185" ca="1">INDIRECT("'Definition of Typical Day'!"&amp; ADDRESS($D185+29*(I$16-1),$E185))</f>
        <v>0</v>
      </c>
      <c r="J185" s="715">
        <f t="shared" ca="1" si="178"/>
        <v>0</v>
      </c>
      <c r="K185" s="785">
        <f t="shared" si="179"/>
        <v>28</v>
      </c>
      <c r="L185" s="786" cm="1">
        <f t="array" aca="1" ref="L185" ca="1">INDIRECT("'Definition of Typical Day'!"&amp; ADDRESS($D185+29*(L$16-1),$E185))</f>
        <v>0</v>
      </c>
      <c r="M185" s="768" cm="1">
        <f t="array" aca="1" ref="M185" ca="1">INDIRECT("'Definition of Typical Day'!"&amp; ADDRESS($D185+29*(M$16-1),$E185))</f>
        <v>0</v>
      </c>
      <c r="N185" s="715">
        <f t="shared" si="180"/>
        <v>3</v>
      </c>
      <c r="O185" s="715">
        <f t="shared" ca="1" si="181"/>
        <v>3</v>
      </c>
      <c r="P185" s="715" cm="1">
        <f t="array" aca="1" ref="P185" ca="1">INDIRECT("'Definition of Typical Day'!"&amp; ADDRESS($D185+29*(P$16-1),$E185))</f>
        <v>0</v>
      </c>
      <c r="Q185" s="787">
        <f t="shared" ca="1" si="182"/>
        <v>3</v>
      </c>
      <c r="R185" s="792">
        <f t="shared" ca="1" si="183"/>
        <v>3</v>
      </c>
      <c r="S185" s="769">
        <f t="shared" si="184"/>
        <v>3</v>
      </c>
      <c r="T185" s="769">
        <f t="shared" ca="1" si="185"/>
        <v>-0.5</v>
      </c>
      <c r="U185" s="769">
        <f t="shared" ca="1" si="186"/>
        <v>2.262</v>
      </c>
      <c r="V185" s="769">
        <f t="shared" ca="1" si="187"/>
        <v>0</v>
      </c>
      <c r="W185" s="769">
        <f t="shared" ca="1" si="188"/>
        <v>4.7620000000000005</v>
      </c>
      <c r="X185" s="794">
        <f t="shared" si="189"/>
        <v>3</v>
      </c>
      <c r="Y185" s="769">
        <f t="shared" ca="1" si="190"/>
        <v>0.54772255750516607</v>
      </c>
      <c r="Z185" s="769">
        <f t="shared" ca="1" si="191"/>
        <v>0</v>
      </c>
      <c r="AA185" s="795">
        <f t="shared" ca="1" si="192"/>
        <v>0</v>
      </c>
      <c r="AB185" s="769">
        <f t="shared" ca="1" si="193"/>
        <v>0</v>
      </c>
      <c r="AC185" s="769">
        <f t="shared" ca="1" si="194"/>
        <v>0</v>
      </c>
      <c r="AD185" s="769">
        <f t="shared" ca="1" si="195"/>
        <v>0</v>
      </c>
      <c r="AE185" s="794">
        <f t="shared" ca="1" si="196"/>
        <v>0</v>
      </c>
      <c r="AF185" s="769">
        <f t="shared" ca="1" si="197"/>
        <v>0</v>
      </c>
      <c r="AG185" s="769">
        <f t="shared" ca="1" si="198"/>
        <v>0</v>
      </c>
      <c r="AH185" s="799">
        <f t="shared" ca="1" si="199"/>
        <v>0</v>
      </c>
      <c r="AI185" s="801">
        <f t="shared" ca="1" si="200"/>
        <v>1</v>
      </c>
      <c r="AJ185" s="794">
        <f t="shared" ca="1" si="201"/>
        <v>0</v>
      </c>
      <c r="AK185" s="769">
        <f t="shared" ca="1" si="202"/>
        <v>0</v>
      </c>
      <c r="AL185" s="769">
        <f t="shared" ca="1" si="203"/>
        <v>0</v>
      </c>
      <c r="AM185" s="804">
        <f t="shared" ca="1" si="153"/>
        <v>0</v>
      </c>
      <c r="AN185" s="795">
        <f t="shared" ca="1" si="154"/>
        <v>0</v>
      </c>
      <c r="AO185" s="251"/>
      <c r="AP185" s="770">
        <f t="shared" si="204"/>
        <v>0</v>
      </c>
      <c r="AQ185" s="771">
        <f t="shared" ca="1" si="205"/>
        <v>0</v>
      </c>
      <c r="AR185" s="771">
        <f t="shared" ca="1" si="206"/>
        <v>0</v>
      </c>
      <c r="AS185" s="772">
        <f t="shared" ca="1" si="207"/>
        <v>0</v>
      </c>
      <c r="AT185" s="231"/>
      <c r="AU185" s="770">
        <f>'Main Results - IRR DC Operator'!$F$16</f>
        <v>2</v>
      </c>
      <c r="AV185" s="773">
        <f>'Main Results - IRR DC Operator'!$F$15</f>
        <v>1</v>
      </c>
      <c r="AW185" s="771">
        <f t="shared" ca="1" si="208"/>
        <v>0</v>
      </c>
      <c r="AX185" s="772">
        <f t="shared" si="209"/>
        <v>0</v>
      </c>
      <c r="AY185" s="231"/>
      <c r="AZ185" s="770" cm="1">
        <f t="array" aca="1" ref="AZ185" ca="1">INDIRECT("'Definition of Typical Day'!"&amp; ADDRESS($D185+29*(AZ$16-1),$E185))+$AZ$17</f>
        <v>11</v>
      </c>
      <c r="BA185" s="771" cm="1">
        <f t="array" aca="1" ref="BA185" ca="1">INDIRECT("'Definition of Typical Day'!"&amp; ADDRESS($D185+29*(BA$16-1),$E185))+$BA$17</f>
        <v>11</v>
      </c>
      <c r="BB185" s="772" cm="1">
        <f t="array" aca="1" ref="BB185" ca="1">INDIRECT("'Definition of Typical Day'!"&amp;ADDRESS(BB$16,$E185))</f>
        <v>0</v>
      </c>
      <c r="BC185" s="776" cm="1">
        <f t="array" aca="1" ref="BC185" ca="1">INDIRECT("'Definition of Typical Day'!"&amp; ADDRESS($D185+29*(BC$16-1),$E185))</f>
        <v>0</v>
      </c>
      <c r="BD185" s="777" cm="1">
        <f t="array" aca="1" ref="BD185" ca="1">INDIRECT("'Definition of Typical Day'!"&amp; ADDRESS($D185+29*(BD$16-1),$E185))</f>
        <v>0</v>
      </c>
      <c r="BE185" s="776">
        <f t="shared" si="210"/>
        <v>0</v>
      </c>
      <c r="BF185" s="771">
        <f t="shared" ca="1" si="211"/>
        <v>0</v>
      </c>
      <c r="BG185" s="771">
        <f t="shared" ca="1" si="212"/>
        <v>0</v>
      </c>
      <c r="BH185" s="771">
        <f t="shared" ca="1" si="213"/>
        <v>0</v>
      </c>
      <c r="BI185" s="776">
        <f t="shared" ca="1" si="214"/>
        <v>0</v>
      </c>
      <c r="BJ185" s="776">
        <f t="shared" ca="1" si="215"/>
        <v>0</v>
      </c>
      <c r="BK185" s="776">
        <f t="shared" ca="1" si="216"/>
        <v>0</v>
      </c>
      <c r="BL185" s="776">
        <f t="shared" ca="1" si="217"/>
        <v>0</v>
      </c>
      <c r="BM185" s="135"/>
      <c r="BN185" s="776">
        <f t="shared" ca="1" si="218"/>
        <v>0</v>
      </c>
      <c r="BO185" s="778">
        <f t="shared" ca="1" si="155"/>
        <v>0</v>
      </c>
      <c r="BP185" s="770">
        <f t="shared" ca="1" si="156"/>
        <v>0</v>
      </c>
      <c r="BQ185" s="771">
        <f t="shared" ca="1" si="157"/>
        <v>0</v>
      </c>
      <c r="BR185" s="771">
        <f t="shared" ca="1" si="158"/>
        <v>0</v>
      </c>
      <c r="BS185" s="776">
        <f t="shared" ca="1" si="219"/>
        <v>0</v>
      </c>
      <c r="BT185" s="776">
        <f t="shared" ca="1" si="159"/>
        <v>0</v>
      </c>
      <c r="BU185" s="783">
        <f t="shared" ca="1" si="160"/>
        <v>0</v>
      </c>
      <c r="BV185" s="783">
        <f t="shared" ca="1" si="161"/>
        <v>0</v>
      </c>
      <c r="BW185" s="1019">
        <f t="shared" ca="1" si="220"/>
        <v>0</v>
      </c>
      <c r="BX185" s="771" cm="1">
        <f t="array" aca="1" ref="BX185" ca="1">INDIRECT("'Definition of Typical Day'!"&amp; ADDRESS($D185+29*(BX$16-1),$E185))</f>
        <v>0</v>
      </c>
      <c r="BY185" s="771">
        <f t="shared" ca="1" si="221"/>
        <v>0</v>
      </c>
      <c r="BZ185" s="781">
        <f t="shared" ca="1" si="162"/>
        <v>0</v>
      </c>
      <c r="CA185" s="781">
        <f t="shared" ca="1" si="163"/>
        <v>0</v>
      </c>
      <c r="CB185" s="776">
        <f t="shared" ca="1" si="164"/>
        <v>0</v>
      </c>
      <c r="CC185" s="782">
        <f t="shared" si="165"/>
        <v>7</v>
      </c>
      <c r="CD185" s="782">
        <f t="shared" si="166"/>
        <v>21</v>
      </c>
      <c r="CE185" s="784" cm="1">
        <f t="array" aca="1" ref="CE185" ca="1">INDIRECT("'Definition of Typical Day'!"&amp;ADDRESS(CE$16,$E185))</f>
        <v>7</v>
      </c>
      <c r="CF185" s="232"/>
      <c r="CG185" s="232"/>
      <c r="CH185" s="776">
        <f t="shared" ca="1" si="167"/>
        <v>0</v>
      </c>
      <c r="CI185" s="806">
        <f t="shared" ca="1" si="168"/>
        <v>0</v>
      </c>
      <c r="CJ185" s="770">
        <f t="shared" ca="1" si="169"/>
        <v>0</v>
      </c>
      <c r="CK185" s="771">
        <f t="shared" ca="1" si="170"/>
        <v>0</v>
      </c>
      <c r="CL185" s="771">
        <f t="shared" ca="1" si="171"/>
        <v>0</v>
      </c>
      <c r="CM185" s="772">
        <f t="shared" ca="1" si="172"/>
        <v>0</v>
      </c>
      <c r="CN185" s="135"/>
      <c r="CO185" s="770">
        <f t="shared" ca="1" si="222"/>
        <v>1.05</v>
      </c>
      <c r="CP185" s="771">
        <f t="shared" ca="1" si="173"/>
        <v>0.02</v>
      </c>
      <c r="CQ185" s="771">
        <f t="shared" ca="1" si="174"/>
        <v>-2.5000000000000001E-2</v>
      </c>
      <c r="CR185" s="771">
        <f t="shared" ca="1" si="175"/>
        <v>0.95</v>
      </c>
      <c r="CS185" s="771">
        <f t="shared" ca="1" si="176"/>
        <v>0.03</v>
      </c>
      <c r="CT185" s="772">
        <f t="shared" ca="1" si="177"/>
        <v>0.02</v>
      </c>
      <c r="CU185" s="135"/>
      <c r="CV185" s="135"/>
      <c r="CW185" s="135"/>
      <c r="CX185" s="135"/>
      <c r="CY185" s="135"/>
      <c r="CZ185" s="135"/>
      <c r="DA185" s="135"/>
      <c r="DB185" s="135"/>
      <c r="DC185" s="135"/>
      <c r="DD185" s="135"/>
      <c r="DE185" s="135"/>
      <c r="DF185" s="135"/>
      <c r="DG185" s="135"/>
      <c r="DH185" s="135"/>
      <c r="DI185" s="135"/>
      <c r="DJ185" s="135"/>
      <c r="DK185" s="135"/>
      <c r="DL185" s="135"/>
      <c r="DX185" s="135"/>
      <c r="DY185" s="135"/>
      <c r="DZ185" s="135"/>
      <c r="EA185" s="135"/>
      <c r="EB185" s="135"/>
      <c r="EC185" s="135"/>
      <c r="ED185" s="135"/>
      <c r="EE185" s="135"/>
      <c r="EF185" s="135"/>
      <c r="EG185" s="135"/>
      <c r="EH185" s="135"/>
      <c r="EI185" s="135"/>
      <c r="EJ185" s="135"/>
      <c r="EK185" s="135"/>
      <c r="EL185" s="135"/>
      <c r="EM185" s="135"/>
      <c r="EN185" s="135"/>
      <c r="EO185" s="135"/>
      <c r="EP185" s="135"/>
      <c r="EQ185" s="135"/>
      <c r="ER185" s="135"/>
      <c r="ES185" s="135"/>
      <c r="ET185" s="135"/>
      <c r="EU185" s="135"/>
      <c r="EV185" s="135"/>
      <c r="EW185" s="135"/>
      <c r="EX185" s="135"/>
      <c r="EY185" s="135"/>
      <c r="EZ185" s="135"/>
      <c r="FA185" s="135"/>
      <c r="FB185" s="135"/>
      <c r="FC185" s="135"/>
      <c r="FD185" s="135"/>
      <c r="FE185" s="135"/>
      <c r="FF185" s="135"/>
      <c r="FG185" s="135"/>
    </row>
    <row r="186" spans="1:163" s="57" customFormat="1" ht="11.25" outlineLevel="1">
      <c r="A186" s="765">
        <f t="shared" si="223"/>
        <v>7</v>
      </c>
      <c r="B186" s="715" cm="1">
        <f t="array" aca="1" ref="B186" ca="1">INDIRECT("'Definition of Typical Day'!"&amp;ADDRESS(B$16,$E186))</f>
        <v>7</v>
      </c>
      <c r="C186" s="766">
        <f t="shared" si="224"/>
        <v>22</v>
      </c>
      <c r="D186" s="715">
        <f t="shared" si="224"/>
        <v>56</v>
      </c>
      <c r="E186" s="715">
        <f t="shared" si="152"/>
        <v>11</v>
      </c>
      <c r="F186" s="767" cm="1">
        <f t="array" aca="1" ref="F186" ca="1">INDIRECT("'Definition of Typical Day'!D"&amp;D186)</f>
        <v>22</v>
      </c>
      <c r="G186" s="767" cm="1">
        <f t="array" aca="1" ref="G186" ca="1">INDIRECT("'Definition of Typical Day'!"&amp;ADDRESS(13,E186))</f>
        <v>7</v>
      </c>
      <c r="H186" s="768" cm="1">
        <f t="array" aca="1" ref="H186" ca="1">INDIRECT("'Definition of Typical Day'!"&amp; ADDRESS($D186+28*(H$16-1),$E186))</f>
        <v>0</v>
      </c>
      <c r="I186" s="715" cm="1">
        <f t="array" aca="1" ref="I186" ca="1">INDIRECT("'Definition of Typical Day'!"&amp; ADDRESS($D186+29*(I$16-1),$E186))</f>
        <v>0</v>
      </c>
      <c r="J186" s="715">
        <f t="shared" ca="1" si="178"/>
        <v>0</v>
      </c>
      <c r="K186" s="785">
        <f t="shared" si="179"/>
        <v>28</v>
      </c>
      <c r="L186" s="786" cm="1">
        <f t="array" aca="1" ref="L186" ca="1">INDIRECT("'Definition of Typical Day'!"&amp; ADDRESS($D186+29*(L$16-1),$E186))</f>
        <v>0</v>
      </c>
      <c r="M186" s="768" cm="1">
        <f t="array" aca="1" ref="M186" ca="1">INDIRECT("'Definition of Typical Day'!"&amp; ADDRESS($D186+29*(M$16-1),$E186))</f>
        <v>0</v>
      </c>
      <c r="N186" s="715">
        <f t="shared" si="180"/>
        <v>3</v>
      </c>
      <c r="O186" s="715">
        <f t="shared" ca="1" si="181"/>
        <v>3</v>
      </c>
      <c r="P186" s="715" cm="1">
        <f t="array" aca="1" ref="P186" ca="1">INDIRECT("'Definition of Typical Day'!"&amp; ADDRESS($D186+29*(P$16-1),$E186))</f>
        <v>0</v>
      </c>
      <c r="Q186" s="787">
        <f t="shared" ca="1" si="182"/>
        <v>3</v>
      </c>
      <c r="R186" s="792">
        <f t="shared" ca="1" si="183"/>
        <v>3</v>
      </c>
      <c r="S186" s="769">
        <f t="shared" si="184"/>
        <v>3</v>
      </c>
      <c r="T186" s="769">
        <f t="shared" ca="1" si="185"/>
        <v>-0.5</v>
      </c>
      <c r="U186" s="769">
        <f t="shared" ca="1" si="186"/>
        <v>2.262</v>
      </c>
      <c r="V186" s="769">
        <f t="shared" ca="1" si="187"/>
        <v>0</v>
      </c>
      <c r="W186" s="769">
        <f t="shared" ca="1" si="188"/>
        <v>4.7620000000000005</v>
      </c>
      <c r="X186" s="794">
        <f t="shared" si="189"/>
        <v>3</v>
      </c>
      <c r="Y186" s="769">
        <f t="shared" ca="1" si="190"/>
        <v>0.54772255750516607</v>
      </c>
      <c r="Z186" s="769">
        <f t="shared" ca="1" si="191"/>
        <v>0</v>
      </c>
      <c r="AA186" s="795">
        <f t="shared" ca="1" si="192"/>
        <v>0</v>
      </c>
      <c r="AB186" s="769">
        <f t="shared" ca="1" si="193"/>
        <v>0</v>
      </c>
      <c r="AC186" s="769">
        <f t="shared" ca="1" si="194"/>
        <v>0</v>
      </c>
      <c r="AD186" s="769">
        <f t="shared" ca="1" si="195"/>
        <v>0</v>
      </c>
      <c r="AE186" s="794">
        <f t="shared" ca="1" si="196"/>
        <v>0</v>
      </c>
      <c r="AF186" s="769">
        <f t="shared" ca="1" si="197"/>
        <v>0</v>
      </c>
      <c r="AG186" s="769">
        <f t="shared" ca="1" si="198"/>
        <v>0</v>
      </c>
      <c r="AH186" s="799">
        <f t="shared" ca="1" si="199"/>
        <v>0</v>
      </c>
      <c r="AI186" s="801">
        <f t="shared" ca="1" si="200"/>
        <v>1</v>
      </c>
      <c r="AJ186" s="794">
        <f t="shared" ca="1" si="201"/>
        <v>0</v>
      </c>
      <c r="AK186" s="769">
        <f t="shared" ca="1" si="202"/>
        <v>0</v>
      </c>
      <c r="AL186" s="769">
        <f t="shared" ca="1" si="203"/>
        <v>0</v>
      </c>
      <c r="AM186" s="804">
        <f t="shared" ca="1" si="153"/>
        <v>0</v>
      </c>
      <c r="AN186" s="795">
        <f t="shared" ca="1" si="154"/>
        <v>0</v>
      </c>
      <c r="AO186" s="251"/>
      <c r="AP186" s="770">
        <f t="shared" si="204"/>
        <v>0</v>
      </c>
      <c r="AQ186" s="771">
        <f t="shared" ca="1" si="205"/>
        <v>0</v>
      </c>
      <c r="AR186" s="771">
        <f t="shared" ca="1" si="206"/>
        <v>0</v>
      </c>
      <c r="AS186" s="772">
        <f t="shared" ca="1" si="207"/>
        <v>0</v>
      </c>
      <c r="AT186" s="231"/>
      <c r="AU186" s="770">
        <f>'Main Results - IRR DC Operator'!$F$16</f>
        <v>2</v>
      </c>
      <c r="AV186" s="773">
        <f>'Main Results - IRR DC Operator'!$F$15</f>
        <v>1</v>
      </c>
      <c r="AW186" s="771">
        <f t="shared" ca="1" si="208"/>
        <v>0</v>
      </c>
      <c r="AX186" s="772">
        <f t="shared" si="209"/>
        <v>0</v>
      </c>
      <c r="AY186" s="231"/>
      <c r="AZ186" s="770" cm="1">
        <f t="array" aca="1" ref="AZ186" ca="1">INDIRECT("'Definition of Typical Day'!"&amp; ADDRESS($D186+29*(AZ$16-1),$E186))+$AZ$17</f>
        <v>11</v>
      </c>
      <c r="BA186" s="771" cm="1">
        <f t="array" aca="1" ref="BA186" ca="1">INDIRECT("'Definition of Typical Day'!"&amp; ADDRESS($D186+29*(BA$16-1),$E186))+$BA$17</f>
        <v>11</v>
      </c>
      <c r="BB186" s="772" cm="1">
        <f t="array" aca="1" ref="BB186" ca="1">INDIRECT("'Definition of Typical Day'!"&amp;ADDRESS(BB$16,$E186))</f>
        <v>0</v>
      </c>
      <c r="BC186" s="776" cm="1">
        <f t="array" aca="1" ref="BC186" ca="1">INDIRECT("'Definition of Typical Day'!"&amp; ADDRESS($D186+29*(BC$16-1),$E186))</f>
        <v>0</v>
      </c>
      <c r="BD186" s="777" cm="1">
        <f t="array" aca="1" ref="BD186" ca="1">INDIRECT("'Definition of Typical Day'!"&amp; ADDRESS($D186+29*(BD$16-1),$E186))</f>
        <v>0</v>
      </c>
      <c r="BE186" s="776">
        <f t="shared" si="210"/>
        <v>0</v>
      </c>
      <c r="BF186" s="771">
        <f t="shared" ca="1" si="211"/>
        <v>0</v>
      </c>
      <c r="BG186" s="771">
        <f t="shared" ca="1" si="212"/>
        <v>0</v>
      </c>
      <c r="BH186" s="771">
        <f t="shared" ca="1" si="213"/>
        <v>0</v>
      </c>
      <c r="BI186" s="776">
        <f t="shared" ca="1" si="214"/>
        <v>0</v>
      </c>
      <c r="BJ186" s="776">
        <f t="shared" ca="1" si="215"/>
        <v>0</v>
      </c>
      <c r="BK186" s="776">
        <f t="shared" ca="1" si="216"/>
        <v>0</v>
      </c>
      <c r="BL186" s="776">
        <f t="shared" ca="1" si="217"/>
        <v>0</v>
      </c>
      <c r="BM186" s="135"/>
      <c r="BN186" s="776">
        <f t="shared" ca="1" si="218"/>
        <v>0</v>
      </c>
      <c r="BO186" s="778">
        <f t="shared" ca="1" si="155"/>
        <v>0</v>
      </c>
      <c r="BP186" s="770">
        <f t="shared" ca="1" si="156"/>
        <v>0</v>
      </c>
      <c r="BQ186" s="771">
        <f t="shared" ca="1" si="157"/>
        <v>0</v>
      </c>
      <c r="BR186" s="771">
        <f t="shared" ca="1" si="158"/>
        <v>0</v>
      </c>
      <c r="BS186" s="776">
        <f t="shared" ca="1" si="219"/>
        <v>0</v>
      </c>
      <c r="BT186" s="776">
        <f t="shared" ca="1" si="159"/>
        <v>0</v>
      </c>
      <c r="BU186" s="783">
        <f t="shared" ca="1" si="160"/>
        <v>0</v>
      </c>
      <c r="BV186" s="783">
        <f t="shared" ca="1" si="161"/>
        <v>0</v>
      </c>
      <c r="BW186" s="1019">
        <f t="shared" ca="1" si="220"/>
        <v>0</v>
      </c>
      <c r="BX186" s="771" cm="1">
        <f t="array" aca="1" ref="BX186" ca="1">INDIRECT("'Definition of Typical Day'!"&amp; ADDRESS($D186+29*(BX$16-1),$E186))</f>
        <v>0</v>
      </c>
      <c r="BY186" s="771">
        <f t="shared" ca="1" si="221"/>
        <v>0</v>
      </c>
      <c r="BZ186" s="781">
        <f t="shared" ca="1" si="162"/>
        <v>0</v>
      </c>
      <c r="CA186" s="781">
        <f t="shared" ca="1" si="163"/>
        <v>0</v>
      </c>
      <c r="CB186" s="776">
        <f t="shared" ca="1" si="164"/>
        <v>0</v>
      </c>
      <c r="CC186" s="782">
        <f t="shared" si="165"/>
        <v>7</v>
      </c>
      <c r="CD186" s="782">
        <f t="shared" si="166"/>
        <v>22</v>
      </c>
      <c r="CE186" s="784" cm="1">
        <f t="array" aca="1" ref="CE186" ca="1">INDIRECT("'Definition of Typical Day'!"&amp;ADDRESS(CE$16,$E186))</f>
        <v>7</v>
      </c>
      <c r="CF186" s="232"/>
      <c r="CG186" s="232"/>
      <c r="CH186" s="776">
        <f t="shared" ca="1" si="167"/>
        <v>0</v>
      </c>
      <c r="CI186" s="806">
        <f t="shared" ca="1" si="168"/>
        <v>0</v>
      </c>
      <c r="CJ186" s="770">
        <f t="shared" ca="1" si="169"/>
        <v>0</v>
      </c>
      <c r="CK186" s="771">
        <f t="shared" ca="1" si="170"/>
        <v>0</v>
      </c>
      <c r="CL186" s="771">
        <f t="shared" ca="1" si="171"/>
        <v>0</v>
      </c>
      <c r="CM186" s="772">
        <f t="shared" ca="1" si="172"/>
        <v>0</v>
      </c>
      <c r="CN186" s="135"/>
      <c r="CO186" s="770">
        <f t="shared" ca="1" si="222"/>
        <v>1.05</v>
      </c>
      <c r="CP186" s="771">
        <f t="shared" ca="1" si="173"/>
        <v>0.02</v>
      </c>
      <c r="CQ186" s="771">
        <f t="shared" ca="1" si="174"/>
        <v>-2.5000000000000001E-2</v>
      </c>
      <c r="CR186" s="771">
        <f t="shared" ca="1" si="175"/>
        <v>0.95</v>
      </c>
      <c r="CS186" s="771">
        <f t="shared" ca="1" si="176"/>
        <v>0.03</v>
      </c>
      <c r="CT186" s="772">
        <f t="shared" ca="1" si="177"/>
        <v>0.02</v>
      </c>
      <c r="CU186" s="135"/>
      <c r="CV186" s="135"/>
      <c r="CW186" s="135"/>
      <c r="CX186" s="135"/>
      <c r="CY186" s="135"/>
      <c r="CZ186" s="135"/>
      <c r="DA186" s="135"/>
      <c r="DB186" s="135"/>
      <c r="DC186" s="135"/>
      <c r="DD186" s="135"/>
      <c r="DE186" s="135"/>
      <c r="DF186" s="135"/>
      <c r="DG186" s="135"/>
      <c r="DH186" s="135"/>
      <c r="DI186" s="135"/>
      <c r="DJ186" s="135"/>
      <c r="DK186" s="135"/>
      <c r="DL186" s="135"/>
      <c r="DX186" s="135"/>
      <c r="DY186" s="135"/>
      <c r="DZ186" s="135"/>
      <c r="EA186" s="135"/>
      <c r="EB186" s="135"/>
      <c r="EC186" s="135"/>
      <c r="ED186" s="135"/>
      <c r="EE186" s="135"/>
      <c r="EF186" s="135"/>
      <c r="EG186" s="135"/>
      <c r="EH186" s="135"/>
      <c r="EI186" s="135"/>
      <c r="EJ186" s="135"/>
      <c r="EK186" s="135"/>
      <c r="EL186" s="135"/>
      <c r="EM186" s="135"/>
      <c r="EN186" s="135"/>
      <c r="EO186" s="135"/>
      <c r="EP186" s="135"/>
      <c r="EQ186" s="135"/>
      <c r="ER186" s="135"/>
      <c r="ES186" s="135"/>
      <c r="ET186" s="135"/>
      <c r="EU186" s="135"/>
      <c r="EV186" s="135"/>
      <c r="EW186" s="135"/>
      <c r="EX186" s="135"/>
      <c r="EY186" s="135"/>
      <c r="EZ186" s="135"/>
      <c r="FA186" s="135"/>
      <c r="FB186" s="135"/>
      <c r="FC186" s="135"/>
      <c r="FD186" s="135"/>
      <c r="FE186" s="135"/>
      <c r="FF186" s="135"/>
      <c r="FG186" s="135"/>
    </row>
    <row r="187" spans="1:163" s="57" customFormat="1" ht="11.25" outlineLevel="1">
      <c r="A187" s="765">
        <f t="shared" si="223"/>
        <v>7</v>
      </c>
      <c r="B187" s="715" cm="1">
        <f t="array" aca="1" ref="B187" ca="1">INDIRECT("'Definition of Typical Day'!"&amp;ADDRESS(B$16,$E187))</f>
        <v>7</v>
      </c>
      <c r="C187" s="766">
        <f t="shared" si="224"/>
        <v>23</v>
      </c>
      <c r="D187" s="715">
        <f t="shared" si="224"/>
        <v>57</v>
      </c>
      <c r="E187" s="715">
        <f t="shared" si="152"/>
        <v>11</v>
      </c>
      <c r="F187" s="767" cm="1">
        <f t="array" aca="1" ref="F187" ca="1">INDIRECT("'Definition of Typical Day'!D"&amp;D187)</f>
        <v>23</v>
      </c>
      <c r="G187" s="767" cm="1">
        <f t="array" aca="1" ref="G187" ca="1">INDIRECT("'Definition of Typical Day'!"&amp;ADDRESS(13,E187))</f>
        <v>7</v>
      </c>
      <c r="H187" s="768" cm="1">
        <f t="array" aca="1" ref="H187" ca="1">INDIRECT("'Definition of Typical Day'!"&amp; ADDRESS($D187+28*(H$16-1),$E187))</f>
        <v>0</v>
      </c>
      <c r="I187" s="715" cm="1">
        <f t="array" aca="1" ref="I187" ca="1">INDIRECT("'Definition of Typical Day'!"&amp; ADDRESS($D187+29*(I$16-1),$E187))</f>
        <v>0</v>
      </c>
      <c r="J187" s="715">
        <f t="shared" ca="1" si="178"/>
        <v>0</v>
      </c>
      <c r="K187" s="785">
        <f t="shared" si="179"/>
        <v>28</v>
      </c>
      <c r="L187" s="786" cm="1">
        <f t="array" aca="1" ref="L187" ca="1">INDIRECT("'Definition of Typical Day'!"&amp; ADDRESS($D187+29*(L$16-1),$E187))</f>
        <v>0</v>
      </c>
      <c r="M187" s="768" cm="1">
        <f t="array" aca="1" ref="M187" ca="1">INDIRECT("'Definition of Typical Day'!"&amp; ADDRESS($D187+29*(M$16-1),$E187))</f>
        <v>0</v>
      </c>
      <c r="N187" s="715">
        <f t="shared" si="180"/>
        <v>3</v>
      </c>
      <c r="O187" s="715">
        <f t="shared" ca="1" si="181"/>
        <v>3</v>
      </c>
      <c r="P187" s="715" cm="1">
        <f t="array" aca="1" ref="P187" ca="1">INDIRECT("'Definition of Typical Day'!"&amp; ADDRESS($D187+29*(P$16-1),$E187))</f>
        <v>0</v>
      </c>
      <c r="Q187" s="787">
        <f t="shared" ca="1" si="182"/>
        <v>3</v>
      </c>
      <c r="R187" s="792">
        <f t="shared" ca="1" si="183"/>
        <v>3</v>
      </c>
      <c r="S187" s="769">
        <f t="shared" si="184"/>
        <v>3</v>
      </c>
      <c r="T187" s="769">
        <f t="shared" ca="1" si="185"/>
        <v>-0.5</v>
      </c>
      <c r="U187" s="769">
        <f t="shared" ca="1" si="186"/>
        <v>2.262</v>
      </c>
      <c r="V187" s="769">
        <f t="shared" ca="1" si="187"/>
        <v>0</v>
      </c>
      <c r="W187" s="769">
        <f t="shared" ca="1" si="188"/>
        <v>4.7620000000000005</v>
      </c>
      <c r="X187" s="794">
        <f t="shared" si="189"/>
        <v>3</v>
      </c>
      <c r="Y187" s="769">
        <f t="shared" ca="1" si="190"/>
        <v>0.54772255750516607</v>
      </c>
      <c r="Z187" s="769">
        <f t="shared" ca="1" si="191"/>
        <v>0</v>
      </c>
      <c r="AA187" s="795">
        <f t="shared" ca="1" si="192"/>
        <v>0</v>
      </c>
      <c r="AB187" s="769">
        <f t="shared" ca="1" si="193"/>
        <v>0</v>
      </c>
      <c r="AC187" s="769">
        <f t="shared" ca="1" si="194"/>
        <v>0</v>
      </c>
      <c r="AD187" s="769">
        <f t="shared" ca="1" si="195"/>
        <v>0</v>
      </c>
      <c r="AE187" s="794">
        <f t="shared" ca="1" si="196"/>
        <v>0</v>
      </c>
      <c r="AF187" s="769">
        <f t="shared" ca="1" si="197"/>
        <v>0</v>
      </c>
      <c r="AG187" s="769">
        <f t="shared" ca="1" si="198"/>
        <v>0</v>
      </c>
      <c r="AH187" s="799">
        <f t="shared" ca="1" si="199"/>
        <v>0</v>
      </c>
      <c r="AI187" s="801">
        <f t="shared" ca="1" si="200"/>
        <v>1</v>
      </c>
      <c r="AJ187" s="794">
        <f t="shared" ca="1" si="201"/>
        <v>0</v>
      </c>
      <c r="AK187" s="769">
        <f t="shared" ca="1" si="202"/>
        <v>0</v>
      </c>
      <c r="AL187" s="769">
        <f t="shared" ca="1" si="203"/>
        <v>0</v>
      </c>
      <c r="AM187" s="804">
        <f t="shared" ca="1" si="153"/>
        <v>0</v>
      </c>
      <c r="AN187" s="795">
        <f t="shared" ca="1" si="154"/>
        <v>0</v>
      </c>
      <c r="AO187" s="251"/>
      <c r="AP187" s="770">
        <f t="shared" si="204"/>
        <v>0</v>
      </c>
      <c r="AQ187" s="771">
        <f t="shared" ca="1" si="205"/>
        <v>0</v>
      </c>
      <c r="AR187" s="771">
        <f t="shared" ca="1" si="206"/>
        <v>0</v>
      </c>
      <c r="AS187" s="772">
        <f t="shared" ca="1" si="207"/>
        <v>0</v>
      </c>
      <c r="AT187" s="231"/>
      <c r="AU187" s="770">
        <f>'Main Results - IRR DC Operator'!$F$16</f>
        <v>2</v>
      </c>
      <c r="AV187" s="773">
        <f>'Main Results - IRR DC Operator'!$F$15</f>
        <v>1</v>
      </c>
      <c r="AW187" s="771">
        <f t="shared" ca="1" si="208"/>
        <v>0</v>
      </c>
      <c r="AX187" s="772">
        <f t="shared" si="209"/>
        <v>0</v>
      </c>
      <c r="AY187" s="231"/>
      <c r="AZ187" s="770" cm="1">
        <f t="array" aca="1" ref="AZ187" ca="1">INDIRECT("'Definition of Typical Day'!"&amp; ADDRESS($D187+29*(AZ$16-1),$E187))+$AZ$17</f>
        <v>11</v>
      </c>
      <c r="BA187" s="771" cm="1">
        <f t="array" aca="1" ref="BA187" ca="1">INDIRECT("'Definition of Typical Day'!"&amp; ADDRESS($D187+29*(BA$16-1),$E187))+$BA$17</f>
        <v>11</v>
      </c>
      <c r="BB187" s="772" cm="1">
        <f t="array" aca="1" ref="BB187" ca="1">INDIRECT("'Definition of Typical Day'!"&amp;ADDRESS(BB$16,$E187))</f>
        <v>0</v>
      </c>
      <c r="BC187" s="776" cm="1">
        <f t="array" aca="1" ref="BC187" ca="1">INDIRECT("'Definition of Typical Day'!"&amp; ADDRESS($D187+29*(BC$16-1),$E187))</f>
        <v>0</v>
      </c>
      <c r="BD187" s="777" cm="1">
        <f t="array" aca="1" ref="BD187" ca="1">INDIRECT("'Definition of Typical Day'!"&amp; ADDRESS($D187+29*(BD$16-1),$E187))</f>
        <v>0</v>
      </c>
      <c r="BE187" s="776">
        <f t="shared" si="210"/>
        <v>0</v>
      </c>
      <c r="BF187" s="771">
        <f t="shared" ca="1" si="211"/>
        <v>0</v>
      </c>
      <c r="BG187" s="771">
        <f t="shared" ca="1" si="212"/>
        <v>0</v>
      </c>
      <c r="BH187" s="771">
        <f t="shared" ca="1" si="213"/>
        <v>0</v>
      </c>
      <c r="BI187" s="776">
        <f t="shared" ca="1" si="214"/>
        <v>0</v>
      </c>
      <c r="BJ187" s="776">
        <f t="shared" ca="1" si="215"/>
        <v>0</v>
      </c>
      <c r="BK187" s="776">
        <f t="shared" ca="1" si="216"/>
        <v>0</v>
      </c>
      <c r="BL187" s="776">
        <f t="shared" ca="1" si="217"/>
        <v>0</v>
      </c>
      <c r="BM187" s="135"/>
      <c r="BN187" s="776">
        <f t="shared" ca="1" si="218"/>
        <v>0</v>
      </c>
      <c r="BO187" s="778">
        <f t="shared" ca="1" si="155"/>
        <v>0</v>
      </c>
      <c r="BP187" s="770">
        <f t="shared" ca="1" si="156"/>
        <v>0</v>
      </c>
      <c r="BQ187" s="771">
        <f t="shared" ca="1" si="157"/>
        <v>0</v>
      </c>
      <c r="BR187" s="771">
        <f t="shared" ca="1" si="158"/>
        <v>0</v>
      </c>
      <c r="BS187" s="776">
        <f t="shared" ca="1" si="219"/>
        <v>0</v>
      </c>
      <c r="BT187" s="776">
        <f t="shared" ca="1" si="159"/>
        <v>0</v>
      </c>
      <c r="BU187" s="783">
        <f t="shared" ca="1" si="160"/>
        <v>0</v>
      </c>
      <c r="BV187" s="783">
        <f t="shared" ca="1" si="161"/>
        <v>0</v>
      </c>
      <c r="BW187" s="1019">
        <f t="shared" ca="1" si="220"/>
        <v>0</v>
      </c>
      <c r="BX187" s="771" cm="1">
        <f t="array" aca="1" ref="BX187" ca="1">INDIRECT("'Definition of Typical Day'!"&amp; ADDRESS($D187+29*(BX$16-1),$E187))</f>
        <v>0</v>
      </c>
      <c r="BY187" s="771">
        <f t="shared" ca="1" si="221"/>
        <v>0</v>
      </c>
      <c r="BZ187" s="781">
        <f t="shared" ca="1" si="162"/>
        <v>0</v>
      </c>
      <c r="CA187" s="781">
        <f t="shared" ca="1" si="163"/>
        <v>0</v>
      </c>
      <c r="CB187" s="776">
        <f t="shared" ca="1" si="164"/>
        <v>0</v>
      </c>
      <c r="CC187" s="782">
        <f t="shared" si="165"/>
        <v>7</v>
      </c>
      <c r="CD187" s="782">
        <f t="shared" si="166"/>
        <v>23</v>
      </c>
      <c r="CE187" s="784" cm="1">
        <f t="array" aca="1" ref="CE187" ca="1">INDIRECT("'Definition of Typical Day'!"&amp;ADDRESS(CE$16,$E187))</f>
        <v>7</v>
      </c>
      <c r="CF187" s="232"/>
      <c r="CG187" s="232"/>
      <c r="CH187" s="776">
        <f t="shared" ca="1" si="167"/>
        <v>0</v>
      </c>
      <c r="CI187" s="806">
        <f t="shared" ca="1" si="168"/>
        <v>0</v>
      </c>
      <c r="CJ187" s="770">
        <f t="shared" ca="1" si="169"/>
        <v>0</v>
      </c>
      <c r="CK187" s="771">
        <f t="shared" ca="1" si="170"/>
        <v>0</v>
      </c>
      <c r="CL187" s="771">
        <f t="shared" ca="1" si="171"/>
        <v>0</v>
      </c>
      <c r="CM187" s="772">
        <f t="shared" ca="1" si="172"/>
        <v>0</v>
      </c>
      <c r="CN187" s="135"/>
      <c r="CO187" s="770">
        <f t="shared" ca="1" si="222"/>
        <v>1.05</v>
      </c>
      <c r="CP187" s="771">
        <f t="shared" ca="1" si="173"/>
        <v>0.02</v>
      </c>
      <c r="CQ187" s="771">
        <f t="shared" ca="1" si="174"/>
        <v>-2.5000000000000001E-2</v>
      </c>
      <c r="CR187" s="771">
        <f t="shared" ca="1" si="175"/>
        <v>0.95</v>
      </c>
      <c r="CS187" s="771">
        <f t="shared" ca="1" si="176"/>
        <v>0.03</v>
      </c>
      <c r="CT187" s="772">
        <f t="shared" ca="1" si="177"/>
        <v>0.02</v>
      </c>
      <c r="CU187" s="135"/>
      <c r="CV187" s="135"/>
      <c r="CW187" s="135"/>
      <c r="CX187" s="135"/>
      <c r="CY187" s="135"/>
      <c r="CZ187" s="135"/>
      <c r="DA187" s="135"/>
      <c r="DB187" s="135"/>
      <c r="DC187" s="135"/>
      <c r="DD187" s="135"/>
      <c r="DE187" s="135"/>
      <c r="DF187" s="135"/>
      <c r="DG187" s="135"/>
      <c r="DH187" s="135"/>
      <c r="DI187" s="135"/>
      <c r="DJ187" s="135"/>
      <c r="DK187" s="135"/>
      <c r="DL187" s="135"/>
      <c r="DX187" s="135"/>
      <c r="DY187" s="135"/>
      <c r="DZ187" s="135"/>
      <c r="EA187" s="135"/>
      <c r="EB187" s="135"/>
      <c r="EC187" s="135"/>
      <c r="ED187" s="135"/>
      <c r="EE187" s="135"/>
      <c r="EF187" s="135"/>
      <c r="EG187" s="135"/>
      <c r="EH187" s="135"/>
      <c r="EI187" s="135"/>
      <c r="EJ187" s="135"/>
      <c r="EK187" s="135"/>
      <c r="EL187" s="135"/>
      <c r="EM187" s="135"/>
      <c r="EN187" s="135"/>
      <c r="EO187" s="135"/>
      <c r="EP187" s="135"/>
      <c r="EQ187" s="135"/>
      <c r="ER187" s="135"/>
      <c r="ES187" s="135"/>
      <c r="ET187" s="135"/>
      <c r="EU187" s="135"/>
      <c r="EV187" s="135"/>
      <c r="EW187" s="135"/>
      <c r="EX187" s="135"/>
      <c r="EY187" s="135"/>
      <c r="EZ187" s="135"/>
      <c r="FA187" s="135"/>
      <c r="FB187" s="135"/>
      <c r="FC187" s="135"/>
      <c r="FD187" s="135"/>
      <c r="FE187" s="135"/>
      <c r="FF187" s="135"/>
      <c r="FG187" s="135"/>
    </row>
    <row r="188" spans="1:163" s="57" customFormat="1" ht="11.25" outlineLevel="1">
      <c r="A188" s="765">
        <f t="shared" si="223"/>
        <v>7</v>
      </c>
      <c r="B188" s="715" cm="1">
        <f t="array" aca="1" ref="B188" ca="1">INDIRECT("'Definition of Typical Day'!"&amp;ADDRESS(B$16,$E188))</f>
        <v>7</v>
      </c>
      <c r="C188" s="766">
        <f t="shared" si="224"/>
        <v>24</v>
      </c>
      <c r="D188" s="715">
        <f t="shared" si="224"/>
        <v>58</v>
      </c>
      <c r="E188" s="715">
        <f t="shared" si="152"/>
        <v>11</v>
      </c>
      <c r="F188" s="767" cm="1">
        <f t="array" aca="1" ref="F188" ca="1">INDIRECT("'Definition of Typical Day'!D"&amp;D188)</f>
        <v>24</v>
      </c>
      <c r="G188" s="767" cm="1">
        <f t="array" aca="1" ref="G188" ca="1">INDIRECT("'Definition of Typical Day'!"&amp;ADDRESS(13,E188))</f>
        <v>7</v>
      </c>
      <c r="H188" s="768" cm="1">
        <f t="array" aca="1" ref="H188" ca="1">INDIRECT("'Definition of Typical Day'!"&amp; ADDRESS($D188+28*(H$16-1),$E188))</f>
        <v>0</v>
      </c>
      <c r="I188" s="715" cm="1">
        <f t="array" aca="1" ref="I188" ca="1">INDIRECT("'Definition of Typical Day'!"&amp; ADDRESS($D188+29*(I$16-1),$E188))</f>
        <v>0</v>
      </c>
      <c r="J188" s="715">
        <f t="shared" ca="1" si="178"/>
        <v>0</v>
      </c>
      <c r="K188" s="785">
        <f t="shared" si="179"/>
        <v>28</v>
      </c>
      <c r="L188" s="786" cm="1">
        <f t="array" aca="1" ref="L188" ca="1">INDIRECT("'Definition of Typical Day'!"&amp; ADDRESS($D188+29*(L$16-1),$E188))</f>
        <v>0</v>
      </c>
      <c r="M188" s="768" cm="1">
        <f t="array" aca="1" ref="M188" ca="1">INDIRECT("'Definition of Typical Day'!"&amp; ADDRESS($D188+29*(M$16-1),$E188))</f>
        <v>0</v>
      </c>
      <c r="N188" s="715">
        <f t="shared" si="180"/>
        <v>3</v>
      </c>
      <c r="O188" s="715">
        <f t="shared" ca="1" si="181"/>
        <v>3</v>
      </c>
      <c r="P188" s="715" cm="1">
        <f t="array" aca="1" ref="P188" ca="1">INDIRECT("'Definition of Typical Day'!"&amp; ADDRESS($D188+29*(P$16-1),$E188))</f>
        <v>0</v>
      </c>
      <c r="Q188" s="787">
        <f t="shared" ca="1" si="182"/>
        <v>3</v>
      </c>
      <c r="R188" s="792">
        <f t="shared" ca="1" si="183"/>
        <v>3</v>
      </c>
      <c r="S188" s="769">
        <f t="shared" si="184"/>
        <v>3</v>
      </c>
      <c r="T188" s="769">
        <f t="shared" ca="1" si="185"/>
        <v>-0.5</v>
      </c>
      <c r="U188" s="769">
        <f t="shared" ca="1" si="186"/>
        <v>2.262</v>
      </c>
      <c r="V188" s="769">
        <f t="shared" ca="1" si="187"/>
        <v>0</v>
      </c>
      <c r="W188" s="769">
        <f t="shared" ca="1" si="188"/>
        <v>4.7620000000000005</v>
      </c>
      <c r="X188" s="794">
        <f t="shared" si="189"/>
        <v>3</v>
      </c>
      <c r="Y188" s="769">
        <f t="shared" ca="1" si="190"/>
        <v>0.54772255750516607</v>
      </c>
      <c r="Z188" s="769">
        <f t="shared" ca="1" si="191"/>
        <v>0</v>
      </c>
      <c r="AA188" s="795">
        <f t="shared" ca="1" si="192"/>
        <v>0</v>
      </c>
      <c r="AB188" s="769">
        <f t="shared" ca="1" si="193"/>
        <v>0</v>
      </c>
      <c r="AC188" s="769">
        <f t="shared" ca="1" si="194"/>
        <v>0</v>
      </c>
      <c r="AD188" s="769">
        <f t="shared" ca="1" si="195"/>
        <v>0</v>
      </c>
      <c r="AE188" s="794">
        <f t="shared" ca="1" si="196"/>
        <v>0</v>
      </c>
      <c r="AF188" s="769">
        <f t="shared" ca="1" si="197"/>
        <v>0</v>
      </c>
      <c r="AG188" s="769">
        <f t="shared" ca="1" si="198"/>
        <v>0</v>
      </c>
      <c r="AH188" s="799">
        <f t="shared" ca="1" si="199"/>
        <v>0</v>
      </c>
      <c r="AI188" s="801">
        <f t="shared" ca="1" si="200"/>
        <v>1</v>
      </c>
      <c r="AJ188" s="794">
        <f t="shared" ca="1" si="201"/>
        <v>0</v>
      </c>
      <c r="AK188" s="769">
        <f t="shared" ca="1" si="202"/>
        <v>0</v>
      </c>
      <c r="AL188" s="769">
        <f t="shared" ca="1" si="203"/>
        <v>0</v>
      </c>
      <c r="AM188" s="804">
        <f t="shared" ca="1" si="153"/>
        <v>0</v>
      </c>
      <c r="AN188" s="795">
        <f t="shared" ca="1" si="154"/>
        <v>0</v>
      </c>
      <c r="AO188" s="251"/>
      <c r="AP188" s="770">
        <f t="shared" si="204"/>
        <v>0</v>
      </c>
      <c r="AQ188" s="771">
        <f t="shared" ca="1" si="205"/>
        <v>0</v>
      </c>
      <c r="AR188" s="771">
        <f t="shared" ca="1" si="206"/>
        <v>0</v>
      </c>
      <c r="AS188" s="772">
        <f t="shared" ca="1" si="207"/>
        <v>0</v>
      </c>
      <c r="AT188" s="231"/>
      <c r="AU188" s="770">
        <f>'Main Results - IRR DC Operator'!$F$16</f>
        <v>2</v>
      </c>
      <c r="AV188" s="773">
        <f>'Main Results - IRR DC Operator'!$F$15</f>
        <v>1</v>
      </c>
      <c r="AW188" s="771">
        <f t="shared" ca="1" si="208"/>
        <v>0</v>
      </c>
      <c r="AX188" s="772">
        <f t="shared" si="209"/>
        <v>0</v>
      </c>
      <c r="AY188" s="231"/>
      <c r="AZ188" s="770" cm="1">
        <f t="array" aca="1" ref="AZ188" ca="1">INDIRECT("'Definition of Typical Day'!"&amp; ADDRESS($D188+29*(AZ$16-1),$E188))+$AZ$17</f>
        <v>11</v>
      </c>
      <c r="BA188" s="771" cm="1">
        <f t="array" aca="1" ref="BA188" ca="1">INDIRECT("'Definition of Typical Day'!"&amp; ADDRESS($D188+29*(BA$16-1),$E188))+$BA$17</f>
        <v>11</v>
      </c>
      <c r="BB188" s="772" cm="1">
        <f t="array" aca="1" ref="BB188" ca="1">INDIRECT("'Definition of Typical Day'!"&amp;ADDRESS(BB$16,$E188))</f>
        <v>0</v>
      </c>
      <c r="BC188" s="776" cm="1">
        <f t="array" aca="1" ref="BC188" ca="1">INDIRECT("'Definition of Typical Day'!"&amp; ADDRESS($D188+29*(BC$16-1),$E188))</f>
        <v>0</v>
      </c>
      <c r="BD188" s="777" cm="1">
        <f t="array" aca="1" ref="BD188" ca="1">INDIRECT("'Definition of Typical Day'!"&amp; ADDRESS($D188+29*(BD$16-1),$E188))</f>
        <v>0</v>
      </c>
      <c r="BE188" s="776">
        <f t="shared" si="210"/>
        <v>0</v>
      </c>
      <c r="BF188" s="771">
        <f t="shared" ca="1" si="211"/>
        <v>0</v>
      </c>
      <c r="BG188" s="771">
        <f t="shared" ca="1" si="212"/>
        <v>0</v>
      </c>
      <c r="BH188" s="771">
        <f t="shared" ca="1" si="213"/>
        <v>0</v>
      </c>
      <c r="BI188" s="776">
        <f t="shared" ca="1" si="214"/>
        <v>0</v>
      </c>
      <c r="BJ188" s="776">
        <f t="shared" ca="1" si="215"/>
        <v>0</v>
      </c>
      <c r="BK188" s="776">
        <f t="shared" ca="1" si="216"/>
        <v>0</v>
      </c>
      <c r="BL188" s="776">
        <f t="shared" ca="1" si="217"/>
        <v>0</v>
      </c>
      <c r="BM188" s="135"/>
      <c r="BN188" s="776">
        <f t="shared" ca="1" si="218"/>
        <v>0</v>
      </c>
      <c r="BO188" s="778">
        <f t="shared" ca="1" si="155"/>
        <v>0</v>
      </c>
      <c r="BP188" s="770">
        <f t="shared" ca="1" si="156"/>
        <v>0</v>
      </c>
      <c r="BQ188" s="771">
        <f t="shared" ca="1" si="157"/>
        <v>0</v>
      </c>
      <c r="BR188" s="771">
        <f t="shared" ca="1" si="158"/>
        <v>0</v>
      </c>
      <c r="BS188" s="776">
        <f t="shared" ca="1" si="219"/>
        <v>0</v>
      </c>
      <c r="BT188" s="776">
        <f t="shared" ca="1" si="159"/>
        <v>0</v>
      </c>
      <c r="BU188" s="783">
        <f t="shared" ca="1" si="160"/>
        <v>0</v>
      </c>
      <c r="BV188" s="783">
        <f t="shared" ca="1" si="161"/>
        <v>0</v>
      </c>
      <c r="BW188" s="1019">
        <f t="shared" ca="1" si="220"/>
        <v>0</v>
      </c>
      <c r="BX188" s="771" cm="1">
        <f t="array" aca="1" ref="BX188" ca="1">INDIRECT("'Definition of Typical Day'!"&amp; ADDRESS($D188+29*(BX$16-1),$E188))</f>
        <v>0</v>
      </c>
      <c r="BY188" s="771">
        <f t="shared" ca="1" si="221"/>
        <v>0</v>
      </c>
      <c r="BZ188" s="781">
        <f t="shared" ca="1" si="162"/>
        <v>0</v>
      </c>
      <c r="CA188" s="781">
        <f t="shared" ca="1" si="163"/>
        <v>0</v>
      </c>
      <c r="CB188" s="776">
        <f t="shared" ca="1" si="164"/>
        <v>0</v>
      </c>
      <c r="CC188" s="782">
        <f t="shared" si="165"/>
        <v>7</v>
      </c>
      <c r="CD188" s="782">
        <f t="shared" si="166"/>
        <v>24</v>
      </c>
      <c r="CE188" s="784" cm="1">
        <f t="array" aca="1" ref="CE188" ca="1">INDIRECT("'Definition of Typical Day'!"&amp;ADDRESS(CE$16,$E188))</f>
        <v>7</v>
      </c>
      <c r="CF188" s="232"/>
      <c r="CG188" s="232"/>
      <c r="CH188" s="776">
        <f t="shared" ca="1" si="167"/>
        <v>0</v>
      </c>
      <c r="CI188" s="806">
        <f t="shared" ca="1" si="168"/>
        <v>0</v>
      </c>
      <c r="CJ188" s="770">
        <f t="shared" ca="1" si="169"/>
        <v>0</v>
      </c>
      <c r="CK188" s="771">
        <f t="shared" ca="1" si="170"/>
        <v>0</v>
      </c>
      <c r="CL188" s="771">
        <f t="shared" ca="1" si="171"/>
        <v>0</v>
      </c>
      <c r="CM188" s="772">
        <f t="shared" ca="1" si="172"/>
        <v>0</v>
      </c>
      <c r="CN188" s="135"/>
      <c r="CO188" s="770">
        <f t="shared" ca="1" si="222"/>
        <v>1.05</v>
      </c>
      <c r="CP188" s="771">
        <f t="shared" ca="1" si="173"/>
        <v>0.02</v>
      </c>
      <c r="CQ188" s="771">
        <f t="shared" ca="1" si="174"/>
        <v>-2.5000000000000001E-2</v>
      </c>
      <c r="CR188" s="771">
        <f t="shared" ca="1" si="175"/>
        <v>0.95</v>
      </c>
      <c r="CS188" s="771">
        <f t="shared" ca="1" si="176"/>
        <v>0.03</v>
      </c>
      <c r="CT188" s="772">
        <f t="shared" ca="1" si="177"/>
        <v>0.02</v>
      </c>
      <c r="CU188" s="135"/>
      <c r="CV188" s="135"/>
      <c r="CW188" s="135"/>
      <c r="CX188" s="135"/>
      <c r="CY188" s="135"/>
      <c r="CZ188" s="135"/>
      <c r="DA188" s="135"/>
      <c r="DB188" s="135"/>
      <c r="DC188" s="135"/>
      <c r="DD188" s="135"/>
      <c r="DE188" s="135"/>
      <c r="DF188" s="135"/>
      <c r="DG188" s="135"/>
      <c r="DH188" s="135"/>
      <c r="DI188" s="135"/>
      <c r="DJ188" s="135"/>
      <c r="DK188" s="135"/>
      <c r="DL188" s="135"/>
      <c r="DX188" s="135"/>
      <c r="DY188" s="135"/>
      <c r="DZ188" s="135"/>
      <c r="EA188" s="135"/>
      <c r="EB188" s="135"/>
      <c r="EC188" s="135"/>
      <c r="ED188" s="135"/>
      <c r="EE188" s="135"/>
      <c r="EF188" s="135"/>
      <c r="EG188" s="135"/>
      <c r="EH188" s="135"/>
      <c r="EI188" s="135"/>
      <c r="EJ188" s="135"/>
      <c r="EK188" s="135"/>
      <c r="EL188" s="135"/>
      <c r="EM188" s="135"/>
      <c r="EN188" s="135"/>
      <c r="EO188" s="135"/>
      <c r="EP188" s="135"/>
      <c r="EQ188" s="135"/>
      <c r="ER188" s="135"/>
      <c r="ES188" s="135"/>
      <c r="ET188" s="135"/>
      <c r="EU188" s="135"/>
      <c r="EV188" s="135"/>
      <c r="EW188" s="135"/>
      <c r="EX188" s="135"/>
      <c r="EY188" s="135"/>
      <c r="EZ188" s="135"/>
      <c r="FA188" s="135"/>
      <c r="FB188" s="135"/>
      <c r="FC188" s="135"/>
      <c r="FD188" s="135"/>
      <c r="FE188" s="135"/>
      <c r="FF188" s="135"/>
      <c r="FG188" s="135"/>
    </row>
    <row r="189" spans="1:163" s="57" customFormat="1" ht="11.25">
      <c r="A189" s="765">
        <f t="shared" si="223"/>
        <v>8</v>
      </c>
      <c r="B189" s="715" cm="1">
        <f t="array" aca="1" ref="B189" ca="1">INDIRECT("'Definition of Typical Day'!"&amp;ADDRESS(B$16,$E189))</f>
        <v>8</v>
      </c>
      <c r="C189" s="766">
        <f t="shared" si="224"/>
        <v>1</v>
      </c>
      <c r="D189" s="715">
        <f t="shared" si="224"/>
        <v>35</v>
      </c>
      <c r="E189" s="715">
        <f t="shared" si="152"/>
        <v>12</v>
      </c>
      <c r="F189" s="767" cm="1">
        <f t="array" aca="1" ref="F189" ca="1">INDIRECT("'Definition of Typical Day'!D"&amp;D189)</f>
        <v>1</v>
      </c>
      <c r="G189" s="767" cm="1">
        <f t="array" aca="1" ref="G189" ca="1">INDIRECT("'Definition of Typical Day'!"&amp;ADDRESS(13,E189))</f>
        <v>8</v>
      </c>
      <c r="H189" s="768" cm="1">
        <f t="array" aca="1" ref="H189" ca="1">INDIRECT("'Definition of Typical Day'!"&amp; ADDRESS($D189+28*(H$16-1),$E189))</f>
        <v>0</v>
      </c>
      <c r="I189" s="715" cm="1">
        <f t="array" aca="1" ref="I189" ca="1">INDIRECT("'Definition of Typical Day'!"&amp; ADDRESS($D189+29*(I$16-1),$E189))</f>
        <v>0</v>
      </c>
      <c r="J189" s="715">
        <f t="shared" ca="1" si="178"/>
        <v>0</v>
      </c>
      <c r="K189" s="785">
        <f t="shared" si="179"/>
        <v>28</v>
      </c>
      <c r="L189" s="786" cm="1">
        <f t="array" aca="1" ref="L189" ca="1">INDIRECT("'Definition of Typical Day'!"&amp; ADDRESS($D189+29*(L$16-1),$E189))</f>
        <v>0</v>
      </c>
      <c r="M189" s="768" cm="1">
        <f t="array" aca="1" ref="M189" ca="1">INDIRECT("'Definition of Typical Day'!"&amp; ADDRESS($D189+29*(M$16-1),$E189))</f>
        <v>0</v>
      </c>
      <c r="N189" s="715">
        <f t="shared" si="180"/>
        <v>3</v>
      </c>
      <c r="O189" s="715">
        <f t="shared" ca="1" si="181"/>
        <v>3</v>
      </c>
      <c r="P189" s="715" cm="1">
        <f t="array" aca="1" ref="P189" ca="1">INDIRECT("'Definition of Typical Day'!"&amp; ADDRESS($D189+29*(P$16-1),$E189))</f>
        <v>0</v>
      </c>
      <c r="Q189" s="787">
        <f t="shared" ca="1" si="182"/>
        <v>3</v>
      </c>
      <c r="R189" s="792">
        <f t="shared" ca="1" si="183"/>
        <v>3</v>
      </c>
      <c r="S189" s="769">
        <f t="shared" si="184"/>
        <v>3</v>
      </c>
      <c r="T189" s="769">
        <f t="shared" ca="1" si="185"/>
        <v>-0.5</v>
      </c>
      <c r="U189" s="769">
        <f t="shared" ca="1" si="186"/>
        <v>2.262</v>
      </c>
      <c r="V189" s="769">
        <f t="shared" ca="1" si="187"/>
        <v>0</v>
      </c>
      <c r="W189" s="769">
        <f t="shared" ca="1" si="188"/>
        <v>4.7620000000000005</v>
      </c>
      <c r="X189" s="794">
        <f t="shared" si="189"/>
        <v>3</v>
      </c>
      <c r="Y189" s="769">
        <f t="shared" ca="1" si="190"/>
        <v>0.54772255750516607</v>
      </c>
      <c r="Z189" s="769">
        <f t="shared" ca="1" si="191"/>
        <v>0</v>
      </c>
      <c r="AA189" s="795">
        <f t="shared" ca="1" si="192"/>
        <v>0</v>
      </c>
      <c r="AB189" s="769">
        <f t="shared" ca="1" si="193"/>
        <v>0</v>
      </c>
      <c r="AC189" s="769">
        <f t="shared" ca="1" si="194"/>
        <v>0</v>
      </c>
      <c r="AD189" s="769">
        <f t="shared" ca="1" si="195"/>
        <v>0</v>
      </c>
      <c r="AE189" s="794">
        <f t="shared" ca="1" si="196"/>
        <v>0</v>
      </c>
      <c r="AF189" s="769">
        <f t="shared" ca="1" si="197"/>
        <v>0</v>
      </c>
      <c r="AG189" s="769">
        <f t="shared" ca="1" si="198"/>
        <v>0</v>
      </c>
      <c r="AH189" s="799">
        <f t="shared" ca="1" si="199"/>
        <v>0</v>
      </c>
      <c r="AI189" s="801">
        <f t="shared" ca="1" si="200"/>
        <v>1</v>
      </c>
      <c r="AJ189" s="794">
        <f t="shared" ca="1" si="201"/>
        <v>0</v>
      </c>
      <c r="AK189" s="769">
        <f t="shared" ca="1" si="202"/>
        <v>0</v>
      </c>
      <c r="AL189" s="769">
        <f t="shared" ca="1" si="203"/>
        <v>0</v>
      </c>
      <c r="AM189" s="804">
        <f t="shared" ca="1" si="153"/>
        <v>0</v>
      </c>
      <c r="AN189" s="795">
        <f t="shared" ca="1" si="154"/>
        <v>0</v>
      </c>
      <c r="AO189" s="251"/>
      <c r="AP189" s="770">
        <f t="shared" si="204"/>
        <v>0</v>
      </c>
      <c r="AQ189" s="771">
        <f t="shared" ca="1" si="205"/>
        <v>0</v>
      </c>
      <c r="AR189" s="771">
        <f t="shared" ca="1" si="206"/>
        <v>0</v>
      </c>
      <c r="AS189" s="772">
        <f t="shared" ca="1" si="207"/>
        <v>0</v>
      </c>
      <c r="AT189" s="231"/>
      <c r="AU189" s="770">
        <f>'Main Results - IRR DC Operator'!$F$16</f>
        <v>2</v>
      </c>
      <c r="AV189" s="773">
        <f>'Main Results - IRR DC Operator'!$F$15</f>
        <v>1</v>
      </c>
      <c r="AW189" s="771">
        <f t="shared" ca="1" si="208"/>
        <v>0</v>
      </c>
      <c r="AX189" s="772">
        <f t="shared" si="209"/>
        <v>0</v>
      </c>
      <c r="AY189" s="231"/>
      <c r="AZ189" s="770" cm="1">
        <f t="array" aca="1" ref="AZ189" ca="1">INDIRECT("'Definition of Typical Day'!"&amp; ADDRESS($D189+29*(AZ$16-1),$E189))+$AZ$17</f>
        <v>11</v>
      </c>
      <c r="BA189" s="771" cm="1">
        <f t="array" aca="1" ref="BA189" ca="1">INDIRECT("'Definition of Typical Day'!"&amp; ADDRESS($D189+29*(BA$16-1),$E189))+$BA$17</f>
        <v>11</v>
      </c>
      <c r="BB189" s="772" cm="1">
        <f t="array" aca="1" ref="BB189" ca="1">INDIRECT("'Definition of Typical Day'!"&amp;ADDRESS(BB$16,$E189))</f>
        <v>0</v>
      </c>
      <c r="BC189" s="776" cm="1">
        <f t="array" aca="1" ref="BC189" ca="1">INDIRECT("'Definition of Typical Day'!"&amp; ADDRESS($D189+29*(BC$16-1),$E189))</f>
        <v>0</v>
      </c>
      <c r="BD189" s="777" cm="1">
        <f t="array" aca="1" ref="BD189" ca="1">INDIRECT("'Definition of Typical Day'!"&amp; ADDRESS($D189+29*(BD$16-1),$E189))</f>
        <v>0</v>
      </c>
      <c r="BE189" s="776">
        <f t="shared" si="210"/>
        <v>0</v>
      </c>
      <c r="BF189" s="771">
        <f t="shared" ca="1" si="211"/>
        <v>0</v>
      </c>
      <c r="BG189" s="771">
        <f t="shared" ca="1" si="212"/>
        <v>0</v>
      </c>
      <c r="BH189" s="771">
        <f t="shared" ca="1" si="213"/>
        <v>0</v>
      </c>
      <c r="BI189" s="776">
        <f t="shared" ca="1" si="214"/>
        <v>0</v>
      </c>
      <c r="BJ189" s="776">
        <f t="shared" ca="1" si="215"/>
        <v>0</v>
      </c>
      <c r="BK189" s="776">
        <f t="shared" ca="1" si="216"/>
        <v>0</v>
      </c>
      <c r="BL189" s="776">
        <f t="shared" ca="1" si="217"/>
        <v>0</v>
      </c>
      <c r="BM189" s="135"/>
      <c r="BN189" s="776">
        <f t="shared" ca="1" si="218"/>
        <v>0</v>
      </c>
      <c r="BO189" s="778">
        <f t="shared" ca="1" si="155"/>
        <v>0</v>
      </c>
      <c r="BP189" s="770">
        <f t="shared" ca="1" si="156"/>
        <v>0</v>
      </c>
      <c r="BQ189" s="771">
        <f t="shared" ca="1" si="157"/>
        <v>0</v>
      </c>
      <c r="BR189" s="771">
        <f t="shared" ca="1" si="158"/>
        <v>0</v>
      </c>
      <c r="BS189" s="776">
        <f t="shared" ca="1" si="219"/>
        <v>0</v>
      </c>
      <c r="BT189" s="776">
        <f t="shared" ca="1" si="159"/>
        <v>0</v>
      </c>
      <c r="BU189" s="783">
        <f t="shared" ca="1" si="160"/>
        <v>0</v>
      </c>
      <c r="BV189" s="783">
        <f t="shared" ca="1" si="161"/>
        <v>0</v>
      </c>
      <c r="BW189" s="1019">
        <f t="shared" ca="1" si="220"/>
        <v>0</v>
      </c>
      <c r="BX189" s="771" cm="1">
        <f t="array" aca="1" ref="BX189" ca="1">INDIRECT("'Definition of Typical Day'!"&amp; ADDRESS($D189+29*(BX$16-1),$E189))</f>
        <v>0</v>
      </c>
      <c r="BY189" s="771">
        <f t="shared" ca="1" si="221"/>
        <v>0</v>
      </c>
      <c r="BZ189" s="781">
        <f t="shared" ca="1" si="162"/>
        <v>0</v>
      </c>
      <c r="CA189" s="781">
        <f t="shared" ca="1" si="163"/>
        <v>0</v>
      </c>
      <c r="CB189" s="776">
        <f t="shared" ca="1" si="164"/>
        <v>0</v>
      </c>
      <c r="CC189" s="782">
        <f t="shared" si="165"/>
        <v>8</v>
      </c>
      <c r="CD189" s="782">
        <f t="shared" si="166"/>
        <v>1</v>
      </c>
      <c r="CE189" s="784" cm="1">
        <f t="array" aca="1" ref="CE189" ca="1">INDIRECT("'Definition of Typical Day'!"&amp;ADDRESS(CE$16,$E189))</f>
        <v>8</v>
      </c>
      <c r="CF189" s="232"/>
      <c r="CG189" s="232"/>
      <c r="CH189" s="776">
        <f t="shared" ca="1" si="167"/>
        <v>0</v>
      </c>
      <c r="CI189" s="806">
        <f t="shared" ca="1" si="168"/>
        <v>0</v>
      </c>
      <c r="CJ189" s="770">
        <f t="shared" ca="1" si="169"/>
        <v>0</v>
      </c>
      <c r="CK189" s="771">
        <f t="shared" ca="1" si="170"/>
        <v>0</v>
      </c>
      <c r="CL189" s="771">
        <f t="shared" ca="1" si="171"/>
        <v>0</v>
      </c>
      <c r="CM189" s="772">
        <f t="shared" ca="1" si="172"/>
        <v>0</v>
      </c>
      <c r="CN189" s="135"/>
      <c r="CO189" s="770">
        <f t="shared" ca="1" si="222"/>
        <v>1.05</v>
      </c>
      <c r="CP189" s="771">
        <f t="shared" ca="1" si="173"/>
        <v>0.02</v>
      </c>
      <c r="CQ189" s="771">
        <f t="shared" ca="1" si="174"/>
        <v>-2.5000000000000001E-2</v>
      </c>
      <c r="CR189" s="771">
        <f t="shared" ca="1" si="175"/>
        <v>0.95</v>
      </c>
      <c r="CS189" s="771">
        <f t="shared" ca="1" si="176"/>
        <v>0.03</v>
      </c>
      <c r="CT189" s="772">
        <f t="shared" ca="1" si="177"/>
        <v>0.02</v>
      </c>
      <c r="CU189" s="135"/>
      <c r="CV189" s="135"/>
      <c r="CW189" s="135"/>
      <c r="CX189" s="135"/>
      <c r="CY189" s="135"/>
      <c r="CZ189" s="135"/>
      <c r="DA189" s="135"/>
      <c r="DB189" s="135"/>
      <c r="DC189" s="135"/>
      <c r="DD189" s="135"/>
      <c r="DE189" s="135"/>
      <c r="DF189" s="135"/>
      <c r="DG189" s="135"/>
      <c r="DH189" s="135"/>
      <c r="DI189" s="135"/>
      <c r="DJ189" s="135"/>
      <c r="DK189" s="135"/>
      <c r="DL189" s="135"/>
      <c r="DX189" s="135"/>
      <c r="DY189" s="135"/>
      <c r="DZ189" s="135"/>
      <c r="EA189" s="135"/>
      <c r="EB189" s="135"/>
      <c r="EC189" s="135"/>
      <c r="ED189" s="135"/>
      <c r="EE189" s="135"/>
      <c r="EF189" s="135"/>
      <c r="EG189" s="135"/>
      <c r="EH189" s="135"/>
      <c r="EI189" s="135"/>
      <c r="EJ189" s="135"/>
      <c r="EK189" s="135"/>
      <c r="EL189" s="135"/>
      <c r="EM189" s="135"/>
      <c r="EN189" s="135"/>
      <c r="EO189" s="135"/>
      <c r="EP189" s="135"/>
      <c r="EQ189" s="135"/>
      <c r="ER189" s="135"/>
      <c r="ES189" s="135"/>
      <c r="ET189" s="135"/>
      <c r="EU189" s="135"/>
      <c r="EV189" s="135"/>
      <c r="EW189" s="135"/>
      <c r="EX189" s="135"/>
      <c r="EY189" s="135"/>
      <c r="EZ189" s="135"/>
      <c r="FA189" s="135"/>
      <c r="FB189" s="135"/>
      <c r="FC189" s="135"/>
      <c r="FD189" s="135"/>
      <c r="FE189" s="135"/>
      <c r="FF189" s="135"/>
      <c r="FG189" s="135"/>
    </row>
    <row r="190" spans="1:163" s="57" customFormat="1" ht="11.25" outlineLevel="1">
      <c r="A190" s="765">
        <f t="shared" si="223"/>
        <v>8</v>
      </c>
      <c r="B190" s="715" cm="1">
        <f t="array" aca="1" ref="B190" ca="1">INDIRECT("'Definition of Typical Day'!"&amp;ADDRESS(B$16,$E190))</f>
        <v>8</v>
      </c>
      <c r="C190" s="766">
        <f t="shared" si="224"/>
        <v>2</v>
      </c>
      <c r="D190" s="715">
        <f t="shared" si="224"/>
        <v>36</v>
      </c>
      <c r="E190" s="715">
        <f t="shared" si="152"/>
        <v>12</v>
      </c>
      <c r="F190" s="767" cm="1">
        <f t="array" aca="1" ref="F190" ca="1">INDIRECT("'Definition of Typical Day'!D"&amp;D190)</f>
        <v>2</v>
      </c>
      <c r="G190" s="767" cm="1">
        <f t="array" aca="1" ref="G190" ca="1">INDIRECT("'Definition of Typical Day'!"&amp;ADDRESS(13,E190))</f>
        <v>8</v>
      </c>
      <c r="H190" s="768" cm="1">
        <f t="array" aca="1" ref="H190" ca="1">INDIRECT("'Definition of Typical Day'!"&amp; ADDRESS($D190+28*(H$16-1),$E190))</f>
        <v>0</v>
      </c>
      <c r="I190" s="715" cm="1">
        <f t="array" aca="1" ref="I190" ca="1">INDIRECT("'Definition of Typical Day'!"&amp; ADDRESS($D190+29*(I$16-1),$E190))</f>
        <v>0</v>
      </c>
      <c r="J190" s="715">
        <f t="shared" ca="1" si="178"/>
        <v>0</v>
      </c>
      <c r="K190" s="785">
        <f t="shared" si="179"/>
        <v>28</v>
      </c>
      <c r="L190" s="786" cm="1">
        <f t="array" aca="1" ref="L190" ca="1">INDIRECT("'Definition of Typical Day'!"&amp; ADDRESS($D190+29*(L$16-1),$E190))</f>
        <v>0</v>
      </c>
      <c r="M190" s="768" cm="1">
        <f t="array" aca="1" ref="M190" ca="1">INDIRECT("'Definition of Typical Day'!"&amp; ADDRESS($D190+29*(M$16-1),$E190))</f>
        <v>0</v>
      </c>
      <c r="N190" s="715">
        <f t="shared" si="180"/>
        <v>3</v>
      </c>
      <c r="O190" s="715">
        <f t="shared" ca="1" si="181"/>
        <v>3</v>
      </c>
      <c r="P190" s="715" cm="1">
        <f t="array" aca="1" ref="P190" ca="1">INDIRECT("'Definition of Typical Day'!"&amp; ADDRESS($D190+29*(P$16-1),$E190))</f>
        <v>0</v>
      </c>
      <c r="Q190" s="787">
        <f t="shared" ca="1" si="182"/>
        <v>3</v>
      </c>
      <c r="R190" s="792">
        <f t="shared" ca="1" si="183"/>
        <v>3</v>
      </c>
      <c r="S190" s="769">
        <f t="shared" si="184"/>
        <v>3</v>
      </c>
      <c r="T190" s="769">
        <f t="shared" ca="1" si="185"/>
        <v>-0.5</v>
      </c>
      <c r="U190" s="769">
        <f t="shared" ca="1" si="186"/>
        <v>2.262</v>
      </c>
      <c r="V190" s="769">
        <f t="shared" ca="1" si="187"/>
        <v>0</v>
      </c>
      <c r="W190" s="769">
        <f t="shared" ca="1" si="188"/>
        <v>4.7620000000000005</v>
      </c>
      <c r="X190" s="794">
        <f t="shared" si="189"/>
        <v>3</v>
      </c>
      <c r="Y190" s="769">
        <f t="shared" ca="1" si="190"/>
        <v>0.54772255750516607</v>
      </c>
      <c r="Z190" s="769">
        <f t="shared" ca="1" si="191"/>
        <v>0</v>
      </c>
      <c r="AA190" s="795">
        <f t="shared" ca="1" si="192"/>
        <v>0</v>
      </c>
      <c r="AB190" s="769">
        <f t="shared" ca="1" si="193"/>
        <v>0</v>
      </c>
      <c r="AC190" s="769">
        <f t="shared" ca="1" si="194"/>
        <v>0</v>
      </c>
      <c r="AD190" s="769">
        <f t="shared" ca="1" si="195"/>
        <v>0</v>
      </c>
      <c r="AE190" s="794">
        <f t="shared" ca="1" si="196"/>
        <v>0</v>
      </c>
      <c r="AF190" s="769">
        <f t="shared" ca="1" si="197"/>
        <v>0</v>
      </c>
      <c r="AG190" s="769">
        <f t="shared" ca="1" si="198"/>
        <v>0</v>
      </c>
      <c r="AH190" s="799">
        <f t="shared" ca="1" si="199"/>
        <v>0</v>
      </c>
      <c r="AI190" s="801">
        <f t="shared" ca="1" si="200"/>
        <v>1</v>
      </c>
      <c r="AJ190" s="794">
        <f t="shared" ca="1" si="201"/>
        <v>0</v>
      </c>
      <c r="AK190" s="769">
        <f t="shared" ca="1" si="202"/>
        <v>0</v>
      </c>
      <c r="AL190" s="769">
        <f t="shared" ca="1" si="203"/>
        <v>0</v>
      </c>
      <c r="AM190" s="804">
        <f t="shared" ca="1" si="153"/>
        <v>0</v>
      </c>
      <c r="AN190" s="795">
        <f t="shared" ca="1" si="154"/>
        <v>0</v>
      </c>
      <c r="AO190" s="251"/>
      <c r="AP190" s="770">
        <f t="shared" si="204"/>
        <v>0</v>
      </c>
      <c r="AQ190" s="771">
        <f t="shared" ca="1" si="205"/>
        <v>0</v>
      </c>
      <c r="AR190" s="771">
        <f t="shared" ca="1" si="206"/>
        <v>0</v>
      </c>
      <c r="AS190" s="772">
        <f t="shared" ca="1" si="207"/>
        <v>0</v>
      </c>
      <c r="AT190" s="231"/>
      <c r="AU190" s="770">
        <f>'Main Results - IRR DC Operator'!$F$16</f>
        <v>2</v>
      </c>
      <c r="AV190" s="773">
        <f>'Main Results - IRR DC Operator'!$F$15</f>
        <v>1</v>
      </c>
      <c r="AW190" s="771">
        <f t="shared" ca="1" si="208"/>
        <v>0</v>
      </c>
      <c r="AX190" s="772">
        <f t="shared" si="209"/>
        <v>0</v>
      </c>
      <c r="AY190" s="231"/>
      <c r="AZ190" s="770" cm="1">
        <f t="array" aca="1" ref="AZ190" ca="1">INDIRECT("'Definition of Typical Day'!"&amp; ADDRESS($D190+29*(AZ$16-1),$E190))+$AZ$17</f>
        <v>11</v>
      </c>
      <c r="BA190" s="771" cm="1">
        <f t="array" aca="1" ref="BA190" ca="1">INDIRECT("'Definition of Typical Day'!"&amp; ADDRESS($D190+29*(BA$16-1),$E190))+$BA$17</f>
        <v>11</v>
      </c>
      <c r="BB190" s="772" cm="1">
        <f t="array" aca="1" ref="BB190" ca="1">INDIRECT("'Definition of Typical Day'!"&amp;ADDRESS(BB$16,$E190))</f>
        <v>0</v>
      </c>
      <c r="BC190" s="776" cm="1">
        <f t="array" aca="1" ref="BC190" ca="1">INDIRECT("'Definition of Typical Day'!"&amp; ADDRESS($D190+29*(BC$16-1),$E190))</f>
        <v>0</v>
      </c>
      <c r="BD190" s="777" cm="1">
        <f t="array" aca="1" ref="BD190" ca="1">INDIRECT("'Definition of Typical Day'!"&amp; ADDRESS($D190+29*(BD$16-1),$E190))</f>
        <v>0</v>
      </c>
      <c r="BE190" s="776">
        <f t="shared" si="210"/>
        <v>0</v>
      </c>
      <c r="BF190" s="771">
        <f t="shared" ca="1" si="211"/>
        <v>0</v>
      </c>
      <c r="BG190" s="771">
        <f t="shared" ca="1" si="212"/>
        <v>0</v>
      </c>
      <c r="BH190" s="771">
        <f t="shared" ca="1" si="213"/>
        <v>0</v>
      </c>
      <c r="BI190" s="776">
        <f t="shared" ca="1" si="214"/>
        <v>0</v>
      </c>
      <c r="BJ190" s="776">
        <f t="shared" ca="1" si="215"/>
        <v>0</v>
      </c>
      <c r="BK190" s="776">
        <f t="shared" ca="1" si="216"/>
        <v>0</v>
      </c>
      <c r="BL190" s="776">
        <f t="shared" ca="1" si="217"/>
        <v>0</v>
      </c>
      <c r="BM190" s="135"/>
      <c r="BN190" s="776">
        <f t="shared" ca="1" si="218"/>
        <v>0</v>
      </c>
      <c r="BO190" s="778">
        <f t="shared" ca="1" si="155"/>
        <v>0</v>
      </c>
      <c r="BP190" s="770">
        <f t="shared" ca="1" si="156"/>
        <v>0</v>
      </c>
      <c r="BQ190" s="771">
        <f t="shared" ca="1" si="157"/>
        <v>0</v>
      </c>
      <c r="BR190" s="771">
        <f t="shared" ca="1" si="158"/>
        <v>0</v>
      </c>
      <c r="BS190" s="776">
        <f t="shared" ca="1" si="219"/>
        <v>0</v>
      </c>
      <c r="BT190" s="776">
        <f t="shared" ca="1" si="159"/>
        <v>0</v>
      </c>
      <c r="BU190" s="783">
        <f t="shared" ca="1" si="160"/>
        <v>0</v>
      </c>
      <c r="BV190" s="783">
        <f t="shared" ca="1" si="161"/>
        <v>0</v>
      </c>
      <c r="BW190" s="1019">
        <f t="shared" ca="1" si="220"/>
        <v>0</v>
      </c>
      <c r="BX190" s="771" cm="1">
        <f t="array" aca="1" ref="BX190" ca="1">INDIRECT("'Definition of Typical Day'!"&amp; ADDRESS($D190+29*(BX$16-1),$E190))</f>
        <v>0</v>
      </c>
      <c r="BY190" s="771">
        <f t="shared" ca="1" si="221"/>
        <v>0</v>
      </c>
      <c r="BZ190" s="781">
        <f t="shared" ca="1" si="162"/>
        <v>0</v>
      </c>
      <c r="CA190" s="781">
        <f t="shared" ca="1" si="163"/>
        <v>0</v>
      </c>
      <c r="CB190" s="776">
        <f t="shared" ca="1" si="164"/>
        <v>0</v>
      </c>
      <c r="CC190" s="782">
        <f t="shared" si="165"/>
        <v>8</v>
      </c>
      <c r="CD190" s="782">
        <f t="shared" si="166"/>
        <v>2</v>
      </c>
      <c r="CE190" s="784" cm="1">
        <f t="array" aca="1" ref="CE190" ca="1">INDIRECT("'Definition of Typical Day'!"&amp;ADDRESS(CE$16,$E190))</f>
        <v>8</v>
      </c>
      <c r="CF190" s="232"/>
      <c r="CG190" s="232"/>
      <c r="CH190" s="776">
        <f t="shared" ca="1" si="167"/>
        <v>0</v>
      </c>
      <c r="CI190" s="806">
        <f t="shared" ca="1" si="168"/>
        <v>0</v>
      </c>
      <c r="CJ190" s="770">
        <f t="shared" ca="1" si="169"/>
        <v>0</v>
      </c>
      <c r="CK190" s="771">
        <f t="shared" ca="1" si="170"/>
        <v>0</v>
      </c>
      <c r="CL190" s="771">
        <f t="shared" ca="1" si="171"/>
        <v>0</v>
      </c>
      <c r="CM190" s="772">
        <f t="shared" ca="1" si="172"/>
        <v>0</v>
      </c>
      <c r="CN190" s="135"/>
      <c r="CO190" s="770">
        <f t="shared" ca="1" si="222"/>
        <v>1.05</v>
      </c>
      <c r="CP190" s="771">
        <f t="shared" ca="1" si="173"/>
        <v>0.02</v>
      </c>
      <c r="CQ190" s="771">
        <f t="shared" ca="1" si="174"/>
        <v>-2.5000000000000001E-2</v>
      </c>
      <c r="CR190" s="771">
        <f t="shared" ca="1" si="175"/>
        <v>0.95</v>
      </c>
      <c r="CS190" s="771">
        <f t="shared" ca="1" si="176"/>
        <v>0.03</v>
      </c>
      <c r="CT190" s="772">
        <f t="shared" ca="1" si="177"/>
        <v>0.02</v>
      </c>
      <c r="CU190" s="135"/>
      <c r="CV190" s="135"/>
      <c r="CW190" s="135"/>
      <c r="CX190" s="135"/>
      <c r="CY190" s="135"/>
      <c r="CZ190" s="135"/>
      <c r="DA190" s="135"/>
      <c r="DB190" s="135"/>
      <c r="DC190" s="135"/>
      <c r="DD190" s="135"/>
      <c r="DE190" s="135"/>
      <c r="DF190" s="135"/>
      <c r="DG190" s="135"/>
      <c r="DH190" s="135"/>
      <c r="DI190" s="135"/>
      <c r="DJ190" s="135"/>
      <c r="DK190" s="135"/>
      <c r="DL190" s="135"/>
      <c r="DX190" s="135"/>
      <c r="DY190" s="135"/>
      <c r="DZ190" s="135"/>
      <c r="EA190" s="135"/>
      <c r="EB190" s="135"/>
      <c r="EC190" s="135"/>
      <c r="ED190" s="135"/>
      <c r="EE190" s="135"/>
      <c r="EF190" s="135"/>
      <c r="EG190" s="135"/>
      <c r="EH190" s="135"/>
      <c r="EI190" s="135"/>
      <c r="EJ190" s="135"/>
      <c r="EK190" s="135"/>
      <c r="EL190" s="135"/>
      <c r="EM190" s="135"/>
      <c r="EN190" s="135"/>
      <c r="EO190" s="135"/>
      <c r="EP190" s="135"/>
      <c r="EQ190" s="135"/>
      <c r="ER190" s="135"/>
      <c r="ES190" s="135"/>
      <c r="ET190" s="135"/>
      <c r="EU190" s="135"/>
      <c r="EV190" s="135"/>
      <c r="EW190" s="135"/>
      <c r="EX190" s="135"/>
      <c r="EY190" s="135"/>
      <c r="EZ190" s="135"/>
      <c r="FA190" s="135"/>
      <c r="FB190" s="135"/>
      <c r="FC190" s="135"/>
      <c r="FD190" s="135"/>
      <c r="FE190" s="135"/>
      <c r="FF190" s="135"/>
      <c r="FG190" s="135"/>
    </row>
    <row r="191" spans="1:163" s="57" customFormat="1" ht="11.25" outlineLevel="1">
      <c r="A191" s="765">
        <f t="shared" si="223"/>
        <v>8</v>
      </c>
      <c r="B191" s="715" cm="1">
        <f t="array" aca="1" ref="B191" ca="1">INDIRECT("'Definition of Typical Day'!"&amp;ADDRESS(B$16,$E191))</f>
        <v>8</v>
      </c>
      <c r="C191" s="766">
        <f t="shared" si="224"/>
        <v>3</v>
      </c>
      <c r="D191" s="715">
        <f t="shared" si="224"/>
        <v>37</v>
      </c>
      <c r="E191" s="715">
        <f t="shared" si="152"/>
        <v>12</v>
      </c>
      <c r="F191" s="767" cm="1">
        <f t="array" aca="1" ref="F191" ca="1">INDIRECT("'Definition of Typical Day'!D"&amp;D191)</f>
        <v>3</v>
      </c>
      <c r="G191" s="767" cm="1">
        <f t="array" aca="1" ref="G191" ca="1">INDIRECT("'Definition of Typical Day'!"&amp;ADDRESS(13,E191))</f>
        <v>8</v>
      </c>
      <c r="H191" s="768" cm="1">
        <f t="array" aca="1" ref="H191" ca="1">INDIRECT("'Definition of Typical Day'!"&amp; ADDRESS($D191+28*(H$16-1),$E191))</f>
        <v>0</v>
      </c>
      <c r="I191" s="715" cm="1">
        <f t="array" aca="1" ref="I191" ca="1">INDIRECT("'Definition of Typical Day'!"&amp; ADDRESS($D191+29*(I$16-1),$E191))</f>
        <v>0</v>
      </c>
      <c r="J191" s="715">
        <f t="shared" ca="1" si="178"/>
        <v>0</v>
      </c>
      <c r="K191" s="785">
        <f t="shared" si="179"/>
        <v>28</v>
      </c>
      <c r="L191" s="786" cm="1">
        <f t="array" aca="1" ref="L191" ca="1">INDIRECT("'Definition of Typical Day'!"&amp; ADDRESS($D191+29*(L$16-1),$E191))</f>
        <v>0</v>
      </c>
      <c r="M191" s="768" cm="1">
        <f t="array" aca="1" ref="M191" ca="1">INDIRECT("'Definition of Typical Day'!"&amp; ADDRESS($D191+29*(M$16-1),$E191))</f>
        <v>0</v>
      </c>
      <c r="N191" s="715">
        <f t="shared" si="180"/>
        <v>3</v>
      </c>
      <c r="O191" s="715">
        <f t="shared" ca="1" si="181"/>
        <v>3</v>
      </c>
      <c r="P191" s="715" cm="1">
        <f t="array" aca="1" ref="P191" ca="1">INDIRECT("'Definition of Typical Day'!"&amp; ADDRESS($D191+29*(P$16-1),$E191))</f>
        <v>0</v>
      </c>
      <c r="Q191" s="787">
        <f t="shared" ca="1" si="182"/>
        <v>3</v>
      </c>
      <c r="R191" s="792">
        <f t="shared" ca="1" si="183"/>
        <v>3</v>
      </c>
      <c r="S191" s="769">
        <f t="shared" si="184"/>
        <v>3</v>
      </c>
      <c r="T191" s="769">
        <f t="shared" ca="1" si="185"/>
        <v>-0.5</v>
      </c>
      <c r="U191" s="769">
        <f t="shared" ca="1" si="186"/>
        <v>2.262</v>
      </c>
      <c r="V191" s="769">
        <f t="shared" ca="1" si="187"/>
        <v>0</v>
      </c>
      <c r="W191" s="769">
        <f t="shared" ca="1" si="188"/>
        <v>4.7620000000000005</v>
      </c>
      <c r="X191" s="794">
        <f t="shared" si="189"/>
        <v>3</v>
      </c>
      <c r="Y191" s="769">
        <f t="shared" ca="1" si="190"/>
        <v>0.54772255750516607</v>
      </c>
      <c r="Z191" s="769">
        <f t="shared" ca="1" si="191"/>
        <v>0</v>
      </c>
      <c r="AA191" s="795">
        <f t="shared" ca="1" si="192"/>
        <v>0</v>
      </c>
      <c r="AB191" s="769">
        <f t="shared" ca="1" si="193"/>
        <v>0</v>
      </c>
      <c r="AC191" s="769">
        <f t="shared" ca="1" si="194"/>
        <v>0</v>
      </c>
      <c r="AD191" s="769">
        <f t="shared" ca="1" si="195"/>
        <v>0</v>
      </c>
      <c r="AE191" s="794">
        <f t="shared" ca="1" si="196"/>
        <v>0</v>
      </c>
      <c r="AF191" s="769">
        <f t="shared" ca="1" si="197"/>
        <v>0</v>
      </c>
      <c r="AG191" s="769">
        <f t="shared" ca="1" si="198"/>
        <v>0</v>
      </c>
      <c r="AH191" s="799">
        <f t="shared" ca="1" si="199"/>
        <v>0</v>
      </c>
      <c r="AI191" s="801">
        <f t="shared" ca="1" si="200"/>
        <v>1</v>
      </c>
      <c r="AJ191" s="794">
        <f t="shared" ca="1" si="201"/>
        <v>0</v>
      </c>
      <c r="AK191" s="769">
        <f t="shared" ca="1" si="202"/>
        <v>0</v>
      </c>
      <c r="AL191" s="769">
        <f t="shared" ca="1" si="203"/>
        <v>0</v>
      </c>
      <c r="AM191" s="804">
        <f t="shared" ca="1" si="153"/>
        <v>0</v>
      </c>
      <c r="AN191" s="795">
        <f t="shared" ca="1" si="154"/>
        <v>0</v>
      </c>
      <c r="AO191" s="251"/>
      <c r="AP191" s="770">
        <f t="shared" si="204"/>
        <v>0</v>
      </c>
      <c r="AQ191" s="771">
        <f t="shared" ca="1" si="205"/>
        <v>0</v>
      </c>
      <c r="AR191" s="771">
        <f t="shared" ca="1" si="206"/>
        <v>0</v>
      </c>
      <c r="AS191" s="772">
        <f t="shared" ca="1" si="207"/>
        <v>0</v>
      </c>
      <c r="AT191" s="231"/>
      <c r="AU191" s="770">
        <f>'Main Results - IRR DC Operator'!$F$16</f>
        <v>2</v>
      </c>
      <c r="AV191" s="773">
        <f>'Main Results - IRR DC Operator'!$F$15</f>
        <v>1</v>
      </c>
      <c r="AW191" s="771">
        <f t="shared" ca="1" si="208"/>
        <v>0</v>
      </c>
      <c r="AX191" s="772">
        <f t="shared" si="209"/>
        <v>0</v>
      </c>
      <c r="AY191" s="231"/>
      <c r="AZ191" s="770" cm="1">
        <f t="array" aca="1" ref="AZ191" ca="1">INDIRECT("'Definition of Typical Day'!"&amp; ADDRESS($D191+29*(AZ$16-1),$E191))+$AZ$17</f>
        <v>11</v>
      </c>
      <c r="BA191" s="771" cm="1">
        <f t="array" aca="1" ref="BA191" ca="1">INDIRECT("'Definition of Typical Day'!"&amp; ADDRESS($D191+29*(BA$16-1),$E191))+$BA$17</f>
        <v>11</v>
      </c>
      <c r="BB191" s="772" cm="1">
        <f t="array" aca="1" ref="BB191" ca="1">INDIRECT("'Definition of Typical Day'!"&amp;ADDRESS(BB$16,$E191))</f>
        <v>0</v>
      </c>
      <c r="BC191" s="776" cm="1">
        <f t="array" aca="1" ref="BC191" ca="1">INDIRECT("'Definition of Typical Day'!"&amp; ADDRESS($D191+29*(BC$16-1),$E191))</f>
        <v>0</v>
      </c>
      <c r="BD191" s="777" cm="1">
        <f t="array" aca="1" ref="BD191" ca="1">INDIRECT("'Definition of Typical Day'!"&amp; ADDRESS($D191+29*(BD$16-1),$E191))</f>
        <v>0</v>
      </c>
      <c r="BE191" s="776">
        <f t="shared" si="210"/>
        <v>0</v>
      </c>
      <c r="BF191" s="771">
        <f t="shared" ca="1" si="211"/>
        <v>0</v>
      </c>
      <c r="BG191" s="771">
        <f t="shared" ca="1" si="212"/>
        <v>0</v>
      </c>
      <c r="BH191" s="771">
        <f t="shared" ca="1" si="213"/>
        <v>0</v>
      </c>
      <c r="BI191" s="776">
        <f t="shared" ca="1" si="214"/>
        <v>0</v>
      </c>
      <c r="BJ191" s="776">
        <f t="shared" ca="1" si="215"/>
        <v>0</v>
      </c>
      <c r="BK191" s="776">
        <f t="shared" ca="1" si="216"/>
        <v>0</v>
      </c>
      <c r="BL191" s="776">
        <f t="shared" ca="1" si="217"/>
        <v>0</v>
      </c>
      <c r="BM191" s="135"/>
      <c r="BN191" s="776">
        <f t="shared" ca="1" si="218"/>
        <v>0</v>
      </c>
      <c r="BO191" s="778">
        <f t="shared" ca="1" si="155"/>
        <v>0</v>
      </c>
      <c r="BP191" s="770">
        <f t="shared" ca="1" si="156"/>
        <v>0</v>
      </c>
      <c r="BQ191" s="771">
        <f t="shared" ca="1" si="157"/>
        <v>0</v>
      </c>
      <c r="BR191" s="771">
        <f t="shared" ca="1" si="158"/>
        <v>0</v>
      </c>
      <c r="BS191" s="776">
        <f t="shared" ca="1" si="219"/>
        <v>0</v>
      </c>
      <c r="BT191" s="776">
        <f t="shared" ca="1" si="159"/>
        <v>0</v>
      </c>
      <c r="BU191" s="783">
        <f t="shared" ca="1" si="160"/>
        <v>0</v>
      </c>
      <c r="BV191" s="783">
        <f t="shared" ca="1" si="161"/>
        <v>0</v>
      </c>
      <c r="BW191" s="1019">
        <f t="shared" ca="1" si="220"/>
        <v>0</v>
      </c>
      <c r="BX191" s="771" cm="1">
        <f t="array" aca="1" ref="BX191" ca="1">INDIRECT("'Definition of Typical Day'!"&amp; ADDRESS($D191+29*(BX$16-1),$E191))</f>
        <v>0</v>
      </c>
      <c r="BY191" s="771">
        <f t="shared" ca="1" si="221"/>
        <v>0</v>
      </c>
      <c r="BZ191" s="781">
        <f t="shared" ca="1" si="162"/>
        <v>0</v>
      </c>
      <c r="CA191" s="781">
        <f t="shared" ca="1" si="163"/>
        <v>0</v>
      </c>
      <c r="CB191" s="776">
        <f t="shared" ca="1" si="164"/>
        <v>0</v>
      </c>
      <c r="CC191" s="782">
        <f t="shared" si="165"/>
        <v>8</v>
      </c>
      <c r="CD191" s="782">
        <f t="shared" si="166"/>
        <v>3</v>
      </c>
      <c r="CE191" s="784" cm="1">
        <f t="array" aca="1" ref="CE191" ca="1">INDIRECT("'Definition of Typical Day'!"&amp;ADDRESS(CE$16,$E191))</f>
        <v>8</v>
      </c>
      <c r="CF191" s="232"/>
      <c r="CG191" s="232"/>
      <c r="CH191" s="776">
        <f t="shared" ca="1" si="167"/>
        <v>0</v>
      </c>
      <c r="CI191" s="806">
        <f t="shared" ca="1" si="168"/>
        <v>0</v>
      </c>
      <c r="CJ191" s="770">
        <f t="shared" ca="1" si="169"/>
        <v>0</v>
      </c>
      <c r="CK191" s="771">
        <f t="shared" ca="1" si="170"/>
        <v>0</v>
      </c>
      <c r="CL191" s="771">
        <f t="shared" ca="1" si="171"/>
        <v>0</v>
      </c>
      <c r="CM191" s="772">
        <f t="shared" ca="1" si="172"/>
        <v>0</v>
      </c>
      <c r="CN191" s="135"/>
      <c r="CO191" s="770">
        <f t="shared" ca="1" si="222"/>
        <v>1.05</v>
      </c>
      <c r="CP191" s="771">
        <f t="shared" ca="1" si="173"/>
        <v>0.02</v>
      </c>
      <c r="CQ191" s="771">
        <f t="shared" ca="1" si="174"/>
        <v>-2.5000000000000001E-2</v>
      </c>
      <c r="CR191" s="771">
        <f t="shared" ca="1" si="175"/>
        <v>0.95</v>
      </c>
      <c r="CS191" s="771">
        <f t="shared" ca="1" si="176"/>
        <v>0.03</v>
      </c>
      <c r="CT191" s="772">
        <f t="shared" ca="1" si="177"/>
        <v>0.02</v>
      </c>
      <c r="CU191" s="135"/>
      <c r="CV191" s="135"/>
      <c r="CW191" s="135"/>
      <c r="CX191" s="135"/>
      <c r="CY191" s="135"/>
      <c r="CZ191" s="135"/>
      <c r="DA191" s="135"/>
      <c r="DB191" s="135"/>
      <c r="DC191" s="135"/>
      <c r="DD191" s="135"/>
      <c r="DE191" s="135"/>
      <c r="DF191" s="135"/>
      <c r="DG191" s="135"/>
      <c r="DH191" s="135"/>
      <c r="DI191" s="135"/>
      <c r="DJ191" s="135"/>
      <c r="DK191" s="135"/>
      <c r="DL191" s="135"/>
      <c r="DX191" s="135"/>
      <c r="DY191" s="135"/>
      <c r="DZ191" s="135"/>
      <c r="EA191" s="135"/>
      <c r="EB191" s="135"/>
      <c r="EC191" s="135"/>
      <c r="ED191" s="135"/>
      <c r="EE191" s="135"/>
      <c r="EF191" s="135"/>
      <c r="EG191" s="135"/>
      <c r="EH191" s="135"/>
      <c r="EI191" s="135"/>
      <c r="EJ191" s="135"/>
      <c r="EK191" s="135"/>
      <c r="EL191" s="135"/>
      <c r="EM191" s="135"/>
      <c r="EN191" s="135"/>
      <c r="EO191" s="135"/>
      <c r="EP191" s="135"/>
      <c r="EQ191" s="135"/>
      <c r="ER191" s="135"/>
      <c r="ES191" s="135"/>
      <c r="ET191" s="135"/>
      <c r="EU191" s="135"/>
      <c r="EV191" s="135"/>
      <c r="EW191" s="135"/>
      <c r="EX191" s="135"/>
      <c r="EY191" s="135"/>
      <c r="EZ191" s="135"/>
      <c r="FA191" s="135"/>
      <c r="FB191" s="135"/>
      <c r="FC191" s="135"/>
      <c r="FD191" s="135"/>
      <c r="FE191" s="135"/>
      <c r="FF191" s="135"/>
      <c r="FG191" s="135"/>
    </row>
    <row r="192" spans="1:163" s="57" customFormat="1" ht="11.25" outlineLevel="1">
      <c r="A192" s="765">
        <f t="shared" si="223"/>
        <v>8</v>
      </c>
      <c r="B192" s="715" cm="1">
        <f t="array" aca="1" ref="B192" ca="1">INDIRECT("'Definition of Typical Day'!"&amp;ADDRESS(B$16,$E192))</f>
        <v>8</v>
      </c>
      <c r="C192" s="766">
        <f t="shared" si="224"/>
        <v>4</v>
      </c>
      <c r="D192" s="715">
        <f t="shared" si="224"/>
        <v>38</v>
      </c>
      <c r="E192" s="715">
        <f t="shared" si="152"/>
        <v>12</v>
      </c>
      <c r="F192" s="767" cm="1">
        <f t="array" aca="1" ref="F192" ca="1">INDIRECT("'Definition of Typical Day'!D"&amp;D192)</f>
        <v>4</v>
      </c>
      <c r="G192" s="767" cm="1">
        <f t="array" aca="1" ref="G192" ca="1">INDIRECT("'Definition of Typical Day'!"&amp;ADDRESS(13,E192))</f>
        <v>8</v>
      </c>
      <c r="H192" s="768" cm="1">
        <f t="array" aca="1" ref="H192" ca="1">INDIRECT("'Definition of Typical Day'!"&amp; ADDRESS($D192+28*(H$16-1),$E192))</f>
        <v>0</v>
      </c>
      <c r="I192" s="715" cm="1">
        <f t="array" aca="1" ref="I192" ca="1">INDIRECT("'Definition of Typical Day'!"&amp; ADDRESS($D192+29*(I$16-1),$E192))</f>
        <v>0</v>
      </c>
      <c r="J192" s="715">
        <f t="shared" ca="1" si="178"/>
        <v>0</v>
      </c>
      <c r="K192" s="785">
        <f t="shared" si="179"/>
        <v>28</v>
      </c>
      <c r="L192" s="786" cm="1">
        <f t="array" aca="1" ref="L192" ca="1">INDIRECT("'Definition of Typical Day'!"&amp; ADDRESS($D192+29*(L$16-1),$E192))</f>
        <v>0</v>
      </c>
      <c r="M192" s="768" cm="1">
        <f t="array" aca="1" ref="M192" ca="1">INDIRECT("'Definition of Typical Day'!"&amp; ADDRESS($D192+29*(M$16-1),$E192))</f>
        <v>0</v>
      </c>
      <c r="N192" s="715">
        <f t="shared" si="180"/>
        <v>3</v>
      </c>
      <c r="O192" s="715">
        <f t="shared" ca="1" si="181"/>
        <v>3</v>
      </c>
      <c r="P192" s="715" cm="1">
        <f t="array" aca="1" ref="P192" ca="1">INDIRECT("'Definition of Typical Day'!"&amp; ADDRESS($D192+29*(P$16-1),$E192))</f>
        <v>0</v>
      </c>
      <c r="Q192" s="787">
        <f t="shared" ca="1" si="182"/>
        <v>3</v>
      </c>
      <c r="R192" s="792">
        <f t="shared" ca="1" si="183"/>
        <v>3</v>
      </c>
      <c r="S192" s="769">
        <f t="shared" si="184"/>
        <v>3</v>
      </c>
      <c r="T192" s="769">
        <f t="shared" ca="1" si="185"/>
        <v>-0.5</v>
      </c>
      <c r="U192" s="769">
        <f t="shared" ca="1" si="186"/>
        <v>2.262</v>
      </c>
      <c r="V192" s="769">
        <f t="shared" ca="1" si="187"/>
        <v>0</v>
      </c>
      <c r="W192" s="769">
        <f t="shared" ca="1" si="188"/>
        <v>4.7620000000000005</v>
      </c>
      <c r="X192" s="794">
        <f t="shared" si="189"/>
        <v>3</v>
      </c>
      <c r="Y192" s="769">
        <f t="shared" ca="1" si="190"/>
        <v>0.54772255750516607</v>
      </c>
      <c r="Z192" s="769">
        <f t="shared" ca="1" si="191"/>
        <v>0</v>
      </c>
      <c r="AA192" s="795">
        <f t="shared" ca="1" si="192"/>
        <v>0</v>
      </c>
      <c r="AB192" s="769">
        <f t="shared" ca="1" si="193"/>
        <v>0</v>
      </c>
      <c r="AC192" s="769">
        <f t="shared" ca="1" si="194"/>
        <v>0</v>
      </c>
      <c r="AD192" s="769">
        <f t="shared" ca="1" si="195"/>
        <v>0</v>
      </c>
      <c r="AE192" s="794">
        <f t="shared" ca="1" si="196"/>
        <v>0</v>
      </c>
      <c r="AF192" s="769">
        <f t="shared" ca="1" si="197"/>
        <v>0</v>
      </c>
      <c r="AG192" s="769">
        <f t="shared" ca="1" si="198"/>
        <v>0</v>
      </c>
      <c r="AH192" s="799">
        <f t="shared" ca="1" si="199"/>
        <v>0</v>
      </c>
      <c r="AI192" s="801">
        <f t="shared" ca="1" si="200"/>
        <v>1</v>
      </c>
      <c r="AJ192" s="794">
        <f t="shared" ca="1" si="201"/>
        <v>0</v>
      </c>
      <c r="AK192" s="769">
        <f t="shared" ca="1" si="202"/>
        <v>0</v>
      </c>
      <c r="AL192" s="769">
        <f t="shared" ca="1" si="203"/>
        <v>0</v>
      </c>
      <c r="AM192" s="804">
        <f t="shared" ca="1" si="153"/>
        <v>0</v>
      </c>
      <c r="AN192" s="795">
        <f t="shared" ca="1" si="154"/>
        <v>0</v>
      </c>
      <c r="AO192" s="251"/>
      <c r="AP192" s="770">
        <f t="shared" si="204"/>
        <v>0</v>
      </c>
      <c r="AQ192" s="771">
        <f t="shared" ca="1" si="205"/>
        <v>0</v>
      </c>
      <c r="AR192" s="771">
        <f t="shared" ca="1" si="206"/>
        <v>0</v>
      </c>
      <c r="AS192" s="772">
        <f t="shared" ca="1" si="207"/>
        <v>0</v>
      </c>
      <c r="AT192" s="231"/>
      <c r="AU192" s="770">
        <f>'Main Results - IRR DC Operator'!$F$16</f>
        <v>2</v>
      </c>
      <c r="AV192" s="773">
        <f>'Main Results - IRR DC Operator'!$F$15</f>
        <v>1</v>
      </c>
      <c r="AW192" s="771">
        <f t="shared" ca="1" si="208"/>
        <v>0</v>
      </c>
      <c r="AX192" s="772">
        <f t="shared" si="209"/>
        <v>0</v>
      </c>
      <c r="AY192" s="231"/>
      <c r="AZ192" s="770" cm="1">
        <f t="array" aca="1" ref="AZ192" ca="1">INDIRECT("'Definition of Typical Day'!"&amp; ADDRESS($D192+29*(AZ$16-1),$E192))+$AZ$17</f>
        <v>11</v>
      </c>
      <c r="BA192" s="771" cm="1">
        <f t="array" aca="1" ref="BA192" ca="1">INDIRECT("'Definition of Typical Day'!"&amp; ADDRESS($D192+29*(BA$16-1),$E192))+$BA$17</f>
        <v>11</v>
      </c>
      <c r="BB192" s="772" cm="1">
        <f t="array" aca="1" ref="BB192" ca="1">INDIRECT("'Definition of Typical Day'!"&amp;ADDRESS(BB$16,$E192))</f>
        <v>0</v>
      </c>
      <c r="BC192" s="776" cm="1">
        <f t="array" aca="1" ref="BC192" ca="1">INDIRECT("'Definition of Typical Day'!"&amp; ADDRESS($D192+29*(BC$16-1),$E192))</f>
        <v>0</v>
      </c>
      <c r="BD192" s="777" cm="1">
        <f t="array" aca="1" ref="BD192" ca="1">INDIRECT("'Definition of Typical Day'!"&amp; ADDRESS($D192+29*(BD$16-1),$E192))</f>
        <v>0</v>
      </c>
      <c r="BE192" s="776">
        <f t="shared" si="210"/>
        <v>0</v>
      </c>
      <c r="BF192" s="771">
        <f t="shared" ca="1" si="211"/>
        <v>0</v>
      </c>
      <c r="BG192" s="771">
        <f t="shared" ca="1" si="212"/>
        <v>0</v>
      </c>
      <c r="BH192" s="771">
        <f t="shared" ca="1" si="213"/>
        <v>0</v>
      </c>
      <c r="BI192" s="776">
        <f t="shared" ca="1" si="214"/>
        <v>0</v>
      </c>
      <c r="BJ192" s="776">
        <f t="shared" ca="1" si="215"/>
        <v>0</v>
      </c>
      <c r="BK192" s="776">
        <f t="shared" ca="1" si="216"/>
        <v>0</v>
      </c>
      <c r="BL192" s="776">
        <f t="shared" ca="1" si="217"/>
        <v>0</v>
      </c>
      <c r="BM192" s="135"/>
      <c r="BN192" s="776">
        <f t="shared" ca="1" si="218"/>
        <v>0</v>
      </c>
      <c r="BO192" s="778">
        <f t="shared" ca="1" si="155"/>
        <v>0</v>
      </c>
      <c r="BP192" s="770">
        <f t="shared" ca="1" si="156"/>
        <v>0</v>
      </c>
      <c r="BQ192" s="771">
        <f t="shared" ca="1" si="157"/>
        <v>0</v>
      </c>
      <c r="BR192" s="771">
        <f t="shared" ca="1" si="158"/>
        <v>0</v>
      </c>
      <c r="BS192" s="776">
        <f t="shared" ca="1" si="219"/>
        <v>0</v>
      </c>
      <c r="BT192" s="776">
        <f t="shared" ca="1" si="159"/>
        <v>0</v>
      </c>
      <c r="BU192" s="783">
        <f t="shared" ca="1" si="160"/>
        <v>0</v>
      </c>
      <c r="BV192" s="783">
        <f t="shared" ca="1" si="161"/>
        <v>0</v>
      </c>
      <c r="BW192" s="1019">
        <f t="shared" ca="1" si="220"/>
        <v>0</v>
      </c>
      <c r="BX192" s="771" cm="1">
        <f t="array" aca="1" ref="BX192" ca="1">INDIRECT("'Definition of Typical Day'!"&amp; ADDRESS($D192+29*(BX$16-1),$E192))</f>
        <v>0</v>
      </c>
      <c r="BY192" s="771">
        <f t="shared" ca="1" si="221"/>
        <v>0</v>
      </c>
      <c r="BZ192" s="781">
        <f t="shared" ca="1" si="162"/>
        <v>0</v>
      </c>
      <c r="CA192" s="781">
        <f t="shared" ca="1" si="163"/>
        <v>0</v>
      </c>
      <c r="CB192" s="776">
        <f t="shared" ca="1" si="164"/>
        <v>0</v>
      </c>
      <c r="CC192" s="782">
        <f t="shared" si="165"/>
        <v>8</v>
      </c>
      <c r="CD192" s="782">
        <f t="shared" si="166"/>
        <v>4</v>
      </c>
      <c r="CE192" s="784" cm="1">
        <f t="array" aca="1" ref="CE192" ca="1">INDIRECT("'Definition of Typical Day'!"&amp;ADDRESS(CE$16,$E192))</f>
        <v>8</v>
      </c>
      <c r="CF192" s="232"/>
      <c r="CG192" s="232"/>
      <c r="CH192" s="776">
        <f t="shared" ca="1" si="167"/>
        <v>0</v>
      </c>
      <c r="CI192" s="806">
        <f t="shared" ca="1" si="168"/>
        <v>0</v>
      </c>
      <c r="CJ192" s="770">
        <f t="shared" ca="1" si="169"/>
        <v>0</v>
      </c>
      <c r="CK192" s="771">
        <f t="shared" ca="1" si="170"/>
        <v>0</v>
      </c>
      <c r="CL192" s="771">
        <f t="shared" ca="1" si="171"/>
        <v>0</v>
      </c>
      <c r="CM192" s="772">
        <f t="shared" ca="1" si="172"/>
        <v>0</v>
      </c>
      <c r="CN192" s="135"/>
      <c r="CO192" s="770">
        <f t="shared" ca="1" si="222"/>
        <v>1.05</v>
      </c>
      <c r="CP192" s="771">
        <f t="shared" ca="1" si="173"/>
        <v>0.02</v>
      </c>
      <c r="CQ192" s="771">
        <f t="shared" ca="1" si="174"/>
        <v>-2.5000000000000001E-2</v>
      </c>
      <c r="CR192" s="771">
        <f t="shared" ca="1" si="175"/>
        <v>0.95</v>
      </c>
      <c r="CS192" s="771">
        <f t="shared" ca="1" si="176"/>
        <v>0.03</v>
      </c>
      <c r="CT192" s="772">
        <f t="shared" ca="1" si="177"/>
        <v>0.02</v>
      </c>
      <c r="CU192" s="135"/>
      <c r="CV192" s="135"/>
      <c r="CW192" s="135"/>
      <c r="CX192" s="135"/>
      <c r="CY192" s="135"/>
      <c r="CZ192" s="135"/>
      <c r="DA192" s="135"/>
      <c r="DB192" s="135"/>
      <c r="DC192" s="135"/>
      <c r="DD192" s="135"/>
      <c r="DE192" s="135"/>
      <c r="DF192" s="135"/>
      <c r="DG192" s="135"/>
      <c r="DH192" s="135"/>
      <c r="DI192" s="135"/>
      <c r="DJ192" s="135"/>
      <c r="DK192" s="135"/>
      <c r="DL192" s="135"/>
      <c r="DX192" s="135"/>
      <c r="DY192" s="135"/>
      <c r="DZ192" s="135"/>
      <c r="EA192" s="135"/>
      <c r="EB192" s="135"/>
      <c r="EC192" s="135"/>
      <c r="ED192" s="135"/>
      <c r="EE192" s="135"/>
      <c r="EF192" s="135"/>
      <c r="EG192" s="135"/>
      <c r="EH192" s="135"/>
      <c r="EI192" s="135"/>
      <c r="EJ192" s="135"/>
      <c r="EK192" s="135"/>
      <c r="EL192" s="135"/>
      <c r="EM192" s="135"/>
      <c r="EN192" s="135"/>
      <c r="EO192" s="135"/>
      <c r="EP192" s="135"/>
      <c r="EQ192" s="135"/>
      <c r="ER192" s="135"/>
      <c r="ES192" s="135"/>
      <c r="ET192" s="135"/>
      <c r="EU192" s="135"/>
      <c r="EV192" s="135"/>
      <c r="EW192" s="135"/>
      <c r="EX192" s="135"/>
      <c r="EY192" s="135"/>
      <c r="EZ192" s="135"/>
      <c r="FA192" s="135"/>
      <c r="FB192" s="135"/>
      <c r="FC192" s="135"/>
      <c r="FD192" s="135"/>
      <c r="FE192" s="135"/>
      <c r="FF192" s="135"/>
      <c r="FG192" s="135"/>
    </row>
    <row r="193" spans="1:163" s="57" customFormat="1" ht="11.25" outlineLevel="1">
      <c r="A193" s="765">
        <f t="shared" si="223"/>
        <v>8</v>
      </c>
      <c r="B193" s="715" cm="1">
        <f t="array" aca="1" ref="B193" ca="1">INDIRECT("'Definition of Typical Day'!"&amp;ADDRESS(B$16,$E193))</f>
        <v>8</v>
      </c>
      <c r="C193" s="766">
        <f t="shared" si="224"/>
        <v>5</v>
      </c>
      <c r="D193" s="715">
        <f t="shared" si="224"/>
        <v>39</v>
      </c>
      <c r="E193" s="715">
        <f t="shared" si="152"/>
        <v>12</v>
      </c>
      <c r="F193" s="767" cm="1">
        <f t="array" aca="1" ref="F193" ca="1">INDIRECT("'Definition of Typical Day'!D"&amp;D193)</f>
        <v>5</v>
      </c>
      <c r="G193" s="767" cm="1">
        <f t="array" aca="1" ref="G193" ca="1">INDIRECT("'Definition of Typical Day'!"&amp;ADDRESS(13,E193))</f>
        <v>8</v>
      </c>
      <c r="H193" s="768" cm="1">
        <f t="array" aca="1" ref="H193" ca="1">INDIRECT("'Definition of Typical Day'!"&amp; ADDRESS($D193+28*(H$16-1),$E193))</f>
        <v>0</v>
      </c>
      <c r="I193" s="715" cm="1">
        <f t="array" aca="1" ref="I193" ca="1">INDIRECT("'Definition of Typical Day'!"&amp; ADDRESS($D193+29*(I$16-1),$E193))</f>
        <v>0</v>
      </c>
      <c r="J193" s="715">
        <f t="shared" ca="1" si="178"/>
        <v>0</v>
      </c>
      <c r="K193" s="785">
        <f t="shared" si="179"/>
        <v>28</v>
      </c>
      <c r="L193" s="786" cm="1">
        <f t="array" aca="1" ref="L193" ca="1">INDIRECT("'Definition of Typical Day'!"&amp; ADDRESS($D193+29*(L$16-1),$E193))</f>
        <v>0</v>
      </c>
      <c r="M193" s="768" cm="1">
        <f t="array" aca="1" ref="M193" ca="1">INDIRECT("'Definition of Typical Day'!"&amp; ADDRESS($D193+29*(M$16-1),$E193))</f>
        <v>0</v>
      </c>
      <c r="N193" s="715">
        <f t="shared" si="180"/>
        <v>3</v>
      </c>
      <c r="O193" s="715">
        <f t="shared" ca="1" si="181"/>
        <v>3</v>
      </c>
      <c r="P193" s="715" cm="1">
        <f t="array" aca="1" ref="P193" ca="1">INDIRECT("'Definition of Typical Day'!"&amp; ADDRESS($D193+29*(P$16-1),$E193))</f>
        <v>0</v>
      </c>
      <c r="Q193" s="787">
        <f t="shared" ca="1" si="182"/>
        <v>3</v>
      </c>
      <c r="R193" s="792">
        <f t="shared" ca="1" si="183"/>
        <v>3</v>
      </c>
      <c r="S193" s="769">
        <f t="shared" si="184"/>
        <v>3</v>
      </c>
      <c r="T193" s="769">
        <f t="shared" ca="1" si="185"/>
        <v>-0.5</v>
      </c>
      <c r="U193" s="769">
        <f t="shared" ca="1" si="186"/>
        <v>2.262</v>
      </c>
      <c r="V193" s="769">
        <f t="shared" ca="1" si="187"/>
        <v>0</v>
      </c>
      <c r="W193" s="769">
        <f t="shared" ca="1" si="188"/>
        <v>4.7620000000000005</v>
      </c>
      <c r="X193" s="794">
        <f t="shared" si="189"/>
        <v>3</v>
      </c>
      <c r="Y193" s="769">
        <f t="shared" ca="1" si="190"/>
        <v>0.54772255750516607</v>
      </c>
      <c r="Z193" s="769">
        <f t="shared" ca="1" si="191"/>
        <v>0</v>
      </c>
      <c r="AA193" s="795">
        <f t="shared" ca="1" si="192"/>
        <v>0</v>
      </c>
      <c r="AB193" s="769">
        <f t="shared" ca="1" si="193"/>
        <v>0</v>
      </c>
      <c r="AC193" s="769">
        <f t="shared" ca="1" si="194"/>
        <v>0</v>
      </c>
      <c r="AD193" s="769">
        <f t="shared" ca="1" si="195"/>
        <v>0</v>
      </c>
      <c r="AE193" s="794">
        <f t="shared" ca="1" si="196"/>
        <v>0</v>
      </c>
      <c r="AF193" s="769">
        <f t="shared" ca="1" si="197"/>
        <v>0</v>
      </c>
      <c r="AG193" s="769">
        <f t="shared" ca="1" si="198"/>
        <v>0</v>
      </c>
      <c r="AH193" s="799">
        <f t="shared" ca="1" si="199"/>
        <v>0</v>
      </c>
      <c r="AI193" s="801">
        <f t="shared" ca="1" si="200"/>
        <v>1</v>
      </c>
      <c r="AJ193" s="794">
        <f t="shared" ca="1" si="201"/>
        <v>0</v>
      </c>
      <c r="AK193" s="769">
        <f t="shared" ca="1" si="202"/>
        <v>0</v>
      </c>
      <c r="AL193" s="769">
        <f t="shared" ca="1" si="203"/>
        <v>0</v>
      </c>
      <c r="AM193" s="804">
        <f t="shared" ca="1" si="153"/>
        <v>0</v>
      </c>
      <c r="AN193" s="795">
        <f t="shared" ca="1" si="154"/>
        <v>0</v>
      </c>
      <c r="AO193" s="251"/>
      <c r="AP193" s="770">
        <f t="shared" si="204"/>
        <v>0</v>
      </c>
      <c r="AQ193" s="771">
        <f t="shared" ca="1" si="205"/>
        <v>0</v>
      </c>
      <c r="AR193" s="771">
        <f t="shared" ca="1" si="206"/>
        <v>0</v>
      </c>
      <c r="AS193" s="772">
        <f t="shared" ca="1" si="207"/>
        <v>0</v>
      </c>
      <c r="AT193" s="231"/>
      <c r="AU193" s="770">
        <f>'Main Results - IRR DC Operator'!$F$16</f>
        <v>2</v>
      </c>
      <c r="AV193" s="773">
        <f>'Main Results - IRR DC Operator'!$F$15</f>
        <v>1</v>
      </c>
      <c r="AW193" s="771">
        <f t="shared" ca="1" si="208"/>
        <v>0</v>
      </c>
      <c r="AX193" s="772">
        <f t="shared" si="209"/>
        <v>0</v>
      </c>
      <c r="AY193" s="231"/>
      <c r="AZ193" s="770" cm="1">
        <f t="array" aca="1" ref="AZ193" ca="1">INDIRECT("'Definition of Typical Day'!"&amp; ADDRESS($D193+29*(AZ$16-1),$E193))+$AZ$17</f>
        <v>11</v>
      </c>
      <c r="BA193" s="771" cm="1">
        <f t="array" aca="1" ref="BA193" ca="1">INDIRECT("'Definition of Typical Day'!"&amp; ADDRESS($D193+29*(BA$16-1),$E193))+$BA$17</f>
        <v>11</v>
      </c>
      <c r="BB193" s="772" cm="1">
        <f t="array" aca="1" ref="BB193" ca="1">INDIRECT("'Definition of Typical Day'!"&amp;ADDRESS(BB$16,$E193))</f>
        <v>0</v>
      </c>
      <c r="BC193" s="776" cm="1">
        <f t="array" aca="1" ref="BC193" ca="1">INDIRECT("'Definition of Typical Day'!"&amp; ADDRESS($D193+29*(BC$16-1),$E193))</f>
        <v>0</v>
      </c>
      <c r="BD193" s="777" cm="1">
        <f t="array" aca="1" ref="BD193" ca="1">INDIRECT("'Definition of Typical Day'!"&amp; ADDRESS($D193+29*(BD$16-1),$E193))</f>
        <v>0</v>
      </c>
      <c r="BE193" s="776">
        <f t="shared" si="210"/>
        <v>0</v>
      </c>
      <c r="BF193" s="771">
        <f t="shared" ca="1" si="211"/>
        <v>0</v>
      </c>
      <c r="BG193" s="771">
        <f t="shared" ca="1" si="212"/>
        <v>0</v>
      </c>
      <c r="BH193" s="771">
        <f t="shared" ca="1" si="213"/>
        <v>0</v>
      </c>
      <c r="BI193" s="776">
        <f t="shared" ca="1" si="214"/>
        <v>0</v>
      </c>
      <c r="BJ193" s="776">
        <f t="shared" ca="1" si="215"/>
        <v>0</v>
      </c>
      <c r="BK193" s="776">
        <f t="shared" ca="1" si="216"/>
        <v>0</v>
      </c>
      <c r="BL193" s="776">
        <f t="shared" ca="1" si="217"/>
        <v>0</v>
      </c>
      <c r="BM193" s="135"/>
      <c r="BN193" s="776">
        <f t="shared" ca="1" si="218"/>
        <v>0</v>
      </c>
      <c r="BO193" s="778">
        <f t="shared" ca="1" si="155"/>
        <v>0</v>
      </c>
      <c r="BP193" s="770">
        <f t="shared" ca="1" si="156"/>
        <v>0</v>
      </c>
      <c r="BQ193" s="771">
        <f t="shared" ca="1" si="157"/>
        <v>0</v>
      </c>
      <c r="BR193" s="771">
        <f t="shared" ca="1" si="158"/>
        <v>0</v>
      </c>
      <c r="BS193" s="776">
        <f t="shared" ca="1" si="219"/>
        <v>0</v>
      </c>
      <c r="BT193" s="776">
        <f t="shared" ca="1" si="159"/>
        <v>0</v>
      </c>
      <c r="BU193" s="783">
        <f t="shared" ca="1" si="160"/>
        <v>0</v>
      </c>
      <c r="BV193" s="783">
        <f t="shared" ca="1" si="161"/>
        <v>0</v>
      </c>
      <c r="BW193" s="1019">
        <f t="shared" ca="1" si="220"/>
        <v>0</v>
      </c>
      <c r="BX193" s="771" cm="1">
        <f t="array" aca="1" ref="BX193" ca="1">INDIRECT("'Definition of Typical Day'!"&amp; ADDRESS($D193+29*(BX$16-1),$E193))</f>
        <v>0</v>
      </c>
      <c r="BY193" s="771">
        <f t="shared" ca="1" si="221"/>
        <v>0</v>
      </c>
      <c r="BZ193" s="781">
        <f t="shared" ca="1" si="162"/>
        <v>0</v>
      </c>
      <c r="CA193" s="781">
        <f t="shared" ca="1" si="163"/>
        <v>0</v>
      </c>
      <c r="CB193" s="776">
        <f t="shared" ca="1" si="164"/>
        <v>0</v>
      </c>
      <c r="CC193" s="782">
        <f t="shared" si="165"/>
        <v>8</v>
      </c>
      <c r="CD193" s="782">
        <f t="shared" si="166"/>
        <v>5</v>
      </c>
      <c r="CE193" s="784" cm="1">
        <f t="array" aca="1" ref="CE193" ca="1">INDIRECT("'Definition of Typical Day'!"&amp;ADDRESS(CE$16,$E193))</f>
        <v>8</v>
      </c>
      <c r="CF193" s="232"/>
      <c r="CG193" s="232"/>
      <c r="CH193" s="776">
        <f t="shared" ca="1" si="167"/>
        <v>0</v>
      </c>
      <c r="CI193" s="806">
        <f t="shared" ca="1" si="168"/>
        <v>0</v>
      </c>
      <c r="CJ193" s="770">
        <f t="shared" ca="1" si="169"/>
        <v>0</v>
      </c>
      <c r="CK193" s="771">
        <f t="shared" ca="1" si="170"/>
        <v>0</v>
      </c>
      <c r="CL193" s="771">
        <f t="shared" ca="1" si="171"/>
        <v>0</v>
      </c>
      <c r="CM193" s="772">
        <f t="shared" ca="1" si="172"/>
        <v>0</v>
      </c>
      <c r="CN193" s="135"/>
      <c r="CO193" s="770">
        <f t="shared" ca="1" si="222"/>
        <v>1.05</v>
      </c>
      <c r="CP193" s="771">
        <f t="shared" ca="1" si="173"/>
        <v>0.02</v>
      </c>
      <c r="CQ193" s="771">
        <f t="shared" ca="1" si="174"/>
        <v>-2.5000000000000001E-2</v>
      </c>
      <c r="CR193" s="771">
        <f t="shared" ca="1" si="175"/>
        <v>0.95</v>
      </c>
      <c r="CS193" s="771">
        <f t="shared" ca="1" si="176"/>
        <v>0.03</v>
      </c>
      <c r="CT193" s="772">
        <f t="shared" ca="1" si="177"/>
        <v>0.02</v>
      </c>
      <c r="CU193" s="135"/>
      <c r="CV193" s="135"/>
      <c r="CW193" s="135"/>
      <c r="CX193" s="135"/>
      <c r="CY193" s="135"/>
      <c r="CZ193" s="135"/>
      <c r="DA193" s="135"/>
      <c r="DB193" s="135"/>
      <c r="DC193" s="135"/>
      <c r="DD193" s="135"/>
      <c r="DE193" s="135"/>
      <c r="DF193" s="135"/>
      <c r="DG193" s="135"/>
      <c r="DH193" s="135"/>
      <c r="DI193" s="135"/>
      <c r="DJ193" s="135"/>
      <c r="DK193" s="135"/>
      <c r="DL193" s="135"/>
      <c r="DX193" s="135"/>
      <c r="DY193" s="135"/>
      <c r="DZ193" s="135"/>
      <c r="EA193" s="135"/>
      <c r="EB193" s="135"/>
      <c r="EC193" s="135"/>
      <c r="ED193" s="135"/>
      <c r="EE193" s="135"/>
      <c r="EF193" s="135"/>
      <c r="EG193" s="135"/>
      <c r="EH193" s="135"/>
      <c r="EI193" s="135"/>
      <c r="EJ193" s="135"/>
      <c r="EK193" s="135"/>
      <c r="EL193" s="135"/>
      <c r="EM193" s="135"/>
      <c r="EN193" s="135"/>
      <c r="EO193" s="135"/>
      <c r="EP193" s="135"/>
      <c r="EQ193" s="135"/>
      <c r="ER193" s="135"/>
      <c r="ES193" s="135"/>
      <c r="ET193" s="135"/>
      <c r="EU193" s="135"/>
      <c r="EV193" s="135"/>
      <c r="EW193" s="135"/>
      <c r="EX193" s="135"/>
      <c r="EY193" s="135"/>
      <c r="EZ193" s="135"/>
      <c r="FA193" s="135"/>
      <c r="FB193" s="135"/>
      <c r="FC193" s="135"/>
      <c r="FD193" s="135"/>
      <c r="FE193" s="135"/>
      <c r="FF193" s="135"/>
      <c r="FG193" s="135"/>
    </row>
    <row r="194" spans="1:163" s="57" customFormat="1" ht="11.25" outlineLevel="1">
      <c r="A194" s="765">
        <f t="shared" si="223"/>
        <v>8</v>
      </c>
      <c r="B194" s="715" cm="1">
        <f t="array" aca="1" ref="B194" ca="1">INDIRECT("'Definition of Typical Day'!"&amp;ADDRESS(B$16,$E194))</f>
        <v>8</v>
      </c>
      <c r="C194" s="766">
        <f t="shared" si="224"/>
        <v>6</v>
      </c>
      <c r="D194" s="715">
        <f t="shared" si="224"/>
        <v>40</v>
      </c>
      <c r="E194" s="715">
        <f t="shared" si="152"/>
        <v>12</v>
      </c>
      <c r="F194" s="767" cm="1">
        <f t="array" aca="1" ref="F194" ca="1">INDIRECT("'Definition of Typical Day'!D"&amp;D194)</f>
        <v>6</v>
      </c>
      <c r="G194" s="767" cm="1">
        <f t="array" aca="1" ref="G194" ca="1">INDIRECT("'Definition of Typical Day'!"&amp;ADDRESS(13,E194))</f>
        <v>8</v>
      </c>
      <c r="H194" s="768" cm="1">
        <f t="array" aca="1" ref="H194" ca="1">INDIRECT("'Definition of Typical Day'!"&amp; ADDRESS($D194+28*(H$16-1),$E194))</f>
        <v>0</v>
      </c>
      <c r="I194" s="715" cm="1">
        <f t="array" aca="1" ref="I194" ca="1">INDIRECT("'Definition of Typical Day'!"&amp; ADDRESS($D194+29*(I$16-1),$E194))</f>
        <v>0</v>
      </c>
      <c r="J194" s="715">
        <f t="shared" ca="1" si="178"/>
        <v>0</v>
      </c>
      <c r="K194" s="785">
        <f t="shared" si="179"/>
        <v>28</v>
      </c>
      <c r="L194" s="786" cm="1">
        <f t="array" aca="1" ref="L194" ca="1">INDIRECT("'Definition of Typical Day'!"&amp; ADDRESS($D194+29*(L$16-1),$E194))</f>
        <v>0</v>
      </c>
      <c r="M194" s="768" cm="1">
        <f t="array" aca="1" ref="M194" ca="1">INDIRECT("'Definition of Typical Day'!"&amp; ADDRESS($D194+29*(M$16-1),$E194))</f>
        <v>0</v>
      </c>
      <c r="N194" s="715">
        <f t="shared" si="180"/>
        <v>3</v>
      </c>
      <c r="O194" s="715">
        <f t="shared" ca="1" si="181"/>
        <v>3</v>
      </c>
      <c r="P194" s="715" cm="1">
        <f t="array" aca="1" ref="P194" ca="1">INDIRECT("'Definition of Typical Day'!"&amp; ADDRESS($D194+29*(P$16-1),$E194))</f>
        <v>0</v>
      </c>
      <c r="Q194" s="787">
        <f t="shared" ca="1" si="182"/>
        <v>3</v>
      </c>
      <c r="R194" s="792">
        <f t="shared" ca="1" si="183"/>
        <v>3</v>
      </c>
      <c r="S194" s="769">
        <f t="shared" si="184"/>
        <v>3</v>
      </c>
      <c r="T194" s="769">
        <f t="shared" ca="1" si="185"/>
        <v>-0.5</v>
      </c>
      <c r="U194" s="769">
        <f t="shared" ca="1" si="186"/>
        <v>2.262</v>
      </c>
      <c r="V194" s="769">
        <f t="shared" ca="1" si="187"/>
        <v>0</v>
      </c>
      <c r="W194" s="769">
        <f t="shared" ca="1" si="188"/>
        <v>4.7620000000000005</v>
      </c>
      <c r="X194" s="794">
        <f t="shared" si="189"/>
        <v>3</v>
      </c>
      <c r="Y194" s="769">
        <f t="shared" ca="1" si="190"/>
        <v>0.54772255750516607</v>
      </c>
      <c r="Z194" s="769">
        <f t="shared" ca="1" si="191"/>
        <v>0</v>
      </c>
      <c r="AA194" s="795">
        <f t="shared" ca="1" si="192"/>
        <v>0</v>
      </c>
      <c r="AB194" s="769">
        <f t="shared" ca="1" si="193"/>
        <v>0</v>
      </c>
      <c r="AC194" s="769">
        <f t="shared" ca="1" si="194"/>
        <v>0</v>
      </c>
      <c r="AD194" s="769">
        <f t="shared" ca="1" si="195"/>
        <v>0</v>
      </c>
      <c r="AE194" s="794">
        <f t="shared" ca="1" si="196"/>
        <v>0</v>
      </c>
      <c r="AF194" s="769">
        <f t="shared" ca="1" si="197"/>
        <v>0</v>
      </c>
      <c r="AG194" s="769">
        <f t="shared" ca="1" si="198"/>
        <v>0</v>
      </c>
      <c r="AH194" s="799">
        <f t="shared" ca="1" si="199"/>
        <v>0</v>
      </c>
      <c r="AI194" s="801">
        <f t="shared" ca="1" si="200"/>
        <v>1</v>
      </c>
      <c r="AJ194" s="794">
        <f t="shared" ca="1" si="201"/>
        <v>0</v>
      </c>
      <c r="AK194" s="769">
        <f t="shared" ca="1" si="202"/>
        <v>0</v>
      </c>
      <c r="AL194" s="769">
        <f t="shared" ca="1" si="203"/>
        <v>0</v>
      </c>
      <c r="AM194" s="804">
        <f t="shared" ca="1" si="153"/>
        <v>0</v>
      </c>
      <c r="AN194" s="795">
        <f t="shared" ca="1" si="154"/>
        <v>0</v>
      </c>
      <c r="AO194" s="251"/>
      <c r="AP194" s="770">
        <f t="shared" si="204"/>
        <v>0</v>
      </c>
      <c r="AQ194" s="771">
        <f t="shared" ca="1" si="205"/>
        <v>0</v>
      </c>
      <c r="AR194" s="771">
        <f t="shared" ca="1" si="206"/>
        <v>0</v>
      </c>
      <c r="AS194" s="772">
        <f t="shared" ca="1" si="207"/>
        <v>0</v>
      </c>
      <c r="AT194" s="231"/>
      <c r="AU194" s="770">
        <f>'Main Results - IRR DC Operator'!$F$16</f>
        <v>2</v>
      </c>
      <c r="AV194" s="773">
        <f>'Main Results - IRR DC Operator'!$F$15</f>
        <v>1</v>
      </c>
      <c r="AW194" s="771">
        <f t="shared" ca="1" si="208"/>
        <v>0</v>
      </c>
      <c r="AX194" s="772">
        <f t="shared" si="209"/>
        <v>0</v>
      </c>
      <c r="AY194" s="231"/>
      <c r="AZ194" s="770" cm="1">
        <f t="array" aca="1" ref="AZ194" ca="1">INDIRECT("'Definition of Typical Day'!"&amp; ADDRESS($D194+29*(AZ$16-1),$E194))+$AZ$17</f>
        <v>11</v>
      </c>
      <c r="BA194" s="771" cm="1">
        <f t="array" aca="1" ref="BA194" ca="1">INDIRECT("'Definition of Typical Day'!"&amp; ADDRESS($D194+29*(BA$16-1),$E194))+$BA$17</f>
        <v>11</v>
      </c>
      <c r="BB194" s="772" cm="1">
        <f t="array" aca="1" ref="BB194" ca="1">INDIRECT("'Definition of Typical Day'!"&amp;ADDRESS(BB$16,$E194))</f>
        <v>0</v>
      </c>
      <c r="BC194" s="776" cm="1">
        <f t="array" aca="1" ref="BC194" ca="1">INDIRECT("'Definition of Typical Day'!"&amp; ADDRESS($D194+29*(BC$16-1),$E194))</f>
        <v>0</v>
      </c>
      <c r="BD194" s="777" cm="1">
        <f t="array" aca="1" ref="BD194" ca="1">INDIRECT("'Definition of Typical Day'!"&amp; ADDRESS($D194+29*(BD$16-1),$E194))</f>
        <v>0</v>
      </c>
      <c r="BE194" s="776">
        <f t="shared" si="210"/>
        <v>0</v>
      </c>
      <c r="BF194" s="771">
        <f t="shared" ca="1" si="211"/>
        <v>0</v>
      </c>
      <c r="BG194" s="771">
        <f t="shared" ca="1" si="212"/>
        <v>0</v>
      </c>
      <c r="BH194" s="771">
        <f t="shared" ca="1" si="213"/>
        <v>0</v>
      </c>
      <c r="BI194" s="776">
        <f t="shared" ca="1" si="214"/>
        <v>0</v>
      </c>
      <c r="BJ194" s="776">
        <f t="shared" ca="1" si="215"/>
        <v>0</v>
      </c>
      <c r="BK194" s="776">
        <f t="shared" ca="1" si="216"/>
        <v>0</v>
      </c>
      <c r="BL194" s="776">
        <f t="shared" ca="1" si="217"/>
        <v>0</v>
      </c>
      <c r="BM194" s="135"/>
      <c r="BN194" s="776">
        <f t="shared" ca="1" si="218"/>
        <v>0</v>
      </c>
      <c r="BO194" s="778">
        <f t="shared" ca="1" si="155"/>
        <v>0</v>
      </c>
      <c r="BP194" s="770">
        <f t="shared" ca="1" si="156"/>
        <v>0</v>
      </c>
      <c r="BQ194" s="771">
        <f t="shared" ca="1" si="157"/>
        <v>0</v>
      </c>
      <c r="BR194" s="771">
        <f t="shared" ca="1" si="158"/>
        <v>0</v>
      </c>
      <c r="BS194" s="776">
        <f t="shared" ca="1" si="219"/>
        <v>0</v>
      </c>
      <c r="BT194" s="776">
        <f t="shared" ca="1" si="159"/>
        <v>0</v>
      </c>
      <c r="BU194" s="783">
        <f t="shared" ca="1" si="160"/>
        <v>0</v>
      </c>
      <c r="BV194" s="783">
        <f t="shared" ca="1" si="161"/>
        <v>0</v>
      </c>
      <c r="BW194" s="1019">
        <f t="shared" ca="1" si="220"/>
        <v>0</v>
      </c>
      <c r="BX194" s="771" cm="1">
        <f t="array" aca="1" ref="BX194" ca="1">INDIRECT("'Definition of Typical Day'!"&amp; ADDRESS($D194+29*(BX$16-1),$E194))</f>
        <v>0</v>
      </c>
      <c r="BY194" s="771">
        <f t="shared" ca="1" si="221"/>
        <v>0</v>
      </c>
      <c r="BZ194" s="781">
        <f t="shared" ca="1" si="162"/>
        <v>0</v>
      </c>
      <c r="CA194" s="781">
        <f t="shared" ca="1" si="163"/>
        <v>0</v>
      </c>
      <c r="CB194" s="776">
        <f t="shared" ca="1" si="164"/>
        <v>0</v>
      </c>
      <c r="CC194" s="782">
        <f t="shared" si="165"/>
        <v>8</v>
      </c>
      <c r="CD194" s="782">
        <f t="shared" si="166"/>
        <v>6</v>
      </c>
      <c r="CE194" s="784" cm="1">
        <f t="array" aca="1" ref="CE194" ca="1">INDIRECT("'Definition of Typical Day'!"&amp;ADDRESS(CE$16,$E194))</f>
        <v>8</v>
      </c>
      <c r="CF194" s="232"/>
      <c r="CG194" s="232"/>
      <c r="CH194" s="776">
        <f t="shared" ca="1" si="167"/>
        <v>0</v>
      </c>
      <c r="CI194" s="806">
        <f t="shared" ca="1" si="168"/>
        <v>0</v>
      </c>
      <c r="CJ194" s="770">
        <f t="shared" ca="1" si="169"/>
        <v>0</v>
      </c>
      <c r="CK194" s="771">
        <f t="shared" ca="1" si="170"/>
        <v>0</v>
      </c>
      <c r="CL194" s="771">
        <f t="shared" ca="1" si="171"/>
        <v>0</v>
      </c>
      <c r="CM194" s="772">
        <f t="shared" ca="1" si="172"/>
        <v>0</v>
      </c>
      <c r="CN194" s="135"/>
      <c r="CO194" s="770">
        <f t="shared" ca="1" si="222"/>
        <v>1.05</v>
      </c>
      <c r="CP194" s="771">
        <f t="shared" ca="1" si="173"/>
        <v>0.02</v>
      </c>
      <c r="CQ194" s="771">
        <f t="shared" ca="1" si="174"/>
        <v>-2.5000000000000001E-2</v>
      </c>
      <c r="CR194" s="771">
        <f t="shared" ca="1" si="175"/>
        <v>0.95</v>
      </c>
      <c r="CS194" s="771">
        <f t="shared" ca="1" si="176"/>
        <v>0.03</v>
      </c>
      <c r="CT194" s="772">
        <f t="shared" ca="1" si="177"/>
        <v>0.02</v>
      </c>
      <c r="CU194" s="135"/>
      <c r="CV194" s="135"/>
      <c r="CW194" s="135"/>
      <c r="CX194" s="135"/>
      <c r="CY194" s="135"/>
      <c r="CZ194" s="135"/>
      <c r="DA194" s="135"/>
      <c r="DB194" s="135"/>
      <c r="DC194" s="135"/>
      <c r="DD194" s="135"/>
      <c r="DE194" s="135"/>
      <c r="DF194" s="135"/>
      <c r="DG194" s="135"/>
      <c r="DH194" s="135"/>
      <c r="DI194" s="135"/>
      <c r="DJ194" s="135"/>
      <c r="DK194" s="135"/>
      <c r="DL194" s="135"/>
      <c r="DX194" s="135"/>
      <c r="DY194" s="135"/>
      <c r="DZ194" s="135"/>
      <c r="EA194" s="135"/>
      <c r="EB194" s="135"/>
      <c r="EC194" s="135"/>
      <c r="ED194" s="135"/>
      <c r="EE194" s="135"/>
      <c r="EF194" s="135"/>
      <c r="EG194" s="135"/>
      <c r="EH194" s="135"/>
      <c r="EI194" s="135"/>
      <c r="EJ194" s="135"/>
      <c r="EK194" s="135"/>
      <c r="EL194" s="135"/>
      <c r="EM194" s="135"/>
      <c r="EN194" s="135"/>
      <c r="EO194" s="135"/>
      <c r="EP194" s="135"/>
      <c r="EQ194" s="135"/>
      <c r="ER194" s="135"/>
      <c r="ES194" s="135"/>
      <c r="ET194" s="135"/>
      <c r="EU194" s="135"/>
      <c r="EV194" s="135"/>
      <c r="EW194" s="135"/>
      <c r="EX194" s="135"/>
      <c r="EY194" s="135"/>
      <c r="EZ194" s="135"/>
      <c r="FA194" s="135"/>
      <c r="FB194" s="135"/>
      <c r="FC194" s="135"/>
      <c r="FD194" s="135"/>
      <c r="FE194" s="135"/>
      <c r="FF194" s="135"/>
      <c r="FG194" s="135"/>
    </row>
    <row r="195" spans="1:163" s="57" customFormat="1" ht="11.25" outlineLevel="1">
      <c r="A195" s="765">
        <f t="shared" si="223"/>
        <v>8</v>
      </c>
      <c r="B195" s="715" cm="1">
        <f t="array" aca="1" ref="B195" ca="1">INDIRECT("'Definition of Typical Day'!"&amp;ADDRESS(B$16,$E195))</f>
        <v>8</v>
      </c>
      <c r="C195" s="766">
        <f t="shared" si="224"/>
        <v>7</v>
      </c>
      <c r="D195" s="715">
        <f t="shared" si="224"/>
        <v>41</v>
      </c>
      <c r="E195" s="715">
        <f t="shared" si="152"/>
        <v>12</v>
      </c>
      <c r="F195" s="767" cm="1">
        <f t="array" aca="1" ref="F195" ca="1">INDIRECT("'Definition of Typical Day'!D"&amp;D195)</f>
        <v>7</v>
      </c>
      <c r="G195" s="767" cm="1">
        <f t="array" aca="1" ref="G195" ca="1">INDIRECT("'Definition of Typical Day'!"&amp;ADDRESS(13,E195))</f>
        <v>8</v>
      </c>
      <c r="H195" s="768" cm="1">
        <f t="array" aca="1" ref="H195" ca="1">INDIRECT("'Definition of Typical Day'!"&amp; ADDRESS($D195+28*(H$16-1),$E195))</f>
        <v>0</v>
      </c>
      <c r="I195" s="715" cm="1">
        <f t="array" aca="1" ref="I195" ca="1">INDIRECT("'Definition of Typical Day'!"&amp; ADDRESS($D195+29*(I$16-1),$E195))</f>
        <v>0</v>
      </c>
      <c r="J195" s="715">
        <f t="shared" ca="1" si="178"/>
        <v>0</v>
      </c>
      <c r="K195" s="785">
        <f t="shared" si="179"/>
        <v>28</v>
      </c>
      <c r="L195" s="786" cm="1">
        <f t="array" aca="1" ref="L195" ca="1">INDIRECT("'Definition of Typical Day'!"&amp; ADDRESS($D195+29*(L$16-1),$E195))</f>
        <v>0</v>
      </c>
      <c r="M195" s="768" cm="1">
        <f t="array" aca="1" ref="M195" ca="1">INDIRECT("'Definition of Typical Day'!"&amp; ADDRESS($D195+29*(M$16-1),$E195))</f>
        <v>0</v>
      </c>
      <c r="N195" s="715">
        <f t="shared" si="180"/>
        <v>3</v>
      </c>
      <c r="O195" s="715">
        <f t="shared" ca="1" si="181"/>
        <v>3</v>
      </c>
      <c r="P195" s="715" cm="1">
        <f t="array" aca="1" ref="P195" ca="1">INDIRECT("'Definition of Typical Day'!"&amp; ADDRESS($D195+29*(P$16-1),$E195))</f>
        <v>0</v>
      </c>
      <c r="Q195" s="787">
        <f t="shared" ca="1" si="182"/>
        <v>3</v>
      </c>
      <c r="R195" s="792">
        <f t="shared" ca="1" si="183"/>
        <v>3</v>
      </c>
      <c r="S195" s="769">
        <f t="shared" si="184"/>
        <v>3</v>
      </c>
      <c r="T195" s="769">
        <f t="shared" ca="1" si="185"/>
        <v>-0.5</v>
      </c>
      <c r="U195" s="769">
        <f t="shared" ca="1" si="186"/>
        <v>2.262</v>
      </c>
      <c r="V195" s="769">
        <f t="shared" ca="1" si="187"/>
        <v>0</v>
      </c>
      <c r="W195" s="769">
        <f t="shared" ca="1" si="188"/>
        <v>4.7620000000000005</v>
      </c>
      <c r="X195" s="794">
        <f t="shared" si="189"/>
        <v>3</v>
      </c>
      <c r="Y195" s="769">
        <f t="shared" ca="1" si="190"/>
        <v>0.54772255750516607</v>
      </c>
      <c r="Z195" s="769">
        <f t="shared" ca="1" si="191"/>
        <v>0</v>
      </c>
      <c r="AA195" s="795">
        <f t="shared" ca="1" si="192"/>
        <v>0</v>
      </c>
      <c r="AB195" s="769">
        <f t="shared" ca="1" si="193"/>
        <v>0</v>
      </c>
      <c r="AC195" s="769">
        <f t="shared" ca="1" si="194"/>
        <v>0</v>
      </c>
      <c r="AD195" s="769">
        <f t="shared" ca="1" si="195"/>
        <v>0</v>
      </c>
      <c r="AE195" s="794">
        <f t="shared" ca="1" si="196"/>
        <v>0</v>
      </c>
      <c r="AF195" s="769">
        <f t="shared" ca="1" si="197"/>
        <v>0</v>
      </c>
      <c r="AG195" s="769">
        <f t="shared" ca="1" si="198"/>
        <v>0</v>
      </c>
      <c r="AH195" s="799">
        <f t="shared" ca="1" si="199"/>
        <v>0</v>
      </c>
      <c r="AI195" s="801">
        <f t="shared" ca="1" si="200"/>
        <v>1</v>
      </c>
      <c r="AJ195" s="794">
        <f t="shared" ca="1" si="201"/>
        <v>0</v>
      </c>
      <c r="AK195" s="769">
        <f t="shared" ca="1" si="202"/>
        <v>0</v>
      </c>
      <c r="AL195" s="769">
        <f t="shared" ca="1" si="203"/>
        <v>0</v>
      </c>
      <c r="AM195" s="804">
        <f t="shared" ca="1" si="153"/>
        <v>0</v>
      </c>
      <c r="AN195" s="795">
        <f t="shared" ca="1" si="154"/>
        <v>0</v>
      </c>
      <c r="AO195" s="251"/>
      <c r="AP195" s="770">
        <f t="shared" si="204"/>
        <v>0</v>
      </c>
      <c r="AQ195" s="771">
        <f t="shared" ca="1" si="205"/>
        <v>0</v>
      </c>
      <c r="AR195" s="771">
        <f t="shared" ca="1" si="206"/>
        <v>0</v>
      </c>
      <c r="AS195" s="772">
        <f t="shared" ca="1" si="207"/>
        <v>0</v>
      </c>
      <c r="AT195" s="231"/>
      <c r="AU195" s="770">
        <f>'Main Results - IRR DC Operator'!$F$16</f>
        <v>2</v>
      </c>
      <c r="AV195" s="773">
        <f>'Main Results - IRR DC Operator'!$F$15</f>
        <v>1</v>
      </c>
      <c r="AW195" s="771">
        <f t="shared" ca="1" si="208"/>
        <v>0</v>
      </c>
      <c r="AX195" s="772">
        <f t="shared" si="209"/>
        <v>0</v>
      </c>
      <c r="AY195" s="231"/>
      <c r="AZ195" s="770" cm="1">
        <f t="array" aca="1" ref="AZ195" ca="1">INDIRECT("'Definition of Typical Day'!"&amp; ADDRESS($D195+29*(AZ$16-1),$E195))+$AZ$17</f>
        <v>11</v>
      </c>
      <c r="BA195" s="771" cm="1">
        <f t="array" aca="1" ref="BA195" ca="1">INDIRECT("'Definition of Typical Day'!"&amp; ADDRESS($D195+29*(BA$16-1),$E195))+$BA$17</f>
        <v>11</v>
      </c>
      <c r="BB195" s="772" cm="1">
        <f t="array" aca="1" ref="BB195" ca="1">INDIRECT("'Definition of Typical Day'!"&amp;ADDRESS(BB$16,$E195))</f>
        <v>0</v>
      </c>
      <c r="BC195" s="776" cm="1">
        <f t="array" aca="1" ref="BC195" ca="1">INDIRECT("'Definition of Typical Day'!"&amp; ADDRESS($D195+29*(BC$16-1),$E195))</f>
        <v>0</v>
      </c>
      <c r="BD195" s="777" cm="1">
        <f t="array" aca="1" ref="BD195" ca="1">INDIRECT("'Definition of Typical Day'!"&amp; ADDRESS($D195+29*(BD$16-1),$E195))</f>
        <v>0</v>
      </c>
      <c r="BE195" s="776">
        <f t="shared" si="210"/>
        <v>0</v>
      </c>
      <c r="BF195" s="771">
        <f t="shared" ca="1" si="211"/>
        <v>0</v>
      </c>
      <c r="BG195" s="771">
        <f t="shared" ca="1" si="212"/>
        <v>0</v>
      </c>
      <c r="BH195" s="771">
        <f t="shared" ca="1" si="213"/>
        <v>0</v>
      </c>
      <c r="BI195" s="776">
        <f t="shared" ca="1" si="214"/>
        <v>0</v>
      </c>
      <c r="BJ195" s="776">
        <f t="shared" ca="1" si="215"/>
        <v>0</v>
      </c>
      <c r="BK195" s="776">
        <f t="shared" ca="1" si="216"/>
        <v>0</v>
      </c>
      <c r="BL195" s="776">
        <f t="shared" ca="1" si="217"/>
        <v>0</v>
      </c>
      <c r="BM195" s="135"/>
      <c r="BN195" s="776">
        <f t="shared" ca="1" si="218"/>
        <v>0</v>
      </c>
      <c r="BO195" s="778">
        <f t="shared" ca="1" si="155"/>
        <v>0</v>
      </c>
      <c r="BP195" s="770">
        <f t="shared" ca="1" si="156"/>
        <v>0</v>
      </c>
      <c r="BQ195" s="771">
        <f t="shared" ca="1" si="157"/>
        <v>0</v>
      </c>
      <c r="BR195" s="771">
        <f t="shared" ca="1" si="158"/>
        <v>0</v>
      </c>
      <c r="BS195" s="776">
        <f t="shared" ca="1" si="219"/>
        <v>0</v>
      </c>
      <c r="BT195" s="776">
        <f t="shared" ca="1" si="159"/>
        <v>0</v>
      </c>
      <c r="BU195" s="783">
        <f t="shared" ca="1" si="160"/>
        <v>0</v>
      </c>
      <c r="BV195" s="783">
        <f t="shared" ca="1" si="161"/>
        <v>0</v>
      </c>
      <c r="BW195" s="1019">
        <f t="shared" ca="1" si="220"/>
        <v>0</v>
      </c>
      <c r="BX195" s="771" cm="1">
        <f t="array" aca="1" ref="BX195" ca="1">INDIRECT("'Definition of Typical Day'!"&amp; ADDRESS($D195+29*(BX$16-1),$E195))</f>
        <v>0</v>
      </c>
      <c r="BY195" s="771">
        <f t="shared" ca="1" si="221"/>
        <v>0</v>
      </c>
      <c r="BZ195" s="781">
        <f t="shared" ca="1" si="162"/>
        <v>0</v>
      </c>
      <c r="CA195" s="781">
        <f t="shared" ca="1" si="163"/>
        <v>0</v>
      </c>
      <c r="CB195" s="776">
        <f t="shared" ca="1" si="164"/>
        <v>0</v>
      </c>
      <c r="CC195" s="782">
        <f t="shared" si="165"/>
        <v>8</v>
      </c>
      <c r="CD195" s="782">
        <f t="shared" si="166"/>
        <v>7</v>
      </c>
      <c r="CE195" s="784" cm="1">
        <f t="array" aca="1" ref="CE195" ca="1">INDIRECT("'Definition of Typical Day'!"&amp;ADDRESS(CE$16,$E195))</f>
        <v>8</v>
      </c>
      <c r="CF195" s="232"/>
      <c r="CG195" s="232"/>
      <c r="CH195" s="776">
        <f t="shared" ca="1" si="167"/>
        <v>0</v>
      </c>
      <c r="CI195" s="806">
        <f t="shared" ca="1" si="168"/>
        <v>0</v>
      </c>
      <c r="CJ195" s="770">
        <f t="shared" ca="1" si="169"/>
        <v>0</v>
      </c>
      <c r="CK195" s="771">
        <f t="shared" ca="1" si="170"/>
        <v>0</v>
      </c>
      <c r="CL195" s="771">
        <f t="shared" ca="1" si="171"/>
        <v>0</v>
      </c>
      <c r="CM195" s="772">
        <f t="shared" ca="1" si="172"/>
        <v>0</v>
      </c>
      <c r="CN195" s="135"/>
      <c r="CO195" s="770">
        <f t="shared" ca="1" si="222"/>
        <v>1.05</v>
      </c>
      <c r="CP195" s="771">
        <f t="shared" ca="1" si="173"/>
        <v>0.02</v>
      </c>
      <c r="CQ195" s="771">
        <f t="shared" ca="1" si="174"/>
        <v>-2.5000000000000001E-2</v>
      </c>
      <c r="CR195" s="771">
        <f t="shared" ca="1" si="175"/>
        <v>0.95</v>
      </c>
      <c r="CS195" s="771">
        <f t="shared" ca="1" si="176"/>
        <v>0.03</v>
      </c>
      <c r="CT195" s="772">
        <f t="shared" ca="1" si="177"/>
        <v>0.02</v>
      </c>
      <c r="CU195" s="135"/>
      <c r="CV195" s="135"/>
      <c r="CW195" s="135"/>
      <c r="CX195" s="135"/>
      <c r="CY195" s="135"/>
      <c r="CZ195" s="135"/>
      <c r="DA195" s="135"/>
      <c r="DB195" s="135"/>
      <c r="DC195" s="135"/>
      <c r="DD195" s="135"/>
      <c r="DE195" s="135"/>
      <c r="DF195" s="135"/>
      <c r="DG195" s="135"/>
      <c r="DH195" s="135"/>
      <c r="DI195" s="135"/>
      <c r="DJ195" s="135"/>
      <c r="DK195" s="135"/>
      <c r="DL195" s="135"/>
      <c r="DX195" s="135"/>
      <c r="DY195" s="135"/>
      <c r="DZ195" s="135"/>
      <c r="EA195" s="135"/>
      <c r="EB195" s="135"/>
      <c r="EC195" s="135"/>
      <c r="ED195" s="135"/>
      <c r="EE195" s="135"/>
      <c r="EF195" s="135"/>
      <c r="EG195" s="135"/>
      <c r="EH195" s="135"/>
      <c r="EI195" s="135"/>
      <c r="EJ195" s="135"/>
      <c r="EK195" s="135"/>
      <c r="EL195" s="135"/>
      <c r="EM195" s="135"/>
      <c r="EN195" s="135"/>
      <c r="EO195" s="135"/>
      <c r="EP195" s="135"/>
      <c r="EQ195" s="135"/>
      <c r="ER195" s="135"/>
      <c r="ES195" s="135"/>
      <c r="ET195" s="135"/>
      <c r="EU195" s="135"/>
      <c r="EV195" s="135"/>
      <c r="EW195" s="135"/>
      <c r="EX195" s="135"/>
      <c r="EY195" s="135"/>
      <c r="EZ195" s="135"/>
      <c r="FA195" s="135"/>
      <c r="FB195" s="135"/>
      <c r="FC195" s="135"/>
      <c r="FD195" s="135"/>
      <c r="FE195" s="135"/>
      <c r="FF195" s="135"/>
      <c r="FG195" s="135"/>
    </row>
    <row r="196" spans="1:163" s="57" customFormat="1" ht="11.25" outlineLevel="1">
      <c r="A196" s="765">
        <f t="shared" si="223"/>
        <v>8</v>
      </c>
      <c r="B196" s="715" cm="1">
        <f t="array" aca="1" ref="B196" ca="1">INDIRECT("'Definition of Typical Day'!"&amp;ADDRESS(B$16,$E196))</f>
        <v>8</v>
      </c>
      <c r="C196" s="766">
        <f t="shared" si="224"/>
        <v>8</v>
      </c>
      <c r="D196" s="715">
        <f t="shared" si="224"/>
        <v>42</v>
      </c>
      <c r="E196" s="715">
        <f t="shared" si="152"/>
        <v>12</v>
      </c>
      <c r="F196" s="767" cm="1">
        <f t="array" aca="1" ref="F196" ca="1">INDIRECT("'Definition of Typical Day'!D"&amp;D196)</f>
        <v>8</v>
      </c>
      <c r="G196" s="767" cm="1">
        <f t="array" aca="1" ref="G196" ca="1">INDIRECT("'Definition of Typical Day'!"&amp;ADDRESS(13,E196))</f>
        <v>8</v>
      </c>
      <c r="H196" s="768" cm="1">
        <f t="array" aca="1" ref="H196" ca="1">INDIRECT("'Definition of Typical Day'!"&amp; ADDRESS($D196+28*(H$16-1),$E196))</f>
        <v>0</v>
      </c>
      <c r="I196" s="715" cm="1">
        <f t="array" aca="1" ref="I196" ca="1">INDIRECT("'Definition of Typical Day'!"&amp; ADDRESS($D196+29*(I$16-1),$E196))</f>
        <v>0</v>
      </c>
      <c r="J196" s="715">
        <f t="shared" ca="1" si="178"/>
        <v>0</v>
      </c>
      <c r="K196" s="785">
        <f t="shared" si="179"/>
        <v>28</v>
      </c>
      <c r="L196" s="786" cm="1">
        <f t="array" aca="1" ref="L196" ca="1">INDIRECT("'Definition of Typical Day'!"&amp; ADDRESS($D196+29*(L$16-1),$E196))</f>
        <v>0</v>
      </c>
      <c r="M196" s="768" cm="1">
        <f t="array" aca="1" ref="M196" ca="1">INDIRECT("'Definition of Typical Day'!"&amp; ADDRESS($D196+29*(M$16-1),$E196))</f>
        <v>0</v>
      </c>
      <c r="N196" s="715">
        <f t="shared" si="180"/>
        <v>3</v>
      </c>
      <c r="O196" s="715">
        <f t="shared" ca="1" si="181"/>
        <v>3</v>
      </c>
      <c r="P196" s="715" cm="1">
        <f t="array" aca="1" ref="P196" ca="1">INDIRECT("'Definition of Typical Day'!"&amp; ADDRESS($D196+29*(P$16-1),$E196))</f>
        <v>0</v>
      </c>
      <c r="Q196" s="787">
        <f t="shared" ca="1" si="182"/>
        <v>3</v>
      </c>
      <c r="R196" s="792">
        <f t="shared" ca="1" si="183"/>
        <v>3</v>
      </c>
      <c r="S196" s="769">
        <f t="shared" si="184"/>
        <v>3</v>
      </c>
      <c r="T196" s="769">
        <f t="shared" ca="1" si="185"/>
        <v>-0.5</v>
      </c>
      <c r="U196" s="769">
        <f t="shared" ca="1" si="186"/>
        <v>2.262</v>
      </c>
      <c r="V196" s="769">
        <f t="shared" ca="1" si="187"/>
        <v>0</v>
      </c>
      <c r="W196" s="769">
        <f t="shared" ca="1" si="188"/>
        <v>4.7620000000000005</v>
      </c>
      <c r="X196" s="794">
        <f t="shared" si="189"/>
        <v>3</v>
      </c>
      <c r="Y196" s="769">
        <f t="shared" ca="1" si="190"/>
        <v>0.54772255750516607</v>
      </c>
      <c r="Z196" s="769">
        <f t="shared" ca="1" si="191"/>
        <v>0</v>
      </c>
      <c r="AA196" s="795">
        <f t="shared" ca="1" si="192"/>
        <v>0</v>
      </c>
      <c r="AB196" s="769">
        <f t="shared" ca="1" si="193"/>
        <v>0</v>
      </c>
      <c r="AC196" s="769">
        <f t="shared" ca="1" si="194"/>
        <v>0</v>
      </c>
      <c r="AD196" s="769">
        <f t="shared" ca="1" si="195"/>
        <v>0</v>
      </c>
      <c r="AE196" s="794">
        <f t="shared" ca="1" si="196"/>
        <v>0</v>
      </c>
      <c r="AF196" s="769">
        <f t="shared" ca="1" si="197"/>
        <v>0</v>
      </c>
      <c r="AG196" s="769">
        <f t="shared" ca="1" si="198"/>
        <v>0</v>
      </c>
      <c r="AH196" s="799">
        <f t="shared" ca="1" si="199"/>
        <v>0</v>
      </c>
      <c r="AI196" s="801">
        <f t="shared" ca="1" si="200"/>
        <v>1</v>
      </c>
      <c r="AJ196" s="794">
        <f t="shared" ca="1" si="201"/>
        <v>0</v>
      </c>
      <c r="AK196" s="769">
        <f t="shared" ca="1" si="202"/>
        <v>0</v>
      </c>
      <c r="AL196" s="769">
        <f t="shared" ca="1" si="203"/>
        <v>0</v>
      </c>
      <c r="AM196" s="804">
        <f t="shared" ca="1" si="153"/>
        <v>0</v>
      </c>
      <c r="AN196" s="795">
        <f t="shared" ca="1" si="154"/>
        <v>0</v>
      </c>
      <c r="AO196" s="251"/>
      <c r="AP196" s="770">
        <f t="shared" si="204"/>
        <v>0</v>
      </c>
      <c r="AQ196" s="771">
        <f t="shared" ca="1" si="205"/>
        <v>0</v>
      </c>
      <c r="AR196" s="771">
        <f t="shared" ca="1" si="206"/>
        <v>0</v>
      </c>
      <c r="AS196" s="772">
        <f t="shared" ca="1" si="207"/>
        <v>0</v>
      </c>
      <c r="AT196" s="231"/>
      <c r="AU196" s="770">
        <f>'Main Results - IRR DC Operator'!$F$16</f>
        <v>2</v>
      </c>
      <c r="AV196" s="773">
        <f>'Main Results - IRR DC Operator'!$F$15</f>
        <v>1</v>
      </c>
      <c r="AW196" s="771">
        <f t="shared" ca="1" si="208"/>
        <v>0</v>
      </c>
      <c r="AX196" s="772">
        <f t="shared" si="209"/>
        <v>0</v>
      </c>
      <c r="AY196" s="231"/>
      <c r="AZ196" s="770" cm="1">
        <f t="array" aca="1" ref="AZ196" ca="1">INDIRECT("'Definition of Typical Day'!"&amp; ADDRESS($D196+29*(AZ$16-1),$E196))+$AZ$17</f>
        <v>11</v>
      </c>
      <c r="BA196" s="771" cm="1">
        <f t="array" aca="1" ref="BA196" ca="1">INDIRECT("'Definition of Typical Day'!"&amp; ADDRESS($D196+29*(BA$16-1),$E196))+$BA$17</f>
        <v>11</v>
      </c>
      <c r="BB196" s="772" cm="1">
        <f t="array" aca="1" ref="BB196" ca="1">INDIRECT("'Definition of Typical Day'!"&amp;ADDRESS(BB$16,$E196))</f>
        <v>0</v>
      </c>
      <c r="BC196" s="776" cm="1">
        <f t="array" aca="1" ref="BC196" ca="1">INDIRECT("'Definition of Typical Day'!"&amp; ADDRESS($D196+29*(BC$16-1),$E196))</f>
        <v>0</v>
      </c>
      <c r="BD196" s="777" cm="1">
        <f t="array" aca="1" ref="BD196" ca="1">INDIRECT("'Definition of Typical Day'!"&amp; ADDRESS($D196+29*(BD$16-1),$E196))</f>
        <v>0</v>
      </c>
      <c r="BE196" s="776">
        <f t="shared" si="210"/>
        <v>0</v>
      </c>
      <c r="BF196" s="771">
        <f t="shared" ca="1" si="211"/>
        <v>0</v>
      </c>
      <c r="BG196" s="771">
        <f t="shared" ca="1" si="212"/>
        <v>0</v>
      </c>
      <c r="BH196" s="771">
        <f t="shared" ca="1" si="213"/>
        <v>0</v>
      </c>
      <c r="BI196" s="776">
        <f t="shared" ca="1" si="214"/>
        <v>0</v>
      </c>
      <c r="BJ196" s="776">
        <f t="shared" ca="1" si="215"/>
        <v>0</v>
      </c>
      <c r="BK196" s="776">
        <f t="shared" ca="1" si="216"/>
        <v>0</v>
      </c>
      <c r="BL196" s="776">
        <f t="shared" ca="1" si="217"/>
        <v>0</v>
      </c>
      <c r="BM196" s="135"/>
      <c r="BN196" s="776">
        <f t="shared" ca="1" si="218"/>
        <v>0</v>
      </c>
      <c r="BO196" s="778">
        <f t="shared" ca="1" si="155"/>
        <v>0</v>
      </c>
      <c r="BP196" s="770">
        <f t="shared" ca="1" si="156"/>
        <v>0</v>
      </c>
      <c r="BQ196" s="771">
        <f t="shared" ca="1" si="157"/>
        <v>0</v>
      </c>
      <c r="BR196" s="771">
        <f t="shared" ca="1" si="158"/>
        <v>0</v>
      </c>
      <c r="BS196" s="776">
        <f t="shared" ca="1" si="219"/>
        <v>0</v>
      </c>
      <c r="BT196" s="776">
        <f t="shared" ca="1" si="159"/>
        <v>0</v>
      </c>
      <c r="BU196" s="783">
        <f t="shared" ca="1" si="160"/>
        <v>0</v>
      </c>
      <c r="BV196" s="783">
        <f t="shared" ca="1" si="161"/>
        <v>0</v>
      </c>
      <c r="BW196" s="1019">
        <f t="shared" ca="1" si="220"/>
        <v>0</v>
      </c>
      <c r="BX196" s="771" cm="1">
        <f t="array" aca="1" ref="BX196" ca="1">INDIRECT("'Definition of Typical Day'!"&amp; ADDRESS($D196+29*(BX$16-1),$E196))</f>
        <v>0</v>
      </c>
      <c r="BY196" s="771">
        <f t="shared" ca="1" si="221"/>
        <v>0</v>
      </c>
      <c r="BZ196" s="781">
        <f t="shared" ca="1" si="162"/>
        <v>0</v>
      </c>
      <c r="CA196" s="781">
        <f t="shared" ca="1" si="163"/>
        <v>0</v>
      </c>
      <c r="CB196" s="776">
        <f t="shared" ca="1" si="164"/>
        <v>0</v>
      </c>
      <c r="CC196" s="782">
        <f t="shared" si="165"/>
        <v>8</v>
      </c>
      <c r="CD196" s="782">
        <f t="shared" si="166"/>
        <v>8</v>
      </c>
      <c r="CE196" s="784" cm="1">
        <f t="array" aca="1" ref="CE196" ca="1">INDIRECT("'Definition of Typical Day'!"&amp;ADDRESS(CE$16,$E196))</f>
        <v>8</v>
      </c>
      <c r="CF196" s="232"/>
      <c r="CG196" s="232"/>
      <c r="CH196" s="776">
        <f t="shared" ca="1" si="167"/>
        <v>0</v>
      </c>
      <c r="CI196" s="806">
        <f t="shared" ca="1" si="168"/>
        <v>0</v>
      </c>
      <c r="CJ196" s="770">
        <f t="shared" ca="1" si="169"/>
        <v>0</v>
      </c>
      <c r="CK196" s="771">
        <f t="shared" ca="1" si="170"/>
        <v>0</v>
      </c>
      <c r="CL196" s="771">
        <f t="shared" ca="1" si="171"/>
        <v>0</v>
      </c>
      <c r="CM196" s="772">
        <f t="shared" ca="1" si="172"/>
        <v>0</v>
      </c>
      <c r="CN196" s="135"/>
      <c r="CO196" s="770">
        <f t="shared" ca="1" si="222"/>
        <v>1.05</v>
      </c>
      <c r="CP196" s="771">
        <f t="shared" ca="1" si="173"/>
        <v>0.02</v>
      </c>
      <c r="CQ196" s="771">
        <f t="shared" ca="1" si="174"/>
        <v>-2.5000000000000001E-2</v>
      </c>
      <c r="CR196" s="771">
        <f t="shared" ca="1" si="175"/>
        <v>0.95</v>
      </c>
      <c r="CS196" s="771">
        <f t="shared" ca="1" si="176"/>
        <v>0.03</v>
      </c>
      <c r="CT196" s="772">
        <f t="shared" ca="1" si="177"/>
        <v>0.02</v>
      </c>
      <c r="CU196" s="135"/>
      <c r="CV196" s="135"/>
      <c r="CW196" s="135"/>
      <c r="CX196" s="135"/>
      <c r="CY196" s="135"/>
      <c r="CZ196" s="135"/>
      <c r="DA196" s="135"/>
      <c r="DB196" s="135"/>
      <c r="DC196" s="135"/>
      <c r="DD196" s="135"/>
      <c r="DE196" s="135"/>
      <c r="DF196" s="135"/>
      <c r="DG196" s="135"/>
      <c r="DH196" s="135"/>
      <c r="DI196" s="135"/>
      <c r="DJ196" s="135"/>
      <c r="DK196" s="135"/>
      <c r="DL196" s="135"/>
      <c r="DX196" s="135"/>
      <c r="DY196" s="135"/>
      <c r="DZ196" s="135"/>
      <c r="EA196" s="135"/>
      <c r="EB196" s="135"/>
      <c r="EC196" s="135"/>
      <c r="ED196" s="135"/>
      <c r="EE196" s="135"/>
      <c r="EF196" s="135"/>
      <c r="EG196" s="135"/>
      <c r="EH196" s="135"/>
      <c r="EI196" s="135"/>
      <c r="EJ196" s="135"/>
      <c r="EK196" s="135"/>
      <c r="EL196" s="135"/>
      <c r="EM196" s="135"/>
      <c r="EN196" s="135"/>
      <c r="EO196" s="135"/>
      <c r="EP196" s="135"/>
      <c r="EQ196" s="135"/>
      <c r="ER196" s="135"/>
      <c r="ES196" s="135"/>
      <c r="ET196" s="135"/>
      <c r="EU196" s="135"/>
      <c r="EV196" s="135"/>
      <c r="EW196" s="135"/>
      <c r="EX196" s="135"/>
      <c r="EY196" s="135"/>
      <c r="EZ196" s="135"/>
      <c r="FA196" s="135"/>
      <c r="FB196" s="135"/>
      <c r="FC196" s="135"/>
      <c r="FD196" s="135"/>
      <c r="FE196" s="135"/>
      <c r="FF196" s="135"/>
      <c r="FG196" s="135"/>
    </row>
    <row r="197" spans="1:163" s="57" customFormat="1" ht="11.25" outlineLevel="1">
      <c r="A197" s="765">
        <f t="shared" si="223"/>
        <v>8</v>
      </c>
      <c r="B197" s="715" cm="1">
        <f t="array" aca="1" ref="B197" ca="1">INDIRECT("'Definition of Typical Day'!"&amp;ADDRESS(B$16,$E197))</f>
        <v>8</v>
      </c>
      <c r="C197" s="766">
        <f t="shared" si="224"/>
        <v>9</v>
      </c>
      <c r="D197" s="715">
        <f t="shared" si="224"/>
        <v>43</v>
      </c>
      <c r="E197" s="715">
        <f t="shared" si="152"/>
        <v>12</v>
      </c>
      <c r="F197" s="767" cm="1">
        <f t="array" aca="1" ref="F197" ca="1">INDIRECT("'Definition of Typical Day'!D"&amp;D197)</f>
        <v>9</v>
      </c>
      <c r="G197" s="767" cm="1">
        <f t="array" aca="1" ref="G197" ca="1">INDIRECT("'Definition of Typical Day'!"&amp;ADDRESS(13,E197))</f>
        <v>8</v>
      </c>
      <c r="H197" s="768" cm="1">
        <f t="array" aca="1" ref="H197" ca="1">INDIRECT("'Definition of Typical Day'!"&amp; ADDRESS($D197+28*(H$16-1),$E197))</f>
        <v>0</v>
      </c>
      <c r="I197" s="715" cm="1">
        <f t="array" aca="1" ref="I197" ca="1">INDIRECT("'Definition of Typical Day'!"&amp; ADDRESS($D197+29*(I$16-1),$E197))</f>
        <v>0</v>
      </c>
      <c r="J197" s="715">
        <f t="shared" ca="1" si="178"/>
        <v>0</v>
      </c>
      <c r="K197" s="785">
        <f t="shared" si="179"/>
        <v>28</v>
      </c>
      <c r="L197" s="786" cm="1">
        <f t="array" aca="1" ref="L197" ca="1">INDIRECT("'Definition of Typical Day'!"&amp; ADDRESS($D197+29*(L$16-1),$E197))</f>
        <v>0</v>
      </c>
      <c r="M197" s="768" cm="1">
        <f t="array" aca="1" ref="M197" ca="1">INDIRECT("'Definition of Typical Day'!"&amp; ADDRESS($D197+29*(M$16-1),$E197))</f>
        <v>0</v>
      </c>
      <c r="N197" s="715">
        <f t="shared" si="180"/>
        <v>3</v>
      </c>
      <c r="O197" s="715">
        <f t="shared" ca="1" si="181"/>
        <v>3</v>
      </c>
      <c r="P197" s="715" cm="1">
        <f t="array" aca="1" ref="P197" ca="1">INDIRECT("'Definition of Typical Day'!"&amp; ADDRESS($D197+29*(P$16-1),$E197))</f>
        <v>0</v>
      </c>
      <c r="Q197" s="787">
        <f t="shared" ca="1" si="182"/>
        <v>3</v>
      </c>
      <c r="R197" s="792">
        <f t="shared" ca="1" si="183"/>
        <v>3</v>
      </c>
      <c r="S197" s="769">
        <f t="shared" si="184"/>
        <v>3</v>
      </c>
      <c r="T197" s="769">
        <f t="shared" ca="1" si="185"/>
        <v>-0.5</v>
      </c>
      <c r="U197" s="769">
        <f t="shared" ca="1" si="186"/>
        <v>2.262</v>
      </c>
      <c r="V197" s="769">
        <f t="shared" ca="1" si="187"/>
        <v>0</v>
      </c>
      <c r="W197" s="769">
        <f t="shared" ca="1" si="188"/>
        <v>4.7620000000000005</v>
      </c>
      <c r="X197" s="794">
        <f t="shared" si="189"/>
        <v>3</v>
      </c>
      <c r="Y197" s="769">
        <f t="shared" ca="1" si="190"/>
        <v>0.54772255750516607</v>
      </c>
      <c r="Z197" s="769">
        <f t="shared" ca="1" si="191"/>
        <v>0</v>
      </c>
      <c r="AA197" s="795">
        <f t="shared" ca="1" si="192"/>
        <v>0</v>
      </c>
      <c r="AB197" s="769">
        <f t="shared" ca="1" si="193"/>
        <v>0</v>
      </c>
      <c r="AC197" s="769">
        <f t="shared" ca="1" si="194"/>
        <v>0</v>
      </c>
      <c r="AD197" s="769">
        <f t="shared" ca="1" si="195"/>
        <v>0</v>
      </c>
      <c r="AE197" s="794">
        <f t="shared" ca="1" si="196"/>
        <v>0</v>
      </c>
      <c r="AF197" s="769">
        <f t="shared" ca="1" si="197"/>
        <v>0</v>
      </c>
      <c r="AG197" s="769">
        <f t="shared" ca="1" si="198"/>
        <v>0</v>
      </c>
      <c r="AH197" s="799">
        <f t="shared" ca="1" si="199"/>
        <v>0</v>
      </c>
      <c r="AI197" s="801">
        <f t="shared" ca="1" si="200"/>
        <v>1</v>
      </c>
      <c r="AJ197" s="794">
        <f t="shared" ca="1" si="201"/>
        <v>0</v>
      </c>
      <c r="AK197" s="769">
        <f t="shared" ca="1" si="202"/>
        <v>0</v>
      </c>
      <c r="AL197" s="769">
        <f t="shared" ca="1" si="203"/>
        <v>0</v>
      </c>
      <c r="AM197" s="804">
        <f t="shared" ca="1" si="153"/>
        <v>0</v>
      </c>
      <c r="AN197" s="795">
        <f t="shared" ca="1" si="154"/>
        <v>0</v>
      </c>
      <c r="AO197" s="251"/>
      <c r="AP197" s="770">
        <f t="shared" si="204"/>
        <v>0</v>
      </c>
      <c r="AQ197" s="771">
        <f t="shared" ca="1" si="205"/>
        <v>0</v>
      </c>
      <c r="AR197" s="771">
        <f t="shared" ca="1" si="206"/>
        <v>0</v>
      </c>
      <c r="AS197" s="772">
        <f t="shared" ca="1" si="207"/>
        <v>0</v>
      </c>
      <c r="AT197" s="231"/>
      <c r="AU197" s="770">
        <f>'Main Results - IRR DC Operator'!$F$16</f>
        <v>2</v>
      </c>
      <c r="AV197" s="773">
        <f>'Main Results - IRR DC Operator'!$F$15</f>
        <v>1</v>
      </c>
      <c r="AW197" s="771">
        <f t="shared" ca="1" si="208"/>
        <v>0</v>
      </c>
      <c r="AX197" s="772">
        <f t="shared" si="209"/>
        <v>0</v>
      </c>
      <c r="AY197" s="231"/>
      <c r="AZ197" s="770" cm="1">
        <f t="array" aca="1" ref="AZ197" ca="1">INDIRECT("'Definition of Typical Day'!"&amp; ADDRESS($D197+29*(AZ$16-1),$E197))+$AZ$17</f>
        <v>11</v>
      </c>
      <c r="BA197" s="771" cm="1">
        <f t="array" aca="1" ref="BA197" ca="1">INDIRECT("'Definition of Typical Day'!"&amp; ADDRESS($D197+29*(BA$16-1),$E197))+$BA$17</f>
        <v>11</v>
      </c>
      <c r="BB197" s="772" cm="1">
        <f t="array" aca="1" ref="BB197" ca="1">INDIRECT("'Definition of Typical Day'!"&amp;ADDRESS(BB$16,$E197))</f>
        <v>0</v>
      </c>
      <c r="BC197" s="776" cm="1">
        <f t="array" aca="1" ref="BC197" ca="1">INDIRECT("'Definition of Typical Day'!"&amp; ADDRESS($D197+29*(BC$16-1),$E197))</f>
        <v>0</v>
      </c>
      <c r="BD197" s="777" cm="1">
        <f t="array" aca="1" ref="BD197" ca="1">INDIRECT("'Definition of Typical Day'!"&amp; ADDRESS($D197+29*(BD$16-1),$E197))</f>
        <v>0</v>
      </c>
      <c r="BE197" s="776">
        <f t="shared" si="210"/>
        <v>0</v>
      </c>
      <c r="BF197" s="771">
        <f t="shared" ca="1" si="211"/>
        <v>0</v>
      </c>
      <c r="BG197" s="771">
        <f t="shared" ca="1" si="212"/>
        <v>0</v>
      </c>
      <c r="BH197" s="771">
        <f t="shared" ca="1" si="213"/>
        <v>0</v>
      </c>
      <c r="BI197" s="776">
        <f t="shared" ca="1" si="214"/>
        <v>0</v>
      </c>
      <c r="BJ197" s="776">
        <f t="shared" ca="1" si="215"/>
        <v>0</v>
      </c>
      <c r="BK197" s="776">
        <f t="shared" ca="1" si="216"/>
        <v>0</v>
      </c>
      <c r="BL197" s="776">
        <f t="shared" ca="1" si="217"/>
        <v>0</v>
      </c>
      <c r="BM197" s="135"/>
      <c r="BN197" s="776">
        <f t="shared" ca="1" si="218"/>
        <v>0</v>
      </c>
      <c r="BO197" s="778">
        <f t="shared" ca="1" si="155"/>
        <v>0</v>
      </c>
      <c r="BP197" s="770">
        <f t="shared" ca="1" si="156"/>
        <v>0</v>
      </c>
      <c r="BQ197" s="771">
        <f t="shared" ca="1" si="157"/>
        <v>0</v>
      </c>
      <c r="BR197" s="771">
        <f t="shared" ca="1" si="158"/>
        <v>0</v>
      </c>
      <c r="BS197" s="776">
        <f t="shared" ca="1" si="219"/>
        <v>0</v>
      </c>
      <c r="BT197" s="776">
        <f t="shared" ca="1" si="159"/>
        <v>0</v>
      </c>
      <c r="BU197" s="783">
        <f t="shared" ca="1" si="160"/>
        <v>0</v>
      </c>
      <c r="BV197" s="783">
        <f t="shared" ca="1" si="161"/>
        <v>0</v>
      </c>
      <c r="BW197" s="1019">
        <f t="shared" ca="1" si="220"/>
        <v>0</v>
      </c>
      <c r="BX197" s="771" cm="1">
        <f t="array" aca="1" ref="BX197" ca="1">INDIRECT("'Definition of Typical Day'!"&amp; ADDRESS($D197+29*(BX$16-1),$E197))</f>
        <v>0</v>
      </c>
      <c r="BY197" s="771">
        <f t="shared" ca="1" si="221"/>
        <v>0</v>
      </c>
      <c r="BZ197" s="781">
        <f t="shared" ca="1" si="162"/>
        <v>0</v>
      </c>
      <c r="CA197" s="781">
        <f t="shared" ca="1" si="163"/>
        <v>0</v>
      </c>
      <c r="CB197" s="776">
        <f t="shared" ca="1" si="164"/>
        <v>0</v>
      </c>
      <c r="CC197" s="782">
        <f t="shared" si="165"/>
        <v>8</v>
      </c>
      <c r="CD197" s="782">
        <f t="shared" si="166"/>
        <v>9</v>
      </c>
      <c r="CE197" s="784" cm="1">
        <f t="array" aca="1" ref="CE197" ca="1">INDIRECT("'Definition of Typical Day'!"&amp;ADDRESS(CE$16,$E197))</f>
        <v>8</v>
      </c>
      <c r="CF197" s="232"/>
      <c r="CG197" s="232"/>
      <c r="CH197" s="776">
        <f t="shared" ca="1" si="167"/>
        <v>0</v>
      </c>
      <c r="CI197" s="806">
        <f t="shared" ca="1" si="168"/>
        <v>0</v>
      </c>
      <c r="CJ197" s="770">
        <f t="shared" ca="1" si="169"/>
        <v>0</v>
      </c>
      <c r="CK197" s="771">
        <f t="shared" ca="1" si="170"/>
        <v>0</v>
      </c>
      <c r="CL197" s="771">
        <f t="shared" ca="1" si="171"/>
        <v>0</v>
      </c>
      <c r="CM197" s="772">
        <f t="shared" ca="1" si="172"/>
        <v>0</v>
      </c>
      <c r="CN197" s="135"/>
      <c r="CO197" s="770">
        <f t="shared" ca="1" si="222"/>
        <v>1.05</v>
      </c>
      <c r="CP197" s="771">
        <f t="shared" ca="1" si="173"/>
        <v>0.02</v>
      </c>
      <c r="CQ197" s="771">
        <f t="shared" ca="1" si="174"/>
        <v>-2.5000000000000001E-2</v>
      </c>
      <c r="CR197" s="771">
        <f t="shared" ca="1" si="175"/>
        <v>0.95</v>
      </c>
      <c r="CS197" s="771">
        <f t="shared" ca="1" si="176"/>
        <v>0.03</v>
      </c>
      <c r="CT197" s="772">
        <f t="shared" ca="1" si="177"/>
        <v>0.02</v>
      </c>
      <c r="CU197" s="135"/>
      <c r="CV197" s="135"/>
      <c r="CW197" s="135"/>
      <c r="CX197" s="135"/>
      <c r="CY197" s="135"/>
      <c r="CZ197" s="135"/>
      <c r="DA197" s="135"/>
      <c r="DB197" s="135"/>
      <c r="DC197" s="135"/>
      <c r="DD197" s="135"/>
      <c r="DE197" s="135"/>
      <c r="DF197" s="135"/>
      <c r="DG197" s="135"/>
      <c r="DH197" s="135"/>
      <c r="DI197" s="135"/>
      <c r="DJ197" s="135"/>
      <c r="DK197" s="135"/>
      <c r="DL197" s="135"/>
      <c r="DX197" s="135"/>
      <c r="DY197" s="135"/>
      <c r="DZ197" s="135"/>
      <c r="EA197" s="135"/>
      <c r="EB197" s="135"/>
      <c r="EC197" s="135"/>
      <c r="ED197" s="135"/>
      <c r="EE197" s="135"/>
      <c r="EF197" s="135"/>
      <c r="EG197" s="135"/>
      <c r="EH197" s="135"/>
      <c r="EI197" s="135"/>
      <c r="EJ197" s="135"/>
      <c r="EK197" s="135"/>
      <c r="EL197" s="135"/>
      <c r="EM197" s="135"/>
      <c r="EN197" s="135"/>
      <c r="EO197" s="135"/>
      <c r="EP197" s="135"/>
      <c r="EQ197" s="135"/>
      <c r="ER197" s="135"/>
      <c r="ES197" s="135"/>
      <c r="ET197" s="135"/>
      <c r="EU197" s="135"/>
      <c r="EV197" s="135"/>
      <c r="EW197" s="135"/>
      <c r="EX197" s="135"/>
      <c r="EY197" s="135"/>
      <c r="EZ197" s="135"/>
      <c r="FA197" s="135"/>
      <c r="FB197" s="135"/>
      <c r="FC197" s="135"/>
      <c r="FD197" s="135"/>
      <c r="FE197" s="135"/>
      <c r="FF197" s="135"/>
      <c r="FG197" s="135"/>
    </row>
    <row r="198" spans="1:163" s="57" customFormat="1" ht="11.25" outlineLevel="1">
      <c r="A198" s="765">
        <f t="shared" si="223"/>
        <v>8</v>
      </c>
      <c r="B198" s="715" cm="1">
        <f t="array" aca="1" ref="B198" ca="1">INDIRECT("'Definition of Typical Day'!"&amp;ADDRESS(B$16,$E198))</f>
        <v>8</v>
      </c>
      <c r="C198" s="766">
        <f t="shared" si="224"/>
        <v>10</v>
      </c>
      <c r="D198" s="715">
        <f t="shared" si="224"/>
        <v>44</v>
      </c>
      <c r="E198" s="715">
        <f t="shared" si="152"/>
        <v>12</v>
      </c>
      <c r="F198" s="767" cm="1">
        <f t="array" aca="1" ref="F198" ca="1">INDIRECT("'Definition of Typical Day'!D"&amp;D198)</f>
        <v>10</v>
      </c>
      <c r="G198" s="767" cm="1">
        <f t="array" aca="1" ref="G198" ca="1">INDIRECT("'Definition of Typical Day'!"&amp;ADDRESS(13,E198))</f>
        <v>8</v>
      </c>
      <c r="H198" s="768" cm="1">
        <f t="array" aca="1" ref="H198" ca="1">INDIRECT("'Definition of Typical Day'!"&amp; ADDRESS($D198+28*(H$16-1),$E198))</f>
        <v>0</v>
      </c>
      <c r="I198" s="715" cm="1">
        <f t="array" aca="1" ref="I198" ca="1">INDIRECT("'Definition of Typical Day'!"&amp; ADDRESS($D198+29*(I$16-1),$E198))</f>
        <v>0</v>
      </c>
      <c r="J198" s="715">
        <f t="shared" ca="1" si="178"/>
        <v>0</v>
      </c>
      <c r="K198" s="785">
        <f t="shared" si="179"/>
        <v>28</v>
      </c>
      <c r="L198" s="786" cm="1">
        <f t="array" aca="1" ref="L198" ca="1">INDIRECT("'Definition of Typical Day'!"&amp; ADDRESS($D198+29*(L$16-1),$E198))</f>
        <v>0</v>
      </c>
      <c r="M198" s="768" cm="1">
        <f t="array" aca="1" ref="M198" ca="1">INDIRECT("'Definition of Typical Day'!"&amp; ADDRESS($D198+29*(M$16-1),$E198))</f>
        <v>0</v>
      </c>
      <c r="N198" s="715">
        <f t="shared" si="180"/>
        <v>3</v>
      </c>
      <c r="O198" s="715">
        <f t="shared" ca="1" si="181"/>
        <v>3</v>
      </c>
      <c r="P198" s="715" cm="1">
        <f t="array" aca="1" ref="P198" ca="1">INDIRECT("'Definition of Typical Day'!"&amp; ADDRESS($D198+29*(P$16-1),$E198))</f>
        <v>0</v>
      </c>
      <c r="Q198" s="787">
        <f t="shared" ca="1" si="182"/>
        <v>3</v>
      </c>
      <c r="R198" s="792">
        <f t="shared" ca="1" si="183"/>
        <v>3</v>
      </c>
      <c r="S198" s="769">
        <f t="shared" si="184"/>
        <v>3</v>
      </c>
      <c r="T198" s="769">
        <f t="shared" ca="1" si="185"/>
        <v>-0.5</v>
      </c>
      <c r="U198" s="769">
        <f t="shared" ca="1" si="186"/>
        <v>2.262</v>
      </c>
      <c r="V198" s="769">
        <f t="shared" ca="1" si="187"/>
        <v>0</v>
      </c>
      <c r="W198" s="769">
        <f t="shared" ca="1" si="188"/>
        <v>4.7620000000000005</v>
      </c>
      <c r="X198" s="794">
        <f t="shared" si="189"/>
        <v>3</v>
      </c>
      <c r="Y198" s="769">
        <f t="shared" ca="1" si="190"/>
        <v>0.54772255750516607</v>
      </c>
      <c r="Z198" s="769">
        <f t="shared" ca="1" si="191"/>
        <v>0</v>
      </c>
      <c r="AA198" s="795">
        <f t="shared" ca="1" si="192"/>
        <v>0</v>
      </c>
      <c r="AB198" s="769">
        <f t="shared" ca="1" si="193"/>
        <v>0</v>
      </c>
      <c r="AC198" s="769">
        <f t="shared" ca="1" si="194"/>
        <v>0</v>
      </c>
      <c r="AD198" s="769">
        <f t="shared" ca="1" si="195"/>
        <v>0</v>
      </c>
      <c r="AE198" s="794">
        <f t="shared" ca="1" si="196"/>
        <v>0</v>
      </c>
      <c r="AF198" s="769">
        <f t="shared" ca="1" si="197"/>
        <v>0</v>
      </c>
      <c r="AG198" s="769">
        <f t="shared" ca="1" si="198"/>
        <v>0</v>
      </c>
      <c r="AH198" s="799">
        <f t="shared" ca="1" si="199"/>
        <v>0</v>
      </c>
      <c r="AI198" s="801">
        <f t="shared" ca="1" si="200"/>
        <v>1</v>
      </c>
      <c r="AJ198" s="794">
        <f t="shared" ca="1" si="201"/>
        <v>0</v>
      </c>
      <c r="AK198" s="769">
        <f t="shared" ca="1" si="202"/>
        <v>0</v>
      </c>
      <c r="AL198" s="769">
        <f t="shared" ca="1" si="203"/>
        <v>0</v>
      </c>
      <c r="AM198" s="804">
        <f t="shared" ca="1" si="153"/>
        <v>0</v>
      </c>
      <c r="AN198" s="795">
        <f t="shared" ca="1" si="154"/>
        <v>0</v>
      </c>
      <c r="AO198" s="251"/>
      <c r="AP198" s="770">
        <f t="shared" si="204"/>
        <v>0</v>
      </c>
      <c r="AQ198" s="771">
        <f t="shared" ca="1" si="205"/>
        <v>0</v>
      </c>
      <c r="AR198" s="771">
        <f t="shared" ca="1" si="206"/>
        <v>0</v>
      </c>
      <c r="AS198" s="772">
        <f t="shared" ca="1" si="207"/>
        <v>0</v>
      </c>
      <c r="AT198" s="231"/>
      <c r="AU198" s="770">
        <f>'Main Results - IRR DC Operator'!$F$16</f>
        <v>2</v>
      </c>
      <c r="AV198" s="773">
        <f>'Main Results - IRR DC Operator'!$F$15</f>
        <v>1</v>
      </c>
      <c r="AW198" s="771">
        <f t="shared" ca="1" si="208"/>
        <v>0</v>
      </c>
      <c r="AX198" s="772">
        <f t="shared" si="209"/>
        <v>0</v>
      </c>
      <c r="AY198" s="231"/>
      <c r="AZ198" s="770" cm="1">
        <f t="array" aca="1" ref="AZ198" ca="1">INDIRECT("'Definition of Typical Day'!"&amp; ADDRESS($D198+29*(AZ$16-1),$E198))+$AZ$17</f>
        <v>11</v>
      </c>
      <c r="BA198" s="771" cm="1">
        <f t="array" aca="1" ref="BA198" ca="1">INDIRECT("'Definition of Typical Day'!"&amp; ADDRESS($D198+29*(BA$16-1),$E198))+$BA$17</f>
        <v>11</v>
      </c>
      <c r="BB198" s="772" cm="1">
        <f t="array" aca="1" ref="BB198" ca="1">INDIRECT("'Definition of Typical Day'!"&amp;ADDRESS(BB$16,$E198))</f>
        <v>0</v>
      </c>
      <c r="BC198" s="776" cm="1">
        <f t="array" aca="1" ref="BC198" ca="1">INDIRECT("'Definition of Typical Day'!"&amp; ADDRESS($D198+29*(BC$16-1),$E198))</f>
        <v>0</v>
      </c>
      <c r="BD198" s="777" cm="1">
        <f t="array" aca="1" ref="BD198" ca="1">INDIRECT("'Definition of Typical Day'!"&amp; ADDRESS($D198+29*(BD$16-1),$E198))</f>
        <v>0</v>
      </c>
      <c r="BE198" s="776">
        <f t="shared" si="210"/>
        <v>0</v>
      </c>
      <c r="BF198" s="771">
        <f t="shared" ca="1" si="211"/>
        <v>0</v>
      </c>
      <c r="BG198" s="771">
        <f t="shared" ca="1" si="212"/>
        <v>0</v>
      </c>
      <c r="BH198" s="771">
        <f t="shared" ca="1" si="213"/>
        <v>0</v>
      </c>
      <c r="BI198" s="776">
        <f t="shared" ca="1" si="214"/>
        <v>0</v>
      </c>
      <c r="BJ198" s="776">
        <f t="shared" ca="1" si="215"/>
        <v>0</v>
      </c>
      <c r="BK198" s="776">
        <f t="shared" ca="1" si="216"/>
        <v>0</v>
      </c>
      <c r="BL198" s="776">
        <f t="shared" ca="1" si="217"/>
        <v>0</v>
      </c>
      <c r="BM198" s="135"/>
      <c r="BN198" s="776">
        <f t="shared" ca="1" si="218"/>
        <v>0</v>
      </c>
      <c r="BO198" s="778">
        <f t="shared" ca="1" si="155"/>
        <v>0</v>
      </c>
      <c r="BP198" s="770">
        <f t="shared" ca="1" si="156"/>
        <v>0</v>
      </c>
      <c r="BQ198" s="771">
        <f t="shared" ca="1" si="157"/>
        <v>0</v>
      </c>
      <c r="BR198" s="771">
        <f t="shared" ca="1" si="158"/>
        <v>0</v>
      </c>
      <c r="BS198" s="776">
        <f t="shared" ca="1" si="219"/>
        <v>0</v>
      </c>
      <c r="BT198" s="776">
        <f t="shared" ca="1" si="159"/>
        <v>0</v>
      </c>
      <c r="BU198" s="783">
        <f t="shared" ca="1" si="160"/>
        <v>0</v>
      </c>
      <c r="BV198" s="783">
        <f t="shared" ca="1" si="161"/>
        <v>0</v>
      </c>
      <c r="BW198" s="1019">
        <f t="shared" ca="1" si="220"/>
        <v>0</v>
      </c>
      <c r="BX198" s="771" cm="1">
        <f t="array" aca="1" ref="BX198" ca="1">INDIRECT("'Definition of Typical Day'!"&amp; ADDRESS($D198+29*(BX$16-1),$E198))</f>
        <v>0</v>
      </c>
      <c r="BY198" s="771">
        <f t="shared" ca="1" si="221"/>
        <v>0</v>
      </c>
      <c r="BZ198" s="781">
        <f t="shared" ca="1" si="162"/>
        <v>0</v>
      </c>
      <c r="CA198" s="781">
        <f t="shared" ca="1" si="163"/>
        <v>0</v>
      </c>
      <c r="CB198" s="776">
        <f t="shared" ca="1" si="164"/>
        <v>0</v>
      </c>
      <c r="CC198" s="782">
        <f t="shared" si="165"/>
        <v>8</v>
      </c>
      <c r="CD198" s="782">
        <f t="shared" si="166"/>
        <v>10</v>
      </c>
      <c r="CE198" s="784" cm="1">
        <f t="array" aca="1" ref="CE198" ca="1">INDIRECT("'Definition of Typical Day'!"&amp;ADDRESS(CE$16,$E198))</f>
        <v>8</v>
      </c>
      <c r="CF198" s="232"/>
      <c r="CG198" s="232"/>
      <c r="CH198" s="776">
        <f t="shared" ca="1" si="167"/>
        <v>0</v>
      </c>
      <c r="CI198" s="806">
        <f t="shared" ca="1" si="168"/>
        <v>0</v>
      </c>
      <c r="CJ198" s="770">
        <f t="shared" ca="1" si="169"/>
        <v>0</v>
      </c>
      <c r="CK198" s="771">
        <f t="shared" ca="1" si="170"/>
        <v>0</v>
      </c>
      <c r="CL198" s="771">
        <f t="shared" ca="1" si="171"/>
        <v>0</v>
      </c>
      <c r="CM198" s="772">
        <f t="shared" ca="1" si="172"/>
        <v>0</v>
      </c>
      <c r="CN198" s="135"/>
      <c r="CO198" s="770">
        <f t="shared" ca="1" si="222"/>
        <v>1.05</v>
      </c>
      <c r="CP198" s="771">
        <f t="shared" ca="1" si="173"/>
        <v>0.02</v>
      </c>
      <c r="CQ198" s="771">
        <f t="shared" ca="1" si="174"/>
        <v>-2.5000000000000001E-2</v>
      </c>
      <c r="CR198" s="771">
        <f t="shared" ca="1" si="175"/>
        <v>0.95</v>
      </c>
      <c r="CS198" s="771">
        <f t="shared" ca="1" si="176"/>
        <v>0.03</v>
      </c>
      <c r="CT198" s="772">
        <f t="shared" ca="1" si="177"/>
        <v>0.02</v>
      </c>
      <c r="CU198" s="135"/>
      <c r="CV198" s="135"/>
      <c r="CW198" s="135"/>
      <c r="CX198" s="135"/>
      <c r="CY198" s="135"/>
      <c r="CZ198" s="135"/>
      <c r="DA198" s="135"/>
      <c r="DB198" s="135"/>
      <c r="DC198" s="135"/>
      <c r="DD198" s="135"/>
      <c r="DE198" s="135"/>
      <c r="DF198" s="135"/>
      <c r="DG198" s="135"/>
      <c r="DH198" s="135"/>
      <c r="DI198" s="135"/>
      <c r="DJ198" s="135"/>
      <c r="DK198" s="135"/>
      <c r="DL198" s="135"/>
      <c r="DX198" s="135"/>
      <c r="DY198" s="135"/>
      <c r="DZ198" s="135"/>
      <c r="EA198" s="135"/>
      <c r="EB198" s="135"/>
      <c r="EC198" s="135"/>
      <c r="ED198" s="135"/>
      <c r="EE198" s="135"/>
      <c r="EF198" s="135"/>
      <c r="EG198" s="135"/>
      <c r="EH198" s="135"/>
      <c r="EI198" s="135"/>
      <c r="EJ198" s="135"/>
      <c r="EK198" s="135"/>
      <c r="EL198" s="135"/>
      <c r="EM198" s="135"/>
      <c r="EN198" s="135"/>
      <c r="EO198" s="135"/>
      <c r="EP198" s="135"/>
      <c r="EQ198" s="135"/>
      <c r="ER198" s="135"/>
      <c r="ES198" s="135"/>
      <c r="ET198" s="135"/>
      <c r="EU198" s="135"/>
      <c r="EV198" s="135"/>
      <c r="EW198" s="135"/>
      <c r="EX198" s="135"/>
      <c r="EY198" s="135"/>
      <c r="EZ198" s="135"/>
      <c r="FA198" s="135"/>
      <c r="FB198" s="135"/>
      <c r="FC198" s="135"/>
      <c r="FD198" s="135"/>
      <c r="FE198" s="135"/>
      <c r="FF198" s="135"/>
      <c r="FG198" s="135"/>
    </row>
    <row r="199" spans="1:163" s="57" customFormat="1" ht="11.25" outlineLevel="1">
      <c r="A199" s="765">
        <f t="shared" si="223"/>
        <v>8</v>
      </c>
      <c r="B199" s="715" cm="1">
        <f t="array" aca="1" ref="B199" ca="1">INDIRECT("'Definition of Typical Day'!"&amp;ADDRESS(B$16,$E199))</f>
        <v>8</v>
      </c>
      <c r="C199" s="766">
        <f t="shared" si="224"/>
        <v>11</v>
      </c>
      <c r="D199" s="715">
        <f t="shared" si="224"/>
        <v>45</v>
      </c>
      <c r="E199" s="715">
        <f t="shared" si="152"/>
        <v>12</v>
      </c>
      <c r="F199" s="767" cm="1">
        <f t="array" aca="1" ref="F199" ca="1">INDIRECT("'Definition of Typical Day'!D"&amp;D199)</f>
        <v>11</v>
      </c>
      <c r="G199" s="767" cm="1">
        <f t="array" aca="1" ref="G199" ca="1">INDIRECT("'Definition of Typical Day'!"&amp;ADDRESS(13,E199))</f>
        <v>8</v>
      </c>
      <c r="H199" s="768" cm="1">
        <f t="array" aca="1" ref="H199" ca="1">INDIRECT("'Definition of Typical Day'!"&amp; ADDRESS($D199+28*(H$16-1),$E199))</f>
        <v>0</v>
      </c>
      <c r="I199" s="715" cm="1">
        <f t="array" aca="1" ref="I199" ca="1">INDIRECT("'Definition of Typical Day'!"&amp; ADDRESS($D199+29*(I$16-1),$E199))</f>
        <v>0</v>
      </c>
      <c r="J199" s="715">
        <f t="shared" ca="1" si="178"/>
        <v>0</v>
      </c>
      <c r="K199" s="785">
        <f t="shared" si="179"/>
        <v>28</v>
      </c>
      <c r="L199" s="786" cm="1">
        <f t="array" aca="1" ref="L199" ca="1">INDIRECT("'Definition of Typical Day'!"&amp; ADDRESS($D199+29*(L$16-1),$E199))</f>
        <v>0</v>
      </c>
      <c r="M199" s="768" cm="1">
        <f t="array" aca="1" ref="M199" ca="1">INDIRECT("'Definition of Typical Day'!"&amp; ADDRESS($D199+29*(M$16-1),$E199))</f>
        <v>0</v>
      </c>
      <c r="N199" s="715">
        <f t="shared" si="180"/>
        <v>3</v>
      </c>
      <c r="O199" s="715">
        <f t="shared" ca="1" si="181"/>
        <v>3</v>
      </c>
      <c r="P199" s="715" cm="1">
        <f t="array" aca="1" ref="P199" ca="1">INDIRECT("'Definition of Typical Day'!"&amp; ADDRESS($D199+29*(P$16-1),$E199))</f>
        <v>0</v>
      </c>
      <c r="Q199" s="787">
        <f t="shared" ca="1" si="182"/>
        <v>3</v>
      </c>
      <c r="R199" s="792">
        <f t="shared" ca="1" si="183"/>
        <v>3</v>
      </c>
      <c r="S199" s="769">
        <f t="shared" si="184"/>
        <v>3</v>
      </c>
      <c r="T199" s="769">
        <f t="shared" ca="1" si="185"/>
        <v>-0.5</v>
      </c>
      <c r="U199" s="769">
        <f t="shared" ca="1" si="186"/>
        <v>2.262</v>
      </c>
      <c r="V199" s="769">
        <f t="shared" ca="1" si="187"/>
        <v>0</v>
      </c>
      <c r="W199" s="769">
        <f t="shared" ca="1" si="188"/>
        <v>4.7620000000000005</v>
      </c>
      <c r="X199" s="794">
        <f t="shared" si="189"/>
        <v>3</v>
      </c>
      <c r="Y199" s="769">
        <f t="shared" ca="1" si="190"/>
        <v>0.54772255750516607</v>
      </c>
      <c r="Z199" s="769">
        <f t="shared" ca="1" si="191"/>
        <v>0</v>
      </c>
      <c r="AA199" s="795">
        <f t="shared" ca="1" si="192"/>
        <v>0</v>
      </c>
      <c r="AB199" s="769">
        <f t="shared" ca="1" si="193"/>
        <v>0</v>
      </c>
      <c r="AC199" s="769">
        <f t="shared" ca="1" si="194"/>
        <v>0</v>
      </c>
      <c r="AD199" s="769">
        <f t="shared" ca="1" si="195"/>
        <v>0</v>
      </c>
      <c r="AE199" s="794">
        <f t="shared" ca="1" si="196"/>
        <v>0</v>
      </c>
      <c r="AF199" s="769">
        <f t="shared" ca="1" si="197"/>
        <v>0</v>
      </c>
      <c r="AG199" s="769">
        <f t="shared" ca="1" si="198"/>
        <v>0</v>
      </c>
      <c r="AH199" s="799">
        <f t="shared" ca="1" si="199"/>
        <v>0</v>
      </c>
      <c r="AI199" s="801">
        <f t="shared" ca="1" si="200"/>
        <v>1</v>
      </c>
      <c r="AJ199" s="794">
        <f t="shared" ca="1" si="201"/>
        <v>0</v>
      </c>
      <c r="AK199" s="769">
        <f t="shared" ca="1" si="202"/>
        <v>0</v>
      </c>
      <c r="AL199" s="769">
        <f t="shared" ca="1" si="203"/>
        <v>0</v>
      </c>
      <c r="AM199" s="804">
        <f t="shared" ca="1" si="153"/>
        <v>0</v>
      </c>
      <c r="AN199" s="795">
        <f t="shared" ca="1" si="154"/>
        <v>0</v>
      </c>
      <c r="AO199" s="251"/>
      <c r="AP199" s="770">
        <f t="shared" si="204"/>
        <v>0</v>
      </c>
      <c r="AQ199" s="771">
        <f t="shared" ca="1" si="205"/>
        <v>0</v>
      </c>
      <c r="AR199" s="771">
        <f t="shared" ca="1" si="206"/>
        <v>0</v>
      </c>
      <c r="AS199" s="772">
        <f t="shared" ca="1" si="207"/>
        <v>0</v>
      </c>
      <c r="AT199" s="231"/>
      <c r="AU199" s="770">
        <f>'Main Results - IRR DC Operator'!$F$16</f>
        <v>2</v>
      </c>
      <c r="AV199" s="773">
        <f>'Main Results - IRR DC Operator'!$F$15</f>
        <v>1</v>
      </c>
      <c r="AW199" s="771">
        <f t="shared" ca="1" si="208"/>
        <v>0</v>
      </c>
      <c r="AX199" s="772">
        <f t="shared" si="209"/>
        <v>0</v>
      </c>
      <c r="AY199" s="231"/>
      <c r="AZ199" s="770" cm="1">
        <f t="array" aca="1" ref="AZ199" ca="1">INDIRECT("'Definition of Typical Day'!"&amp; ADDRESS($D199+29*(AZ$16-1),$E199))+$AZ$17</f>
        <v>11</v>
      </c>
      <c r="BA199" s="771" cm="1">
        <f t="array" aca="1" ref="BA199" ca="1">INDIRECT("'Definition of Typical Day'!"&amp; ADDRESS($D199+29*(BA$16-1),$E199))+$BA$17</f>
        <v>11</v>
      </c>
      <c r="BB199" s="772" cm="1">
        <f t="array" aca="1" ref="BB199" ca="1">INDIRECT("'Definition of Typical Day'!"&amp;ADDRESS(BB$16,$E199))</f>
        <v>0</v>
      </c>
      <c r="BC199" s="776" cm="1">
        <f t="array" aca="1" ref="BC199" ca="1">INDIRECT("'Definition of Typical Day'!"&amp; ADDRESS($D199+29*(BC$16-1),$E199))</f>
        <v>0</v>
      </c>
      <c r="BD199" s="777" cm="1">
        <f t="array" aca="1" ref="BD199" ca="1">INDIRECT("'Definition of Typical Day'!"&amp; ADDRESS($D199+29*(BD$16-1),$E199))</f>
        <v>0</v>
      </c>
      <c r="BE199" s="776">
        <f t="shared" si="210"/>
        <v>0</v>
      </c>
      <c r="BF199" s="771">
        <f t="shared" ca="1" si="211"/>
        <v>0</v>
      </c>
      <c r="BG199" s="771">
        <f t="shared" ca="1" si="212"/>
        <v>0</v>
      </c>
      <c r="BH199" s="771">
        <f t="shared" ca="1" si="213"/>
        <v>0</v>
      </c>
      <c r="BI199" s="776">
        <f t="shared" ca="1" si="214"/>
        <v>0</v>
      </c>
      <c r="BJ199" s="776">
        <f t="shared" ca="1" si="215"/>
        <v>0</v>
      </c>
      <c r="BK199" s="776">
        <f t="shared" ca="1" si="216"/>
        <v>0</v>
      </c>
      <c r="BL199" s="776">
        <f t="shared" ca="1" si="217"/>
        <v>0</v>
      </c>
      <c r="BM199" s="135"/>
      <c r="BN199" s="776">
        <f t="shared" ca="1" si="218"/>
        <v>0</v>
      </c>
      <c r="BO199" s="778">
        <f t="shared" ca="1" si="155"/>
        <v>0</v>
      </c>
      <c r="BP199" s="770">
        <f t="shared" ca="1" si="156"/>
        <v>0</v>
      </c>
      <c r="BQ199" s="771">
        <f t="shared" ca="1" si="157"/>
        <v>0</v>
      </c>
      <c r="BR199" s="771">
        <f t="shared" ca="1" si="158"/>
        <v>0</v>
      </c>
      <c r="BS199" s="776">
        <f t="shared" ca="1" si="219"/>
        <v>0</v>
      </c>
      <c r="BT199" s="776">
        <f t="shared" ca="1" si="159"/>
        <v>0</v>
      </c>
      <c r="BU199" s="783">
        <f t="shared" ca="1" si="160"/>
        <v>0</v>
      </c>
      <c r="BV199" s="783">
        <f t="shared" ca="1" si="161"/>
        <v>0</v>
      </c>
      <c r="BW199" s="1019">
        <f t="shared" ca="1" si="220"/>
        <v>0</v>
      </c>
      <c r="BX199" s="771" cm="1">
        <f t="array" aca="1" ref="BX199" ca="1">INDIRECT("'Definition of Typical Day'!"&amp; ADDRESS($D199+29*(BX$16-1),$E199))</f>
        <v>0</v>
      </c>
      <c r="BY199" s="771">
        <f t="shared" ca="1" si="221"/>
        <v>0</v>
      </c>
      <c r="BZ199" s="781">
        <f t="shared" ca="1" si="162"/>
        <v>0</v>
      </c>
      <c r="CA199" s="781">
        <f t="shared" ca="1" si="163"/>
        <v>0</v>
      </c>
      <c r="CB199" s="776">
        <f t="shared" ca="1" si="164"/>
        <v>0</v>
      </c>
      <c r="CC199" s="782">
        <f t="shared" si="165"/>
        <v>8</v>
      </c>
      <c r="CD199" s="782">
        <f t="shared" si="166"/>
        <v>11</v>
      </c>
      <c r="CE199" s="784" cm="1">
        <f t="array" aca="1" ref="CE199" ca="1">INDIRECT("'Definition of Typical Day'!"&amp;ADDRESS(CE$16,$E199))</f>
        <v>8</v>
      </c>
      <c r="CF199" s="232"/>
      <c r="CG199" s="232"/>
      <c r="CH199" s="776">
        <f t="shared" ca="1" si="167"/>
        <v>0</v>
      </c>
      <c r="CI199" s="806">
        <f t="shared" ca="1" si="168"/>
        <v>0</v>
      </c>
      <c r="CJ199" s="770">
        <f t="shared" ca="1" si="169"/>
        <v>0</v>
      </c>
      <c r="CK199" s="771">
        <f t="shared" ca="1" si="170"/>
        <v>0</v>
      </c>
      <c r="CL199" s="771">
        <f t="shared" ca="1" si="171"/>
        <v>0</v>
      </c>
      <c r="CM199" s="772">
        <f t="shared" ca="1" si="172"/>
        <v>0</v>
      </c>
      <c r="CN199" s="135"/>
      <c r="CO199" s="770">
        <f t="shared" ca="1" si="222"/>
        <v>1.05</v>
      </c>
      <c r="CP199" s="771">
        <f t="shared" ca="1" si="173"/>
        <v>0.02</v>
      </c>
      <c r="CQ199" s="771">
        <f t="shared" ca="1" si="174"/>
        <v>-2.5000000000000001E-2</v>
      </c>
      <c r="CR199" s="771">
        <f t="shared" ca="1" si="175"/>
        <v>0.95</v>
      </c>
      <c r="CS199" s="771">
        <f t="shared" ca="1" si="176"/>
        <v>0.03</v>
      </c>
      <c r="CT199" s="772">
        <f t="shared" ca="1" si="177"/>
        <v>0.02</v>
      </c>
      <c r="CU199" s="135"/>
      <c r="CV199" s="135"/>
      <c r="CW199" s="135"/>
      <c r="CX199" s="135"/>
      <c r="CY199" s="135"/>
      <c r="CZ199" s="135"/>
      <c r="DA199" s="135"/>
      <c r="DB199" s="135"/>
      <c r="DC199" s="135"/>
      <c r="DD199" s="135"/>
      <c r="DE199" s="135"/>
      <c r="DF199" s="135"/>
      <c r="DG199" s="135"/>
      <c r="DH199" s="135"/>
      <c r="DI199" s="135"/>
      <c r="DJ199" s="135"/>
      <c r="DK199" s="135"/>
      <c r="DL199" s="135"/>
      <c r="DX199" s="135"/>
      <c r="DY199" s="135"/>
      <c r="DZ199" s="135"/>
      <c r="EA199" s="135"/>
      <c r="EB199" s="135"/>
      <c r="EC199" s="135"/>
      <c r="ED199" s="135"/>
      <c r="EE199" s="135"/>
      <c r="EF199" s="135"/>
      <c r="EG199" s="135"/>
      <c r="EH199" s="135"/>
      <c r="EI199" s="135"/>
      <c r="EJ199" s="135"/>
      <c r="EK199" s="135"/>
      <c r="EL199" s="135"/>
      <c r="EM199" s="135"/>
      <c r="EN199" s="135"/>
      <c r="EO199" s="135"/>
      <c r="EP199" s="135"/>
      <c r="EQ199" s="135"/>
      <c r="ER199" s="135"/>
      <c r="ES199" s="135"/>
      <c r="ET199" s="135"/>
      <c r="EU199" s="135"/>
      <c r="EV199" s="135"/>
      <c r="EW199" s="135"/>
      <c r="EX199" s="135"/>
      <c r="EY199" s="135"/>
      <c r="EZ199" s="135"/>
      <c r="FA199" s="135"/>
      <c r="FB199" s="135"/>
      <c r="FC199" s="135"/>
      <c r="FD199" s="135"/>
      <c r="FE199" s="135"/>
      <c r="FF199" s="135"/>
      <c r="FG199" s="135"/>
    </row>
    <row r="200" spans="1:163" s="57" customFormat="1" ht="11.25" outlineLevel="1">
      <c r="A200" s="765">
        <f t="shared" si="223"/>
        <v>8</v>
      </c>
      <c r="B200" s="715" cm="1">
        <f t="array" aca="1" ref="B200" ca="1">INDIRECT("'Definition of Typical Day'!"&amp;ADDRESS(B$16,$E200))</f>
        <v>8</v>
      </c>
      <c r="C200" s="766">
        <f t="shared" si="224"/>
        <v>12</v>
      </c>
      <c r="D200" s="715">
        <f t="shared" si="224"/>
        <v>46</v>
      </c>
      <c r="E200" s="715">
        <f t="shared" si="152"/>
        <v>12</v>
      </c>
      <c r="F200" s="767" cm="1">
        <f t="array" aca="1" ref="F200" ca="1">INDIRECT("'Definition of Typical Day'!D"&amp;D200)</f>
        <v>12</v>
      </c>
      <c r="G200" s="767" cm="1">
        <f t="array" aca="1" ref="G200" ca="1">INDIRECT("'Definition of Typical Day'!"&amp;ADDRESS(13,E200))</f>
        <v>8</v>
      </c>
      <c r="H200" s="768" cm="1">
        <f t="array" aca="1" ref="H200" ca="1">INDIRECT("'Definition of Typical Day'!"&amp; ADDRESS($D200+28*(H$16-1),$E200))</f>
        <v>0</v>
      </c>
      <c r="I200" s="715" cm="1">
        <f t="array" aca="1" ref="I200" ca="1">INDIRECT("'Definition of Typical Day'!"&amp; ADDRESS($D200+29*(I$16-1),$E200))</f>
        <v>0</v>
      </c>
      <c r="J200" s="715">
        <f t="shared" ca="1" si="178"/>
        <v>0</v>
      </c>
      <c r="K200" s="785">
        <f t="shared" si="179"/>
        <v>28</v>
      </c>
      <c r="L200" s="786" cm="1">
        <f t="array" aca="1" ref="L200" ca="1">INDIRECT("'Definition of Typical Day'!"&amp; ADDRESS($D200+29*(L$16-1),$E200))</f>
        <v>0</v>
      </c>
      <c r="M200" s="768" cm="1">
        <f t="array" aca="1" ref="M200" ca="1">INDIRECT("'Definition of Typical Day'!"&amp; ADDRESS($D200+29*(M$16-1),$E200))</f>
        <v>0</v>
      </c>
      <c r="N200" s="715">
        <f t="shared" si="180"/>
        <v>3</v>
      </c>
      <c r="O200" s="715">
        <f t="shared" ca="1" si="181"/>
        <v>3</v>
      </c>
      <c r="P200" s="715" cm="1">
        <f t="array" aca="1" ref="P200" ca="1">INDIRECT("'Definition of Typical Day'!"&amp; ADDRESS($D200+29*(P$16-1),$E200))</f>
        <v>0</v>
      </c>
      <c r="Q200" s="787">
        <f t="shared" ca="1" si="182"/>
        <v>3</v>
      </c>
      <c r="R200" s="792">
        <f t="shared" ca="1" si="183"/>
        <v>3</v>
      </c>
      <c r="S200" s="769">
        <f t="shared" si="184"/>
        <v>3</v>
      </c>
      <c r="T200" s="769">
        <f t="shared" ca="1" si="185"/>
        <v>-0.5</v>
      </c>
      <c r="U200" s="769">
        <f t="shared" ca="1" si="186"/>
        <v>2.262</v>
      </c>
      <c r="V200" s="769">
        <f t="shared" ca="1" si="187"/>
        <v>0</v>
      </c>
      <c r="W200" s="769">
        <f t="shared" ca="1" si="188"/>
        <v>4.7620000000000005</v>
      </c>
      <c r="X200" s="794">
        <f t="shared" si="189"/>
        <v>3</v>
      </c>
      <c r="Y200" s="769">
        <f t="shared" ca="1" si="190"/>
        <v>0.54772255750516607</v>
      </c>
      <c r="Z200" s="769">
        <f t="shared" ca="1" si="191"/>
        <v>0</v>
      </c>
      <c r="AA200" s="795">
        <f t="shared" ca="1" si="192"/>
        <v>0</v>
      </c>
      <c r="AB200" s="769">
        <f t="shared" ca="1" si="193"/>
        <v>0</v>
      </c>
      <c r="AC200" s="769">
        <f t="shared" ca="1" si="194"/>
        <v>0</v>
      </c>
      <c r="AD200" s="769">
        <f t="shared" ca="1" si="195"/>
        <v>0</v>
      </c>
      <c r="AE200" s="794">
        <f t="shared" ca="1" si="196"/>
        <v>0</v>
      </c>
      <c r="AF200" s="769">
        <f t="shared" ca="1" si="197"/>
        <v>0</v>
      </c>
      <c r="AG200" s="769">
        <f t="shared" ca="1" si="198"/>
        <v>0</v>
      </c>
      <c r="AH200" s="799">
        <f t="shared" ca="1" si="199"/>
        <v>0</v>
      </c>
      <c r="AI200" s="801">
        <f t="shared" ca="1" si="200"/>
        <v>1</v>
      </c>
      <c r="AJ200" s="794">
        <f t="shared" ca="1" si="201"/>
        <v>0</v>
      </c>
      <c r="AK200" s="769">
        <f t="shared" ca="1" si="202"/>
        <v>0</v>
      </c>
      <c r="AL200" s="769">
        <f t="shared" ca="1" si="203"/>
        <v>0</v>
      </c>
      <c r="AM200" s="804">
        <f t="shared" ca="1" si="153"/>
        <v>0</v>
      </c>
      <c r="AN200" s="795">
        <f t="shared" ca="1" si="154"/>
        <v>0</v>
      </c>
      <c r="AO200" s="251"/>
      <c r="AP200" s="770">
        <f t="shared" si="204"/>
        <v>0</v>
      </c>
      <c r="AQ200" s="771">
        <f t="shared" ca="1" si="205"/>
        <v>0</v>
      </c>
      <c r="AR200" s="771">
        <f t="shared" ca="1" si="206"/>
        <v>0</v>
      </c>
      <c r="AS200" s="772">
        <f t="shared" ca="1" si="207"/>
        <v>0</v>
      </c>
      <c r="AT200" s="231"/>
      <c r="AU200" s="770">
        <f>'Main Results - IRR DC Operator'!$F$16</f>
        <v>2</v>
      </c>
      <c r="AV200" s="773">
        <f>'Main Results - IRR DC Operator'!$F$15</f>
        <v>1</v>
      </c>
      <c r="AW200" s="771">
        <f t="shared" ca="1" si="208"/>
        <v>0</v>
      </c>
      <c r="AX200" s="772">
        <f t="shared" si="209"/>
        <v>0</v>
      </c>
      <c r="AY200" s="231"/>
      <c r="AZ200" s="770" cm="1">
        <f t="array" aca="1" ref="AZ200" ca="1">INDIRECT("'Definition of Typical Day'!"&amp; ADDRESS($D200+29*(AZ$16-1),$E200))+$AZ$17</f>
        <v>11</v>
      </c>
      <c r="BA200" s="771" cm="1">
        <f t="array" aca="1" ref="BA200" ca="1">INDIRECT("'Definition of Typical Day'!"&amp; ADDRESS($D200+29*(BA$16-1),$E200))+$BA$17</f>
        <v>11</v>
      </c>
      <c r="BB200" s="772" cm="1">
        <f t="array" aca="1" ref="BB200" ca="1">INDIRECT("'Definition of Typical Day'!"&amp;ADDRESS(BB$16,$E200))</f>
        <v>0</v>
      </c>
      <c r="BC200" s="776" cm="1">
        <f t="array" aca="1" ref="BC200" ca="1">INDIRECT("'Definition of Typical Day'!"&amp; ADDRESS($D200+29*(BC$16-1),$E200))</f>
        <v>0</v>
      </c>
      <c r="BD200" s="777" cm="1">
        <f t="array" aca="1" ref="BD200" ca="1">INDIRECT("'Definition of Typical Day'!"&amp; ADDRESS($D200+29*(BD$16-1),$E200))</f>
        <v>0</v>
      </c>
      <c r="BE200" s="776">
        <f t="shared" si="210"/>
        <v>0</v>
      </c>
      <c r="BF200" s="771">
        <f t="shared" ca="1" si="211"/>
        <v>0</v>
      </c>
      <c r="BG200" s="771">
        <f t="shared" ca="1" si="212"/>
        <v>0</v>
      </c>
      <c r="BH200" s="771">
        <f t="shared" ca="1" si="213"/>
        <v>0</v>
      </c>
      <c r="BI200" s="776">
        <f t="shared" ca="1" si="214"/>
        <v>0</v>
      </c>
      <c r="BJ200" s="776">
        <f t="shared" ca="1" si="215"/>
        <v>0</v>
      </c>
      <c r="BK200" s="776">
        <f t="shared" ca="1" si="216"/>
        <v>0</v>
      </c>
      <c r="BL200" s="776">
        <f t="shared" ca="1" si="217"/>
        <v>0</v>
      </c>
      <c r="BM200" s="135"/>
      <c r="BN200" s="776">
        <f t="shared" ca="1" si="218"/>
        <v>0</v>
      </c>
      <c r="BO200" s="778">
        <f t="shared" ca="1" si="155"/>
        <v>0</v>
      </c>
      <c r="BP200" s="770">
        <f t="shared" ca="1" si="156"/>
        <v>0</v>
      </c>
      <c r="BQ200" s="771">
        <f t="shared" ca="1" si="157"/>
        <v>0</v>
      </c>
      <c r="BR200" s="771">
        <f t="shared" ca="1" si="158"/>
        <v>0</v>
      </c>
      <c r="BS200" s="776">
        <f t="shared" ca="1" si="219"/>
        <v>0</v>
      </c>
      <c r="BT200" s="776">
        <f t="shared" ca="1" si="159"/>
        <v>0</v>
      </c>
      <c r="BU200" s="783">
        <f t="shared" ca="1" si="160"/>
        <v>0</v>
      </c>
      <c r="BV200" s="783">
        <f t="shared" ca="1" si="161"/>
        <v>0</v>
      </c>
      <c r="BW200" s="1019">
        <f t="shared" ca="1" si="220"/>
        <v>0</v>
      </c>
      <c r="BX200" s="771" cm="1">
        <f t="array" aca="1" ref="BX200" ca="1">INDIRECT("'Definition of Typical Day'!"&amp; ADDRESS($D200+29*(BX$16-1),$E200))</f>
        <v>0</v>
      </c>
      <c r="BY200" s="771">
        <f t="shared" ca="1" si="221"/>
        <v>0</v>
      </c>
      <c r="BZ200" s="781">
        <f t="shared" ca="1" si="162"/>
        <v>0</v>
      </c>
      <c r="CA200" s="781">
        <f t="shared" ca="1" si="163"/>
        <v>0</v>
      </c>
      <c r="CB200" s="776">
        <f t="shared" ca="1" si="164"/>
        <v>0</v>
      </c>
      <c r="CC200" s="782">
        <f t="shared" si="165"/>
        <v>8</v>
      </c>
      <c r="CD200" s="782">
        <f t="shared" si="166"/>
        <v>12</v>
      </c>
      <c r="CE200" s="784" cm="1">
        <f t="array" aca="1" ref="CE200" ca="1">INDIRECT("'Definition of Typical Day'!"&amp;ADDRESS(CE$16,$E200))</f>
        <v>8</v>
      </c>
      <c r="CF200" s="232"/>
      <c r="CG200" s="232"/>
      <c r="CH200" s="776">
        <f t="shared" ca="1" si="167"/>
        <v>0</v>
      </c>
      <c r="CI200" s="806">
        <f t="shared" ca="1" si="168"/>
        <v>0</v>
      </c>
      <c r="CJ200" s="770">
        <f t="shared" ca="1" si="169"/>
        <v>0</v>
      </c>
      <c r="CK200" s="771">
        <f t="shared" ca="1" si="170"/>
        <v>0</v>
      </c>
      <c r="CL200" s="771">
        <f t="shared" ca="1" si="171"/>
        <v>0</v>
      </c>
      <c r="CM200" s="772">
        <f t="shared" ca="1" si="172"/>
        <v>0</v>
      </c>
      <c r="CN200" s="135"/>
      <c r="CO200" s="770">
        <f t="shared" ca="1" si="222"/>
        <v>1.05</v>
      </c>
      <c r="CP200" s="771">
        <f t="shared" ca="1" si="173"/>
        <v>0.02</v>
      </c>
      <c r="CQ200" s="771">
        <f t="shared" ca="1" si="174"/>
        <v>-2.5000000000000001E-2</v>
      </c>
      <c r="CR200" s="771">
        <f t="shared" ca="1" si="175"/>
        <v>0.95</v>
      </c>
      <c r="CS200" s="771">
        <f t="shared" ca="1" si="176"/>
        <v>0.03</v>
      </c>
      <c r="CT200" s="772">
        <f t="shared" ca="1" si="177"/>
        <v>0.02</v>
      </c>
      <c r="CU200" s="135"/>
      <c r="CV200" s="135"/>
      <c r="CW200" s="135"/>
      <c r="CX200" s="135"/>
      <c r="CY200" s="135"/>
      <c r="CZ200" s="135"/>
      <c r="DA200" s="135"/>
      <c r="DB200" s="135"/>
      <c r="DC200" s="135"/>
      <c r="DD200" s="135"/>
      <c r="DE200" s="135"/>
      <c r="DF200" s="135"/>
      <c r="DG200" s="135"/>
      <c r="DH200" s="135"/>
      <c r="DI200" s="135"/>
      <c r="DJ200" s="135"/>
      <c r="DK200" s="135"/>
      <c r="DL200" s="135"/>
      <c r="DX200" s="135"/>
      <c r="DY200" s="135"/>
      <c r="DZ200" s="135"/>
      <c r="EA200" s="135"/>
      <c r="EB200" s="135"/>
      <c r="EC200" s="135"/>
      <c r="ED200" s="135"/>
      <c r="EE200" s="135"/>
      <c r="EF200" s="135"/>
      <c r="EG200" s="135"/>
      <c r="EH200" s="135"/>
      <c r="EI200" s="135"/>
      <c r="EJ200" s="135"/>
      <c r="EK200" s="135"/>
      <c r="EL200" s="135"/>
      <c r="EM200" s="135"/>
      <c r="EN200" s="135"/>
      <c r="EO200" s="135"/>
      <c r="EP200" s="135"/>
      <c r="EQ200" s="135"/>
      <c r="ER200" s="135"/>
      <c r="ES200" s="135"/>
      <c r="ET200" s="135"/>
      <c r="EU200" s="135"/>
      <c r="EV200" s="135"/>
      <c r="EW200" s="135"/>
      <c r="EX200" s="135"/>
      <c r="EY200" s="135"/>
      <c r="EZ200" s="135"/>
      <c r="FA200" s="135"/>
      <c r="FB200" s="135"/>
      <c r="FC200" s="135"/>
      <c r="FD200" s="135"/>
      <c r="FE200" s="135"/>
      <c r="FF200" s="135"/>
      <c r="FG200" s="135"/>
    </row>
    <row r="201" spans="1:163" s="57" customFormat="1" ht="11.25" outlineLevel="1">
      <c r="A201" s="765">
        <f t="shared" si="223"/>
        <v>8</v>
      </c>
      <c r="B201" s="715" cm="1">
        <f t="array" aca="1" ref="B201" ca="1">INDIRECT("'Definition of Typical Day'!"&amp;ADDRESS(B$16,$E201))</f>
        <v>8</v>
      </c>
      <c r="C201" s="766">
        <f t="shared" si="224"/>
        <v>13</v>
      </c>
      <c r="D201" s="715">
        <f t="shared" si="224"/>
        <v>47</v>
      </c>
      <c r="E201" s="715">
        <f t="shared" si="152"/>
        <v>12</v>
      </c>
      <c r="F201" s="767" cm="1">
        <f t="array" aca="1" ref="F201" ca="1">INDIRECT("'Definition of Typical Day'!D"&amp;D201)</f>
        <v>13</v>
      </c>
      <c r="G201" s="767" cm="1">
        <f t="array" aca="1" ref="G201" ca="1">INDIRECT("'Definition of Typical Day'!"&amp;ADDRESS(13,E201))</f>
        <v>8</v>
      </c>
      <c r="H201" s="768" cm="1">
        <f t="array" aca="1" ref="H201" ca="1">INDIRECT("'Definition of Typical Day'!"&amp; ADDRESS($D201+28*(H$16-1),$E201))</f>
        <v>0</v>
      </c>
      <c r="I201" s="715" cm="1">
        <f t="array" aca="1" ref="I201" ca="1">INDIRECT("'Definition of Typical Day'!"&amp; ADDRESS($D201+29*(I$16-1),$E201))</f>
        <v>0</v>
      </c>
      <c r="J201" s="715">
        <f t="shared" ca="1" si="178"/>
        <v>0</v>
      </c>
      <c r="K201" s="785">
        <f t="shared" si="179"/>
        <v>28</v>
      </c>
      <c r="L201" s="786" cm="1">
        <f t="array" aca="1" ref="L201" ca="1">INDIRECT("'Definition of Typical Day'!"&amp; ADDRESS($D201+29*(L$16-1),$E201))</f>
        <v>0</v>
      </c>
      <c r="M201" s="768" cm="1">
        <f t="array" aca="1" ref="M201" ca="1">INDIRECT("'Definition of Typical Day'!"&amp; ADDRESS($D201+29*(M$16-1),$E201))</f>
        <v>0</v>
      </c>
      <c r="N201" s="715">
        <f t="shared" si="180"/>
        <v>3</v>
      </c>
      <c r="O201" s="715">
        <f t="shared" ca="1" si="181"/>
        <v>3</v>
      </c>
      <c r="P201" s="715" cm="1">
        <f t="array" aca="1" ref="P201" ca="1">INDIRECT("'Definition of Typical Day'!"&amp; ADDRESS($D201+29*(P$16-1),$E201))</f>
        <v>0</v>
      </c>
      <c r="Q201" s="787">
        <f t="shared" ca="1" si="182"/>
        <v>3</v>
      </c>
      <c r="R201" s="792">
        <f t="shared" ca="1" si="183"/>
        <v>3</v>
      </c>
      <c r="S201" s="769">
        <f t="shared" si="184"/>
        <v>3</v>
      </c>
      <c r="T201" s="769">
        <f t="shared" ca="1" si="185"/>
        <v>-0.5</v>
      </c>
      <c r="U201" s="769">
        <f t="shared" ca="1" si="186"/>
        <v>2.262</v>
      </c>
      <c r="V201" s="769">
        <f t="shared" ca="1" si="187"/>
        <v>0</v>
      </c>
      <c r="W201" s="769">
        <f t="shared" ca="1" si="188"/>
        <v>4.7620000000000005</v>
      </c>
      <c r="X201" s="794">
        <f t="shared" si="189"/>
        <v>3</v>
      </c>
      <c r="Y201" s="769">
        <f t="shared" ca="1" si="190"/>
        <v>0.54772255750516607</v>
      </c>
      <c r="Z201" s="769">
        <f t="shared" ca="1" si="191"/>
        <v>0</v>
      </c>
      <c r="AA201" s="795">
        <f t="shared" ca="1" si="192"/>
        <v>0</v>
      </c>
      <c r="AB201" s="769">
        <f t="shared" ca="1" si="193"/>
        <v>0</v>
      </c>
      <c r="AC201" s="769">
        <f t="shared" ca="1" si="194"/>
        <v>0</v>
      </c>
      <c r="AD201" s="769">
        <f t="shared" ca="1" si="195"/>
        <v>0</v>
      </c>
      <c r="AE201" s="794">
        <f t="shared" ca="1" si="196"/>
        <v>0</v>
      </c>
      <c r="AF201" s="769">
        <f t="shared" ca="1" si="197"/>
        <v>0</v>
      </c>
      <c r="AG201" s="769">
        <f t="shared" ca="1" si="198"/>
        <v>0</v>
      </c>
      <c r="AH201" s="799">
        <f t="shared" ca="1" si="199"/>
        <v>0</v>
      </c>
      <c r="AI201" s="801">
        <f t="shared" ca="1" si="200"/>
        <v>1</v>
      </c>
      <c r="AJ201" s="794">
        <f t="shared" ca="1" si="201"/>
        <v>0</v>
      </c>
      <c r="AK201" s="769">
        <f t="shared" ca="1" si="202"/>
        <v>0</v>
      </c>
      <c r="AL201" s="769">
        <f t="shared" ca="1" si="203"/>
        <v>0</v>
      </c>
      <c r="AM201" s="804">
        <f t="shared" ca="1" si="153"/>
        <v>0</v>
      </c>
      <c r="AN201" s="795">
        <f t="shared" ca="1" si="154"/>
        <v>0</v>
      </c>
      <c r="AO201" s="251"/>
      <c r="AP201" s="770">
        <f t="shared" si="204"/>
        <v>0</v>
      </c>
      <c r="AQ201" s="771">
        <f t="shared" ca="1" si="205"/>
        <v>0</v>
      </c>
      <c r="AR201" s="771">
        <f t="shared" ca="1" si="206"/>
        <v>0</v>
      </c>
      <c r="AS201" s="772">
        <f t="shared" ca="1" si="207"/>
        <v>0</v>
      </c>
      <c r="AT201" s="231"/>
      <c r="AU201" s="770">
        <f>'Main Results - IRR DC Operator'!$F$16</f>
        <v>2</v>
      </c>
      <c r="AV201" s="773">
        <f>'Main Results - IRR DC Operator'!$F$15</f>
        <v>1</v>
      </c>
      <c r="AW201" s="771">
        <f t="shared" ca="1" si="208"/>
        <v>0</v>
      </c>
      <c r="AX201" s="772">
        <f t="shared" si="209"/>
        <v>0</v>
      </c>
      <c r="AY201" s="231"/>
      <c r="AZ201" s="770" cm="1">
        <f t="array" aca="1" ref="AZ201" ca="1">INDIRECT("'Definition of Typical Day'!"&amp; ADDRESS($D201+29*(AZ$16-1),$E201))+$AZ$17</f>
        <v>11</v>
      </c>
      <c r="BA201" s="771" cm="1">
        <f t="array" aca="1" ref="BA201" ca="1">INDIRECT("'Definition of Typical Day'!"&amp; ADDRESS($D201+29*(BA$16-1),$E201))+$BA$17</f>
        <v>11</v>
      </c>
      <c r="BB201" s="772" cm="1">
        <f t="array" aca="1" ref="BB201" ca="1">INDIRECT("'Definition of Typical Day'!"&amp;ADDRESS(BB$16,$E201))</f>
        <v>0</v>
      </c>
      <c r="BC201" s="776" cm="1">
        <f t="array" aca="1" ref="BC201" ca="1">INDIRECT("'Definition of Typical Day'!"&amp; ADDRESS($D201+29*(BC$16-1),$E201))</f>
        <v>0</v>
      </c>
      <c r="BD201" s="777" cm="1">
        <f t="array" aca="1" ref="BD201" ca="1">INDIRECT("'Definition of Typical Day'!"&amp; ADDRESS($D201+29*(BD$16-1),$E201))</f>
        <v>0</v>
      </c>
      <c r="BE201" s="776">
        <f t="shared" si="210"/>
        <v>0</v>
      </c>
      <c r="BF201" s="771">
        <f t="shared" ca="1" si="211"/>
        <v>0</v>
      </c>
      <c r="BG201" s="771">
        <f t="shared" ca="1" si="212"/>
        <v>0</v>
      </c>
      <c r="BH201" s="771">
        <f t="shared" ca="1" si="213"/>
        <v>0</v>
      </c>
      <c r="BI201" s="776">
        <f t="shared" ca="1" si="214"/>
        <v>0</v>
      </c>
      <c r="BJ201" s="776">
        <f t="shared" ca="1" si="215"/>
        <v>0</v>
      </c>
      <c r="BK201" s="776">
        <f t="shared" ca="1" si="216"/>
        <v>0</v>
      </c>
      <c r="BL201" s="776">
        <f t="shared" ca="1" si="217"/>
        <v>0</v>
      </c>
      <c r="BM201" s="135"/>
      <c r="BN201" s="776">
        <f t="shared" ca="1" si="218"/>
        <v>0</v>
      </c>
      <c r="BO201" s="778">
        <f t="shared" ca="1" si="155"/>
        <v>0</v>
      </c>
      <c r="BP201" s="770">
        <f t="shared" ca="1" si="156"/>
        <v>0</v>
      </c>
      <c r="BQ201" s="771">
        <f t="shared" ca="1" si="157"/>
        <v>0</v>
      </c>
      <c r="BR201" s="771">
        <f t="shared" ca="1" si="158"/>
        <v>0</v>
      </c>
      <c r="BS201" s="776">
        <f t="shared" ca="1" si="219"/>
        <v>0</v>
      </c>
      <c r="BT201" s="776">
        <f t="shared" ca="1" si="159"/>
        <v>0</v>
      </c>
      <c r="BU201" s="783">
        <f t="shared" ca="1" si="160"/>
        <v>0</v>
      </c>
      <c r="BV201" s="783">
        <f t="shared" ca="1" si="161"/>
        <v>0</v>
      </c>
      <c r="BW201" s="1019">
        <f t="shared" ca="1" si="220"/>
        <v>0</v>
      </c>
      <c r="BX201" s="771" cm="1">
        <f t="array" aca="1" ref="BX201" ca="1">INDIRECT("'Definition of Typical Day'!"&amp; ADDRESS($D201+29*(BX$16-1),$E201))</f>
        <v>0</v>
      </c>
      <c r="BY201" s="771">
        <f t="shared" ca="1" si="221"/>
        <v>0</v>
      </c>
      <c r="BZ201" s="781">
        <f t="shared" ca="1" si="162"/>
        <v>0</v>
      </c>
      <c r="CA201" s="781">
        <f t="shared" ca="1" si="163"/>
        <v>0</v>
      </c>
      <c r="CB201" s="776">
        <f t="shared" ca="1" si="164"/>
        <v>0</v>
      </c>
      <c r="CC201" s="782">
        <f t="shared" si="165"/>
        <v>8</v>
      </c>
      <c r="CD201" s="782">
        <f t="shared" si="166"/>
        <v>13</v>
      </c>
      <c r="CE201" s="784" cm="1">
        <f t="array" aca="1" ref="CE201" ca="1">INDIRECT("'Definition of Typical Day'!"&amp;ADDRESS(CE$16,$E201))</f>
        <v>8</v>
      </c>
      <c r="CF201" s="232"/>
      <c r="CG201" s="232"/>
      <c r="CH201" s="776">
        <f t="shared" ca="1" si="167"/>
        <v>0</v>
      </c>
      <c r="CI201" s="806">
        <f t="shared" ca="1" si="168"/>
        <v>0</v>
      </c>
      <c r="CJ201" s="770">
        <f t="shared" ca="1" si="169"/>
        <v>0</v>
      </c>
      <c r="CK201" s="771">
        <f t="shared" ca="1" si="170"/>
        <v>0</v>
      </c>
      <c r="CL201" s="771">
        <f t="shared" ca="1" si="171"/>
        <v>0</v>
      </c>
      <c r="CM201" s="772">
        <f t="shared" ca="1" si="172"/>
        <v>0</v>
      </c>
      <c r="CN201" s="135"/>
      <c r="CO201" s="770">
        <f t="shared" ca="1" si="222"/>
        <v>1.05</v>
      </c>
      <c r="CP201" s="771">
        <f t="shared" ca="1" si="173"/>
        <v>0.02</v>
      </c>
      <c r="CQ201" s="771">
        <f t="shared" ca="1" si="174"/>
        <v>-2.5000000000000001E-2</v>
      </c>
      <c r="CR201" s="771">
        <f t="shared" ca="1" si="175"/>
        <v>0.95</v>
      </c>
      <c r="CS201" s="771">
        <f t="shared" ca="1" si="176"/>
        <v>0.03</v>
      </c>
      <c r="CT201" s="772">
        <f t="shared" ca="1" si="177"/>
        <v>0.02</v>
      </c>
      <c r="CU201" s="135"/>
      <c r="CV201" s="135"/>
      <c r="CW201" s="135"/>
      <c r="CX201" s="135"/>
      <c r="CY201" s="135"/>
      <c r="CZ201" s="135"/>
      <c r="DA201" s="135"/>
      <c r="DB201" s="135"/>
      <c r="DC201" s="135"/>
      <c r="DD201" s="135"/>
      <c r="DE201" s="135"/>
      <c r="DF201" s="135"/>
      <c r="DG201" s="135"/>
      <c r="DH201" s="135"/>
      <c r="DI201" s="135"/>
      <c r="DJ201" s="135"/>
      <c r="DK201" s="135"/>
      <c r="DL201" s="135"/>
      <c r="DX201" s="135"/>
      <c r="DY201" s="135"/>
      <c r="DZ201" s="135"/>
      <c r="EA201" s="135"/>
      <c r="EB201" s="135"/>
      <c r="EC201" s="135"/>
      <c r="ED201" s="135"/>
      <c r="EE201" s="135"/>
      <c r="EF201" s="135"/>
      <c r="EG201" s="135"/>
      <c r="EH201" s="135"/>
      <c r="EI201" s="135"/>
      <c r="EJ201" s="135"/>
      <c r="EK201" s="135"/>
      <c r="EL201" s="135"/>
      <c r="EM201" s="135"/>
      <c r="EN201" s="135"/>
      <c r="EO201" s="135"/>
      <c r="EP201" s="135"/>
      <c r="EQ201" s="135"/>
      <c r="ER201" s="135"/>
      <c r="ES201" s="135"/>
      <c r="ET201" s="135"/>
      <c r="EU201" s="135"/>
      <c r="EV201" s="135"/>
      <c r="EW201" s="135"/>
      <c r="EX201" s="135"/>
      <c r="EY201" s="135"/>
      <c r="EZ201" s="135"/>
      <c r="FA201" s="135"/>
      <c r="FB201" s="135"/>
      <c r="FC201" s="135"/>
      <c r="FD201" s="135"/>
      <c r="FE201" s="135"/>
      <c r="FF201" s="135"/>
      <c r="FG201" s="135"/>
    </row>
    <row r="202" spans="1:163" s="57" customFormat="1" ht="11.25" outlineLevel="1">
      <c r="A202" s="765">
        <f t="shared" si="223"/>
        <v>8</v>
      </c>
      <c r="B202" s="715" cm="1">
        <f t="array" aca="1" ref="B202" ca="1">INDIRECT("'Definition of Typical Day'!"&amp;ADDRESS(B$16,$E202))</f>
        <v>8</v>
      </c>
      <c r="C202" s="766">
        <f t="shared" si="224"/>
        <v>14</v>
      </c>
      <c r="D202" s="715">
        <f t="shared" si="224"/>
        <v>48</v>
      </c>
      <c r="E202" s="715">
        <f t="shared" si="152"/>
        <v>12</v>
      </c>
      <c r="F202" s="767" cm="1">
        <f t="array" aca="1" ref="F202" ca="1">INDIRECT("'Definition of Typical Day'!D"&amp;D202)</f>
        <v>14</v>
      </c>
      <c r="G202" s="767" cm="1">
        <f t="array" aca="1" ref="G202" ca="1">INDIRECT("'Definition of Typical Day'!"&amp;ADDRESS(13,E202))</f>
        <v>8</v>
      </c>
      <c r="H202" s="768" cm="1">
        <f t="array" aca="1" ref="H202" ca="1">INDIRECT("'Definition of Typical Day'!"&amp; ADDRESS($D202+28*(H$16-1),$E202))</f>
        <v>0</v>
      </c>
      <c r="I202" s="715" cm="1">
        <f t="array" aca="1" ref="I202" ca="1">INDIRECT("'Definition of Typical Day'!"&amp; ADDRESS($D202+29*(I$16-1),$E202))</f>
        <v>0</v>
      </c>
      <c r="J202" s="715">
        <f t="shared" ca="1" si="178"/>
        <v>0</v>
      </c>
      <c r="K202" s="785">
        <f t="shared" si="179"/>
        <v>28</v>
      </c>
      <c r="L202" s="786" cm="1">
        <f t="array" aca="1" ref="L202" ca="1">INDIRECT("'Definition of Typical Day'!"&amp; ADDRESS($D202+29*(L$16-1),$E202))</f>
        <v>0</v>
      </c>
      <c r="M202" s="768" cm="1">
        <f t="array" aca="1" ref="M202" ca="1">INDIRECT("'Definition of Typical Day'!"&amp; ADDRESS($D202+29*(M$16-1),$E202))</f>
        <v>0</v>
      </c>
      <c r="N202" s="715">
        <f t="shared" si="180"/>
        <v>3</v>
      </c>
      <c r="O202" s="715">
        <f t="shared" ca="1" si="181"/>
        <v>3</v>
      </c>
      <c r="P202" s="715" cm="1">
        <f t="array" aca="1" ref="P202" ca="1">INDIRECT("'Definition of Typical Day'!"&amp; ADDRESS($D202+29*(P$16-1),$E202))</f>
        <v>0</v>
      </c>
      <c r="Q202" s="787">
        <f t="shared" ca="1" si="182"/>
        <v>3</v>
      </c>
      <c r="R202" s="792">
        <f t="shared" ca="1" si="183"/>
        <v>3</v>
      </c>
      <c r="S202" s="769">
        <f t="shared" si="184"/>
        <v>3</v>
      </c>
      <c r="T202" s="769">
        <f t="shared" ca="1" si="185"/>
        <v>-0.5</v>
      </c>
      <c r="U202" s="769">
        <f t="shared" ca="1" si="186"/>
        <v>2.262</v>
      </c>
      <c r="V202" s="769">
        <f t="shared" ca="1" si="187"/>
        <v>0</v>
      </c>
      <c r="W202" s="769">
        <f t="shared" ca="1" si="188"/>
        <v>4.7620000000000005</v>
      </c>
      <c r="X202" s="794">
        <f t="shared" si="189"/>
        <v>3</v>
      </c>
      <c r="Y202" s="769">
        <f t="shared" ca="1" si="190"/>
        <v>0.54772255750516607</v>
      </c>
      <c r="Z202" s="769">
        <f t="shared" ca="1" si="191"/>
        <v>0</v>
      </c>
      <c r="AA202" s="795">
        <f t="shared" ca="1" si="192"/>
        <v>0</v>
      </c>
      <c r="AB202" s="769">
        <f t="shared" ca="1" si="193"/>
        <v>0</v>
      </c>
      <c r="AC202" s="769">
        <f t="shared" ca="1" si="194"/>
        <v>0</v>
      </c>
      <c r="AD202" s="769">
        <f t="shared" ca="1" si="195"/>
        <v>0</v>
      </c>
      <c r="AE202" s="794">
        <f t="shared" ca="1" si="196"/>
        <v>0</v>
      </c>
      <c r="AF202" s="769">
        <f t="shared" ca="1" si="197"/>
        <v>0</v>
      </c>
      <c r="AG202" s="769">
        <f t="shared" ca="1" si="198"/>
        <v>0</v>
      </c>
      <c r="AH202" s="799">
        <f t="shared" ca="1" si="199"/>
        <v>0</v>
      </c>
      <c r="AI202" s="801">
        <f t="shared" ca="1" si="200"/>
        <v>1</v>
      </c>
      <c r="AJ202" s="794">
        <f t="shared" ca="1" si="201"/>
        <v>0</v>
      </c>
      <c r="AK202" s="769">
        <f t="shared" ca="1" si="202"/>
        <v>0</v>
      </c>
      <c r="AL202" s="769">
        <f t="shared" ca="1" si="203"/>
        <v>0</v>
      </c>
      <c r="AM202" s="804">
        <f t="shared" ca="1" si="153"/>
        <v>0</v>
      </c>
      <c r="AN202" s="795">
        <f t="shared" ca="1" si="154"/>
        <v>0</v>
      </c>
      <c r="AO202" s="251"/>
      <c r="AP202" s="770">
        <f t="shared" si="204"/>
        <v>0</v>
      </c>
      <c r="AQ202" s="771">
        <f t="shared" ca="1" si="205"/>
        <v>0</v>
      </c>
      <c r="AR202" s="771">
        <f t="shared" ca="1" si="206"/>
        <v>0</v>
      </c>
      <c r="AS202" s="772">
        <f t="shared" ca="1" si="207"/>
        <v>0</v>
      </c>
      <c r="AT202" s="231"/>
      <c r="AU202" s="770">
        <f>'Main Results - IRR DC Operator'!$F$16</f>
        <v>2</v>
      </c>
      <c r="AV202" s="773">
        <f>'Main Results - IRR DC Operator'!$F$15</f>
        <v>1</v>
      </c>
      <c r="AW202" s="771">
        <f t="shared" ca="1" si="208"/>
        <v>0</v>
      </c>
      <c r="AX202" s="772">
        <f t="shared" si="209"/>
        <v>0</v>
      </c>
      <c r="AY202" s="231"/>
      <c r="AZ202" s="770" cm="1">
        <f t="array" aca="1" ref="AZ202" ca="1">INDIRECT("'Definition of Typical Day'!"&amp; ADDRESS($D202+29*(AZ$16-1),$E202))+$AZ$17</f>
        <v>11</v>
      </c>
      <c r="BA202" s="771" cm="1">
        <f t="array" aca="1" ref="BA202" ca="1">INDIRECT("'Definition of Typical Day'!"&amp; ADDRESS($D202+29*(BA$16-1),$E202))+$BA$17</f>
        <v>11</v>
      </c>
      <c r="BB202" s="772" cm="1">
        <f t="array" aca="1" ref="BB202" ca="1">INDIRECT("'Definition of Typical Day'!"&amp;ADDRESS(BB$16,$E202))</f>
        <v>0</v>
      </c>
      <c r="BC202" s="776" cm="1">
        <f t="array" aca="1" ref="BC202" ca="1">INDIRECT("'Definition of Typical Day'!"&amp; ADDRESS($D202+29*(BC$16-1),$E202))</f>
        <v>0</v>
      </c>
      <c r="BD202" s="777" cm="1">
        <f t="array" aca="1" ref="BD202" ca="1">INDIRECT("'Definition of Typical Day'!"&amp; ADDRESS($D202+29*(BD$16-1),$E202))</f>
        <v>0</v>
      </c>
      <c r="BE202" s="776">
        <f t="shared" si="210"/>
        <v>0</v>
      </c>
      <c r="BF202" s="771">
        <f t="shared" ca="1" si="211"/>
        <v>0</v>
      </c>
      <c r="BG202" s="771">
        <f t="shared" ca="1" si="212"/>
        <v>0</v>
      </c>
      <c r="BH202" s="771">
        <f t="shared" ca="1" si="213"/>
        <v>0</v>
      </c>
      <c r="BI202" s="776">
        <f t="shared" ca="1" si="214"/>
        <v>0</v>
      </c>
      <c r="BJ202" s="776">
        <f t="shared" ca="1" si="215"/>
        <v>0</v>
      </c>
      <c r="BK202" s="776">
        <f t="shared" ca="1" si="216"/>
        <v>0</v>
      </c>
      <c r="BL202" s="776">
        <f t="shared" ca="1" si="217"/>
        <v>0</v>
      </c>
      <c r="BM202" s="135"/>
      <c r="BN202" s="776">
        <f t="shared" ca="1" si="218"/>
        <v>0</v>
      </c>
      <c r="BO202" s="778">
        <f t="shared" ca="1" si="155"/>
        <v>0</v>
      </c>
      <c r="BP202" s="770">
        <f t="shared" ca="1" si="156"/>
        <v>0</v>
      </c>
      <c r="BQ202" s="771">
        <f t="shared" ca="1" si="157"/>
        <v>0</v>
      </c>
      <c r="BR202" s="771">
        <f t="shared" ca="1" si="158"/>
        <v>0</v>
      </c>
      <c r="BS202" s="776">
        <f t="shared" ca="1" si="219"/>
        <v>0</v>
      </c>
      <c r="BT202" s="776">
        <f t="shared" ca="1" si="159"/>
        <v>0</v>
      </c>
      <c r="BU202" s="783">
        <f t="shared" ca="1" si="160"/>
        <v>0</v>
      </c>
      <c r="BV202" s="783">
        <f t="shared" ca="1" si="161"/>
        <v>0</v>
      </c>
      <c r="BW202" s="1019">
        <f t="shared" ca="1" si="220"/>
        <v>0</v>
      </c>
      <c r="BX202" s="771" cm="1">
        <f t="array" aca="1" ref="BX202" ca="1">INDIRECT("'Definition of Typical Day'!"&amp; ADDRESS($D202+29*(BX$16-1),$E202))</f>
        <v>0</v>
      </c>
      <c r="BY202" s="771">
        <f t="shared" ca="1" si="221"/>
        <v>0</v>
      </c>
      <c r="BZ202" s="781">
        <f t="shared" ca="1" si="162"/>
        <v>0</v>
      </c>
      <c r="CA202" s="781">
        <f t="shared" ca="1" si="163"/>
        <v>0</v>
      </c>
      <c r="CB202" s="776">
        <f t="shared" ca="1" si="164"/>
        <v>0</v>
      </c>
      <c r="CC202" s="782">
        <f t="shared" si="165"/>
        <v>8</v>
      </c>
      <c r="CD202" s="782">
        <f t="shared" si="166"/>
        <v>14</v>
      </c>
      <c r="CE202" s="784" cm="1">
        <f t="array" aca="1" ref="CE202" ca="1">INDIRECT("'Definition of Typical Day'!"&amp;ADDRESS(CE$16,$E202))</f>
        <v>8</v>
      </c>
      <c r="CF202" s="232"/>
      <c r="CG202" s="232"/>
      <c r="CH202" s="776">
        <f t="shared" ca="1" si="167"/>
        <v>0</v>
      </c>
      <c r="CI202" s="806">
        <f t="shared" ca="1" si="168"/>
        <v>0</v>
      </c>
      <c r="CJ202" s="770">
        <f t="shared" ca="1" si="169"/>
        <v>0</v>
      </c>
      <c r="CK202" s="771">
        <f t="shared" ca="1" si="170"/>
        <v>0</v>
      </c>
      <c r="CL202" s="771">
        <f t="shared" ca="1" si="171"/>
        <v>0</v>
      </c>
      <c r="CM202" s="772">
        <f t="shared" ca="1" si="172"/>
        <v>0</v>
      </c>
      <c r="CN202" s="135"/>
      <c r="CO202" s="770">
        <f t="shared" ca="1" si="222"/>
        <v>1.05</v>
      </c>
      <c r="CP202" s="771">
        <f t="shared" ca="1" si="173"/>
        <v>0.02</v>
      </c>
      <c r="CQ202" s="771">
        <f t="shared" ca="1" si="174"/>
        <v>-2.5000000000000001E-2</v>
      </c>
      <c r="CR202" s="771">
        <f t="shared" ca="1" si="175"/>
        <v>0.95</v>
      </c>
      <c r="CS202" s="771">
        <f t="shared" ca="1" si="176"/>
        <v>0.03</v>
      </c>
      <c r="CT202" s="772">
        <f t="shared" ca="1" si="177"/>
        <v>0.02</v>
      </c>
      <c r="CU202" s="135"/>
      <c r="CV202" s="135"/>
      <c r="CW202" s="135"/>
      <c r="CX202" s="135"/>
      <c r="CY202" s="135"/>
      <c r="CZ202" s="135"/>
      <c r="DA202" s="135"/>
      <c r="DB202" s="135"/>
      <c r="DC202" s="135"/>
      <c r="DD202" s="135"/>
      <c r="DE202" s="135"/>
      <c r="DF202" s="135"/>
      <c r="DG202" s="135"/>
      <c r="DH202" s="135"/>
      <c r="DI202" s="135"/>
      <c r="DJ202" s="135"/>
      <c r="DK202" s="135"/>
      <c r="DL202" s="135"/>
      <c r="DX202" s="135"/>
      <c r="DY202" s="135"/>
      <c r="DZ202" s="135"/>
      <c r="EA202" s="135"/>
      <c r="EB202" s="135"/>
      <c r="EC202" s="135"/>
      <c r="ED202" s="135"/>
      <c r="EE202" s="135"/>
      <c r="EF202" s="135"/>
      <c r="EG202" s="135"/>
      <c r="EH202" s="135"/>
      <c r="EI202" s="135"/>
      <c r="EJ202" s="135"/>
      <c r="EK202" s="135"/>
      <c r="EL202" s="135"/>
      <c r="EM202" s="135"/>
      <c r="EN202" s="135"/>
      <c r="EO202" s="135"/>
      <c r="EP202" s="135"/>
      <c r="EQ202" s="135"/>
      <c r="ER202" s="135"/>
      <c r="ES202" s="135"/>
      <c r="ET202" s="135"/>
      <c r="EU202" s="135"/>
      <c r="EV202" s="135"/>
      <c r="EW202" s="135"/>
      <c r="EX202" s="135"/>
      <c r="EY202" s="135"/>
      <c r="EZ202" s="135"/>
      <c r="FA202" s="135"/>
      <c r="FB202" s="135"/>
      <c r="FC202" s="135"/>
      <c r="FD202" s="135"/>
      <c r="FE202" s="135"/>
      <c r="FF202" s="135"/>
      <c r="FG202" s="135"/>
    </row>
    <row r="203" spans="1:163" s="57" customFormat="1" ht="11.25" outlineLevel="1">
      <c r="A203" s="765">
        <f t="shared" si="223"/>
        <v>8</v>
      </c>
      <c r="B203" s="715" cm="1">
        <f t="array" aca="1" ref="B203" ca="1">INDIRECT("'Definition of Typical Day'!"&amp;ADDRESS(B$16,$E203))</f>
        <v>8</v>
      </c>
      <c r="C203" s="766">
        <f t="shared" si="224"/>
        <v>15</v>
      </c>
      <c r="D203" s="715">
        <f t="shared" si="224"/>
        <v>49</v>
      </c>
      <c r="E203" s="715">
        <f t="shared" si="152"/>
        <v>12</v>
      </c>
      <c r="F203" s="767" cm="1">
        <f t="array" aca="1" ref="F203" ca="1">INDIRECT("'Definition of Typical Day'!D"&amp;D203)</f>
        <v>15</v>
      </c>
      <c r="G203" s="767" cm="1">
        <f t="array" aca="1" ref="G203" ca="1">INDIRECT("'Definition of Typical Day'!"&amp;ADDRESS(13,E203))</f>
        <v>8</v>
      </c>
      <c r="H203" s="768" cm="1">
        <f t="array" aca="1" ref="H203" ca="1">INDIRECT("'Definition of Typical Day'!"&amp; ADDRESS($D203+28*(H$16-1),$E203))</f>
        <v>0</v>
      </c>
      <c r="I203" s="715" cm="1">
        <f t="array" aca="1" ref="I203" ca="1">INDIRECT("'Definition of Typical Day'!"&amp; ADDRESS($D203+29*(I$16-1),$E203))</f>
        <v>0</v>
      </c>
      <c r="J203" s="715">
        <f t="shared" ca="1" si="178"/>
        <v>0</v>
      </c>
      <c r="K203" s="785">
        <f t="shared" si="179"/>
        <v>28</v>
      </c>
      <c r="L203" s="786" cm="1">
        <f t="array" aca="1" ref="L203" ca="1">INDIRECT("'Definition of Typical Day'!"&amp; ADDRESS($D203+29*(L$16-1),$E203))</f>
        <v>0</v>
      </c>
      <c r="M203" s="768" cm="1">
        <f t="array" aca="1" ref="M203" ca="1">INDIRECT("'Definition of Typical Day'!"&amp; ADDRESS($D203+29*(M$16-1),$E203))</f>
        <v>0</v>
      </c>
      <c r="N203" s="715">
        <f t="shared" si="180"/>
        <v>3</v>
      </c>
      <c r="O203" s="715">
        <f t="shared" ca="1" si="181"/>
        <v>3</v>
      </c>
      <c r="P203" s="715" cm="1">
        <f t="array" aca="1" ref="P203" ca="1">INDIRECT("'Definition of Typical Day'!"&amp; ADDRESS($D203+29*(P$16-1),$E203))</f>
        <v>0</v>
      </c>
      <c r="Q203" s="787">
        <f t="shared" ca="1" si="182"/>
        <v>3</v>
      </c>
      <c r="R203" s="792">
        <f t="shared" ca="1" si="183"/>
        <v>3</v>
      </c>
      <c r="S203" s="769">
        <f t="shared" si="184"/>
        <v>3</v>
      </c>
      <c r="T203" s="769">
        <f t="shared" ca="1" si="185"/>
        <v>-0.5</v>
      </c>
      <c r="U203" s="769">
        <f t="shared" ca="1" si="186"/>
        <v>2.262</v>
      </c>
      <c r="V203" s="769">
        <f t="shared" ca="1" si="187"/>
        <v>0</v>
      </c>
      <c r="W203" s="769">
        <f t="shared" ca="1" si="188"/>
        <v>4.7620000000000005</v>
      </c>
      <c r="X203" s="794">
        <f t="shared" si="189"/>
        <v>3</v>
      </c>
      <c r="Y203" s="769">
        <f t="shared" ca="1" si="190"/>
        <v>0.54772255750516607</v>
      </c>
      <c r="Z203" s="769">
        <f t="shared" ca="1" si="191"/>
        <v>0</v>
      </c>
      <c r="AA203" s="795">
        <f t="shared" ca="1" si="192"/>
        <v>0</v>
      </c>
      <c r="AB203" s="769">
        <f t="shared" ca="1" si="193"/>
        <v>0</v>
      </c>
      <c r="AC203" s="769">
        <f t="shared" ca="1" si="194"/>
        <v>0</v>
      </c>
      <c r="AD203" s="769">
        <f t="shared" ca="1" si="195"/>
        <v>0</v>
      </c>
      <c r="AE203" s="794">
        <f t="shared" ca="1" si="196"/>
        <v>0</v>
      </c>
      <c r="AF203" s="769">
        <f t="shared" ca="1" si="197"/>
        <v>0</v>
      </c>
      <c r="AG203" s="769">
        <f t="shared" ca="1" si="198"/>
        <v>0</v>
      </c>
      <c r="AH203" s="799">
        <f t="shared" ca="1" si="199"/>
        <v>0</v>
      </c>
      <c r="AI203" s="801">
        <f t="shared" ca="1" si="200"/>
        <v>1</v>
      </c>
      <c r="AJ203" s="794">
        <f t="shared" ca="1" si="201"/>
        <v>0</v>
      </c>
      <c r="AK203" s="769">
        <f t="shared" ca="1" si="202"/>
        <v>0</v>
      </c>
      <c r="AL203" s="769">
        <f t="shared" ca="1" si="203"/>
        <v>0</v>
      </c>
      <c r="AM203" s="804">
        <f t="shared" ca="1" si="153"/>
        <v>0</v>
      </c>
      <c r="AN203" s="795">
        <f t="shared" ca="1" si="154"/>
        <v>0</v>
      </c>
      <c r="AO203" s="251"/>
      <c r="AP203" s="770">
        <f t="shared" si="204"/>
        <v>0</v>
      </c>
      <c r="AQ203" s="771">
        <f t="shared" ca="1" si="205"/>
        <v>0</v>
      </c>
      <c r="AR203" s="771">
        <f t="shared" ca="1" si="206"/>
        <v>0</v>
      </c>
      <c r="AS203" s="772">
        <f t="shared" ca="1" si="207"/>
        <v>0</v>
      </c>
      <c r="AT203" s="231"/>
      <c r="AU203" s="770">
        <f>'Main Results - IRR DC Operator'!$F$16</f>
        <v>2</v>
      </c>
      <c r="AV203" s="773">
        <f>'Main Results - IRR DC Operator'!$F$15</f>
        <v>1</v>
      </c>
      <c r="AW203" s="771">
        <f t="shared" ca="1" si="208"/>
        <v>0</v>
      </c>
      <c r="AX203" s="772">
        <f t="shared" si="209"/>
        <v>0</v>
      </c>
      <c r="AY203" s="231"/>
      <c r="AZ203" s="770" cm="1">
        <f t="array" aca="1" ref="AZ203" ca="1">INDIRECT("'Definition of Typical Day'!"&amp; ADDRESS($D203+29*(AZ$16-1),$E203))+$AZ$17</f>
        <v>11</v>
      </c>
      <c r="BA203" s="771" cm="1">
        <f t="array" aca="1" ref="BA203" ca="1">INDIRECT("'Definition of Typical Day'!"&amp; ADDRESS($D203+29*(BA$16-1),$E203))+$BA$17</f>
        <v>11</v>
      </c>
      <c r="BB203" s="772" cm="1">
        <f t="array" aca="1" ref="BB203" ca="1">INDIRECT("'Definition of Typical Day'!"&amp;ADDRESS(BB$16,$E203))</f>
        <v>0</v>
      </c>
      <c r="BC203" s="776" cm="1">
        <f t="array" aca="1" ref="BC203" ca="1">INDIRECT("'Definition of Typical Day'!"&amp; ADDRESS($D203+29*(BC$16-1),$E203))</f>
        <v>0</v>
      </c>
      <c r="BD203" s="777" cm="1">
        <f t="array" aca="1" ref="BD203" ca="1">INDIRECT("'Definition of Typical Day'!"&amp; ADDRESS($D203+29*(BD$16-1),$E203))</f>
        <v>0</v>
      </c>
      <c r="BE203" s="776">
        <f t="shared" si="210"/>
        <v>0</v>
      </c>
      <c r="BF203" s="771">
        <f t="shared" ca="1" si="211"/>
        <v>0</v>
      </c>
      <c r="BG203" s="771">
        <f t="shared" ca="1" si="212"/>
        <v>0</v>
      </c>
      <c r="BH203" s="771">
        <f t="shared" ca="1" si="213"/>
        <v>0</v>
      </c>
      <c r="BI203" s="776">
        <f t="shared" ca="1" si="214"/>
        <v>0</v>
      </c>
      <c r="BJ203" s="776">
        <f t="shared" ca="1" si="215"/>
        <v>0</v>
      </c>
      <c r="BK203" s="776">
        <f t="shared" ca="1" si="216"/>
        <v>0</v>
      </c>
      <c r="BL203" s="776">
        <f t="shared" ca="1" si="217"/>
        <v>0</v>
      </c>
      <c r="BM203" s="135"/>
      <c r="BN203" s="776">
        <f t="shared" ca="1" si="218"/>
        <v>0</v>
      </c>
      <c r="BO203" s="778">
        <f t="shared" ca="1" si="155"/>
        <v>0</v>
      </c>
      <c r="BP203" s="770">
        <f t="shared" ca="1" si="156"/>
        <v>0</v>
      </c>
      <c r="BQ203" s="771">
        <f t="shared" ca="1" si="157"/>
        <v>0</v>
      </c>
      <c r="BR203" s="771">
        <f t="shared" ca="1" si="158"/>
        <v>0</v>
      </c>
      <c r="BS203" s="776">
        <f t="shared" ca="1" si="219"/>
        <v>0</v>
      </c>
      <c r="BT203" s="776">
        <f t="shared" ca="1" si="159"/>
        <v>0</v>
      </c>
      <c r="BU203" s="783">
        <f t="shared" ca="1" si="160"/>
        <v>0</v>
      </c>
      <c r="BV203" s="783">
        <f t="shared" ca="1" si="161"/>
        <v>0</v>
      </c>
      <c r="BW203" s="1019">
        <f t="shared" ca="1" si="220"/>
        <v>0</v>
      </c>
      <c r="BX203" s="771" cm="1">
        <f t="array" aca="1" ref="BX203" ca="1">INDIRECT("'Definition of Typical Day'!"&amp; ADDRESS($D203+29*(BX$16-1),$E203))</f>
        <v>0</v>
      </c>
      <c r="BY203" s="771">
        <f t="shared" ca="1" si="221"/>
        <v>0</v>
      </c>
      <c r="BZ203" s="781">
        <f t="shared" ca="1" si="162"/>
        <v>0</v>
      </c>
      <c r="CA203" s="781">
        <f t="shared" ca="1" si="163"/>
        <v>0</v>
      </c>
      <c r="CB203" s="776">
        <f t="shared" ca="1" si="164"/>
        <v>0</v>
      </c>
      <c r="CC203" s="782">
        <f t="shared" si="165"/>
        <v>8</v>
      </c>
      <c r="CD203" s="782">
        <f t="shared" si="166"/>
        <v>15</v>
      </c>
      <c r="CE203" s="784" cm="1">
        <f t="array" aca="1" ref="CE203" ca="1">INDIRECT("'Definition of Typical Day'!"&amp;ADDRESS(CE$16,$E203))</f>
        <v>8</v>
      </c>
      <c r="CF203" s="232"/>
      <c r="CG203" s="232"/>
      <c r="CH203" s="776">
        <f t="shared" ca="1" si="167"/>
        <v>0</v>
      </c>
      <c r="CI203" s="806">
        <f t="shared" ca="1" si="168"/>
        <v>0</v>
      </c>
      <c r="CJ203" s="770">
        <f t="shared" ca="1" si="169"/>
        <v>0</v>
      </c>
      <c r="CK203" s="771">
        <f t="shared" ca="1" si="170"/>
        <v>0</v>
      </c>
      <c r="CL203" s="771">
        <f t="shared" ca="1" si="171"/>
        <v>0</v>
      </c>
      <c r="CM203" s="772">
        <f t="shared" ca="1" si="172"/>
        <v>0</v>
      </c>
      <c r="CN203" s="135"/>
      <c r="CO203" s="770">
        <f t="shared" ca="1" si="222"/>
        <v>1.05</v>
      </c>
      <c r="CP203" s="771">
        <f t="shared" ca="1" si="173"/>
        <v>0.02</v>
      </c>
      <c r="CQ203" s="771">
        <f t="shared" ca="1" si="174"/>
        <v>-2.5000000000000001E-2</v>
      </c>
      <c r="CR203" s="771">
        <f t="shared" ca="1" si="175"/>
        <v>0.95</v>
      </c>
      <c r="CS203" s="771">
        <f t="shared" ca="1" si="176"/>
        <v>0.03</v>
      </c>
      <c r="CT203" s="772">
        <f t="shared" ca="1" si="177"/>
        <v>0.02</v>
      </c>
      <c r="CU203" s="135"/>
      <c r="CV203" s="135"/>
      <c r="CW203" s="135"/>
      <c r="CX203" s="135"/>
      <c r="CY203" s="135"/>
      <c r="CZ203" s="135"/>
      <c r="DA203" s="135"/>
      <c r="DB203" s="135"/>
      <c r="DC203" s="135"/>
      <c r="DD203" s="135"/>
      <c r="DE203" s="135"/>
      <c r="DF203" s="135"/>
      <c r="DG203" s="135"/>
      <c r="DH203" s="135"/>
      <c r="DI203" s="135"/>
      <c r="DJ203" s="135"/>
      <c r="DK203" s="135"/>
      <c r="DL203" s="135"/>
      <c r="DX203" s="135"/>
      <c r="DY203" s="135"/>
      <c r="DZ203" s="135"/>
      <c r="EA203" s="135"/>
      <c r="EB203" s="135"/>
      <c r="EC203" s="135"/>
      <c r="ED203" s="135"/>
      <c r="EE203" s="135"/>
      <c r="EF203" s="135"/>
      <c r="EG203" s="135"/>
      <c r="EH203" s="135"/>
      <c r="EI203" s="135"/>
      <c r="EJ203" s="135"/>
      <c r="EK203" s="135"/>
      <c r="EL203" s="135"/>
      <c r="EM203" s="135"/>
      <c r="EN203" s="135"/>
      <c r="EO203" s="135"/>
      <c r="EP203" s="135"/>
      <c r="EQ203" s="135"/>
      <c r="ER203" s="135"/>
      <c r="ES203" s="135"/>
      <c r="ET203" s="135"/>
      <c r="EU203" s="135"/>
      <c r="EV203" s="135"/>
      <c r="EW203" s="135"/>
      <c r="EX203" s="135"/>
      <c r="EY203" s="135"/>
      <c r="EZ203" s="135"/>
      <c r="FA203" s="135"/>
      <c r="FB203" s="135"/>
      <c r="FC203" s="135"/>
      <c r="FD203" s="135"/>
      <c r="FE203" s="135"/>
      <c r="FF203" s="135"/>
      <c r="FG203" s="135"/>
    </row>
    <row r="204" spans="1:163" s="57" customFormat="1" ht="11.25" outlineLevel="1">
      <c r="A204" s="765">
        <f t="shared" si="223"/>
        <v>8</v>
      </c>
      <c r="B204" s="715" cm="1">
        <f t="array" aca="1" ref="B204" ca="1">INDIRECT("'Definition of Typical Day'!"&amp;ADDRESS(B$16,$E204))</f>
        <v>8</v>
      </c>
      <c r="C204" s="766">
        <f t="shared" si="224"/>
        <v>16</v>
      </c>
      <c r="D204" s="715">
        <f t="shared" si="224"/>
        <v>50</v>
      </c>
      <c r="E204" s="715">
        <f t="shared" si="152"/>
        <v>12</v>
      </c>
      <c r="F204" s="767" cm="1">
        <f t="array" aca="1" ref="F204" ca="1">INDIRECT("'Definition of Typical Day'!D"&amp;D204)</f>
        <v>16</v>
      </c>
      <c r="G204" s="767" cm="1">
        <f t="array" aca="1" ref="G204" ca="1">INDIRECT("'Definition of Typical Day'!"&amp;ADDRESS(13,E204))</f>
        <v>8</v>
      </c>
      <c r="H204" s="768" cm="1">
        <f t="array" aca="1" ref="H204" ca="1">INDIRECT("'Definition of Typical Day'!"&amp; ADDRESS($D204+28*(H$16-1),$E204))</f>
        <v>0</v>
      </c>
      <c r="I204" s="715" cm="1">
        <f t="array" aca="1" ref="I204" ca="1">INDIRECT("'Definition of Typical Day'!"&amp; ADDRESS($D204+29*(I$16-1),$E204))</f>
        <v>0</v>
      </c>
      <c r="J204" s="715">
        <f t="shared" ca="1" si="178"/>
        <v>0</v>
      </c>
      <c r="K204" s="785">
        <f t="shared" si="179"/>
        <v>28</v>
      </c>
      <c r="L204" s="786" cm="1">
        <f t="array" aca="1" ref="L204" ca="1">INDIRECT("'Definition of Typical Day'!"&amp; ADDRESS($D204+29*(L$16-1),$E204))</f>
        <v>0</v>
      </c>
      <c r="M204" s="768" cm="1">
        <f t="array" aca="1" ref="M204" ca="1">INDIRECT("'Definition of Typical Day'!"&amp; ADDRESS($D204+29*(M$16-1),$E204))</f>
        <v>0</v>
      </c>
      <c r="N204" s="715">
        <f t="shared" si="180"/>
        <v>3</v>
      </c>
      <c r="O204" s="715">
        <f t="shared" ca="1" si="181"/>
        <v>3</v>
      </c>
      <c r="P204" s="715" cm="1">
        <f t="array" aca="1" ref="P204" ca="1">INDIRECT("'Definition of Typical Day'!"&amp; ADDRESS($D204+29*(P$16-1),$E204))</f>
        <v>0</v>
      </c>
      <c r="Q204" s="787">
        <f t="shared" ca="1" si="182"/>
        <v>3</v>
      </c>
      <c r="R204" s="792">
        <f t="shared" ca="1" si="183"/>
        <v>3</v>
      </c>
      <c r="S204" s="769">
        <f t="shared" si="184"/>
        <v>3</v>
      </c>
      <c r="T204" s="769">
        <f t="shared" ca="1" si="185"/>
        <v>-0.5</v>
      </c>
      <c r="U204" s="769">
        <f t="shared" ca="1" si="186"/>
        <v>2.262</v>
      </c>
      <c r="V204" s="769">
        <f t="shared" ca="1" si="187"/>
        <v>0</v>
      </c>
      <c r="W204" s="769">
        <f t="shared" ca="1" si="188"/>
        <v>4.7620000000000005</v>
      </c>
      <c r="X204" s="794">
        <f t="shared" si="189"/>
        <v>3</v>
      </c>
      <c r="Y204" s="769">
        <f t="shared" ca="1" si="190"/>
        <v>0.54772255750516607</v>
      </c>
      <c r="Z204" s="769">
        <f t="shared" ca="1" si="191"/>
        <v>0</v>
      </c>
      <c r="AA204" s="795">
        <f t="shared" ca="1" si="192"/>
        <v>0</v>
      </c>
      <c r="AB204" s="769">
        <f t="shared" ca="1" si="193"/>
        <v>0</v>
      </c>
      <c r="AC204" s="769">
        <f t="shared" ca="1" si="194"/>
        <v>0</v>
      </c>
      <c r="AD204" s="769">
        <f t="shared" ca="1" si="195"/>
        <v>0</v>
      </c>
      <c r="AE204" s="794">
        <f t="shared" ca="1" si="196"/>
        <v>0</v>
      </c>
      <c r="AF204" s="769">
        <f t="shared" ca="1" si="197"/>
        <v>0</v>
      </c>
      <c r="AG204" s="769">
        <f t="shared" ca="1" si="198"/>
        <v>0</v>
      </c>
      <c r="AH204" s="799">
        <f t="shared" ca="1" si="199"/>
        <v>0</v>
      </c>
      <c r="AI204" s="801">
        <f t="shared" ca="1" si="200"/>
        <v>1</v>
      </c>
      <c r="AJ204" s="794">
        <f t="shared" ca="1" si="201"/>
        <v>0</v>
      </c>
      <c r="AK204" s="769">
        <f t="shared" ca="1" si="202"/>
        <v>0</v>
      </c>
      <c r="AL204" s="769">
        <f t="shared" ca="1" si="203"/>
        <v>0</v>
      </c>
      <c r="AM204" s="804">
        <f t="shared" ca="1" si="153"/>
        <v>0</v>
      </c>
      <c r="AN204" s="795">
        <f t="shared" ca="1" si="154"/>
        <v>0</v>
      </c>
      <c r="AO204" s="251"/>
      <c r="AP204" s="770">
        <f t="shared" si="204"/>
        <v>0</v>
      </c>
      <c r="AQ204" s="771">
        <f t="shared" ca="1" si="205"/>
        <v>0</v>
      </c>
      <c r="AR204" s="771">
        <f t="shared" ca="1" si="206"/>
        <v>0</v>
      </c>
      <c r="AS204" s="772">
        <f t="shared" ca="1" si="207"/>
        <v>0</v>
      </c>
      <c r="AT204" s="231"/>
      <c r="AU204" s="770">
        <f>'Main Results - IRR DC Operator'!$F$16</f>
        <v>2</v>
      </c>
      <c r="AV204" s="773">
        <f>'Main Results - IRR DC Operator'!$F$15</f>
        <v>1</v>
      </c>
      <c r="AW204" s="771">
        <f t="shared" ca="1" si="208"/>
        <v>0</v>
      </c>
      <c r="AX204" s="772">
        <f t="shared" si="209"/>
        <v>0</v>
      </c>
      <c r="AY204" s="231"/>
      <c r="AZ204" s="770" cm="1">
        <f t="array" aca="1" ref="AZ204" ca="1">INDIRECT("'Definition of Typical Day'!"&amp; ADDRESS($D204+29*(AZ$16-1),$E204))+$AZ$17</f>
        <v>11</v>
      </c>
      <c r="BA204" s="771" cm="1">
        <f t="array" aca="1" ref="BA204" ca="1">INDIRECT("'Definition of Typical Day'!"&amp; ADDRESS($D204+29*(BA$16-1),$E204))+$BA$17</f>
        <v>11</v>
      </c>
      <c r="BB204" s="772" cm="1">
        <f t="array" aca="1" ref="BB204" ca="1">INDIRECT("'Definition of Typical Day'!"&amp;ADDRESS(BB$16,$E204))</f>
        <v>0</v>
      </c>
      <c r="BC204" s="776" cm="1">
        <f t="array" aca="1" ref="BC204" ca="1">INDIRECT("'Definition of Typical Day'!"&amp; ADDRESS($D204+29*(BC$16-1),$E204))</f>
        <v>0</v>
      </c>
      <c r="BD204" s="777" cm="1">
        <f t="array" aca="1" ref="BD204" ca="1">INDIRECT("'Definition of Typical Day'!"&amp; ADDRESS($D204+29*(BD$16-1),$E204))</f>
        <v>0</v>
      </c>
      <c r="BE204" s="776">
        <f t="shared" si="210"/>
        <v>0</v>
      </c>
      <c r="BF204" s="771">
        <f t="shared" ca="1" si="211"/>
        <v>0</v>
      </c>
      <c r="BG204" s="771">
        <f t="shared" ca="1" si="212"/>
        <v>0</v>
      </c>
      <c r="BH204" s="771">
        <f t="shared" ca="1" si="213"/>
        <v>0</v>
      </c>
      <c r="BI204" s="776">
        <f t="shared" ca="1" si="214"/>
        <v>0</v>
      </c>
      <c r="BJ204" s="776">
        <f t="shared" ca="1" si="215"/>
        <v>0</v>
      </c>
      <c r="BK204" s="776">
        <f t="shared" ca="1" si="216"/>
        <v>0</v>
      </c>
      <c r="BL204" s="776">
        <f t="shared" ca="1" si="217"/>
        <v>0</v>
      </c>
      <c r="BM204" s="135"/>
      <c r="BN204" s="776">
        <f t="shared" ca="1" si="218"/>
        <v>0</v>
      </c>
      <c r="BO204" s="778">
        <f t="shared" ca="1" si="155"/>
        <v>0</v>
      </c>
      <c r="BP204" s="770">
        <f t="shared" ca="1" si="156"/>
        <v>0</v>
      </c>
      <c r="BQ204" s="771">
        <f t="shared" ca="1" si="157"/>
        <v>0</v>
      </c>
      <c r="BR204" s="771">
        <f t="shared" ca="1" si="158"/>
        <v>0</v>
      </c>
      <c r="BS204" s="776">
        <f t="shared" ca="1" si="219"/>
        <v>0</v>
      </c>
      <c r="BT204" s="776">
        <f t="shared" ca="1" si="159"/>
        <v>0</v>
      </c>
      <c r="BU204" s="783">
        <f t="shared" ca="1" si="160"/>
        <v>0</v>
      </c>
      <c r="BV204" s="783">
        <f t="shared" ca="1" si="161"/>
        <v>0</v>
      </c>
      <c r="BW204" s="1019">
        <f t="shared" ca="1" si="220"/>
        <v>0</v>
      </c>
      <c r="BX204" s="771" cm="1">
        <f t="array" aca="1" ref="BX204" ca="1">INDIRECT("'Definition of Typical Day'!"&amp; ADDRESS($D204+29*(BX$16-1),$E204))</f>
        <v>0</v>
      </c>
      <c r="BY204" s="771">
        <f t="shared" ca="1" si="221"/>
        <v>0</v>
      </c>
      <c r="BZ204" s="781">
        <f t="shared" ca="1" si="162"/>
        <v>0</v>
      </c>
      <c r="CA204" s="781">
        <f t="shared" ca="1" si="163"/>
        <v>0</v>
      </c>
      <c r="CB204" s="776">
        <f t="shared" ca="1" si="164"/>
        <v>0</v>
      </c>
      <c r="CC204" s="782">
        <f t="shared" si="165"/>
        <v>8</v>
      </c>
      <c r="CD204" s="782">
        <f t="shared" si="166"/>
        <v>16</v>
      </c>
      <c r="CE204" s="784" cm="1">
        <f t="array" aca="1" ref="CE204" ca="1">INDIRECT("'Definition of Typical Day'!"&amp;ADDRESS(CE$16,$E204))</f>
        <v>8</v>
      </c>
      <c r="CF204" s="232"/>
      <c r="CG204" s="232"/>
      <c r="CH204" s="776">
        <f t="shared" ca="1" si="167"/>
        <v>0</v>
      </c>
      <c r="CI204" s="806">
        <f t="shared" ca="1" si="168"/>
        <v>0</v>
      </c>
      <c r="CJ204" s="770">
        <f t="shared" ca="1" si="169"/>
        <v>0</v>
      </c>
      <c r="CK204" s="771">
        <f t="shared" ca="1" si="170"/>
        <v>0</v>
      </c>
      <c r="CL204" s="771">
        <f t="shared" ca="1" si="171"/>
        <v>0</v>
      </c>
      <c r="CM204" s="772">
        <f t="shared" ca="1" si="172"/>
        <v>0</v>
      </c>
      <c r="CN204" s="135"/>
      <c r="CO204" s="770">
        <f t="shared" ca="1" si="222"/>
        <v>1.05</v>
      </c>
      <c r="CP204" s="771">
        <f t="shared" ca="1" si="173"/>
        <v>0.02</v>
      </c>
      <c r="CQ204" s="771">
        <f t="shared" ca="1" si="174"/>
        <v>-2.5000000000000001E-2</v>
      </c>
      <c r="CR204" s="771">
        <f t="shared" ca="1" si="175"/>
        <v>0.95</v>
      </c>
      <c r="CS204" s="771">
        <f t="shared" ca="1" si="176"/>
        <v>0.03</v>
      </c>
      <c r="CT204" s="772">
        <f t="shared" ca="1" si="177"/>
        <v>0.02</v>
      </c>
      <c r="CU204" s="135"/>
      <c r="CV204" s="135"/>
      <c r="CW204" s="135"/>
      <c r="CX204" s="135"/>
      <c r="CY204" s="135"/>
      <c r="CZ204" s="135"/>
      <c r="DA204" s="135"/>
      <c r="DB204" s="135"/>
      <c r="DC204" s="135"/>
      <c r="DD204" s="135"/>
      <c r="DE204" s="135"/>
      <c r="DF204" s="135"/>
      <c r="DG204" s="135"/>
      <c r="DH204" s="135"/>
      <c r="DI204" s="135"/>
      <c r="DJ204" s="135"/>
      <c r="DK204" s="135"/>
      <c r="DL204" s="135"/>
      <c r="DX204" s="135"/>
      <c r="DY204" s="135"/>
      <c r="DZ204" s="135"/>
      <c r="EA204" s="135"/>
      <c r="EB204" s="135"/>
      <c r="EC204" s="135"/>
      <c r="ED204" s="135"/>
      <c r="EE204" s="135"/>
      <c r="EF204" s="135"/>
      <c r="EG204" s="135"/>
      <c r="EH204" s="135"/>
      <c r="EI204" s="135"/>
      <c r="EJ204" s="135"/>
      <c r="EK204" s="135"/>
      <c r="EL204" s="135"/>
      <c r="EM204" s="135"/>
      <c r="EN204" s="135"/>
      <c r="EO204" s="135"/>
      <c r="EP204" s="135"/>
      <c r="EQ204" s="135"/>
      <c r="ER204" s="135"/>
      <c r="ES204" s="135"/>
      <c r="ET204" s="135"/>
      <c r="EU204" s="135"/>
      <c r="EV204" s="135"/>
      <c r="EW204" s="135"/>
      <c r="EX204" s="135"/>
      <c r="EY204" s="135"/>
      <c r="EZ204" s="135"/>
      <c r="FA204" s="135"/>
      <c r="FB204" s="135"/>
      <c r="FC204" s="135"/>
      <c r="FD204" s="135"/>
      <c r="FE204" s="135"/>
      <c r="FF204" s="135"/>
      <c r="FG204" s="135"/>
    </row>
    <row r="205" spans="1:163" s="57" customFormat="1" ht="11.25" outlineLevel="1">
      <c r="A205" s="765">
        <f t="shared" si="223"/>
        <v>8</v>
      </c>
      <c r="B205" s="715" cm="1">
        <f t="array" aca="1" ref="B205" ca="1">INDIRECT("'Definition of Typical Day'!"&amp;ADDRESS(B$16,$E205))</f>
        <v>8</v>
      </c>
      <c r="C205" s="766">
        <f t="shared" si="224"/>
        <v>17</v>
      </c>
      <c r="D205" s="715">
        <f t="shared" si="224"/>
        <v>51</v>
      </c>
      <c r="E205" s="715">
        <f t="shared" si="152"/>
        <v>12</v>
      </c>
      <c r="F205" s="767" cm="1">
        <f t="array" aca="1" ref="F205" ca="1">INDIRECT("'Definition of Typical Day'!D"&amp;D205)</f>
        <v>17</v>
      </c>
      <c r="G205" s="767" cm="1">
        <f t="array" aca="1" ref="G205" ca="1">INDIRECT("'Definition of Typical Day'!"&amp;ADDRESS(13,E205))</f>
        <v>8</v>
      </c>
      <c r="H205" s="768" cm="1">
        <f t="array" aca="1" ref="H205" ca="1">INDIRECT("'Definition of Typical Day'!"&amp; ADDRESS($D205+28*(H$16-1),$E205))</f>
        <v>0</v>
      </c>
      <c r="I205" s="715" cm="1">
        <f t="array" aca="1" ref="I205" ca="1">INDIRECT("'Definition of Typical Day'!"&amp; ADDRESS($D205+29*(I$16-1),$E205))</f>
        <v>0</v>
      </c>
      <c r="J205" s="715">
        <f t="shared" ca="1" si="178"/>
        <v>0</v>
      </c>
      <c r="K205" s="785">
        <f t="shared" si="179"/>
        <v>28</v>
      </c>
      <c r="L205" s="786" cm="1">
        <f t="array" aca="1" ref="L205" ca="1">INDIRECT("'Definition of Typical Day'!"&amp; ADDRESS($D205+29*(L$16-1),$E205))</f>
        <v>0</v>
      </c>
      <c r="M205" s="768" cm="1">
        <f t="array" aca="1" ref="M205" ca="1">INDIRECT("'Definition of Typical Day'!"&amp; ADDRESS($D205+29*(M$16-1),$E205))</f>
        <v>0</v>
      </c>
      <c r="N205" s="715">
        <f t="shared" si="180"/>
        <v>3</v>
      </c>
      <c r="O205" s="715">
        <f t="shared" ca="1" si="181"/>
        <v>3</v>
      </c>
      <c r="P205" s="715" cm="1">
        <f t="array" aca="1" ref="P205" ca="1">INDIRECT("'Definition of Typical Day'!"&amp; ADDRESS($D205+29*(P$16-1),$E205))</f>
        <v>0</v>
      </c>
      <c r="Q205" s="787">
        <f t="shared" ca="1" si="182"/>
        <v>3</v>
      </c>
      <c r="R205" s="792">
        <f t="shared" ca="1" si="183"/>
        <v>3</v>
      </c>
      <c r="S205" s="769">
        <f t="shared" si="184"/>
        <v>3</v>
      </c>
      <c r="T205" s="769">
        <f t="shared" ca="1" si="185"/>
        <v>-0.5</v>
      </c>
      <c r="U205" s="769">
        <f t="shared" ca="1" si="186"/>
        <v>2.262</v>
      </c>
      <c r="V205" s="769">
        <f t="shared" ca="1" si="187"/>
        <v>0</v>
      </c>
      <c r="W205" s="769">
        <f t="shared" ca="1" si="188"/>
        <v>4.7620000000000005</v>
      </c>
      <c r="X205" s="794">
        <f t="shared" si="189"/>
        <v>3</v>
      </c>
      <c r="Y205" s="769">
        <f t="shared" ca="1" si="190"/>
        <v>0.54772255750516607</v>
      </c>
      <c r="Z205" s="769">
        <f t="shared" ca="1" si="191"/>
        <v>0</v>
      </c>
      <c r="AA205" s="795">
        <f t="shared" ca="1" si="192"/>
        <v>0</v>
      </c>
      <c r="AB205" s="769">
        <f t="shared" ca="1" si="193"/>
        <v>0</v>
      </c>
      <c r="AC205" s="769">
        <f t="shared" ca="1" si="194"/>
        <v>0</v>
      </c>
      <c r="AD205" s="769">
        <f t="shared" ca="1" si="195"/>
        <v>0</v>
      </c>
      <c r="AE205" s="794">
        <f t="shared" ca="1" si="196"/>
        <v>0</v>
      </c>
      <c r="AF205" s="769">
        <f t="shared" ca="1" si="197"/>
        <v>0</v>
      </c>
      <c r="AG205" s="769">
        <f t="shared" ca="1" si="198"/>
        <v>0</v>
      </c>
      <c r="AH205" s="799">
        <f t="shared" ca="1" si="199"/>
        <v>0</v>
      </c>
      <c r="AI205" s="801">
        <f t="shared" ca="1" si="200"/>
        <v>1</v>
      </c>
      <c r="AJ205" s="794">
        <f t="shared" ca="1" si="201"/>
        <v>0</v>
      </c>
      <c r="AK205" s="769">
        <f t="shared" ca="1" si="202"/>
        <v>0</v>
      </c>
      <c r="AL205" s="769">
        <f t="shared" ca="1" si="203"/>
        <v>0</v>
      </c>
      <c r="AM205" s="804">
        <f t="shared" ca="1" si="153"/>
        <v>0</v>
      </c>
      <c r="AN205" s="795">
        <f t="shared" ca="1" si="154"/>
        <v>0</v>
      </c>
      <c r="AO205" s="251"/>
      <c r="AP205" s="770">
        <f t="shared" si="204"/>
        <v>0</v>
      </c>
      <c r="AQ205" s="771">
        <f t="shared" ca="1" si="205"/>
        <v>0</v>
      </c>
      <c r="AR205" s="771">
        <f t="shared" ca="1" si="206"/>
        <v>0</v>
      </c>
      <c r="AS205" s="772">
        <f t="shared" ca="1" si="207"/>
        <v>0</v>
      </c>
      <c r="AT205" s="231"/>
      <c r="AU205" s="770">
        <f>'Main Results - IRR DC Operator'!$F$16</f>
        <v>2</v>
      </c>
      <c r="AV205" s="773">
        <f>'Main Results - IRR DC Operator'!$F$15</f>
        <v>1</v>
      </c>
      <c r="AW205" s="771">
        <f t="shared" ca="1" si="208"/>
        <v>0</v>
      </c>
      <c r="AX205" s="772">
        <f t="shared" si="209"/>
        <v>0</v>
      </c>
      <c r="AY205" s="231"/>
      <c r="AZ205" s="770" cm="1">
        <f t="array" aca="1" ref="AZ205" ca="1">INDIRECT("'Definition of Typical Day'!"&amp; ADDRESS($D205+29*(AZ$16-1),$E205))+$AZ$17</f>
        <v>11</v>
      </c>
      <c r="BA205" s="771" cm="1">
        <f t="array" aca="1" ref="BA205" ca="1">INDIRECT("'Definition of Typical Day'!"&amp; ADDRESS($D205+29*(BA$16-1),$E205))+$BA$17</f>
        <v>11</v>
      </c>
      <c r="BB205" s="772" cm="1">
        <f t="array" aca="1" ref="BB205" ca="1">INDIRECT("'Definition of Typical Day'!"&amp;ADDRESS(BB$16,$E205))</f>
        <v>0</v>
      </c>
      <c r="BC205" s="776" cm="1">
        <f t="array" aca="1" ref="BC205" ca="1">INDIRECT("'Definition of Typical Day'!"&amp; ADDRESS($D205+29*(BC$16-1),$E205))</f>
        <v>0</v>
      </c>
      <c r="BD205" s="777" cm="1">
        <f t="array" aca="1" ref="BD205" ca="1">INDIRECT("'Definition of Typical Day'!"&amp; ADDRESS($D205+29*(BD$16-1),$E205))</f>
        <v>0</v>
      </c>
      <c r="BE205" s="776">
        <f t="shared" si="210"/>
        <v>0</v>
      </c>
      <c r="BF205" s="771">
        <f t="shared" ca="1" si="211"/>
        <v>0</v>
      </c>
      <c r="BG205" s="771">
        <f t="shared" ca="1" si="212"/>
        <v>0</v>
      </c>
      <c r="BH205" s="771">
        <f t="shared" ca="1" si="213"/>
        <v>0</v>
      </c>
      <c r="BI205" s="776">
        <f t="shared" ca="1" si="214"/>
        <v>0</v>
      </c>
      <c r="BJ205" s="776">
        <f t="shared" ca="1" si="215"/>
        <v>0</v>
      </c>
      <c r="BK205" s="776">
        <f t="shared" ca="1" si="216"/>
        <v>0</v>
      </c>
      <c r="BL205" s="776">
        <f t="shared" ca="1" si="217"/>
        <v>0</v>
      </c>
      <c r="BM205" s="135"/>
      <c r="BN205" s="776">
        <f t="shared" ca="1" si="218"/>
        <v>0</v>
      </c>
      <c r="BO205" s="778">
        <f t="shared" ca="1" si="155"/>
        <v>0</v>
      </c>
      <c r="BP205" s="770">
        <f t="shared" ca="1" si="156"/>
        <v>0</v>
      </c>
      <c r="BQ205" s="771">
        <f t="shared" ca="1" si="157"/>
        <v>0</v>
      </c>
      <c r="BR205" s="771">
        <f t="shared" ca="1" si="158"/>
        <v>0</v>
      </c>
      <c r="BS205" s="776">
        <f t="shared" ca="1" si="219"/>
        <v>0</v>
      </c>
      <c r="BT205" s="776">
        <f t="shared" ca="1" si="159"/>
        <v>0</v>
      </c>
      <c r="BU205" s="783">
        <f t="shared" ca="1" si="160"/>
        <v>0</v>
      </c>
      <c r="BV205" s="783">
        <f t="shared" ca="1" si="161"/>
        <v>0</v>
      </c>
      <c r="BW205" s="1019">
        <f t="shared" ca="1" si="220"/>
        <v>0</v>
      </c>
      <c r="BX205" s="771" cm="1">
        <f t="array" aca="1" ref="BX205" ca="1">INDIRECT("'Definition of Typical Day'!"&amp; ADDRESS($D205+29*(BX$16-1),$E205))</f>
        <v>0</v>
      </c>
      <c r="BY205" s="771">
        <f t="shared" ca="1" si="221"/>
        <v>0</v>
      </c>
      <c r="BZ205" s="781">
        <f t="shared" ca="1" si="162"/>
        <v>0</v>
      </c>
      <c r="CA205" s="781">
        <f t="shared" ca="1" si="163"/>
        <v>0</v>
      </c>
      <c r="CB205" s="776">
        <f t="shared" ca="1" si="164"/>
        <v>0</v>
      </c>
      <c r="CC205" s="782">
        <f t="shared" si="165"/>
        <v>8</v>
      </c>
      <c r="CD205" s="782">
        <f t="shared" si="166"/>
        <v>17</v>
      </c>
      <c r="CE205" s="784" cm="1">
        <f t="array" aca="1" ref="CE205" ca="1">INDIRECT("'Definition of Typical Day'!"&amp;ADDRESS(CE$16,$E205))</f>
        <v>8</v>
      </c>
      <c r="CF205" s="232"/>
      <c r="CG205" s="232"/>
      <c r="CH205" s="776">
        <f t="shared" ca="1" si="167"/>
        <v>0</v>
      </c>
      <c r="CI205" s="806">
        <f t="shared" ca="1" si="168"/>
        <v>0</v>
      </c>
      <c r="CJ205" s="770">
        <f t="shared" ca="1" si="169"/>
        <v>0</v>
      </c>
      <c r="CK205" s="771">
        <f t="shared" ca="1" si="170"/>
        <v>0</v>
      </c>
      <c r="CL205" s="771">
        <f t="shared" ca="1" si="171"/>
        <v>0</v>
      </c>
      <c r="CM205" s="772">
        <f t="shared" ca="1" si="172"/>
        <v>0</v>
      </c>
      <c r="CN205" s="135"/>
      <c r="CO205" s="770">
        <f t="shared" ca="1" si="222"/>
        <v>1.05</v>
      </c>
      <c r="CP205" s="771">
        <f t="shared" ca="1" si="173"/>
        <v>0.02</v>
      </c>
      <c r="CQ205" s="771">
        <f t="shared" ca="1" si="174"/>
        <v>-2.5000000000000001E-2</v>
      </c>
      <c r="CR205" s="771">
        <f t="shared" ca="1" si="175"/>
        <v>0.95</v>
      </c>
      <c r="CS205" s="771">
        <f t="shared" ca="1" si="176"/>
        <v>0.03</v>
      </c>
      <c r="CT205" s="772">
        <f t="shared" ca="1" si="177"/>
        <v>0.02</v>
      </c>
      <c r="CU205" s="135"/>
      <c r="CV205" s="135"/>
      <c r="CW205" s="135"/>
      <c r="CX205" s="135"/>
      <c r="CY205" s="135"/>
      <c r="CZ205" s="135"/>
      <c r="DA205" s="135"/>
      <c r="DB205" s="135"/>
      <c r="DC205" s="135"/>
      <c r="DD205" s="135"/>
      <c r="DE205" s="135"/>
      <c r="DF205" s="135"/>
      <c r="DG205" s="135"/>
      <c r="DH205" s="135"/>
      <c r="DI205" s="135"/>
      <c r="DJ205" s="135"/>
      <c r="DK205" s="135"/>
      <c r="DL205" s="135"/>
      <c r="DX205" s="135"/>
      <c r="DY205" s="135"/>
      <c r="DZ205" s="135"/>
      <c r="EA205" s="135"/>
      <c r="EB205" s="135"/>
      <c r="EC205" s="135"/>
      <c r="ED205" s="135"/>
      <c r="EE205" s="135"/>
      <c r="EF205" s="135"/>
      <c r="EG205" s="135"/>
      <c r="EH205" s="135"/>
      <c r="EI205" s="135"/>
      <c r="EJ205" s="135"/>
      <c r="EK205" s="135"/>
      <c r="EL205" s="135"/>
      <c r="EM205" s="135"/>
      <c r="EN205" s="135"/>
      <c r="EO205" s="135"/>
      <c r="EP205" s="135"/>
      <c r="EQ205" s="135"/>
      <c r="ER205" s="135"/>
      <c r="ES205" s="135"/>
      <c r="ET205" s="135"/>
      <c r="EU205" s="135"/>
      <c r="EV205" s="135"/>
      <c r="EW205" s="135"/>
      <c r="EX205" s="135"/>
      <c r="EY205" s="135"/>
      <c r="EZ205" s="135"/>
      <c r="FA205" s="135"/>
      <c r="FB205" s="135"/>
      <c r="FC205" s="135"/>
      <c r="FD205" s="135"/>
      <c r="FE205" s="135"/>
      <c r="FF205" s="135"/>
      <c r="FG205" s="135"/>
    </row>
    <row r="206" spans="1:163" s="57" customFormat="1" ht="11.25" outlineLevel="1">
      <c r="A206" s="765">
        <f t="shared" si="223"/>
        <v>8</v>
      </c>
      <c r="B206" s="715" cm="1">
        <f t="array" aca="1" ref="B206" ca="1">INDIRECT("'Definition of Typical Day'!"&amp;ADDRESS(B$16,$E206))</f>
        <v>8</v>
      </c>
      <c r="C206" s="766">
        <f t="shared" si="224"/>
        <v>18</v>
      </c>
      <c r="D206" s="715">
        <f t="shared" si="224"/>
        <v>52</v>
      </c>
      <c r="E206" s="715">
        <f t="shared" si="152"/>
        <v>12</v>
      </c>
      <c r="F206" s="767" cm="1">
        <f t="array" aca="1" ref="F206" ca="1">INDIRECT("'Definition of Typical Day'!D"&amp;D206)</f>
        <v>18</v>
      </c>
      <c r="G206" s="767" cm="1">
        <f t="array" aca="1" ref="G206" ca="1">INDIRECT("'Definition of Typical Day'!"&amp;ADDRESS(13,E206))</f>
        <v>8</v>
      </c>
      <c r="H206" s="768" cm="1">
        <f t="array" aca="1" ref="H206" ca="1">INDIRECT("'Definition of Typical Day'!"&amp; ADDRESS($D206+28*(H$16-1),$E206))</f>
        <v>0</v>
      </c>
      <c r="I206" s="715" cm="1">
        <f t="array" aca="1" ref="I206" ca="1">INDIRECT("'Definition of Typical Day'!"&amp; ADDRESS($D206+29*(I$16-1),$E206))</f>
        <v>0</v>
      </c>
      <c r="J206" s="715">
        <f t="shared" ca="1" si="178"/>
        <v>0</v>
      </c>
      <c r="K206" s="785">
        <f t="shared" si="179"/>
        <v>28</v>
      </c>
      <c r="L206" s="786" cm="1">
        <f t="array" aca="1" ref="L206" ca="1">INDIRECT("'Definition of Typical Day'!"&amp; ADDRESS($D206+29*(L$16-1),$E206))</f>
        <v>0</v>
      </c>
      <c r="M206" s="768" cm="1">
        <f t="array" aca="1" ref="M206" ca="1">INDIRECT("'Definition of Typical Day'!"&amp; ADDRESS($D206+29*(M$16-1),$E206))</f>
        <v>0</v>
      </c>
      <c r="N206" s="715">
        <f t="shared" si="180"/>
        <v>3</v>
      </c>
      <c r="O206" s="715">
        <f t="shared" ca="1" si="181"/>
        <v>3</v>
      </c>
      <c r="P206" s="715" cm="1">
        <f t="array" aca="1" ref="P206" ca="1">INDIRECT("'Definition of Typical Day'!"&amp; ADDRESS($D206+29*(P$16-1),$E206))</f>
        <v>0</v>
      </c>
      <c r="Q206" s="787">
        <f t="shared" ca="1" si="182"/>
        <v>3</v>
      </c>
      <c r="R206" s="792">
        <f t="shared" ca="1" si="183"/>
        <v>3</v>
      </c>
      <c r="S206" s="769">
        <f t="shared" si="184"/>
        <v>3</v>
      </c>
      <c r="T206" s="769">
        <f t="shared" ca="1" si="185"/>
        <v>-0.5</v>
      </c>
      <c r="U206" s="769">
        <f t="shared" ca="1" si="186"/>
        <v>2.262</v>
      </c>
      <c r="V206" s="769">
        <f t="shared" ca="1" si="187"/>
        <v>0</v>
      </c>
      <c r="W206" s="769">
        <f t="shared" ca="1" si="188"/>
        <v>4.7620000000000005</v>
      </c>
      <c r="X206" s="794">
        <f t="shared" si="189"/>
        <v>3</v>
      </c>
      <c r="Y206" s="769">
        <f t="shared" ca="1" si="190"/>
        <v>0.54772255750516607</v>
      </c>
      <c r="Z206" s="769">
        <f t="shared" ca="1" si="191"/>
        <v>0</v>
      </c>
      <c r="AA206" s="795">
        <f t="shared" ca="1" si="192"/>
        <v>0</v>
      </c>
      <c r="AB206" s="769">
        <f t="shared" ca="1" si="193"/>
        <v>0</v>
      </c>
      <c r="AC206" s="769">
        <f t="shared" ca="1" si="194"/>
        <v>0</v>
      </c>
      <c r="AD206" s="769">
        <f t="shared" ca="1" si="195"/>
        <v>0</v>
      </c>
      <c r="AE206" s="794">
        <f t="shared" ca="1" si="196"/>
        <v>0</v>
      </c>
      <c r="AF206" s="769">
        <f t="shared" ca="1" si="197"/>
        <v>0</v>
      </c>
      <c r="AG206" s="769">
        <f t="shared" ca="1" si="198"/>
        <v>0</v>
      </c>
      <c r="AH206" s="799">
        <f t="shared" ca="1" si="199"/>
        <v>0</v>
      </c>
      <c r="AI206" s="801">
        <f t="shared" ca="1" si="200"/>
        <v>1</v>
      </c>
      <c r="AJ206" s="794">
        <f t="shared" ca="1" si="201"/>
        <v>0</v>
      </c>
      <c r="AK206" s="769">
        <f t="shared" ca="1" si="202"/>
        <v>0</v>
      </c>
      <c r="AL206" s="769">
        <f t="shared" ca="1" si="203"/>
        <v>0</v>
      </c>
      <c r="AM206" s="804">
        <f t="shared" ca="1" si="153"/>
        <v>0</v>
      </c>
      <c r="AN206" s="795">
        <f t="shared" ca="1" si="154"/>
        <v>0</v>
      </c>
      <c r="AO206" s="251"/>
      <c r="AP206" s="770">
        <f t="shared" si="204"/>
        <v>0</v>
      </c>
      <c r="AQ206" s="771">
        <f t="shared" ca="1" si="205"/>
        <v>0</v>
      </c>
      <c r="AR206" s="771">
        <f t="shared" ca="1" si="206"/>
        <v>0</v>
      </c>
      <c r="AS206" s="772">
        <f t="shared" ca="1" si="207"/>
        <v>0</v>
      </c>
      <c r="AT206" s="231"/>
      <c r="AU206" s="770">
        <f>'Main Results - IRR DC Operator'!$F$16</f>
        <v>2</v>
      </c>
      <c r="AV206" s="773">
        <f>'Main Results - IRR DC Operator'!$F$15</f>
        <v>1</v>
      </c>
      <c r="AW206" s="771">
        <f t="shared" ca="1" si="208"/>
        <v>0</v>
      </c>
      <c r="AX206" s="772">
        <f t="shared" si="209"/>
        <v>0</v>
      </c>
      <c r="AY206" s="231"/>
      <c r="AZ206" s="770" cm="1">
        <f t="array" aca="1" ref="AZ206" ca="1">INDIRECT("'Definition of Typical Day'!"&amp; ADDRESS($D206+29*(AZ$16-1),$E206))+$AZ$17</f>
        <v>11</v>
      </c>
      <c r="BA206" s="771" cm="1">
        <f t="array" aca="1" ref="BA206" ca="1">INDIRECT("'Definition of Typical Day'!"&amp; ADDRESS($D206+29*(BA$16-1),$E206))+$BA$17</f>
        <v>11</v>
      </c>
      <c r="BB206" s="772" cm="1">
        <f t="array" aca="1" ref="BB206" ca="1">INDIRECT("'Definition of Typical Day'!"&amp;ADDRESS(BB$16,$E206))</f>
        <v>0</v>
      </c>
      <c r="BC206" s="776" cm="1">
        <f t="array" aca="1" ref="BC206" ca="1">INDIRECT("'Definition of Typical Day'!"&amp; ADDRESS($D206+29*(BC$16-1),$E206))</f>
        <v>0</v>
      </c>
      <c r="BD206" s="777" cm="1">
        <f t="array" aca="1" ref="BD206" ca="1">INDIRECT("'Definition of Typical Day'!"&amp; ADDRESS($D206+29*(BD$16-1),$E206))</f>
        <v>0</v>
      </c>
      <c r="BE206" s="776">
        <f t="shared" si="210"/>
        <v>0</v>
      </c>
      <c r="BF206" s="771">
        <f t="shared" ca="1" si="211"/>
        <v>0</v>
      </c>
      <c r="BG206" s="771">
        <f t="shared" ca="1" si="212"/>
        <v>0</v>
      </c>
      <c r="BH206" s="771">
        <f t="shared" ca="1" si="213"/>
        <v>0</v>
      </c>
      <c r="BI206" s="776">
        <f t="shared" ca="1" si="214"/>
        <v>0</v>
      </c>
      <c r="BJ206" s="776">
        <f t="shared" ca="1" si="215"/>
        <v>0</v>
      </c>
      <c r="BK206" s="776">
        <f t="shared" ca="1" si="216"/>
        <v>0</v>
      </c>
      <c r="BL206" s="776">
        <f t="shared" ca="1" si="217"/>
        <v>0</v>
      </c>
      <c r="BM206" s="135"/>
      <c r="BN206" s="776">
        <f t="shared" ca="1" si="218"/>
        <v>0</v>
      </c>
      <c r="BO206" s="778">
        <f t="shared" ca="1" si="155"/>
        <v>0</v>
      </c>
      <c r="BP206" s="770">
        <f t="shared" ca="1" si="156"/>
        <v>0</v>
      </c>
      <c r="BQ206" s="771">
        <f t="shared" ca="1" si="157"/>
        <v>0</v>
      </c>
      <c r="BR206" s="771">
        <f t="shared" ca="1" si="158"/>
        <v>0</v>
      </c>
      <c r="BS206" s="776">
        <f t="shared" ca="1" si="219"/>
        <v>0</v>
      </c>
      <c r="BT206" s="776">
        <f t="shared" ca="1" si="159"/>
        <v>0</v>
      </c>
      <c r="BU206" s="783">
        <f t="shared" ca="1" si="160"/>
        <v>0</v>
      </c>
      <c r="BV206" s="783">
        <f t="shared" ca="1" si="161"/>
        <v>0</v>
      </c>
      <c r="BW206" s="1019">
        <f t="shared" ca="1" si="220"/>
        <v>0</v>
      </c>
      <c r="BX206" s="771" cm="1">
        <f t="array" aca="1" ref="BX206" ca="1">INDIRECT("'Definition of Typical Day'!"&amp; ADDRESS($D206+29*(BX$16-1),$E206))</f>
        <v>0</v>
      </c>
      <c r="BY206" s="771">
        <f t="shared" ca="1" si="221"/>
        <v>0</v>
      </c>
      <c r="BZ206" s="781">
        <f t="shared" ca="1" si="162"/>
        <v>0</v>
      </c>
      <c r="CA206" s="781">
        <f t="shared" ca="1" si="163"/>
        <v>0</v>
      </c>
      <c r="CB206" s="776">
        <f t="shared" ca="1" si="164"/>
        <v>0</v>
      </c>
      <c r="CC206" s="782">
        <f t="shared" si="165"/>
        <v>8</v>
      </c>
      <c r="CD206" s="782">
        <f t="shared" si="166"/>
        <v>18</v>
      </c>
      <c r="CE206" s="784" cm="1">
        <f t="array" aca="1" ref="CE206" ca="1">INDIRECT("'Definition of Typical Day'!"&amp;ADDRESS(CE$16,$E206))</f>
        <v>8</v>
      </c>
      <c r="CF206" s="232"/>
      <c r="CG206" s="232"/>
      <c r="CH206" s="776">
        <f t="shared" ca="1" si="167"/>
        <v>0</v>
      </c>
      <c r="CI206" s="806">
        <f t="shared" ca="1" si="168"/>
        <v>0</v>
      </c>
      <c r="CJ206" s="770">
        <f t="shared" ca="1" si="169"/>
        <v>0</v>
      </c>
      <c r="CK206" s="771">
        <f t="shared" ca="1" si="170"/>
        <v>0</v>
      </c>
      <c r="CL206" s="771">
        <f t="shared" ca="1" si="171"/>
        <v>0</v>
      </c>
      <c r="CM206" s="772">
        <f t="shared" ca="1" si="172"/>
        <v>0</v>
      </c>
      <c r="CN206" s="135"/>
      <c r="CO206" s="770">
        <f t="shared" ca="1" si="222"/>
        <v>1.05</v>
      </c>
      <c r="CP206" s="771">
        <f t="shared" ca="1" si="173"/>
        <v>0.02</v>
      </c>
      <c r="CQ206" s="771">
        <f t="shared" ca="1" si="174"/>
        <v>-2.5000000000000001E-2</v>
      </c>
      <c r="CR206" s="771">
        <f t="shared" ca="1" si="175"/>
        <v>0.95</v>
      </c>
      <c r="CS206" s="771">
        <f t="shared" ca="1" si="176"/>
        <v>0.03</v>
      </c>
      <c r="CT206" s="772">
        <f t="shared" ca="1" si="177"/>
        <v>0.02</v>
      </c>
      <c r="CU206" s="135"/>
      <c r="CV206" s="135"/>
      <c r="CW206" s="135"/>
      <c r="CX206" s="135"/>
      <c r="CY206" s="135"/>
      <c r="CZ206" s="135"/>
      <c r="DA206" s="135"/>
      <c r="DB206" s="135"/>
      <c r="DC206" s="135"/>
      <c r="DD206" s="135"/>
      <c r="DE206" s="135"/>
      <c r="DF206" s="135"/>
      <c r="DG206" s="135"/>
      <c r="DH206" s="135"/>
      <c r="DI206" s="135"/>
      <c r="DJ206" s="135"/>
      <c r="DK206" s="135"/>
      <c r="DL206" s="135"/>
      <c r="DX206" s="135"/>
      <c r="DY206" s="135"/>
      <c r="DZ206" s="135"/>
      <c r="EA206" s="135"/>
      <c r="EB206" s="135"/>
      <c r="EC206" s="135"/>
      <c r="ED206" s="135"/>
      <c r="EE206" s="135"/>
      <c r="EF206" s="135"/>
      <c r="EG206" s="135"/>
      <c r="EH206" s="135"/>
      <c r="EI206" s="135"/>
      <c r="EJ206" s="135"/>
      <c r="EK206" s="135"/>
      <c r="EL206" s="135"/>
      <c r="EM206" s="135"/>
      <c r="EN206" s="135"/>
      <c r="EO206" s="135"/>
      <c r="EP206" s="135"/>
      <c r="EQ206" s="135"/>
      <c r="ER206" s="135"/>
      <c r="ES206" s="135"/>
      <c r="ET206" s="135"/>
      <c r="EU206" s="135"/>
      <c r="EV206" s="135"/>
      <c r="EW206" s="135"/>
      <c r="EX206" s="135"/>
      <c r="EY206" s="135"/>
      <c r="EZ206" s="135"/>
      <c r="FA206" s="135"/>
      <c r="FB206" s="135"/>
      <c r="FC206" s="135"/>
      <c r="FD206" s="135"/>
      <c r="FE206" s="135"/>
      <c r="FF206" s="135"/>
      <c r="FG206" s="135"/>
    </row>
    <row r="207" spans="1:163" s="57" customFormat="1" ht="11.25" outlineLevel="1">
      <c r="A207" s="765">
        <f t="shared" si="223"/>
        <v>8</v>
      </c>
      <c r="B207" s="715" cm="1">
        <f t="array" aca="1" ref="B207" ca="1">INDIRECT("'Definition of Typical Day'!"&amp;ADDRESS(B$16,$E207))</f>
        <v>8</v>
      </c>
      <c r="C207" s="766">
        <f t="shared" si="224"/>
        <v>19</v>
      </c>
      <c r="D207" s="715">
        <f t="shared" si="224"/>
        <v>53</v>
      </c>
      <c r="E207" s="715">
        <f t="shared" si="152"/>
        <v>12</v>
      </c>
      <c r="F207" s="767" cm="1">
        <f t="array" aca="1" ref="F207" ca="1">INDIRECT("'Definition of Typical Day'!D"&amp;D207)</f>
        <v>19</v>
      </c>
      <c r="G207" s="767" cm="1">
        <f t="array" aca="1" ref="G207" ca="1">INDIRECT("'Definition of Typical Day'!"&amp;ADDRESS(13,E207))</f>
        <v>8</v>
      </c>
      <c r="H207" s="768" cm="1">
        <f t="array" aca="1" ref="H207" ca="1">INDIRECT("'Definition of Typical Day'!"&amp; ADDRESS($D207+28*(H$16-1),$E207))</f>
        <v>0</v>
      </c>
      <c r="I207" s="715" cm="1">
        <f t="array" aca="1" ref="I207" ca="1">INDIRECT("'Definition of Typical Day'!"&amp; ADDRESS($D207+29*(I$16-1),$E207))</f>
        <v>0</v>
      </c>
      <c r="J207" s="715">
        <f t="shared" ca="1" si="178"/>
        <v>0</v>
      </c>
      <c r="K207" s="785">
        <f t="shared" si="179"/>
        <v>28</v>
      </c>
      <c r="L207" s="786" cm="1">
        <f t="array" aca="1" ref="L207" ca="1">INDIRECT("'Definition of Typical Day'!"&amp; ADDRESS($D207+29*(L$16-1),$E207))</f>
        <v>0</v>
      </c>
      <c r="M207" s="768" cm="1">
        <f t="array" aca="1" ref="M207" ca="1">INDIRECT("'Definition of Typical Day'!"&amp; ADDRESS($D207+29*(M$16-1),$E207))</f>
        <v>0</v>
      </c>
      <c r="N207" s="715">
        <f t="shared" si="180"/>
        <v>3</v>
      </c>
      <c r="O207" s="715">
        <f t="shared" ca="1" si="181"/>
        <v>3</v>
      </c>
      <c r="P207" s="715" cm="1">
        <f t="array" aca="1" ref="P207" ca="1">INDIRECT("'Definition of Typical Day'!"&amp; ADDRESS($D207+29*(P$16-1),$E207))</f>
        <v>0</v>
      </c>
      <c r="Q207" s="787">
        <f t="shared" ca="1" si="182"/>
        <v>3</v>
      </c>
      <c r="R207" s="792">
        <f t="shared" ca="1" si="183"/>
        <v>3</v>
      </c>
      <c r="S207" s="769">
        <f t="shared" si="184"/>
        <v>3</v>
      </c>
      <c r="T207" s="769">
        <f t="shared" ca="1" si="185"/>
        <v>-0.5</v>
      </c>
      <c r="U207" s="769">
        <f t="shared" ca="1" si="186"/>
        <v>2.262</v>
      </c>
      <c r="V207" s="769">
        <f t="shared" ca="1" si="187"/>
        <v>0</v>
      </c>
      <c r="W207" s="769">
        <f t="shared" ca="1" si="188"/>
        <v>4.7620000000000005</v>
      </c>
      <c r="X207" s="794">
        <f t="shared" si="189"/>
        <v>3</v>
      </c>
      <c r="Y207" s="769">
        <f t="shared" ca="1" si="190"/>
        <v>0.54772255750516607</v>
      </c>
      <c r="Z207" s="769">
        <f t="shared" ca="1" si="191"/>
        <v>0</v>
      </c>
      <c r="AA207" s="795">
        <f t="shared" ca="1" si="192"/>
        <v>0</v>
      </c>
      <c r="AB207" s="769">
        <f t="shared" ca="1" si="193"/>
        <v>0</v>
      </c>
      <c r="AC207" s="769">
        <f t="shared" ca="1" si="194"/>
        <v>0</v>
      </c>
      <c r="AD207" s="769">
        <f t="shared" ca="1" si="195"/>
        <v>0</v>
      </c>
      <c r="AE207" s="794">
        <f t="shared" ca="1" si="196"/>
        <v>0</v>
      </c>
      <c r="AF207" s="769">
        <f t="shared" ca="1" si="197"/>
        <v>0</v>
      </c>
      <c r="AG207" s="769">
        <f t="shared" ca="1" si="198"/>
        <v>0</v>
      </c>
      <c r="AH207" s="799">
        <f t="shared" ca="1" si="199"/>
        <v>0</v>
      </c>
      <c r="AI207" s="801">
        <f t="shared" ca="1" si="200"/>
        <v>1</v>
      </c>
      <c r="AJ207" s="794">
        <f t="shared" ca="1" si="201"/>
        <v>0</v>
      </c>
      <c r="AK207" s="769">
        <f t="shared" ca="1" si="202"/>
        <v>0</v>
      </c>
      <c r="AL207" s="769">
        <f t="shared" ca="1" si="203"/>
        <v>0</v>
      </c>
      <c r="AM207" s="804">
        <f t="shared" ca="1" si="153"/>
        <v>0</v>
      </c>
      <c r="AN207" s="795">
        <f t="shared" ca="1" si="154"/>
        <v>0</v>
      </c>
      <c r="AO207" s="251"/>
      <c r="AP207" s="770">
        <f t="shared" si="204"/>
        <v>0</v>
      </c>
      <c r="AQ207" s="771">
        <f t="shared" ca="1" si="205"/>
        <v>0</v>
      </c>
      <c r="AR207" s="771">
        <f t="shared" ca="1" si="206"/>
        <v>0</v>
      </c>
      <c r="AS207" s="772">
        <f t="shared" ca="1" si="207"/>
        <v>0</v>
      </c>
      <c r="AT207" s="231"/>
      <c r="AU207" s="770">
        <f>'Main Results - IRR DC Operator'!$F$16</f>
        <v>2</v>
      </c>
      <c r="AV207" s="773">
        <f>'Main Results - IRR DC Operator'!$F$15</f>
        <v>1</v>
      </c>
      <c r="AW207" s="771">
        <f t="shared" ca="1" si="208"/>
        <v>0</v>
      </c>
      <c r="AX207" s="772">
        <f t="shared" si="209"/>
        <v>0</v>
      </c>
      <c r="AY207" s="231"/>
      <c r="AZ207" s="770" cm="1">
        <f t="array" aca="1" ref="AZ207" ca="1">INDIRECT("'Definition of Typical Day'!"&amp; ADDRESS($D207+29*(AZ$16-1),$E207))+$AZ$17</f>
        <v>11</v>
      </c>
      <c r="BA207" s="771" cm="1">
        <f t="array" aca="1" ref="BA207" ca="1">INDIRECT("'Definition of Typical Day'!"&amp; ADDRESS($D207+29*(BA$16-1),$E207))+$BA$17</f>
        <v>11</v>
      </c>
      <c r="BB207" s="772" cm="1">
        <f t="array" aca="1" ref="BB207" ca="1">INDIRECT("'Definition of Typical Day'!"&amp;ADDRESS(BB$16,$E207))</f>
        <v>0</v>
      </c>
      <c r="BC207" s="776" cm="1">
        <f t="array" aca="1" ref="BC207" ca="1">INDIRECT("'Definition of Typical Day'!"&amp; ADDRESS($D207+29*(BC$16-1),$E207))</f>
        <v>0</v>
      </c>
      <c r="BD207" s="777" cm="1">
        <f t="array" aca="1" ref="BD207" ca="1">INDIRECT("'Definition of Typical Day'!"&amp; ADDRESS($D207+29*(BD$16-1),$E207))</f>
        <v>0</v>
      </c>
      <c r="BE207" s="776">
        <f t="shared" si="210"/>
        <v>0</v>
      </c>
      <c r="BF207" s="771">
        <f t="shared" ca="1" si="211"/>
        <v>0</v>
      </c>
      <c r="BG207" s="771">
        <f t="shared" ca="1" si="212"/>
        <v>0</v>
      </c>
      <c r="BH207" s="771">
        <f t="shared" ca="1" si="213"/>
        <v>0</v>
      </c>
      <c r="BI207" s="776">
        <f t="shared" ca="1" si="214"/>
        <v>0</v>
      </c>
      <c r="BJ207" s="776">
        <f t="shared" ca="1" si="215"/>
        <v>0</v>
      </c>
      <c r="BK207" s="776">
        <f t="shared" ca="1" si="216"/>
        <v>0</v>
      </c>
      <c r="BL207" s="776">
        <f t="shared" ca="1" si="217"/>
        <v>0</v>
      </c>
      <c r="BM207" s="135"/>
      <c r="BN207" s="776">
        <f t="shared" ca="1" si="218"/>
        <v>0</v>
      </c>
      <c r="BO207" s="778">
        <f t="shared" ca="1" si="155"/>
        <v>0</v>
      </c>
      <c r="BP207" s="770">
        <f t="shared" ca="1" si="156"/>
        <v>0</v>
      </c>
      <c r="BQ207" s="771">
        <f t="shared" ca="1" si="157"/>
        <v>0</v>
      </c>
      <c r="BR207" s="771">
        <f t="shared" ca="1" si="158"/>
        <v>0</v>
      </c>
      <c r="BS207" s="776">
        <f t="shared" ca="1" si="219"/>
        <v>0</v>
      </c>
      <c r="BT207" s="776">
        <f t="shared" ca="1" si="159"/>
        <v>0</v>
      </c>
      <c r="BU207" s="783">
        <f t="shared" ca="1" si="160"/>
        <v>0</v>
      </c>
      <c r="BV207" s="783">
        <f t="shared" ca="1" si="161"/>
        <v>0</v>
      </c>
      <c r="BW207" s="1019">
        <f t="shared" ca="1" si="220"/>
        <v>0</v>
      </c>
      <c r="BX207" s="771" cm="1">
        <f t="array" aca="1" ref="BX207" ca="1">INDIRECT("'Definition of Typical Day'!"&amp; ADDRESS($D207+29*(BX$16-1),$E207))</f>
        <v>0</v>
      </c>
      <c r="BY207" s="771">
        <f t="shared" ca="1" si="221"/>
        <v>0</v>
      </c>
      <c r="BZ207" s="781">
        <f t="shared" ca="1" si="162"/>
        <v>0</v>
      </c>
      <c r="CA207" s="781">
        <f t="shared" ca="1" si="163"/>
        <v>0</v>
      </c>
      <c r="CB207" s="776">
        <f t="shared" ca="1" si="164"/>
        <v>0</v>
      </c>
      <c r="CC207" s="782">
        <f t="shared" si="165"/>
        <v>8</v>
      </c>
      <c r="CD207" s="782">
        <f t="shared" si="166"/>
        <v>19</v>
      </c>
      <c r="CE207" s="784" cm="1">
        <f t="array" aca="1" ref="CE207" ca="1">INDIRECT("'Definition of Typical Day'!"&amp;ADDRESS(CE$16,$E207))</f>
        <v>8</v>
      </c>
      <c r="CF207" s="232"/>
      <c r="CG207" s="232"/>
      <c r="CH207" s="776">
        <f t="shared" ca="1" si="167"/>
        <v>0</v>
      </c>
      <c r="CI207" s="806">
        <f t="shared" ca="1" si="168"/>
        <v>0</v>
      </c>
      <c r="CJ207" s="770">
        <f t="shared" ca="1" si="169"/>
        <v>0</v>
      </c>
      <c r="CK207" s="771">
        <f t="shared" ca="1" si="170"/>
        <v>0</v>
      </c>
      <c r="CL207" s="771">
        <f t="shared" ca="1" si="171"/>
        <v>0</v>
      </c>
      <c r="CM207" s="772">
        <f t="shared" ca="1" si="172"/>
        <v>0</v>
      </c>
      <c r="CN207" s="135"/>
      <c r="CO207" s="770">
        <f t="shared" ca="1" si="222"/>
        <v>1.05</v>
      </c>
      <c r="CP207" s="771">
        <f t="shared" ca="1" si="173"/>
        <v>0.02</v>
      </c>
      <c r="CQ207" s="771">
        <f t="shared" ca="1" si="174"/>
        <v>-2.5000000000000001E-2</v>
      </c>
      <c r="CR207" s="771">
        <f t="shared" ca="1" si="175"/>
        <v>0.95</v>
      </c>
      <c r="CS207" s="771">
        <f t="shared" ca="1" si="176"/>
        <v>0.03</v>
      </c>
      <c r="CT207" s="772">
        <f t="shared" ca="1" si="177"/>
        <v>0.02</v>
      </c>
      <c r="CU207" s="135"/>
      <c r="CV207" s="135"/>
      <c r="CW207" s="135"/>
      <c r="CX207" s="135"/>
      <c r="CY207" s="135"/>
      <c r="CZ207" s="135"/>
      <c r="DA207" s="135"/>
      <c r="DB207" s="135"/>
      <c r="DC207" s="135"/>
      <c r="DD207" s="135"/>
      <c r="DE207" s="135"/>
      <c r="DF207" s="135"/>
      <c r="DG207" s="135"/>
      <c r="DH207" s="135"/>
      <c r="DI207" s="135"/>
      <c r="DJ207" s="135"/>
      <c r="DK207" s="135"/>
      <c r="DL207" s="135"/>
      <c r="DX207" s="135"/>
      <c r="DY207" s="135"/>
      <c r="DZ207" s="135"/>
      <c r="EA207" s="135"/>
      <c r="EB207" s="135"/>
      <c r="EC207" s="135"/>
      <c r="ED207" s="135"/>
      <c r="EE207" s="135"/>
      <c r="EF207" s="135"/>
      <c r="EG207" s="135"/>
      <c r="EH207" s="135"/>
      <c r="EI207" s="135"/>
      <c r="EJ207" s="135"/>
      <c r="EK207" s="135"/>
      <c r="EL207" s="135"/>
      <c r="EM207" s="135"/>
      <c r="EN207" s="135"/>
      <c r="EO207" s="135"/>
      <c r="EP207" s="135"/>
      <c r="EQ207" s="135"/>
      <c r="ER207" s="135"/>
      <c r="ES207" s="135"/>
      <c r="ET207" s="135"/>
      <c r="EU207" s="135"/>
      <c r="EV207" s="135"/>
      <c r="EW207" s="135"/>
      <c r="EX207" s="135"/>
      <c r="EY207" s="135"/>
      <c r="EZ207" s="135"/>
      <c r="FA207" s="135"/>
      <c r="FB207" s="135"/>
      <c r="FC207" s="135"/>
      <c r="FD207" s="135"/>
      <c r="FE207" s="135"/>
      <c r="FF207" s="135"/>
      <c r="FG207" s="135"/>
    </row>
    <row r="208" spans="1:163" s="57" customFormat="1" ht="11.25" outlineLevel="1">
      <c r="A208" s="765">
        <f t="shared" si="223"/>
        <v>8</v>
      </c>
      <c r="B208" s="715" cm="1">
        <f t="array" aca="1" ref="B208" ca="1">INDIRECT("'Definition of Typical Day'!"&amp;ADDRESS(B$16,$E208))</f>
        <v>8</v>
      </c>
      <c r="C208" s="766">
        <f t="shared" si="224"/>
        <v>20</v>
      </c>
      <c r="D208" s="715">
        <f t="shared" si="224"/>
        <v>54</v>
      </c>
      <c r="E208" s="715">
        <f t="shared" si="152"/>
        <v>12</v>
      </c>
      <c r="F208" s="767" cm="1">
        <f t="array" aca="1" ref="F208" ca="1">INDIRECT("'Definition of Typical Day'!D"&amp;D208)</f>
        <v>20</v>
      </c>
      <c r="G208" s="767" cm="1">
        <f t="array" aca="1" ref="G208" ca="1">INDIRECT("'Definition of Typical Day'!"&amp;ADDRESS(13,E208))</f>
        <v>8</v>
      </c>
      <c r="H208" s="768" cm="1">
        <f t="array" aca="1" ref="H208" ca="1">INDIRECT("'Definition of Typical Day'!"&amp; ADDRESS($D208+28*(H$16-1),$E208))</f>
        <v>0</v>
      </c>
      <c r="I208" s="715" cm="1">
        <f t="array" aca="1" ref="I208" ca="1">INDIRECT("'Definition of Typical Day'!"&amp; ADDRESS($D208+29*(I$16-1),$E208))</f>
        <v>0</v>
      </c>
      <c r="J208" s="715">
        <f t="shared" ca="1" si="178"/>
        <v>0</v>
      </c>
      <c r="K208" s="785">
        <f t="shared" si="179"/>
        <v>28</v>
      </c>
      <c r="L208" s="786" cm="1">
        <f t="array" aca="1" ref="L208" ca="1">INDIRECT("'Definition of Typical Day'!"&amp; ADDRESS($D208+29*(L$16-1),$E208))</f>
        <v>0</v>
      </c>
      <c r="M208" s="768" cm="1">
        <f t="array" aca="1" ref="M208" ca="1">INDIRECT("'Definition of Typical Day'!"&amp; ADDRESS($D208+29*(M$16-1),$E208))</f>
        <v>0</v>
      </c>
      <c r="N208" s="715">
        <f t="shared" si="180"/>
        <v>3</v>
      </c>
      <c r="O208" s="715">
        <f t="shared" ca="1" si="181"/>
        <v>3</v>
      </c>
      <c r="P208" s="715" cm="1">
        <f t="array" aca="1" ref="P208" ca="1">INDIRECT("'Definition of Typical Day'!"&amp; ADDRESS($D208+29*(P$16-1),$E208))</f>
        <v>0</v>
      </c>
      <c r="Q208" s="787">
        <f t="shared" ca="1" si="182"/>
        <v>3</v>
      </c>
      <c r="R208" s="792">
        <f t="shared" ca="1" si="183"/>
        <v>3</v>
      </c>
      <c r="S208" s="769">
        <f t="shared" si="184"/>
        <v>3</v>
      </c>
      <c r="T208" s="769">
        <f t="shared" ca="1" si="185"/>
        <v>-0.5</v>
      </c>
      <c r="U208" s="769">
        <f t="shared" ca="1" si="186"/>
        <v>2.262</v>
      </c>
      <c r="V208" s="769">
        <f t="shared" ca="1" si="187"/>
        <v>0</v>
      </c>
      <c r="W208" s="769">
        <f t="shared" ca="1" si="188"/>
        <v>4.7620000000000005</v>
      </c>
      <c r="X208" s="794">
        <f t="shared" si="189"/>
        <v>3</v>
      </c>
      <c r="Y208" s="769">
        <f t="shared" ca="1" si="190"/>
        <v>0.54772255750516607</v>
      </c>
      <c r="Z208" s="769">
        <f t="shared" ca="1" si="191"/>
        <v>0</v>
      </c>
      <c r="AA208" s="795">
        <f t="shared" ca="1" si="192"/>
        <v>0</v>
      </c>
      <c r="AB208" s="769">
        <f t="shared" ca="1" si="193"/>
        <v>0</v>
      </c>
      <c r="AC208" s="769">
        <f t="shared" ca="1" si="194"/>
        <v>0</v>
      </c>
      <c r="AD208" s="769">
        <f t="shared" ca="1" si="195"/>
        <v>0</v>
      </c>
      <c r="AE208" s="794">
        <f t="shared" ca="1" si="196"/>
        <v>0</v>
      </c>
      <c r="AF208" s="769">
        <f t="shared" ca="1" si="197"/>
        <v>0</v>
      </c>
      <c r="AG208" s="769">
        <f t="shared" ca="1" si="198"/>
        <v>0</v>
      </c>
      <c r="AH208" s="799">
        <f t="shared" ca="1" si="199"/>
        <v>0</v>
      </c>
      <c r="AI208" s="801">
        <f t="shared" ca="1" si="200"/>
        <v>1</v>
      </c>
      <c r="AJ208" s="794">
        <f t="shared" ca="1" si="201"/>
        <v>0</v>
      </c>
      <c r="AK208" s="769">
        <f t="shared" ca="1" si="202"/>
        <v>0</v>
      </c>
      <c r="AL208" s="769">
        <f t="shared" ca="1" si="203"/>
        <v>0</v>
      </c>
      <c r="AM208" s="804">
        <f t="shared" ca="1" si="153"/>
        <v>0</v>
      </c>
      <c r="AN208" s="795">
        <f t="shared" ca="1" si="154"/>
        <v>0</v>
      </c>
      <c r="AO208" s="251"/>
      <c r="AP208" s="770">
        <f t="shared" si="204"/>
        <v>0</v>
      </c>
      <c r="AQ208" s="771">
        <f t="shared" ca="1" si="205"/>
        <v>0</v>
      </c>
      <c r="AR208" s="771">
        <f t="shared" ca="1" si="206"/>
        <v>0</v>
      </c>
      <c r="AS208" s="772">
        <f t="shared" ca="1" si="207"/>
        <v>0</v>
      </c>
      <c r="AT208" s="231"/>
      <c r="AU208" s="770">
        <f>'Main Results - IRR DC Operator'!$F$16</f>
        <v>2</v>
      </c>
      <c r="AV208" s="773">
        <f>'Main Results - IRR DC Operator'!$F$15</f>
        <v>1</v>
      </c>
      <c r="AW208" s="771">
        <f t="shared" ca="1" si="208"/>
        <v>0</v>
      </c>
      <c r="AX208" s="772">
        <f t="shared" si="209"/>
        <v>0</v>
      </c>
      <c r="AY208" s="231"/>
      <c r="AZ208" s="770" cm="1">
        <f t="array" aca="1" ref="AZ208" ca="1">INDIRECT("'Definition of Typical Day'!"&amp; ADDRESS($D208+29*(AZ$16-1),$E208))+$AZ$17</f>
        <v>11</v>
      </c>
      <c r="BA208" s="771" cm="1">
        <f t="array" aca="1" ref="BA208" ca="1">INDIRECT("'Definition of Typical Day'!"&amp; ADDRESS($D208+29*(BA$16-1),$E208))+$BA$17</f>
        <v>11</v>
      </c>
      <c r="BB208" s="772" cm="1">
        <f t="array" aca="1" ref="BB208" ca="1">INDIRECT("'Definition of Typical Day'!"&amp;ADDRESS(BB$16,$E208))</f>
        <v>0</v>
      </c>
      <c r="BC208" s="776" cm="1">
        <f t="array" aca="1" ref="BC208" ca="1">INDIRECT("'Definition of Typical Day'!"&amp; ADDRESS($D208+29*(BC$16-1),$E208))</f>
        <v>0</v>
      </c>
      <c r="BD208" s="777" cm="1">
        <f t="array" aca="1" ref="BD208" ca="1">INDIRECT("'Definition of Typical Day'!"&amp; ADDRESS($D208+29*(BD$16-1),$E208))</f>
        <v>0</v>
      </c>
      <c r="BE208" s="776">
        <f t="shared" si="210"/>
        <v>0</v>
      </c>
      <c r="BF208" s="771">
        <f t="shared" ca="1" si="211"/>
        <v>0</v>
      </c>
      <c r="BG208" s="771">
        <f t="shared" ca="1" si="212"/>
        <v>0</v>
      </c>
      <c r="BH208" s="771">
        <f t="shared" ca="1" si="213"/>
        <v>0</v>
      </c>
      <c r="BI208" s="776">
        <f t="shared" ca="1" si="214"/>
        <v>0</v>
      </c>
      <c r="BJ208" s="776">
        <f t="shared" ca="1" si="215"/>
        <v>0</v>
      </c>
      <c r="BK208" s="776">
        <f t="shared" ca="1" si="216"/>
        <v>0</v>
      </c>
      <c r="BL208" s="776">
        <f t="shared" ca="1" si="217"/>
        <v>0</v>
      </c>
      <c r="BM208" s="135"/>
      <c r="BN208" s="776">
        <f t="shared" ca="1" si="218"/>
        <v>0</v>
      </c>
      <c r="BO208" s="778">
        <f t="shared" ca="1" si="155"/>
        <v>0</v>
      </c>
      <c r="BP208" s="770">
        <f t="shared" ca="1" si="156"/>
        <v>0</v>
      </c>
      <c r="BQ208" s="771">
        <f t="shared" ca="1" si="157"/>
        <v>0</v>
      </c>
      <c r="BR208" s="771">
        <f t="shared" ca="1" si="158"/>
        <v>0</v>
      </c>
      <c r="BS208" s="776">
        <f t="shared" ca="1" si="219"/>
        <v>0</v>
      </c>
      <c r="BT208" s="776">
        <f t="shared" ca="1" si="159"/>
        <v>0</v>
      </c>
      <c r="BU208" s="783">
        <f t="shared" ca="1" si="160"/>
        <v>0</v>
      </c>
      <c r="BV208" s="783">
        <f t="shared" ca="1" si="161"/>
        <v>0</v>
      </c>
      <c r="BW208" s="1019">
        <f t="shared" ca="1" si="220"/>
        <v>0</v>
      </c>
      <c r="BX208" s="771" cm="1">
        <f t="array" aca="1" ref="BX208" ca="1">INDIRECT("'Definition of Typical Day'!"&amp; ADDRESS($D208+29*(BX$16-1),$E208))</f>
        <v>0</v>
      </c>
      <c r="BY208" s="771">
        <f t="shared" ca="1" si="221"/>
        <v>0</v>
      </c>
      <c r="BZ208" s="781">
        <f t="shared" ca="1" si="162"/>
        <v>0</v>
      </c>
      <c r="CA208" s="781">
        <f t="shared" ca="1" si="163"/>
        <v>0</v>
      </c>
      <c r="CB208" s="776">
        <f t="shared" ca="1" si="164"/>
        <v>0</v>
      </c>
      <c r="CC208" s="782">
        <f t="shared" si="165"/>
        <v>8</v>
      </c>
      <c r="CD208" s="782">
        <f t="shared" si="166"/>
        <v>20</v>
      </c>
      <c r="CE208" s="784" cm="1">
        <f t="array" aca="1" ref="CE208" ca="1">INDIRECT("'Definition of Typical Day'!"&amp;ADDRESS(CE$16,$E208))</f>
        <v>8</v>
      </c>
      <c r="CF208" s="232"/>
      <c r="CG208" s="232"/>
      <c r="CH208" s="776">
        <f t="shared" ca="1" si="167"/>
        <v>0</v>
      </c>
      <c r="CI208" s="806">
        <f t="shared" ca="1" si="168"/>
        <v>0</v>
      </c>
      <c r="CJ208" s="770">
        <f t="shared" ca="1" si="169"/>
        <v>0</v>
      </c>
      <c r="CK208" s="771">
        <f t="shared" ca="1" si="170"/>
        <v>0</v>
      </c>
      <c r="CL208" s="771">
        <f t="shared" ca="1" si="171"/>
        <v>0</v>
      </c>
      <c r="CM208" s="772">
        <f t="shared" ca="1" si="172"/>
        <v>0</v>
      </c>
      <c r="CN208" s="135"/>
      <c r="CO208" s="770">
        <f t="shared" ca="1" si="222"/>
        <v>1.05</v>
      </c>
      <c r="CP208" s="771">
        <f t="shared" ca="1" si="173"/>
        <v>0.02</v>
      </c>
      <c r="CQ208" s="771">
        <f t="shared" ca="1" si="174"/>
        <v>-2.5000000000000001E-2</v>
      </c>
      <c r="CR208" s="771">
        <f t="shared" ca="1" si="175"/>
        <v>0.95</v>
      </c>
      <c r="CS208" s="771">
        <f t="shared" ca="1" si="176"/>
        <v>0.03</v>
      </c>
      <c r="CT208" s="772">
        <f t="shared" ca="1" si="177"/>
        <v>0.02</v>
      </c>
      <c r="CU208" s="135"/>
      <c r="CV208" s="135"/>
      <c r="CW208" s="135"/>
      <c r="CX208" s="135"/>
      <c r="CY208" s="135"/>
      <c r="CZ208" s="135"/>
      <c r="DA208" s="135"/>
      <c r="DB208" s="135"/>
      <c r="DC208" s="135"/>
      <c r="DD208" s="135"/>
      <c r="DE208" s="135"/>
      <c r="DF208" s="135"/>
      <c r="DG208" s="135"/>
      <c r="DH208" s="135"/>
      <c r="DI208" s="135"/>
      <c r="DJ208" s="135"/>
      <c r="DK208" s="135"/>
      <c r="DL208" s="135"/>
      <c r="DX208" s="135"/>
      <c r="DY208" s="135"/>
      <c r="DZ208" s="135"/>
      <c r="EA208" s="135"/>
      <c r="EB208" s="135"/>
      <c r="EC208" s="135"/>
      <c r="ED208" s="135"/>
      <c r="EE208" s="135"/>
      <c r="EF208" s="135"/>
      <c r="EG208" s="135"/>
      <c r="EH208" s="135"/>
      <c r="EI208" s="135"/>
      <c r="EJ208" s="135"/>
      <c r="EK208" s="135"/>
      <c r="EL208" s="135"/>
      <c r="EM208" s="135"/>
      <c r="EN208" s="135"/>
      <c r="EO208" s="135"/>
      <c r="EP208" s="135"/>
      <c r="EQ208" s="135"/>
      <c r="ER208" s="135"/>
      <c r="ES208" s="135"/>
      <c r="ET208" s="135"/>
      <c r="EU208" s="135"/>
      <c r="EV208" s="135"/>
      <c r="EW208" s="135"/>
      <c r="EX208" s="135"/>
      <c r="EY208" s="135"/>
      <c r="EZ208" s="135"/>
      <c r="FA208" s="135"/>
      <c r="FB208" s="135"/>
      <c r="FC208" s="135"/>
      <c r="FD208" s="135"/>
      <c r="FE208" s="135"/>
      <c r="FF208" s="135"/>
      <c r="FG208" s="135"/>
    </row>
    <row r="209" spans="1:163" s="57" customFormat="1" ht="11.25" outlineLevel="1">
      <c r="A209" s="765">
        <f t="shared" si="223"/>
        <v>8</v>
      </c>
      <c r="B209" s="715" cm="1">
        <f t="array" aca="1" ref="B209" ca="1">INDIRECT("'Definition of Typical Day'!"&amp;ADDRESS(B$16,$E209))</f>
        <v>8</v>
      </c>
      <c r="C209" s="766">
        <f t="shared" si="224"/>
        <v>21</v>
      </c>
      <c r="D209" s="715">
        <f t="shared" si="224"/>
        <v>55</v>
      </c>
      <c r="E209" s="715">
        <f t="shared" si="152"/>
        <v>12</v>
      </c>
      <c r="F209" s="767" cm="1">
        <f t="array" aca="1" ref="F209" ca="1">INDIRECT("'Definition of Typical Day'!D"&amp;D209)</f>
        <v>21</v>
      </c>
      <c r="G209" s="767" cm="1">
        <f t="array" aca="1" ref="G209" ca="1">INDIRECT("'Definition of Typical Day'!"&amp;ADDRESS(13,E209))</f>
        <v>8</v>
      </c>
      <c r="H209" s="768" cm="1">
        <f t="array" aca="1" ref="H209" ca="1">INDIRECT("'Definition of Typical Day'!"&amp; ADDRESS($D209+28*(H$16-1),$E209))</f>
        <v>0</v>
      </c>
      <c r="I209" s="715" cm="1">
        <f t="array" aca="1" ref="I209" ca="1">INDIRECT("'Definition of Typical Day'!"&amp; ADDRESS($D209+29*(I$16-1),$E209))</f>
        <v>0</v>
      </c>
      <c r="J209" s="715">
        <f t="shared" ca="1" si="178"/>
        <v>0</v>
      </c>
      <c r="K209" s="785">
        <f t="shared" si="179"/>
        <v>28</v>
      </c>
      <c r="L209" s="786" cm="1">
        <f t="array" aca="1" ref="L209" ca="1">INDIRECT("'Definition of Typical Day'!"&amp; ADDRESS($D209+29*(L$16-1),$E209))</f>
        <v>0</v>
      </c>
      <c r="M209" s="768" cm="1">
        <f t="array" aca="1" ref="M209" ca="1">INDIRECT("'Definition of Typical Day'!"&amp; ADDRESS($D209+29*(M$16-1),$E209))</f>
        <v>0</v>
      </c>
      <c r="N209" s="715">
        <f t="shared" si="180"/>
        <v>3</v>
      </c>
      <c r="O209" s="715">
        <f t="shared" ca="1" si="181"/>
        <v>3</v>
      </c>
      <c r="P209" s="715" cm="1">
        <f t="array" aca="1" ref="P209" ca="1">INDIRECT("'Definition of Typical Day'!"&amp; ADDRESS($D209+29*(P$16-1),$E209))</f>
        <v>0</v>
      </c>
      <c r="Q209" s="787">
        <f t="shared" ca="1" si="182"/>
        <v>3</v>
      </c>
      <c r="R209" s="792">
        <f t="shared" ca="1" si="183"/>
        <v>3</v>
      </c>
      <c r="S209" s="769">
        <f t="shared" si="184"/>
        <v>3</v>
      </c>
      <c r="T209" s="769">
        <f t="shared" ca="1" si="185"/>
        <v>-0.5</v>
      </c>
      <c r="U209" s="769">
        <f t="shared" ca="1" si="186"/>
        <v>2.262</v>
      </c>
      <c r="V209" s="769">
        <f t="shared" ca="1" si="187"/>
        <v>0</v>
      </c>
      <c r="W209" s="769">
        <f t="shared" ca="1" si="188"/>
        <v>4.7620000000000005</v>
      </c>
      <c r="X209" s="794">
        <f t="shared" si="189"/>
        <v>3</v>
      </c>
      <c r="Y209" s="769">
        <f t="shared" ca="1" si="190"/>
        <v>0.54772255750516607</v>
      </c>
      <c r="Z209" s="769">
        <f t="shared" ca="1" si="191"/>
        <v>0</v>
      </c>
      <c r="AA209" s="795">
        <f t="shared" ca="1" si="192"/>
        <v>0</v>
      </c>
      <c r="AB209" s="769">
        <f t="shared" ca="1" si="193"/>
        <v>0</v>
      </c>
      <c r="AC209" s="769">
        <f t="shared" ca="1" si="194"/>
        <v>0</v>
      </c>
      <c r="AD209" s="769">
        <f t="shared" ca="1" si="195"/>
        <v>0</v>
      </c>
      <c r="AE209" s="794">
        <f t="shared" ca="1" si="196"/>
        <v>0</v>
      </c>
      <c r="AF209" s="769">
        <f t="shared" ca="1" si="197"/>
        <v>0</v>
      </c>
      <c r="AG209" s="769">
        <f t="shared" ca="1" si="198"/>
        <v>0</v>
      </c>
      <c r="AH209" s="799">
        <f t="shared" ca="1" si="199"/>
        <v>0</v>
      </c>
      <c r="AI209" s="801">
        <f t="shared" ca="1" si="200"/>
        <v>1</v>
      </c>
      <c r="AJ209" s="794">
        <f t="shared" ca="1" si="201"/>
        <v>0</v>
      </c>
      <c r="AK209" s="769">
        <f t="shared" ca="1" si="202"/>
        <v>0</v>
      </c>
      <c r="AL209" s="769">
        <f t="shared" ca="1" si="203"/>
        <v>0</v>
      </c>
      <c r="AM209" s="804">
        <f t="shared" ca="1" si="153"/>
        <v>0</v>
      </c>
      <c r="AN209" s="795">
        <f t="shared" ca="1" si="154"/>
        <v>0</v>
      </c>
      <c r="AO209" s="251"/>
      <c r="AP209" s="770">
        <f t="shared" si="204"/>
        <v>0</v>
      </c>
      <c r="AQ209" s="771">
        <f t="shared" ca="1" si="205"/>
        <v>0</v>
      </c>
      <c r="AR209" s="771">
        <f t="shared" ca="1" si="206"/>
        <v>0</v>
      </c>
      <c r="AS209" s="772">
        <f t="shared" ca="1" si="207"/>
        <v>0</v>
      </c>
      <c r="AT209" s="231"/>
      <c r="AU209" s="770">
        <f>'Main Results - IRR DC Operator'!$F$16</f>
        <v>2</v>
      </c>
      <c r="AV209" s="773">
        <f>'Main Results - IRR DC Operator'!$F$15</f>
        <v>1</v>
      </c>
      <c r="AW209" s="771">
        <f t="shared" ca="1" si="208"/>
        <v>0</v>
      </c>
      <c r="AX209" s="772">
        <f t="shared" si="209"/>
        <v>0</v>
      </c>
      <c r="AY209" s="231"/>
      <c r="AZ209" s="770" cm="1">
        <f t="array" aca="1" ref="AZ209" ca="1">INDIRECT("'Definition of Typical Day'!"&amp; ADDRESS($D209+29*(AZ$16-1),$E209))+$AZ$17</f>
        <v>11</v>
      </c>
      <c r="BA209" s="771" cm="1">
        <f t="array" aca="1" ref="BA209" ca="1">INDIRECT("'Definition of Typical Day'!"&amp; ADDRESS($D209+29*(BA$16-1),$E209))+$BA$17</f>
        <v>11</v>
      </c>
      <c r="BB209" s="772" cm="1">
        <f t="array" aca="1" ref="BB209" ca="1">INDIRECT("'Definition of Typical Day'!"&amp;ADDRESS(BB$16,$E209))</f>
        <v>0</v>
      </c>
      <c r="BC209" s="776" cm="1">
        <f t="array" aca="1" ref="BC209" ca="1">INDIRECT("'Definition of Typical Day'!"&amp; ADDRESS($D209+29*(BC$16-1),$E209))</f>
        <v>0</v>
      </c>
      <c r="BD209" s="777" cm="1">
        <f t="array" aca="1" ref="BD209" ca="1">INDIRECT("'Definition of Typical Day'!"&amp; ADDRESS($D209+29*(BD$16-1),$E209))</f>
        <v>0</v>
      </c>
      <c r="BE209" s="776">
        <f t="shared" si="210"/>
        <v>0</v>
      </c>
      <c r="BF209" s="771">
        <f t="shared" ca="1" si="211"/>
        <v>0</v>
      </c>
      <c r="BG209" s="771">
        <f t="shared" ca="1" si="212"/>
        <v>0</v>
      </c>
      <c r="BH209" s="771">
        <f t="shared" ca="1" si="213"/>
        <v>0</v>
      </c>
      <c r="BI209" s="776">
        <f t="shared" ca="1" si="214"/>
        <v>0</v>
      </c>
      <c r="BJ209" s="776">
        <f t="shared" ca="1" si="215"/>
        <v>0</v>
      </c>
      <c r="BK209" s="776">
        <f t="shared" ca="1" si="216"/>
        <v>0</v>
      </c>
      <c r="BL209" s="776">
        <f t="shared" ca="1" si="217"/>
        <v>0</v>
      </c>
      <c r="BM209" s="135"/>
      <c r="BN209" s="776">
        <f t="shared" ca="1" si="218"/>
        <v>0</v>
      </c>
      <c r="BO209" s="778">
        <f t="shared" ca="1" si="155"/>
        <v>0</v>
      </c>
      <c r="BP209" s="770">
        <f t="shared" ca="1" si="156"/>
        <v>0</v>
      </c>
      <c r="BQ209" s="771">
        <f t="shared" ca="1" si="157"/>
        <v>0</v>
      </c>
      <c r="BR209" s="771">
        <f t="shared" ca="1" si="158"/>
        <v>0</v>
      </c>
      <c r="BS209" s="776">
        <f t="shared" ca="1" si="219"/>
        <v>0</v>
      </c>
      <c r="BT209" s="776">
        <f t="shared" ca="1" si="159"/>
        <v>0</v>
      </c>
      <c r="BU209" s="783">
        <f t="shared" ca="1" si="160"/>
        <v>0</v>
      </c>
      <c r="BV209" s="783">
        <f t="shared" ca="1" si="161"/>
        <v>0</v>
      </c>
      <c r="BW209" s="1019">
        <f t="shared" ca="1" si="220"/>
        <v>0</v>
      </c>
      <c r="BX209" s="771" cm="1">
        <f t="array" aca="1" ref="BX209" ca="1">INDIRECT("'Definition of Typical Day'!"&amp; ADDRESS($D209+29*(BX$16-1),$E209))</f>
        <v>0</v>
      </c>
      <c r="BY209" s="771">
        <f t="shared" ca="1" si="221"/>
        <v>0</v>
      </c>
      <c r="BZ209" s="781">
        <f t="shared" ca="1" si="162"/>
        <v>0</v>
      </c>
      <c r="CA209" s="781">
        <f t="shared" ca="1" si="163"/>
        <v>0</v>
      </c>
      <c r="CB209" s="776">
        <f t="shared" ca="1" si="164"/>
        <v>0</v>
      </c>
      <c r="CC209" s="782">
        <f t="shared" si="165"/>
        <v>8</v>
      </c>
      <c r="CD209" s="782">
        <f t="shared" si="166"/>
        <v>21</v>
      </c>
      <c r="CE209" s="784" cm="1">
        <f t="array" aca="1" ref="CE209" ca="1">INDIRECT("'Definition of Typical Day'!"&amp;ADDRESS(CE$16,$E209))</f>
        <v>8</v>
      </c>
      <c r="CF209" s="232"/>
      <c r="CG209" s="232"/>
      <c r="CH209" s="776">
        <f t="shared" ca="1" si="167"/>
        <v>0</v>
      </c>
      <c r="CI209" s="806">
        <f t="shared" ca="1" si="168"/>
        <v>0</v>
      </c>
      <c r="CJ209" s="770">
        <f t="shared" ca="1" si="169"/>
        <v>0</v>
      </c>
      <c r="CK209" s="771">
        <f t="shared" ca="1" si="170"/>
        <v>0</v>
      </c>
      <c r="CL209" s="771">
        <f t="shared" ca="1" si="171"/>
        <v>0</v>
      </c>
      <c r="CM209" s="772">
        <f t="shared" ca="1" si="172"/>
        <v>0</v>
      </c>
      <c r="CN209" s="135"/>
      <c r="CO209" s="770">
        <f t="shared" ca="1" si="222"/>
        <v>1.05</v>
      </c>
      <c r="CP209" s="771">
        <f t="shared" ca="1" si="173"/>
        <v>0.02</v>
      </c>
      <c r="CQ209" s="771">
        <f t="shared" ca="1" si="174"/>
        <v>-2.5000000000000001E-2</v>
      </c>
      <c r="CR209" s="771">
        <f t="shared" ca="1" si="175"/>
        <v>0.95</v>
      </c>
      <c r="CS209" s="771">
        <f t="shared" ca="1" si="176"/>
        <v>0.03</v>
      </c>
      <c r="CT209" s="772">
        <f t="shared" ca="1" si="177"/>
        <v>0.02</v>
      </c>
      <c r="CU209" s="135"/>
      <c r="CV209" s="135"/>
      <c r="CW209" s="135"/>
      <c r="CX209" s="135"/>
      <c r="CY209" s="135"/>
      <c r="CZ209" s="135"/>
      <c r="DA209" s="135"/>
      <c r="DB209" s="135"/>
      <c r="DC209" s="135"/>
      <c r="DD209" s="135"/>
      <c r="DE209" s="135"/>
      <c r="DF209" s="135"/>
      <c r="DG209" s="135"/>
      <c r="DH209" s="135"/>
      <c r="DI209" s="135"/>
      <c r="DJ209" s="135"/>
      <c r="DK209" s="135"/>
      <c r="DL209" s="135"/>
      <c r="DX209" s="135"/>
      <c r="DY209" s="135"/>
      <c r="DZ209" s="135"/>
      <c r="EA209" s="135"/>
      <c r="EB209" s="135"/>
      <c r="EC209" s="135"/>
      <c r="ED209" s="135"/>
      <c r="EE209" s="135"/>
      <c r="EF209" s="135"/>
      <c r="EG209" s="135"/>
      <c r="EH209" s="135"/>
      <c r="EI209" s="135"/>
      <c r="EJ209" s="135"/>
      <c r="EK209" s="135"/>
      <c r="EL209" s="135"/>
      <c r="EM209" s="135"/>
      <c r="EN209" s="135"/>
      <c r="EO209" s="135"/>
      <c r="EP209" s="135"/>
      <c r="EQ209" s="135"/>
      <c r="ER209" s="135"/>
      <c r="ES209" s="135"/>
      <c r="ET209" s="135"/>
      <c r="EU209" s="135"/>
      <c r="EV209" s="135"/>
      <c r="EW209" s="135"/>
      <c r="EX209" s="135"/>
      <c r="EY209" s="135"/>
      <c r="EZ209" s="135"/>
      <c r="FA209" s="135"/>
      <c r="FB209" s="135"/>
      <c r="FC209" s="135"/>
      <c r="FD209" s="135"/>
      <c r="FE209" s="135"/>
      <c r="FF209" s="135"/>
      <c r="FG209" s="135"/>
    </row>
    <row r="210" spans="1:163" s="57" customFormat="1" ht="11.25" outlineLevel="1">
      <c r="A210" s="765">
        <f t="shared" si="223"/>
        <v>8</v>
      </c>
      <c r="B210" s="715" cm="1">
        <f t="array" aca="1" ref="B210" ca="1">INDIRECT("'Definition of Typical Day'!"&amp;ADDRESS(B$16,$E210))</f>
        <v>8</v>
      </c>
      <c r="C210" s="766">
        <f t="shared" si="224"/>
        <v>22</v>
      </c>
      <c r="D210" s="715">
        <f t="shared" si="224"/>
        <v>56</v>
      </c>
      <c r="E210" s="715">
        <f t="shared" si="152"/>
        <v>12</v>
      </c>
      <c r="F210" s="767" cm="1">
        <f t="array" aca="1" ref="F210" ca="1">INDIRECT("'Definition of Typical Day'!D"&amp;D210)</f>
        <v>22</v>
      </c>
      <c r="G210" s="767" cm="1">
        <f t="array" aca="1" ref="G210" ca="1">INDIRECT("'Definition of Typical Day'!"&amp;ADDRESS(13,E210))</f>
        <v>8</v>
      </c>
      <c r="H210" s="768" cm="1">
        <f t="array" aca="1" ref="H210" ca="1">INDIRECT("'Definition of Typical Day'!"&amp; ADDRESS($D210+28*(H$16-1),$E210))</f>
        <v>0</v>
      </c>
      <c r="I210" s="715" cm="1">
        <f t="array" aca="1" ref="I210" ca="1">INDIRECT("'Definition of Typical Day'!"&amp; ADDRESS($D210+29*(I$16-1),$E210))</f>
        <v>0</v>
      </c>
      <c r="J210" s="715">
        <f t="shared" ca="1" si="178"/>
        <v>0</v>
      </c>
      <c r="K210" s="785">
        <f t="shared" si="179"/>
        <v>28</v>
      </c>
      <c r="L210" s="786" cm="1">
        <f t="array" aca="1" ref="L210" ca="1">INDIRECT("'Definition of Typical Day'!"&amp; ADDRESS($D210+29*(L$16-1),$E210))</f>
        <v>0</v>
      </c>
      <c r="M210" s="768" cm="1">
        <f t="array" aca="1" ref="M210" ca="1">INDIRECT("'Definition of Typical Day'!"&amp; ADDRESS($D210+29*(M$16-1),$E210))</f>
        <v>0</v>
      </c>
      <c r="N210" s="715">
        <f t="shared" si="180"/>
        <v>3</v>
      </c>
      <c r="O210" s="715">
        <f t="shared" ca="1" si="181"/>
        <v>3</v>
      </c>
      <c r="P210" s="715" cm="1">
        <f t="array" aca="1" ref="P210" ca="1">INDIRECT("'Definition of Typical Day'!"&amp; ADDRESS($D210+29*(P$16-1),$E210))</f>
        <v>0</v>
      </c>
      <c r="Q210" s="787">
        <f t="shared" ca="1" si="182"/>
        <v>3</v>
      </c>
      <c r="R210" s="792">
        <f t="shared" ca="1" si="183"/>
        <v>3</v>
      </c>
      <c r="S210" s="769">
        <f t="shared" si="184"/>
        <v>3</v>
      </c>
      <c r="T210" s="769">
        <f t="shared" ca="1" si="185"/>
        <v>-0.5</v>
      </c>
      <c r="U210" s="769">
        <f t="shared" ca="1" si="186"/>
        <v>2.262</v>
      </c>
      <c r="V210" s="769">
        <f t="shared" ca="1" si="187"/>
        <v>0</v>
      </c>
      <c r="W210" s="769">
        <f t="shared" ca="1" si="188"/>
        <v>4.7620000000000005</v>
      </c>
      <c r="X210" s="794">
        <f t="shared" si="189"/>
        <v>3</v>
      </c>
      <c r="Y210" s="769">
        <f t="shared" ca="1" si="190"/>
        <v>0.54772255750516607</v>
      </c>
      <c r="Z210" s="769">
        <f t="shared" ca="1" si="191"/>
        <v>0</v>
      </c>
      <c r="AA210" s="795">
        <f t="shared" ca="1" si="192"/>
        <v>0</v>
      </c>
      <c r="AB210" s="769">
        <f t="shared" ca="1" si="193"/>
        <v>0</v>
      </c>
      <c r="AC210" s="769">
        <f t="shared" ca="1" si="194"/>
        <v>0</v>
      </c>
      <c r="AD210" s="769">
        <f t="shared" ca="1" si="195"/>
        <v>0</v>
      </c>
      <c r="AE210" s="794">
        <f t="shared" ca="1" si="196"/>
        <v>0</v>
      </c>
      <c r="AF210" s="769">
        <f t="shared" ca="1" si="197"/>
        <v>0</v>
      </c>
      <c r="AG210" s="769">
        <f t="shared" ca="1" si="198"/>
        <v>0</v>
      </c>
      <c r="AH210" s="799">
        <f t="shared" ca="1" si="199"/>
        <v>0</v>
      </c>
      <c r="AI210" s="801">
        <f t="shared" ca="1" si="200"/>
        <v>1</v>
      </c>
      <c r="AJ210" s="794">
        <f t="shared" ca="1" si="201"/>
        <v>0</v>
      </c>
      <c r="AK210" s="769">
        <f t="shared" ca="1" si="202"/>
        <v>0</v>
      </c>
      <c r="AL210" s="769">
        <f t="shared" ca="1" si="203"/>
        <v>0</v>
      </c>
      <c r="AM210" s="804">
        <f t="shared" ca="1" si="153"/>
        <v>0</v>
      </c>
      <c r="AN210" s="795">
        <f t="shared" ca="1" si="154"/>
        <v>0</v>
      </c>
      <c r="AO210" s="251"/>
      <c r="AP210" s="770">
        <f t="shared" si="204"/>
        <v>0</v>
      </c>
      <c r="AQ210" s="771">
        <f t="shared" ca="1" si="205"/>
        <v>0</v>
      </c>
      <c r="AR210" s="771">
        <f t="shared" ca="1" si="206"/>
        <v>0</v>
      </c>
      <c r="AS210" s="772">
        <f t="shared" ca="1" si="207"/>
        <v>0</v>
      </c>
      <c r="AT210" s="231"/>
      <c r="AU210" s="770">
        <f>'Main Results - IRR DC Operator'!$F$16</f>
        <v>2</v>
      </c>
      <c r="AV210" s="773">
        <f>'Main Results - IRR DC Operator'!$F$15</f>
        <v>1</v>
      </c>
      <c r="AW210" s="771">
        <f t="shared" ca="1" si="208"/>
        <v>0</v>
      </c>
      <c r="AX210" s="772">
        <f t="shared" si="209"/>
        <v>0</v>
      </c>
      <c r="AY210" s="231"/>
      <c r="AZ210" s="770" cm="1">
        <f t="array" aca="1" ref="AZ210" ca="1">INDIRECT("'Definition of Typical Day'!"&amp; ADDRESS($D210+29*(AZ$16-1),$E210))+$AZ$17</f>
        <v>11</v>
      </c>
      <c r="BA210" s="771" cm="1">
        <f t="array" aca="1" ref="BA210" ca="1">INDIRECT("'Definition of Typical Day'!"&amp; ADDRESS($D210+29*(BA$16-1),$E210))+$BA$17</f>
        <v>11</v>
      </c>
      <c r="BB210" s="772" cm="1">
        <f t="array" aca="1" ref="BB210" ca="1">INDIRECT("'Definition of Typical Day'!"&amp;ADDRESS(BB$16,$E210))</f>
        <v>0</v>
      </c>
      <c r="BC210" s="776" cm="1">
        <f t="array" aca="1" ref="BC210" ca="1">INDIRECT("'Definition of Typical Day'!"&amp; ADDRESS($D210+29*(BC$16-1),$E210))</f>
        <v>0</v>
      </c>
      <c r="BD210" s="777" cm="1">
        <f t="array" aca="1" ref="BD210" ca="1">INDIRECT("'Definition of Typical Day'!"&amp; ADDRESS($D210+29*(BD$16-1),$E210))</f>
        <v>0</v>
      </c>
      <c r="BE210" s="776">
        <f t="shared" si="210"/>
        <v>0</v>
      </c>
      <c r="BF210" s="771">
        <f t="shared" ca="1" si="211"/>
        <v>0</v>
      </c>
      <c r="BG210" s="771">
        <f t="shared" ca="1" si="212"/>
        <v>0</v>
      </c>
      <c r="BH210" s="771">
        <f t="shared" ca="1" si="213"/>
        <v>0</v>
      </c>
      <c r="BI210" s="776">
        <f t="shared" ca="1" si="214"/>
        <v>0</v>
      </c>
      <c r="BJ210" s="776">
        <f t="shared" ca="1" si="215"/>
        <v>0</v>
      </c>
      <c r="BK210" s="776">
        <f t="shared" ca="1" si="216"/>
        <v>0</v>
      </c>
      <c r="BL210" s="776">
        <f t="shared" ca="1" si="217"/>
        <v>0</v>
      </c>
      <c r="BM210" s="135"/>
      <c r="BN210" s="776">
        <f t="shared" ca="1" si="218"/>
        <v>0</v>
      </c>
      <c r="BO210" s="778">
        <f t="shared" ca="1" si="155"/>
        <v>0</v>
      </c>
      <c r="BP210" s="770">
        <f t="shared" ca="1" si="156"/>
        <v>0</v>
      </c>
      <c r="BQ210" s="771">
        <f t="shared" ca="1" si="157"/>
        <v>0</v>
      </c>
      <c r="BR210" s="771">
        <f t="shared" ca="1" si="158"/>
        <v>0</v>
      </c>
      <c r="BS210" s="776">
        <f t="shared" ca="1" si="219"/>
        <v>0</v>
      </c>
      <c r="BT210" s="776">
        <f t="shared" ca="1" si="159"/>
        <v>0</v>
      </c>
      <c r="BU210" s="783">
        <f t="shared" ca="1" si="160"/>
        <v>0</v>
      </c>
      <c r="BV210" s="783">
        <f t="shared" ca="1" si="161"/>
        <v>0</v>
      </c>
      <c r="BW210" s="1019">
        <f t="shared" ca="1" si="220"/>
        <v>0</v>
      </c>
      <c r="BX210" s="771" cm="1">
        <f t="array" aca="1" ref="BX210" ca="1">INDIRECT("'Definition of Typical Day'!"&amp; ADDRESS($D210+29*(BX$16-1),$E210))</f>
        <v>0</v>
      </c>
      <c r="BY210" s="771">
        <f t="shared" ca="1" si="221"/>
        <v>0</v>
      </c>
      <c r="BZ210" s="781">
        <f t="shared" ca="1" si="162"/>
        <v>0</v>
      </c>
      <c r="CA210" s="781">
        <f t="shared" ca="1" si="163"/>
        <v>0</v>
      </c>
      <c r="CB210" s="776">
        <f t="shared" ca="1" si="164"/>
        <v>0</v>
      </c>
      <c r="CC210" s="782">
        <f t="shared" si="165"/>
        <v>8</v>
      </c>
      <c r="CD210" s="782">
        <f t="shared" si="166"/>
        <v>22</v>
      </c>
      <c r="CE210" s="784" cm="1">
        <f t="array" aca="1" ref="CE210" ca="1">INDIRECT("'Definition of Typical Day'!"&amp;ADDRESS(CE$16,$E210))</f>
        <v>8</v>
      </c>
      <c r="CF210" s="232"/>
      <c r="CG210" s="232"/>
      <c r="CH210" s="776">
        <f t="shared" ca="1" si="167"/>
        <v>0</v>
      </c>
      <c r="CI210" s="806">
        <f t="shared" ca="1" si="168"/>
        <v>0</v>
      </c>
      <c r="CJ210" s="770">
        <f t="shared" ca="1" si="169"/>
        <v>0</v>
      </c>
      <c r="CK210" s="771">
        <f t="shared" ca="1" si="170"/>
        <v>0</v>
      </c>
      <c r="CL210" s="771">
        <f t="shared" ca="1" si="171"/>
        <v>0</v>
      </c>
      <c r="CM210" s="772">
        <f t="shared" ca="1" si="172"/>
        <v>0</v>
      </c>
      <c r="CN210" s="135"/>
      <c r="CO210" s="770">
        <f t="shared" ca="1" si="222"/>
        <v>1.05</v>
      </c>
      <c r="CP210" s="771">
        <f t="shared" ca="1" si="173"/>
        <v>0.02</v>
      </c>
      <c r="CQ210" s="771">
        <f t="shared" ca="1" si="174"/>
        <v>-2.5000000000000001E-2</v>
      </c>
      <c r="CR210" s="771">
        <f t="shared" ca="1" si="175"/>
        <v>0.95</v>
      </c>
      <c r="CS210" s="771">
        <f t="shared" ca="1" si="176"/>
        <v>0.03</v>
      </c>
      <c r="CT210" s="772">
        <f t="shared" ca="1" si="177"/>
        <v>0.02</v>
      </c>
      <c r="CU210" s="135"/>
      <c r="CV210" s="135"/>
      <c r="CW210" s="135"/>
      <c r="CX210" s="135"/>
      <c r="CY210" s="135"/>
      <c r="CZ210" s="135"/>
      <c r="DA210" s="135"/>
      <c r="DB210" s="135"/>
      <c r="DC210" s="135"/>
      <c r="DD210" s="135"/>
      <c r="DE210" s="135"/>
      <c r="DF210" s="135"/>
      <c r="DG210" s="135"/>
      <c r="DH210" s="135"/>
      <c r="DI210" s="135"/>
      <c r="DJ210" s="135"/>
      <c r="DK210" s="135"/>
      <c r="DL210" s="135"/>
      <c r="DX210" s="135"/>
      <c r="DY210" s="135"/>
      <c r="DZ210" s="135"/>
      <c r="EA210" s="135"/>
      <c r="EB210" s="135"/>
      <c r="EC210" s="135"/>
      <c r="ED210" s="135"/>
      <c r="EE210" s="135"/>
      <c r="EF210" s="135"/>
      <c r="EG210" s="135"/>
      <c r="EH210" s="135"/>
      <c r="EI210" s="135"/>
      <c r="EJ210" s="135"/>
      <c r="EK210" s="135"/>
      <c r="EL210" s="135"/>
      <c r="EM210" s="135"/>
      <c r="EN210" s="135"/>
      <c r="EO210" s="135"/>
      <c r="EP210" s="135"/>
      <c r="EQ210" s="135"/>
      <c r="ER210" s="135"/>
      <c r="ES210" s="135"/>
      <c r="ET210" s="135"/>
      <c r="EU210" s="135"/>
      <c r="EV210" s="135"/>
      <c r="EW210" s="135"/>
      <c r="EX210" s="135"/>
      <c r="EY210" s="135"/>
      <c r="EZ210" s="135"/>
      <c r="FA210" s="135"/>
      <c r="FB210" s="135"/>
      <c r="FC210" s="135"/>
      <c r="FD210" s="135"/>
      <c r="FE210" s="135"/>
      <c r="FF210" s="135"/>
      <c r="FG210" s="135"/>
    </row>
    <row r="211" spans="1:163" s="57" customFormat="1" ht="11.25" outlineLevel="1">
      <c r="A211" s="765">
        <f t="shared" si="223"/>
        <v>8</v>
      </c>
      <c r="B211" s="715" cm="1">
        <f t="array" aca="1" ref="B211" ca="1">INDIRECT("'Definition of Typical Day'!"&amp;ADDRESS(B$16,$E211))</f>
        <v>8</v>
      </c>
      <c r="C211" s="766">
        <f t="shared" si="224"/>
        <v>23</v>
      </c>
      <c r="D211" s="715">
        <f t="shared" si="224"/>
        <v>57</v>
      </c>
      <c r="E211" s="715">
        <f t="shared" si="152"/>
        <v>12</v>
      </c>
      <c r="F211" s="767" cm="1">
        <f t="array" aca="1" ref="F211" ca="1">INDIRECT("'Definition of Typical Day'!D"&amp;D211)</f>
        <v>23</v>
      </c>
      <c r="G211" s="767" cm="1">
        <f t="array" aca="1" ref="G211" ca="1">INDIRECT("'Definition of Typical Day'!"&amp;ADDRESS(13,E211))</f>
        <v>8</v>
      </c>
      <c r="H211" s="768" cm="1">
        <f t="array" aca="1" ref="H211" ca="1">INDIRECT("'Definition of Typical Day'!"&amp; ADDRESS($D211+28*(H$16-1),$E211))</f>
        <v>0</v>
      </c>
      <c r="I211" s="715" cm="1">
        <f t="array" aca="1" ref="I211" ca="1">INDIRECT("'Definition of Typical Day'!"&amp; ADDRESS($D211+29*(I$16-1),$E211))</f>
        <v>0</v>
      </c>
      <c r="J211" s="715">
        <f t="shared" ca="1" si="178"/>
        <v>0</v>
      </c>
      <c r="K211" s="785">
        <f t="shared" si="179"/>
        <v>28</v>
      </c>
      <c r="L211" s="786" cm="1">
        <f t="array" aca="1" ref="L211" ca="1">INDIRECT("'Definition of Typical Day'!"&amp; ADDRESS($D211+29*(L$16-1),$E211))</f>
        <v>0</v>
      </c>
      <c r="M211" s="768" cm="1">
        <f t="array" aca="1" ref="M211" ca="1">INDIRECT("'Definition of Typical Day'!"&amp; ADDRESS($D211+29*(M$16-1),$E211))</f>
        <v>0</v>
      </c>
      <c r="N211" s="715">
        <f t="shared" si="180"/>
        <v>3</v>
      </c>
      <c r="O211" s="715">
        <f t="shared" ca="1" si="181"/>
        <v>3</v>
      </c>
      <c r="P211" s="715" cm="1">
        <f t="array" aca="1" ref="P211" ca="1">INDIRECT("'Definition of Typical Day'!"&amp; ADDRESS($D211+29*(P$16-1),$E211))</f>
        <v>0</v>
      </c>
      <c r="Q211" s="787">
        <f t="shared" ca="1" si="182"/>
        <v>3</v>
      </c>
      <c r="R211" s="792">
        <f t="shared" ca="1" si="183"/>
        <v>3</v>
      </c>
      <c r="S211" s="769">
        <f t="shared" si="184"/>
        <v>3</v>
      </c>
      <c r="T211" s="769">
        <f t="shared" ca="1" si="185"/>
        <v>-0.5</v>
      </c>
      <c r="U211" s="769">
        <f t="shared" ca="1" si="186"/>
        <v>2.262</v>
      </c>
      <c r="V211" s="769">
        <f t="shared" ca="1" si="187"/>
        <v>0</v>
      </c>
      <c r="W211" s="769">
        <f t="shared" ca="1" si="188"/>
        <v>4.7620000000000005</v>
      </c>
      <c r="X211" s="794">
        <f t="shared" si="189"/>
        <v>3</v>
      </c>
      <c r="Y211" s="769">
        <f t="shared" ca="1" si="190"/>
        <v>0.54772255750516607</v>
      </c>
      <c r="Z211" s="769">
        <f t="shared" ca="1" si="191"/>
        <v>0</v>
      </c>
      <c r="AA211" s="795">
        <f t="shared" ca="1" si="192"/>
        <v>0</v>
      </c>
      <c r="AB211" s="769">
        <f t="shared" ca="1" si="193"/>
        <v>0</v>
      </c>
      <c r="AC211" s="769">
        <f t="shared" ca="1" si="194"/>
        <v>0</v>
      </c>
      <c r="AD211" s="769">
        <f t="shared" ca="1" si="195"/>
        <v>0</v>
      </c>
      <c r="AE211" s="794">
        <f t="shared" ca="1" si="196"/>
        <v>0</v>
      </c>
      <c r="AF211" s="769">
        <f t="shared" ca="1" si="197"/>
        <v>0</v>
      </c>
      <c r="AG211" s="769">
        <f t="shared" ca="1" si="198"/>
        <v>0</v>
      </c>
      <c r="AH211" s="799">
        <f t="shared" ca="1" si="199"/>
        <v>0</v>
      </c>
      <c r="AI211" s="801">
        <f t="shared" ca="1" si="200"/>
        <v>1</v>
      </c>
      <c r="AJ211" s="794">
        <f t="shared" ca="1" si="201"/>
        <v>0</v>
      </c>
      <c r="AK211" s="769">
        <f t="shared" ca="1" si="202"/>
        <v>0</v>
      </c>
      <c r="AL211" s="769">
        <f t="shared" ca="1" si="203"/>
        <v>0</v>
      </c>
      <c r="AM211" s="804">
        <f t="shared" ca="1" si="153"/>
        <v>0</v>
      </c>
      <c r="AN211" s="795">
        <f t="shared" ca="1" si="154"/>
        <v>0</v>
      </c>
      <c r="AO211" s="251"/>
      <c r="AP211" s="770">
        <f t="shared" si="204"/>
        <v>0</v>
      </c>
      <c r="AQ211" s="771">
        <f t="shared" ca="1" si="205"/>
        <v>0</v>
      </c>
      <c r="AR211" s="771">
        <f t="shared" ca="1" si="206"/>
        <v>0</v>
      </c>
      <c r="AS211" s="772">
        <f t="shared" ca="1" si="207"/>
        <v>0</v>
      </c>
      <c r="AT211" s="231"/>
      <c r="AU211" s="770">
        <f>'Main Results - IRR DC Operator'!$F$16</f>
        <v>2</v>
      </c>
      <c r="AV211" s="773">
        <f>'Main Results - IRR DC Operator'!$F$15</f>
        <v>1</v>
      </c>
      <c r="AW211" s="771">
        <f t="shared" ca="1" si="208"/>
        <v>0</v>
      </c>
      <c r="AX211" s="772">
        <f t="shared" si="209"/>
        <v>0</v>
      </c>
      <c r="AY211" s="231"/>
      <c r="AZ211" s="770" cm="1">
        <f t="array" aca="1" ref="AZ211" ca="1">INDIRECT("'Definition of Typical Day'!"&amp; ADDRESS($D211+29*(AZ$16-1),$E211))+$AZ$17</f>
        <v>11</v>
      </c>
      <c r="BA211" s="771" cm="1">
        <f t="array" aca="1" ref="BA211" ca="1">INDIRECT("'Definition of Typical Day'!"&amp; ADDRESS($D211+29*(BA$16-1),$E211))+$BA$17</f>
        <v>11</v>
      </c>
      <c r="BB211" s="772" cm="1">
        <f t="array" aca="1" ref="BB211" ca="1">INDIRECT("'Definition of Typical Day'!"&amp;ADDRESS(BB$16,$E211))</f>
        <v>0</v>
      </c>
      <c r="BC211" s="776" cm="1">
        <f t="array" aca="1" ref="BC211" ca="1">INDIRECT("'Definition of Typical Day'!"&amp; ADDRESS($D211+29*(BC$16-1),$E211))</f>
        <v>0</v>
      </c>
      <c r="BD211" s="777" cm="1">
        <f t="array" aca="1" ref="BD211" ca="1">INDIRECT("'Definition of Typical Day'!"&amp; ADDRESS($D211+29*(BD$16-1),$E211))</f>
        <v>0</v>
      </c>
      <c r="BE211" s="776">
        <f t="shared" si="210"/>
        <v>0</v>
      </c>
      <c r="BF211" s="771">
        <f t="shared" ca="1" si="211"/>
        <v>0</v>
      </c>
      <c r="BG211" s="771">
        <f t="shared" ca="1" si="212"/>
        <v>0</v>
      </c>
      <c r="BH211" s="771">
        <f t="shared" ca="1" si="213"/>
        <v>0</v>
      </c>
      <c r="BI211" s="776">
        <f t="shared" ca="1" si="214"/>
        <v>0</v>
      </c>
      <c r="BJ211" s="776">
        <f t="shared" ca="1" si="215"/>
        <v>0</v>
      </c>
      <c r="BK211" s="776">
        <f t="shared" ca="1" si="216"/>
        <v>0</v>
      </c>
      <c r="BL211" s="776">
        <f t="shared" ca="1" si="217"/>
        <v>0</v>
      </c>
      <c r="BM211" s="135"/>
      <c r="BN211" s="776">
        <f t="shared" ca="1" si="218"/>
        <v>0</v>
      </c>
      <c r="BO211" s="778">
        <f t="shared" ca="1" si="155"/>
        <v>0</v>
      </c>
      <c r="BP211" s="770">
        <f t="shared" ca="1" si="156"/>
        <v>0</v>
      </c>
      <c r="BQ211" s="771">
        <f t="shared" ca="1" si="157"/>
        <v>0</v>
      </c>
      <c r="BR211" s="771">
        <f t="shared" ca="1" si="158"/>
        <v>0</v>
      </c>
      <c r="BS211" s="776">
        <f t="shared" ca="1" si="219"/>
        <v>0</v>
      </c>
      <c r="BT211" s="776">
        <f t="shared" ca="1" si="159"/>
        <v>0</v>
      </c>
      <c r="BU211" s="783">
        <f t="shared" ca="1" si="160"/>
        <v>0</v>
      </c>
      <c r="BV211" s="783">
        <f t="shared" ca="1" si="161"/>
        <v>0</v>
      </c>
      <c r="BW211" s="1019">
        <f t="shared" ca="1" si="220"/>
        <v>0</v>
      </c>
      <c r="BX211" s="771" cm="1">
        <f t="array" aca="1" ref="BX211" ca="1">INDIRECT("'Definition of Typical Day'!"&amp; ADDRESS($D211+29*(BX$16-1),$E211))</f>
        <v>0</v>
      </c>
      <c r="BY211" s="771">
        <f t="shared" ca="1" si="221"/>
        <v>0</v>
      </c>
      <c r="BZ211" s="781">
        <f t="shared" ca="1" si="162"/>
        <v>0</v>
      </c>
      <c r="CA211" s="781">
        <f t="shared" ca="1" si="163"/>
        <v>0</v>
      </c>
      <c r="CB211" s="776">
        <f t="shared" ca="1" si="164"/>
        <v>0</v>
      </c>
      <c r="CC211" s="782">
        <f t="shared" si="165"/>
        <v>8</v>
      </c>
      <c r="CD211" s="782">
        <f t="shared" si="166"/>
        <v>23</v>
      </c>
      <c r="CE211" s="784" cm="1">
        <f t="array" aca="1" ref="CE211" ca="1">INDIRECT("'Definition of Typical Day'!"&amp;ADDRESS(CE$16,$E211))</f>
        <v>8</v>
      </c>
      <c r="CF211" s="232"/>
      <c r="CG211" s="232"/>
      <c r="CH211" s="776">
        <f t="shared" ca="1" si="167"/>
        <v>0</v>
      </c>
      <c r="CI211" s="806">
        <f t="shared" ca="1" si="168"/>
        <v>0</v>
      </c>
      <c r="CJ211" s="770">
        <f t="shared" ca="1" si="169"/>
        <v>0</v>
      </c>
      <c r="CK211" s="771">
        <f t="shared" ca="1" si="170"/>
        <v>0</v>
      </c>
      <c r="CL211" s="771">
        <f t="shared" ca="1" si="171"/>
        <v>0</v>
      </c>
      <c r="CM211" s="772">
        <f t="shared" ca="1" si="172"/>
        <v>0</v>
      </c>
      <c r="CN211" s="135"/>
      <c r="CO211" s="770">
        <f t="shared" ca="1" si="222"/>
        <v>1.05</v>
      </c>
      <c r="CP211" s="771">
        <f t="shared" ca="1" si="173"/>
        <v>0.02</v>
      </c>
      <c r="CQ211" s="771">
        <f t="shared" ca="1" si="174"/>
        <v>-2.5000000000000001E-2</v>
      </c>
      <c r="CR211" s="771">
        <f t="shared" ca="1" si="175"/>
        <v>0.95</v>
      </c>
      <c r="CS211" s="771">
        <f t="shared" ca="1" si="176"/>
        <v>0.03</v>
      </c>
      <c r="CT211" s="772">
        <f t="shared" ca="1" si="177"/>
        <v>0.02</v>
      </c>
      <c r="CU211" s="135"/>
      <c r="CV211" s="135"/>
      <c r="CW211" s="135"/>
      <c r="CX211" s="135"/>
      <c r="CY211" s="135"/>
      <c r="CZ211" s="135"/>
      <c r="DA211" s="135"/>
      <c r="DB211" s="135"/>
      <c r="DC211" s="135"/>
      <c r="DD211" s="135"/>
      <c r="DE211" s="135"/>
      <c r="DF211" s="135"/>
      <c r="DG211" s="135"/>
      <c r="DH211" s="135"/>
      <c r="DI211" s="135"/>
      <c r="DJ211" s="135"/>
      <c r="DK211" s="135"/>
      <c r="DL211" s="135"/>
      <c r="DX211" s="135"/>
      <c r="DY211" s="135"/>
      <c r="DZ211" s="135"/>
      <c r="EA211" s="135"/>
      <c r="EB211" s="135"/>
      <c r="EC211" s="135"/>
      <c r="ED211" s="135"/>
      <c r="EE211" s="135"/>
      <c r="EF211" s="135"/>
      <c r="EG211" s="135"/>
      <c r="EH211" s="135"/>
      <c r="EI211" s="135"/>
      <c r="EJ211" s="135"/>
      <c r="EK211" s="135"/>
      <c r="EL211" s="135"/>
      <c r="EM211" s="135"/>
      <c r="EN211" s="135"/>
      <c r="EO211" s="135"/>
      <c r="EP211" s="135"/>
      <c r="EQ211" s="135"/>
      <c r="ER211" s="135"/>
      <c r="ES211" s="135"/>
      <c r="ET211" s="135"/>
      <c r="EU211" s="135"/>
      <c r="EV211" s="135"/>
      <c r="EW211" s="135"/>
      <c r="EX211" s="135"/>
      <c r="EY211" s="135"/>
      <c r="EZ211" s="135"/>
      <c r="FA211" s="135"/>
      <c r="FB211" s="135"/>
      <c r="FC211" s="135"/>
      <c r="FD211" s="135"/>
      <c r="FE211" s="135"/>
      <c r="FF211" s="135"/>
      <c r="FG211" s="135"/>
    </row>
    <row r="212" spans="1:163" s="57" customFormat="1" ht="11.25" outlineLevel="1">
      <c r="A212" s="765">
        <f t="shared" si="223"/>
        <v>8</v>
      </c>
      <c r="B212" s="715" cm="1">
        <f t="array" aca="1" ref="B212" ca="1">INDIRECT("'Definition of Typical Day'!"&amp;ADDRESS(B$16,$E212))</f>
        <v>8</v>
      </c>
      <c r="C212" s="766">
        <f t="shared" si="224"/>
        <v>24</v>
      </c>
      <c r="D212" s="715">
        <f t="shared" si="224"/>
        <v>58</v>
      </c>
      <c r="E212" s="715">
        <f t="shared" si="152"/>
        <v>12</v>
      </c>
      <c r="F212" s="767" cm="1">
        <f t="array" aca="1" ref="F212" ca="1">INDIRECT("'Definition of Typical Day'!D"&amp;D212)</f>
        <v>24</v>
      </c>
      <c r="G212" s="767" cm="1">
        <f t="array" aca="1" ref="G212" ca="1">INDIRECT("'Definition of Typical Day'!"&amp;ADDRESS(13,E212))</f>
        <v>8</v>
      </c>
      <c r="H212" s="768" cm="1">
        <f t="array" aca="1" ref="H212" ca="1">INDIRECT("'Definition of Typical Day'!"&amp; ADDRESS($D212+28*(H$16-1),$E212))</f>
        <v>0</v>
      </c>
      <c r="I212" s="715" cm="1">
        <f t="array" aca="1" ref="I212" ca="1">INDIRECT("'Definition of Typical Day'!"&amp; ADDRESS($D212+29*(I$16-1),$E212))</f>
        <v>0</v>
      </c>
      <c r="J212" s="715">
        <f t="shared" ca="1" si="178"/>
        <v>0</v>
      </c>
      <c r="K212" s="785">
        <f t="shared" si="179"/>
        <v>28</v>
      </c>
      <c r="L212" s="786" cm="1">
        <f t="array" aca="1" ref="L212" ca="1">INDIRECT("'Definition of Typical Day'!"&amp; ADDRESS($D212+29*(L$16-1),$E212))</f>
        <v>0</v>
      </c>
      <c r="M212" s="768" cm="1">
        <f t="array" aca="1" ref="M212" ca="1">INDIRECT("'Definition of Typical Day'!"&amp; ADDRESS($D212+29*(M$16-1),$E212))</f>
        <v>0</v>
      </c>
      <c r="N212" s="715">
        <f t="shared" si="180"/>
        <v>3</v>
      </c>
      <c r="O212" s="715">
        <f t="shared" ca="1" si="181"/>
        <v>3</v>
      </c>
      <c r="P212" s="715" cm="1">
        <f t="array" aca="1" ref="P212" ca="1">INDIRECT("'Definition of Typical Day'!"&amp; ADDRESS($D212+29*(P$16-1),$E212))</f>
        <v>0</v>
      </c>
      <c r="Q212" s="787">
        <f t="shared" ca="1" si="182"/>
        <v>3</v>
      </c>
      <c r="R212" s="792">
        <f t="shared" ca="1" si="183"/>
        <v>3</v>
      </c>
      <c r="S212" s="769">
        <f t="shared" si="184"/>
        <v>3</v>
      </c>
      <c r="T212" s="769">
        <f t="shared" ca="1" si="185"/>
        <v>-0.5</v>
      </c>
      <c r="U212" s="769">
        <f t="shared" ca="1" si="186"/>
        <v>2.262</v>
      </c>
      <c r="V212" s="769">
        <f t="shared" ca="1" si="187"/>
        <v>0</v>
      </c>
      <c r="W212" s="769">
        <f t="shared" ca="1" si="188"/>
        <v>4.7620000000000005</v>
      </c>
      <c r="X212" s="794">
        <f t="shared" si="189"/>
        <v>3</v>
      </c>
      <c r="Y212" s="769">
        <f t="shared" ca="1" si="190"/>
        <v>0.54772255750516607</v>
      </c>
      <c r="Z212" s="769">
        <f t="shared" ca="1" si="191"/>
        <v>0</v>
      </c>
      <c r="AA212" s="795">
        <f t="shared" ca="1" si="192"/>
        <v>0</v>
      </c>
      <c r="AB212" s="769">
        <f t="shared" ca="1" si="193"/>
        <v>0</v>
      </c>
      <c r="AC212" s="769">
        <f t="shared" ca="1" si="194"/>
        <v>0</v>
      </c>
      <c r="AD212" s="769">
        <f t="shared" ca="1" si="195"/>
        <v>0</v>
      </c>
      <c r="AE212" s="794">
        <f t="shared" ca="1" si="196"/>
        <v>0</v>
      </c>
      <c r="AF212" s="769">
        <f t="shared" ca="1" si="197"/>
        <v>0</v>
      </c>
      <c r="AG212" s="769">
        <f t="shared" ca="1" si="198"/>
        <v>0</v>
      </c>
      <c r="AH212" s="799">
        <f t="shared" ca="1" si="199"/>
        <v>0</v>
      </c>
      <c r="AI212" s="801">
        <f t="shared" ca="1" si="200"/>
        <v>1</v>
      </c>
      <c r="AJ212" s="794">
        <f t="shared" ca="1" si="201"/>
        <v>0</v>
      </c>
      <c r="AK212" s="769">
        <f t="shared" ca="1" si="202"/>
        <v>0</v>
      </c>
      <c r="AL212" s="769">
        <f t="shared" ca="1" si="203"/>
        <v>0</v>
      </c>
      <c r="AM212" s="804">
        <f t="shared" ca="1" si="153"/>
        <v>0</v>
      </c>
      <c r="AN212" s="795">
        <f t="shared" ca="1" si="154"/>
        <v>0</v>
      </c>
      <c r="AO212" s="251"/>
      <c r="AP212" s="770">
        <f t="shared" si="204"/>
        <v>0</v>
      </c>
      <c r="AQ212" s="771">
        <f t="shared" ca="1" si="205"/>
        <v>0</v>
      </c>
      <c r="AR212" s="771">
        <f t="shared" ca="1" si="206"/>
        <v>0</v>
      </c>
      <c r="AS212" s="772">
        <f t="shared" ca="1" si="207"/>
        <v>0</v>
      </c>
      <c r="AT212" s="231"/>
      <c r="AU212" s="770">
        <f>'Main Results - IRR DC Operator'!$F$16</f>
        <v>2</v>
      </c>
      <c r="AV212" s="773">
        <f>'Main Results - IRR DC Operator'!$F$15</f>
        <v>1</v>
      </c>
      <c r="AW212" s="771">
        <f t="shared" ca="1" si="208"/>
        <v>0</v>
      </c>
      <c r="AX212" s="772">
        <f t="shared" si="209"/>
        <v>0</v>
      </c>
      <c r="AY212" s="231"/>
      <c r="AZ212" s="770" cm="1">
        <f t="array" aca="1" ref="AZ212" ca="1">INDIRECT("'Definition of Typical Day'!"&amp; ADDRESS($D212+29*(AZ$16-1),$E212))+$AZ$17</f>
        <v>11</v>
      </c>
      <c r="BA212" s="771" cm="1">
        <f t="array" aca="1" ref="BA212" ca="1">INDIRECT("'Definition of Typical Day'!"&amp; ADDRESS($D212+29*(BA$16-1),$E212))+$BA$17</f>
        <v>11</v>
      </c>
      <c r="BB212" s="772" cm="1">
        <f t="array" aca="1" ref="BB212" ca="1">INDIRECT("'Definition of Typical Day'!"&amp;ADDRESS(BB$16,$E212))</f>
        <v>0</v>
      </c>
      <c r="BC212" s="776" cm="1">
        <f t="array" aca="1" ref="BC212" ca="1">INDIRECT("'Definition of Typical Day'!"&amp; ADDRESS($D212+29*(BC$16-1),$E212))</f>
        <v>0</v>
      </c>
      <c r="BD212" s="777" cm="1">
        <f t="array" aca="1" ref="BD212" ca="1">INDIRECT("'Definition of Typical Day'!"&amp; ADDRESS($D212+29*(BD$16-1),$E212))</f>
        <v>0</v>
      </c>
      <c r="BE212" s="776">
        <f t="shared" si="210"/>
        <v>0</v>
      </c>
      <c r="BF212" s="771">
        <f t="shared" ca="1" si="211"/>
        <v>0</v>
      </c>
      <c r="BG212" s="771">
        <f t="shared" ca="1" si="212"/>
        <v>0</v>
      </c>
      <c r="BH212" s="771">
        <f t="shared" ca="1" si="213"/>
        <v>0</v>
      </c>
      <c r="BI212" s="776">
        <f t="shared" ca="1" si="214"/>
        <v>0</v>
      </c>
      <c r="BJ212" s="776">
        <f t="shared" ca="1" si="215"/>
        <v>0</v>
      </c>
      <c r="BK212" s="776">
        <f t="shared" ca="1" si="216"/>
        <v>0</v>
      </c>
      <c r="BL212" s="776">
        <f t="shared" ca="1" si="217"/>
        <v>0</v>
      </c>
      <c r="BM212" s="135"/>
      <c r="BN212" s="776">
        <f t="shared" ca="1" si="218"/>
        <v>0</v>
      </c>
      <c r="BO212" s="778">
        <f t="shared" ca="1" si="155"/>
        <v>0</v>
      </c>
      <c r="BP212" s="770">
        <f t="shared" ca="1" si="156"/>
        <v>0</v>
      </c>
      <c r="BQ212" s="771">
        <f t="shared" ca="1" si="157"/>
        <v>0</v>
      </c>
      <c r="BR212" s="771">
        <f t="shared" ca="1" si="158"/>
        <v>0</v>
      </c>
      <c r="BS212" s="776">
        <f t="shared" ca="1" si="219"/>
        <v>0</v>
      </c>
      <c r="BT212" s="776">
        <f t="shared" ca="1" si="159"/>
        <v>0</v>
      </c>
      <c r="BU212" s="783">
        <f t="shared" ca="1" si="160"/>
        <v>0</v>
      </c>
      <c r="BV212" s="783">
        <f t="shared" ca="1" si="161"/>
        <v>0</v>
      </c>
      <c r="BW212" s="1019">
        <f t="shared" ca="1" si="220"/>
        <v>0</v>
      </c>
      <c r="BX212" s="771" cm="1">
        <f t="array" aca="1" ref="BX212" ca="1">INDIRECT("'Definition of Typical Day'!"&amp; ADDRESS($D212+29*(BX$16-1),$E212))</f>
        <v>0</v>
      </c>
      <c r="BY212" s="771">
        <f t="shared" ca="1" si="221"/>
        <v>0</v>
      </c>
      <c r="BZ212" s="781">
        <f t="shared" ca="1" si="162"/>
        <v>0</v>
      </c>
      <c r="CA212" s="781">
        <f t="shared" ca="1" si="163"/>
        <v>0</v>
      </c>
      <c r="CB212" s="776">
        <f t="shared" ca="1" si="164"/>
        <v>0</v>
      </c>
      <c r="CC212" s="782">
        <f t="shared" si="165"/>
        <v>8</v>
      </c>
      <c r="CD212" s="782">
        <f t="shared" si="166"/>
        <v>24</v>
      </c>
      <c r="CE212" s="784" cm="1">
        <f t="array" aca="1" ref="CE212" ca="1">INDIRECT("'Definition of Typical Day'!"&amp;ADDRESS(CE$16,$E212))</f>
        <v>8</v>
      </c>
      <c r="CF212" s="232"/>
      <c r="CG212" s="232"/>
      <c r="CH212" s="776">
        <f t="shared" ca="1" si="167"/>
        <v>0</v>
      </c>
      <c r="CI212" s="806">
        <f t="shared" ca="1" si="168"/>
        <v>0</v>
      </c>
      <c r="CJ212" s="770">
        <f t="shared" ca="1" si="169"/>
        <v>0</v>
      </c>
      <c r="CK212" s="771">
        <f t="shared" ca="1" si="170"/>
        <v>0</v>
      </c>
      <c r="CL212" s="771">
        <f t="shared" ca="1" si="171"/>
        <v>0</v>
      </c>
      <c r="CM212" s="772">
        <f t="shared" ca="1" si="172"/>
        <v>0</v>
      </c>
      <c r="CN212" s="135"/>
      <c r="CO212" s="770">
        <f t="shared" ca="1" si="222"/>
        <v>1.05</v>
      </c>
      <c r="CP212" s="771">
        <f t="shared" ca="1" si="173"/>
        <v>0.02</v>
      </c>
      <c r="CQ212" s="771">
        <f t="shared" ca="1" si="174"/>
        <v>-2.5000000000000001E-2</v>
      </c>
      <c r="CR212" s="771">
        <f t="shared" ca="1" si="175"/>
        <v>0.95</v>
      </c>
      <c r="CS212" s="771">
        <f t="shared" ca="1" si="176"/>
        <v>0.03</v>
      </c>
      <c r="CT212" s="772">
        <f t="shared" ca="1" si="177"/>
        <v>0.02</v>
      </c>
      <c r="CU212" s="135"/>
      <c r="CV212" s="135"/>
      <c r="CW212" s="135"/>
      <c r="CX212" s="135"/>
      <c r="CY212" s="135"/>
      <c r="CZ212" s="135"/>
      <c r="DA212" s="135"/>
      <c r="DB212" s="135"/>
      <c r="DC212" s="135"/>
      <c r="DD212" s="135"/>
      <c r="DE212" s="135"/>
      <c r="DF212" s="135"/>
      <c r="DG212" s="135"/>
      <c r="DH212" s="135"/>
      <c r="DI212" s="135"/>
      <c r="DJ212" s="135"/>
      <c r="DK212" s="135"/>
      <c r="DL212" s="135"/>
      <c r="DX212" s="135"/>
      <c r="DY212" s="135"/>
      <c r="DZ212" s="135"/>
      <c r="EA212" s="135"/>
      <c r="EB212" s="135"/>
      <c r="EC212" s="135"/>
      <c r="ED212" s="135"/>
      <c r="EE212" s="135"/>
      <c r="EF212" s="135"/>
      <c r="EG212" s="135"/>
      <c r="EH212" s="135"/>
      <c r="EI212" s="135"/>
      <c r="EJ212" s="135"/>
      <c r="EK212" s="135"/>
      <c r="EL212" s="135"/>
      <c r="EM212" s="135"/>
      <c r="EN212" s="135"/>
      <c r="EO212" s="135"/>
      <c r="EP212" s="135"/>
      <c r="EQ212" s="135"/>
      <c r="ER212" s="135"/>
      <c r="ES212" s="135"/>
      <c r="ET212" s="135"/>
      <c r="EU212" s="135"/>
      <c r="EV212" s="135"/>
      <c r="EW212" s="135"/>
      <c r="EX212" s="135"/>
      <c r="EY212" s="135"/>
      <c r="EZ212" s="135"/>
      <c r="FA212" s="135"/>
      <c r="FB212" s="135"/>
      <c r="FC212" s="135"/>
      <c r="FD212" s="135"/>
      <c r="FE212" s="135"/>
      <c r="FF212" s="135"/>
      <c r="FG212" s="135"/>
    </row>
    <row r="213" spans="1:163" s="57" customFormat="1" ht="11.25" outlineLevel="1">
      <c r="A213" s="765">
        <f t="shared" si="223"/>
        <v>9</v>
      </c>
      <c r="B213" s="715" cm="1">
        <f t="array" aca="1" ref="B213" ca="1">INDIRECT("'Definition of Typical Day'!"&amp;ADDRESS(B$16,$E213))</f>
        <v>9</v>
      </c>
      <c r="C213" s="766">
        <f t="shared" si="224"/>
        <v>1</v>
      </c>
      <c r="D213" s="715">
        <f t="shared" si="224"/>
        <v>35</v>
      </c>
      <c r="E213" s="715">
        <f t="shared" ref="E213:E276" si="225">A213+4</f>
        <v>13</v>
      </c>
      <c r="F213" s="767" cm="1">
        <f t="array" aca="1" ref="F213" ca="1">INDIRECT("'Definition of Typical Day'!D"&amp;D213)</f>
        <v>1</v>
      </c>
      <c r="G213" s="767" cm="1">
        <f t="array" aca="1" ref="G213" ca="1">INDIRECT("'Definition of Typical Day'!"&amp;ADDRESS(13,E213))</f>
        <v>9</v>
      </c>
      <c r="H213" s="768" cm="1">
        <f t="array" aca="1" ref="H213" ca="1">INDIRECT("'Definition of Typical Day'!"&amp; ADDRESS($D213+28*(H$16-1),$E213))</f>
        <v>0</v>
      </c>
      <c r="I213" s="715" cm="1">
        <f t="array" aca="1" ref="I213" ca="1">INDIRECT("'Definition of Typical Day'!"&amp; ADDRESS($D213+29*(I$16-1),$E213))</f>
        <v>0</v>
      </c>
      <c r="J213" s="715">
        <f t="shared" ca="1" si="178"/>
        <v>0</v>
      </c>
      <c r="K213" s="785">
        <f t="shared" si="179"/>
        <v>28</v>
      </c>
      <c r="L213" s="786" cm="1">
        <f t="array" aca="1" ref="L213" ca="1">INDIRECT("'Definition of Typical Day'!"&amp; ADDRESS($D213+29*(L$16-1),$E213))</f>
        <v>0</v>
      </c>
      <c r="M213" s="768" cm="1">
        <f t="array" aca="1" ref="M213" ca="1">INDIRECT("'Definition of Typical Day'!"&amp; ADDRESS($D213+29*(M$16-1),$E213))</f>
        <v>0</v>
      </c>
      <c r="N213" s="715">
        <f t="shared" si="180"/>
        <v>3</v>
      </c>
      <c r="O213" s="715">
        <f t="shared" ca="1" si="181"/>
        <v>3</v>
      </c>
      <c r="P213" s="715" cm="1">
        <f t="array" aca="1" ref="P213" ca="1">INDIRECT("'Definition of Typical Day'!"&amp; ADDRESS($D213+29*(P$16-1),$E213))</f>
        <v>0</v>
      </c>
      <c r="Q213" s="787">
        <f t="shared" ca="1" si="182"/>
        <v>3</v>
      </c>
      <c r="R213" s="792">
        <f t="shared" ca="1" si="183"/>
        <v>3</v>
      </c>
      <c r="S213" s="769">
        <f t="shared" si="184"/>
        <v>3</v>
      </c>
      <c r="T213" s="769">
        <f t="shared" ca="1" si="185"/>
        <v>-0.5</v>
      </c>
      <c r="U213" s="769">
        <f t="shared" ca="1" si="186"/>
        <v>2.262</v>
      </c>
      <c r="V213" s="769">
        <f t="shared" ca="1" si="187"/>
        <v>0</v>
      </c>
      <c r="W213" s="769">
        <f t="shared" ca="1" si="188"/>
        <v>4.7620000000000005</v>
      </c>
      <c r="X213" s="794">
        <f t="shared" si="189"/>
        <v>3</v>
      </c>
      <c r="Y213" s="769">
        <f t="shared" ca="1" si="190"/>
        <v>0.54772255750516607</v>
      </c>
      <c r="Z213" s="769">
        <f t="shared" ca="1" si="191"/>
        <v>0</v>
      </c>
      <c r="AA213" s="795">
        <f t="shared" ca="1" si="192"/>
        <v>0</v>
      </c>
      <c r="AB213" s="769">
        <f t="shared" ca="1" si="193"/>
        <v>0</v>
      </c>
      <c r="AC213" s="769">
        <f t="shared" ca="1" si="194"/>
        <v>0</v>
      </c>
      <c r="AD213" s="769">
        <f t="shared" ca="1" si="195"/>
        <v>0</v>
      </c>
      <c r="AE213" s="794">
        <f t="shared" ca="1" si="196"/>
        <v>0</v>
      </c>
      <c r="AF213" s="769">
        <f t="shared" ca="1" si="197"/>
        <v>0</v>
      </c>
      <c r="AG213" s="769">
        <f t="shared" ca="1" si="198"/>
        <v>0</v>
      </c>
      <c r="AH213" s="799">
        <f t="shared" ca="1" si="199"/>
        <v>0</v>
      </c>
      <c r="AI213" s="801">
        <f t="shared" ca="1" si="200"/>
        <v>1</v>
      </c>
      <c r="AJ213" s="794">
        <f t="shared" ca="1" si="201"/>
        <v>0</v>
      </c>
      <c r="AK213" s="769">
        <f t="shared" ca="1" si="202"/>
        <v>0</v>
      </c>
      <c r="AL213" s="769">
        <f t="shared" ca="1" si="203"/>
        <v>0</v>
      </c>
      <c r="AM213" s="804">
        <f t="shared" ref="AM213:AM276" ca="1" si="226">IF($BY213=1,$AJ213,0)*$BD213/AM$16</f>
        <v>0</v>
      </c>
      <c r="AN213" s="795">
        <f t="shared" ref="AN213:AN276" ca="1" si="227">(H213-IF($BY213=1,$AJ213,0))*$BD213/AN$16</f>
        <v>0</v>
      </c>
      <c r="AO213" s="251"/>
      <c r="AP213" s="770">
        <f t="shared" si="204"/>
        <v>0</v>
      </c>
      <c r="AQ213" s="771">
        <f t="shared" ca="1" si="205"/>
        <v>0</v>
      </c>
      <c r="AR213" s="771">
        <f t="shared" ca="1" si="206"/>
        <v>0</v>
      </c>
      <c r="AS213" s="772">
        <f t="shared" ca="1" si="207"/>
        <v>0</v>
      </c>
      <c r="AT213" s="231"/>
      <c r="AU213" s="770">
        <f>'Main Results - IRR DC Operator'!$F$16</f>
        <v>2</v>
      </c>
      <c r="AV213" s="773">
        <f>'Main Results - IRR DC Operator'!$F$15</f>
        <v>1</v>
      </c>
      <c r="AW213" s="771">
        <f t="shared" ca="1" si="208"/>
        <v>0</v>
      </c>
      <c r="AX213" s="772">
        <f t="shared" si="209"/>
        <v>0</v>
      </c>
      <c r="AY213" s="231"/>
      <c r="AZ213" s="770" cm="1">
        <f t="array" aca="1" ref="AZ213" ca="1">INDIRECT("'Definition of Typical Day'!"&amp; ADDRESS($D213+29*(AZ$16-1),$E213))+$AZ$17</f>
        <v>11</v>
      </c>
      <c r="BA213" s="771" cm="1">
        <f t="array" aca="1" ref="BA213" ca="1">INDIRECT("'Definition of Typical Day'!"&amp; ADDRESS($D213+29*(BA$16-1),$E213))+$BA$17</f>
        <v>11</v>
      </c>
      <c r="BB213" s="772" cm="1">
        <f t="array" aca="1" ref="BB213" ca="1">INDIRECT("'Definition of Typical Day'!"&amp;ADDRESS(BB$16,$E213))</f>
        <v>0</v>
      </c>
      <c r="BC213" s="776" cm="1">
        <f t="array" aca="1" ref="BC213" ca="1">INDIRECT("'Definition of Typical Day'!"&amp; ADDRESS($D213+29*(BC$16-1),$E213))</f>
        <v>0</v>
      </c>
      <c r="BD213" s="777" cm="1">
        <f t="array" aca="1" ref="BD213" ca="1">INDIRECT("'Definition of Typical Day'!"&amp; ADDRESS($D213+29*(BD$16-1),$E213))</f>
        <v>0</v>
      </c>
      <c r="BE213" s="776">
        <f t="shared" si="210"/>
        <v>0</v>
      </c>
      <c r="BF213" s="771">
        <f t="shared" ca="1" si="211"/>
        <v>0</v>
      </c>
      <c r="BG213" s="771">
        <f t="shared" ca="1" si="212"/>
        <v>0</v>
      </c>
      <c r="BH213" s="771">
        <f t="shared" ca="1" si="213"/>
        <v>0</v>
      </c>
      <c r="BI213" s="776">
        <f t="shared" ca="1" si="214"/>
        <v>0</v>
      </c>
      <c r="BJ213" s="776">
        <f t="shared" ca="1" si="215"/>
        <v>0</v>
      </c>
      <c r="BK213" s="776">
        <f t="shared" ca="1" si="216"/>
        <v>0</v>
      </c>
      <c r="BL213" s="776">
        <f t="shared" ca="1" si="217"/>
        <v>0</v>
      </c>
      <c r="BM213" s="135"/>
      <c r="BN213" s="776">
        <f t="shared" ca="1" si="218"/>
        <v>0</v>
      </c>
      <c r="BO213" s="778">
        <f t="shared" ref="BO213:BO276" ca="1" si="228">BN213/MAX(0.0001,AH213)</f>
        <v>0</v>
      </c>
      <c r="BP213" s="770">
        <f t="shared" ref="BP213:BP276" ca="1" si="229">SUM(AX213,BF213:BH213)</f>
        <v>0</v>
      </c>
      <c r="BQ213" s="771">
        <f t="shared" ref="BQ213:BQ276" ca="1" si="230">$BQ$16*AH213</f>
        <v>0</v>
      </c>
      <c r="BR213" s="771">
        <f t="shared" ref="BR213:BR276" ca="1" si="231">$BR$16*AD213</f>
        <v>0</v>
      </c>
      <c r="BS213" s="776">
        <f t="shared" ca="1" si="219"/>
        <v>0</v>
      </c>
      <c r="BT213" s="776">
        <f t="shared" ref="BT213:BT276" ca="1" si="232">BP213+BQ213+BR213</f>
        <v>0</v>
      </c>
      <c r="BU213" s="783">
        <f t="shared" ref="BU213:BU276" ca="1" si="233">BT213/MAX(0.0001,AH213)</f>
        <v>0</v>
      </c>
      <c r="BV213" s="783">
        <f t="shared" ref="BV213:BV276" ca="1" si="234">(BT213-BL213)/MAX(0.0001,AH213)</f>
        <v>0</v>
      </c>
      <c r="BW213" s="1019">
        <f t="shared" ca="1" si="220"/>
        <v>0</v>
      </c>
      <c r="BX213" s="771" cm="1">
        <f t="array" aca="1" ref="BX213" ca="1">INDIRECT("'Definition of Typical Day'!"&amp; ADDRESS($D213+29*(BX$16-1),$E213))</f>
        <v>0</v>
      </c>
      <c r="BY213" s="771">
        <f t="shared" ca="1" si="221"/>
        <v>0</v>
      </c>
      <c r="BZ213" s="781">
        <f t="shared" ref="BZ213:BZ276" ca="1" si="235">IF(AND(AJ213&gt;0,BY213&gt;0),1,0)</f>
        <v>0</v>
      </c>
      <c r="CA213" s="781">
        <f t="shared" ref="CA213:CA276" ca="1" si="236">IF(BY213&gt;0,(AJ213+AK213)/X$16,0)</f>
        <v>0</v>
      </c>
      <c r="CB213" s="776">
        <f t="shared" ref="CB213:CB276" ca="1" si="237">BX213*AH213</f>
        <v>0</v>
      </c>
      <c r="CC213" s="782">
        <f t="shared" ref="CC213:CC276" si="238">A213</f>
        <v>9</v>
      </c>
      <c r="CD213" s="782">
        <f t="shared" ref="CD213:CD276" si="239">C213</f>
        <v>1</v>
      </c>
      <c r="CE213" s="784" cm="1">
        <f t="array" aca="1" ref="CE213" ca="1">INDIRECT("'Definition of Typical Day'!"&amp;ADDRESS(CE$16,$E213))</f>
        <v>9</v>
      </c>
      <c r="CF213" s="232"/>
      <c r="CG213" s="232"/>
      <c r="CH213" s="776">
        <f t="shared" ref="CH213:CH276" ca="1" si="240">H213</f>
        <v>0</v>
      </c>
      <c r="CI213" s="806">
        <f t="shared" ref="CI213:CI276" ca="1" si="241">L213</f>
        <v>0</v>
      </c>
      <c r="CJ213" s="770">
        <f t="shared" ref="CJ213:CJ276" ca="1" si="242">AH213*$BY213</f>
        <v>0</v>
      </c>
      <c r="CK213" s="771">
        <f t="shared" ref="CK213:CK276" ca="1" si="243">AJ213*$BY213</f>
        <v>0</v>
      </c>
      <c r="CL213" s="771">
        <f t="shared" ref="CL213:CL276" ca="1" si="244">AK213*$BY213</f>
        <v>0</v>
      </c>
      <c r="CM213" s="772">
        <f t="shared" ref="CM213:CM276" ca="1" si="245">AL213*$BY213</f>
        <v>0</v>
      </c>
      <c r="CN213" s="135"/>
      <c r="CO213" s="770">
        <f t="shared" ca="1" si="222"/>
        <v>1.05</v>
      </c>
      <c r="CP213" s="771">
        <f t="shared" ref="CP213:CP276" ca="1" si="246">IF(L213&lt;0.01,2%,98%)</f>
        <v>0.02</v>
      </c>
      <c r="CQ213" s="771">
        <f t="shared" ref="CQ213:CQ276" ca="1" si="247">IF(H213&lt;0.01,-2.5%,96%)</f>
        <v>-2.5000000000000001E-2</v>
      </c>
      <c r="CR213" s="771">
        <f t="shared" ref="CR213:CR276" ca="1" si="248">IF(OR(AB213=0,AD213&gt;0),95%,5%)</f>
        <v>0.95</v>
      </c>
      <c r="CS213" s="771">
        <f t="shared" ref="CS213:CS276" ca="1" si="249">IF(AJ213&gt;0.01,102%,3%)</f>
        <v>0.03</v>
      </c>
      <c r="CT213" s="772">
        <f t="shared" ref="CT213:CT276" ca="1" si="250">IF(AL213&gt;0.01,101%,2%)</f>
        <v>0.02</v>
      </c>
      <c r="CU213" s="135"/>
      <c r="CV213" s="135"/>
      <c r="CW213" s="135"/>
      <c r="CX213" s="135"/>
      <c r="CY213" s="135"/>
      <c r="CZ213" s="135"/>
      <c r="DA213" s="135"/>
      <c r="DB213" s="135"/>
      <c r="DC213" s="135"/>
      <c r="DD213" s="135"/>
      <c r="DE213" s="135"/>
      <c r="DF213" s="135"/>
      <c r="DG213" s="135"/>
      <c r="DH213" s="135"/>
      <c r="DI213" s="135"/>
      <c r="DJ213" s="135"/>
      <c r="DK213" s="135"/>
      <c r="DL213" s="135"/>
      <c r="DX213" s="135"/>
      <c r="DY213" s="135"/>
      <c r="DZ213" s="135"/>
      <c r="EA213" s="135"/>
      <c r="EB213" s="135"/>
      <c r="EC213" s="135"/>
      <c r="ED213" s="135"/>
      <c r="EE213" s="135"/>
      <c r="EF213" s="135"/>
      <c r="EG213" s="135"/>
      <c r="EH213" s="135"/>
      <c r="EI213" s="135"/>
      <c r="EJ213" s="135"/>
      <c r="EK213" s="135"/>
      <c r="EL213" s="135"/>
      <c r="EM213" s="135"/>
      <c r="EN213" s="135"/>
      <c r="EO213" s="135"/>
      <c r="EP213" s="135"/>
      <c r="EQ213" s="135"/>
      <c r="ER213" s="135"/>
      <c r="ES213" s="135"/>
      <c r="ET213" s="135"/>
      <c r="EU213" s="135"/>
      <c r="EV213" s="135"/>
      <c r="EW213" s="135"/>
      <c r="EX213" s="135"/>
      <c r="EY213" s="135"/>
      <c r="EZ213" s="135"/>
      <c r="FA213" s="135"/>
      <c r="FB213" s="135"/>
      <c r="FC213" s="135"/>
      <c r="FD213" s="135"/>
      <c r="FE213" s="135"/>
      <c r="FF213" s="135"/>
      <c r="FG213" s="135"/>
    </row>
    <row r="214" spans="1:163" s="57" customFormat="1" ht="11.25" outlineLevel="1">
      <c r="A214" s="765">
        <f t="shared" si="223"/>
        <v>9</v>
      </c>
      <c r="B214" s="715" cm="1">
        <f t="array" aca="1" ref="B214" ca="1">INDIRECT("'Definition of Typical Day'!"&amp;ADDRESS(B$16,$E214))</f>
        <v>9</v>
      </c>
      <c r="C214" s="766">
        <f t="shared" si="224"/>
        <v>2</v>
      </c>
      <c r="D214" s="715">
        <f t="shared" si="224"/>
        <v>36</v>
      </c>
      <c r="E214" s="715">
        <f t="shared" si="225"/>
        <v>13</v>
      </c>
      <c r="F214" s="767" cm="1">
        <f t="array" aca="1" ref="F214" ca="1">INDIRECT("'Definition of Typical Day'!D"&amp;D214)</f>
        <v>2</v>
      </c>
      <c r="G214" s="767" cm="1">
        <f t="array" aca="1" ref="G214" ca="1">INDIRECT("'Definition of Typical Day'!"&amp;ADDRESS(13,E214))</f>
        <v>9</v>
      </c>
      <c r="H214" s="768" cm="1">
        <f t="array" aca="1" ref="H214" ca="1">INDIRECT("'Definition of Typical Day'!"&amp; ADDRESS($D214+28*(H$16-1),$E214))</f>
        <v>0</v>
      </c>
      <c r="I214" s="715" cm="1">
        <f t="array" aca="1" ref="I214" ca="1">INDIRECT("'Definition of Typical Day'!"&amp; ADDRESS($D214+29*(I$16-1),$E214))</f>
        <v>0</v>
      </c>
      <c r="J214" s="715">
        <f t="shared" ref="J214:J277" ca="1" si="251">IF(I214&lt;K214,0,I214-$J$16)</f>
        <v>0</v>
      </c>
      <c r="K214" s="785">
        <f t="shared" ref="K214:K277" si="252">$K$16</f>
        <v>28</v>
      </c>
      <c r="L214" s="786" cm="1">
        <f t="array" aca="1" ref="L214" ca="1">INDIRECT("'Definition of Typical Day'!"&amp; ADDRESS($D214+29*(L$16-1),$E214))</f>
        <v>0</v>
      </c>
      <c r="M214" s="768" cm="1">
        <f t="array" aca="1" ref="M214" ca="1">INDIRECT("'Definition of Typical Day'!"&amp; ADDRESS($D214+29*(M$16-1),$E214))</f>
        <v>0</v>
      </c>
      <c r="N214" s="715">
        <f t="shared" ref="N214:N277" si="253">$N$16</f>
        <v>3</v>
      </c>
      <c r="O214" s="715">
        <f t="shared" ref="O214:O277" ca="1" si="254">N214+M214</f>
        <v>3</v>
      </c>
      <c r="P214" s="715" cm="1">
        <f t="array" aca="1" ref="P214" ca="1">INDIRECT("'Definition of Typical Day'!"&amp; ADDRESS($D214+29*(P$16-1),$E214))</f>
        <v>0</v>
      </c>
      <c r="Q214" s="787">
        <f t="shared" ref="Q214:Q277" ca="1" si="255">P214+N214</f>
        <v>3</v>
      </c>
      <c r="R214" s="792">
        <f t="shared" ref="R214:R277" ca="1" si="256">MIN($R$16,O214)</f>
        <v>3</v>
      </c>
      <c r="S214" s="769">
        <f t="shared" ref="S214:S277" si="257">$S$16</f>
        <v>3</v>
      </c>
      <c r="T214" s="769">
        <f t="shared" ref="T214:T277" ca="1" si="258">ABS($T$16)*(J214-$T$17)</f>
        <v>-0.5</v>
      </c>
      <c r="U214" s="769">
        <f t="shared" ref="U214:U277" ca="1" si="259">ABS($U$16)*($U$17-R214)</f>
        <v>2.262</v>
      </c>
      <c r="V214" s="769">
        <f t="shared" ref="V214:V277" ca="1" si="260">($V$16)*(Q214-$V$17)</f>
        <v>0</v>
      </c>
      <c r="W214" s="769">
        <f t="shared" ref="W214:W277" ca="1" si="261">SUM(S214:V214)</f>
        <v>4.7620000000000005</v>
      </c>
      <c r="X214" s="794">
        <f t="shared" ref="X214:X277" si="262">$X$16</f>
        <v>3</v>
      </c>
      <c r="Y214" s="769">
        <f t="shared" ref="Y214:Y277" ca="1" si="263">X214*MIN(1,(MAX(1,R214-Q214)/$Y$16)^$Y$17)</f>
        <v>0.54772255750516607</v>
      </c>
      <c r="Z214" s="769">
        <f t="shared" ref="Z214:Z277" ca="1" si="264">MIN(H214*W214/(W214-1),Y214)</f>
        <v>0</v>
      </c>
      <c r="AA214" s="795">
        <f t="shared" ref="AA214:AA277" ca="1" si="265">(0.00001 + AD214)/(0.00001+AC214)*Z214</f>
        <v>0</v>
      </c>
      <c r="AB214" s="769">
        <f t="shared" ref="AB214:AB277" ca="1" si="266">MAX(0, O214-R214)</f>
        <v>0</v>
      </c>
      <c r="AC214" s="769">
        <f t="shared" ref="AC214:AC277" ca="1" si="267">(AB214/MAX(1,R214-Q214)*Z214)</f>
        <v>0</v>
      </c>
      <c r="AD214" s="769">
        <f t="shared" ref="AD214:AD277" ca="1" si="268">MIN(AC214,$AD$16)</f>
        <v>0</v>
      </c>
      <c r="AE214" s="794">
        <f t="shared" ref="AE214:AE277" ca="1" si="269">AD214+AA214</f>
        <v>0</v>
      </c>
      <c r="AF214" s="769">
        <f t="shared" ref="AF214:AF277" ca="1" si="270">AE214*$AF$16/100</f>
        <v>0</v>
      </c>
      <c r="AG214" s="769">
        <f t="shared" ref="AG214:AG277" ca="1" si="271">AE214-AF214</f>
        <v>0</v>
      </c>
      <c r="AH214" s="799">
        <f t="shared" ref="AH214:AH277" ca="1" si="272">MIN(AG214,L214)</f>
        <v>0</v>
      </c>
      <c r="AI214" s="801">
        <f t="shared" ref="AI214:AI277" ca="1" si="273">(0.00001 + AH214)/(0.00001+AG214)</f>
        <v>1</v>
      </c>
      <c r="AJ214" s="794">
        <f t="shared" ref="AJ214:AJ277" ca="1" si="274">AA214*(W214-1)/(W214)*$AI214</f>
        <v>0</v>
      </c>
      <c r="AK214" s="769">
        <f t="shared" ref="AK214:AK277" ca="1" si="275">AA214/(W214)*$AI214</f>
        <v>0</v>
      </c>
      <c r="AL214" s="769">
        <f t="shared" ref="AL214:AL277" ca="1" si="276">AD214/MAX(0.001, $AL$16/100)*$AI214</f>
        <v>0</v>
      </c>
      <c r="AM214" s="804">
        <f t="shared" ca="1" si="226"/>
        <v>0</v>
      </c>
      <c r="AN214" s="795">
        <f t="shared" ca="1" si="227"/>
        <v>0</v>
      </c>
      <c r="AO214" s="251"/>
      <c r="AP214" s="770">
        <f t="shared" ref="AP214:AP277" si="277">$AP$16</f>
        <v>0</v>
      </c>
      <c r="AQ214" s="771">
        <f t="shared" ref="AQ214:AQ277" ca="1" si="278">AP214*H214</f>
        <v>0</v>
      </c>
      <c r="AR214" s="771">
        <f t="shared" ref="AR214:AR277" ca="1" si="279">$AR$16*AJ214</f>
        <v>0</v>
      </c>
      <c r="AS214" s="772">
        <f t="shared" ref="AS214:AS277" ca="1" si="280">AR214+AQ214</f>
        <v>0</v>
      </c>
      <c r="AT214" s="231"/>
      <c r="AU214" s="770">
        <f>'Main Results - IRR DC Operator'!$F$16</f>
        <v>2</v>
      </c>
      <c r="AV214" s="773">
        <f>'Main Results - IRR DC Operator'!$F$15</f>
        <v>1</v>
      </c>
      <c r="AW214" s="771">
        <f t="shared" ref="AW214:AW277" ca="1" si="281">IF(AV214=1,H214*AU214,0)</f>
        <v>0</v>
      </c>
      <c r="AX214" s="772">
        <f t="shared" ref="AX214:AX277" si="282">IF(AV214=2,AJ214*AU214,0)</f>
        <v>0</v>
      </c>
      <c r="AY214" s="231"/>
      <c r="AZ214" s="770" cm="1">
        <f t="array" aca="1" ref="AZ214" ca="1">INDIRECT("'Definition of Typical Day'!"&amp; ADDRESS($D214+29*(AZ$16-1),$E214))+$AZ$17</f>
        <v>11</v>
      </c>
      <c r="BA214" s="771" cm="1">
        <f t="array" aca="1" ref="BA214" ca="1">INDIRECT("'Definition of Typical Day'!"&amp; ADDRESS($D214+29*(BA$16-1),$E214))+$BA$17</f>
        <v>11</v>
      </c>
      <c r="BB214" s="772" cm="1">
        <f t="array" aca="1" ref="BB214" ca="1">INDIRECT("'Definition of Typical Day'!"&amp;ADDRESS(BB$16,$E214))</f>
        <v>0</v>
      </c>
      <c r="BC214" s="776" cm="1">
        <f t="array" aca="1" ref="BC214" ca="1">INDIRECT("'Definition of Typical Day'!"&amp; ADDRESS($D214+29*(BC$16-1),$E214))</f>
        <v>0</v>
      </c>
      <c r="BD214" s="777" cm="1">
        <f t="array" aca="1" ref="BD214" ca="1">INDIRECT("'Definition of Typical Day'!"&amp; ADDRESS($D214+29*(BD$16-1),$E214))</f>
        <v>0</v>
      </c>
      <c r="BE214" s="776">
        <f t="shared" ref="BE214:BE277" si="283">$BE$16</f>
        <v>0</v>
      </c>
      <c r="BF214" s="771">
        <f t="shared" ref="BF214:BF277" ca="1" si="284">AZ214*AK214</f>
        <v>0</v>
      </c>
      <c r="BG214" s="771">
        <f t="shared" ref="BG214:BG277" ca="1" si="285">AE214*BG$16/100*BB214*AI214</f>
        <v>0</v>
      </c>
      <c r="BH214" s="771">
        <f t="shared" ref="BH214:BH277" ca="1" si="286">BA214*AL214</f>
        <v>0</v>
      </c>
      <c r="BI214" s="776">
        <f t="shared" ref="BI214:BI277" ca="1" si="287">AM214*$BC214</f>
        <v>0</v>
      </c>
      <c r="BJ214" s="776">
        <f t="shared" ref="BJ214:BJ277" ca="1" si="288">AN214*$BC214</f>
        <v>0</v>
      </c>
      <c r="BK214" s="776">
        <f t="shared" ref="BK214:BK277" ca="1" si="289">BE214*AJ214</f>
        <v>0</v>
      </c>
      <c r="BL214" s="776">
        <f t="shared" ref="BL214:BL277" ca="1" si="290">MIN(MAX(SUM(BF214:BG214),0), BK214)</f>
        <v>0</v>
      </c>
      <c r="BM214" s="135"/>
      <c r="BN214" s="776">
        <f t="shared" ref="BN214:BN277" ca="1" si="291">SUM(AW214:AX214,BF214:BH214)-BL214</f>
        <v>0</v>
      </c>
      <c r="BO214" s="778">
        <f t="shared" ca="1" si="228"/>
        <v>0</v>
      </c>
      <c r="BP214" s="770">
        <f t="shared" ca="1" si="229"/>
        <v>0</v>
      </c>
      <c r="BQ214" s="771">
        <f t="shared" ca="1" si="230"/>
        <v>0</v>
      </c>
      <c r="BR214" s="771">
        <f t="shared" ca="1" si="231"/>
        <v>0</v>
      </c>
      <c r="BS214" s="776">
        <f t="shared" ref="BS214:BS277" ca="1" si="292">BN214+BQ214+BR214</f>
        <v>0</v>
      </c>
      <c r="BT214" s="776">
        <f t="shared" ca="1" si="232"/>
        <v>0</v>
      </c>
      <c r="BU214" s="783">
        <f t="shared" ca="1" si="233"/>
        <v>0</v>
      </c>
      <c r="BV214" s="783">
        <f t="shared" ca="1" si="234"/>
        <v>0</v>
      </c>
      <c r="BW214" s="1019">
        <f t="shared" ref="BW214:BW277" ca="1" si="293">IF(BW$16=1,BV214,BU214)</f>
        <v>0</v>
      </c>
      <c r="BX214" s="771" cm="1">
        <f t="array" aca="1" ref="BX214" ca="1">INDIRECT("'Definition of Typical Day'!"&amp; ADDRESS($D214+29*(BX$16-1),$E214))</f>
        <v>0</v>
      </c>
      <c r="BY214" s="771">
        <f t="shared" ref="BY214:BY277" ca="1" si="294">IF(OR(BW214&gt;BX214,SUM(AJ214:AL214)&lt;0.01),0%,100%)</f>
        <v>0</v>
      </c>
      <c r="BZ214" s="781">
        <f t="shared" ca="1" si="235"/>
        <v>0</v>
      </c>
      <c r="CA214" s="781">
        <f t="shared" ca="1" si="236"/>
        <v>0</v>
      </c>
      <c r="CB214" s="776">
        <f t="shared" ca="1" si="237"/>
        <v>0</v>
      </c>
      <c r="CC214" s="782">
        <f t="shared" si="238"/>
        <v>9</v>
      </c>
      <c r="CD214" s="782">
        <f t="shared" si="239"/>
        <v>2</v>
      </c>
      <c r="CE214" s="784" cm="1">
        <f t="array" aca="1" ref="CE214" ca="1">INDIRECT("'Definition of Typical Day'!"&amp;ADDRESS(CE$16,$E214))</f>
        <v>9</v>
      </c>
      <c r="CF214" s="232"/>
      <c r="CG214" s="232"/>
      <c r="CH214" s="776">
        <f t="shared" ca="1" si="240"/>
        <v>0</v>
      </c>
      <c r="CI214" s="806">
        <f t="shared" ca="1" si="241"/>
        <v>0</v>
      </c>
      <c r="CJ214" s="770">
        <f t="shared" ca="1" si="242"/>
        <v>0</v>
      </c>
      <c r="CK214" s="771">
        <f t="shared" ca="1" si="243"/>
        <v>0</v>
      </c>
      <c r="CL214" s="771">
        <f t="shared" ca="1" si="244"/>
        <v>0</v>
      </c>
      <c r="CM214" s="772">
        <f t="shared" ca="1" si="245"/>
        <v>0</v>
      </c>
      <c r="CN214" s="135"/>
      <c r="CO214" s="770">
        <f t="shared" ca="1" si="222"/>
        <v>1.05</v>
      </c>
      <c r="CP214" s="771">
        <f t="shared" ca="1" si="246"/>
        <v>0.02</v>
      </c>
      <c r="CQ214" s="771">
        <f t="shared" ca="1" si="247"/>
        <v>-2.5000000000000001E-2</v>
      </c>
      <c r="CR214" s="771">
        <f t="shared" ca="1" si="248"/>
        <v>0.95</v>
      </c>
      <c r="CS214" s="771">
        <f t="shared" ca="1" si="249"/>
        <v>0.03</v>
      </c>
      <c r="CT214" s="772">
        <f t="shared" ca="1" si="250"/>
        <v>0.02</v>
      </c>
      <c r="CU214" s="135"/>
      <c r="CV214" s="135"/>
      <c r="CW214" s="135"/>
      <c r="CX214" s="135"/>
      <c r="CY214" s="135"/>
      <c r="CZ214" s="135"/>
      <c r="DA214" s="135"/>
      <c r="DB214" s="135"/>
      <c r="DC214" s="135"/>
      <c r="DD214" s="135"/>
      <c r="DE214" s="135"/>
      <c r="DF214" s="135"/>
      <c r="DG214" s="135"/>
      <c r="DH214" s="135"/>
      <c r="DI214" s="135"/>
      <c r="DJ214" s="135"/>
      <c r="DK214" s="135"/>
      <c r="DL214" s="135"/>
      <c r="DX214" s="135"/>
      <c r="DY214" s="135"/>
      <c r="DZ214" s="135"/>
      <c r="EA214" s="135"/>
      <c r="EB214" s="135"/>
      <c r="EC214" s="135"/>
      <c r="ED214" s="135"/>
      <c r="EE214" s="135"/>
      <c r="EF214" s="135"/>
      <c r="EG214" s="135"/>
      <c r="EH214" s="135"/>
      <c r="EI214" s="135"/>
      <c r="EJ214" s="135"/>
      <c r="EK214" s="135"/>
      <c r="EL214" s="135"/>
      <c r="EM214" s="135"/>
      <c r="EN214" s="135"/>
      <c r="EO214" s="135"/>
      <c r="EP214" s="135"/>
      <c r="EQ214" s="135"/>
      <c r="ER214" s="135"/>
      <c r="ES214" s="135"/>
      <c r="ET214" s="135"/>
      <c r="EU214" s="135"/>
      <c r="EV214" s="135"/>
      <c r="EW214" s="135"/>
      <c r="EX214" s="135"/>
      <c r="EY214" s="135"/>
      <c r="EZ214" s="135"/>
      <c r="FA214" s="135"/>
      <c r="FB214" s="135"/>
      <c r="FC214" s="135"/>
      <c r="FD214" s="135"/>
      <c r="FE214" s="135"/>
      <c r="FF214" s="135"/>
      <c r="FG214" s="135"/>
    </row>
    <row r="215" spans="1:163" s="57" customFormat="1" ht="11.25" outlineLevel="1">
      <c r="A215" s="765">
        <f t="shared" si="223"/>
        <v>9</v>
      </c>
      <c r="B215" s="715" cm="1">
        <f t="array" aca="1" ref="B215" ca="1">INDIRECT("'Definition of Typical Day'!"&amp;ADDRESS(B$16,$E215))</f>
        <v>9</v>
      </c>
      <c r="C215" s="766">
        <f t="shared" si="224"/>
        <v>3</v>
      </c>
      <c r="D215" s="715">
        <f t="shared" si="224"/>
        <v>37</v>
      </c>
      <c r="E215" s="715">
        <f t="shared" si="225"/>
        <v>13</v>
      </c>
      <c r="F215" s="767" cm="1">
        <f t="array" aca="1" ref="F215" ca="1">INDIRECT("'Definition of Typical Day'!D"&amp;D215)</f>
        <v>3</v>
      </c>
      <c r="G215" s="767" cm="1">
        <f t="array" aca="1" ref="G215" ca="1">INDIRECT("'Definition of Typical Day'!"&amp;ADDRESS(13,E215))</f>
        <v>9</v>
      </c>
      <c r="H215" s="768" cm="1">
        <f t="array" aca="1" ref="H215" ca="1">INDIRECT("'Definition of Typical Day'!"&amp; ADDRESS($D215+28*(H$16-1),$E215))</f>
        <v>0</v>
      </c>
      <c r="I215" s="715" cm="1">
        <f t="array" aca="1" ref="I215" ca="1">INDIRECT("'Definition of Typical Day'!"&amp; ADDRESS($D215+29*(I$16-1),$E215))</f>
        <v>0</v>
      </c>
      <c r="J215" s="715">
        <f t="shared" ca="1" si="251"/>
        <v>0</v>
      </c>
      <c r="K215" s="785">
        <f t="shared" si="252"/>
        <v>28</v>
      </c>
      <c r="L215" s="786" cm="1">
        <f t="array" aca="1" ref="L215" ca="1">INDIRECT("'Definition of Typical Day'!"&amp; ADDRESS($D215+29*(L$16-1),$E215))</f>
        <v>0</v>
      </c>
      <c r="M215" s="768" cm="1">
        <f t="array" aca="1" ref="M215" ca="1">INDIRECT("'Definition of Typical Day'!"&amp; ADDRESS($D215+29*(M$16-1),$E215))</f>
        <v>0</v>
      </c>
      <c r="N215" s="715">
        <f t="shared" si="253"/>
        <v>3</v>
      </c>
      <c r="O215" s="715">
        <f t="shared" ca="1" si="254"/>
        <v>3</v>
      </c>
      <c r="P215" s="715" cm="1">
        <f t="array" aca="1" ref="P215" ca="1">INDIRECT("'Definition of Typical Day'!"&amp; ADDRESS($D215+29*(P$16-1),$E215))</f>
        <v>0</v>
      </c>
      <c r="Q215" s="787">
        <f t="shared" ca="1" si="255"/>
        <v>3</v>
      </c>
      <c r="R215" s="792">
        <f t="shared" ca="1" si="256"/>
        <v>3</v>
      </c>
      <c r="S215" s="769">
        <f t="shared" si="257"/>
        <v>3</v>
      </c>
      <c r="T215" s="769">
        <f t="shared" ca="1" si="258"/>
        <v>-0.5</v>
      </c>
      <c r="U215" s="769">
        <f t="shared" ca="1" si="259"/>
        <v>2.262</v>
      </c>
      <c r="V215" s="769">
        <f t="shared" ca="1" si="260"/>
        <v>0</v>
      </c>
      <c r="W215" s="769">
        <f t="shared" ca="1" si="261"/>
        <v>4.7620000000000005</v>
      </c>
      <c r="X215" s="794">
        <f t="shared" si="262"/>
        <v>3</v>
      </c>
      <c r="Y215" s="769">
        <f t="shared" ca="1" si="263"/>
        <v>0.54772255750516607</v>
      </c>
      <c r="Z215" s="769">
        <f t="shared" ca="1" si="264"/>
        <v>0</v>
      </c>
      <c r="AA215" s="795">
        <f t="shared" ca="1" si="265"/>
        <v>0</v>
      </c>
      <c r="AB215" s="769">
        <f t="shared" ca="1" si="266"/>
        <v>0</v>
      </c>
      <c r="AC215" s="769">
        <f t="shared" ca="1" si="267"/>
        <v>0</v>
      </c>
      <c r="AD215" s="769">
        <f t="shared" ca="1" si="268"/>
        <v>0</v>
      </c>
      <c r="AE215" s="794">
        <f t="shared" ca="1" si="269"/>
        <v>0</v>
      </c>
      <c r="AF215" s="769">
        <f t="shared" ca="1" si="270"/>
        <v>0</v>
      </c>
      <c r="AG215" s="769">
        <f t="shared" ca="1" si="271"/>
        <v>0</v>
      </c>
      <c r="AH215" s="799">
        <f t="shared" ca="1" si="272"/>
        <v>0</v>
      </c>
      <c r="AI215" s="801">
        <f t="shared" ca="1" si="273"/>
        <v>1</v>
      </c>
      <c r="AJ215" s="794">
        <f t="shared" ca="1" si="274"/>
        <v>0</v>
      </c>
      <c r="AK215" s="769">
        <f t="shared" ca="1" si="275"/>
        <v>0</v>
      </c>
      <c r="AL215" s="769">
        <f t="shared" ca="1" si="276"/>
        <v>0</v>
      </c>
      <c r="AM215" s="804">
        <f t="shared" ca="1" si="226"/>
        <v>0</v>
      </c>
      <c r="AN215" s="795">
        <f t="shared" ca="1" si="227"/>
        <v>0</v>
      </c>
      <c r="AO215" s="251"/>
      <c r="AP215" s="770">
        <f t="shared" si="277"/>
        <v>0</v>
      </c>
      <c r="AQ215" s="771">
        <f t="shared" ca="1" si="278"/>
        <v>0</v>
      </c>
      <c r="AR215" s="771">
        <f t="shared" ca="1" si="279"/>
        <v>0</v>
      </c>
      <c r="AS215" s="772">
        <f t="shared" ca="1" si="280"/>
        <v>0</v>
      </c>
      <c r="AT215" s="231"/>
      <c r="AU215" s="770">
        <f>'Main Results - IRR DC Operator'!$F$16</f>
        <v>2</v>
      </c>
      <c r="AV215" s="773">
        <f>'Main Results - IRR DC Operator'!$F$15</f>
        <v>1</v>
      </c>
      <c r="AW215" s="771">
        <f t="shared" ca="1" si="281"/>
        <v>0</v>
      </c>
      <c r="AX215" s="772">
        <f t="shared" si="282"/>
        <v>0</v>
      </c>
      <c r="AY215" s="231"/>
      <c r="AZ215" s="770" cm="1">
        <f t="array" aca="1" ref="AZ215" ca="1">INDIRECT("'Definition of Typical Day'!"&amp; ADDRESS($D215+29*(AZ$16-1),$E215))+$AZ$17</f>
        <v>11</v>
      </c>
      <c r="BA215" s="771" cm="1">
        <f t="array" aca="1" ref="BA215" ca="1">INDIRECT("'Definition of Typical Day'!"&amp; ADDRESS($D215+29*(BA$16-1),$E215))+$BA$17</f>
        <v>11</v>
      </c>
      <c r="BB215" s="772" cm="1">
        <f t="array" aca="1" ref="BB215" ca="1">INDIRECT("'Definition of Typical Day'!"&amp;ADDRESS(BB$16,$E215))</f>
        <v>0</v>
      </c>
      <c r="BC215" s="776" cm="1">
        <f t="array" aca="1" ref="BC215" ca="1">INDIRECT("'Definition of Typical Day'!"&amp; ADDRESS($D215+29*(BC$16-1),$E215))</f>
        <v>0</v>
      </c>
      <c r="BD215" s="777" cm="1">
        <f t="array" aca="1" ref="BD215" ca="1">INDIRECT("'Definition of Typical Day'!"&amp; ADDRESS($D215+29*(BD$16-1),$E215))</f>
        <v>0</v>
      </c>
      <c r="BE215" s="776">
        <f t="shared" si="283"/>
        <v>0</v>
      </c>
      <c r="BF215" s="771">
        <f t="shared" ca="1" si="284"/>
        <v>0</v>
      </c>
      <c r="BG215" s="771">
        <f t="shared" ca="1" si="285"/>
        <v>0</v>
      </c>
      <c r="BH215" s="771">
        <f t="shared" ca="1" si="286"/>
        <v>0</v>
      </c>
      <c r="BI215" s="776">
        <f t="shared" ca="1" si="287"/>
        <v>0</v>
      </c>
      <c r="BJ215" s="776">
        <f t="shared" ca="1" si="288"/>
        <v>0</v>
      </c>
      <c r="BK215" s="776">
        <f t="shared" ca="1" si="289"/>
        <v>0</v>
      </c>
      <c r="BL215" s="776">
        <f t="shared" ca="1" si="290"/>
        <v>0</v>
      </c>
      <c r="BM215" s="135"/>
      <c r="BN215" s="776">
        <f t="shared" ca="1" si="291"/>
        <v>0</v>
      </c>
      <c r="BO215" s="778">
        <f t="shared" ca="1" si="228"/>
        <v>0</v>
      </c>
      <c r="BP215" s="770">
        <f t="shared" ca="1" si="229"/>
        <v>0</v>
      </c>
      <c r="BQ215" s="771">
        <f t="shared" ca="1" si="230"/>
        <v>0</v>
      </c>
      <c r="BR215" s="771">
        <f t="shared" ca="1" si="231"/>
        <v>0</v>
      </c>
      <c r="BS215" s="776">
        <f t="shared" ca="1" si="292"/>
        <v>0</v>
      </c>
      <c r="BT215" s="776">
        <f t="shared" ca="1" si="232"/>
        <v>0</v>
      </c>
      <c r="BU215" s="783">
        <f t="shared" ca="1" si="233"/>
        <v>0</v>
      </c>
      <c r="BV215" s="783">
        <f t="shared" ca="1" si="234"/>
        <v>0</v>
      </c>
      <c r="BW215" s="1019">
        <f t="shared" ca="1" si="293"/>
        <v>0</v>
      </c>
      <c r="BX215" s="771" cm="1">
        <f t="array" aca="1" ref="BX215" ca="1">INDIRECT("'Definition of Typical Day'!"&amp; ADDRESS($D215+29*(BX$16-1),$E215))</f>
        <v>0</v>
      </c>
      <c r="BY215" s="771">
        <f t="shared" ca="1" si="294"/>
        <v>0</v>
      </c>
      <c r="BZ215" s="781">
        <f t="shared" ca="1" si="235"/>
        <v>0</v>
      </c>
      <c r="CA215" s="781">
        <f t="shared" ca="1" si="236"/>
        <v>0</v>
      </c>
      <c r="CB215" s="776">
        <f t="shared" ca="1" si="237"/>
        <v>0</v>
      </c>
      <c r="CC215" s="782">
        <f t="shared" si="238"/>
        <v>9</v>
      </c>
      <c r="CD215" s="782">
        <f t="shared" si="239"/>
        <v>3</v>
      </c>
      <c r="CE215" s="784" cm="1">
        <f t="array" aca="1" ref="CE215" ca="1">INDIRECT("'Definition of Typical Day'!"&amp;ADDRESS(CE$16,$E215))</f>
        <v>9</v>
      </c>
      <c r="CF215" s="232"/>
      <c r="CG215" s="232"/>
      <c r="CH215" s="776">
        <f t="shared" ca="1" si="240"/>
        <v>0</v>
      </c>
      <c r="CI215" s="806">
        <f t="shared" ca="1" si="241"/>
        <v>0</v>
      </c>
      <c r="CJ215" s="770">
        <f t="shared" ca="1" si="242"/>
        <v>0</v>
      </c>
      <c r="CK215" s="771">
        <f t="shared" ca="1" si="243"/>
        <v>0</v>
      </c>
      <c r="CL215" s="771">
        <f t="shared" ca="1" si="244"/>
        <v>0</v>
      </c>
      <c r="CM215" s="772">
        <f t="shared" ca="1" si="245"/>
        <v>0</v>
      </c>
      <c r="CN215" s="135"/>
      <c r="CO215" s="770">
        <f t="shared" ca="1" si="222"/>
        <v>1.05</v>
      </c>
      <c r="CP215" s="771">
        <f t="shared" ca="1" si="246"/>
        <v>0.02</v>
      </c>
      <c r="CQ215" s="771">
        <f t="shared" ca="1" si="247"/>
        <v>-2.5000000000000001E-2</v>
      </c>
      <c r="CR215" s="771">
        <f t="shared" ca="1" si="248"/>
        <v>0.95</v>
      </c>
      <c r="CS215" s="771">
        <f t="shared" ca="1" si="249"/>
        <v>0.03</v>
      </c>
      <c r="CT215" s="772">
        <f t="shared" ca="1" si="250"/>
        <v>0.02</v>
      </c>
      <c r="CU215" s="135"/>
      <c r="CV215" s="135"/>
      <c r="CW215" s="135"/>
      <c r="CX215" s="135"/>
      <c r="CY215" s="135"/>
      <c r="CZ215" s="135"/>
      <c r="DA215" s="135"/>
      <c r="DB215" s="135"/>
      <c r="DC215" s="135"/>
      <c r="DD215" s="135"/>
      <c r="DE215" s="135"/>
      <c r="DF215" s="135"/>
      <c r="DG215" s="135"/>
      <c r="DH215" s="135"/>
      <c r="DI215" s="135"/>
      <c r="DJ215" s="135"/>
      <c r="DK215" s="135"/>
      <c r="DL215" s="135"/>
      <c r="DX215" s="135"/>
      <c r="DY215" s="135"/>
      <c r="DZ215" s="135"/>
      <c r="EA215" s="135"/>
      <c r="EB215" s="135"/>
      <c r="EC215" s="135"/>
      <c r="ED215" s="135"/>
      <c r="EE215" s="135"/>
      <c r="EF215" s="135"/>
      <c r="EG215" s="135"/>
      <c r="EH215" s="135"/>
      <c r="EI215" s="135"/>
      <c r="EJ215" s="135"/>
      <c r="EK215" s="135"/>
      <c r="EL215" s="135"/>
      <c r="EM215" s="135"/>
      <c r="EN215" s="135"/>
      <c r="EO215" s="135"/>
      <c r="EP215" s="135"/>
      <c r="EQ215" s="135"/>
      <c r="ER215" s="135"/>
      <c r="ES215" s="135"/>
      <c r="ET215" s="135"/>
      <c r="EU215" s="135"/>
      <c r="EV215" s="135"/>
      <c r="EW215" s="135"/>
      <c r="EX215" s="135"/>
      <c r="EY215" s="135"/>
      <c r="EZ215" s="135"/>
      <c r="FA215" s="135"/>
      <c r="FB215" s="135"/>
      <c r="FC215" s="135"/>
      <c r="FD215" s="135"/>
      <c r="FE215" s="135"/>
      <c r="FF215" s="135"/>
      <c r="FG215" s="135"/>
    </row>
    <row r="216" spans="1:163" s="57" customFormat="1" ht="11.25" outlineLevel="1">
      <c r="A216" s="765">
        <f t="shared" si="223"/>
        <v>9</v>
      </c>
      <c r="B216" s="715" cm="1">
        <f t="array" aca="1" ref="B216" ca="1">INDIRECT("'Definition of Typical Day'!"&amp;ADDRESS(B$16,$E216))</f>
        <v>9</v>
      </c>
      <c r="C216" s="766">
        <f t="shared" si="224"/>
        <v>4</v>
      </c>
      <c r="D216" s="715">
        <f t="shared" si="224"/>
        <v>38</v>
      </c>
      <c r="E216" s="715">
        <f t="shared" si="225"/>
        <v>13</v>
      </c>
      <c r="F216" s="767" cm="1">
        <f t="array" aca="1" ref="F216" ca="1">INDIRECT("'Definition of Typical Day'!D"&amp;D216)</f>
        <v>4</v>
      </c>
      <c r="G216" s="767" cm="1">
        <f t="array" aca="1" ref="G216" ca="1">INDIRECT("'Definition of Typical Day'!"&amp;ADDRESS(13,E216))</f>
        <v>9</v>
      </c>
      <c r="H216" s="768" cm="1">
        <f t="array" aca="1" ref="H216" ca="1">INDIRECT("'Definition of Typical Day'!"&amp; ADDRESS($D216+28*(H$16-1),$E216))</f>
        <v>0</v>
      </c>
      <c r="I216" s="715" cm="1">
        <f t="array" aca="1" ref="I216" ca="1">INDIRECT("'Definition of Typical Day'!"&amp; ADDRESS($D216+29*(I$16-1),$E216))</f>
        <v>0</v>
      </c>
      <c r="J216" s="715">
        <f t="shared" ca="1" si="251"/>
        <v>0</v>
      </c>
      <c r="K216" s="785">
        <f t="shared" si="252"/>
        <v>28</v>
      </c>
      <c r="L216" s="786" cm="1">
        <f t="array" aca="1" ref="L216" ca="1">INDIRECT("'Definition of Typical Day'!"&amp; ADDRESS($D216+29*(L$16-1),$E216))</f>
        <v>0</v>
      </c>
      <c r="M216" s="768" cm="1">
        <f t="array" aca="1" ref="M216" ca="1">INDIRECT("'Definition of Typical Day'!"&amp; ADDRESS($D216+29*(M$16-1),$E216))</f>
        <v>0</v>
      </c>
      <c r="N216" s="715">
        <f t="shared" si="253"/>
        <v>3</v>
      </c>
      <c r="O216" s="715">
        <f t="shared" ca="1" si="254"/>
        <v>3</v>
      </c>
      <c r="P216" s="715" cm="1">
        <f t="array" aca="1" ref="P216" ca="1">INDIRECT("'Definition of Typical Day'!"&amp; ADDRESS($D216+29*(P$16-1),$E216))</f>
        <v>0</v>
      </c>
      <c r="Q216" s="787">
        <f t="shared" ca="1" si="255"/>
        <v>3</v>
      </c>
      <c r="R216" s="792">
        <f t="shared" ca="1" si="256"/>
        <v>3</v>
      </c>
      <c r="S216" s="769">
        <f t="shared" si="257"/>
        <v>3</v>
      </c>
      <c r="T216" s="769">
        <f t="shared" ca="1" si="258"/>
        <v>-0.5</v>
      </c>
      <c r="U216" s="769">
        <f t="shared" ca="1" si="259"/>
        <v>2.262</v>
      </c>
      <c r="V216" s="769">
        <f t="shared" ca="1" si="260"/>
        <v>0</v>
      </c>
      <c r="W216" s="769">
        <f t="shared" ca="1" si="261"/>
        <v>4.7620000000000005</v>
      </c>
      <c r="X216" s="794">
        <f t="shared" si="262"/>
        <v>3</v>
      </c>
      <c r="Y216" s="769">
        <f t="shared" ca="1" si="263"/>
        <v>0.54772255750516607</v>
      </c>
      <c r="Z216" s="769">
        <f t="shared" ca="1" si="264"/>
        <v>0</v>
      </c>
      <c r="AA216" s="795">
        <f t="shared" ca="1" si="265"/>
        <v>0</v>
      </c>
      <c r="AB216" s="769">
        <f t="shared" ca="1" si="266"/>
        <v>0</v>
      </c>
      <c r="AC216" s="769">
        <f t="shared" ca="1" si="267"/>
        <v>0</v>
      </c>
      <c r="AD216" s="769">
        <f t="shared" ca="1" si="268"/>
        <v>0</v>
      </c>
      <c r="AE216" s="794">
        <f t="shared" ca="1" si="269"/>
        <v>0</v>
      </c>
      <c r="AF216" s="769">
        <f t="shared" ca="1" si="270"/>
        <v>0</v>
      </c>
      <c r="AG216" s="769">
        <f t="shared" ca="1" si="271"/>
        <v>0</v>
      </c>
      <c r="AH216" s="799">
        <f t="shared" ca="1" si="272"/>
        <v>0</v>
      </c>
      <c r="AI216" s="801">
        <f t="shared" ca="1" si="273"/>
        <v>1</v>
      </c>
      <c r="AJ216" s="794">
        <f t="shared" ca="1" si="274"/>
        <v>0</v>
      </c>
      <c r="AK216" s="769">
        <f t="shared" ca="1" si="275"/>
        <v>0</v>
      </c>
      <c r="AL216" s="769">
        <f t="shared" ca="1" si="276"/>
        <v>0</v>
      </c>
      <c r="AM216" s="804">
        <f t="shared" ca="1" si="226"/>
        <v>0</v>
      </c>
      <c r="AN216" s="795">
        <f t="shared" ca="1" si="227"/>
        <v>0</v>
      </c>
      <c r="AO216" s="251"/>
      <c r="AP216" s="770">
        <f t="shared" si="277"/>
        <v>0</v>
      </c>
      <c r="AQ216" s="771">
        <f t="shared" ca="1" si="278"/>
        <v>0</v>
      </c>
      <c r="AR216" s="771">
        <f t="shared" ca="1" si="279"/>
        <v>0</v>
      </c>
      <c r="AS216" s="772">
        <f t="shared" ca="1" si="280"/>
        <v>0</v>
      </c>
      <c r="AT216" s="231"/>
      <c r="AU216" s="770">
        <f>'Main Results - IRR DC Operator'!$F$16</f>
        <v>2</v>
      </c>
      <c r="AV216" s="773">
        <f>'Main Results - IRR DC Operator'!$F$15</f>
        <v>1</v>
      </c>
      <c r="AW216" s="771">
        <f t="shared" ca="1" si="281"/>
        <v>0</v>
      </c>
      <c r="AX216" s="772">
        <f t="shared" si="282"/>
        <v>0</v>
      </c>
      <c r="AY216" s="231"/>
      <c r="AZ216" s="770" cm="1">
        <f t="array" aca="1" ref="AZ216" ca="1">INDIRECT("'Definition of Typical Day'!"&amp; ADDRESS($D216+29*(AZ$16-1),$E216))+$AZ$17</f>
        <v>11</v>
      </c>
      <c r="BA216" s="771" cm="1">
        <f t="array" aca="1" ref="BA216" ca="1">INDIRECT("'Definition of Typical Day'!"&amp; ADDRESS($D216+29*(BA$16-1),$E216))+$BA$17</f>
        <v>11</v>
      </c>
      <c r="BB216" s="772" cm="1">
        <f t="array" aca="1" ref="BB216" ca="1">INDIRECT("'Definition of Typical Day'!"&amp;ADDRESS(BB$16,$E216))</f>
        <v>0</v>
      </c>
      <c r="BC216" s="776" cm="1">
        <f t="array" aca="1" ref="BC216" ca="1">INDIRECT("'Definition of Typical Day'!"&amp; ADDRESS($D216+29*(BC$16-1),$E216))</f>
        <v>0</v>
      </c>
      <c r="BD216" s="777" cm="1">
        <f t="array" aca="1" ref="BD216" ca="1">INDIRECT("'Definition of Typical Day'!"&amp; ADDRESS($D216+29*(BD$16-1),$E216))</f>
        <v>0</v>
      </c>
      <c r="BE216" s="776">
        <f t="shared" si="283"/>
        <v>0</v>
      </c>
      <c r="BF216" s="771">
        <f t="shared" ca="1" si="284"/>
        <v>0</v>
      </c>
      <c r="BG216" s="771">
        <f t="shared" ca="1" si="285"/>
        <v>0</v>
      </c>
      <c r="BH216" s="771">
        <f t="shared" ca="1" si="286"/>
        <v>0</v>
      </c>
      <c r="BI216" s="776">
        <f t="shared" ca="1" si="287"/>
        <v>0</v>
      </c>
      <c r="BJ216" s="776">
        <f t="shared" ca="1" si="288"/>
        <v>0</v>
      </c>
      <c r="BK216" s="776">
        <f t="shared" ca="1" si="289"/>
        <v>0</v>
      </c>
      <c r="BL216" s="776">
        <f t="shared" ca="1" si="290"/>
        <v>0</v>
      </c>
      <c r="BM216" s="135"/>
      <c r="BN216" s="776">
        <f t="shared" ca="1" si="291"/>
        <v>0</v>
      </c>
      <c r="BO216" s="778">
        <f t="shared" ca="1" si="228"/>
        <v>0</v>
      </c>
      <c r="BP216" s="770">
        <f t="shared" ca="1" si="229"/>
        <v>0</v>
      </c>
      <c r="BQ216" s="771">
        <f t="shared" ca="1" si="230"/>
        <v>0</v>
      </c>
      <c r="BR216" s="771">
        <f t="shared" ca="1" si="231"/>
        <v>0</v>
      </c>
      <c r="BS216" s="776">
        <f t="shared" ca="1" si="292"/>
        <v>0</v>
      </c>
      <c r="BT216" s="776">
        <f t="shared" ca="1" si="232"/>
        <v>0</v>
      </c>
      <c r="BU216" s="783">
        <f t="shared" ca="1" si="233"/>
        <v>0</v>
      </c>
      <c r="BV216" s="783">
        <f t="shared" ca="1" si="234"/>
        <v>0</v>
      </c>
      <c r="BW216" s="1019">
        <f t="shared" ca="1" si="293"/>
        <v>0</v>
      </c>
      <c r="BX216" s="771" cm="1">
        <f t="array" aca="1" ref="BX216" ca="1">INDIRECT("'Definition of Typical Day'!"&amp; ADDRESS($D216+29*(BX$16-1),$E216))</f>
        <v>0</v>
      </c>
      <c r="BY216" s="771">
        <f t="shared" ca="1" si="294"/>
        <v>0</v>
      </c>
      <c r="BZ216" s="781">
        <f t="shared" ca="1" si="235"/>
        <v>0</v>
      </c>
      <c r="CA216" s="781">
        <f t="shared" ca="1" si="236"/>
        <v>0</v>
      </c>
      <c r="CB216" s="776">
        <f t="shared" ca="1" si="237"/>
        <v>0</v>
      </c>
      <c r="CC216" s="782">
        <f t="shared" si="238"/>
        <v>9</v>
      </c>
      <c r="CD216" s="782">
        <f t="shared" si="239"/>
        <v>4</v>
      </c>
      <c r="CE216" s="784" cm="1">
        <f t="array" aca="1" ref="CE216" ca="1">INDIRECT("'Definition of Typical Day'!"&amp;ADDRESS(CE$16,$E216))</f>
        <v>9</v>
      </c>
      <c r="CF216" s="232"/>
      <c r="CG216" s="232"/>
      <c r="CH216" s="776">
        <f t="shared" ca="1" si="240"/>
        <v>0</v>
      </c>
      <c r="CI216" s="806">
        <f t="shared" ca="1" si="241"/>
        <v>0</v>
      </c>
      <c r="CJ216" s="770">
        <f t="shared" ca="1" si="242"/>
        <v>0</v>
      </c>
      <c r="CK216" s="771">
        <f t="shared" ca="1" si="243"/>
        <v>0</v>
      </c>
      <c r="CL216" s="771">
        <f t="shared" ca="1" si="244"/>
        <v>0</v>
      </c>
      <c r="CM216" s="772">
        <f t="shared" ca="1" si="245"/>
        <v>0</v>
      </c>
      <c r="CN216" s="135"/>
      <c r="CO216" s="770">
        <f t="shared" ca="1" si="222"/>
        <v>1.05</v>
      </c>
      <c r="CP216" s="771">
        <f t="shared" ca="1" si="246"/>
        <v>0.02</v>
      </c>
      <c r="CQ216" s="771">
        <f t="shared" ca="1" si="247"/>
        <v>-2.5000000000000001E-2</v>
      </c>
      <c r="CR216" s="771">
        <f t="shared" ca="1" si="248"/>
        <v>0.95</v>
      </c>
      <c r="CS216" s="771">
        <f t="shared" ca="1" si="249"/>
        <v>0.03</v>
      </c>
      <c r="CT216" s="772">
        <f t="shared" ca="1" si="250"/>
        <v>0.02</v>
      </c>
      <c r="CU216" s="135"/>
      <c r="CV216" s="135"/>
      <c r="CW216" s="135"/>
      <c r="CX216" s="135"/>
      <c r="CY216" s="135"/>
      <c r="CZ216" s="135"/>
      <c r="DA216" s="135"/>
      <c r="DB216" s="135"/>
      <c r="DC216" s="135"/>
      <c r="DD216" s="135"/>
      <c r="DE216" s="135"/>
      <c r="DF216" s="135"/>
      <c r="DG216" s="135"/>
      <c r="DH216" s="135"/>
      <c r="DI216" s="135"/>
      <c r="DJ216" s="135"/>
      <c r="DK216" s="135"/>
      <c r="DL216" s="135"/>
      <c r="DX216" s="135"/>
      <c r="DY216" s="135"/>
      <c r="DZ216" s="135"/>
      <c r="EA216" s="135"/>
      <c r="EB216" s="135"/>
      <c r="EC216" s="135"/>
      <c r="ED216" s="135"/>
      <c r="EE216" s="135"/>
      <c r="EF216" s="135"/>
      <c r="EG216" s="135"/>
      <c r="EH216" s="135"/>
      <c r="EI216" s="135"/>
      <c r="EJ216" s="135"/>
      <c r="EK216" s="135"/>
      <c r="EL216" s="135"/>
      <c r="EM216" s="135"/>
      <c r="EN216" s="135"/>
      <c r="EO216" s="135"/>
      <c r="EP216" s="135"/>
      <c r="EQ216" s="135"/>
      <c r="ER216" s="135"/>
      <c r="ES216" s="135"/>
      <c r="ET216" s="135"/>
      <c r="EU216" s="135"/>
      <c r="EV216" s="135"/>
      <c r="EW216" s="135"/>
      <c r="EX216" s="135"/>
      <c r="EY216" s="135"/>
      <c r="EZ216" s="135"/>
      <c r="FA216" s="135"/>
      <c r="FB216" s="135"/>
      <c r="FC216" s="135"/>
      <c r="FD216" s="135"/>
      <c r="FE216" s="135"/>
      <c r="FF216" s="135"/>
      <c r="FG216" s="135"/>
    </row>
    <row r="217" spans="1:163" s="57" customFormat="1" ht="11.25" outlineLevel="1">
      <c r="A217" s="765">
        <f t="shared" si="223"/>
        <v>9</v>
      </c>
      <c r="B217" s="715" cm="1">
        <f t="array" aca="1" ref="B217" ca="1">INDIRECT("'Definition of Typical Day'!"&amp;ADDRESS(B$16,$E217))</f>
        <v>9</v>
      </c>
      <c r="C217" s="766">
        <f t="shared" si="224"/>
        <v>5</v>
      </c>
      <c r="D217" s="715">
        <f t="shared" si="224"/>
        <v>39</v>
      </c>
      <c r="E217" s="715">
        <f t="shared" si="225"/>
        <v>13</v>
      </c>
      <c r="F217" s="767" cm="1">
        <f t="array" aca="1" ref="F217" ca="1">INDIRECT("'Definition of Typical Day'!D"&amp;D217)</f>
        <v>5</v>
      </c>
      <c r="G217" s="767" cm="1">
        <f t="array" aca="1" ref="G217" ca="1">INDIRECT("'Definition of Typical Day'!"&amp;ADDRESS(13,E217))</f>
        <v>9</v>
      </c>
      <c r="H217" s="768" cm="1">
        <f t="array" aca="1" ref="H217" ca="1">INDIRECT("'Definition of Typical Day'!"&amp; ADDRESS($D217+28*(H$16-1),$E217))</f>
        <v>0</v>
      </c>
      <c r="I217" s="715" cm="1">
        <f t="array" aca="1" ref="I217" ca="1">INDIRECT("'Definition of Typical Day'!"&amp; ADDRESS($D217+29*(I$16-1),$E217))</f>
        <v>0</v>
      </c>
      <c r="J217" s="715">
        <f t="shared" ca="1" si="251"/>
        <v>0</v>
      </c>
      <c r="K217" s="785">
        <f t="shared" si="252"/>
        <v>28</v>
      </c>
      <c r="L217" s="786" cm="1">
        <f t="array" aca="1" ref="L217" ca="1">INDIRECT("'Definition of Typical Day'!"&amp; ADDRESS($D217+29*(L$16-1),$E217))</f>
        <v>0</v>
      </c>
      <c r="M217" s="768" cm="1">
        <f t="array" aca="1" ref="M217" ca="1">INDIRECT("'Definition of Typical Day'!"&amp; ADDRESS($D217+29*(M$16-1),$E217))</f>
        <v>0</v>
      </c>
      <c r="N217" s="715">
        <f t="shared" si="253"/>
        <v>3</v>
      </c>
      <c r="O217" s="715">
        <f t="shared" ca="1" si="254"/>
        <v>3</v>
      </c>
      <c r="P217" s="715" cm="1">
        <f t="array" aca="1" ref="P217" ca="1">INDIRECT("'Definition of Typical Day'!"&amp; ADDRESS($D217+29*(P$16-1),$E217))</f>
        <v>0</v>
      </c>
      <c r="Q217" s="787">
        <f t="shared" ca="1" si="255"/>
        <v>3</v>
      </c>
      <c r="R217" s="792">
        <f t="shared" ca="1" si="256"/>
        <v>3</v>
      </c>
      <c r="S217" s="769">
        <f t="shared" si="257"/>
        <v>3</v>
      </c>
      <c r="T217" s="769">
        <f t="shared" ca="1" si="258"/>
        <v>-0.5</v>
      </c>
      <c r="U217" s="769">
        <f t="shared" ca="1" si="259"/>
        <v>2.262</v>
      </c>
      <c r="V217" s="769">
        <f t="shared" ca="1" si="260"/>
        <v>0</v>
      </c>
      <c r="W217" s="769">
        <f t="shared" ca="1" si="261"/>
        <v>4.7620000000000005</v>
      </c>
      <c r="X217" s="794">
        <f t="shared" si="262"/>
        <v>3</v>
      </c>
      <c r="Y217" s="769">
        <f t="shared" ca="1" si="263"/>
        <v>0.54772255750516607</v>
      </c>
      <c r="Z217" s="769">
        <f t="shared" ca="1" si="264"/>
        <v>0</v>
      </c>
      <c r="AA217" s="795">
        <f t="shared" ca="1" si="265"/>
        <v>0</v>
      </c>
      <c r="AB217" s="769">
        <f t="shared" ca="1" si="266"/>
        <v>0</v>
      </c>
      <c r="AC217" s="769">
        <f t="shared" ca="1" si="267"/>
        <v>0</v>
      </c>
      <c r="AD217" s="769">
        <f t="shared" ca="1" si="268"/>
        <v>0</v>
      </c>
      <c r="AE217" s="794">
        <f t="shared" ca="1" si="269"/>
        <v>0</v>
      </c>
      <c r="AF217" s="769">
        <f t="shared" ca="1" si="270"/>
        <v>0</v>
      </c>
      <c r="AG217" s="769">
        <f t="shared" ca="1" si="271"/>
        <v>0</v>
      </c>
      <c r="AH217" s="799">
        <f t="shared" ca="1" si="272"/>
        <v>0</v>
      </c>
      <c r="AI217" s="801">
        <f t="shared" ca="1" si="273"/>
        <v>1</v>
      </c>
      <c r="AJ217" s="794">
        <f t="shared" ca="1" si="274"/>
        <v>0</v>
      </c>
      <c r="AK217" s="769">
        <f t="shared" ca="1" si="275"/>
        <v>0</v>
      </c>
      <c r="AL217" s="769">
        <f t="shared" ca="1" si="276"/>
        <v>0</v>
      </c>
      <c r="AM217" s="804">
        <f t="shared" ca="1" si="226"/>
        <v>0</v>
      </c>
      <c r="AN217" s="795">
        <f t="shared" ca="1" si="227"/>
        <v>0</v>
      </c>
      <c r="AO217" s="251"/>
      <c r="AP217" s="770">
        <f t="shared" si="277"/>
        <v>0</v>
      </c>
      <c r="AQ217" s="771">
        <f t="shared" ca="1" si="278"/>
        <v>0</v>
      </c>
      <c r="AR217" s="771">
        <f t="shared" ca="1" si="279"/>
        <v>0</v>
      </c>
      <c r="AS217" s="772">
        <f t="shared" ca="1" si="280"/>
        <v>0</v>
      </c>
      <c r="AT217" s="231"/>
      <c r="AU217" s="770">
        <f>'Main Results - IRR DC Operator'!$F$16</f>
        <v>2</v>
      </c>
      <c r="AV217" s="773">
        <f>'Main Results - IRR DC Operator'!$F$15</f>
        <v>1</v>
      </c>
      <c r="AW217" s="771">
        <f t="shared" ca="1" si="281"/>
        <v>0</v>
      </c>
      <c r="AX217" s="772">
        <f t="shared" si="282"/>
        <v>0</v>
      </c>
      <c r="AY217" s="231"/>
      <c r="AZ217" s="770" cm="1">
        <f t="array" aca="1" ref="AZ217" ca="1">INDIRECT("'Definition of Typical Day'!"&amp; ADDRESS($D217+29*(AZ$16-1),$E217))+$AZ$17</f>
        <v>11</v>
      </c>
      <c r="BA217" s="771" cm="1">
        <f t="array" aca="1" ref="BA217" ca="1">INDIRECT("'Definition of Typical Day'!"&amp; ADDRESS($D217+29*(BA$16-1),$E217))+$BA$17</f>
        <v>11</v>
      </c>
      <c r="BB217" s="772" cm="1">
        <f t="array" aca="1" ref="BB217" ca="1">INDIRECT("'Definition of Typical Day'!"&amp;ADDRESS(BB$16,$E217))</f>
        <v>0</v>
      </c>
      <c r="BC217" s="776" cm="1">
        <f t="array" aca="1" ref="BC217" ca="1">INDIRECT("'Definition of Typical Day'!"&amp; ADDRESS($D217+29*(BC$16-1),$E217))</f>
        <v>0</v>
      </c>
      <c r="BD217" s="777" cm="1">
        <f t="array" aca="1" ref="BD217" ca="1">INDIRECT("'Definition of Typical Day'!"&amp; ADDRESS($D217+29*(BD$16-1),$E217))</f>
        <v>0</v>
      </c>
      <c r="BE217" s="776">
        <f t="shared" si="283"/>
        <v>0</v>
      </c>
      <c r="BF217" s="771">
        <f t="shared" ca="1" si="284"/>
        <v>0</v>
      </c>
      <c r="BG217" s="771">
        <f t="shared" ca="1" si="285"/>
        <v>0</v>
      </c>
      <c r="BH217" s="771">
        <f t="shared" ca="1" si="286"/>
        <v>0</v>
      </c>
      <c r="BI217" s="776">
        <f t="shared" ca="1" si="287"/>
        <v>0</v>
      </c>
      <c r="BJ217" s="776">
        <f t="shared" ca="1" si="288"/>
        <v>0</v>
      </c>
      <c r="BK217" s="776">
        <f t="shared" ca="1" si="289"/>
        <v>0</v>
      </c>
      <c r="BL217" s="776">
        <f t="shared" ca="1" si="290"/>
        <v>0</v>
      </c>
      <c r="BM217" s="135"/>
      <c r="BN217" s="776">
        <f t="shared" ca="1" si="291"/>
        <v>0</v>
      </c>
      <c r="BO217" s="778">
        <f t="shared" ca="1" si="228"/>
        <v>0</v>
      </c>
      <c r="BP217" s="770">
        <f t="shared" ca="1" si="229"/>
        <v>0</v>
      </c>
      <c r="BQ217" s="771">
        <f t="shared" ca="1" si="230"/>
        <v>0</v>
      </c>
      <c r="BR217" s="771">
        <f t="shared" ca="1" si="231"/>
        <v>0</v>
      </c>
      <c r="BS217" s="776">
        <f t="shared" ca="1" si="292"/>
        <v>0</v>
      </c>
      <c r="BT217" s="776">
        <f t="shared" ca="1" si="232"/>
        <v>0</v>
      </c>
      <c r="BU217" s="783">
        <f t="shared" ca="1" si="233"/>
        <v>0</v>
      </c>
      <c r="BV217" s="783">
        <f t="shared" ca="1" si="234"/>
        <v>0</v>
      </c>
      <c r="BW217" s="1019">
        <f t="shared" ca="1" si="293"/>
        <v>0</v>
      </c>
      <c r="BX217" s="771" cm="1">
        <f t="array" aca="1" ref="BX217" ca="1">INDIRECT("'Definition of Typical Day'!"&amp; ADDRESS($D217+29*(BX$16-1),$E217))</f>
        <v>0</v>
      </c>
      <c r="BY217" s="771">
        <f t="shared" ca="1" si="294"/>
        <v>0</v>
      </c>
      <c r="BZ217" s="781">
        <f t="shared" ca="1" si="235"/>
        <v>0</v>
      </c>
      <c r="CA217" s="781">
        <f t="shared" ca="1" si="236"/>
        <v>0</v>
      </c>
      <c r="CB217" s="776">
        <f t="shared" ca="1" si="237"/>
        <v>0</v>
      </c>
      <c r="CC217" s="782">
        <f t="shared" si="238"/>
        <v>9</v>
      </c>
      <c r="CD217" s="782">
        <f t="shared" si="239"/>
        <v>5</v>
      </c>
      <c r="CE217" s="784" cm="1">
        <f t="array" aca="1" ref="CE217" ca="1">INDIRECT("'Definition of Typical Day'!"&amp;ADDRESS(CE$16,$E217))</f>
        <v>9</v>
      </c>
      <c r="CF217" s="232"/>
      <c r="CG217" s="232"/>
      <c r="CH217" s="776">
        <f t="shared" ca="1" si="240"/>
        <v>0</v>
      </c>
      <c r="CI217" s="806">
        <f t="shared" ca="1" si="241"/>
        <v>0</v>
      </c>
      <c r="CJ217" s="770">
        <f t="shared" ca="1" si="242"/>
        <v>0</v>
      </c>
      <c r="CK217" s="771">
        <f t="shared" ca="1" si="243"/>
        <v>0</v>
      </c>
      <c r="CL217" s="771">
        <f t="shared" ca="1" si="244"/>
        <v>0</v>
      </c>
      <c r="CM217" s="772">
        <f t="shared" ca="1" si="245"/>
        <v>0</v>
      </c>
      <c r="CN217" s="135"/>
      <c r="CO217" s="770">
        <f t="shared" ca="1" si="222"/>
        <v>1.05</v>
      </c>
      <c r="CP217" s="771">
        <f t="shared" ca="1" si="246"/>
        <v>0.02</v>
      </c>
      <c r="CQ217" s="771">
        <f t="shared" ca="1" si="247"/>
        <v>-2.5000000000000001E-2</v>
      </c>
      <c r="CR217" s="771">
        <f t="shared" ca="1" si="248"/>
        <v>0.95</v>
      </c>
      <c r="CS217" s="771">
        <f t="shared" ca="1" si="249"/>
        <v>0.03</v>
      </c>
      <c r="CT217" s="772">
        <f t="shared" ca="1" si="250"/>
        <v>0.02</v>
      </c>
      <c r="CU217" s="135"/>
      <c r="CV217" s="135"/>
      <c r="CW217" s="135"/>
      <c r="CX217" s="135"/>
      <c r="CY217" s="135"/>
      <c r="CZ217" s="135"/>
      <c r="DA217" s="135"/>
      <c r="DB217" s="135"/>
      <c r="DC217" s="135"/>
      <c r="DD217" s="135"/>
      <c r="DE217" s="135"/>
      <c r="DF217" s="135"/>
      <c r="DG217" s="135"/>
      <c r="DH217" s="135"/>
      <c r="DI217" s="135"/>
      <c r="DJ217" s="135"/>
      <c r="DK217" s="135"/>
      <c r="DL217" s="135"/>
      <c r="DX217" s="135"/>
      <c r="DY217" s="135"/>
      <c r="DZ217" s="135"/>
      <c r="EA217" s="135"/>
      <c r="EB217" s="135"/>
      <c r="EC217" s="135"/>
      <c r="ED217" s="135"/>
      <c r="EE217" s="135"/>
      <c r="EF217" s="135"/>
      <c r="EG217" s="135"/>
      <c r="EH217" s="135"/>
      <c r="EI217" s="135"/>
      <c r="EJ217" s="135"/>
      <c r="EK217" s="135"/>
      <c r="EL217" s="135"/>
      <c r="EM217" s="135"/>
      <c r="EN217" s="135"/>
      <c r="EO217" s="135"/>
      <c r="EP217" s="135"/>
      <c r="EQ217" s="135"/>
      <c r="ER217" s="135"/>
      <c r="ES217" s="135"/>
      <c r="ET217" s="135"/>
      <c r="EU217" s="135"/>
      <c r="EV217" s="135"/>
      <c r="EW217" s="135"/>
      <c r="EX217" s="135"/>
      <c r="EY217" s="135"/>
      <c r="EZ217" s="135"/>
      <c r="FA217" s="135"/>
      <c r="FB217" s="135"/>
      <c r="FC217" s="135"/>
      <c r="FD217" s="135"/>
      <c r="FE217" s="135"/>
      <c r="FF217" s="135"/>
      <c r="FG217" s="135"/>
    </row>
    <row r="218" spans="1:163" s="57" customFormat="1" ht="11.25" outlineLevel="1">
      <c r="A218" s="765">
        <f t="shared" si="223"/>
        <v>9</v>
      </c>
      <c r="B218" s="715" cm="1">
        <f t="array" aca="1" ref="B218" ca="1">INDIRECT("'Definition of Typical Day'!"&amp;ADDRESS(B$16,$E218))</f>
        <v>9</v>
      </c>
      <c r="C218" s="766">
        <f t="shared" si="224"/>
        <v>6</v>
      </c>
      <c r="D218" s="715">
        <f t="shared" si="224"/>
        <v>40</v>
      </c>
      <c r="E218" s="715">
        <f t="shared" si="225"/>
        <v>13</v>
      </c>
      <c r="F218" s="767" cm="1">
        <f t="array" aca="1" ref="F218" ca="1">INDIRECT("'Definition of Typical Day'!D"&amp;D218)</f>
        <v>6</v>
      </c>
      <c r="G218" s="767" cm="1">
        <f t="array" aca="1" ref="G218" ca="1">INDIRECT("'Definition of Typical Day'!"&amp;ADDRESS(13,E218))</f>
        <v>9</v>
      </c>
      <c r="H218" s="768" cm="1">
        <f t="array" aca="1" ref="H218" ca="1">INDIRECT("'Definition of Typical Day'!"&amp; ADDRESS($D218+28*(H$16-1),$E218))</f>
        <v>0</v>
      </c>
      <c r="I218" s="715" cm="1">
        <f t="array" aca="1" ref="I218" ca="1">INDIRECT("'Definition of Typical Day'!"&amp; ADDRESS($D218+29*(I$16-1),$E218))</f>
        <v>0</v>
      </c>
      <c r="J218" s="715">
        <f t="shared" ca="1" si="251"/>
        <v>0</v>
      </c>
      <c r="K218" s="785">
        <f t="shared" si="252"/>
        <v>28</v>
      </c>
      <c r="L218" s="786" cm="1">
        <f t="array" aca="1" ref="L218" ca="1">INDIRECT("'Definition of Typical Day'!"&amp; ADDRESS($D218+29*(L$16-1),$E218))</f>
        <v>0</v>
      </c>
      <c r="M218" s="768" cm="1">
        <f t="array" aca="1" ref="M218" ca="1">INDIRECT("'Definition of Typical Day'!"&amp; ADDRESS($D218+29*(M$16-1),$E218))</f>
        <v>0</v>
      </c>
      <c r="N218" s="715">
        <f t="shared" si="253"/>
        <v>3</v>
      </c>
      <c r="O218" s="715">
        <f t="shared" ca="1" si="254"/>
        <v>3</v>
      </c>
      <c r="P218" s="715" cm="1">
        <f t="array" aca="1" ref="P218" ca="1">INDIRECT("'Definition of Typical Day'!"&amp; ADDRESS($D218+29*(P$16-1),$E218))</f>
        <v>0</v>
      </c>
      <c r="Q218" s="787">
        <f t="shared" ca="1" si="255"/>
        <v>3</v>
      </c>
      <c r="R218" s="792">
        <f t="shared" ca="1" si="256"/>
        <v>3</v>
      </c>
      <c r="S218" s="769">
        <f t="shared" si="257"/>
        <v>3</v>
      </c>
      <c r="T218" s="769">
        <f t="shared" ca="1" si="258"/>
        <v>-0.5</v>
      </c>
      <c r="U218" s="769">
        <f t="shared" ca="1" si="259"/>
        <v>2.262</v>
      </c>
      <c r="V218" s="769">
        <f t="shared" ca="1" si="260"/>
        <v>0</v>
      </c>
      <c r="W218" s="769">
        <f t="shared" ca="1" si="261"/>
        <v>4.7620000000000005</v>
      </c>
      <c r="X218" s="794">
        <f t="shared" si="262"/>
        <v>3</v>
      </c>
      <c r="Y218" s="769">
        <f t="shared" ca="1" si="263"/>
        <v>0.54772255750516607</v>
      </c>
      <c r="Z218" s="769">
        <f t="shared" ca="1" si="264"/>
        <v>0</v>
      </c>
      <c r="AA218" s="795">
        <f t="shared" ca="1" si="265"/>
        <v>0</v>
      </c>
      <c r="AB218" s="769">
        <f t="shared" ca="1" si="266"/>
        <v>0</v>
      </c>
      <c r="AC218" s="769">
        <f t="shared" ca="1" si="267"/>
        <v>0</v>
      </c>
      <c r="AD218" s="769">
        <f t="shared" ca="1" si="268"/>
        <v>0</v>
      </c>
      <c r="AE218" s="794">
        <f t="shared" ca="1" si="269"/>
        <v>0</v>
      </c>
      <c r="AF218" s="769">
        <f t="shared" ca="1" si="270"/>
        <v>0</v>
      </c>
      <c r="AG218" s="769">
        <f t="shared" ca="1" si="271"/>
        <v>0</v>
      </c>
      <c r="AH218" s="799">
        <f t="shared" ca="1" si="272"/>
        <v>0</v>
      </c>
      <c r="AI218" s="801">
        <f t="shared" ca="1" si="273"/>
        <v>1</v>
      </c>
      <c r="AJ218" s="794">
        <f t="shared" ca="1" si="274"/>
        <v>0</v>
      </c>
      <c r="AK218" s="769">
        <f t="shared" ca="1" si="275"/>
        <v>0</v>
      </c>
      <c r="AL218" s="769">
        <f t="shared" ca="1" si="276"/>
        <v>0</v>
      </c>
      <c r="AM218" s="804">
        <f t="shared" ca="1" si="226"/>
        <v>0</v>
      </c>
      <c r="AN218" s="795">
        <f t="shared" ca="1" si="227"/>
        <v>0</v>
      </c>
      <c r="AO218" s="251"/>
      <c r="AP218" s="770">
        <f t="shared" si="277"/>
        <v>0</v>
      </c>
      <c r="AQ218" s="771">
        <f t="shared" ca="1" si="278"/>
        <v>0</v>
      </c>
      <c r="AR218" s="771">
        <f t="shared" ca="1" si="279"/>
        <v>0</v>
      </c>
      <c r="AS218" s="772">
        <f t="shared" ca="1" si="280"/>
        <v>0</v>
      </c>
      <c r="AT218" s="231"/>
      <c r="AU218" s="770">
        <f>'Main Results - IRR DC Operator'!$F$16</f>
        <v>2</v>
      </c>
      <c r="AV218" s="773">
        <f>'Main Results - IRR DC Operator'!$F$15</f>
        <v>1</v>
      </c>
      <c r="AW218" s="771">
        <f t="shared" ca="1" si="281"/>
        <v>0</v>
      </c>
      <c r="AX218" s="772">
        <f t="shared" si="282"/>
        <v>0</v>
      </c>
      <c r="AY218" s="231"/>
      <c r="AZ218" s="770" cm="1">
        <f t="array" aca="1" ref="AZ218" ca="1">INDIRECT("'Definition of Typical Day'!"&amp; ADDRESS($D218+29*(AZ$16-1),$E218))+$AZ$17</f>
        <v>11</v>
      </c>
      <c r="BA218" s="771" cm="1">
        <f t="array" aca="1" ref="BA218" ca="1">INDIRECT("'Definition of Typical Day'!"&amp; ADDRESS($D218+29*(BA$16-1),$E218))+$BA$17</f>
        <v>11</v>
      </c>
      <c r="BB218" s="772" cm="1">
        <f t="array" aca="1" ref="BB218" ca="1">INDIRECT("'Definition of Typical Day'!"&amp;ADDRESS(BB$16,$E218))</f>
        <v>0</v>
      </c>
      <c r="BC218" s="776" cm="1">
        <f t="array" aca="1" ref="BC218" ca="1">INDIRECT("'Definition of Typical Day'!"&amp; ADDRESS($D218+29*(BC$16-1),$E218))</f>
        <v>0</v>
      </c>
      <c r="BD218" s="777" cm="1">
        <f t="array" aca="1" ref="BD218" ca="1">INDIRECT("'Definition of Typical Day'!"&amp; ADDRESS($D218+29*(BD$16-1),$E218))</f>
        <v>0</v>
      </c>
      <c r="BE218" s="776">
        <f t="shared" si="283"/>
        <v>0</v>
      </c>
      <c r="BF218" s="771">
        <f t="shared" ca="1" si="284"/>
        <v>0</v>
      </c>
      <c r="BG218" s="771">
        <f t="shared" ca="1" si="285"/>
        <v>0</v>
      </c>
      <c r="BH218" s="771">
        <f t="shared" ca="1" si="286"/>
        <v>0</v>
      </c>
      <c r="BI218" s="776">
        <f t="shared" ca="1" si="287"/>
        <v>0</v>
      </c>
      <c r="BJ218" s="776">
        <f t="shared" ca="1" si="288"/>
        <v>0</v>
      </c>
      <c r="BK218" s="776">
        <f t="shared" ca="1" si="289"/>
        <v>0</v>
      </c>
      <c r="BL218" s="776">
        <f t="shared" ca="1" si="290"/>
        <v>0</v>
      </c>
      <c r="BM218" s="135"/>
      <c r="BN218" s="776">
        <f t="shared" ca="1" si="291"/>
        <v>0</v>
      </c>
      <c r="BO218" s="778">
        <f t="shared" ca="1" si="228"/>
        <v>0</v>
      </c>
      <c r="BP218" s="770">
        <f t="shared" ca="1" si="229"/>
        <v>0</v>
      </c>
      <c r="BQ218" s="771">
        <f t="shared" ca="1" si="230"/>
        <v>0</v>
      </c>
      <c r="BR218" s="771">
        <f t="shared" ca="1" si="231"/>
        <v>0</v>
      </c>
      <c r="BS218" s="776">
        <f t="shared" ca="1" si="292"/>
        <v>0</v>
      </c>
      <c r="BT218" s="776">
        <f t="shared" ca="1" si="232"/>
        <v>0</v>
      </c>
      <c r="BU218" s="783">
        <f t="shared" ca="1" si="233"/>
        <v>0</v>
      </c>
      <c r="BV218" s="783">
        <f t="shared" ca="1" si="234"/>
        <v>0</v>
      </c>
      <c r="BW218" s="1019">
        <f t="shared" ca="1" si="293"/>
        <v>0</v>
      </c>
      <c r="BX218" s="771" cm="1">
        <f t="array" aca="1" ref="BX218" ca="1">INDIRECT("'Definition of Typical Day'!"&amp; ADDRESS($D218+29*(BX$16-1),$E218))</f>
        <v>0</v>
      </c>
      <c r="BY218" s="771">
        <f t="shared" ca="1" si="294"/>
        <v>0</v>
      </c>
      <c r="BZ218" s="781">
        <f t="shared" ca="1" si="235"/>
        <v>0</v>
      </c>
      <c r="CA218" s="781">
        <f t="shared" ca="1" si="236"/>
        <v>0</v>
      </c>
      <c r="CB218" s="776">
        <f t="shared" ca="1" si="237"/>
        <v>0</v>
      </c>
      <c r="CC218" s="782">
        <f t="shared" si="238"/>
        <v>9</v>
      </c>
      <c r="CD218" s="782">
        <f t="shared" si="239"/>
        <v>6</v>
      </c>
      <c r="CE218" s="784" cm="1">
        <f t="array" aca="1" ref="CE218" ca="1">INDIRECT("'Definition of Typical Day'!"&amp;ADDRESS(CE$16,$E218))</f>
        <v>9</v>
      </c>
      <c r="CF218" s="232"/>
      <c r="CG218" s="232"/>
      <c r="CH218" s="776">
        <f t="shared" ca="1" si="240"/>
        <v>0</v>
      </c>
      <c r="CI218" s="806">
        <f t="shared" ca="1" si="241"/>
        <v>0</v>
      </c>
      <c r="CJ218" s="770">
        <f t="shared" ca="1" si="242"/>
        <v>0</v>
      </c>
      <c r="CK218" s="771">
        <f t="shared" ca="1" si="243"/>
        <v>0</v>
      </c>
      <c r="CL218" s="771">
        <f t="shared" ca="1" si="244"/>
        <v>0</v>
      </c>
      <c r="CM218" s="772">
        <f t="shared" ca="1" si="245"/>
        <v>0</v>
      </c>
      <c r="CN218" s="135"/>
      <c r="CO218" s="770">
        <f t="shared" ca="1" si="222"/>
        <v>1.05</v>
      </c>
      <c r="CP218" s="771">
        <f t="shared" ca="1" si="246"/>
        <v>0.02</v>
      </c>
      <c r="CQ218" s="771">
        <f t="shared" ca="1" si="247"/>
        <v>-2.5000000000000001E-2</v>
      </c>
      <c r="CR218" s="771">
        <f t="shared" ca="1" si="248"/>
        <v>0.95</v>
      </c>
      <c r="CS218" s="771">
        <f t="shared" ca="1" si="249"/>
        <v>0.03</v>
      </c>
      <c r="CT218" s="772">
        <f t="shared" ca="1" si="250"/>
        <v>0.02</v>
      </c>
      <c r="CU218" s="135"/>
      <c r="CV218" s="135"/>
      <c r="CW218" s="135"/>
      <c r="CX218" s="135"/>
      <c r="CY218" s="135"/>
      <c r="CZ218" s="135"/>
      <c r="DA218" s="135"/>
      <c r="DB218" s="135"/>
      <c r="DC218" s="135"/>
      <c r="DD218" s="135"/>
      <c r="DE218" s="135"/>
      <c r="DF218" s="135"/>
      <c r="DG218" s="135"/>
      <c r="DH218" s="135"/>
      <c r="DI218" s="135"/>
      <c r="DJ218" s="135"/>
      <c r="DK218" s="135"/>
      <c r="DL218" s="135"/>
      <c r="DX218" s="135"/>
      <c r="DY218" s="135"/>
      <c r="DZ218" s="135"/>
      <c r="EA218" s="135"/>
      <c r="EB218" s="135"/>
      <c r="EC218" s="135"/>
      <c r="ED218" s="135"/>
      <c r="EE218" s="135"/>
      <c r="EF218" s="135"/>
      <c r="EG218" s="135"/>
      <c r="EH218" s="135"/>
      <c r="EI218" s="135"/>
      <c r="EJ218" s="135"/>
      <c r="EK218" s="135"/>
      <c r="EL218" s="135"/>
      <c r="EM218" s="135"/>
      <c r="EN218" s="135"/>
      <c r="EO218" s="135"/>
      <c r="EP218" s="135"/>
      <c r="EQ218" s="135"/>
      <c r="ER218" s="135"/>
      <c r="ES218" s="135"/>
      <c r="ET218" s="135"/>
      <c r="EU218" s="135"/>
      <c r="EV218" s="135"/>
      <c r="EW218" s="135"/>
      <c r="EX218" s="135"/>
      <c r="EY218" s="135"/>
      <c r="EZ218" s="135"/>
      <c r="FA218" s="135"/>
      <c r="FB218" s="135"/>
      <c r="FC218" s="135"/>
      <c r="FD218" s="135"/>
      <c r="FE218" s="135"/>
      <c r="FF218" s="135"/>
      <c r="FG218" s="135"/>
    </row>
    <row r="219" spans="1:163" s="57" customFormat="1" ht="11.25" outlineLevel="1">
      <c r="A219" s="765">
        <f t="shared" si="223"/>
        <v>9</v>
      </c>
      <c r="B219" s="715" cm="1">
        <f t="array" aca="1" ref="B219" ca="1">INDIRECT("'Definition of Typical Day'!"&amp;ADDRESS(B$16,$E219))</f>
        <v>9</v>
      </c>
      <c r="C219" s="766">
        <f t="shared" si="224"/>
        <v>7</v>
      </c>
      <c r="D219" s="715">
        <f t="shared" si="224"/>
        <v>41</v>
      </c>
      <c r="E219" s="715">
        <f t="shared" si="225"/>
        <v>13</v>
      </c>
      <c r="F219" s="767" cm="1">
        <f t="array" aca="1" ref="F219" ca="1">INDIRECT("'Definition of Typical Day'!D"&amp;D219)</f>
        <v>7</v>
      </c>
      <c r="G219" s="767" cm="1">
        <f t="array" aca="1" ref="G219" ca="1">INDIRECT("'Definition of Typical Day'!"&amp;ADDRESS(13,E219))</f>
        <v>9</v>
      </c>
      <c r="H219" s="768" cm="1">
        <f t="array" aca="1" ref="H219" ca="1">INDIRECT("'Definition of Typical Day'!"&amp; ADDRESS($D219+28*(H$16-1),$E219))</f>
        <v>0</v>
      </c>
      <c r="I219" s="715" cm="1">
        <f t="array" aca="1" ref="I219" ca="1">INDIRECT("'Definition of Typical Day'!"&amp; ADDRESS($D219+29*(I$16-1),$E219))</f>
        <v>0</v>
      </c>
      <c r="J219" s="715">
        <f t="shared" ca="1" si="251"/>
        <v>0</v>
      </c>
      <c r="K219" s="785">
        <f t="shared" si="252"/>
        <v>28</v>
      </c>
      <c r="L219" s="786" cm="1">
        <f t="array" aca="1" ref="L219" ca="1">INDIRECT("'Definition of Typical Day'!"&amp; ADDRESS($D219+29*(L$16-1),$E219))</f>
        <v>0</v>
      </c>
      <c r="M219" s="768" cm="1">
        <f t="array" aca="1" ref="M219" ca="1">INDIRECT("'Definition of Typical Day'!"&amp; ADDRESS($D219+29*(M$16-1),$E219))</f>
        <v>0</v>
      </c>
      <c r="N219" s="715">
        <f t="shared" si="253"/>
        <v>3</v>
      </c>
      <c r="O219" s="715">
        <f t="shared" ca="1" si="254"/>
        <v>3</v>
      </c>
      <c r="P219" s="715" cm="1">
        <f t="array" aca="1" ref="P219" ca="1">INDIRECT("'Definition of Typical Day'!"&amp; ADDRESS($D219+29*(P$16-1),$E219))</f>
        <v>0</v>
      </c>
      <c r="Q219" s="787">
        <f t="shared" ca="1" si="255"/>
        <v>3</v>
      </c>
      <c r="R219" s="792">
        <f t="shared" ca="1" si="256"/>
        <v>3</v>
      </c>
      <c r="S219" s="769">
        <f t="shared" si="257"/>
        <v>3</v>
      </c>
      <c r="T219" s="769">
        <f t="shared" ca="1" si="258"/>
        <v>-0.5</v>
      </c>
      <c r="U219" s="769">
        <f t="shared" ca="1" si="259"/>
        <v>2.262</v>
      </c>
      <c r="V219" s="769">
        <f t="shared" ca="1" si="260"/>
        <v>0</v>
      </c>
      <c r="W219" s="769">
        <f t="shared" ca="1" si="261"/>
        <v>4.7620000000000005</v>
      </c>
      <c r="X219" s="794">
        <f t="shared" si="262"/>
        <v>3</v>
      </c>
      <c r="Y219" s="769">
        <f t="shared" ca="1" si="263"/>
        <v>0.54772255750516607</v>
      </c>
      <c r="Z219" s="769">
        <f t="shared" ca="1" si="264"/>
        <v>0</v>
      </c>
      <c r="AA219" s="795">
        <f t="shared" ca="1" si="265"/>
        <v>0</v>
      </c>
      <c r="AB219" s="769">
        <f t="shared" ca="1" si="266"/>
        <v>0</v>
      </c>
      <c r="AC219" s="769">
        <f t="shared" ca="1" si="267"/>
        <v>0</v>
      </c>
      <c r="AD219" s="769">
        <f t="shared" ca="1" si="268"/>
        <v>0</v>
      </c>
      <c r="AE219" s="794">
        <f t="shared" ca="1" si="269"/>
        <v>0</v>
      </c>
      <c r="AF219" s="769">
        <f t="shared" ca="1" si="270"/>
        <v>0</v>
      </c>
      <c r="AG219" s="769">
        <f t="shared" ca="1" si="271"/>
        <v>0</v>
      </c>
      <c r="AH219" s="799">
        <f t="shared" ca="1" si="272"/>
        <v>0</v>
      </c>
      <c r="AI219" s="801">
        <f t="shared" ca="1" si="273"/>
        <v>1</v>
      </c>
      <c r="AJ219" s="794">
        <f t="shared" ca="1" si="274"/>
        <v>0</v>
      </c>
      <c r="AK219" s="769">
        <f t="shared" ca="1" si="275"/>
        <v>0</v>
      </c>
      <c r="AL219" s="769">
        <f t="shared" ca="1" si="276"/>
        <v>0</v>
      </c>
      <c r="AM219" s="804">
        <f t="shared" ca="1" si="226"/>
        <v>0</v>
      </c>
      <c r="AN219" s="795">
        <f t="shared" ca="1" si="227"/>
        <v>0</v>
      </c>
      <c r="AO219" s="251"/>
      <c r="AP219" s="770">
        <f t="shared" si="277"/>
        <v>0</v>
      </c>
      <c r="AQ219" s="771">
        <f t="shared" ca="1" si="278"/>
        <v>0</v>
      </c>
      <c r="AR219" s="771">
        <f t="shared" ca="1" si="279"/>
        <v>0</v>
      </c>
      <c r="AS219" s="772">
        <f t="shared" ca="1" si="280"/>
        <v>0</v>
      </c>
      <c r="AT219" s="231"/>
      <c r="AU219" s="770">
        <f>'Main Results - IRR DC Operator'!$F$16</f>
        <v>2</v>
      </c>
      <c r="AV219" s="773">
        <f>'Main Results - IRR DC Operator'!$F$15</f>
        <v>1</v>
      </c>
      <c r="AW219" s="771">
        <f t="shared" ca="1" si="281"/>
        <v>0</v>
      </c>
      <c r="AX219" s="772">
        <f t="shared" si="282"/>
        <v>0</v>
      </c>
      <c r="AY219" s="231"/>
      <c r="AZ219" s="770" cm="1">
        <f t="array" aca="1" ref="AZ219" ca="1">INDIRECT("'Definition of Typical Day'!"&amp; ADDRESS($D219+29*(AZ$16-1),$E219))+$AZ$17</f>
        <v>11</v>
      </c>
      <c r="BA219" s="771" cm="1">
        <f t="array" aca="1" ref="BA219" ca="1">INDIRECT("'Definition of Typical Day'!"&amp; ADDRESS($D219+29*(BA$16-1),$E219))+$BA$17</f>
        <v>11</v>
      </c>
      <c r="BB219" s="772" cm="1">
        <f t="array" aca="1" ref="BB219" ca="1">INDIRECT("'Definition of Typical Day'!"&amp;ADDRESS(BB$16,$E219))</f>
        <v>0</v>
      </c>
      <c r="BC219" s="776" cm="1">
        <f t="array" aca="1" ref="BC219" ca="1">INDIRECT("'Definition of Typical Day'!"&amp; ADDRESS($D219+29*(BC$16-1),$E219))</f>
        <v>0</v>
      </c>
      <c r="BD219" s="777" cm="1">
        <f t="array" aca="1" ref="BD219" ca="1">INDIRECT("'Definition of Typical Day'!"&amp; ADDRESS($D219+29*(BD$16-1),$E219))</f>
        <v>0</v>
      </c>
      <c r="BE219" s="776">
        <f t="shared" si="283"/>
        <v>0</v>
      </c>
      <c r="BF219" s="771">
        <f t="shared" ca="1" si="284"/>
        <v>0</v>
      </c>
      <c r="BG219" s="771">
        <f t="shared" ca="1" si="285"/>
        <v>0</v>
      </c>
      <c r="BH219" s="771">
        <f t="shared" ca="1" si="286"/>
        <v>0</v>
      </c>
      <c r="BI219" s="776">
        <f t="shared" ca="1" si="287"/>
        <v>0</v>
      </c>
      <c r="BJ219" s="776">
        <f t="shared" ca="1" si="288"/>
        <v>0</v>
      </c>
      <c r="BK219" s="776">
        <f t="shared" ca="1" si="289"/>
        <v>0</v>
      </c>
      <c r="BL219" s="776">
        <f t="shared" ca="1" si="290"/>
        <v>0</v>
      </c>
      <c r="BM219" s="135"/>
      <c r="BN219" s="776">
        <f t="shared" ca="1" si="291"/>
        <v>0</v>
      </c>
      <c r="BO219" s="778">
        <f t="shared" ca="1" si="228"/>
        <v>0</v>
      </c>
      <c r="BP219" s="770">
        <f t="shared" ca="1" si="229"/>
        <v>0</v>
      </c>
      <c r="BQ219" s="771">
        <f t="shared" ca="1" si="230"/>
        <v>0</v>
      </c>
      <c r="BR219" s="771">
        <f t="shared" ca="1" si="231"/>
        <v>0</v>
      </c>
      <c r="BS219" s="776">
        <f t="shared" ca="1" si="292"/>
        <v>0</v>
      </c>
      <c r="BT219" s="776">
        <f t="shared" ca="1" si="232"/>
        <v>0</v>
      </c>
      <c r="BU219" s="783">
        <f t="shared" ca="1" si="233"/>
        <v>0</v>
      </c>
      <c r="BV219" s="783">
        <f t="shared" ca="1" si="234"/>
        <v>0</v>
      </c>
      <c r="BW219" s="1019">
        <f t="shared" ca="1" si="293"/>
        <v>0</v>
      </c>
      <c r="BX219" s="771" cm="1">
        <f t="array" aca="1" ref="BX219" ca="1">INDIRECT("'Definition of Typical Day'!"&amp; ADDRESS($D219+29*(BX$16-1),$E219))</f>
        <v>0</v>
      </c>
      <c r="BY219" s="771">
        <f t="shared" ca="1" si="294"/>
        <v>0</v>
      </c>
      <c r="BZ219" s="781">
        <f t="shared" ca="1" si="235"/>
        <v>0</v>
      </c>
      <c r="CA219" s="781">
        <f t="shared" ca="1" si="236"/>
        <v>0</v>
      </c>
      <c r="CB219" s="776">
        <f t="shared" ca="1" si="237"/>
        <v>0</v>
      </c>
      <c r="CC219" s="782">
        <f t="shared" si="238"/>
        <v>9</v>
      </c>
      <c r="CD219" s="782">
        <f t="shared" si="239"/>
        <v>7</v>
      </c>
      <c r="CE219" s="784" cm="1">
        <f t="array" aca="1" ref="CE219" ca="1">INDIRECT("'Definition of Typical Day'!"&amp;ADDRESS(CE$16,$E219))</f>
        <v>9</v>
      </c>
      <c r="CF219" s="232"/>
      <c r="CG219" s="232"/>
      <c r="CH219" s="776">
        <f t="shared" ca="1" si="240"/>
        <v>0</v>
      </c>
      <c r="CI219" s="806">
        <f t="shared" ca="1" si="241"/>
        <v>0</v>
      </c>
      <c r="CJ219" s="770">
        <f t="shared" ca="1" si="242"/>
        <v>0</v>
      </c>
      <c r="CK219" s="771">
        <f t="shared" ca="1" si="243"/>
        <v>0</v>
      </c>
      <c r="CL219" s="771">
        <f t="shared" ca="1" si="244"/>
        <v>0</v>
      </c>
      <c r="CM219" s="772">
        <f t="shared" ca="1" si="245"/>
        <v>0</v>
      </c>
      <c r="CN219" s="135"/>
      <c r="CO219" s="770">
        <f t="shared" ca="1" si="222"/>
        <v>1.05</v>
      </c>
      <c r="CP219" s="771">
        <f t="shared" ca="1" si="246"/>
        <v>0.02</v>
      </c>
      <c r="CQ219" s="771">
        <f t="shared" ca="1" si="247"/>
        <v>-2.5000000000000001E-2</v>
      </c>
      <c r="CR219" s="771">
        <f t="shared" ca="1" si="248"/>
        <v>0.95</v>
      </c>
      <c r="CS219" s="771">
        <f t="shared" ca="1" si="249"/>
        <v>0.03</v>
      </c>
      <c r="CT219" s="772">
        <f t="shared" ca="1" si="250"/>
        <v>0.02</v>
      </c>
      <c r="CU219" s="135"/>
      <c r="CV219" s="135"/>
      <c r="CW219" s="135"/>
      <c r="CX219" s="135"/>
      <c r="CY219" s="135"/>
      <c r="CZ219" s="135"/>
      <c r="DA219" s="135"/>
      <c r="DB219" s="135"/>
      <c r="DC219" s="135"/>
      <c r="DD219" s="135"/>
      <c r="DE219" s="135"/>
      <c r="DF219" s="135"/>
      <c r="DG219" s="135"/>
      <c r="DH219" s="135"/>
      <c r="DI219" s="135"/>
      <c r="DJ219" s="135"/>
      <c r="DK219" s="135"/>
      <c r="DL219" s="135"/>
      <c r="DX219" s="135"/>
      <c r="DY219" s="135"/>
      <c r="DZ219" s="135"/>
      <c r="EA219" s="135"/>
      <c r="EB219" s="135"/>
      <c r="EC219" s="135"/>
      <c r="ED219" s="135"/>
      <c r="EE219" s="135"/>
      <c r="EF219" s="135"/>
      <c r="EG219" s="135"/>
      <c r="EH219" s="135"/>
      <c r="EI219" s="135"/>
      <c r="EJ219" s="135"/>
      <c r="EK219" s="135"/>
      <c r="EL219" s="135"/>
      <c r="EM219" s="135"/>
      <c r="EN219" s="135"/>
      <c r="EO219" s="135"/>
      <c r="EP219" s="135"/>
      <c r="EQ219" s="135"/>
      <c r="ER219" s="135"/>
      <c r="ES219" s="135"/>
      <c r="ET219" s="135"/>
      <c r="EU219" s="135"/>
      <c r="EV219" s="135"/>
      <c r="EW219" s="135"/>
      <c r="EX219" s="135"/>
      <c r="EY219" s="135"/>
      <c r="EZ219" s="135"/>
      <c r="FA219" s="135"/>
      <c r="FB219" s="135"/>
      <c r="FC219" s="135"/>
      <c r="FD219" s="135"/>
      <c r="FE219" s="135"/>
      <c r="FF219" s="135"/>
      <c r="FG219" s="135"/>
    </row>
    <row r="220" spans="1:163" s="57" customFormat="1" ht="11.25" outlineLevel="1">
      <c r="A220" s="765">
        <f t="shared" si="223"/>
        <v>9</v>
      </c>
      <c r="B220" s="715" cm="1">
        <f t="array" aca="1" ref="B220" ca="1">INDIRECT("'Definition of Typical Day'!"&amp;ADDRESS(B$16,$E220))</f>
        <v>9</v>
      </c>
      <c r="C220" s="766">
        <f t="shared" si="224"/>
        <v>8</v>
      </c>
      <c r="D220" s="715">
        <f t="shared" si="224"/>
        <v>42</v>
      </c>
      <c r="E220" s="715">
        <f t="shared" si="225"/>
        <v>13</v>
      </c>
      <c r="F220" s="767" cm="1">
        <f t="array" aca="1" ref="F220" ca="1">INDIRECT("'Definition of Typical Day'!D"&amp;D220)</f>
        <v>8</v>
      </c>
      <c r="G220" s="767" cm="1">
        <f t="array" aca="1" ref="G220" ca="1">INDIRECT("'Definition of Typical Day'!"&amp;ADDRESS(13,E220))</f>
        <v>9</v>
      </c>
      <c r="H220" s="768" cm="1">
        <f t="array" aca="1" ref="H220" ca="1">INDIRECT("'Definition of Typical Day'!"&amp; ADDRESS($D220+28*(H$16-1),$E220))</f>
        <v>0</v>
      </c>
      <c r="I220" s="715" cm="1">
        <f t="array" aca="1" ref="I220" ca="1">INDIRECT("'Definition of Typical Day'!"&amp; ADDRESS($D220+29*(I$16-1),$E220))</f>
        <v>0</v>
      </c>
      <c r="J220" s="715">
        <f t="shared" ca="1" si="251"/>
        <v>0</v>
      </c>
      <c r="K220" s="785">
        <f t="shared" si="252"/>
        <v>28</v>
      </c>
      <c r="L220" s="786" cm="1">
        <f t="array" aca="1" ref="L220" ca="1">INDIRECT("'Definition of Typical Day'!"&amp; ADDRESS($D220+29*(L$16-1),$E220))</f>
        <v>0</v>
      </c>
      <c r="M220" s="768" cm="1">
        <f t="array" aca="1" ref="M220" ca="1">INDIRECT("'Definition of Typical Day'!"&amp; ADDRESS($D220+29*(M$16-1),$E220))</f>
        <v>0</v>
      </c>
      <c r="N220" s="715">
        <f t="shared" si="253"/>
        <v>3</v>
      </c>
      <c r="O220" s="715">
        <f t="shared" ca="1" si="254"/>
        <v>3</v>
      </c>
      <c r="P220" s="715" cm="1">
        <f t="array" aca="1" ref="P220" ca="1">INDIRECT("'Definition of Typical Day'!"&amp; ADDRESS($D220+29*(P$16-1),$E220))</f>
        <v>0</v>
      </c>
      <c r="Q220" s="787">
        <f t="shared" ca="1" si="255"/>
        <v>3</v>
      </c>
      <c r="R220" s="792">
        <f t="shared" ca="1" si="256"/>
        <v>3</v>
      </c>
      <c r="S220" s="769">
        <f t="shared" si="257"/>
        <v>3</v>
      </c>
      <c r="T220" s="769">
        <f t="shared" ca="1" si="258"/>
        <v>-0.5</v>
      </c>
      <c r="U220" s="769">
        <f t="shared" ca="1" si="259"/>
        <v>2.262</v>
      </c>
      <c r="V220" s="769">
        <f t="shared" ca="1" si="260"/>
        <v>0</v>
      </c>
      <c r="W220" s="769">
        <f t="shared" ca="1" si="261"/>
        <v>4.7620000000000005</v>
      </c>
      <c r="X220" s="794">
        <f t="shared" si="262"/>
        <v>3</v>
      </c>
      <c r="Y220" s="769">
        <f t="shared" ca="1" si="263"/>
        <v>0.54772255750516607</v>
      </c>
      <c r="Z220" s="769">
        <f t="shared" ca="1" si="264"/>
        <v>0</v>
      </c>
      <c r="AA220" s="795">
        <f t="shared" ca="1" si="265"/>
        <v>0</v>
      </c>
      <c r="AB220" s="769">
        <f t="shared" ca="1" si="266"/>
        <v>0</v>
      </c>
      <c r="AC220" s="769">
        <f t="shared" ca="1" si="267"/>
        <v>0</v>
      </c>
      <c r="AD220" s="769">
        <f t="shared" ca="1" si="268"/>
        <v>0</v>
      </c>
      <c r="AE220" s="794">
        <f t="shared" ca="1" si="269"/>
        <v>0</v>
      </c>
      <c r="AF220" s="769">
        <f t="shared" ca="1" si="270"/>
        <v>0</v>
      </c>
      <c r="AG220" s="769">
        <f t="shared" ca="1" si="271"/>
        <v>0</v>
      </c>
      <c r="AH220" s="799">
        <f t="shared" ca="1" si="272"/>
        <v>0</v>
      </c>
      <c r="AI220" s="801">
        <f t="shared" ca="1" si="273"/>
        <v>1</v>
      </c>
      <c r="AJ220" s="794">
        <f t="shared" ca="1" si="274"/>
        <v>0</v>
      </c>
      <c r="AK220" s="769">
        <f t="shared" ca="1" si="275"/>
        <v>0</v>
      </c>
      <c r="AL220" s="769">
        <f t="shared" ca="1" si="276"/>
        <v>0</v>
      </c>
      <c r="AM220" s="804">
        <f t="shared" ca="1" si="226"/>
        <v>0</v>
      </c>
      <c r="AN220" s="795">
        <f t="shared" ca="1" si="227"/>
        <v>0</v>
      </c>
      <c r="AO220" s="251"/>
      <c r="AP220" s="770">
        <f t="shared" si="277"/>
        <v>0</v>
      </c>
      <c r="AQ220" s="771">
        <f t="shared" ca="1" si="278"/>
        <v>0</v>
      </c>
      <c r="AR220" s="771">
        <f t="shared" ca="1" si="279"/>
        <v>0</v>
      </c>
      <c r="AS220" s="772">
        <f t="shared" ca="1" si="280"/>
        <v>0</v>
      </c>
      <c r="AT220" s="231"/>
      <c r="AU220" s="770">
        <f>'Main Results - IRR DC Operator'!$F$16</f>
        <v>2</v>
      </c>
      <c r="AV220" s="773">
        <f>'Main Results - IRR DC Operator'!$F$15</f>
        <v>1</v>
      </c>
      <c r="AW220" s="771">
        <f t="shared" ca="1" si="281"/>
        <v>0</v>
      </c>
      <c r="AX220" s="772">
        <f t="shared" si="282"/>
        <v>0</v>
      </c>
      <c r="AY220" s="231"/>
      <c r="AZ220" s="770" cm="1">
        <f t="array" aca="1" ref="AZ220" ca="1">INDIRECT("'Definition of Typical Day'!"&amp; ADDRESS($D220+29*(AZ$16-1),$E220))+$AZ$17</f>
        <v>11</v>
      </c>
      <c r="BA220" s="771" cm="1">
        <f t="array" aca="1" ref="BA220" ca="1">INDIRECT("'Definition of Typical Day'!"&amp; ADDRESS($D220+29*(BA$16-1),$E220))+$BA$17</f>
        <v>11</v>
      </c>
      <c r="BB220" s="772" cm="1">
        <f t="array" aca="1" ref="BB220" ca="1">INDIRECT("'Definition of Typical Day'!"&amp;ADDRESS(BB$16,$E220))</f>
        <v>0</v>
      </c>
      <c r="BC220" s="776" cm="1">
        <f t="array" aca="1" ref="BC220" ca="1">INDIRECT("'Definition of Typical Day'!"&amp; ADDRESS($D220+29*(BC$16-1),$E220))</f>
        <v>0</v>
      </c>
      <c r="BD220" s="777" cm="1">
        <f t="array" aca="1" ref="BD220" ca="1">INDIRECT("'Definition of Typical Day'!"&amp; ADDRESS($D220+29*(BD$16-1),$E220))</f>
        <v>0</v>
      </c>
      <c r="BE220" s="776">
        <f t="shared" si="283"/>
        <v>0</v>
      </c>
      <c r="BF220" s="771">
        <f t="shared" ca="1" si="284"/>
        <v>0</v>
      </c>
      <c r="BG220" s="771">
        <f t="shared" ca="1" si="285"/>
        <v>0</v>
      </c>
      <c r="BH220" s="771">
        <f t="shared" ca="1" si="286"/>
        <v>0</v>
      </c>
      <c r="BI220" s="776">
        <f t="shared" ca="1" si="287"/>
        <v>0</v>
      </c>
      <c r="BJ220" s="776">
        <f t="shared" ca="1" si="288"/>
        <v>0</v>
      </c>
      <c r="BK220" s="776">
        <f t="shared" ca="1" si="289"/>
        <v>0</v>
      </c>
      <c r="BL220" s="776">
        <f t="shared" ca="1" si="290"/>
        <v>0</v>
      </c>
      <c r="BM220" s="135"/>
      <c r="BN220" s="776">
        <f t="shared" ca="1" si="291"/>
        <v>0</v>
      </c>
      <c r="BO220" s="778">
        <f t="shared" ca="1" si="228"/>
        <v>0</v>
      </c>
      <c r="BP220" s="770">
        <f t="shared" ca="1" si="229"/>
        <v>0</v>
      </c>
      <c r="BQ220" s="771">
        <f t="shared" ca="1" si="230"/>
        <v>0</v>
      </c>
      <c r="BR220" s="771">
        <f t="shared" ca="1" si="231"/>
        <v>0</v>
      </c>
      <c r="BS220" s="776">
        <f t="shared" ca="1" si="292"/>
        <v>0</v>
      </c>
      <c r="BT220" s="776">
        <f t="shared" ca="1" si="232"/>
        <v>0</v>
      </c>
      <c r="BU220" s="783">
        <f t="shared" ca="1" si="233"/>
        <v>0</v>
      </c>
      <c r="BV220" s="783">
        <f t="shared" ca="1" si="234"/>
        <v>0</v>
      </c>
      <c r="BW220" s="1019">
        <f t="shared" ca="1" si="293"/>
        <v>0</v>
      </c>
      <c r="BX220" s="771" cm="1">
        <f t="array" aca="1" ref="BX220" ca="1">INDIRECT("'Definition of Typical Day'!"&amp; ADDRESS($D220+29*(BX$16-1),$E220))</f>
        <v>0</v>
      </c>
      <c r="BY220" s="771">
        <f t="shared" ca="1" si="294"/>
        <v>0</v>
      </c>
      <c r="BZ220" s="781">
        <f t="shared" ca="1" si="235"/>
        <v>0</v>
      </c>
      <c r="CA220" s="781">
        <f t="shared" ca="1" si="236"/>
        <v>0</v>
      </c>
      <c r="CB220" s="776">
        <f t="shared" ca="1" si="237"/>
        <v>0</v>
      </c>
      <c r="CC220" s="782">
        <f t="shared" si="238"/>
        <v>9</v>
      </c>
      <c r="CD220" s="782">
        <f t="shared" si="239"/>
        <v>8</v>
      </c>
      <c r="CE220" s="784" cm="1">
        <f t="array" aca="1" ref="CE220" ca="1">INDIRECT("'Definition of Typical Day'!"&amp;ADDRESS(CE$16,$E220))</f>
        <v>9</v>
      </c>
      <c r="CF220" s="232"/>
      <c r="CG220" s="232"/>
      <c r="CH220" s="776">
        <f t="shared" ca="1" si="240"/>
        <v>0</v>
      </c>
      <c r="CI220" s="806">
        <f t="shared" ca="1" si="241"/>
        <v>0</v>
      </c>
      <c r="CJ220" s="770">
        <f t="shared" ca="1" si="242"/>
        <v>0</v>
      </c>
      <c r="CK220" s="771">
        <f t="shared" ca="1" si="243"/>
        <v>0</v>
      </c>
      <c r="CL220" s="771">
        <f t="shared" ca="1" si="244"/>
        <v>0</v>
      </c>
      <c r="CM220" s="772">
        <f t="shared" ca="1" si="245"/>
        <v>0</v>
      </c>
      <c r="CN220" s="135"/>
      <c r="CO220" s="770">
        <f t="shared" ca="1" si="222"/>
        <v>1.05</v>
      </c>
      <c r="CP220" s="771">
        <f t="shared" ca="1" si="246"/>
        <v>0.02</v>
      </c>
      <c r="CQ220" s="771">
        <f t="shared" ca="1" si="247"/>
        <v>-2.5000000000000001E-2</v>
      </c>
      <c r="CR220" s="771">
        <f t="shared" ca="1" si="248"/>
        <v>0.95</v>
      </c>
      <c r="CS220" s="771">
        <f t="shared" ca="1" si="249"/>
        <v>0.03</v>
      </c>
      <c r="CT220" s="772">
        <f t="shared" ca="1" si="250"/>
        <v>0.02</v>
      </c>
      <c r="CU220" s="135"/>
      <c r="CV220" s="135"/>
      <c r="CW220" s="135"/>
      <c r="CX220" s="135"/>
      <c r="CY220" s="135"/>
      <c r="CZ220" s="135"/>
      <c r="DA220" s="135"/>
      <c r="DB220" s="135"/>
      <c r="DC220" s="135"/>
      <c r="DD220" s="135"/>
      <c r="DE220" s="135"/>
      <c r="DF220" s="135"/>
      <c r="DG220" s="135"/>
      <c r="DH220" s="135"/>
      <c r="DI220" s="135"/>
      <c r="DJ220" s="135"/>
      <c r="DK220" s="135"/>
      <c r="DL220" s="135"/>
      <c r="DX220" s="135"/>
      <c r="DY220" s="135"/>
      <c r="DZ220" s="135"/>
      <c r="EA220" s="135"/>
      <c r="EB220" s="135"/>
      <c r="EC220" s="135"/>
      <c r="ED220" s="135"/>
      <c r="EE220" s="135"/>
      <c r="EF220" s="135"/>
      <c r="EG220" s="135"/>
      <c r="EH220" s="135"/>
      <c r="EI220" s="135"/>
      <c r="EJ220" s="135"/>
      <c r="EK220" s="135"/>
      <c r="EL220" s="135"/>
      <c r="EM220" s="135"/>
      <c r="EN220" s="135"/>
      <c r="EO220" s="135"/>
      <c r="EP220" s="135"/>
      <c r="EQ220" s="135"/>
      <c r="ER220" s="135"/>
      <c r="ES220" s="135"/>
      <c r="ET220" s="135"/>
      <c r="EU220" s="135"/>
      <c r="EV220" s="135"/>
      <c r="EW220" s="135"/>
      <c r="EX220" s="135"/>
      <c r="EY220" s="135"/>
      <c r="EZ220" s="135"/>
      <c r="FA220" s="135"/>
      <c r="FB220" s="135"/>
      <c r="FC220" s="135"/>
      <c r="FD220" s="135"/>
      <c r="FE220" s="135"/>
      <c r="FF220" s="135"/>
      <c r="FG220" s="135"/>
    </row>
    <row r="221" spans="1:163" s="57" customFormat="1" ht="11.25" outlineLevel="1">
      <c r="A221" s="765">
        <f t="shared" si="223"/>
        <v>9</v>
      </c>
      <c r="B221" s="715" cm="1">
        <f t="array" aca="1" ref="B221" ca="1">INDIRECT("'Definition of Typical Day'!"&amp;ADDRESS(B$16,$E221))</f>
        <v>9</v>
      </c>
      <c r="C221" s="766">
        <f t="shared" si="224"/>
        <v>9</v>
      </c>
      <c r="D221" s="715">
        <f t="shared" si="224"/>
        <v>43</v>
      </c>
      <c r="E221" s="715">
        <f t="shared" si="225"/>
        <v>13</v>
      </c>
      <c r="F221" s="767" cm="1">
        <f t="array" aca="1" ref="F221" ca="1">INDIRECT("'Definition of Typical Day'!D"&amp;D221)</f>
        <v>9</v>
      </c>
      <c r="G221" s="767" cm="1">
        <f t="array" aca="1" ref="G221" ca="1">INDIRECT("'Definition of Typical Day'!"&amp;ADDRESS(13,E221))</f>
        <v>9</v>
      </c>
      <c r="H221" s="768" cm="1">
        <f t="array" aca="1" ref="H221" ca="1">INDIRECT("'Definition of Typical Day'!"&amp; ADDRESS($D221+28*(H$16-1),$E221))</f>
        <v>0</v>
      </c>
      <c r="I221" s="715" cm="1">
        <f t="array" aca="1" ref="I221" ca="1">INDIRECT("'Definition of Typical Day'!"&amp; ADDRESS($D221+29*(I$16-1),$E221))</f>
        <v>0</v>
      </c>
      <c r="J221" s="715">
        <f t="shared" ca="1" si="251"/>
        <v>0</v>
      </c>
      <c r="K221" s="785">
        <f t="shared" si="252"/>
        <v>28</v>
      </c>
      <c r="L221" s="786" cm="1">
        <f t="array" aca="1" ref="L221" ca="1">INDIRECT("'Definition of Typical Day'!"&amp; ADDRESS($D221+29*(L$16-1),$E221))</f>
        <v>0</v>
      </c>
      <c r="M221" s="768" cm="1">
        <f t="array" aca="1" ref="M221" ca="1">INDIRECT("'Definition of Typical Day'!"&amp; ADDRESS($D221+29*(M$16-1),$E221))</f>
        <v>0</v>
      </c>
      <c r="N221" s="715">
        <f t="shared" si="253"/>
        <v>3</v>
      </c>
      <c r="O221" s="715">
        <f t="shared" ca="1" si="254"/>
        <v>3</v>
      </c>
      <c r="P221" s="715" cm="1">
        <f t="array" aca="1" ref="P221" ca="1">INDIRECT("'Definition of Typical Day'!"&amp; ADDRESS($D221+29*(P$16-1),$E221))</f>
        <v>0</v>
      </c>
      <c r="Q221" s="787">
        <f t="shared" ca="1" si="255"/>
        <v>3</v>
      </c>
      <c r="R221" s="792">
        <f t="shared" ca="1" si="256"/>
        <v>3</v>
      </c>
      <c r="S221" s="769">
        <f t="shared" si="257"/>
        <v>3</v>
      </c>
      <c r="T221" s="769">
        <f t="shared" ca="1" si="258"/>
        <v>-0.5</v>
      </c>
      <c r="U221" s="769">
        <f t="shared" ca="1" si="259"/>
        <v>2.262</v>
      </c>
      <c r="V221" s="769">
        <f t="shared" ca="1" si="260"/>
        <v>0</v>
      </c>
      <c r="W221" s="769">
        <f t="shared" ca="1" si="261"/>
        <v>4.7620000000000005</v>
      </c>
      <c r="X221" s="794">
        <f t="shared" si="262"/>
        <v>3</v>
      </c>
      <c r="Y221" s="769">
        <f t="shared" ca="1" si="263"/>
        <v>0.54772255750516607</v>
      </c>
      <c r="Z221" s="769">
        <f t="shared" ca="1" si="264"/>
        <v>0</v>
      </c>
      <c r="AA221" s="795">
        <f t="shared" ca="1" si="265"/>
        <v>0</v>
      </c>
      <c r="AB221" s="769">
        <f t="shared" ca="1" si="266"/>
        <v>0</v>
      </c>
      <c r="AC221" s="769">
        <f t="shared" ca="1" si="267"/>
        <v>0</v>
      </c>
      <c r="AD221" s="769">
        <f t="shared" ca="1" si="268"/>
        <v>0</v>
      </c>
      <c r="AE221" s="794">
        <f t="shared" ca="1" si="269"/>
        <v>0</v>
      </c>
      <c r="AF221" s="769">
        <f t="shared" ca="1" si="270"/>
        <v>0</v>
      </c>
      <c r="AG221" s="769">
        <f t="shared" ca="1" si="271"/>
        <v>0</v>
      </c>
      <c r="AH221" s="799">
        <f t="shared" ca="1" si="272"/>
        <v>0</v>
      </c>
      <c r="AI221" s="801">
        <f t="shared" ca="1" si="273"/>
        <v>1</v>
      </c>
      <c r="AJ221" s="794">
        <f t="shared" ca="1" si="274"/>
        <v>0</v>
      </c>
      <c r="AK221" s="769">
        <f t="shared" ca="1" si="275"/>
        <v>0</v>
      </c>
      <c r="AL221" s="769">
        <f t="shared" ca="1" si="276"/>
        <v>0</v>
      </c>
      <c r="AM221" s="804">
        <f t="shared" ca="1" si="226"/>
        <v>0</v>
      </c>
      <c r="AN221" s="795">
        <f t="shared" ca="1" si="227"/>
        <v>0</v>
      </c>
      <c r="AO221" s="251"/>
      <c r="AP221" s="770">
        <f t="shared" si="277"/>
        <v>0</v>
      </c>
      <c r="AQ221" s="771">
        <f t="shared" ca="1" si="278"/>
        <v>0</v>
      </c>
      <c r="AR221" s="771">
        <f t="shared" ca="1" si="279"/>
        <v>0</v>
      </c>
      <c r="AS221" s="772">
        <f t="shared" ca="1" si="280"/>
        <v>0</v>
      </c>
      <c r="AT221" s="231"/>
      <c r="AU221" s="770">
        <f>'Main Results - IRR DC Operator'!$F$16</f>
        <v>2</v>
      </c>
      <c r="AV221" s="773">
        <f>'Main Results - IRR DC Operator'!$F$15</f>
        <v>1</v>
      </c>
      <c r="AW221" s="771">
        <f t="shared" ca="1" si="281"/>
        <v>0</v>
      </c>
      <c r="AX221" s="772">
        <f t="shared" si="282"/>
        <v>0</v>
      </c>
      <c r="AY221" s="231"/>
      <c r="AZ221" s="770" cm="1">
        <f t="array" aca="1" ref="AZ221" ca="1">INDIRECT("'Definition of Typical Day'!"&amp; ADDRESS($D221+29*(AZ$16-1),$E221))+$AZ$17</f>
        <v>11</v>
      </c>
      <c r="BA221" s="771" cm="1">
        <f t="array" aca="1" ref="BA221" ca="1">INDIRECT("'Definition of Typical Day'!"&amp; ADDRESS($D221+29*(BA$16-1),$E221))+$BA$17</f>
        <v>11</v>
      </c>
      <c r="BB221" s="772" cm="1">
        <f t="array" aca="1" ref="BB221" ca="1">INDIRECT("'Definition of Typical Day'!"&amp;ADDRESS(BB$16,$E221))</f>
        <v>0</v>
      </c>
      <c r="BC221" s="776" cm="1">
        <f t="array" aca="1" ref="BC221" ca="1">INDIRECT("'Definition of Typical Day'!"&amp; ADDRESS($D221+29*(BC$16-1),$E221))</f>
        <v>0</v>
      </c>
      <c r="BD221" s="777" cm="1">
        <f t="array" aca="1" ref="BD221" ca="1">INDIRECT("'Definition of Typical Day'!"&amp; ADDRESS($D221+29*(BD$16-1),$E221))</f>
        <v>0</v>
      </c>
      <c r="BE221" s="776">
        <f t="shared" si="283"/>
        <v>0</v>
      </c>
      <c r="BF221" s="771">
        <f t="shared" ca="1" si="284"/>
        <v>0</v>
      </c>
      <c r="BG221" s="771">
        <f t="shared" ca="1" si="285"/>
        <v>0</v>
      </c>
      <c r="BH221" s="771">
        <f t="shared" ca="1" si="286"/>
        <v>0</v>
      </c>
      <c r="BI221" s="776">
        <f t="shared" ca="1" si="287"/>
        <v>0</v>
      </c>
      <c r="BJ221" s="776">
        <f t="shared" ca="1" si="288"/>
        <v>0</v>
      </c>
      <c r="BK221" s="776">
        <f t="shared" ca="1" si="289"/>
        <v>0</v>
      </c>
      <c r="BL221" s="776">
        <f t="shared" ca="1" si="290"/>
        <v>0</v>
      </c>
      <c r="BM221" s="135"/>
      <c r="BN221" s="776">
        <f t="shared" ca="1" si="291"/>
        <v>0</v>
      </c>
      <c r="BO221" s="778">
        <f t="shared" ca="1" si="228"/>
        <v>0</v>
      </c>
      <c r="BP221" s="770">
        <f t="shared" ca="1" si="229"/>
        <v>0</v>
      </c>
      <c r="BQ221" s="771">
        <f t="shared" ca="1" si="230"/>
        <v>0</v>
      </c>
      <c r="BR221" s="771">
        <f t="shared" ca="1" si="231"/>
        <v>0</v>
      </c>
      <c r="BS221" s="776">
        <f t="shared" ca="1" si="292"/>
        <v>0</v>
      </c>
      <c r="BT221" s="776">
        <f t="shared" ca="1" si="232"/>
        <v>0</v>
      </c>
      <c r="BU221" s="783">
        <f t="shared" ca="1" si="233"/>
        <v>0</v>
      </c>
      <c r="BV221" s="783">
        <f t="shared" ca="1" si="234"/>
        <v>0</v>
      </c>
      <c r="BW221" s="1019">
        <f t="shared" ca="1" si="293"/>
        <v>0</v>
      </c>
      <c r="BX221" s="771" cm="1">
        <f t="array" aca="1" ref="BX221" ca="1">INDIRECT("'Definition of Typical Day'!"&amp; ADDRESS($D221+29*(BX$16-1),$E221))</f>
        <v>0</v>
      </c>
      <c r="BY221" s="771">
        <f t="shared" ca="1" si="294"/>
        <v>0</v>
      </c>
      <c r="BZ221" s="781">
        <f t="shared" ca="1" si="235"/>
        <v>0</v>
      </c>
      <c r="CA221" s="781">
        <f t="shared" ca="1" si="236"/>
        <v>0</v>
      </c>
      <c r="CB221" s="776">
        <f t="shared" ca="1" si="237"/>
        <v>0</v>
      </c>
      <c r="CC221" s="782">
        <f t="shared" si="238"/>
        <v>9</v>
      </c>
      <c r="CD221" s="782">
        <f t="shared" si="239"/>
        <v>9</v>
      </c>
      <c r="CE221" s="784" cm="1">
        <f t="array" aca="1" ref="CE221" ca="1">INDIRECT("'Definition of Typical Day'!"&amp;ADDRESS(CE$16,$E221))</f>
        <v>9</v>
      </c>
      <c r="CF221" s="232"/>
      <c r="CG221" s="232"/>
      <c r="CH221" s="776">
        <f t="shared" ca="1" si="240"/>
        <v>0</v>
      </c>
      <c r="CI221" s="806">
        <f t="shared" ca="1" si="241"/>
        <v>0</v>
      </c>
      <c r="CJ221" s="770">
        <f t="shared" ca="1" si="242"/>
        <v>0</v>
      </c>
      <c r="CK221" s="771">
        <f t="shared" ca="1" si="243"/>
        <v>0</v>
      </c>
      <c r="CL221" s="771">
        <f t="shared" ca="1" si="244"/>
        <v>0</v>
      </c>
      <c r="CM221" s="772">
        <f t="shared" ca="1" si="245"/>
        <v>0</v>
      </c>
      <c r="CN221" s="135"/>
      <c r="CO221" s="770">
        <f t="shared" ca="1" si="222"/>
        <v>1.05</v>
      </c>
      <c r="CP221" s="771">
        <f t="shared" ca="1" si="246"/>
        <v>0.02</v>
      </c>
      <c r="CQ221" s="771">
        <f t="shared" ca="1" si="247"/>
        <v>-2.5000000000000001E-2</v>
      </c>
      <c r="CR221" s="771">
        <f t="shared" ca="1" si="248"/>
        <v>0.95</v>
      </c>
      <c r="CS221" s="771">
        <f t="shared" ca="1" si="249"/>
        <v>0.03</v>
      </c>
      <c r="CT221" s="772">
        <f t="shared" ca="1" si="250"/>
        <v>0.02</v>
      </c>
      <c r="CU221" s="135"/>
      <c r="CV221" s="135"/>
      <c r="CW221" s="135"/>
      <c r="CX221" s="135"/>
      <c r="CY221" s="135"/>
      <c r="CZ221" s="135"/>
      <c r="DA221" s="135"/>
      <c r="DB221" s="135"/>
      <c r="DC221" s="135"/>
      <c r="DD221" s="135"/>
      <c r="DE221" s="135"/>
      <c r="DF221" s="135"/>
      <c r="DG221" s="135"/>
      <c r="DH221" s="135"/>
      <c r="DI221" s="135"/>
      <c r="DJ221" s="135"/>
      <c r="DK221" s="135"/>
      <c r="DL221" s="135"/>
      <c r="DX221" s="135"/>
      <c r="DY221" s="135"/>
      <c r="DZ221" s="135"/>
      <c r="EA221" s="135"/>
      <c r="EB221" s="135"/>
      <c r="EC221" s="135"/>
      <c r="ED221" s="135"/>
      <c r="EE221" s="135"/>
      <c r="EF221" s="135"/>
      <c r="EG221" s="135"/>
      <c r="EH221" s="135"/>
      <c r="EI221" s="135"/>
      <c r="EJ221" s="135"/>
      <c r="EK221" s="135"/>
      <c r="EL221" s="135"/>
      <c r="EM221" s="135"/>
      <c r="EN221" s="135"/>
      <c r="EO221" s="135"/>
      <c r="EP221" s="135"/>
      <c r="EQ221" s="135"/>
      <c r="ER221" s="135"/>
      <c r="ES221" s="135"/>
      <c r="ET221" s="135"/>
      <c r="EU221" s="135"/>
      <c r="EV221" s="135"/>
      <c r="EW221" s="135"/>
      <c r="EX221" s="135"/>
      <c r="EY221" s="135"/>
      <c r="EZ221" s="135"/>
      <c r="FA221" s="135"/>
      <c r="FB221" s="135"/>
      <c r="FC221" s="135"/>
      <c r="FD221" s="135"/>
      <c r="FE221" s="135"/>
      <c r="FF221" s="135"/>
      <c r="FG221" s="135"/>
    </row>
    <row r="222" spans="1:163" s="57" customFormat="1" ht="11.25" outlineLevel="1">
      <c r="A222" s="765">
        <f t="shared" si="223"/>
        <v>9</v>
      </c>
      <c r="B222" s="715" cm="1">
        <f t="array" aca="1" ref="B222" ca="1">INDIRECT("'Definition of Typical Day'!"&amp;ADDRESS(B$16,$E222))</f>
        <v>9</v>
      </c>
      <c r="C222" s="766">
        <f t="shared" si="224"/>
        <v>10</v>
      </c>
      <c r="D222" s="715">
        <f t="shared" si="224"/>
        <v>44</v>
      </c>
      <c r="E222" s="715">
        <f t="shared" si="225"/>
        <v>13</v>
      </c>
      <c r="F222" s="767" cm="1">
        <f t="array" aca="1" ref="F222" ca="1">INDIRECT("'Definition of Typical Day'!D"&amp;D222)</f>
        <v>10</v>
      </c>
      <c r="G222" s="767" cm="1">
        <f t="array" aca="1" ref="G222" ca="1">INDIRECT("'Definition of Typical Day'!"&amp;ADDRESS(13,E222))</f>
        <v>9</v>
      </c>
      <c r="H222" s="768" cm="1">
        <f t="array" aca="1" ref="H222" ca="1">INDIRECT("'Definition of Typical Day'!"&amp; ADDRESS($D222+28*(H$16-1),$E222))</f>
        <v>0</v>
      </c>
      <c r="I222" s="715" cm="1">
        <f t="array" aca="1" ref="I222" ca="1">INDIRECT("'Definition of Typical Day'!"&amp; ADDRESS($D222+29*(I$16-1),$E222))</f>
        <v>0</v>
      </c>
      <c r="J222" s="715">
        <f t="shared" ca="1" si="251"/>
        <v>0</v>
      </c>
      <c r="K222" s="785">
        <f t="shared" si="252"/>
        <v>28</v>
      </c>
      <c r="L222" s="786" cm="1">
        <f t="array" aca="1" ref="L222" ca="1">INDIRECT("'Definition of Typical Day'!"&amp; ADDRESS($D222+29*(L$16-1),$E222))</f>
        <v>0</v>
      </c>
      <c r="M222" s="768" cm="1">
        <f t="array" aca="1" ref="M222" ca="1">INDIRECT("'Definition of Typical Day'!"&amp; ADDRESS($D222+29*(M$16-1),$E222))</f>
        <v>0</v>
      </c>
      <c r="N222" s="715">
        <f t="shared" si="253"/>
        <v>3</v>
      </c>
      <c r="O222" s="715">
        <f t="shared" ca="1" si="254"/>
        <v>3</v>
      </c>
      <c r="P222" s="715" cm="1">
        <f t="array" aca="1" ref="P222" ca="1">INDIRECT("'Definition of Typical Day'!"&amp; ADDRESS($D222+29*(P$16-1),$E222))</f>
        <v>0</v>
      </c>
      <c r="Q222" s="787">
        <f t="shared" ca="1" si="255"/>
        <v>3</v>
      </c>
      <c r="R222" s="792">
        <f t="shared" ca="1" si="256"/>
        <v>3</v>
      </c>
      <c r="S222" s="769">
        <f t="shared" si="257"/>
        <v>3</v>
      </c>
      <c r="T222" s="769">
        <f t="shared" ca="1" si="258"/>
        <v>-0.5</v>
      </c>
      <c r="U222" s="769">
        <f t="shared" ca="1" si="259"/>
        <v>2.262</v>
      </c>
      <c r="V222" s="769">
        <f t="shared" ca="1" si="260"/>
        <v>0</v>
      </c>
      <c r="W222" s="769">
        <f t="shared" ca="1" si="261"/>
        <v>4.7620000000000005</v>
      </c>
      <c r="X222" s="794">
        <f t="shared" si="262"/>
        <v>3</v>
      </c>
      <c r="Y222" s="769">
        <f t="shared" ca="1" si="263"/>
        <v>0.54772255750516607</v>
      </c>
      <c r="Z222" s="769">
        <f t="shared" ca="1" si="264"/>
        <v>0</v>
      </c>
      <c r="AA222" s="795">
        <f t="shared" ca="1" si="265"/>
        <v>0</v>
      </c>
      <c r="AB222" s="769">
        <f t="shared" ca="1" si="266"/>
        <v>0</v>
      </c>
      <c r="AC222" s="769">
        <f t="shared" ca="1" si="267"/>
        <v>0</v>
      </c>
      <c r="AD222" s="769">
        <f t="shared" ca="1" si="268"/>
        <v>0</v>
      </c>
      <c r="AE222" s="794">
        <f t="shared" ca="1" si="269"/>
        <v>0</v>
      </c>
      <c r="AF222" s="769">
        <f t="shared" ca="1" si="270"/>
        <v>0</v>
      </c>
      <c r="AG222" s="769">
        <f t="shared" ca="1" si="271"/>
        <v>0</v>
      </c>
      <c r="AH222" s="799">
        <f t="shared" ca="1" si="272"/>
        <v>0</v>
      </c>
      <c r="AI222" s="801">
        <f t="shared" ca="1" si="273"/>
        <v>1</v>
      </c>
      <c r="AJ222" s="794">
        <f t="shared" ca="1" si="274"/>
        <v>0</v>
      </c>
      <c r="AK222" s="769">
        <f t="shared" ca="1" si="275"/>
        <v>0</v>
      </c>
      <c r="AL222" s="769">
        <f t="shared" ca="1" si="276"/>
        <v>0</v>
      </c>
      <c r="AM222" s="804">
        <f t="shared" ca="1" si="226"/>
        <v>0</v>
      </c>
      <c r="AN222" s="795">
        <f t="shared" ca="1" si="227"/>
        <v>0</v>
      </c>
      <c r="AO222" s="251"/>
      <c r="AP222" s="770">
        <f t="shared" si="277"/>
        <v>0</v>
      </c>
      <c r="AQ222" s="771">
        <f t="shared" ca="1" si="278"/>
        <v>0</v>
      </c>
      <c r="AR222" s="771">
        <f t="shared" ca="1" si="279"/>
        <v>0</v>
      </c>
      <c r="AS222" s="772">
        <f t="shared" ca="1" si="280"/>
        <v>0</v>
      </c>
      <c r="AT222" s="231"/>
      <c r="AU222" s="770">
        <f>'Main Results - IRR DC Operator'!$F$16</f>
        <v>2</v>
      </c>
      <c r="AV222" s="773">
        <f>'Main Results - IRR DC Operator'!$F$15</f>
        <v>1</v>
      </c>
      <c r="AW222" s="771">
        <f t="shared" ca="1" si="281"/>
        <v>0</v>
      </c>
      <c r="AX222" s="772">
        <f t="shared" si="282"/>
        <v>0</v>
      </c>
      <c r="AY222" s="231"/>
      <c r="AZ222" s="770" cm="1">
        <f t="array" aca="1" ref="AZ222" ca="1">INDIRECT("'Definition of Typical Day'!"&amp; ADDRESS($D222+29*(AZ$16-1),$E222))+$AZ$17</f>
        <v>11</v>
      </c>
      <c r="BA222" s="771" cm="1">
        <f t="array" aca="1" ref="BA222" ca="1">INDIRECT("'Definition of Typical Day'!"&amp; ADDRESS($D222+29*(BA$16-1),$E222))+$BA$17</f>
        <v>11</v>
      </c>
      <c r="BB222" s="772" cm="1">
        <f t="array" aca="1" ref="BB222" ca="1">INDIRECT("'Definition of Typical Day'!"&amp;ADDRESS(BB$16,$E222))</f>
        <v>0</v>
      </c>
      <c r="BC222" s="776" cm="1">
        <f t="array" aca="1" ref="BC222" ca="1">INDIRECT("'Definition of Typical Day'!"&amp; ADDRESS($D222+29*(BC$16-1),$E222))</f>
        <v>0</v>
      </c>
      <c r="BD222" s="777" cm="1">
        <f t="array" aca="1" ref="BD222" ca="1">INDIRECT("'Definition of Typical Day'!"&amp; ADDRESS($D222+29*(BD$16-1),$E222))</f>
        <v>0</v>
      </c>
      <c r="BE222" s="776">
        <f t="shared" si="283"/>
        <v>0</v>
      </c>
      <c r="BF222" s="771">
        <f t="shared" ca="1" si="284"/>
        <v>0</v>
      </c>
      <c r="BG222" s="771">
        <f t="shared" ca="1" si="285"/>
        <v>0</v>
      </c>
      <c r="BH222" s="771">
        <f t="shared" ca="1" si="286"/>
        <v>0</v>
      </c>
      <c r="BI222" s="776">
        <f t="shared" ca="1" si="287"/>
        <v>0</v>
      </c>
      <c r="BJ222" s="776">
        <f t="shared" ca="1" si="288"/>
        <v>0</v>
      </c>
      <c r="BK222" s="776">
        <f t="shared" ca="1" si="289"/>
        <v>0</v>
      </c>
      <c r="BL222" s="776">
        <f t="shared" ca="1" si="290"/>
        <v>0</v>
      </c>
      <c r="BM222" s="135"/>
      <c r="BN222" s="776">
        <f t="shared" ca="1" si="291"/>
        <v>0</v>
      </c>
      <c r="BO222" s="778">
        <f t="shared" ca="1" si="228"/>
        <v>0</v>
      </c>
      <c r="BP222" s="770">
        <f t="shared" ca="1" si="229"/>
        <v>0</v>
      </c>
      <c r="BQ222" s="771">
        <f t="shared" ca="1" si="230"/>
        <v>0</v>
      </c>
      <c r="BR222" s="771">
        <f t="shared" ca="1" si="231"/>
        <v>0</v>
      </c>
      <c r="BS222" s="776">
        <f t="shared" ca="1" si="292"/>
        <v>0</v>
      </c>
      <c r="BT222" s="776">
        <f t="shared" ca="1" si="232"/>
        <v>0</v>
      </c>
      <c r="BU222" s="783">
        <f t="shared" ca="1" si="233"/>
        <v>0</v>
      </c>
      <c r="BV222" s="783">
        <f t="shared" ca="1" si="234"/>
        <v>0</v>
      </c>
      <c r="BW222" s="1019">
        <f t="shared" ca="1" si="293"/>
        <v>0</v>
      </c>
      <c r="BX222" s="771" cm="1">
        <f t="array" aca="1" ref="BX222" ca="1">INDIRECT("'Definition of Typical Day'!"&amp; ADDRESS($D222+29*(BX$16-1),$E222))</f>
        <v>0</v>
      </c>
      <c r="BY222" s="771">
        <f t="shared" ca="1" si="294"/>
        <v>0</v>
      </c>
      <c r="BZ222" s="781">
        <f t="shared" ca="1" si="235"/>
        <v>0</v>
      </c>
      <c r="CA222" s="781">
        <f t="shared" ca="1" si="236"/>
        <v>0</v>
      </c>
      <c r="CB222" s="776">
        <f t="shared" ca="1" si="237"/>
        <v>0</v>
      </c>
      <c r="CC222" s="782">
        <f t="shared" si="238"/>
        <v>9</v>
      </c>
      <c r="CD222" s="782">
        <f t="shared" si="239"/>
        <v>10</v>
      </c>
      <c r="CE222" s="784" cm="1">
        <f t="array" aca="1" ref="CE222" ca="1">INDIRECT("'Definition of Typical Day'!"&amp;ADDRESS(CE$16,$E222))</f>
        <v>9</v>
      </c>
      <c r="CF222" s="232"/>
      <c r="CG222" s="232"/>
      <c r="CH222" s="776">
        <f t="shared" ca="1" si="240"/>
        <v>0</v>
      </c>
      <c r="CI222" s="806">
        <f t="shared" ca="1" si="241"/>
        <v>0</v>
      </c>
      <c r="CJ222" s="770">
        <f t="shared" ca="1" si="242"/>
        <v>0</v>
      </c>
      <c r="CK222" s="771">
        <f t="shared" ca="1" si="243"/>
        <v>0</v>
      </c>
      <c r="CL222" s="771">
        <f t="shared" ca="1" si="244"/>
        <v>0</v>
      </c>
      <c r="CM222" s="772">
        <f t="shared" ca="1" si="245"/>
        <v>0</v>
      </c>
      <c r="CN222" s="135"/>
      <c r="CO222" s="770">
        <f t="shared" ca="1" si="222"/>
        <v>1.05</v>
      </c>
      <c r="CP222" s="771">
        <f t="shared" ca="1" si="246"/>
        <v>0.02</v>
      </c>
      <c r="CQ222" s="771">
        <f t="shared" ca="1" si="247"/>
        <v>-2.5000000000000001E-2</v>
      </c>
      <c r="CR222" s="771">
        <f t="shared" ca="1" si="248"/>
        <v>0.95</v>
      </c>
      <c r="CS222" s="771">
        <f t="shared" ca="1" si="249"/>
        <v>0.03</v>
      </c>
      <c r="CT222" s="772">
        <f t="shared" ca="1" si="250"/>
        <v>0.02</v>
      </c>
      <c r="CU222" s="135"/>
      <c r="CV222" s="135"/>
      <c r="CW222" s="135"/>
      <c r="CX222" s="135"/>
      <c r="CY222" s="135"/>
      <c r="CZ222" s="135"/>
      <c r="DA222" s="135"/>
      <c r="DB222" s="135"/>
      <c r="DC222" s="135"/>
      <c r="DD222" s="135"/>
      <c r="DE222" s="135"/>
      <c r="DF222" s="135"/>
      <c r="DG222" s="135"/>
      <c r="DH222" s="135"/>
      <c r="DI222" s="135"/>
      <c r="DJ222" s="135"/>
      <c r="DK222" s="135"/>
      <c r="DL222" s="135"/>
      <c r="DX222" s="135"/>
      <c r="DY222" s="135"/>
      <c r="DZ222" s="135"/>
      <c r="EA222" s="135"/>
      <c r="EB222" s="135"/>
      <c r="EC222" s="135"/>
      <c r="ED222" s="135"/>
      <c r="EE222" s="135"/>
      <c r="EF222" s="135"/>
      <c r="EG222" s="135"/>
      <c r="EH222" s="135"/>
      <c r="EI222" s="135"/>
      <c r="EJ222" s="135"/>
      <c r="EK222" s="135"/>
      <c r="EL222" s="135"/>
      <c r="EM222" s="135"/>
      <c r="EN222" s="135"/>
      <c r="EO222" s="135"/>
      <c r="EP222" s="135"/>
      <c r="EQ222" s="135"/>
      <c r="ER222" s="135"/>
      <c r="ES222" s="135"/>
      <c r="ET222" s="135"/>
      <c r="EU222" s="135"/>
      <c r="EV222" s="135"/>
      <c r="EW222" s="135"/>
      <c r="EX222" s="135"/>
      <c r="EY222" s="135"/>
      <c r="EZ222" s="135"/>
      <c r="FA222" s="135"/>
      <c r="FB222" s="135"/>
      <c r="FC222" s="135"/>
      <c r="FD222" s="135"/>
      <c r="FE222" s="135"/>
      <c r="FF222" s="135"/>
      <c r="FG222" s="135"/>
    </row>
    <row r="223" spans="1:163" s="57" customFormat="1" ht="11.25" outlineLevel="1">
      <c r="A223" s="765">
        <f t="shared" si="223"/>
        <v>9</v>
      </c>
      <c r="B223" s="715" cm="1">
        <f t="array" aca="1" ref="B223" ca="1">INDIRECT("'Definition of Typical Day'!"&amp;ADDRESS(B$16,$E223))</f>
        <v>9</v>
      </c>
      <c r="C223" s="766">
        <f t="shared" si="224"/>
        <v>11</v>
      </c>
      <c r="D223" s="715">
        <f t="shared" si="224"/>
        <v>45</v>
      </c>
      <c r="E223" s="715">
        <f t="shared" si="225"/>
        <v>13</v>
      </c>
      <c r="F223" s="767" cm="1">
        <f t="array" aca="1" ref="F223" ca="1">INDIRECT("'Definition of Typical Day'!D"&amp;D223)</f>
        <v>11</v>
      </c>
      <c r="G223" s="767" cm="1">
        <f t="array" aca="1" ref="G223" ca="1">INDIRECT("'Definition of Typical Day'!"&amp;ADDRESS(13,E223))</f>
        <v>9</v>
      </c>
      <c r="H223" s="768" cm="1">
        <f t="array" aca="1" ref="H223" ca="1">INDIRECT("'Definition of Typical Day'!"&amp; ADDRESS($D223+28*(H$16-1),$E223))</f>
        <v>0</v>
      </c>
      <c r="I223" s="715" cm="1">
        <f t="array" aca="1" ref="I223" ca="1">INDIRECT("'Definition of Typical Day'!"&amp; ADDRESS($D223+29*(I$16-1),$E223))</f>
        <v>0</v>
      </c>
      <c r="J223" s="715">
        <f t="shared" ca="1" si="251"/>
        <v>0</v>
      </c>
      <c r="K223" s="785">
        <f t="shared" si="252"/>
        <v>28</v>
      </c>
      <c r="L223" s="786" cm="1">
        <f t="array" aca="1" ref="L223" ca="1">INDIRECT("'Definition of Typical Day'!"&amp; ADDRESS($D223+29*(L$16-1),$E223))</f>
        <v>0</v>
      </c>
      <c r="M223" s="768" cm="1">
        <f t="array" aca="1" ref="M223" ca="1">INDIRECT("'Definition of Typical Day'!"&amp; ADDRESS($D223+29*(M$16-1),$E223))</f>
        <v>0</v>
      </c>
      <c r="N223" s="715">
        <f t="shared" si="253"/>
        <v>3</v>
      </c>
      <c r="O223" s="715">
        <f t="shared" ca="1" si="254"/>
        <v>3</v>
      </c>
      <c r="P223" s="715" cm="1">
        <f t="array" aca="1" ref="P223" ca="1">INDIRECT("'Definition of Typical Day'!"&amp; ADDRESS($D223+29*(P$16-1),$E223))</f>
        <v>0</v>
      </c>
      <c r="Q223" s="787">
        <f t="shared" ca="1" si="255"/>
        <v>3</v>
      </c>
      <c r="R223" s="792">
        <f t="shared" ca="1" si="256"/>
        <v>3</v>
      </c>
      <c r="S223" s="769">
        <f t="shared" si="257"/>
        <v>3</v>
      </c>
      <c r="T223" s="769">
        <f t="shared" ca="1" si="258"/>
        <v>-0.5</v>
      </c>
      <c r="U223" s="769">
        <f t="shared" ca="1" si="259"/>
        <v>2.262</v>
      </c>
      <c r="V223" s="769">
        <f t="shared" ca="1" si="260"/>
        <v>0</v>
      </c>
      <c r="W223" s="769">
        <f t="shared" ca="1" si="261"/>
        <v>4.7620000000000005</v>
      </c>
      <c r="X223" s="794">
        <f t="shared" si="262"/>
        <v>3</v>
      </c>
      <c r="Y223" s="769">
        <f t="shared" ca="1" si="263"/>
        <v>0.54772255750516607</v>
      </c>
      <c r="Z223" s="769">
        <f t="shared" ca="1" si="264"/>
        <v>0</v>
      </c>
      <c r="AA223" s="795">
        <f t="shared" ca="1" si="265"/>
        <v>0</v>
      </c>
      <c r="AB223" s="769">
        <f t="shared" ca="1" si="266"/>
        <v>0</v>
      </c>
      <c r="AC223" s="769">
        <f t="shared" ca="1" si="267"/>
        <v>0</v>
      </c>
      <c r="AD223" s="769">
        <f t="shared" ca="1" si="268"/>
        <v>0</v>
      </c>
      <c r="AE223" s="794">
        <f t="shared" ca="1" si="269"/>
        <v>0</v>
      </c>
      <c r="AF223" s="769">
        <f t="shared" ca="1" si="270"/>
        <v>0</v>
      </c>
      <c r="AG223" s="769">
        <f t="shared" ca="1" si="271"/>
        <v>0</v>
      </c>
      <c r="AH223" s="799">
        <f t="shared" ca="1" si="272"/>
        <v>0</v>
      </c>
      <c r="AI223" s="801">
        <f t="shared" ca="1" si="273"/>
        <v>1</v>
      </c>
      <c r="AJ223" s="794">
        <f t="shared" ca="1" si="274"/>
        <v>0</v>
      </c>
      <c r="AK223" s="769">
        <f t="shared" ca="1" si="275"/>
        <v>0</v>
      </c>
      <c r="AL223" s="769">
        <f t="shared" ca="1" si="276"/>
        <v>0</v>
      </c>
      <c r="AM223" s="804">
        <f t="shared" ca="1" si="226"/>
        <v>0</v>
      </c>
      <c r="AN223" s="795">
        <f t="shared" ca="1" si="227"/>
        <v>0</v>
      </c>
      <c r="AO223" s="251"/>
      <c r="AP223" s="770">
        <f t="shared" si="277"/>
        <v>0</v>
      </c>
      <c r="AQ223" s="771">
        <f t="shared" ca="1" si="278"/>
        <v>0</v>
      </c>
      <c r="AR223" s="771">
        <f t="shared" ca="1" si="279"/>
        <v>0</v>
      </c>
      <c r="AS223" s="772">
        <f t="shared" ca="1" si="280"/>
        <v>0</v>
      </c>
      <c r="AT223" s="231"/>
      <c r="AU223" s="770">
        <f>'Main Results - IRR DC Operator'!$F$16</f>
        <v>2</v>
      </c>
      <c r="AV223" s="773">
        <f>'Main Results - IRR DC Operator'!$F$15</f>
        <v>1</v>
      </c>
      <c r="AW223" s="771">
        <f t="shared" ca="1" si="281"/>
        <v>0</v>
      </c>
      <c r="AX223" s="772">
        <f t="shared" si="282"/>
        <v>0</v>
      </c>
      <c r="AY223" s="231"/>
      <c r="AZ223" s="770" cm="1">
        <f t="array" aca="1" ref="AZ223" ca="1">INDIRECT("'Definition of Typical Day'!"&amp; ADDRESS($D223+29*(AZ$16-1),$E223))+$AZ$17</f>
        <v>11</v>
      </c>
      <c r="BA223" s="771" cm="1">
        <f t="array" aca="1" ref="BA223" ca="1">INDIRECT("'Definition of Typical Day'!"&amp; ADDRESS($D223+29*(BA$16-1),$E223))+$BA$17</f>
        <v>11</v>
      </c>
      <c r="BB223" s="772" cm="1">
        <f t="array" aca="1" ref="BB223" ca="1">INDIRECT("'Definition of Typical Day'!"&amp;ADDRESS(BB$16,$E223))</f>
        <v>0</v>
      </c>
      <c r="BC223" s="776" cm="1">
        <f t="array" aca="1" ref="BC223" ca="1">INDIRECT("'Definition of Typical Day'!"&amp; ADDRESS($D223+29*(BC$16-1),$E223))</f>
        <v>0</v>
      </c>
      <c r="BD223" s="777" cm="1">
        <f t="array" aca="1" ref="BD223" ca="1">INDIRECT("'Definition of Typical Day'!"&amp; ADDRESS($D223+29*(BD$16-1),$E223))</f>
        <v>0</v>
      </c>
      <c r="BE223" s="776">
        <f t="shared" si="283"/>
        <v>0</v>
      </c>
      <c r="BF223" s="771">
        <f t="shared" ca="1" si="284"/>
        <v>0</v>
      </c>
      <c r="BG223" s="771">
        <f t="shared" ca="1" si="285"/>
        <v>0</v>
      </c>
      <c r="BH223" s="771">
        <f t="shared" ca="1" si="286"/>
        <v>0</v>
      </c>
      <c r="BI223" s="776">
        <f t="shared" ca="1" si="287"/>
        <v>0</v>
      </c>
      <c r="BJ223" s="776">
        <f t="shared" ca="1" si="288"/>
        <v>0</v>
      </c>
      <c r="BK223" s="776">
        <f t="shared" ca="1" si="289"/>
        <v>0</v>
      </c>
      <c r="BL223" s="776">
        <f t="shared" ca="1" si="290"/>
        <v>0</v>
      </c>
      <c r="BM223" s="135"/>
      <c r="BN223" s="776">
        <f t="shared" ca="1" si="291"/>
        <v>0</v>
      </c>
      <c r="BO223" s="778">
        <f t="shared" ca="1" si="228"/>
        <v>0</v>
      </c>
      <c r="BP223" s="770">
        <f t="shared" ca="1" si="229"/>
        <v>0</v>
      </c>
      <c r="BQ223" s="771">
        <f t="shared" ca="1" si="230"/>
        <v>0</v>
      </c>
      <c r="BR223" s="771">
        <f t="shared" ca="1" si="231"/>
        <v>0</v>
      </c>
      <c r="BS223" s="776">
        <f t="shared" ca="1" si="292"/>
        <v>0</v>
      </c>
      <c r="BT223" s="776">
        <f t="shared" ca="1" si="232"/>
        <v>0</v>
      </c>
      <c r="BU223" s="783">
        <f t="shared" ca="1" si="233"/>
        <v>0</v>
      </c>
      <c r="BV223" s="783">
        <f t="shared" ca="1" si="234"/>
        <v>0</v>
      </c>
      <c r="BW223" s="1019">
        <f t="shared" ca="1" si="293"/>
        <v>0</v>
      </c>
      <c r="BX223" s="771" cm="1">
        <f t="array" aca="1" ref="BX223" ca="1">INDIRECT("'Definition of Typical Day'!"&amp; ADDRESS($D223+29*(BX$16-1),$E223))</f>
        <v>0</v>
      </c>
      <c r="BY223" s="771">
        <f t="shared" ca="1" si="294"/>
        <v>0</v>
      </c>
      <c r="BZ223" s="781">
        <f t="shared" ca="1" si="235"/>
        <v>0</v>
      </c>
      <c r="CA223" s="781">
        <f t="shared" ca="1" si="236"/>
        <v>0</v>
      </c>
      <c r="CB223" s="776">
        <f t="shared" ca="1" si="237"/>
        <v>0</v>
      </c>
      <c r="CC223" s="782">
        <f t="shared" si="238"/>
        <v>9</v>
      </c>
      <c r="CD223" s="782">
        <f t="shared" si="239"/>
        <v>11</v>
      </c>
      <c r="CE223" s="784" cm="1">
        <f t="array" aca="1" ref="CE223" ca="1">INDIRECT("'Definition of Typical Day'!"&amp;ADDRESS(CE$16,$E223))</f>
        <v>9</v>
      </c>
      <c r="CF223" s="232"/>
      <c r="CG223" s="232"/>
      <c r="CH223" s="776">
        <f t="shared" ca="1" si="240"/>
        <v>0</v>
      </c>
      <c r="CI223" s="806">
        <f t="shared" ca="1" si="241"/>
        <v>0</v>
      </c>
      <c r="CJ223" s="770">
        <f t="shared" ca="1" si="242"/>
        <v>0</v>
      </c>
      <c r="CK223" s="771">
        <f t="shared" ca="1" si="243"/>
        <v>0</v>
      </c>
      <c r="CL223" s="771">
        <f t="shared" ca="1" si="244"/>
        <v>0</v>
      </c>
      <c r="CM223" s="772">
        <f t="shared" ca="1" si="245"/>
        <v>0</v>
      </c>
      <c r="CN223" s="135"/>
      <c r="CO223" s="770">
        <f t="shared" ref="CO223:CO286" ca="1" si="295">IF(BU223&gt;BX223,3%,105%)</f>
        <v>1.05</v>
      </c>
      <c r="CP223" s="771">
        <f t="shared" ca="1" si="246"/>
        <v>0.02</v>
      </c>
      <c r="CQ223" s="771">
        <f t="shared" ca="1" si="247"/>
        <v>-2.5000000000000001E-2</v>
      </c>
      <c r="CR223" s="771">
        <f t="shared" ca="1" si="248"/>
        <v>0.95</v>
      </c>
      <c r="CS223" s="771">
        <f t="shared" ca="1" si="249"/>
        <v>0.03</v>
      </c>
      <c r="CT223" s="772">
        <f t="shared" ca="1" si="250"/>
        <v>0.02</v>
      </c>
      <c r="CU223" s="135"/>
      <c r="CV223" s="135"/>
      <c r="CW223" s="135"/>
      <c r="CX223" s="135"/>
      <c r="CY223" s="135"/>
      <c r="CZ223" s="135"/>
      <c r="DA223" s="135"/>
      <c r="DB223" s="135"/>
      <c r="DC223" s="135"/>
      <c r="DD223" s="135"/>
      <c r="DE223" s="135"/>
      <c r="DF223" s="135"/>
      <c r="DG223" s="135"/>
      <c r="DH223" s="135"/>
      <c r="DI223" s="135"/>
      <c r="DJ223" s="135"/>
      <c r="DK223" s="135"/>
      <c r="DL223" s="135"/>
      <c r="DX223" s="135"/>
      <c r="DY223" s="135"/>
      <c r="DZ223" s="135"/>
      <c r="EA223" s="135"/>
      <c r="EB223" s="135"/>
      <c r="EC223" s="135"/>
      <c r="ED223" s="135"/>
      <c r="EE223" s="135"/>
      <c r="EF223" s="135"/>
      <c r="EG223" s="135"/>
      <c r="EH223" s="135"/>
      <c r="EI223" s="135"/>
      <c r="EJ223" s="135"/>
      <c r="EK223" s="135"/>
      <c r="EL223" s="135"/>
      <c r="EM223" s="135"/>
      <c r="EN223" s="135"/>
      <c r="EO223" s="135"/>
      <c r="EP223" s="135"/>
      <c r="EQ223" s="135"/>
      <c r="ER223" s="135"/>
      <c r="ES223" s="135"/>
      <c r="ET223" s="135"/>
      <c r="EU223" s="135"/>
      <c r="EV223" s="135"/>
      <c r="EW223" s="135"/>
      <c r="EX223" s="135"/>
      <c r="EY223" s="135"/>
      <c r="EZ223" s="135"/>
      <c r="FA223" s="135"/>
      <c r="FB223" s="135"/>
      <c r="FC223" s="135"/>
      <c r="FD223" s="135"/>
      <c r="FE223" s="135"/>
      <c r="FF223" s="135"/>
      <c r="FG223" s="135"/>
    </row>
    <row r="224" spans="1:163" s="57" customFormat="1" ht="11.25" outlineLevel="1">
      <c r="A224" s="765">
        <f t="shared" si="223"/>
        <v>9</v>
      </c>
      <c r="B224" s="715" cm="1">
        <f t="array" aca="1" ref="B224" ca="1">INDIRECT("'Definition of Typical Day'!"&amp;ADDRESS(B$16,$E224))</f>
        <v>9</v>
      </c>
      <c r="C224" s="766">
        <f t="shared" si="224"/>
        <v>12</v>
      </c>
      <c r="D224" s="715">
        <f t="shared" si="224"/>
        <v>46</v>
      </c>
      <c r="E224" s="715">
        <f t="shared" si="225"/>
        <v>13</v>
      </c>
      <c r="F224" s="767" cm="1">
        <f t="array" aca="1" ref="F224" ca="1">INDIRECT("'Definition of Typical Day'!D"&amp;D224)</f>
        <v>12</v>
      </c>
      <c r="G224" s="767" cm="1">
        <f t="array" aca="1" ref="G224" ca="1">INDIRECT("'Definition of Typical Day'!"&amp;ADDRESS(13,E224))</f>
        <v>9</v>
      </c>
      <c r="H224" s="768" cm="1">
        <f t="array" aca="1" ref="H224" ca="1">INDIRECT("'Definition of Typical Day'!"&amp; ADDRESS($D224+28*(H$16-1),$E224))</f>
        <v>0</v>
      </c>
      <c r="I224" s="715" cm="1">
        <f t="array" aca="1" ref="I224" ca="1">INDIRECT("'Definition of Typical Day'!"&amp; ADDRESS($D224+29*(I$16-1),$E224))</f>
        <v>0</v>
      </c>
      <c r="J224" s="715">
        <f t="shared" ca="1" si="251"/>
        <v>0</v>
      </c>
      <c r="K224" s="785">
        <f t="shared" si="252"/>
        <v>28</v>
      </c>
      <c r="L224" s="786" cm="1">
        <f t="array" aca="1" ref="L224" ca="1">INDIRECT("'Definition of Typical Day'!"&amp; ADDRESS($D224+29*(L$16-1),$E224))</f>
        <v>0</v>
      </c>
      <c r="M224" s="768" cm="1">
        <f t="array" aca="1" ref="M224" ca="1">INDIRECT("'Definition of Typical Day'!"&amp; ADDRESS($D224+29*(M$16-1),$E224))</f>
        <v>0</v>
      </c>
      <c r="N224" s="715">
        <f t="shared" si="253"/>
        <v>3</v>
      </c>
      <c r="O224" s="715">
        <f t="shared" ca="1" si="254"/>
        <v>3</v>
      </c>
      <c r="P224" s="715" cm="1">
        <f t="array" aca="1" ref="P224" ca="1">INDIRECT("'Definition of Typical Day'!"&amp; ADDRESS($D224+29*(P$16-1),$E224))</f>
        <v>0</v>
      </c>
      <c r="Q224" s="787">
        <f t="shared" ca="1" si="255"/>
        <v>3</v>
      </c>
      <c r="R224" s="792">
        <f t="shared" ca="1" si="256"/>
        <v>3</v>
      </c>
      <c r="S224" s="769">
        <f t="shared" si="257"/>
        <v>3</v>
      </c>
      <c r="T224" s="769">
        <f t="shared" ca="1" si="258"/>
        <v>-0.5</v>
      </c>
      <c r="U224" s="769">
        <f t="shared" ca="1" si="259"/>
        <v>2.262</v>
      </c>
      <c r="V224" s="769">
        <f t="shared" ca="1" si="260"/>
        <v>0</v>
      </c>
      <c r="W224" s="769">
        <f t="shared" ca="1" si="261"/>
        <v>4.7620000000000005</v>
      </c>
      <c r="X224" s="794">
        <f t="shared" si="262"/>
        <v>3</v>
      </c>
      <c r="Y224" s="769">
        <f t="shared" ca="1" si="263"/>
        <v>0.54772255750516607</v>
      </c>
      <c r="Z224" s="769">
        <f t="shared" ca="1" si="264"/>
        <v>0</v>
      </c>
      <c r="AA224" s="795">
        <f t="shared" ca="1" si="265"/>
        <v>0</v>
      </c>
      <c r="AB224" s="769">
        <f t="shared" ca="1" si="266"/>
        <v>0</v>
      </c>
      <c r="AC224" s="769">
        <f t="shared" ca="1" si="267"/>
        <v>0</v>
      </c>
      <c r="AD224" s="769">
        <f t="shared" ca="1" si="268"/>
        <v>0</v>
      </c>
      <c r="AE224" s="794">
        <f t="shared" ca="1" si="269"/>
        <v>0</v>
      </c>
      <c r="AF224" s="769">
        <f t="shared" ca="1" si="270"/>
        <v>0</v>
      </c>
      <c r="AG224" s="769">
        <f t="shared" ca="1" si="271"/>
        <v>0</v>
      </c>
      <c r="AH224" s="799">
        <f t="shared" ca="1" si="272"/>
        <v>0</v>
      </c>
      <c r="AI224" s="801">
        <f t="shared" ca="1" si="273"/>
        <v>1</v>
      </c>
      <c r="AJ224" s="794">
        <f t="shared" ca="1" si="274"/>
        <v>0</v>
      </c>
      <c r="AK224" s="769">
        <f t="shared" ca="1" si="275"/>
        <v>0</v>
      </c>
      <c r="AL224" s="769">
        <f t="shared" ca="1" si="276"/>
        <v>0</v>
      </c>
      <c r="AM224" s="804">
        <f t="shared" ca="1" si="226"/>
        <v>0</v>
      </c>
      <c r="AN224" s="795">
        <f t="shared" ca="1" si="227"/>
        <v>0</v>
      </c>
      <c r="AO224" s="251"/>
      <c r="AP224" s="770">
        <f t="shared" si="277"/>
        <v>0</v>
      </c>
      <c r="AQ224" s="771">
        <f t="shared" ca="1" si="278"/>
        <v>0</v>
      </c>
      <c r="AR224" s="771">
        <f t="shared" ca="1" si="279"/>
        <v>0</v>
      </c>
      <c r="AS224" s="772">
        <f t="shared" ca="1" si="280"/>
        <v>0</v>
      </c>
      <c r="AT224" s="231"/>
      <c r="AU224" s="770">
        <f>'Main Results - IRR DC Operator'!$F$16</f>
        <v>2</v>
      </c>
      <c r="AV224" s="773">
        <f>'Main Results - IRR DC Operator'!$F$15</f>
        <v>1</v>
      </c>
      <c r="AW224" s="771">
        <f t="shared" ca="1" si="281"/>
        <v>0</v>
      </c>
      <c r="AX224" s="772">
        <f t="shared" si="282"/>
        <v>0</v>
      </c>
      <c r="AY224" s="231"/>
      <c r="AZ224" s="770" cm="1">
        <f t="array" aca="1" ref="AZ224" ca="1">INDIRECT("'Definition of Typical Day'!"&amp; ADDRESS($D224+29*(AZ$16-1),$E224))+$AZ$17</f>
        <v>11</v>
      </c>
      <c r="BA224" s="771" cm="1">
        <f t="array" aca="1" ref="BA224" ca="1">INDIRECT("'Definition of Typical Day'!"&amp; ADDRESS($D224+29*(BA$16-1),$E224))+$BA$17</f>
        <v>11</v>
      </c>
      <c r="BB224" s="772" cm="1">
        <f t="array" aca="1" ref="BB224" ca="1">INDIRECT("'Definition of Typical Day'!"&amp;ADDRESS(BB$16,$E224))</f>
        <v>0</v>
      </c>
      <c r="BC224" s="776" cm="1">
        <f t="array" aca="1" ref="BC224" ca="1">INDIRECT("'Definition of Typical Day'!"&amp; ADDRESS($D224+29*(BC$16-1),$E224))</f>
        <v>0</v>
      </c>
      <c r="BD224" s="777" cm="1">
        <f t="array" aca="1" ref="BD224" ca="1">INDIRECT("'Definition of Typical Day'!"&amp; ADDRESS($D224+29*(BD$16-1),$E224))</f>
        <v>0</v>
      </c>
      <c r="BE224" s="776">
        <f t="shared" si="283"/>
        <v>0</v>
      </c>
      <c r="BF224" s="771">
        <f t="shared" ca="1" si="284"/>
        <v>0</v>
      </c>
      <c r="BG224" s="771">
        <f t="shared" ca="1" si="285"/>
        <v>0</v>
      </c>
      <c r="BH224" s="771">
        <f t="shared" ca="1" si="286"/>
        <v>0</v>
      </c>
      <c r="BI224" s="776">
        <f t="shared" ca="1" si="287"/>
        <v>0</v>
      </c>
      <c r="BJ224" s="776">
        <f t="shared" ca="1" si="288"/>
        <v>0</v>
      </c>
      <c r="BK224" s="776">
        <f t="shared" ca="1" si="289"/>
        <v>0</v>
      </c>
      <c r="BL224" s="776">
        <f t="shared" ca="1" si="290"/>
        <v>0</v>
      </c>
      <c r="BM224" s="135"/>
      <c r="BN224" s="776">
        <f t="shared" ca="1" si="291"/>
        <v>0</v>
      </c>
      <c r="BO224" s="778">
        <f t="shared" ca="1" si="228"/>
        <v>0</v>
      </c>
      <c r="BP224" s="770">
        <f t="shared" ca="1" si="229"/>
        <v>0</v>
      </c>
      <c r="BQ224" s="771">
        <f t="shared" ca="1" si="230"/>
        <v>0</v>
      </c>
      <c r="BR224" s="771">
        <f t="shared" ca="1" si="231"/>
        <v>0</v>
      </c>
      <c r="BS224" s="776">
        <f t="shared" ca="1" si="292"/>
        <v>0</v>
      </c>
      <c r="BT224" s="776">
        <f t="shared" ca="1" si="232"/>
        <v>0</v>
      </c>
      <c r="BU224" s="783">
        <f t="shared" ca="1" si="233"/>
        <v>0</v>
      </c>
      <c r="BV224" s="783">
        <f t="shared" ca="1" si="234"/>
        <v>0</v>
      </c>
      <c r="BW224" s="1019">
        <f t="shared" ca="1" si="293"/>
        <v>0</v>
      </c>
      <c r="BX224" s="771" cm="1">
        <f t="array" aca="1" ref="BX224" ca="1">INDIRECT("'Definition of Typical Day'!"&amp; ADDRESS($D224+29*(BX$16-1),$E224))</f>
        <v>0</v>
      </c>
      <c r="BY224" s="771">
        <f t="shared" ca="1" si="294"/>
        <v>0</v>
      </c>
      <c r="BZ224" s="781">
        <f t="shared" ca="1" si="235"/>
        <v>0</v>
      </c>
      <c r="CA224" s="781">
        <f t="shared" ca="1" si="236"/>
        <v>0</v>
      </c>
      <c r="CB224" s="776">
        <f t="shared" ca="1" si="237"/>
        <v>0</v>
      </c>
      <c r="CC224" s="782">
        <f t="shared" si="238"/>
        <v>9</v>
      </c>
      <c r="CD224" s="782">
        <f t="shared" si="239"/>
        <v>12</v>
      </c>
      <c r="CE224" s="784" cm="1">
        <f t="array" aca="1" ref="CE224" ca="1">INDIRECT("'Definition of Typical Day'!"&amp;ADDRESS(CE$16,$E224))</f>
        <v>9</v>
      </c>
      <c r="CF224" s="232"/>
      <c r="CG224" s="232"/>
      <c r="CH224" s="776">
        <f t="shared" ca="1" si="240"/>
        <v>0</v>
      </c>
      <c r="CI224" s="806">
        <f t="shared" ca="1" si="241"/>
        <v>0</v>
      </c>
      <c r="CJ224" s="770">
        <f t="shared" ca="1" si="242"/>
        <v>0</v>
      </c>
      <c r="CK224" s="771">
        <f t="shared" ca="1" si="243"/>
        <v>0</v>
      </c>
      <c r="CL224" s="771">
        <f t="shared" ca="1" si="244"/>
        <v>0</v>
      </c>
      <c r="CM224" s="772">
        <f t="shared" ca="1" si="245"/>
        <v>0</v>
      </c>
      <c r="CN224" s="135"/>
      <c r="CO224" s="770">
        <f t="shared" ca="1" si="295"/>
        <v>1.05</v>
      </c>
      <c r="CP224" s="771">
        <f t="shared" ca="1" si="246"/>
        <v>0.02</v>
      </c>
      <c r="CQ224" s="771">
        <f t="shared" ca="1" si="247"/>
        <v>-2.5000000000000001E-2</v>
      </c>
      <c r="CR224" s="771">
        <f t="shared" ca="1" si="248"/>
        <v>0.95</v>
      </c>
      <c r="CS224" s="771">
        <f t="shared" ca="1" si="249"/>
        <v>0.03</v>
      </c>
      <c r="CT224" s="772">
        <f t="shared" ca="1" si="250"/>
        <v>0.02</v>
      </c>
      <c r="CU224" s="135"/>
      <c r="CV224" s="135"/>
      <c r="CW224" s="135"/>
      <c r="CX224" s="135"/>
      <c r="CY224" s="135"/>
      <c r="CZ224" s="135"/>
      <c r="DA224" s="135"/>
      <c r="DB224" s="135"/>
      <c r="DC224" s="135"/>
      <c r="DD224" s="135"/>
      <c r="DE224" s="135"/>
      <c r="DF224" s="135"/>
      <c r="DG224" s="135"/>
      <c r="DH224" s="135"/>
      <c r="DI224" s="135"/>
      <c r="DJ224" s="135"/>
      <c r="DK224" s="135"/>
      <c r="DL224" s="135"/>
      <c r="DX224" s="135"/>
      <c r="DY224" s="135"/>
      <c r="DZ224" s="135"/>
      <c r="EA224" s="135"/>
      <c r="EB224" s="135"/>
      <c r="EC224" s="135"/>
      <c r="ED224" s="135"/>
      <c r="EE224" s="135"/>
      <c r="EF224" s="135"/>
      <c r="EG224" s="135"/>
      <c r="EH224" s="135"/>
      <c r="EI224" s="135"/>
      <c r="EJ224" s="135"/>
      <c r="EK224" s="135"/>
      <c r="EL224" s="135"/>
      <c r="EM224" s="135"/>
      <c r="EN224" s="135"/>
      <c r="EO224" s="135"/>
      <c r="EP224" s="135"/>
      <c r="EQ224" s="135"/>
      <c r="ER224" s="135"/>
      <c r="ES224" s="135"/>
      <c r="ET224" s="135"/>
      <c r="EU224" s="135"/>
      <c r="EV224" s="135"/>
      <c r="EW224" s="135"/>
      <c r="EX224" s="135"/>
      <c r="EY224" s="135"/>
      <c r="EZ224" s="135"/>
      <c r="FA224" s="135"/>
      <c r="FB224" s="135"/>
      <c r="FC224" s="135"/>
      <c r="FD224" s="135"/>
      <c r="FE224" s="135"/>
      <c r="FF224" s="135"/>
      <c r="FG224" s="135"/>
    </row>
    <row r="225" spans="1:163" s="57" customFormat="1" ht="11.25" outlineLevel="1">
      <c r="A225" s="765">
        <f t="shared" si="223"/>
        <v>9</v>
      </c>
      <c r="B225" s="715" cm="1">
        <f t="array" aca="1" ref="B225" ca="1">INDIRECT("'Definition of Typical Day'!"&amp;ADDRESS(B$16,$E225))</f>
        <v>9</v>
      </c>
      <c r="C225" s="766">
        <f t="shared" si="224"/>
        <v>13</v>
      </c>
      <c r="D225" s="715">
        <f t="shared" si="224"/>
        <v>47</v>
      </c>
      <c r="E225" s="715">
        <f t="shared" si="225"/>
        <v>13</v>
      </c>
      <c r="F225" s="767" cm="1">
        <f t="array" aca="1" ref="F225" ca="1">INDIRECT("'Definition of Typical Day'!D"&amp;D225)</f>
        <v>13</v>
      </c>
      <c r="G225" s="767" cm="1">
        <f t="array" aca="1" ref="G225" ca="1">INDIRECT("'Definition of Typical Day'!"&amp;ADDRESS(13,E225))</f>
        <v>9</v>
      </c>
      <c r="H225" s="768" cm="1">
        <f t="array" aca="1" ref="H225" ca="1">INDIRECT("'Definition of Typical Day'!"&amp; ADDRESS($D225+28*(H$16-1),$E225))</f>
        <v>0</v>
      </c>
      <c r="I225" s="715" cm="1">
        <f t="array" aca="1" ref="I225" ca="1">INDIRECT("'Definition of Typical Day'!"&amp; ADDRESS($D225+29*(I$16-1),$E225))</f>
        <v>0</v>
      </c>
      <c r="J225" s="715">
        <f t="shared" ca="1" si="251"/>
        <v>0</v>
      </c>
      <c r="K225" s="785">
        <f t="shared" si="252"/>
        <v>28</v>
      </c>
      <c r="L225" s="786" cm="1">
        <f t="array" aca="1" ref="L225" ca="1">INDIRECT("'Definition of Typical Day'!"&amp; ADDRESS($D225+29*(L$16-1),$E225))</f>
        <v>0</v>
      </c>
      <c r="M225" s="768" cm="1">
        <f t="array" aca="1" ref="M225" ca="1">INDIRECT("'Definition of Typical Day'!"&amp; ADDRESS($D225+29*(M$16-1),$E225))</f>
        <v>0</v>
      </c>
      <c r="N225" s="715">
        <f t="shared" si="253"/>
        <v>3</v>
      </c>
      <c r="O225" s="715">
        <f t="shared" ca="1" si="254"/>
        <v>3</v>
      </c>
      <c r="P225" s="715" cm="1">
        <f t="array" aca="1" ref="P225" ca="1">INDIRECT("'Definition of Typical Day'!"&amp; ADDRESS($D225+29*(P$16-1),$E225))</f>
        <v>0</v>
      </c>
      <c r="Q225" s="787">
        <f t="shared" ca="1" si="255"/>
        <v>3</v>
      </c>
      <c r="R225" s="792">
        <f t="shared" ca="1" si="256"/>
        <v>3</v>
      </c>
      <c r="S225" s="769">
        <f t="shared" si="257"/>
        <v>3</v>
      </c>
      <c r="T225" s="769">
        <f t="shared" ca="1" si="258"/>
        <v>-0.5</v>
      </c>
      <c r="U225" s="769">
        <f t="shared" ca="1" si="259"/>
        <v>2.262</v>
      </c>
      <c r="V225" s="769">
        <f t="shared" ca="1" si="260"/>
        <v>0</v>
      </c>
      <c r="W225" s="769">
        <f t="shared" ca="1" si="261"/>
        <v>4.7620000000000005</v>
      </c>
      <c r="X225" s="794">
        <f t="shared" si="262"/>
        <v>3</v>
      </c>
      <c r="Y225" s="769">
        <f t="shared" ca="1" si="263"/>
        <v>0.54772255750516607</v>
      </c>
      <c r="Z225" s="769">
        <f t="shared" ca="1" si="264"/>
        <v>0</v>
      </c>
      <c r="AA225" s="795">
        <f t="shared" ca="1" si="265"/>
        <v>0</v>
      </c>
      <c r="AB225" s="769">
        <f t="shared" ca="1" si="266"/>
        <v>0</v>
      </c>
      <c r="AC225" s="769">
        <f t="shared" ca="1" si="267"/>
        <v>0</v>
      </c>
      <c r="AD225" s="769">
        <f t="shared" ca="1" si="268"/>
        <v>0</v>
      </c>
      <c r="AE225" s="794">
        <f t="shared" ca="1" si="269"/>
        <v>0</v>
      </c>
      <c r="AF225" s="769">
        <f t="shared" ca="1" si="270"/>
        <v>0</v>
      </c>
      <c r="AG225" s="769">
        <f t="shared" ca="1" si="271"/>
        <v>0</v>
      </c>
      <c r="AH225" s="799">
        <f t="shared" ca="1" si="272"/>
        <v>0</v>
      </c>
      <c r="AI225" s="801">
        <f t="shared" ca="1" si="273"/>
        <v>1</v>
      </c>
      <c r="AJ225" s="794">
        <f t="shared" ca="1" si="274"/>
        <v>0</v>
      </c>
      <c r="AK225" s="769">
        <f t="shared" ca="1" si="275"/>
        <v>0</v>
      </c>
      <c r="AL225" s="769">
        <f t="shared" ca="1" si="276"/>
        <v>0</v>
      </c>
      <c r="AM225" s="804">
        <f t="shared" ca="1" si="226"/>
        <v>0</v>
      </c>
      <c r="AN225" s="795">
        <f t="shared" ca="1" si="227"/>
        <v>0</v>
      </c>
      <c r="AO225" s="251"/>
      <c r="AP225" s="770">
        <f t="shared" si="277"/>
        <v>0</v>
      </c>
      <c r="AQ225" s="771">
        <f t="shared" ca="1" si="278"/>
        <v>0</v>
      </c>
      <c r="AR225" s="771">
        <f t="shared" ca="1" si="279"/>
        <v>0</v>
      </c>
      <c r="AS225" s="772">
        <f t="shared" ca="1" si="280"/>
        <v>0</v>
      </c>
      <c r="AT225" s="231"/>
      <c r="AU225" s="770">
        <f>'Main Results - IRR DC Operator'!$F$16</f>
        <v>2</v>
      </c>
      <c r="AV225" s="773">
        <f>'Main Results - IRR DC Operator'!$F$15</f>
        <v>1</v>
      </c>
      <c r="AW225" s="771">
        <f t="shared" ca="1" si="281"/>
        <v>0</v>
      </c>
      <c r="AX225" s="772">
        <f t="shared" si="282"/>
        <v>0</v>
      </c>
      <c r="AY225" s="231"/>
      <c r="AZ225" s="770" cm="1">
        <f t="array" aca="1" ref="AZ225" ca="1">INDIRECT("'Definition of Typical Day'!"&amp; ADDRESS($D225+29*(AZ$16-1),$E225))+$AZ$17</f>
        <v>11</v>
      </c>
      <c r="BA225" s="771" cm="1">
        <f t="array" aca="1" ref="BA225" ca="1">INDIRECT("'Definition of Typical Day'!"&amp; ADDRESS($D225+29*(BA$16-1),$E225))+$BA$17</f>
        <v>11</v>
      </c>
      <c r="BB225" s="772" cm="1">
        <f t="array" aca="1" ref="BB225" ca="1">INDIRECT("'Definition of Typical Day'!"&amp;ADDRESS(BB$16,$E225))</f>
        <v>0</v>
      </c>
      <c r="BC225" s="776" cm="1">
        <f t="array" aca="1" ref="BC225" ca="1">INDIRECT("'Definition of Typical Day'!"&amp; ADDRESS($D225+29*(BC$16-1),$E225))</f>
        <v>0</v>
      </c>
      <c r="BD225" s="777" cm="1">
        <f t="array" aca="1" ref="BD225" ca="1">INDIRECT("'Definition of Typical Day'!"&amp; ADDRESS($D225+29*(BD$16-1),$E225))</f>
        <v>0</v>
      </c>
      <c r="BE225" s="776">
        <f t="shared" si="283"/>
        <v>0</v>
      </c>
      <c r="BF225" s="771">
        <f t="shared" ca="1" si="284"/>
        <v>0</v>
      </c>
      <c r="BG225" s="771">
        <f t="shared" ca="1" si="285"/>
        <v>0</v>
      </c>
      <c r="BH225" s="771">
        <f t="shared" ca="1" si="286"/>
        <v>0</v>
      </c>
      <c r="BI225" s="776">
        <f t="shared" ca="1" si="287"/>
        <v>0</v>
      </c>
      <c r="BJ225" s="776">
        <f t="shared" ca="1" si="288"/>
        <v>0</v>
      </c>
      <c r="BK225" s="776">
        <f t="shared" ca="1" si="289"/>
        <v>0</v>
      </c>
      <c r="BL225" s="776">
        <f t="shared" ca="1" si="290"/>
        <v>0</v>
      </c>
      <c r="BM225" s="135"/>
      <c r="BN225" s="776">
        <f t="shared" ca="1" si="291"/>
        <v>0</v>
      </c>
      <c r="BO225" s="778">
        <f t="shared" ca="1" si="228"/>
        <v>0</v>
      </c>
      <c r="BP225" s="770">
        <f t="shared" ca="1" si="229"/>
        <v>0</v>
      </c>
      <c r="BQ225" s="771">
        <f t="shared" ca="1" si="230"/>
        <v>0</v>
      </c>
      <c r="BR225" s="771">
        <f t="shared" ca="1" si="231"/>
        <v>0</v>
      </c>
      <c r="BS225" s="776">
        <f t="shared" ca="1" si="292"/>
        <v>0</v>
      </c>
      <c r="BT225" s="776">
        <f t="shared" ca="1" si="232"/>
        <v>0</v>
      </c>
      <c r="BU225" s="783">
        <f t="shared" ca="1" si="233"/>
        <v>0</v>
      </c>
      <c r="BV225" s="783">
        <f t="shared" ca="1" si="234"/>
        <v>0</v>
      </c>
      <c r="BW225" s="1019">
        <f t="shared" ca="1" si="293"/>
        <v>0</v>
      </c>
      <c r="BX225" s="771" cm="1">
        <f t="array" aca="1" ref="BX225" ca="1">INDIRECT("'Definition of Typical Day'!"&amp; ADDRESS($D225+29*(BX$16-1),$E225))</f>
        <v>0</v>
      </c>
      <c r="BY225" s="771">
        <f t="shared" ca="1" si="294"/>
        <v>0</v>
      </c>
      <c r="BZ225" s="781">
        <f t="shared" ca="1" si="235"/>
        <v>0</v>
      </c>
      <c r="CA225" s="781">
        <f t="shared" ca="1" si="236"/>
        <v>0</v>
      </c>
      <c r="CB225" s="776">
        <f t="shared" ca="1" si="237"/>
        <v>0</v>
      </c>
      <c r="CC225" s="782">
        <f t="shared" si="238"/>
        <v>9</v>
      </c>
      <c r="CD225" s="782">
        <f t="shared" si="239"/>
        <v>13</v>
      </c>
      <c r="CE225" s="784" cm="1">
        <f t="array" aca="1" ref="CE225" ca="1">INDIRECT("'Definition of Typical Day'!"&amp;ADDRESS(CE$16,$E225))</f>
        <v>9</v>
      </c>
      <c r="CF225" s="232"/>
      <c r="CG225" s="232"/>
      <c r="CH225" s="776">
        <f t="shared" ca="1" si="240"/>
        <v>0</v>
      </c>
      <c r="CI225" s="806">
        <f t="shared" ca="1" si="241"/>
        <v>0</v>
      </c>
      <c r="CJ225" s="770">
        <f t="shared" ca="1" si="242"/>
        <v>0</v>
      </c>
      <c r="CK225" s="771">
        <f t="shared" ca="1" si="243"/>
        <v>0</v>
      </c>
      <c r="CL225" s="771">
        <f t="shared" ca="1" si="244"/>
        <v>0</v>
      </c>
      <c r="CM225" s="772">
        <f t="shared" ca="1" si="245"/>
        <v>0</v>
      </c>
      <c r="CN225" s="135"/>
      <c r="CO225" s="770">
        <f t="shared" ca="1" si="295"/>
        <v>1.05</v>
      </c>
      <c r="CP225" s="771">
        <f t="shared" ca="1" si="246"/>
        <v>0.02</v>
      </c>
      <c r="CQ225" s="771">
        <f t="shared" ca="1" si="247"/>
        <v>-2.5000000000000001E-2</v>
      </c>
      <c r="CR225" s="771">
        <f t="shared" ca="1" si="248"/>
        <v>0.95</v>
      </c>
      <c r="CS225" s="771">
        <f t="shared" ca="1" si="249"/>
        <v>0.03</v>
      </c>
      <c r="CT225" s="772">
        <f t="shared" ca="1" si="250"/>
        <v>0.02</v>
      </c>
      <c r="CU225" s="135"/>
      <c r="CV225" s="135"/>
      <c r="CW225" s="135"/>
      <c r="CX225" s="135"/>
      <c r="CY225" s="135"/>
      <c r="CZ225" s="135"/>
      <c r="DA225" s="135"/>
      <c r="DB225" s="135"/>
      <c r="DC225" s="135"/>
      <c r="DD225" s="135"/>
      <c r="DE225" s="135"/>
      <c r="DF225" s="135"/>
      <c r="DG225" s="135"/>
      <c r="DH225" s="135"/>
      <c r="DI225" s="135"/>
      <c r="DJ225" s="135"/>
      <c r="DK225" s="135"/>
      <c r="DL225" s="135"/>
      <c r="DX225" s="135"/>
      <c r="DY225" s="135"/>
      <c r="DZ225" s="135"/>
      <c r="EA225" s="135"/>
      <c r="EB225" s="135"/>
      <c r="EC225" s="135"/>
      <c r="ED225" s="135"/>
      <c r="EE225" s="135"/>
      <c r="EF225" s="135"/>
      <c r="EG225" s="135"/>
      <c r="EH225" s="135"/>
      <c r="EI225" s="135"/>
      <c r="EJ225" s="135"/>
      <c r="EK225" s="135"/>
      <c r="EL225" s="135"/>
      <c r="EM225" s="135"/>
      <c r="EN225" s="135"/>
      <c r="EO225" s="135"/>
      <c r="EP225" s="135"/>
      <c r="EQ225" s="135"/>
      <c r="ER225" s="135"/>
      <c r="ES225" s="135"/>
      <c r="ET225" s="135"/>
      <c r="EU225" s="135"/>
      <c r="EV225" s="135"/>
      <c r="EW225" s="135"/>
      <c r="EX225" s="135"/>
      <c r="EY225" s="135"/>
      <c r="EZ225" s="135"/>
      <c r="FA225" s="135"/>
      <c r="FB225" s="135"/>
      <c r="FC225" s="135"/>
      <c r="FD225" s="135"/>
      <c r="FE225" s="135"/>
      <c r="FF225" s="135"/>
      <c r="FG225" s="135"/>
    </row>
    <row r="226" spans="1:163" s="57" customFormat="1" ht="11.25" outlineLevel="1">
      <c r="A226" s="765">
        <f t="shared" si="223"/>
        <v>9</v>
      </c>
      <c r="B226" s="715" cm="1">
        <f t="array" aca="1" ref="B226" ca="1">INDIRECT("'Definition of Typical Day'!"&amp;ADDRESS(B$16,$E226))</f>
        <v>9</v>
      </c>
      <c r="C226" s="766">
        <f t="shared" si="224"/>
        <v>14</v>
      </c>
      <c r="D226" s="715">
        <f t="shared" si="224"/>
        <v>48</v>
      </c>
      <c r="E226" s="715">
        <f t="shared" si="225"/>
        <v>13</v>
      </c>
      <c r="F226" s="767" cm="1">
        <f t="array" aca="1" ref="F226" ca="1">INDIRECT("'Definition of Typical Day'!D"&amp;D226)</f>
        <v>14</v>
      </c>
      <c r="G226" s="767" cm="1">
        <f t="array" aca="1" ref="G226" ca="1">INDIRECT("'Definition of Typical Day'!"&amp;ADDRESS(13,E226))</f>
        <v>9</v>
      </c>
      <c r="H226" s="768" cm="1">
        <f t="array" aca="1" ref="H226" ca="1">INDIRECT("'Definition of Typical Day'!"&amp; ADDRESS($D226+28*(H$16-1),$E226))</f>
        <v>0</v>
      </c>
      <c r="I226" s="715" cm="1">
        <f t="array" aca="1" ref="I226" ca="1">INDIRECT("'Definition of Typical Day'!"&amp; ADDRESS($D226+29*(I$16-1),$E226))</f>
        <v>0</v>
      </c>
      <c r="J226" s="715">
        <f t="shared" ca="1" si="251"/>
        <v>0</v>
      </c>
      <c r="K226" s="785">
        <f t="shared" si="252"/>
        <v>28</v>
      </c>
      <c r="L226" s="786" cm="1">
        <f t="array" aca="1" ref="L226" ca="1">INDIRECT("'Definition of Typical Day'!"&amp; ADDRESS($D226+29*(L$16-1),$E226))</f>
        <v>0</v>
      </c>
      <c r="M226" s="768" cm="1">
        <f t="array" aca="1" ref="M226" ca="1">INDIRECT("'Definition of Typical Day'!"&amp; ADDRESS($D226+29*(M$16-1),$E226))</f>
        <v>0</v>
      </c>
      <c r="N226" s="715">
        <f t="shared" si="253"/>
        <v>3</v>
      </c>
      <c r="O226" s="715">
        <f t="shared" ca="1" si="254"/>
        <v>3</v>
      </c>
      <c r="P226" s="715" cm="1">
        <f t="array" aca="1" ref="P226" ca="1">INDIRECT("'Definition of Typical Day'!"&amp; ADDRESS($D226+29*(P$16-1),$E226))</f>
        <v>0</v>
      </c>
      <c r="Q226" s="787">
        <f t="shared" ca="1" si="255"/>
        <v>3</v>
      </c>
      <c r="R226" s="792">
        <f t="shared" ca="1" si="256"/>
        <v>3</v>
      </c>
      <c r="S226" s="769">
        <f t="shared" si="257"/>
        <v>3</v>
      </c>
      <c r="T226" s="769">
        <f t="shared" ca="1" si="258"/>
        <v>-0.5</v>
      </c>
      <c r="U226" s="769">
        <f t="shared" ca="1" si="259"/>
        <v>2.262</v>
      </c>
      <c r="V226" s="769">
        <f t="shared" ca="1" si="260"/>
        <v>0</v>
      </c>
      <c r="W226" s="769">
        <f t="shared" ca="1" si="261"/>
        <v>4.7620000000000005</v>
      </c>
      <c r="X226" s="794">
        <f t="shared" si="262"/>
        <v>3</v>
      </c>
      <c r="Y226" s="769">
        <f t="shared" ca="1" si="263"/>
        <v>0.54772255750516607</v>
      </c>
      <c r="Z226" s="769">
        <f t="shared" ca="1" si="264"/>
        <v>0</v>
      </c>
      <c r="AA226" s="795">
        <f t="shared" ca="1" si="265"/>
        <v>0</v>
      </c>
      <c r="AB226" s="769">
        <f t="shared" ca="1" si="266"/>
        <v>0</v>
      </c>
      <c r="AC226" s="769">
        <f t="shared" ca="1" si="267"/>
        <v>0</v>
      </c>
      <c r="AD226" s="769">
        <f t="shared" ca="1" si="268"/>
        <v>0</v>
      </c>
      <c r="AE226" s="794">
        <f t="shared" ca="1" si="269"/>
        <v>0</v>
      </c>
      <c r="AF226" s="769">
        <f t="shared" ca="1" si="270"/>
        <v>0</v>
      </c>
      <c r="AG226" s="769">
        <f t="shared" ca="1" si="271"/>
        <v>0</v>
      </c>
      <c r="AH226" s="799">
        <f t="shared" ca="1" si="272"/>
        <v>0</v>
      </c>
      <c r="AI226" s="801">
        <f t="shared" ca="1" si="273"/>
        <v>1</v>
      </c>
      <c r="AJ226" s="794">
        <f t="shared" ca="1" si="274"/>
        <v>0</v>
      </c>
      <c r="AK226" s="769">
        <f t="shared" ca="1" si="275"/>
        <v>0</v>
      </c>
      <c r="AL226" s="769">
        <f t="shared" ca="1" si="276"/>
        <v>0</v>
      </c>
      <c r="AM226" s="804">
        <f t="shared" ca="1" si="226"/>
        <v>0</v>
      </c>
      <c r="AN226" s="795">
        <f t="shared" ca="1" si="227"/>
        <v>0</v>
      </c>
      <c r="AO226" s="251"/>
      <c r="AP226" s="770">
        <f t="shared" si="277"/>
        <v>0</v>
      </c>
      <c r="AQ226" s="771">
        <f t="shared" ca="1" si="278"/>
        <v>0</v>
      </c>
      <c r="AR226" s="771">
        <f t="shared" ca="1" si="279"/>
        <v>0</v>
      </c>
      <c r="AS226" s="772">
        <f t="shared" ca="1" si="280"/>
        <v>0</v>
      </c>
      <c r="AT226" s="231"/>
      <c r="AU226" s="770">
        <f>'Main Results - IRR DC Operator'!$F$16</f>
        <v>2</v>
      </c>
      <c r="AV226" s="773">
        <f>'Main Results - IRR DC Operator'!$F$15</f>
        <v>1</v>
      </c>
      <c r="AW226" s="771">
        <f t="shared" ca="1" si="281"/>
        <v>0</v>
      </c>
      <c r="AX226" s="772">
        <f t="shared" si="282"/>
        <v>0</v>
      </c>
      <c r="AY226" s="231"/>
      <c r="AZ226" s="770" cm="1">
        <f t="array" aca="1" ref="AZ226" ca="1">INDIRECT("'Definition of Typical Day'!"&amp; ADDRESS($D226+29*(AZ$16-1),$E226))+$AZ$17</f>
        <v>11</v>
      </c>
      <c r="BA226" s="771" cm="1">
        <f t="array" aca="1" ref="BA226" ca="1">INDIRECT("'Definition of Typical Day'!"&amp; ADDRESS($D226+29*(BA$16-1),$E226))+$BA$17</f>
        <v>11</v>
      </c>
      <c r="BB226" s="772" cm="1">
        <f t="array" aca="1" ref="BB226" ca="1">INDIRECT("'Definition of Typical Day'!"&amp;ADDRESS(BB$16,$E226))</f>
        <v>0</v>
      </c>
      <c r="BC226" s="776" cm="1">
        <f t="array" aca="1" ref="BC226" ca="1">INDIRECT("'Definition of Typical Day'!"&amp; ADDRESS($D226+29*(BC$16-1),$E226))</f>
        <v>0</v>
      </c>
      <c r="BD226" s="777" cm="1">
        <f t="array" aca="1" ref="BD226" ca="1">INDIRECT("'Definition of Typical Day'!"&amp; ADDRESS($D226+29*(BD$16-1),$E226))</f>
        <v>0</v>
      </c>
      <c r="BE226" s="776">
        <f t="shared" si="283"/>
        <v>0</v>
      </c>
      <c r="BF226" s="771">
        <f t="shared" ca="1" si="284"/>
        <v>0</v>
      </c>
      <c r="BG226" s="771">
        <f t="shared" ca="1" si="285"/>
        <v>0</v>
      </c>
      <c r="BH226" s="771">
        <f t="shared" ca="1" si="286"/>
        <v>0</v>
      </c>
      <c r="BI226" s="776">
        <f t="shared" ca="1" si="287"/>
        <v>0</v>
      </c>
      <c r="BJ226" s="776">
        <f t="shared" ca="1" si="288"/>
        <v>0</v>
      </c>
      <c r="BK226" s="776">
        <f t="shared" ca="1" si="289"/>
        <v>0</v>
      </c>
      <c r="BL226" s="776">
        <f t="shared" ca="1" si="290"/>
        <v>0</v>
      </c>
      <c r="BM226" s="135"/>
      <c r="BN226" s="776">
        <f t="shared" ca="1" si="291"/>
        <v>0</v>
      </c>
      <c r="BO226" s="778">
        <f t="shared" ca="1" si="228"/>
        <v>0</v>
      </c>
      <c r="BP226" s="770">
        <f t="shared" ca="1" si="229"/>
        <v>0</v>
      </c>
      <c r="BQ226" s="771">
        <f t="shared" ca="1" si="230"/>
        <v>0</v>
      </c>
      <c r="BR226" s="771">
        <f t="shared" ca="1" si="231"/>
        <v>0</v>
      </c>
      <c r="BS226" s="776">
        <f t="shared" ca="1" si="292"/>
        <v>0</v>
      </c>
      <c r="BT226" s="776">
        <f t="shared" ca="1" si="232"/>
        <v>0</v>
      </c>
      <c r="BU226" s="783">
        <f t="shared" ca="1" si="233"/>
        <v>0</v>
      </c>
      <c r="BV226" s="783">
        <f t="shared" ca="1" si="234"/>
        <v>0</v>
      </c>
      <c r="BW226" s="1019">
        <f t="shared" ca="1" si="293"/>
        <v>0</v>
      </c>
      <c r="BX226" s="771" cm="1">
        <f t="array" aca="1" ref="BX226" ca="1">INDIRECT("'Definition of Typical Day'!"&amp; ADDRESS($D226+29*(BX$16-1),$E226))</f>
        <v>0</v>
      </c>
      <c r="BY226" s="771">
        <f t="shared" ca="1" si="294"/>
        <v>0</v>
      </c>
      <c r="BZ226" s="781">
        <f t="shared" ca="1" si="235"/>
        <v>0</v>
      </c>
      <c r="CA226" s="781">
        <f t="shared" ca="1" si="236"/>
        <v>0</v>
      </c>
      <c r="CB226" s="776">
        <f t="shared" ca="1" si="237"/>
        <v>0</v>
      </c>
      <c r="CC226" s="782">
        <f t="shared" si="238"/>
        <v>9</v>
      </c>
      <c r="CD226" s="782">
        <f t="shared" si="239"/>
        <v>14</v>
      </c>
      <c r="CE226" s="784" cm="1">
        <f t="array" aca="1" ref="CE226" ca="1">INDIRECT("'Definition of Typical Day'!"&amp;ADDRESS(CE$16,$E226))</f>
        <v>9</v>
      </c>
      <c r="CF226" s="232"/>
      <c r="CG226" s="232"/>
      <c r="CH226" s="776">
        <f t="shared" ca="1" si="240"/>
        <v>0</v>
      </c>
      <c r="CI226" s="806">
        <f t="shared" ca="1" si="241"/>
        <v>0</v>
      </c>
      <c r="CJ226" s="770">
        <f t="shared" ca="1" si="242"/>
        <v>0</v>
      </c>
      <c r="CK226" s="771">
        <f t="shared" ca="1" si="243"/>
        <v>0</v>
      </c>
      <c r="CL226" s="771">
        <f t="shared" ca="1" si="244"/>
        <v>0</v>
      </c>
      <c r="CM226" s="772">
        <f t="shared" ca="1" si="245"/>
        <v>0</v>
      </c>
      <c r="CN226" s="135"/>
      <c r="CO226" s="770">
        <f t="shared" ca="1" si="295"/>
        <v>1.05</v>
      </c>
      <c r="CP226" s="771">
        <f t="shared" ca="1" si="246"/>
        <v>0.02</v>
      </c>
      <c r="CQ226" s="771">
        <f t="shared" ca="1" si="247"/>
        <v>-2.5000000000000001E-2</v>
      </c>
      <c r="CR226" s="771">
        <f t="shared" ca="1" si="248"/>
        <v>0.95</v>
      </c>
      <c r="CS226" s="771">
        <f t="shared" ca="1" si="249"/>
        <v>0.03</v>
      </c>
      <c r="CT226" s="772">
        <f t="shared" ca="1" si="250"/>
        <v>0.02</v>
      </c>
      <c r="CU226" s="135"/>
      <c r="CV226" s="135"/>
      <c r="CW226" s="135"/>
      <c r="CX226" s="135"/>
      <c r="CY226" s="135"/>
      <c r="CZ226" s="135"/>
      <c r="DA226" s="135"/>
      <c r="DB226" s="135"/>
      <c r="DC226" s="135"/>
      <c r="DD226" s="135"/>
      <c r="DE226" s="135"/>
      <c r="DF226" s="135"/>
      <c r="DG226" s="135"/>
      <c r="DH226" s="135"/>
      <c r="DI226" s="135"/>
      <c r="DJ226" s="135"/>
      <c r="DK226" s="135"/>
      <c r="DL226" s="135"/>
      <c r="DX226" s="135"/>
      <c r="DY226" s="135"/>
      <c r="DZ226" s="135"/>
      <c r="EA226" s="135"/>
      <c r="EB226" s="135"/>
      <c r="EC226" s="135"/>
      <c r="ED226" s="135"/>
      <c r="EE226" s="135"/>
      <c r="EF226" s="135"/>
      <c r="EG226" s="135"/>
      <c r="EH226" s="135"/>
      <c r="EI226" s="135"/>
      <c r="EJ226" s="135"/>
      <c r="EK226" s="135"/>
      <c r="EL226" s="135"/>
      <c r="EM226" s="135"/>
      <c r="EN226" s="135"/>
      <c r="EO226" s="135"/>
      <c r="EP226" s="135"/>
      <c r="EQ226" s="135"/>
      <c r="ER226" s="135"/>
      <c r="ES226" s="135"/>
      <c r="ET226" s="135"/>
      <c r="EU226" s="135"/>
      <c r="EV226" s="135"/>
      <c r="EW226" s="135"/>
      <c r="EX226" s="135"/>
      <c r="EY226" s="135"/>
      <c r="EZ226" s="135"/>
      <c r="FA226" s="135"/>
      <c r="FB226" s="135"/>
      <c r="FC226" s="135"/>
      <c r="FD226" s="135"/>
      <c r="FE226" s="135"/>
      <c r="FF226" s="135"/>
      <c r="FG226" s="135"/>
    </row>
    <row r="227" spans="1:163" s="57" customFormat="1" ht="11.25" outlineLevel="1">
      <c r="A227" s="765">
        <f t="shared" si="223"/>
        <v>9</v>
      </c>
      <c r="B227" s="715" cm="1">
        <f t="array" aca="1" ref="B227" ca="1">INDIRECT("'Definition of Typical Day'!"&amp;ADDRESS(B$16,$E227))</f>
        <v>9</v>
      </c>
      <c r="C227" s="766">
        <f t="shared" si="224"/>
        <v>15</v>
      </c>
      <c r="D227" s="715">
        <f t="shared" si="224"/>
        <v>49</v>
      </c>
      <c r="E227" s="715">
        <f t="shared" si="225"/>
        <v>13</v>
      </c>
      <c r="F227" s="767" cm="1">
        <f t="array" aca="1" ref="F227" ca="1">INDIRECT("'Definition of Typical Day'!D"&amp;D227)</f>
        <v>15</v>
      </c>
      <c r="G227" s="767" cm="1">
        <f t="array" aca="1" ref="G227" ca="1">INDIRECT("'Definition of Typical Day'!"&amp;ADDRESS(13,E227))</f>
        <v>9</v>
      </c>
      <c r="H227" s="768" cm="1">
        <f t="array" aca="1" ref="H227" ca="1">INDIRECT("'Definition of Typical Day'!"&amp; ADDRESS($D227+28*(H$16-1),$E227))</f>
        <v>0</v>
      </c>
      <c r="I227" s="715" cm="1">
        <f t="array" aca="1" ref="I227" ca="1">INDIRECT("'Definition of Typical Day'!"&amp; ADDRESS($D227+29*(I$16-1),$E227))</f>
        <v>0</v>
      </c>
      <c r="J227" s="715">
        <f t="shared" ca="1" si="251"/>
        <v>0</v>
      </c>
      <c r="K227" s="785">
        <f t="shared" si="252"/>
        <v>28</v>
      </c>
      <c r="L227" s="786" cm="1">
        <f t="array" aca="1" ref="L227" ca="1">INDIRECT("'Definition of Typical Day'!"&amp; ADDRESS($D227+29*(L$16-1),$E227))</f>
        <v>0</v>
      </c>
      <c r="M227" s="768" cm="1">
        <f t="array" aca="1" ref="M227" ca="1">INDIRECT("'Definition of Typical Day'!"&amp; ADDRESS($D227+29*(M$16-1),$E227))</f>
        <v>0</v>
      </c>
      <c r="N227" s="715">
        <f t="shared" si="253"/>
        <v>3</v>
      </c>
      <c r="O227" s="715">
        <f t="shared" ca="1" si="254"/>
        <v>3</v>
      </c>
      <c r="P227" s="715" cm="1">
        <f t="array" aca="1" ref="P227" ca="1">INDIRECT("'Definition of Typical Day'!"&amp; ADDRESS($D227+29*(P$16-1),$E227))</f>
        <v>0</v>
      </c>
      <c r="Q227" s="787">
        <f t="shared" ca="1" si="255"/>
        <v>3</v>
      </c>
      <c r="R227" s="792">
        <f t="shared" ca="1" si="256"/>
        <v>3</v>
      </c>
      <c r="S227" s="769">
        <f t="shared" si="257"/>
        <v>3</v>
      </c>
      <c r="T227" s="769">
        <f t="shared" ca="1" si="258"/>
        <v>-0.5</v>
      </c>
      <c r="U227" s="769">
        <f t="shared" ca="1" si="259"/>
        <v>2.262</v>
      </c>
      <c r="V227" s="769">
        <f t="shared" ca="1" si="260"/>
        <v>0</v>
      </c>
      <c r="W227" s="769">
        <f t="shared" ca="1" si="261"/>
        <v>4.7620000000000005</v>
      </c>
      <c r="X227" s="794">
        <f t="shared" si="262"/>
        <v>3</v>
      </c>
      <c r="Y227" s="769">
        <f t="shared" ca="1" si="263"/>
        <v>0.54772255750516607</v>
      </c>
      <c r="Z227" s="769">
        <f t="shared" ca="1" si="264"/>
        <v>0</v>
      </c>
      <c r="AA227" s="795">
        <f t="shared" ca="1" si="265"/>
        <v>0</v>
      </c>
      <c r="AB227" s="769">
        <f t="shared" ca="1" si="266"/>
        <v>0</v>
      </c>
      <c r="AC227" s="769">
        <f t="shared" ca="1" si="267"/>
        <v>0</v>
      </c>
      <c r="AD227" s="769">
        <f t="shared" ca="1" si="268"/>
        <v>0</v>
      </c>
      <c r="AE227" s="794">
        <f t="shared" ca="1" si="269"/>
        <v>0</v>
      </c>
      <c r="AF227" s="769">
        <f t="shared" ca="1" si="270"/>
        <v>0</v>
      </c>
      <c r="AG227" s="769">
        <f t="shared" ca="1" si="271"/>
        <v>0</v>
      </c>
      <c r="AH227" s="799">
        <f t="shared" ca="1" si="272"/>
        <v>0</v>
      </c>
      <c r="AI227" s="801">
        <f t="shared" ca="1" si="273"/>
        <v>1</v>
      </c>
      <c r="AJ227" s="794">
        <f t="shared" ca="1" si="274"/>
        <v>0</v>
      </c>
      <c r="AK227" s="769">
        <f t="shared" ca="1" si="275"/>
        <v>0</v>
      </c>
      <c r="AL227" s="769">
        <f t="shared" ca="1" si="276"/>
        <v>0</v>
      </c>
      <c r="AM227" s="804">
        <f t="shared" ca="1" si="226"/>
        <v>0</v>
      </c>
      <c r="AN227" s="795">
        <f t="shared" ca="1" si="227"/>
        <v>0</v>
      </c>
      <c r="AO227" s="251"/>
      <c r="AP227" s="770">
        <f t="shared" si="277"/>
        <v>0</v>
      </c>
      <c r="AQ227" s="771">
        <f t="shared" ca="1" si="278"/>
        <v>0</v>
      </c>
      <c r="AR227" s="771">
        <f t="shared" ca="1" si="279"/>
        <v>0</v>
      </c>
      <c r="AS227" s="772">
        <f t="shared" ca="1" si="280"/>
        <v>0</v>
      </c>
      <c r="AT227" s="231"/>
      <c r="AU227" s="770">
        <f>'Main Results - IRR DC Operator'!$F$16</f>
        <v>2</v>
      </c>
      <c r="AV227" s="773">
        <f>'Main Results - IRR DC Operator'!$F$15</f>
        <v>1</v>
      </c>
      <c r="AW227" s="771">
        <f t="shared" ca="1" si="281"/>
        <v>0</v>
      </c>
      <c r="AX227" s="772">
        <f t="shared" si="282"/>
        <v>0</v>
      </c>
      <c r="AY227" s="231"/>
      <c r="AZ227" s="770" cm="1">
        <f t="array" aca="1" ref="AZ227" ca="1">INDIRECT("'Definition of Typical Day'!"&amp; ADDRESS($D227+29*(AZ$16-1),$E227))+$AZ$17</f>
        <v>11</v>
      </c>
      <c r="BA227" s="771" cm="1">
        <f t="array" aca="1" ref="BA227" ca="1">INDIRECT("'Definition of Typical Day'!"&amp; ADDRESS($D227+29*(BA$16-1),$E227))+$BA$17</f>
        <v>11</v>
      </c>
      <c r="BB227" s="772" cm="1">
        <f t="array" aca="1" ref="BB227" ca="1">INDIRECT("'Definition of Typical Day'!"&amp;ADDRESS(BB$16,$E227))</f>
        <v>0</v>
      </c>
      <c r="BC227" s="776" cm="1">
        <f t="array" aca="1" ref="BC227" ca="1">INDIRECT("'Definition of Typical Day'!"&amp; ADDRESS($D227+29*(BC$16-1),$E227))</f>
        <v>0</v>
      </c>
      <c r="BD227" s="777" cm="1">
        <f t="array" aca="1" ref="BD227" ca="1">INDIRECT("'Definition of Typical Day'!"&amp; ADDRESS($D227+29*(BD$16-1),$E227))</f>
        <v>0</v>
      </c>
      <c r="BE227" s="776">
        <f t="shared" si="283"/>
        <v>0</v>
      </c>
      <c r="BF227" s="771">
        <f t="shared" ca="1" si="284"/>
        <v>0</v>
      </c>
      <c r="BG227" s="771">
        <f t="shared" ca="1" si="285"/>
        <v>0</v>
      </c>
      <c r="BH227" s="771">
        <f t="shared" ca="1" si="286"/>
        <v>0</v>
      </c>
      <c r="BI227" s="776">
        <f t="shared" ca="1" si="287"/>
        <v>0</v>
      </c>
      <c r="BJ227" s="776">
        <f t="shared" ca="1" si="288"/>
        <v>0</v>
      </c>
      <c r="BK227" s="776">
        <f t="shared" ca="1" si="289"/>
        <v>0</v>
      </c>
      <c r="BL227" s="776">
        <f t="shared" ca="1" si="290"/>
        <v>0</v>
      </c>
      <c r="BM227" s="135"/>
      <c r="BN227" s="776">
        <f t="shared" ca="1" si="291"/>
        <v>0</v>
      </c>
      <c r="BO227" s="778">
        <f t="shared" ca="1" si="228"/>
        <v>0</v>
      </c>
      <c r="BP227" s="770">
        <f t="shared" ca="1" si="229"/>
        <v>0</v>
      </c>
      <c r="BQ227" s="771">
        <f t="shared" ca="1" si="230"/>
        <v>0</v>
      </c>
      <c r="BR227" s="771">
        <f t="shared" ca="1" si="231"/>
        <v>0</v>
      </c>
      <c r="BS227" s="776">
        <f t="shared" ca="1" si="292"/>
        <v>0</v>
      </c>
      <c r="BT227" s="776">
        <f t="shared" ca="1" si="232"/>
        <v>0</v>
      </c>
      <c r="BU227" s="783">
        <f t="shared" ca="1" si="233"/>
        <v>0</v>
      </c>
      <c r="BV227" s="783">
        <f t="shared" ca="1" si="234"/>
        <v>0</v>
      </c>
      <c r="BW227" s="1019">
        <f t="shared" ca="1" si="293"/>
        <v>0</v>
      </c>
      <c r="BX227" s="771" cm="1">
        <f t="array" aca="1" ref="BX227" ca="1">INDIRECT("'Definition of Typical Day'!"&amp; ADDRESS($D227+29*(BX$16-1),$E227))</f>
        <v>0</v>
      </c>
      <c r="BY227" s="771">
        <f t="shared" ca="1" si="294"/>
        <v>0</v>
      </c>
      <c r="BZ227" s="781">
        <f t="shared" ca="1" si="235"/>
        <v>0</v>
      </c>
      <c r="CA227" s="781">
        <f t="shared" ca="1" si="236"/>
        <v>0</v>
      </c>
      <c r="CB227" s="776">
        <f t="shared" ca="1" si="237"/>
        <v>0</v>
      </c>
      <c r="CC227" s="782">
        <f t="shared" si="238"/>
        <v>9</v>
      </c>
      <c r="CD227" s="782">
        <f t="shared" si="239"/>
        <v>15</v>
      </c>
      <c r="CE227" s="784" cm="1">
        <f t="array" aca="1" ref="CE227" ca="1">INDIRECT("'Definition of Typical Day'!"&amp;ADDRESS(CE$16,$E227))</f>
        <v>9</v>
      </c>
      <c r="CF227" s="232"/>
      <c r="CG227" s="232"/>
      <c r="CH227" s="776">
        <f t="shared" ca="1" si="240"/>
        <v>0</v>
      </c>
      <c r="CI227" s="806">
        <f t="shared" ca="1" si="241"/>
        <v>0</v>
      </c>
      <c r="CJ227" s="770">
        <f t="shared" ca="1" si="242"/>
        <v>0</v>
      </c>
      <c r="CK227" s="771">
        <f t="shared" ca="1" si="243"/>
        <v>0</v>
      </c>
      <c r="CL227" s="771">
        <f t="shared" ca="1" si="244"/>
        <v>0</v>
      </c>
      <c r="CM227" s="772">
        <f t="shared" ca="1" si="245"/>
        <v>0</v>
      </c>
      <c r="CN227" s="135"/>
      <c r="CO227" s="770">
        <f t="shared" ca="1" si="295"/>
        <v>1.05</v>
      </c>
      <c r="CP227" s="771">
        <f t="shared" ca="1" si="246"/>
        <v>0.02</v>
      </c>
      <c r="CQ227" s="771">
        <f t="shared" ca="1" si="247"/>
        <v>-2.5000000000000001E-2</v>
      </c>
      <c r="CR227" s="771">
        <f t="shared" ca="1" si="248"/>
        <v>0.95</v>
      </c>
      <c r="CS227" s="771">
        <f t="shared" ca="1" si="249"/>
        <v>0.03</v>
      </c>
      <c r="CT227" s="772">
        <f t="shared" ca="1" si="250"/>
        <v>0.02</v>
      </c>
      <c r="CU227" s="135"/>
      <c r="CV227" s="135"/>
      <c r="CW227" s="135"/>
      <c r="CX227" s="135"/>
      <c r="CY227" s="135"/>
      <c r="CZ227" s="135"/>
      <c r="DA227" s="135"/>
      <c r="DB227" s="135"/>
      <c r="DC227" s="135"/>
      <c r="DD227" s="135"/>
      <c r="DE227" s="135"/>
      <c r="DF227" s="135"/>
      <c r="DG227" s="135"/>
      <c r="DH227" s="135"/>
      <c r="DI227" s="135"/>
      <c r="DJ227" s="135"/>
      <c r="DK227" s="135"/>
      <c r="DL227" s="135"/>
      <c r="DX227" s="135"/>
      <c r="DY227" s="135"/>
      <c r="DZ227" s="135"/>
      <c r="EA227" s="135"/>
      <c r="EB227" s="135"/>
      <c r="EC227" s="135"/>
      <c r="ED227" s="135"/>
      <c r="EE227" s="135"/>
      <c r="EF227" s="135"/>
      <c r="EG227" s="135"/>
      <c r="EH227" s="135"/>
      <c r="EI227" s="135"/>
      <c r="EJ227" s="135"/>
      <c r="EK227" s="135"/>
      <c r="EL227" s="135"/>
      <c r="EM227" s="135"/>
      <c r="EN227" s="135"/>
      <c r="EO227" s="135"/>
      <c r="EP227" s="135"/>
      <c r="EQ227" s="135"/>
      <c r="ER227" s="135"/>
      <c r="ES227" s="135"/>
      <c r="ET227" s="135"/>
      <c r="EU227" s="135"/>
      <c r="EV227" s="135"/>
      <c r="EW227" s="135"/>
      <c r="EX227" s="135"/>
      <c r="EY227" s="135"/>
      <c r="EZ227" s="135"/>
      <c r="FA227" s="135"/>
      <c r="FB227" s="135"/>
      <c r="FC227" s="135"/>
      <c r="FD227" s="135"/>
      <c r="FE227" s="135"/>
      <c r="FF227" s="135"/>
      <c r="FG227" s="135"/>
    </row>
    <row r="228" spans="1:163" s="57" customFormat="1" ht="11.25" outlineLevel="1">
      <c r="A228" s="765">
        <f t="shared" si="223"/>
        <v>9</v>
      </c>
      <c r="B228" s="715" cm="1">
        <f t="array" aca="1" ref="B228" ca="1">INDIRECT("'Definition of Typical Day'!"&amp;ADDRESS(B$16,$E228))</f>
        <v>9</v>
      </c>
      <c r="C228" s="766">
        <f t="shared" si="224"/>
        <v>16</v>
      </c>
      <c r="D228" s="715">
        <f t="shared" si="224"/>
        <v>50</v>
      </c>
      <c r="E228" s="715">
        <f t="shared" si="225"/>
        <v>13</v>
      </c>
      <c r="F228" s="767" cm="1">
        <f t="array" aca="1" ref="F228" ca="1">INDIRECT("'Definition of Typical Day'!D"&amp;D228)</f>
        <v>16</v>
      </c>
      <c r="G228" s="767" cm="1">
        <f t="array" aca="1" ref="G228" ca="1">INDIRECT("'Definition of Typical Day'!"&amp;ADDRESS(13,E228))</f>
        <v>9</v>
      </c>
      <c r="H228" s="768" cm="1">
        <f t="array" aca="1" ref="H228" ca="1">INDIRECT("'Definition of Typical Day'!"&amp; ADDRESS($D228+28*(H$16-1),$E228))</f>
        <v>0</v>
      </c>
      <c r="I228" s="715" cm="1">
        <f t="array" aca="1" ref="I228" ca="1">INDIRECT("'Definition of Typical Day'!"&amp; ADDRESS($D228+29*(I$16-1),$E228))</f>
        <v>0</v>
      </c>
      <c r="J228" s="715">
        <f t="shared" ca="1" si="251"/>
        <v>0</v>
      </c>
      <c r="K228" s="785">
        <f t="shared" si="252"/>
        <v>28</v>
      </c>
      <c r="L228" s="786" cm="1">
        <f t="array" aca="1" ref="L228" ca="1">INDIRECT("'Definition of Typical Day'!"&amp; ADDRESS($D228+29*(L$16-1),$E228))</f>
        <v>0</v>
      </c>
      <c r="M228" s="768" cm="1">
        <f t="array" aca="1" ref="M228" ca="1">INDIRECT("'Definition of Typical Day'!"&amp; ADDRESS($D228+29*(M$16-1),$E228))</f>
        <v>0</v>
      </c>
      <c r="N228" s="715">
        <f t="shared" si="253"/>
        <v>3</v>
      </c>
      <c r="O228" s="715">
        <f t="shared" ca="1" si="254"/>
        <v>3</v>
      </c>
      <c r="P228" s="715" cm="1">
        <f t="array" aca="1" ref="P228" ca="1">INDIRECT("'Definition of Typical Day'!"&amp; ADDRESS($D228+29*(P$16-1),$E228))</f>
        <v>0</v>
      </c>
      <c r="Q228" s="787">
        <f t="shared" ca="1" si="255"/>
        <v>3</v>
      </c>
      <c r="R228" s="792">
        <f t="shared" ca="1" si="256"/>
        <v>3</v>
      </c>
      <c r="S228" s="769">
        <f t="shared" si="257"/>
        <v>3</v>
      </c>
      <c r="T228" s="769">
        <f t="shared" ca="1" si="258"/>
        <v>-0.5</v>
      </c>
      <c r="U228" s="769">
        <f t="shared" ca="1" si="259"/>
        <v>2.262</v>
      </c>
      <c r="V228" s="769">
        <f t="shared" ca="1" si="260"/>
        <v>0</v>
      </c>
      <c r="W228" s="769">
        <f t="shared" ca="1" si="261"/>
        <v>4.7620000000000005</v>
      </c>
      <c r="X228" s="794">
        <f t="shared" si="262"/>
        <v>3</v>
      </c>
      <c r="Y228" s="769">
        <f t="shared" ca="1" si="263"/>
        <v>0.54772255750516607</v>
      </c>
      <c r="Z228" s="769">
        <f t="shared" ca="1" si="264"/>
        <v>0</v>
      </c>
      <c r="AA228" s="795">
        <f t="shared" ca="1" si="265"/>
        <v>0</v>
      </c>
      <c r="AB228" s="769">
        <f t="shared" ca="1" si="266"/>
        <v>0</v>
      </c>
      <c r="AC228" s="769">
        <f t="shared" ca="1" si="267"/>
        <v>0</v>
      </c>
      <c r="AD228" s="769">
        <f t="shared" ca="1" si="268"/>
        <v>0</v>
      </c>
      <c r="AE228" s="794">
        <f t="shared" ca="1" si="269"/>
        <v>0</v>
      </c>
      <c r="AF228" s="769">
        <f t="shared" ca="1" si="270"/>
        <v>0</v>
      </c>
      <c r="AG228" s="769">
        <f t="shared" ca="1" si="271"/>
        <v>0</v>
      </c>
      <c r="AH228" s="799">
        <f t="shared" ca="1" si="272"/>
        <v>0</v>
      </c>
      <c r="AI228" s="801">
        <f t="shared" ca="1" si="273"/>
        <v>1</v>
      </c>
      <c r="AJ228" s="794">
        <f t="shared" ca="1" si="274"/>
        <v>0</v>
      </c>
      <c r="AK228" s="769">
        <f t="shared" ca="1" si="275"/>
        <v>0</v>
      </c>
      <c r="AL228" s="769">
        <f t="shared" ca="1" si="276"/>
        <v>0</v>
      </c>
      <c r="AM228" s="804">
        <f t="shared" ca="1" si="226"/>
        <v>0</v>
      </c>
      <c r="AN228" s="795">
        <f t="shared" ca="1" si="227"/>
        <v>0</v>
      </c>
      <c r="AO228" s="251"/>
      <c r="AP228" s="770">
        <f t="shared" si="277"/>
        <v>0</v>
      </c>
      <c r="AQ228" s="771">
        <f t="shared" ca="1" si="278"/>
        <v>0</v>
      </c>
      <c r="AR228" s="771">
        <f t="shared" ca="1" si="279"/>
        <v>0</v>
      </c>
      <c r="AS228" s="772">
        <f t="shared" ca="1" si="280"/>
        <v>0</v>
      </c>
      <c r="AT228" s="231"/>
      <c r="AU228" s="770">
        <f>'Main Results - IRR DC Operator'!$F$16</f>
        <v>2</v>
      </c>
      <c r="AV228" s="773">
        <f>'Main Results - IRR DC Operator'!$F$15</f>
        <v>1</v>
      </c>
      <c r="AW228" s="771">
        <f t="shared" ca="1" si="281"/>
        <v>0</v>
      </c>
      <c r="AX228" s="772">
        <f t="shared" si="282"/>
        <v>0</v>
      </c>
      <c r="AY228" s="231"/>
      <c r="AZ228" s="770" cm="1">
        <f t="array" aca="1" ref="AZ228" ca="1">INDIRECT("'Definition of Typical Day'!"&amp; ADDRESS($D228+29*(AZ$16-1),$E228))+$AZ$17</f>
        <v>11</v>
      </c>
      <c r="BA228" s="771" cm="1">
        <f t="array" aca="1" ref="BA228" ca="1">INDIRECT("'Definition of Typical Day'!"&amp; ADDRESS($D228+29*(BA$16-1),$E228))+$BA$17</f>
        <v>11</v>
      </c>
      <c r="BB228" s="772" cm="1">
        <f t="array" aca="1" ref="BB228" ca="1">INDIRECT("'Definition of Typical Day'!"&amp;ADDRESS(BB$16,$E228))</f>
        <v>0</v>
      </c>
      <c r="BC228" s="776" cm="1">
        <f t="array" aca="1" ref="BC228" ca="1">INDIRECT("'Definition of Typical Day'!"&amp; ADDRESS($D228+29*(BC$16-1),$E228))</f>
        <v>0</v>
      </c>
      <c r="BD228" s="777" cm="1">
        <f t="array" aca="1" ref="BD228" ca="1">INDIRECT("'Definition of Typical Day'!"&amp; ADDRESS($D228+29*(BD$16-1),$E228))</f>
        <v>0</v>
      </c>
      <c r="BE228" s="776">
        <f t="shared" si="283"/>
        <v>0</v>
      </c>
      <c r="BF228" s="771">
        <f t="shared" ca="1" si="284"/>
        <v>0</v>
      </c>
      <c r="BG228" s="771">
        <f t="shared" ca="1" si="285"/>
        <v>0</v>
      </c>
      <c r="BH228" s="771">
        <f t="shared" ca="1" si="286"/>
        <v>0</v>
      </c>
      <c r="BI228" s="776">
        <f t="shared" ca="1" si="287"/>
        <v>0</v>
      </c>
      <c r="BJ228" s="776">
        <f t="shared" ca="1" si="288"/>
        <v>0</v>
      </c>
      <c r="BK228" s="776">
        <f t="shared" ca="1" si="289"/>
        <v>0</v>
      </c>
      <c r="BL228" s="776">
        <f t="shared" ca="1" si="290"/>
        <v>0</v>
      </c>
      <c r="BM228" s="135"/>
      <c r="BN228" s="776">
        <f t="shared" ca="1" si="291"/>
        <v>0</v>
      </c>
      <c r="BO228" s="778">
        <f t="shared" ca="1" si="228"/>
        <v>0</v>
      </c>
      <c r="BP228" s="770">
        <f t="shared" ca="1" si="229"/>
        <v>0</v>
      </c>
      <c r="BQ228" s="771">
        <f t="shared" ca="1" si="230"/>
        <v>0</v>
      </c>
      <c r="BR228" s="771">
        <f t="shared" ca="1" si="231"/>
        <v>0</v>
      </c>
      <c r="BS228" s="776">
        <f t="shared" ca="1" si="292"/>
        <v>0</v>
      </c>
      <c r="BT228" s="776">
        <f t="shared" ca="1" si="232"/>
        <v>0</v>
      </c>
      <c r="BU228" s="783">
        <f t="shared" ca="1" si="233"/>
        <v>0</v>
      </c>
      <c r="BV228" s="783">
        <f t="shared" ca="1" si="234"/>
        <v>0</v>
      </c>
      <c r="BW228" s="1019">
        <f t="shared" ca="1" si="293"/>
        <v>0</v>
      </c>
      <c r="BX228" s="771" cm="1">
        <f t="array" aca="1" ref="BX228" ca="1">INDIRECT("'Definition of Typical Day'!"&amp; ADDRESS($D228+29*(BX$16-1),$E228))</f>
        <v>0</v>
      </c>
      <c r="BY228" s="771">
        <f t="shared" ca="1" si="294"/>
        <v>0</v>
      </c>
      <c r="BZ228" s="781">
        <f t="shared" ca="1" si="235"/>
        <v>0</v>
      </c>
      <c r="CA228" s="781">
        <f t="shared" ca="1" si="236"/>
        <v>0</v>
      </c>
      <c r="CB228" s="776">
        <f t="shared" ca="1" si="237"/>
        <v>0</v>
      </c>
      <c r="CC228" s="782">
        <f t="shared" si="238"/>
        <v>9</v>
      </c>
      <c r="CD228" s="782">
        <f t="shared" si="239"/>
        <v>16</v>
      </c>
      <c r="CE228" s="784" cm="1">
        <f t="array" aca="1" ref="CE228" ca="1">INDIRECT("'Definition of Typical Day'!"&amp;ADDRESS(CE$16,$E228))</f>
        <v>9</v>
      </c>
      <c r="CF228" s="232"/>
      <c r="CG228" s="232"/>
      <c r="CH228" s="776">
        <f t="shared" ca="1" si="240"/>
        <v>0</v>
      </c>
      <c r="CI228" s="806">
        <f t="shared" ca="1" si="241"/>
        <v>0</v>
      </c>
      <c r="CJ228" s="770">
        <f t="shared" ca="1" si="242"/>
        <v>0</v>
      </c>
      <c r="CK228" s="771">
        <f t="shared" ca="1" si="243"/>
        <v>0</v>
      </c>
      <c r="CL228" s="771">
        <f t="shared" ca="1" si="244"/>
        <v>0</v>
      </c>
      <c r="CM228" s="772">
        <f t="shared" ca="1" si="245"/>
        <v>0</v>
      </c>
      <c r="CN228" s="135"/>
      <c r="CO228" s="770">
        <f t="shared" ca="1" si="295"/>
        <v>1.05</v>
      </c>
      <c r="CP228" s="771">
        <f t="shared" ca="1" si="246"/>
        <v>0.02</v>
      </c>
      <c r="CQ228" s="771">
        <f t="shared" ca="1" si="247"/>
        <v>-2.5000000000000001E-2</v>
      </c>
      <c r="CR228" s="771">
        <f t="shared" ca="1" si="248"/>
        <v>0.95</v>
      </c>
      <c r="CS228" s="771">
        <f t="shared" ca="1" si="249"/>
        <v>0.03</v>
      </c>
      <c r="CT228" s="772">
        <f t="shared" ca="1" si="250"/>
        <v>0.02</v>
      </c>
      <c r="CU228" s="135"/>
      <c r="CV228" s="135"/>
      <c r="CW228" s="135"/>
      <c r="CX228" s="135"/>
      <c r="CY228" s="135"/>
      <c r="CZ228" s="135"/>
      <c r="DA228" s="135"/>
      <c r="DB228" s="135"/>
      <c r="DC228" s="135"/>
      <c r="DD228" s="135"/>
      <c r="DE228" s="135"/>
      <c r="DF228" s="135"/>
      <c r="DG228" s="135"/>
      <c r="DH228" s="135"/>
      <c r="DI228" s="135"/>
      <c r="DJ228" s="135"/>
      <c r="DK228" s="135"/>
      <c r="DL228" s="135"/>
      <c r="DX228" s="135"/>
      <c r="DY228" s="135"/>
      <c r="DZ228" s="135"/>
      <c r="EA228" s="135"/>
      <c r="EB228" s="135"/>
      <c r="EC228" s="135"/>
      <c r="ED228" s="135"/>
      <c r="EE228" s="135"/>
      <c r="EF228" s="135"/>
      <c r="EG228" s="135"/>
      <c r="EH228" s="135"/>
      <c r="EI228" s="135"/>
      <c r="EJ228" s="135"/>
      <c r="EK228" s="135"/>
      <c r="EL228" s="135"/>
      <c r="EM228" s="135"/>
      <c r="EN228" s="135"/>
      <c r="EO228" s="135"/>
      <c r="EP228" s="135"/>
      <c r="EQ228" s="135"/>
      <c r="ER228" s="135"/>
      <c r="ES228" s="135"/>
      <c r="ET228" s="135"/>
      <c r="EU228" s="135"/>
      <c r="EV228" s="135"/>
      <c r="EW228" s="135"/>
      <c r="EX228" s="135"/>
      <c r="EY228" s="135"/>
      <c r="EZ228" s="135"/>
      <c r="FA228" s="135"/>
      <c r="FB228" s="135"/>
      <c r="FC228" s="135"/>
      <c r="FD228" s="135"/>
      <c r="FE228" s="135"/>
      <c r="FF228" s="135"/>
      <c r="FG228" s="135"/>
    </row>
    <row r="229" spans="1:163" s="57" customFormat="1" ht="11.25" outlineLevel="1">
      <c r="A229" s="765">
        <f t="shared" si="223"/>
        <v>9</v>
      </c>
      <c r="B229" s="715" cm="1">
        <f t="array" aca="1" ref="B229" ca="1">INDIRECT("'Definition of Typical Day'!"&amp;ADDRESS(B$16,$E229))</f>
        <v>9</v>
      </c>
      <c r="C229" s="766">
        <f t="shared" si="224"/>
        <v>17</v>
      </c>
      <c r="D229" s="715">
        <f t="shared" si="224"/>
        <v>51</v>
      </c>
      <c r="E229" s="715">
        <f t="shared" si="225"/>
        <v>13</v>
      </c>
      <c r="F229" s="767" cm="1">
        <f t="array" aca="1" ref="F229" ca="1">INDIRECT("'Definition of Typical Day'!D"&amp;D229)</f>
        <v>17</v>
      </c>
      <c r="G229" s="767" cm="1">
        <f t="array" aca="1" ref="G229" ca="1">INDIRECT("'Definition of Typical Day'!"&amp;ADDRESS(13,E229))</f>
        <v>9</v>
      </c>
      <c r="H229" s="768" cm="1">
        <f t="array" aca="1" ref="H229" ca="1">INDIRECT("'Definition of Typical Day'!"&amp; ADDRESS($D229+28*(H$16-1),$E229))</f>
        <v>0</v>
      </c>
      <c r="I229" s="715" cm="1">
        <f t="array" aca="1" ref="I229" ca="1">INDIRECT("'Definition of Typical Day'!"&amp; ADDRESS($D229+29*(I$16-1),$E229))</f>
        <v>0</v>
      </c>
      <c r="J229" s="715">
        <f t="shared" ca="1" si="251"/>
        <v>0</v>
      </c>
      <c r="K229" s="785">
        <f t="shared" si="252"/>
        <v>28</v>
      </c>
      <c r="L229" s="786" cm="1">
        <f t="array" aca="1" ref="L229" ca="1">INDIRECT("'Definition of Typical Day'!"&amp; ADDRESS($D229+29*(L$16-1),$E229))</f>
        <v>0</v>
      </c>
      <c r="M229" s="768" cm="1">
        <f t="array" aca="1" ref="M229" ca="1">INDIRECT("'Definition of Typical Day'!"&amp; ADDRESS($D229+29*(M$16-1),$E229))</f>
        <v>0</v>
      </c>
      <c r="N229" s="715">
        <f t="shared" si="253"/>
        <v>3</v>
      </c>
      <c r="O229" s="715">
        <f t="shared" ca="1" si="254"/>
        <v>3</v>
      </c>
      <c r="P229" s="715" cm="1">
        <f t="array" aca="1" ref="P229" ca="1">INDIRECT("'Definition of Typical Day'!"&amp; ADDRESS($D229+29*(P$16-1),$E229))</f>
        <v>0</v>
      </c>
      <c r="Q229" s="787">
        <f t="shared" ca="1" si="255"/>
        <v>3</v>
      </c>
      <c r="R229" s="792">
        <f t="shared" ca="1" si="256"/>
        <v>3</v>
      </c>
      <c r="S229" s="769">
        <f t="shared" si="257"/>
        <v>3</v>
      </c>
      <c r="T229" s="769">
        <f t="shared" ca="1" si="258"/>
        <v>-0.5</v>
      </c>
      <c r="U229" s="769">
        <f t="shared" ca="1" si="259"/>
        <v>2.262</v>
      </c>
      <c r="V229" s="769">
        <f t="shared" ca="1" si="260"/>
        <v>0</v>
      </c>
      <c r="W229" s="769">
        <f t="shared" ca="1" si="261"/>
        <v>4.7620000000000005</v>
      </c>
      <c r="X229" s="794">
        <f t="shared" si="262"/>
        <v>3</v>
      </c>
      <c r="Y229" s="769">
        <f t="shared" ca="1" si="263"/>
        <v>0.54772255750516607</v>
      </c>
      <c r="Z229" s="769">
        <f t="shared" ca="1" si="264"/>
        <v>0</v>
      </c>
      <c r="AA229" s="795">
        <f t="shared" ca="1" si="265"/>
        <v>0</v>
      </c>
      <c r="AB229" s="769">
        <f t="shared" ca="1" si="266"/>
        <v>0</v>
      </c>
      <c r="AC229" s="769">
        <f t="shared" ca="1" si="267"/>
        <v>0</v>
      </c>
      <c r="AD229" s="769">
        <f t="shared" ca="1" si="268"/>
        <v>0</v>
      </c>
      <c r="AE229" s="794">
        <f t="shared" ca="1" si="269"/>
        <v>0</v>
      </c>
      <c r="AF229" s="769">
        <f t="shared" ca="1" si="270"/>
        <v>0</v>
      </c>
      <c r="AG229" s="769">
        <f t="shared" ca="1" si="271"/>
        <v>0</v>
      </c>
      <c r="AH229" s="799">
        <f t="shared" ca="1" si="272"/>
        <v>0</v>
      </c>
      <c r="AI229" s="801">
        <f t="shared" ca="1" si="273"/>
        <v>1</v>
      </c>
      <c r="AJ229" s="794">
        <f t="shared" ca="1" si="274"/>
        <v>0</v>
      </c>
      <c r="AK229" s="769">
        <f t="shared" ca="1" si="275"/>
        <v>0</v>
      </c>
      <c r="AL229" s="769">
        <f t="shared" ca="1" si="276"/>
        <v>0</v>
      </c>
      <c r="AM229" s="804">
        <f t="shared" ca="1" si="226"/>
        <v>0</v>
      </c>
      <c r="AN229" s="795">
        <f t="shared" ca="1" si="227"/>
        <v>0</v>
      </c>
      <c r="AO229" s="251"/>
      <c r="AP229" s="770">
        <f t="shared" si="277"/>
        <v>0</v>
      </c>
      <c r="AQ229" s="771">
        <f t="shared" ca="1" si="278"/>
        <v>0</v>
      </c>
      <c r="AR229" s="771">
        <f t="shared" ca="1" si="279"/>
        <v>0</v>
      </c>
      <c r="AS229" s="772">
        <f t="shared" ca="1" si="280"/>
        <v>0</v>
      </c>
      <c r="AT229" s="231"/>
      <c r="AU229" s="770">
        <f>'Main Results - IRR DC Operator'!$F$16</f>
        <v>2</v>
      </c>
      <c r="AV229" s="773">
        <f>'Main Results - IRR DC Operator'!$F$15</f>
        <v>1</v>
      </c>
      <c r="AW229" s="771">
        <f t="shared" ca="1" si="281"/>
        <v>0</v>
      </c>
      <c r="AX229" s="772">
        <f t="shared" si="282"/>
        <v>0</v>
      </c>
      <c r="AY229" s="231"/>
      <c r="AZ229" s="770" cm="1">
        <f t="array" aca="1" ref="AZ229" ca="1">INDIRECT("'Definition of Typical Day'!"&amp; ADDRESS($D229+29*(AZ$16-1),$E229))+$AZ$17</f>
        <v>11</v>
      </c>
      <c r="BA229" s="771" cm="1">
        <f t="array" aca="1" ref="BA229" ca="1">INDIRECT("'Definition of Typical Day'!"&amp; ADDRESS($D229+29*(BA$16-1),$E229))+$BA$17</f>
        <v>11</v>
      </c>
      <c r="BB229" s="772" cm="1">
        <f t="array" aca="1" ref="BB229" ca="1">INDIRECT("'Definition of Typical Day'!"&amp;ADDRESS(BB$16,$E229))</f>
        <v>0</v>
      </c>
      <c r="BC229" s="776" cm="1">
        <f t="array" aca="1" ref="BC229" ca="1">INDIRECT("'Definition of Typical Day'!"&amp; ADDRESS($D229+29*(BC$16-1),$E229))</f>
        <v>0</v>
      </c>
      <c r="BD229" s="777" cm="1">
        <f t="array" aca="1" ref="BD229" ca="1">INDIRECT("'Definition of Typical Day'!"&amp; ADDRESS($D229+29*(BD$16-1),$E229))</f>
        <v>0</v>
      </c>
      <c r="BE229" s="776">
        <f t="shared" si="283"/>
        <v>0</v>
      </c>
      <c r="BF229" s="771">
        <f t="shared" ca="1" si="284"/>
        <v>0</v>
      </c>
      <c r="BG229" s="771">
        <f t="shared" ca="1" si="285"/>
        <v>0</v>
      </c>
      <c r="BH229" s="771">
        <f t="shared" ca="1" si="286"/>
        <v>0</v>
      </c>
      <c r="BI229" s="776">
        <f t="shared" ca="1" si="287"/>
        <v>0</v>
      </c>
      <c r="BJ229" s="776">
        <f t="shared" ca="1" si="288"/>
        <v>0</v>
      </c>
      <c r="BK229" s="776">
        <f t="shared" ca="1" si="289"/>
        <v>0</v>
      </c>
      <c r="BL229" s="776">
        <f t="shared" ca="1" si="290"/>
        <v>0</v>
      </c>
      <c r="BM229" s="135"/>
      <c r="BN229" s="776">
        <f t="shared" ca="1" si="291"/>
        <v>0</v>
      </c>
      <c r="BO229" s="778">
        <f t="shared" ca="1" si="228"/>
        <v>0</v>
      </c>
      <c r="BP229" s="770">
        <f t="shared" ca="1" si="229"/>
        <v>0</v>
      </c>
      <c r="BQ229" s="771">
        <f t="shared" ca="1" si="230"/>
        <v>0</v>
      </c>
      <c r="BR229" s="771">
        <f t="shared" ca="1" si="231"/>
        <v>0</v>
      </c>
      <c r="BS229" s="776">
        <f t="shared" ca="1" si="292"/>
        <v>0</v>
      </c>
      <c r="BT229" s="776">
        <f t="shared" ca="1" si="232"/>
        <v>0</v>
      </c>
      <c r="BU229" s="783">
        <f t="shared" ca="1" si="233"/>
        <v>0</v>
      </c>
      <c r="BV229" s="783">
        <f t="shared" ca="1" si="234"/>
        <v>0</v>
      </c>
      <c r="BW229" s="1019">
        <f t="shared" ca="1" si="293"/>
        <v>0</v>
      </c>
      <c r="BX229" s="771" cm="1">
        <f t="array" aca="1" ref="BX229" ca="1">INDIRECT("'Definition of Typical Day'!"&amp; ADDRESS($D229+29*(BX$16-1),$E229))</f>
        <v>0</v>
      </c>
      <c r="BY229" s="771">
        <f t="shared" ca="1" si="294"/>
        <v>0</v>
      </c>
      <c r="BZ229" s="781">
        <f t="shared" ca="1" si="235"/>
        <v>0</v>
      </c>
      <c r="CA229" s="781">
        <f t="shared" ca="1" si="236"/>
        <v>0</v>
      </c>
      <c r="CB229" s="776">
        <f t="shared" ca="1" si="237"/>
        <v>0</v>
      </c>
      <c r="CC229" s="782">
        <f t="shared" si="238"/>
        <v>9</v>
      </c>
      <c r="CD229" s="782">
        <f t="shared" si="239"/>
        <v>17</v>
      </c>
      <c r="CE229" s="784" cm="1">
        <f t="array" aca="1" ref="CE229" ca="1">INDIRECT("'Definition of Typical Day'!"&amp;ADDRESS(CE$16,$E229))</f>
        <v>9</v>
      </c>
      <c r="CF229" s="232"/>
      <c r="CG229" s="232"/>
      <c r="CH229" s="776">
        <f t="shared" ca="1" si="240"/>
        <v>0</v>
      </c>
      <c r="CI229" s="806">
        <f t="shared" ca="1" si="241"/>
        <v>0</v>
      </c>
      <c r="CJ229" s="770">
        <f t="shared" ca="1" si="242"/>
        <v>0</v>
      </c>
      <c r="CK229" s="771">
        <f t="shared" ca="1" si="243"/>
        <v>0</v>
      </c>
      <c r="CL229" s="771">
        <f t="shared" ca="1" si="244"/>
        <v>0</v>
      </c>
      <c r="CM229" s="772">
        <f t="shared" ca="1" si="245"/>
        <v>0</v>
      </c>
      <c r="CN229" s="135"/>
      <c r="CO229" s="770">
        <f t="shared" ca="1" si="295"/>
        <v>1.05</v>
      </c>
      <c r="CP229" s="771">
        <f t="shared" ca="1" si="246"/>
        <v>0.02</v>
      </c>
      <c r="CQ229" s="771">
        <f t="shared" ca="1" si="247"/>
        <v>-2.5000000000000001E-2</v>
      </c>
      <c r="CR229" s="771">
        <f t="shared" ca="1" si="248"/>
        <v>0.95</v>
      </c>
      <c r="CS229" s="771">
        <f t="shared" ca="1" si="249"/>
        <v>0.03</v>
      </c>
      <c r="CT229" s="772">
        <f t="shared" ca="1" si="250"/>
        <v>0.02</v>
      </c>
      <c r="CU229" s="135"/>
      <c r="CV229" s="135"/>
      <c r="CW229" s="135"/>
      <c r="CX229" s="135"/>
      <c r="CY229" s="135"/>
      <c r="CZ229" s="135"/>
      <c r="DA229" s="135"/>
      <c r="DB229" s="135"/>
      <c r="DC229" s="135"/>
      <c r="DD229" s="135"/>
      <c r="DE229" s="135"/>
      <c r="DF229" s="135"/>
      <c r="DG229" s="135"/>
      <c r="DH229" s="135"/>
      <c r="DI229" s="135"/>
      <c r="DJ229" s="135"/>
      <c r="DK229" s="135"/>
      <c r="DL229" s="135"/>
      <c r="DX229" s="135"/>
      <c r="DY229" s="135"/>
      <c r="DZ229" s="135"/>
      <c r="EA229" s="135"/>
      <c r="EB229" s="135"/>
      <c r="EC229" s="135"/>
      <c r="ED229" s="135"/>
      <c r="EE229" s="135"/>
      <c r="EF229" s="135"/>
      <c r="EG229" s="135"/>
      <c r="EH229" s="135"/>
      <c r="EI229" s="135"/>
      <c r="EJ229" s="135"/>
      <c r="EK229" s="135"/>
      <c r="EL229" s="135"/>
      <c r="EM229" s="135"/>
      <c r="EN229" s="135"/>
      <c r="EO229" s="135"/>
      <c r="EP229" s="135"/>
      <c r="EQ229" s="135"/>
      <c r="ER229" s="135"/>
      <c r="ES229" s="135"/>
      <c r="ET229" s="135"/>
      <c r="EU229" s="135"/>
      <c r="EV229" s="135"/>
      <c r="EW229" s="135"/>
      <c r="EX229" s="135"/>
      <c r="EY229" s="135"/>
      <c r="EZ229" s="135"/>
      <c r="FA229" s="135"/>
      <c r="FB229" s="135"/>
      <c r="FC229" s="135"/>
      <c r="FD229" s="135"/>
      <c r="FE229" s="135"/>
      <c r="FF229" s="135"/>
      <c r="FG229" s="135"/>
    </row>
    <row r="230" spans="1:163" s="57" customFormat="1" ht="11.25" outlineLevel="1">
      <c r="A230" s="765">
        <f t="shared" si="223"/>
        <v>9</v>
      </c>
      <c r="B230" s="715" cm="1">
        <f t="array" aca="1" ref="B230" ca="1">INDIRECT("'Definition of Typical Day'!"&amp;ADDRESS(B$16,$E230))</f>
        <v>9</v>
      </c>
      <c r="C230" s="766">
        <f t="shared" si="224"/>
        <v>18</v>
      </c>
      <c r="D230" s="715">
        <f t="shared" si="224"/>
        <v>52</v>
      </c>
      <c r="E230" s="715">
        <f t="shared" si="225"/>
        <v>13</v>
      </c>
      <c r="F230" s="767" cm="1">
        <f t="array" aca="1" ref="F230" ca="1">INDIRECT("'Definition of Typical Day'!D"&amp;D230)</f>
        <v>18</v>
      </c>
      <c r="G230" s="767" cm="1">
        <f t="array" aca="1" ref="G230" ca="1">INDIRECT("'Definition of Typical Day'!"&amp;ADDRESS(13,E230))</f>
        <v>9</v>
      </c>
      <c r="H230" s="768" cm="1">
        <f t="array" aca="1" ref="H230" ca="1">INDIRECT("'Definition of Typical Day'!"&amp; ADDRESS($D230+28*(H$16-1),$E230))</f>
        <v>0</v>
      </c>
      <c r="I230" s="715" cm="1">
        <f t="array" aca="1" ref="I230" ca="1">INDIRECT("'Definition of Typical Day'!"&amp; ADDRESS($D230+29*(I$16-1),$E230))</f>
        <v>0</v>
      </c>
      <c r="J230" s="715">
        <f t="shared" ca="1" si="251"/>
        <v>0</v>
      </c>
      <c r="K230" s="785">
        <f t="shared" si="252"/>
        <v>28</v>
      </c>
      <c r="L230" s="786" cm="1">
        <f t="array" aca="1" ref="L230" ca="1">INDIRECT("'Definition of Typical Day'!"&amp; ADDRESS($D230+29*(L$16-1),$E230))</f>
        <v>0</v>
      </c>
      <c r="M230" s="768" cm="1">
        <f t="array" aca="1" ref="M230" ca="1">INDIRECT("'Definition of Typical Day'!"&amp; ADDRESS($D230+29*(M$16-1),$E230))</f>
        <v>0</v>
      </c>
      <c r="N230" s="715">
        <f t="shared" si="253"/>
        <v>3</v>
      </c>
      <c r="O230" s="715">
        <f t="shared" ca="1" si="254"/>
        <v>3</v>
      </c>
      <c r="P230" s="715" cm="1">
        <f t="array" aca="1" ref="P230" ca="1">INDIRECT("'Definition of Typical Day'!"&amp; ADDRESS($D230+29*(P$16-1),$E230))</f>
        <v>0</v>
      </c>
      <c r="Q230" s="787">
        <f t="shared" ca="1" si="255"/>
        <v>3</v>
      </c>
      <c r="R230" s="792">
        <f t="shared" ca="1" si="256"/>
        <v>3</v>
      </c>
      <c r="S230" s="769">
        <f t="shared" si="257"/>
        <v>3</v>
      </c>
      <c r="T230" s="769">
        <f t="shared" ca="1" si="258"/>
        <v>-0.5</v>
      </c>
      <c r="U230" s="769">
        <f t="shared" ca="1" si="259"/>
        <v>2.262</v>
      </c>
      <c r="V230" s="769">
        <f t="shared" ca="1" si="260"/>
        <v>0</v>
      </c>
      <c r="W230" s="769">
        <f t="shared" ca="1" si="261"/>
        <v>4.7620000000000005</v>
      </c>
      <c r="X230" s="794">
        <f t="shared" si="262"/>
        <v>3</v>
      </c>
      <c r="Y230" s="769">
        <f t="shared" ca="1" si="263"/>
        <v>0.54772255750516607</v>
      </c>
      <c r="Z230" s="769">
        <f t="shared" ca="1" si="264"/>
        <v>0</v>
      </c>
      <c r="AA230" s="795">
        <f t="shared" ca="1" si="265"/>
        <v>0</v>
      </c>
      <c r="AB230" s="769">
        <f t="shared" ca="1" si="266"/>
        <v>0</v>
      </c>
      <c r="AC230" s="769">
        <f t="shared" ca="1" si="267"/>
        <v>0</v>
      </c>
      <c r="AD230" s="769">
        <f t="shared" ca="1" si="268"/>
        <v>0</v>
      </c>
      <c r="AE230" s="794">
        <f t="shared" ca="1" si="269"/>
        <v>0</v>
      </c>
      <c r="AF230" s="769">
        <f t="shared" ca="1" si="270"/>
        <v>0</v>
      </c>
      <c r="AG230" s="769">
        <f t="shared" ca="1" si="271"/>
        <v>0</v>
      </c>
      <c r="AH230" s="799">
        <f t="shared" ca="1" si="272"/>
        <v>0</v>
      </c>
      <c r="AI230" s="801">
        <f t="shared" ca="1" si="273"/>
        <v>1</v>
      </c>
      <c r="AJ230" s="794">
        <f t="shared" ca="1" si="274"/>
        <v>0</v>
      </c>
      <c r="AK230" s="769">
        <f t="shared" ca="1" si="275"/>
        <v>0</v>
      </c>
      <c r="AL230" s="769">
        <f t="shared" ca="1" si="276"/>
        <v>0</v>
      </c>
      <c r="AM230" s="804">
        <f t="shared" ca="1" si="226"/>
        <v>0</v>
      </c>
      <c r="AN230" s="795">
        <f t="shared" ca="1" si="227"/>
        <v>0</v>
      </c>
      <c r="AO230" s="251"/>
      <c r="AP230" s="770">
        <f t="shared" si="277"/>
        <v>0</v>
      </c>
      <c r="AQ230" s="771">
        <f t="shared" ca="1" si="278"/>
        <v>0</v>
      </c>
      <c r="AR230" s="771">
        <f t="shared" ca="1" si="279"/>
        <v>0</v>
      </c>
      <c r="AS230" s="772">
        <f t="shared" ca="1" si="280"/>
        <v>0</v>
      </c>
      <c r="AT230" s="231"/>
      <c r="AU230" s="770">
        <f>'Main Results - IRR DC Operator'!$F$16</f>
        <v>2</v>
      </c>
      <c r="AV230" s="773">
        <f>'Main Results - IRR DC Operator'!$F$15</f>
        <v>1</v>
      </c>
      <c r="AW230" s="771">
        <f t="shared" ca="1" si="281"/>
        <v>0</v>
      </c>
      <c r="AX230" s="772">
        <f t="shared" si="282"/>
        <v>0</v>
      </c>
      <c r="AY230" s="231"/>
      <c r="AZ230" s="770" cm="1">
        <f t="array" aca="1" ref="AZ230" ca="1">INDIRECT("'Definition of Typical Day'!"&amp; ADDRESS($D230+29*(AZ$16-1),$E230))+$AZ$17</f>
        <v>11</v>
      </c>
      <c r="BA230" s="771" cm="1">
        <f t="array" aca="1" ref="BA230" ca="1">INDIRECT("'Definition of Typical Day'!"&amp; ADDRESS($D230+29*(BA$16-1),$E230))+$BA$17</f>
        <v>11</v>
      </c>
      <c r="BB230" s="772" cm="1">
        <f t="array" aca="1" ref="BB230" ca="1">INDIRECT("'Definition of Typical Day'!"&amp;ADDRESS(BB$16,$E230))</f>
        <v>0</v>
      </c>
      <c r="BC230" s="776" cm="1">
        <f t="array" aca="1" ref="BC230" ca="1">INDIRECT("'Definition of Typical Day'!"&amp; ADDRESS($D230+29*(BC$16-1),$E230))</f>
        <v>0</v>
      </c>
      <c r="BD230" s="777" cm="1">
        <f t="array" aca="1" ref="BD230" ca="1">INDIRECT("'Definition of Typical Day'!"&amp; ADDRESS($D230+29*(BD$16-1),$E230))</f>
        <v>0</v>
      </c>
      <c r="BE230" s="776">
        <f t="shared" si="283"/>
        <v>0</v>
      </c>
      <c r="BF230" s="771">
        <f t="shared" ca="1" si="284"/>
        <v>0</v>
      </c>
      <c r="BG230" s="771">
        <f t="shared" ca="1" si="285"/>
        <v>0</v>
      </c>
      <c r="BH230" s="771">
        <f t="shared" ca="1" si="286"/>
        <v>0</v>
      </c>
      <c r="BI230" s="776">
        <f t="shared" ca="1" si="287"/>
        <v>0</v>
      </c>
      <c r="BJ230" s="776">
        <f t="shared" ca="1" si="288"/>
        <v>0</v>
      </c>
      <c r="BK230" s="776">
        <f t="shared" ca="1" si="289"/>
        <v>0</v>
      </c>
      <c r="BL230" s="776">
        <f t="shared" ca="1" si="290"/>
        <v>0</v>
      </c>
      <c r="BM230" s="135"/>
      <c r="BN230" s="776">
        <f t="shared" ca="1" si="291"/>
        <v>0</v>
      </c>
      <c r="BO230" s="778">
        <f t="shared" ca="1" si="228"/>
        <v>0</v>
      </c>
      <c r="BP230" s="770">
        <f t="shared" ca="1" si="229"/>
        <v>0</v>
      </c>
      <c r="BQ230" s="771">
        <f t="shared" ca="1" si="230"/>
        <v>0</v>
      </c>
      <c r="BR230" s="771">
        <f t="shared" ca="1" si="231"/>
        <v>0</v>
      </c>
      <c r="BS230" s="776">
        <f t="shared" ca="1" si="292"/>
        <v>0</v>
      </c>
      <c r="BT230" s="776">
        <f t="shared" ca="1" si="232"/>
        <v>0</v>
      </c>
      <c r="BU230" s="783">
        <f t="shared" ca="1" si="233"/>
        <v>0</v>
      </c>
      <c r="BV230" s="783">
        <f t="shared" ca="1" si="234"/>
        <v>0</v>
      </c>
      <c r="BW230" s="1019">
        <f t="shared" ca="1" si="293"/>
        <v>0</v>
      </c>
      <c r="BX230" s="771" cm="1">
        <f t="array" aca="1" ref="BX230" ca="1">INDIRECT("'Definition of Typical Day'!"&amp; ADDRESS($D230+29*(BX$16-1),$E230))</f>
        <v>0</v>
      </c>
      <c r="BY230" s="771">
        <f t="shared" ca="1" si="294"/>
        <v>0</v>
      </c>
      <c r="BZ230" s="781">
        <f t="shared" ca="1" si="235"/>
        <v>0</v>
      </c>
      <c r="CA230" s="781">
        <f t="shared" ca="1" si="236"/>
        <v>0</v>
      </c>
      <c r="CB230" s="776">
        <f t="shared" ca="1" si="237"/>
        <v>0</v>
      </c>
      <c r="CC230" s="782">
        <f t="shared" si="238"/>
        <v>9</v>
      </c>
      <c r="CD230" s="782">
        <f t="shared" si="239"/>
        <v>18</v>
      </c>
      <c r="CE230" s="784" cm="1">
        <f t="array" aca="1" ref="CE230" ca="1">INDIRECT("'Definition of Typical Day'!"&amp;ADDRESS(CE$16,$E230))</f>
        <v>9</v>
      </c>
      <c r="CF230" s="232"/>
      <c r="CG230" s="232"/>
      <c r="CH230" s="776">
        <f t="shared" ca="1" si="240"/>
        <v>0</v>
      </c>
      <c r="CI230" s="806">
        <f t="shared" ca="1" si="241"/>
        <v>0</v>
      </c>
      <c r="CJ230" s="770">
        <f t="shared" ca="1" si="242"/>
        <v>0</v>
      </c>
      <c r="CK230" s="771">
        <f t="shared" ca="1" si="243"/>
        <v>0</v>
      </c>
      <c r="CL230" s="771">
        <f t="shared" ca="1" si="244"/>
        <v>0</v>
      </c>
      <c r="CM230" s="772">
        <f t="shared" ca="1" si="245"/>
        <v>0</v>
      </c>
      <c r="CN230" s="135"/>
      <c r="CO230" s="770">
        <f t="shared" ca="1" si="295"/>
        <v>1.05</v>
      </c>
      <c r="CP230" s="771">
        <f t="shared" ca="1" si="246"/>
        <v>0.02</v>
      </c>
      <c r="CQ230" s="771">
        <f t="shared" ca="1" si="247"/>
        <v>-2.5000000000000001E-2</v>
      </c>
      <c r="CR230" s="771">
        <f t="shared" ca="1" si="248"/>
        <v>0.95</v>
      </c>
      <c r="CS230" s="771">
        <f t="shared" ca="1" si="249"/>
        <v>0.03</v>
      </c>
      <c r="CT230" s="772">
        <f t="shared" ca="1" si="250"/>
        <v>0.02</v>
      </c>
      <c r="CU230" s="135"/>
      <c r="CV230" s="135"/>
      <c r="CW230" s="135"/>
      <c r="CX230" s="135"/>
      <c r="CY230" s="135"/>
      <c r="CZ230" s="135"/>
      <c r="DA230" s="135"/>
      <c r="DB230" s="135"/>
      <c r="DC230" s="135"/>
      <c r="DD230" s="135"/>
      <c r="DE230" s="135"/>
      <c r="DF230" s="135"/>
      <c r="DG230" s="135"/>
      <c r="DH230" s="135"/>
      <c r="DI230" s="135"/>
      <c r="DJ230" s="135"/>
      <c r="DK230" s="135"/>
      <c r="DL230" s="135"/>
      <c r="DX230" s="135"/>
      <c r="DY230" s="135"/>
      <c r="DZ230" s="135"/>
      <c r="EA230" s="135"/>
      <c r="EB230" s="135"/>
      <c r="EC230" s="135"/>
      <c r="ED230" s="135"/>
      <c r="EE230" s="135"/>
      <c r="EF230" s="135"/>
      <c r="EG230" s="135"/>
      <c r="EH230" s="135"/>
      <c r="EI230" s="135"/>
      <c r="EJ230" s="135"/>
      <c r="EK230" s="135"/>
      <c r="EL230" s="135"/>
      <c r="EM230" s="135"/>
      <c r="EN230" s="135"/>
      <c r="EO230" s="135"/>
      <c r="EP230" s="135"/>
      <c r="EQ230" s="135"/>
      <c r="ER230" s="135"/>
      <c r="ES230" s="135"/>
      <c r="ET230" s="135"/>
      <c r="EU230" s="135"/>
      <c r="EV230" s="135"/>
      <c r="EW230" s="135"/>
      <c r="EX230" s="135"/>
      <c r="EY230" s="135"/>
      <c r="EZ230" s="135"/>
      <c r="FA230" s="135"/>
      <c r="FB230" s="135"/>
      <c r="FC230" s="135"/>
      <c r="FD230" s="135"/>
      <c r="FE230" s="135"/>
      <c r="FF230" s="135"/>
      <c r="FG230" s="135"/>
    </row>
    <row r="231" spans="1:163" s="57" customFormat="1" ht="11.25" outlineLevel="1">
      <c r="A231" s="765">
        <f t="shared" si="223"/>
        <v>9</v>
      </c>
      <c r="B231" s="715" cm="1">
        <f t="array" aca="1" ref="B231" ca="1">INDIRECT("'Definition of Typical Day'!"&amp;ADDRESS(B$16,$E231))</f>
        <v>9</v>
      </c>
      <c r="C231" s="766">
        <f t="shared" si="224"/>
        <v>19</v>
      </c>
      <c r="D231" s="715">
        <f t="shared" si="224"/>
        <v>53</v>
      </c>
      <c r="E231" s="715">
        <f t="shared" si="225"/>
        <v>13</v>
      </c>
      <c r="F231" s="767" cm="1">
        <f t="array" aca="1" ref="F231" ca="1">INDIRECT("'Definition of Typical Day'!D"&amp;D231)</f>
        <v>19</v>
      </c>
      <c r="G231" s="767" cm="1">
        <f t="array" aca="1" ref="G231" ca="1">INDIRECT("'Definition of Typical Day'!"&amp;ADDRESS(13,E231))</f>
        <v>9</v>
      </c>
      <c r="H231" s="768" cm="1">
        <f t="array" aca="1" ref="H231" ca="1">INDIRECT("'Definition of Typical Day'!"&amp; ADDRESS($D231+28*(H$16-1),$E231))</f>
        <v>0</v>
      </c>
      <c r="I231" s="715" cm="1">
        <f t="array" aca="1" ref="I231" ca="1">INDIRECT("'Definition of Typical Day'!"&amp; ADDRESS($D231+29*(I$16-1),$E231))</f>
        <v>0</v>
      </c>
      <c r="J231" s="715">
        <f t="shared" ca="1" si="251"/>
        <v>0</v>
      </c>
      <c r="K231" s="785">
        <f t="shared" si="252"/>
        <v>28</v>
      </c>
      <c r="L231" s="786" cm="1">
        <f t="array" aca="1" ref="L231" ca="1">INDIRECT("'Definition of Typical Day'!"&amp; ADDRESS($D231+29*(L$16-1),$E231))</f>
        <v>0</v>
      </c>
      <c r="M231" s="768" cm="1">
        <f t="array" aca="1" ref="M231" ca="1">INDIRECT("'Definition of Typical Day'!"&amp; ADDRESS($D231+29*(M$16-1),$E231))</f>
        <v>0</v>
      </c>
      <c r="N231" s="715">
        <f t="shared" si="253"/>
        <v>3</v>
      </c>
      <c r="O231" s="715">
        <f t="shared" ca="1" si="254"/>
        <v>3</v>
      </c>
      <c r="P231" s="715" cm="1">
        <f t="array" aca="1" ref="P231" ca="1">INDIRECT("'Definition of Typical Day'!"&amp; ADDRESS($D231+29*(P$16-1),$E231))</f>
        <v>0</v>
      </c>
      <c r="Q231" s="787">
        <f t="shared" ca="1" si="255"/>
        <v>3</v>
      </c>
      <c r="R231" s="792">
        <f t="shared" ca="1" si="256"/>
        <v>3</v>
      </c>
      <c r="S231" s="769">
        <f t="shared" si="257"/>
        <v>3</v>
      </c>
      <c r="T231" s="769">
        <f t="shared" ca="1" si="258"/>
        <v>-0.5</v>
      </c>
      <c r="U231" s="769">
        <f t="shared" ca="1" si="259"/>
        <v>2.262</v>
      </c>
      <c r="V231" s="769">
        <f t="shared" ca="1" si="260"/>
        <v>0</v>
      </c>
      <c r="W231" s="769">
        <f t="shared" ca="1" si="261"/>
        <v>4.7620000000000005</v>
      </c>
      <c r="X231" s="794">
        <f t="shared" si="262"/>
        <v>3</v>
      </c>
      <c r="Y231" s="769">
        <f t="shared" ca="1" si="263"/>
        <v>0.54772255750516607</v>
      </c>
      <c r="Z231" s="769">
        <f t="shared" ca="1" si="264"/>
        <v>0</v>
      </c>
      <c r="AA231" s="795">
        <f t="shared" ca="1" si="265"/>
        <v>0</v>
      </c>
      <c r="AB231" s="769">
        <f t="shared" ca="1" si="266"/>
        <v>0</v>
      </c>
      <c r="AC231" s="769">
        <f t="shared" ca="1" si="267"/>
        <v>0</v>
      </c>
      <c r="AD231" s="769">
        <f t="shared" ca="1" si="268"/>
        <v>0</v>
      </c>
      <c r="AE231" s="794">
        <f t="shared" ca="1" si="269"/>
        <v>0</v>
      </c>
      <c r="AF231" s="769">
        <f t="shared" ca="1" si="270"/>
        <v>0</v>
      </c>
      <c r="AG231" s="769">
        <f t="shared" ca="1" si="271"/>
        <v>0</v>
      </c>
      <c r="AH231" s="799">
        <f t="shared" ca="1" si="272"/>
        <v>0</v>
      </c>
      <c r="AI231" s="801">
        <f t="shared" ca="1" si="273"/>
        <v>1</v>
      </c>
      <c r="AJ231" s="794">
        <f t="shared" ca="1" si="274"/>
        <v>0</v>
      </c>
      <c r="AK231" s="769">
        <f t="shared" ca="1" si="275"/>
        <v>0</v>
      </c>
      <c r="AL231" s="769">
        <f t="shared" ca="1" si="276"/>
        <v>0</v>
      </c>
      <c r="AM231" s="804">
        <f t="shared" ca="1" si="226"/>
        <v>0</v>
      </c>
      <c r="AN231" s="795">
        <f t="shared" ca="1" si="227"/>
        <v>0</v>
      </c>
      <c r="AO231" s="251"/>
      <c r="AP231" s="770">
        <f t="shared" si="277"/>
        <v>0</v>
      </c>
      <c r="AQ231" s="771">
        <f t="shared" ca="1" si="278"/>
        <v>0</v>
      </c>
      <c r="AR231" s="771">
        <f t="shared" ca="1" si="279"/>
        <v>0</v>
      </c>
      <c r="AS231" s="772">
        <f t="shared" ca="1" si="280"/>
        <v>0</v>
      </c>
      <c r="AT231" s="231"/>
      <c r="AU231" s="770">
        <f>'Main Results - IRR DC Operator'!$F$16</f>
        <v>2</v>
      </c>
      <c r="AV231" s="773">
        <f>'Main Results - IRR DC Operator'!$F$15</f>
        <v>1</v>
      </c>
      <c r="AW231" s="771">
        <f t="shared" ca="1" si="281"/>
        <v>0</v>
      </c>
      <c r="AX231" s="772">
        <f t="shared" si="282"/>
        <v>0</v>
      </c>
      <c r="AY231" s="231"/>
      <c r="AZ231" s="770" cm="1">
        <f t="array" aca="1" ref="AZ231" ca="1">INDIRECT("'Definition of Typical Day'!"&amp; ADDRESS($D231+29*(AZ$16-1),$E231))+$AZ$17</f>
        <v>11</v>
      </c>
      <c r="BA231" s="771" cm="1">
        <f t="array" aca="1" ref="BA231" ca="1">INDIRECT("'Definition of Typical Day'!"&amp; ADDRESS($D231+29*(BA$16-1),$E231))+$BA$17</f>
        <v>11</v>
      </c>
      <c r="BB231" s="772" cm="1">
        <f t="array" aca="1" ref="BB231" ca="1">INDIRECT("'Definition of Typical Day'!"&amp;ADDRESS(BB$16,$E231))</f>
        <v>0</v>
      </c>
      <c r="BC231" s="776" cm="1">
        <f t="array" aca="1" ref="BC231" ca="1">INDIRECT("'Definition of Typical Day'!"&amp; ADDRESS($D231+29*(BC$16-1),$E231))</f>
        <v>0</v>
      </c>
      <c r="BD231" s="777" cm="1">
        <f t="array" aca="1" ref="BD231" ca="1">INDIRECT("'Definition of Typical Day'!"&amp; ADDRESS($D231+29*(BD$16-1),$E231))</f>
        <v>0</v>
      </c>
      <c r="BE231" s="776">
        <f t="shared" si="283"/>
        <v>0</v>
      </c>
      <c r="BF231" s="771">
        <f t="shared" ca="1" si="284"/>
        <v>0</v>
      </c>
      <c r="BG231" s="771">
        <f t="shared" ca="1" si="285"/>
        <v>0</v>
      </c>
      <c r="BH231" s="771">
        <f t="shared" ca="1" si="286"/>
        <v>0</v>
      </c>
      <c r="BI231" s="776">
        <f t="shared" ca="1" si="287"/>
        <v>0</v>
      </c>
      <c r="BJ231" s="776">
        <f t="shared" ca="1" si="288"/>
        <v>0</v>
      </c>
      <c r="BK231" s="776">
        <f t="shared" ca="1" si="289"/>
        <v>0</v>
      </c>
      <c r="BL231" s="776">
        <f t="shared" ca="1" si="290"/>
        <v>0</v>
      </c>
      <c r="BM231" s="135"/>
      <c r="BN231" s="776">
        <f t="shared" ca="1" si="291"/>
        <v>0</v>
      </c>
      <c r="BO231" s="778">
        <f t="shared" ca="1" si="228"/>
        <v>0</v>
      </c>
      <c r="BP231" s="770">
        <f t="shared" ca="1" si="229"/>
        <v>0</v>
      </c>
      <c r="BQ231" s="771">
        <f t="shared" ca="1" si="230"/>
        <v>0</v>
      </c>
      <c r="BR231" s="771">
        <f t="shared" ca="1" si="231"/>
        <v>0</v>
      </c>
      <c r="BS231" s="776">
        <f t="shared" ca="1" si="292"/>
        <v>0</v>
      </c>
      <c r="BT231" s="776">
        <f t="shared" ca="1" si="232"/>
        <v>0</v>
      </c>
      <c r="BU231" s="783">
        <f t="shared" ca="1" si="233"/>
        <v>0</v>
      </c>
      <c r="BV231" s="783">
        <f t="shared" ca="1" si="234"/>
        <v>0</v>
      </c>
      <c r="BW231" s="1019">
        <f t="shared" ca="1" si="293"/>
        <v>0</v>
      </c>
      <c r="BX231" s="771" cm="1">
        <f t="array" aca="1" ref="BX231" ca="1">INDIRECT("'Definition of Typical Day'!"&amp; ADDRESS($D231+29*(BX$16-1),$E231))</f>
        <v>0</v>
      </c>
      <c r="BY231" s="771">
        <f t="shared" ca="1" si="294"/>
        <v>0</v>
      </c>
      <c r="BZ231" s="781">
        <f t="shared" ca="1" si="235"/>
        <v>0</v>
      </c>
      <c r="CA231" s="781">
        <f t="shared" ca="1" si="236"/>
        <v>0</v>
      </c>
      <c r="CB231" s="776">
        <f t="shared" ca="1" si="237"/>
        <v>0</v>
      </c>
      <c r="CC231" s="782">
        <f t="shared" si="238"/>
        <v>9</v>
      </c>
      <c r="CD231" s="782">
        <f t="shared" si="239"/>
        <v>19</v>
      </c>
      <c r="CE231" s="784" cm="1">
        <f t="array" aca="1" ref="CE231" ca="1">INDIRECT("'Definition of Typical Day'!"&amp;ADDRESS(CE$16,$E231))</f>
        <v>9</v>
      </c>
      <c r="CF231" s="232"/>
      <c r="CG231" s="232"/>
      <c r="CH231" s="776">
        <f t="shared" ca="1" si="240"/>
        <v>0</v>
      </c>
      <c r="CI231" s="806">
        <f t="shared" ca="1" si="241"/>
        <v>0</v>
      </c>
      <c r="CJ231" s="770">
        <f t="shared" ca="1" si="242"/>
        <v>0</v>
      </c>
      <c r="CK231" s="771">
        <f t="shared" ca="1" si="243"/>
        <v>0</v>
      </c>
      <c r="CL231" s="771">
        <f t="shared" ca="1" si="244"/>
        <v>0</v>
      </c>
      <c r="CM231" s="772">
        <f t="shared" ca="1" si="245"/>
        <v>0</v>
      </c>
      <c r="CN231" s="135"/>
      <c r="CO231" s="770">
        <f t="shared" ca="1" si="295"/>
        <v>1.05</v>
      </c>
      <c r="CP231" s="771">
        <f t="shared" ca="1" si="246"/>
        <v>0.02</v>
      </c>
      <c r="CQ231" s="771">
        <f t="shared" ca="1" si="247"/>
        <v>-2.5000000000000001E-2</v>
      </c>
      <c r="CR231" s="771">
        <f t="shared" ca="1" si="248"/>
        <v>0.95</v>
      </c>
      <c r="CS231" s="771">
        <f t="shared" ca="1" si="249"/>
        <v>0.03</v>
      </c>
      <c r="CT231" s="772">
        <f t="shared" ca="1" si="250"/>
        <v>0.02</v>
      </c>
      <c r="CU231" s="135"/>
      <c r="CV231" s="135"/>
      <c r="CW231" s="135"/>
      <c r="CX231" s="135"/>
      <c r="CY231" s="135"/>
      <c r="CZ231" s="135"/>
      <c r="DA231" s="135"/>
      <c r="DB231" s="135"/>
      <c r="DC231" s="135"/>
      <c r="DD231" s="135"/>
      <c r="DE231" s="135"/>
      <c r="DF231" s="135"/>
      <c r="DG231" s="135"/>
      <c r="DH231" s="135"/>
      <c r="DI231" s="135"/>
      <c r="DJ231" s="135"/>
      <c r="DK231" s="135"/>
      <c r="DL231" s="135"/>
      <c r="DX231" s="135"/>
      <c r="DY231" s="135"/>
      <c r="DZ231" s="135"/>
      <c r="EA231" s="135"/>
      <c r="EB231" s="135"/>
      <c r="EC231" s="135"/>
      <c r="ED231" s="135"/>
      <c r="EE231" s="135"/>
      <c r="EF231" s="135"/>
      <c r="EG231" s="135"/>
      <c r="EH231" s="135"/>
      <c r="EI231" s="135"/>
      <c r="EJ231" s="135"/>
      <c r="EK231" s="135"/>
      <c r="EL231" s="135"/>
      <c r="EM231" s="135"/>
      <c r="EN231" s="135"/>
      <c r="EO231" s="135"/>
      <c r="EP231" s="135"/>
      <c r="EQ231" s="135"/>
      <c r="ER231" s="135"/>
      <c r="ES231" s="135"/>
      <c r="ET231" s="135"/>
      <c r="EU231" s="135"/>
      <c r="EV231" s="135"/>
      <c r="EW231" s="135"/>
      <c r="EX231" s="135"/>
      <c r="EY231" s="135"/>
      <c r="EZ231" s="135"/>
      <c r="FA231" s="135"/>
      <c r="FB231" s="135"/>
      <c r="FC231" s="135"/>
      <c r="FD231" s="135"/>
      <c r="FE231" s="135"/>
      <c r="FF231" s="135"/>
      <c r="FG231" s="135"/>
    </row>
    <row r="232" spans="1:163" s="57" customFormat="1" ht="11.25" outlineLevel="1">
      <c r="A232" s="765">
        <f t="shared" si="223"/>
        <v>9</v>
      </c>
      <c r="B232" s="715" cm="1">
        <f t="array" aca="1" ref="B232" ca="1">INDIRECT("'Definition of Typical Day'!"&amp;ADDRESS(B$16,$E232))</f>
        <v>9</v>
      </c>
      <c r="C232" s="766">
        <f t="shared" si="224"/>
        <v>20</v>
      </c>
      <c r="D232" s="715">
        <f t="shared" si="224"/>
        <v>54</v>
      </c>
      <c r="E232" s="715">
        <f t="shared" si="225"/>
        <v>13</v>
      </c>
      <c r="F232" s="767" cm="1">
        <f t="array" aca="1" ref="F232" ca="1">INDIRECT("'Definition of Typical Day'!D"&amp;D232)</f>
        <v>20</v>
      </c>
      <c r="G232" s="767" cm="1">
        <f t="array" aca="1" ref="G232" ca="1">INDIRECT("'Definition of Typical Day'!"&amp;ADDRESS(13,E232))</f>
        <v>9</v>
      </c>
      <c r="H232" s="768" cm="1">
        <f t="array" aca="1" ref="H232" ca="1">INDIRECT("'Definition of Typical Day'!"&amp; ADDRESS($D232+28*(H$16-1),$E232))</f>
        <v>0</v>
      </c>
      <c r="I232" s="715" cm="1">
        <f t="array" aca="1" ref="I232" ca="1">INDIRECT("'Definition of Typical Day'!"&amp; ADDRESS($D232+29*(I$16-1),$E232))</f>
        <v>0</v>
      </c>
      <c r="J232" s="715">
        <f t="shared" ca="1" si="251"/>
        <v>0</v>
      </c>
      <c r="K232" s="785">
        <f t="shared" si="252"/>
        <v>28</v>
      </c>
      <c r="L232" s="786" cm="1">
        <f t="array" aca="1" ref="L232" ca="1">INDIRECT("'Definition of Typical Day'!"&amp; ADDRESS($D232+29*(L$16-1),$E232))</f>
        <v>0</v>
      </c>
      <c r="M232" s="768" cm="1">
        <f t="array" aca="1" ref="M232" ca="1">INDIRECT("'Definition of Typical Day'!"&amp; ADDRESS($D232+29*(M$16-1),$E232))</f>
        <v>0</v>
      </c>
      <c r="N232" s="715">
        <f t="shared" si="253"/>
        <v>3</v>
      </c>
      <c r="O232" s="715">
        <f t="shared" ca="1" si="254"/>
        <v>3</v>
      </c>
      <c r="P232" s="715" cm="1">
        <f t="array" aca="1" ref="P232" ca="1">INDIRECT("'Definition of Typical Day'!"&amp; ADDRESS($D232+29*(P$16-1),$E232))</f>
        <v>0</v>
      </c>
      <c r="Q232" s="787">
        <f t="shared" ca="1" si="255"/>
        <v>3</v>
      </c>
      <c r="R232" s="792">
        <f t="shared" ca="1" si="256"/>
        <v>3</v>
      </c>
      <c r="S232" s="769">
        <f t="shared" si="257"/>
        <v>3</v>
      </c>
      <c r="T232" s="769">
        <f t="shared" ca="1" si="258"/>
        <v>-0.5</v>
      </c>
      <c r="U232" s="769">
        <f t="shared" ca="1" si="259"/>
        <v>2.262</v>
      </c>
      <c r="V232" s="769">
        <f t="shared" ca="1" si="260"/>
        <v>0</v>
      </c>
      <c r="W232" s="769">
        <f t="shared" ca="1" si="261"/>
        <v>4.7620000000000005</v>
      </c>
      <c r="X232" s="794">
        <f t="shared" si="262"/>
        <v>3</v>
      </c>
      <c r="Y232" s="769">
        <f t="shared" ca="1" si="263"/>
        <v>0.54772255750516607</v>
      </c>
      <c r="Z232" s="769">
        <f t="shared" ca="1" si="264"/>
        <v>0</v>
      </c>
      <c r="AA232" s="795">
        <f t="shared" ca="1" si="265"/>
        <v>0</v>
      </c>
      <c r="AB232" s="769">
        <f t="shared" ca="1" si="266"/>
        <v>0</v>
      </c>
      <c r="AC232" s="769">
        <f t="shared" ca="1" si="267"/>
        <v>0</v>
      </c>
      <c r="AD232" s="769">
        <f t="shared" ca="1" si="268"/>
        <v>0</v>
      </c>
      <c r="AE232" s="794">
        <f t="shared" ca="1" si="269"/>
        <v>0</v>
      </c>
      <c r="AF232" s="769">
        <f t="shared" ca="1" si="270"/>
        <v>0</v>
      </c>
      <c r="AG232" s="769">
        <f t="shared" ca="1" si="271"/>
        <v>0</v>
      </c>
      <c r="AH232" s="799">
        <f t="shared" ca="1" si="272"/>
        <v>0</v>
      </c>
      <c r="AI232" s="801">
        <f t="shared" ca="1" si="273"/>
        <v>1</v>
      </c>
      <c r="AJ232" s="794">
        <f t="shared" ca="1" si="274"/>
        <v>0</v>
      </c>
      <c r="AK232" s="769">
        <f t="shared" ca="1" si="275"/>
        <v>0</v>
      </c>
      <c r="AL232" s="769">
        <f t="shared" ca="1" si="276"/>
        <v>0</v>
      </c>
      <c r="AM232" s="804">
        <f t="shared" ca="1" si="226"/>
        <v>0</v>
      </c>
      <c r="AN232" s="795">
        <f t="shared" ca="1" si="227"/>
        <v>0</v>
      </c>
      <c r="AO232" s="251"/>
      <c r="AP232" s="770">
        <f t="shared" si="277"/>
        <v>0</v>
      </c>
      <c r="AQ232" s="771">
        <f t="shared" ca="1" si="278"/>
        <v>0</v>
      </c>
      <c r="AR232" s="771">
        <f t="shared" ca="1" si="279"/>
        <v>0</v>
      </c>
      <c r="AS232" s="772">
        <f t="shared" ca="1" si="280"/>
        <v>0</v>
      </c>
      <c r="AT232" s="231"/>
      <c r="AU232" s="770">
        <f>'Main Results - IRR DC Operator'!$F$16</f>
        <v>2</v>
      </c>
      <c r="AV232" s="773">
        <f>'Main Results - IRR DC Operator'!$F$15</f>
        <v>1</v>
      </c>
      <c r="AW232" s="771">
        <f t="shared" ca="1" si="281"/>
        <v>0</v>
      </c>
      <c r="AX232" s="772">
        <f t="shared" si="282"/>
        <v>0</v>
      </c>
      <c r="AY232" s="231"/>
      <c r="AZ232" s="770" cm="1">
        <f t="array" aca="1" ref="AZ232" ca="1">INDIRECT("'Definition of Typical Day'!"&amp; ADDRESS($D232+29*(AZ$16-1),$E232))+$AZ$17</f>
        <v>11</v>
      </c>
      <c r="BA232" s="771" cm="1">
        <f t="array" aca="1" ref="BA232" ca="1">INDIRECT("'Definition of Typical Day'!"&amp; ADDRESS($D232+29*(BA$16-1),$E232))+$BA$17</f>
        <v>11</v>
      </c>
      <c r="BB232" s="772" cm="1">
        <f t="array" aca="1" ref="BB232" ca="1">INDIRECT("'Definition of Typical Day'!"&amp;ADDRESS(BB$16,$E232))</f>
        <v>0</v>
      </c>
      <c r="BC232" s="776" cm="1">
        <f t="array" aca="1" ref="BC232" ca="1">INDIRECT("'Definition of Typical Day'!"&amp; ADDRESS($D232+29*(BC$16-1),$E232))</f>
        <v>0</v>
      </c>
      <c r="BD232" s="777" cm="1">
        <f t="array" aca="1" ref="BD232" ca="1">INDIRECT("'Definition of Typical Day'!"&amp; ADDRESS($D232+29*(BD$16-1),$E232))</f>
        <v>0</v>
      </c>
      <c r="BE232" s="776">
        <f t="shared" si="283"/>
        <v>0</v>
      </c>
      <c r="BF232" s="771">
        <f t="shared" ca="1" si="284"/>
        <v>0</v>
      </c>
      <c r="BG232" s="771">
        <f t="shared" ca="1" si="285"/>
        <v>0</v>
      </c>
      <c r="BH232" s="771">
        <f t="shared" ca="1" si="286"/>
        <v>0</v>
      </c>
      <c r="BI232" s="776">
        <f t="shared" ca="1" si="287"/>
        <v>0</v>
      </c>
      <c r="BJ232" s="776">
        <f t="shared" ca="1" si="288"/>
        <v>0</v>
      </c>
      <c r="BK232" s="776">
        <f t="shared" ca="1" si="289"/>
        <v>0</v>
      </c>
      <c r="BL232" s="776">
        <f t="shared" ca="1" si="290"/>
        <v>0</v>
      </c>
      <c r="BM232" s="135"/>
      <c r="BN232" s="776">
        <f t="shared" ca="1" si="291"/>
        <v>0</v>
      </c>
      <c r="BO232" s="778">
        <f t="shared" ca="1" si="228"/>
        <v>0</v>
      </c>
      <c r="BP232" s="770">
        <f t="shared" ca="1" si="229"/>
        <v>0</v>
      </c>
      <c r="BQ232" s="771">
        <f t="shared" ca="1" si="230"/>
        <v>0</v>
      </c>
      <c r="BR232" s="771">
        <f t="shared" ca="1" si="231"/>
        <v>0</v>
      </c>
      <c r="BS232" s="776">
        <f t="shared" ca="1" si="292"/>
        <v>0</v>
      </c>
      <c r="BT232" s="776">
        <f t="shared" ca="1" si="232"/>
        <v>0</v>
      </c>
      <c r="BU232" s="783">
        <f t="shared" ca="1" si="233"/>
        <v>0</v>
      </c>
      <c r="BV232" s="783">
        <f t="shared" ca="1" si="234"/>
        <v>0</v>
      </c>
      <c r="BW232" s="1019">
        <f t="shared" ca="1" si="293"/>
        <v>0</v>
      </c>
      <c r="BX232" s="771" cm="1">
        <f t="array" aca="1" ref="BX232" ca="1">INDIRECT("'Definition of Typical Day'!"&amp; ADDRESS($D232+29*(BX$16-1),$E232))</f>
        <v>0</v>
      </c>
      <c r="BY232" s="771">
        <f t="shared" ca="1" si="294"/>
        <v>0</v>
      </c>
      <c r="BZ232" s="781">
        <f t="shared" ca="1" si="235"/>
        <v>0</v>
      </c>
      <c r="CA232" s="781">
        <f t="shared" ca="1" si="236"/>
        <v>0</v>
      </c>
      <c r="CB232" s="776">
        <f t="shared" ca="1" si="237"/>
        <v>0</v>
      </c>
      <c r="CC232" s="782">
        <f t="shared" si="238"/>
        <v>9</v>
      </c>
      <c r="CD232" s="782">
        <f t="shared" si="239"/>
        <v>20</v>
      </c>
      <c r="CE232" s="784" cm="1">
        <f t="array" aca="1" ref="CE232" ca="1">INDIRECT("'Definition of Typical Day'!"&amp;ADDRESS(CE$16,$E232))</f>
        <v>9</v>
      </c>
      <c r="CF232" s="232"/>
      <c r="CG232" s="232"/>
      <c r="CH232" s="776">
        <f t="shared" ca="1" si="240"/>
        <v>0</v>
      </c>
      <c r="CI232" s="806">
        <f t="shared" ca="1" si="241"/>
        <v>0</v>
      </c>
      <c r="CJ232" s="770">
        <f t="shared" ca="1" si="242"/>
        <v>0</v>
      </c>
      <c r="CK232" s="771">
        <f t="shared" ca="1" si="243"/>
        <v>0</v>
      </c>
      <c r="CL232" s="771">
        <f t="shared" ca="1" si="244"/>
        <v>0</v>
      </c>
      <c r="CM232" s="772">
        <f t="shared" ca="1" si="245"/>
        <v>0</v>
      </c>
      <c r="CN232" s="135"/>
      <c r="CO232" s="770">
        <f t="shared" ca="1" si="295"/>
        <v>1.05</v>
      </c>
      <c r="CP232" s="771">
        <f t="shared" ca="1" si="246"/>
        <v>0.02</v>
      </c>
      <c r="CQ232" s="771">
        <f t="shared" ca="1" si="247"/>
        <v>-2.5000000000000001E-2</v>
      </c>
      <c r="CR232" s="771">
        <f t="shared" ca="1" si="248"/>
        <v>0.95</v>
      </c>
      <c r="CS232" s="771">
        <f t="shared" ca="1" si="249"/>
        <v>0.03</v>
      </c>
      <c r="CT232" s="772">
        <f t="shared" ca="1" si="250"/>
        <v>0.02</v>
      </c>
      <c r="CU232" s="135"/>
      <c r="CV232" s="135"/>
      <c r="CW232" s="135"/>
      <c r="CX232" s="135"/>
      <c r="CY232" s="135"/>
      <c r="CZ232" s="135"/>
      <c r="DA232" s="135"/>
      <c r="DB232" s="135"/>
      <c r="DC232" s="135"/>
      <c r="DD232" s="135"/>
      <c r="DE232" s="135"/>
      <c r="DF232" s="135"/>
      <c r="DG232" s="135"/>
      <c r="DH232" s="135"/>
      <c r="DI232" s="135"/>
      <c r="DJ232" s="135"/>
      <c r="DK232" s="135"/>
      <c r="DL232" s="135"/>
      <c r="DX232" s="135"/>
      <c r="DY232" s="135"/>
      <c r="DZ232" s="135"/>
      <c r="EA232" s="135"/>
      <c r="EB232" s="135"/>
      <c r="EC232" s="135"/>
      <c r="ED232" s="135"/>
      <c r="EE232" s="135"/>
      <c r="EF232" s="135"/>
      <c r="EG232" s="135"/>
      <c r="EH232" s="135"/>
      <c r="EI232" s="135"/>
      <c r="EJ232" s="135"/>
      <c r="EK232" s="135"/>
      <c r="EL232" s="135"/>
      <c r="EM232" s="135"/>
      <c r="EN232" s="135"/>
      <c r="EO232" s="135"/>
      <c r="EP232" s="135"/>
      <c r="EQ232" s="135"/>
      <c r="ER232" s="135"/>
      <c r="ES232" s="135"/>
      <c r="ET232" s="135"/>
      <c r="EU232" s="135"/>
      <c r="EV232" s="135"/>
      <c r="EW232" s="135"/>
      <c r="EX232" s="135"/>
      <c r="EY232" s="135"/>
      <c r="EZ232" s="135"/>
      <c r="FA232" s="135"/>
      <c r="FB232" s="135"/>
      <c r="FC232" s="135"/>
      <c r="FD232" s="135"/>
      <c r="FE232" s="135"/>
      <c r="FF232" s="135"/>
      <c r="FG232" s="135"/>
    </row>
    <row r="233" spans="1:163" s="57" customFormat="1" ht="11.25" outlineLevel="1">
      <c r="A233" s="765">
        <f t="shared" si="223"/>
        <v>9</v>
      </c>
      <c r="B233" s="715" cm="1">
        <f t="array" aca="1" ref="B233" ca="1">INDIRECT("'Definition of Typical Day'!"&amp;ADDRESS(B$16,$E233))</f>
        <v>9</v>
      </c>
      <c r="C233" s="766">
        <f t="shared" si="224"/>
        <v>21</v>
      </c>
      <c r="D233" s="715">
        <f t="shared" si="224"/>
        <v>55</v>
      </c>
      <c r="E233" s="715">
        <f t="shared" si="225"/>
        <v>13</v>
      </c>
      <c r="F233" s="767" cm="1">
        <f t="array" aca="1" ref="F233" ca="1">INDIRECT("'Definition of Typical Day'!D"&amp;D233)</f>
        <v>21</v>
      </c>
      <c r="G233" s="767" cm="1">
        <f t="array" aca="1" ref="G233" ca="1">INDIRECT("'Definition of Typical Day'!"&amp;ADDRESS(13,E233))</f>
        <v>9</v>
      </c>
      <c r="H233" s="768" cm="1">
        <f t="array" aca="1" ref="H233" ca="1">INDIRECT("'Definition of Typical Day'!"&amp; ADDRESS($D233+28*(H$16-1),$E233))</f>
        <v>0</v>
      </c>
      <c r="I233" s="715" cm="1">
        <f t="array" aca="1" ref="I233" ca="1">INDIRECT("'Definition of Typical Day'!"&amp; ADDRESS($D233+29*(I$16-1),$E233))</f>
        <v>0</v>
      </c>
      <c r="J233" s="715">
        <f t="shared" ca="1" si="251"/>
        <v>0</v>
      </c>
      <c r="K233" s="785">
        <f t="shared" si="252"/>
        <v>28</v>
      </c>
      <c r="L233" s="786" cm="1">
        <f t="array" aca="1" ref="L233" ca="1">INDIRECT("'Definition of Typical Day'!"&amp; ADDRESS($D233+29*(L$16-1),$E233))</f>
        <v>0</v>
      </c>
      <c r="M233" s="768" cm="1">
        <f t="array" aca="1" ref="M233" ca="1">INDIRECT("'Definition of Typical Day'!"&amp; ADDRESS($D233+29*(M$16-1),$E233))</f>
        <v>0</v>
      </c>
      <c r="N233" s="715">
        <f t="shared" si="253"/>
        <v>3</v>
      </c>
      <c r="O233" s="715">
        <f t="shared" ca="1" si="254"/>
        <v>3</v>
      </c>
      <c r="P233" s="715" cm="1">
        <f t="array" aca="1" ref="P233" ca="1">INDIRECT("'Definition of Typical Day'!"&amp; ADDRESS($D233+29*(P$16-1),$E233))</f>
        <v>0</v>
      </c>
      <c r="Q233" s="787">
        <f t="shared" ca="1" si="255"/>
        <v>3</v>
      </c>
      <c r="R233" s="792">
        <f t="shared" ca="1" si="256"/>
        <v>3</v>
      </c>
      <c r="S233" s="769">
        <f t="shared" si="257"/>
        <v>3</v>
      </c>
      <c r="T233" s="769">
        <f t="shared" ca="1" si="258"/>
        <v>-0.5</v>
      </c>
      <c r="U233" s="769">
        <f t="shared" ca="1" si="259"/>
        <v>2.262</v>
      </c>
      <c r="V233" s="769">
        <f t="shared" ca="1" si="260"/>
        <v>0</v>
      </c>
      <c r="W233" s="769">
        <f t="shared" ca="1" si="261"/>
        <v>4.7620000000000005</v>
      </c>
      <c r="X233" s="794">
        <f t="shared" si="262"/>
        <v>3</v>
      </c>
      <c r="Y233" s="769">
        <f t="shared" ca="1" si="263"/>
        <v>0.54772255750516607</v>
      </c>
      <c r="Z233" s="769">
        <f t="shared" ca="1" si="264"/>
        <v>0</v>
      </c>
      <c r="AA233" s="795">
        <f t="shared" ca="1" si="265"/>
        <v>0</v>
      </c>
      <c r="AB233" s="769">
        <f t="shared" ca="1" si="266"/>
        <v>0</v>
      </c>
      <c r="AC233" s="769">
        <f t="shared" ca="1" si="267"/>
        <v>0</v>
      </c>
      <c r="AD233" s="769">
        <f t="shared" ca="1" si="268"/>
        <v>0</v>
      </c>
      <c r="AE233" s="794">
        <f t="shared" ca="1" si="269"/>
        <v>0</v>
      </c>
      <c r="AF233" s="769">
        <f t="shared" ca="1" si="270"/>
        <v>0</v>
      </c>
      <c r="AG233" s="769">
        <f t="shared" ca="1" si="271"/>
        <v>0</v>
      </c>
      <c r="AH233" s="799">
        <f t="shared" ca="1" si="272"/>
        <v>0</v>
      </c>
      <c r="AI233" s="801">
        <f t="shared" ca="1" si="273"/>
        <v>1</v>
      </c>
      <c r="AJ233" s="794">
        <f t="shared" ca="1" si="274"/>
        <v>0</v>
      </c>
      <c r="AK233" s="769">
        <f t="shared" ca="1" si="275"/>
        <v>0</v>
      </c>
      <c r="AL233" s="769">
        <f t="shared" ca="1" si="276"/>
        <v>0</v>
      </c>
      <c r="AM233" s="804">
        <f t="shared" ca="1" si="226"/>
        <v>0</v>
      </c>
      <c r="AN233" s="795">
        <f t="shared" ca="1" si="227"/>
        <v>0</v>
      </c>
      <c r="AO233" s="251"/>
      <c r="AP233" s="770">
        <f t="shared" si="277"/>
        <v>0</v>
      </c>
      <c r="AQ233" s="771">
        <f t="shared" ca="1" si="278"/>
        <v>0</v>
      </c>
      <c r="AR233" s="771">
        <f t="shared" ca="1" si="279"/>
        <v>0</v>
      </c>
      <c r="AS233" s="772">
        <f t="shared" ca="1" si="280"/>
        <v>0</v>
      </c>
      <c r="AT233" s="231"/>
      <c r="AU233" s="770">
        <f>'Main Results - IRR DC Operator'!$F$16</f>
        <v>2</v>
      </c>
      <c r="AV233" s="773">
        <f>'Main Results - IRR DC Operator'!$F$15</f>
        <v>1</v>
      </c>
      <c r="AW233" s="771">
        <f t="shared" ca="1" si="281"/>
        <v>0</v>
      </c>
      <c r="AX233" s="772">
        <f t="shared" si="282"/>
        <v>0</v>
      </c>
      <c r="AY233" s="231"/>
      <c r="AZ233" s="770" cm="1">
        <f t="array" aca="1" ref="AZ233" ca="1">INDIRECT("'Definition of Typical Day'!"&amp; ADDRESS($D233+29*(AZ$16-1),$E233))+$AZ$17</f>
        <v>11</v>
      </c>
      <c r="BA233" s="771" cm="1">
        <f t="array" aca="1" ref="BA233" ca="1">INDIRECT("'Definition of Typical Day'!"&amp; ADDRESS($D233+29*(BA$16-1),$E233))+$BA$17</f>
        <v>11</v>
      </c>
      <c r="BB233" s="772" cm="1">
        <f t="array" aca="1" ref="BB233" ca="1">INDIRECT("'Definition of Typical Day'!"&amp;ADDRESS(BB$16,$E233))</f>
        <v>0</v>
      </c>
      <c r="BC233" s="776" cm="1">
        <f t="array" aca="1" ref="BC233" ca="1">INDIRECT("'Definition of Typical Day'!"&amp; ADDRESS($D233+29*(BC$16-1),$E233))</f>
        <v>0</v>
      </c>
      <c r="BD233" s="777" cm="1">
        <f t="array" aca="1" ref="BD233" ca="1">INDIRECT("'Definition of Typical Day'!"&amp; ADDRESS($D233+29*(BD$16-1),$E233))</f>
        <v>0</v>
      </c>
      <c r="BE233" s="776">
        <f t="shared" si="283"/>
        <v>0</v>
      </c>
      <c r="BF233" s="771">
        <f t="shared" ca="1" si="284"/>
        <v>0</v>
      </c>
      <c r="BG233" s="771">
        <f t="shared" ca="1" si="285"/>
        <v>0</v>
      </c>
      <c r="BH233" s="771">
        <f t="shared" ca="1" si="286"/>
        <v>0</v>
      </c>
      <c r="BI233" s="776">
        <f t="shared" ca="1" si="287"/>
        <v>0</v>
      </c>
      <c r="BJ233" s="776">
        <f t="shared" ca="1" si="288"/>
        <v>0</v>
      </c>
      <c r="BK233" s="776">
        <f t="shared" ca="1" si="289"/>
        <v>0</v>
      </c>
      <c r="BL233" s="776">
        <f t="shared" ca="1" si="290"/>
        <v>0</v>
      </c>
      <c r="BM233" s="135"/>
      <c r="BN233" s="776">
        <f t="shared" ca="1" si="291"/>
        <v>0</v>
      </c>
      <c r="BO233" s="778">
        <f t="shared" ca="1" si="228"/>
        <v>0</v>
      </c>
      <c r="BP233" s="770">
        <f t="shared" ca="1" si="229"/>
        <v>0</v>
      </c>
      <c r="BQ233" s="771">
        <f t="shared" ca="1" si="230"/>
        <v>0</v>
      </c>
      <c r="BR233" s="771">
        <f t="shared" ca="1" si="231"/>
        <v>0</v>
      </c>
      <c r="BS233" s="776">
        <f t="shared" ca="1" si="292"/>
        <v>0</v>
      </c>
      <c r="BT233" s="776">
        <f t="shared" ca="1" si="232"/>
        <v>0</v>
      </c>
      <c r="BU233" s="783">
        <f t="shared" ca="1" si="233"/>
        <v>0</v>
      </c>
      <c r="BV233" s="783">
        <f t="shared" ca="1" si="234"/>
        <v>0</v>
      </c>
      <c r="BW233" s="1019">
        <f t="shared" ca="1" si="293"/>
        <v>0</v>
      </c>
      <c r="BX233" s="771" cm="1">
        <f t="array" aca="1" ref="BX233" ca="1">INDIRECT("'Definition of Typical Day'!"&amp; ADDRESS($D233+29*(BX$16-1),$E233))</f>
        <v>0</v>
      </c>
      <c r="BY233" s="771">
        <f t="shared" ca="1" si="294"/>
        <v>0</v>
      </c>
      <c r="BZ233" s="781">
        <f t="shared" ca="1" si="235"/>
        <v>0</v>
      </c>
      <c r="CA233" s="781">
        <f t="shared" ca="1" si="236"/>
        <v>0</v>
      </c>
      <c r="CB233" s="776">
        <f t="shared" ca="1" si="237"/>
        <v>0</v>
      </c>
      <c r="CC233" s="782">
        <f t="shared" si="238"/>
        <v>9</v>
      </c>
      <c r="CD233" s="782">
        <f t="shared" si="239"/>
        <v>21</v>
      </c>
      <c r="CE233" s="784" cm="1">
        <f t="array" aca="1" ref="CE233" ca="1">INDIRECT("'Definition of Typical Day'!"&amp;ADDRESS(CE$16,$E233))</f>
        <v>9</v>
      </c>
      <c r="CF233" s="232"/>
      <c r="CG233" s="232"/>
      <c r="CH233" s="776">
        <f t="shared" ca="1" si="240"/>
        <v>0</v>
      </c>
      <c r="CI233" s="806">
        <f t="shared" ca="1" si="241"/>
        <v>0</v>
      </c>
      <c r="CJ233" s="770">
        <f t="shared" ca="1" si="242"/>
        <v>0</v>
      </c>
      <c r="CK233" s="771">
        <f t="shared" ca="1" si="243"/>
        <v>0</v>
      </c>
      <c r="CL233" s="771">
        <f t="shared" ca="1" si="244"/>
        <v>0</v>
      </c>
      <c r="CM233" s="772">
        <f t="shared" ca="1" si="245"/>
        <v>0</v>
      </c>
      <c r="CN233" s="135"/>
      <c r="CO233" s="770">
        <f t="shared" ca="1" si="295"/>
        <v>1.05</v>
      </c>
      <c r="CP233" s="771">
        <f t="shared" ca="1" si="246"/>
        <v>0.02</v>
      </c>
      <c r="CQ233" s="771">
        <f t="shared" ca="1" si="247"/>
        <v>-2.5000000000000001E-2</v>
      </c>
      <c r="CR233" s="771">
        <f t="shared" ca="1" si="248"/>
        <v>0.95</v>
      </c>
      <c r="CS233" s="771">
        <f t="shared" ca="1" si="249"/>
        <v>0.03</v>
      </c>
      <c r="CT233" s="772">
        <f t="shared" ca="1" si="250"/>
        <v>0.02</v>
      </c>
      <c r="CU233" s="135"/>
      <c r="CV233" s="135"/>
      <c r="CW233" s="135"/>
      <c r="CX233" s="135"/>
      <c r="CY233" s="135"/>
      <c r="CZ233" s="135"/>
      <c r="DA233" s="135"/>
      <c r="DB233" s="135"/>
      <c r="DC233" s="135"/>
      <c r="DD233" s="135"/>
      <c r="DE233" s="135"/>
      <c r="DF233" s="135"/>
      <c r="DG233" s="135"/>
      <c r="DH233" s="135"/>
      <c r="DI233" s="135"/>
      <c r="DJ233" s="135"/>
      <c r="DK233" s="135"/>
      <c r="DL233" s="135"/>
      <c r="DX233" s="135"/>
      <c r="DY233" s="135"/>
      <c r="DZ233" s="135"/>
      <c r="EA233" s="135"/>
      <c r="EB233" s="135"/>
      <c r="EC233" s="135"/>
      <c r="ED233" s="135"/>
      <c r="EE233" s="135"/>
      <c r="EF233" s="135"/>
      <c r="EG233" s="135"/>
      <c r="EH233" s="135"/>
      <c r="EI233" s="135"/>
      <c r="EJ233" s="135"/>
      <c r="EK233" s="135"/>
      <c r="EL233" s="135"/>
      <c r="EM233" s="135"/>
      <c r="EN233" s="135"/>
      <c r="EO233" s="135"/>
      <c r="EP233" s="135"/>
      <c r="EQ233" s="135"/>
      <c r="ER233" s="135"/>
      <c r="ES233" s="135"/>
      <c r="ET233" s="135"/>
      <c r="EU233" s="135"/>
      <c r="EV233" s="135"/>
      <c r="EW233" s="135"/>
      <c r="EX233" s="135"/>
      <c r="EY233" s="135"/>
      <c r="EZ233" s="135"/>
      <c r="FA233" s="135"/>
      <c r="FB233" s="135"/>
      <c r="FC233" s="135"/>
      <c r="FD233" s="135"/>
      <c r="FE233" s="135"/>
      <c r="FF233" s="135"/>
      <c r="FG233" s="135"/>
    </row>
    <row r="234" spans="1:163" s="57" customFormat="1" ht="11.25" outlineLevel="1">
      <c r="A234" s="765">
        <f t="shared" si="223"/>
        <v>9</v>
      </c>
      <c r="B234" s="715" cm="1">
        <f t="array" aca="1" ref="B234" ca="1">INDIRECT("'Definition of Typical Day'!"&amp;ADDRESS(B$16,$E234))</f>
        <v>9</v>
      </c>
      <c r="C234" s="766">
        <f t="shared" si="224"/>
        <v>22</v>
      </c>
      <c r="D234" s="715">
        <f t="shared" si="224"/>
        <v>56</v>
      </c>
      <c r="E234" s="715">
        <f t="shared" si="225"/>
        <v>13</v>
      </c>
      <c r="F234" s="767" cm="1">
        <f t="array" aca="1" ref="F234" ca="1">INDIRECT("'Definition of Typical Day'!D"&amp;D234)</f>
        <v>22</v>
      </c>
      <c r="G234" s="767" cm="1">
        <f t="array" aca="1" ref="G234" ca="1">INDIRECT("'Definition of Typical Day'!"&amp;ADDRESS(13,E234))</f>
        <v>9</v>
      </c>
      <c r="H234" s="768" cm="1">
        <f t="array" aca="1" ref="H234" ca="1">INDIRECT("'Definition of Typical Day'!"&amp; ADDRESS($D234+28*(H$16-1),$E234))</f>
        <v>0</v>
      </c>
      <c r="I234" s="715" cm="1">
        <f t="array" aca="1" ref="I234" ca="1">INDIRECT("'Definition of Typical Day'!"&amp; ADDRESS($D234+29*(I$16-1),$E234))</f>
        <v>0</v>
      </c>
      <c r="J234" s="715">
        <f t="shared" ca="1" si="251"/>
        <v>0</v>
      </c>
      <c r="K234" s="785">
        <f t="shared" si="252"/>
        <v>28</v>
      </c>
      <c r="L234" s="786" cm="1">
        <f t="array" aca="1" ref="L234" ca="1">INDIRECT("'Definition of Typical Day'!"&amp; ADDRESS($D234+29*(L$16-1),$E234))</f>
        <v>0</v>
      </c>
      <c r="M234" s="768" cm="1">
        <f t="array" aca="1" ref="M234" ca="1">INDIRECT("'Definition of Typical Day'!"&amp; ADDRESS($D234+29*(M$16-1),$E234))</f>
        <v>0</v>
      </c>
      <c r="N234" s="715">
        <f t="shared" si="253"/>
        <v>3</v>
      </c>
      <c r="O234" s="715">
        <f t="shared" ca="1" si="254"/>
        <v>3</v>
      </c>
      <c r="P234" s="715" cm="1">
        <f t="array" aca="1" ref="P234" ca="1">INDIRECT("'Definition of Typical Day'!"&amp; ADDRESS($D234+29*(P$16-1),$E234))</f>
        <v>0</v>
      </c>
      <c r="Q234" s="787">
        <f t="shared" ca="1" si="255"/>
        <v>3</v>
      </c>
      <c r="R234" s="792">
        <f t="shared" ca="1" si="256"/>
        <v>3</v>
      </c>
      <c r="S234" s="769">
        <f t="shared" si="257"/>
        <v>3</v>
      </c>
      <c r="T234" s="769">
        <f t="shared" ca="1" si="258"/>
        <v>-0.5</v>
      </c>
      <c r="U234" s="769">
        <f t="shared" ca="1" si="259"/>
        <v>2.262</v>
      </c>
      <c r="V234" s="769">
        <f t="shared" ca="1" si="260"/>
        <v>0</v>
      </c>
      <c r="W234" s="769">
        <f t="shared" ca="1" si="261"/>
        <v>4.7620000000000005</v>
      </c>
      <c r="X234" s="794">
        <f t="shared" si="262"/>
        <v>3</v>
      </c>
      <c r="Y234" s="769">
        <f t="shared" ca="1" si="263"/>
        <v>0.54772255750516607</v>
      </c>
      <c r="Z234" s="769">
        <f t="shared" ca="1" si="264"/>
        <v>0</v>
      </c>
      <c r="AA234" s="795">
        <f t="shared" ca="1" si="265"/>
        <v>0</v>
      </c>
      <c r="AB234" s="769">
        <f t="shared" ca="1" si="266"/>
        <v>0</v>
      </c>
      <c r="AC234" s="769">
        <f t="shared" ca="1" si="267"/>
        <v>0</v>
      </c>
      <c r="AD234" s="769">
        <f t="shared" ca="1" si="268"/>
        <v>0</v>
      </c>
      <c r="AE234" s="794">
        <f t="shared" ca="1" si="269"/>
        <v>0</v>
      </c>
      <c r="AF234" s="769">
        <f t="shared" ca="1" si="270"/>
        <v>0</v>
      </c>
      <c r="AG234" s="769">
        <f t="shared" ca="1" si="271"/>
        <v>0</v>
      </c>
      <c r="AH234" s="799">
        <f t="shared" ca="1" si="272"/>
        <v>0</v>
      </c>
      <c r="AI234" s="801">
        <f t="shared" ca="1" si="273"/>
        <v>1</v>
      </c>
      <c r="AJ234" s="794">
        <f t="shared" ca="1" si="274"/>
        <v>0</v>
      </c>
      <c r="AK234" s="769">
        <f t="shared" ca="1" si="275"/>
        <v>0</v>
      </c>
      <c r="AL234" s="769">
        <f t="shared" ca="1" si="276"/>
        <v>0</v>
      </c>
      <c r="AM234" s="804">
        <f t="shared" ca="1" si="226"/>
        <v>0</v>
      </c>
      <c r="AN234" s="795">
        <f t="shared" ca="1" si="227"/>
        <v>0</v>
      </c>
      <c r="AO234" s="251"/>
      <c r="AP234" s="770">
        <f t="shared" si="277"/>
        <v>0</v>
      </c>
      <c r="AQ234" s="771">
        <f t="shared" ca="1" si="278"/>
        <v>0</v>
      </c>
      <c r="AR234" s="771">
        <f t="shared" ca="1" si="279"/>
        <v>0</v>
      </c>
      <c r="AS234" s="772">
        <f t="shared" ca="1" si="280"/>
        <v>0</v>
      </c>
      <c r="AT234" s="231"/>
      <c r="AU234" s="770">
        <f>'Main Results - IRR DC Operator'!$F$16</f>
        <v>2</v>
      </c>
      <c r="AV234" s="773">
        <f>'Main Results - IRR DC Operator'!$F$15</f>
        <v>1</v>
      </c>
      <c r="AW234" s="771">
        <f t="shared" ca="1" si="281"/>
        <v>0</v>
      </c>
      <c r="AX234" s="772">
        <f t="shared" si="282"/>
        <v>0</v>
      </c>
      <c r="AY234" s="231"/>
      <c r="AZ234" s="770" cm="1">
        <f t="array" aca="1" ref="AZ234" ca="1">INDIRECT("'Definition of Typical Day'!"&amp; ADDRESS($D234+29*(AZ$16-1),$E234))+$AZ$17</f>
        <v>11</v>
      </c>
      <c r="BA234" s="771" cm="1">
        <f t="array" aca="1" ref="BA234" ca="1">INDIRECT("'Definition of Typical Day'!"&amp; ADDRESS($D234+29*(BA$16-1),$E234))+$BA$17</f>
        <v>11</v>
      </c>
      <c r="BB234" s="772" cm="1">
        <f t="array" aca="1" ref="BB234" ca="1">INDIRECT("'Definition of Typical Day'!"&amp;ADDRESS(BB$16,$E234))</f>
        <v>0</v>
      </c>
      <c r="BC234" s="776" cm="1">
        <f t="array" aca="1" ref="BC234" ca="1">INDIRECT("'Definition of Typical Day'!"&amp; ADDRESS($D234+29*(BC$16-1),$E234))</f>
        <v>0</v>
      </c>
      <c r="BD234" s="777" cm="1">
        <f t="array" aca="1" ref="BD234" ca="1">INDIRECT("'Definition of Typical Day'!"&amp; ADDRESS($D234+29*(BD$16-1),$E234))</f>
        <v>0</v>
      </c>
      <c r="BE234" s="776">
        <f t="shared" si="283"/>
        <v>0</v>
      </c>
      <c r="BF234" s="771">
        <f t="shared" ca="1" si="284"/>
        <v>0</v>
      </c>
      <c r="BG234" s="771">
        <f t="shared" ca="1" si="285"/>
        <v>0</v>
      </c>
      <c r="BH234" s="771">
        <f t="shared" ca="1" si="286"/>
        <v>0</v>
      </c>
      <c r="BI234" s="776">
        <f t="shared" ca="1" si="287"/>
        <v>0</v>
      </c>
      <c r="BJ234" s="776">
        <f t="shared" ca="1" si="288"/>
        <v>0</v>
      </c>
      <c r="BK234" s="776">
        <f t="shared" ca="1" si="289"/>
        <v>0</v>
      </c>
      <c r="BL234" s="776">
        <f t="shared" ca="1" si="290"/>
        <v>0</v>
      </c>
      <c r="BM234" s="135"/>
      <c r="BN234" s="776">
        <f t="shared" ca="1" si="291"/>
        <v>0</v>
      </c>
      <c r="BO234" s="778">
        <f t="shared" ca="1" si="228"/>
        <v>0</v>
      </c>
      <c r="BP234" s="770">
        <f t="shared" ca="1" si="229"/>
        <v>0</v>
      </c>
      <c r="BQ234" s="771">
        <f t="shared" ca="1" si="230"/>
        <v>0</v>
      </c>
      <c r="BR234" s="771">
        <f t="shared" ca="1" si="231"/>
        <v>0</v>
      </c>
      <c r="BS234" s="776">
        <f t="shared" ca="1" si="292"/>
        <v>0</v>
      </c>
      <c r="BT234" s="776">
        <f t="shared" ca="1" si="232"/>
        <v>0</v>
      </c>
      <c r="BU234" s="783">
        <f t="shared" ca="1" si="233"/>
        <v>0</v>
      </c>
      <c r="BV234" s="783">
        <f t="shared" ca="1" si="234"/>
        <v>0</v>
      </c>
      <c r="BW234" s="1019">
        <f t="shared" ca="1" si="293"/>
        <v>0</v>
      </c>
      <c r="BX234" s="771" cm="1">
        <f t="array" aca="1" ref="BX234" ca="1">INDIRECT("'Definition of Typical Day'!"&amp; ADDRESS($D234+29*(BX$16-1),$E234))</f>
        <v>0</v>
      </c>
      <c r="BY234" s="771">
        <f t="shared" ca="1" si="294"/>
        <v>0</v>
      </c>
      <c r="BZ234" s="781">
        <f t="shared" ca="1" si="235"/>
        <v>0</v>
      </c>
      <c r="CA234" s="781">
        <f t="shared" ca="1" si="236"/>
        <v>0</v>
      </c>
      <c r="CB234" s="776">
        <f t="shared" ca="1" si="237"/>
        <v>0</v>
      </c>
      <c r="CC234" s="782">
        <f t="shared" si="238"/>
        <v>9</v>
      </c>
      <c r="CD234" s="782">
        <f t="shared" si="239"/>
        <v>22</v>
      </c>
      <c r="CE234" s="784" cm="1">
        <f t="array" aca="1" ref="CE234" ca="1">INDIRECT("'Definition of Typical Day'!"&amp;ADDRESS(CE$16,$E234))</f>
        <v>9</v>
      </c>
      <c r="CF234" s="232"/>
      <c r="CG234" s="232"/>
      <c r="CH234" s="776">
        <f t="shared" ca="1" si="240"/>
        <v>0</v>
      </c>
      <c r="CI234" s="806">
        <f t="shared" ca="1" si="241"/>
        <v>0</v>
      </c>
      <c r="CJ234" s="770">
        <f t="shared" ca="1" si="242"/>
        <v>0</v>
      </c>
      <c r="CK234" s="771">
        <f t="shared" ca="1" si="243"/>
        <v>0</v>
      </c>
      <c r="CL234" s="771">
        <f t="shared" ca="1" si="244"/>
        <v>0</v>
      </c>
      <c r="CM234" s="772">
        <f t="shared" ca="1" si="245"/>
        <v>0</v>
      </c>
      <c r="CN234" s="135"/>
      <c r="CO234" s="770">
        <f t="shared" ca="1" si="295"/>
        <v>1.05</v>
      </c>
      <c r="CP234" s="771">
        <f t="shared" ca="1" si="246"/>
        <v>0.02</v>
      </c>
      <c r="CQ234" s="771">
        <f t="shared" ca="1" si="247"/>
        <v>-2.5000000000000001E-2</v>
      </c>
      <c r="CR234" s="771">
        <f t="shared" ca="1" si="248"/>
        <v>0.95</v>
      </c>
      <c r="CS234" s="771">
        <f t="shared" ca="1" si="249"/>
        <v>0.03</v>
      </c>
      <c r="CT234" s="772">
        <f t="shared" ca="1" si="250"/>
        <v>0.02</v>
      </c>
      <c r="CU234" s="135"/>
      <c r="CV234" s="135"/>
      <c r="CW234" s="135"/>
      <c r="CX234" s="135"/>
      <c r="CY234" s="135"/>
      <c r="CZ234" s="135"/>
      <c r="DA234" s="135"/>
      <c r="DB234" s="135"/>
      <c r="DC234" s="135"/>
      <c r="DD234" s="135"/>
      <c r="DE234" s="135"/>
      <c r="DF234" s="135"/>
      <c r="DG234" s="135"/>
      <c r="DH234" s="135"/>
      <c r="DI234" s="135"/>
      <c r="DJ234" s="135"/>
      <c r="DK234" s="135"/>
      <c r="DL234" s="135"/>
      <c r="DX234" s="135"/>
      <c r="DY234" s="135"/>
      <c r="DZ234" s="135"/>
      <c r="EA234" s="135"/>
      <c r="EB234" s="135"/>
      <c r="EC234" s="135"/>
      <c r="ED234" s="135"/>
      <c r="EE234" s="135"/>
      <c r="EF234" s="135"/>
      <c r="EG234" s="135"/>
      <c r="EH234" s="135"/>
      <c r="EI234" s="135"/>
      <c r="EJ234" s="135"/>
      <c r="EK234" s="135"/>
      <c r="EL234" s="135"/>
      <c r="EM234" s="135"/>
      <c r="EN234" s="135"/>
      <c r="EO234" s="135"/>
      <c r="EP234" s="135"/>
      <c r="EQ234" s="135"/>
      <c r="ER234" s="135"/>
      <c r="ES234" s="135"/>
      <c r="ET234" s="135"/>
      <c r="EU234" s="135"/>
      <c r="EV234" s="135"/>
      <c r="EW234" s="135"/>
      <c r="EX234" s="135"/>
      <c r="EY234" s="135"/>
      <c r="EZ234" s="135"/>
      <c r="FA234" s="135"/>
      <c r="FB234" s="135"/>
      <c r="FC234" s="135"/>
      <c r="FD234" s="135"/>
      <c r="FE234" s="135"/>
      <c r="FF234" s="135"/>
      <c r="FG234" s="135"/>
    </row>
    <row r="235" spans="1:163" s="57" customFormat="1" ht="11.25" outlineLevel="1">
      <c r="A235" s="765">
        <f t="shared" si="223"/>
        <v>9</v>
      </c>
      <c r="B235" s="715" cm="1">
        <f t="array" aca="1" ref="B235" ca="1">INDIRECT("'Definition of Typical Day'!"&amp;ADDRESS(B$16,$E235))</f>
        <v>9</v>
      </c>
      <c r="C235" s="766">
        <f t="shared" si="224"/>
        <v>23</v>
      </c>
      <c r="D235" s="715">
        <f t="shared" si="224"/>
        <v>57</v>
      </c>
      <c r="E235" s="715">
        <f t="shared" si="225"/>
        <v>13</v>
      </c>
      <c r="F235" s="767" cm="1">
        <f t="array" aca="1" ref="F235" ca="1">INDIRECT("'Definition of Typical Day'!D"&amp;D235)</f>
        <v>23</v>
      </c>
      <c r="G235" s="767" cm="1">
        <f t="array" aca="1" ref="G235" ca="1">INDIRECT("'Definition of Typical Day'!"&amp;ADDRESS(13,E235))</f>
        <v>9</v>
      </c>
      <c r="H235" s="768" cm="1">
        <f t="array" aca="1" ref="H235" ca="1">INDIRECT("'Definition of Typical Day'!"&amp; ADDRESS($D235+28*(H$16-1),$E235))</f>
        <v>0</v>
      </c>
      <c r="I235" s="715" cm="1">
        <f t="array" aca="1" ref="I235" ca="1">INDIRECT("'Definition of Typical Day'!"&amp; ADDRESS($D235+29*(I$16-1),$E235))</f>
        <v>0</v>
      </c>
      <c r="J235" s="715">
        <f t="shared" ca="1" si="251"/>
        <v>0</v>
      </c>
      <c r="K235" s="785">
        <f t="shared" si="252"/>
        <v>28</v>
      </c>
      <c r="L235" s="786" cm="1">
        <f t="array" aca="1" ref="L235" ca="1">INDIRECT("'Definition of Typical Day'!"&amp; ADDRESS($D235+29*(L$16-1),$E235))</f>
        <v>0</v>
      </c>
      <c r="M235" s="768" cm="1">
        <f t="array" aca="1" ref="M235" ca="1">INDIRECT("'Definition of Typical Day'!"&amp; ADDRESS($D235+29*(M$16-1),$E235))</f>
        <v>0</v>
      </c>
      <c r="N235" s="715">
        <f t="shared" si="253"/>
        <v>3</v>
      </c>
      <c r="O235" s="715">
        <f t="shared" ca="1" si="254"/>
        <v>3</v>
      </c>
      <c r="P235" s="715" cm="1">
        <f t="array" aca="1" ref="P235" ca="1">INDIRECT("'Definition of Typical Day'!"&amp; ADDRESS($D235+29*(P$16-1),$E235))</f>
        <v>0</v>
      </c>
      <c r="Q235" s="787">
        <f t="shared" ca="1" si="255"/>
        <v>3</v>
      </c>
      <c r="R235" s="792">
        <f t="shared" ca="1" si="256"/>
        <v>3</v>
      </c>
      <c r="S235" s="769">
        <f t="shared" si="257"/>
        <v>3</v>
      </c>
      <c r="T235" s="769">
        <f t="shared" ca="1" si="258"/>
        <v>-0.5</v>
      </c>
      <c r="U235" s="769">
        <f t="shared" ca="1" si="259"/>
        <v>2.262</v>
      </c>
      <c r="V235" s="769">
        <f t="shared" ca="1" si="260"/>
        <v>0</v>
      </c>
      <c r="W235" s="769">
        <f t="shared" ca="1" si="261"/>
        <v>4.7620000000000005</v>
      </c>
      <c r="X235" s="794">
        <f t="shared" si="262"/>
        <v>3</v>
      </c>
      <c r="Y235" s="769">
        <f t="shared" ca="1" si="263"/>
        <v>0.54772255750516607</v>
      </c>
      <c r="Z235" s="769">
        <f t="shared" ca="1" si="264"/>
        <v>0</v>
      </c>
      <c r="AA235" s="795">
        <f t="shared" ca="1" si="265"/>
        <v>0</v>
      </c>
      <c r="AB235" s="769">
        <f t="shared" ca="1" si="266"/>
        <v>0</v>
      </c>
      <c r="AC235" s="769">
        <f t="shared" ca="1" si="267"/>
        <v>0</v>
      </c>
      <c r="AD235" s="769">
        <f t="shared" ca="1" si="268"/>
        <v>0</v>
      </c>
      <c r="AE235" s="794">
        <f t="shared" ca="1" si="269"/>
        <v>0</v>
      </c>
      <c r="AF235" s="769">
        <f t="shared" ca="1" si="270"/>
        <v>0</v>
      </c>
      <c r="AG235" s="769">
        <f t="shared" ca="1" si="271"/>
        <v>0</v>
      </c>
      <c r="AH235" s="799">
        <f t="shared" ca="1" si="272"/>
        <v>0</v>
      </c>
      <c r="AI235" s="801">
        <f t="shared" ca="1" si="273"/>
        <v>1</v>
      </c>
      <c r="AJ235" s="794">
        <f t="shared" ca="1" si="274"/>
        <v>0</v>
      </c>
      <c r="AK235" s="769">
        <f t="shared" ca="1" si="275"/>
        <v>0</v>
      </c>
      <c r="AL235" s="769">
        <f t="shared" ca="1" si="276"/>
        <v>0</v>
      </c>
      <c r="AM235" s="804">
        <f t="shared" ca="1" si="226"/>
        <v>0</v>
      </c>
      <c r="AN235" s="795">
        <f t="shared" ca="1" si="227"/>
        <v>0</v>
      </c>
      <c r="AO235" s="251"/>
      <c r="AP235" s="770">
        <f t="shared" si="277"/>
        <v>0</v>
      </c>
      <c r="AQ235" s="771">
        <f t="shared" ca="1" si="278"/>
        <v>0</v>
      </c>
      <c r="AR235" s="771">
        <f t="shared" ca="1" si="279"/>
        <v>0</v>
      </c>
      <c r="AS235" s="772">
        <f t="shared" ca="1" si="280"/>
        <v>0</v>
      </c>
      <c r="AT235" s="231"/>
      <c r="AU235" s="770">
        <f>'Main Results - IRR DC Operator'!$F$16</f>
        <v>2</v>
      </c>
      <c r="AV235" s="773">
        <f>'Main Results - IRR DC Operator'!$F$15</f>
        <v>1</v>
      </c>
      <c r="AW235" s="771">
        <f t="shared" ca="1" si="281"/>
        <v>0</v>
      </c>
      <c r="AX235" s="772">
        <f t="shared" si="282"/>
        <v>0</v>
      </c>
      <c r="AY235" s="231"/>
      <c r="AZ235" s="770" cm="1">
        <f t="array" aca="1" ref="AZ235" ca="1">INDIRECT("'Definition of Typical Day'!"&amp; ADDRESS($D235+29*(AZ$16-1),$E235))+$AZ$17</f>
        <v>11</v>
      </c>
      <c r="BA235" s="771" cm="1">
        <f t="array" aca="1" ref="BA235" ca="1">INDIRECT("'Definition of Typical Day'!"&amp; ADDRESS($D235+29*(BA$16-1),$E235))+$BA$17</f>
        <v>11</v>
      </c>
      <c r="BB235" s="772" cm="1">
        <f t="array" aca="1" ref="BB235" ca="1">INDIRECT("'Definition of Typical Day'!"&amp;ADDRESS(BB$16,$E235))</f>
        <v>0</v>
      </c>
      <c r="BC235" s="776" cm="1">
        <f t="array" aca="1" ref="BC235" ca="1">INDIRECT("'Definition of Typical Day'!"&amp; ADDRESS($D235+29*(BC$16-1),$E235))</f>
        <v>0</v>
      </c>
      <c r="BD235" s="777" cm="1">
        <f t="array" aca="1" ref="BD235" ca="1">INDIRECT("'Definition of Typical Day'!"&amp; ADDRESS($D235+29*(BD$16-1),$E235))</f>
        <v>0</v>
      </c>
      <c r="BE235" s="776">
        <f t="shared" si="283"/>
        <v>0</v>
      </c>
      <c r="BF235" s="771">
        <f t="shared" ca="1" si="284"/>
        <v>0</v>
      </c>
      <c r="BG235" s="771">
        <f t="shared" ca="1" si="285"/>
        <v>0</v>
      </c>
      <c r="BH235" s="771">
        <f t="shared" ca="1" si="286"/>
        <v>0</v>
      </c>
      <c r="BI235" s="776">
        <f t="shared" ca="1" si="287"/>
        <v>0</v>
      </c>
      <c r="BJ235" s="776">
        <f t="shared" ca="1" si="288"/>
        <v>0</v>
      </c>
      <c r="BK235" s="776">
        <f t="shared" ca="1" si="289"/>
        <v>0</v>
      </c>
      <c r="BL235" s="776">
        <f t="shared" ca="1" si="290"/>
        <v>0</v>
      </c>
      <c r="BM235" s="135"/>
      <c r="BN235" s="776">
        <f t="shared" ca="1" si="291"/>
        <v>0</v>
      </c>
      <c r="BO235" s="778">
        <f t="shared" ca="1" si="228"/>
        <v>0</v>
      </c>
      <c r="BP235" s="770">
        <f t="shared" ca="1" si="229"/>
        <v>0</v>
      </c>
      <c r="BQ235" s="771">
        <f t="shared" ca="1" si="230"/>
        <v>0</v>
      </c>
      <c r="BR235" s="771">
        <f t="shared" ca="1" si="231"/>
        <v>0</v>
      </c>
      <c r="BS235" s="776">
        <f t="shared" ca="1" si="292"/>
        <v>0</v>
      </c>
      <c r="BT235" s="776">
        <f t="shared" ca="1" si="232"/>
        <v>0</v>
      </c>
      <c r="BU235" s="783">
        <f t="shared" ca="1" si="233"/>
        <v>0</v>
      </c>
      <c r="BV235" s="783">
        <f t="shared" ca="1" si="234"/>
        <v>0</v>
      </c>
      <c r="BW235" s="1019">
        <f t="shared" ca="1" si="293"/>
        <v>0</v>
      </c>
      <c r="BX235" s="771" cm="1">
        <f t="array" aca="1" ref="BX235" ca="1">INDIRECT("'Definition of Typical Day'!"&amp; ADDRESS($D235+29*(BX$16-1),$E235))</f>
        <v>0</v>
      </c>
      <c r="BY235" s="771">
        <f t="shared" ca="1" si="294"/>
        <v>0</v>
      </c>
      <c r="BZ235" s="781">
        <f t="shared" ca="1" si="235"/>
        <v>0</v>
      </c>
      <c r="CA235" s="781">
        <f t="shared" ca="1" si="236"/>
        <v>0</v>
      </c>
      <c r="CB235" s="776">
        <f t="shared" ca="1" si="237"/>
        <v>0</v>
      </c>
      <c r="CC235" s="782">
        <f t="shared" si="238"/>
        <v>9</v>
      </c>
      <c r="CD235" s="782">
        <f t="shared" si="239"/>
        <v>23</v>
      </c>
      <c r="CE235" s="784" cm="1">
        <f t="array" aca="1" ref="CE235" ca="1">INDIRECT("'Definition of Typical Day'!"&amp;ADDRESS(CE$16,$E235))</f>
        <v>9</v>
      </c>
      <c r="CF235" s="232"/>
      <c r="CG235" s="232"/>
      <c r="CH235" s="776">
        <f t="shared" ca="1" si="240"/>
        <v>0</v>
      </c>
      <c r="CI235" s="806">
        <f t="shared" ca="1" si="241"/>
        <v>0</v>
      </c>
      <c r="CJ235" s="770">
        <f t="shared" ca="1" si="242"/>
        <v>0</v>
      </c>
      <c r="CK235" s="771">
        <f t="shared" ca="1" si="243"/>
        <v>0</v>
      </c>
      <c r="CL235" s="771">
        <f t="shared" ca="1" si="244"/>
        <v>0</v>
      </c>
      <c r="CM235" s="772">
        <f t="shared" ca="1" si="245"/>
        <v>0</v>
      </c>
      <c r="CN235" s="135"/>
      <c r="CO235" s="770">
        <f t="shared" ca="1" si="295"/>
        <v>1.05</v>
      </c>
      <c r="CP235" s="771">
        <f t="shared" ca="1" si="246"/>
        <v>0.02</v>
      </c>
      <c r="CQ235" s="771">
        <f t="shared" ca="1" si="247"/>
        <v>-2.5000000000000001E-2</v>
      </c>
      <c r="CR235" s="771">
        <f t="shared" ca="1" si="248"/>
        <v>0.95</v>
      </c>
      <c r="CS235" s="771">
        <f t="shared" ca="1" si="249"/>
        <v>0.03</v>
      </c>
      <c r="CT235" s="772">
        <f t="shared" ca="1" si="250"/>
        <v>0.02</v>
      </c>
      <c r="CU235" s="135"/>
      <c r="CV235" s="135"/>
      <c r="CW235" s="135"/>
      <c r="CX235" s="135"/>
      <c r="CY235" s="135"/>
      <c r="CZ235" s="135"/>
      <c r="DA235" s="135"/>
      <c r="DB235" s="135"/>
      <c r="DC235" s="135"/>
      <c r="DD235" s="135"/>
      <c r="DE235" s="135"/>
      <c r="DF235" s="135"/>
      <c r="DG235" s="135"/>
      <c r="DH235" s="135"/>
      <c r="DI235" s="135"/>
      <c r="DJ235" s="135"/>
      <c r="DK235" s="135"/>
      <c r="DL235" s="135"/>
      <c r="DX235" s="135"/>
      <c r="DY235" s="135"/>
      <c r="DZ235" s="135"/>
      <c r="EA235" s="135"/>
      <c r="EB235" s="135"/>
      <c r="EC235" s="135"/>
      <c r="ED235" s="135"/>
      <c r="EE235" s="135"/>
      <c r="EF235" s="135"/>
      <c r="EG235" s="135"/>
      <c r="EH235" s="135"/>
      <c r="EI235" s="135"/>
      <c r="EJ235" s="135"/>
      <c r="EK235" s="135"/>
      <c r="EL235" s="135"/>
      <c r="EM235" s="135"/>
      <c r="EN235" s="135"/>
      <c r="EO235" s="135"/>
      <c r="EP235" s="135"/>
      <c r="EQ235" s="135"/>
      <c r="ER235" s="135"/>
      <c r="ES235" s="135"/>
      <c r="ET235" s="135"/>
      <c r="EU235" s="135"/>
      <c r="EV235" s="135"/>
      <c r="EW235" s="135"/>
      <c r="EX235" s="135"/>
      <c r="EY235" s="135"/>
      <c r="EZ235" s="135"/>
      <c r="FA235" s="135"/>
      <c r="FB235" s="135"/>
      <c r="FC235" s="135"/>
      <c r="FD235" s="135"/>
      <c r="FE235" s="135"/>
      <c r="FF235" s="135"/>
      <c r="FG235" s="135"/>
    </row>
    <row r="236" spans="1:163" s="57" customFormat="1" ht="11.25" outlineLevel="1">
      <c r="A236" s="765">
        <f t="shared" si="223"/>
        <v>9</v>
      </c>
      <c r="B236" s="715" cm="1">
        <f t="array" aca="1" ref="B236" ca="1">INDIRECT("'Definition of Typical Day'!"&amp;ADDRESS(B$16,$E236))</f>
        <v>9</v>
      </c>
      <c r="C236" s="766">
        <f t="shared" si="224"/>
        <v>24</v>
      </c>
      <c r="D236" s="715">
        <f t="shared" si="224"/>
        <v>58</v>
      </c>
      <c r="E236" s="715">
        <f t="shared" si="225"/>
        <v>13</v>
      </c>
      <c r="F236" s="767" cm="1">
        <f t="array" aca="1" ref="F236" ca="1">INDIRECT("'Definition of Typical Day'!D"&amp;D236)</f>
        <v>24</v>
      </c>
      <c r="G236" s="767" cm="1">
        <f t="array" aca="1" ref="G236" ca="1">INDIRECT("'Definition of Typical Day'!"&amp;ADDRESS(13,E236))</f>
        <v>9</v>
      </c>
      <c r="H236" s="768" cm="1">
        <f t="array" aca="1" ref="H236" ca="1">INDIRECT("'Definition of Typical Day'!"&amp; ADDRESS($D236+28*(H$16-1),$E236))</f>
        <v>0</v>
      </c>
      <c r="I236" s="715" cm="1">
        <f t="array" aca="1" ref="I236" ca="1">INDIRECT("'Definition of Typical Day'!"&amp; ADDRESS($D236+29*(I$16-1),$E236))</f>
        <v>0</v>
      </c>
      <c r="J236" s="715">
        <f t="shared" ca="1" si="251"/>
        <v>0</v>
      </c>
      <c r="K236" s="785">
        <f t="shared" si="252"/>
        <v>28</v>
      </c>
      <c r="L236" s="786" cm="1">
        <f t="array" aca="1" ref="L236" ca="1">INDIRECT("'Definition of Typical Day'!"&amp; ADDRESS($D236+29*(L$16-1),$E236))</f>
        <v>0</v>
      </c>
      <c r="M236" s="768" cm="1">
        <f t="array" aca="1" ref="M236" ca="1">INDIRECT("'Definition of Typical Day'!"&amp; ADDRESS($D236+29*(M$16-1),$E236))</f>
        <v>0</v>
      </c>
      <c r="N236" s="715">
        <f t="shared" si="253"/>
        <v>3</v>
      </c>
      <c r="O236" s="715">
        <f t="shared" ca="1" si="254"/>
        <v>3</v>
      </c>
      <c r="P236" s="715" cm="1">
        <f t="array" aca="1" ref="P236" ca="1">INDIRECT("'Definition of Typical Day'!"&amp; ADDRESS($D236+29*(P$16-1),$E236))</f>
        <v>0</v>
      </c>
      <c r="Q236" s="787">
        <f t="shared" ca="1" si="255"/>
        <v>3</v>
      </c>
      <c r="R236" s="792">
        <f t="shared" ca="1" si="256"/>
        <v>3</v>
      </c>
      <c r="S236" s="769">
        <f t="shared" si="257"/>
        <v>3</v>
      </c>
      <c r="T236" s="769">
        <f t="shared" ca="1" si="258"/>
        <v>-0.5</v>
      </c>
      <c r="U236" s="769">
        <f t="shared" ca="1" si="259"/>
        <v>2.262</v>
      </c>
      <c r="V236" s="769">
        <f t="shared" ca="1" si="260"/>
        <v>0</v>
      </c>
      <c r="W236" s="769">
        <f t="shared" ca="1" si="261"/>
        <v>4.7620000000000005</v>
      </c>
      <c r="X236" s="794">
        <f t="shared" si="262"/>
        <v>3</v>
      </c>
      <c r="Y236" s="769">
        <f t="shared" ca="1" si="263"/>
        <v>0.54772255750516607</v>
      </c>
      <c r="Z236" s="769">
        <f t="shared" ca="1" si="264"/>
        <v>0</v>
      </c>
      <c r="AA236" s="795">
        <f t="shared" ca="1" si="265"/>
        <v>0</v>
      </c>
      <c r="AB236" s="769">
        <f t="shared" ca="1" si="266"/>
        <v>0</v>
      </c>
      <c r="AC236" s="769">
        <f t="shared" ca="1" si="267"/>
        <v>0</v>
      </c>
      <c r="AD236" s="769">
        <f t="shared" ca="1" si="268"/>
        <v>0</v>
      </c>
      <c r="AE236" s="794">
        <f t="shared" ca="1" si="269"/>
        <v>0</v>
      </c>
      <c r="AF236" s="769">
        <f t="shared" ca="1" si="270"/>
        <v>0</v>
      </c>
      <c r="AG236" s="769">
        <f t="shared" ca="1" si="271"/>
        <v>0</v>
      </c>
      <c r="AH236" s="799">
        <f t="shared" ca="1" si="272"/>
        <v>0</v>
      </c>
      <c r="AI236" s="801">
        <f t="shared" ca="1" si="273"/>
        <v>1</v>
      </c>
      <c r="AJ236" s="794">
        <f t="shared" ca="1" si="274"/>
        <v>0</v>
      </c>
      <c r="AK236" s="769">
        <f t="shared" ca="1" si="275"/>
        <v>0</v>
      </c>
      <c r="AL236" s="769">
        <f t="shared" ca="1" si="276"/>
        <v>0</v>
      </c>
      <c r="AM236" s="804">
        <f t="shared" ca="1" si="226"/>
        <v>0</v>
      </c>
      <c r="AN236" s="795">
        <f t="shared" ca="1" si="227"/>
        <v>0</v>
      </c>
      <c r="AO236" s="251"/>
      <c r="AP236" s="770">
        <f t="shared" si="277"/>
        <v>0</v>
      </c>
      <c r="AQ236" s="771">
        <f t="shared" ca="1" si="278"/>
        <v>0</v>
      </c>
      <c r="AR236" s="771">
        <f t="shared" ca="1" si="279"/>
        <v>0</v>
      </c>
      <c r="AS236" s="772">
        <f t="shared" ca="1" si="280"/>
        <v>0</v>
      </c>
      <c r="AT236" s="231"/>
      <c r="AU236" s="770">
        <f>'Main Results - IRR DC Operator'!$F$16</f>
        <v>2</v>
      </c>
      <c r="AV236" s="773">
        <f>'Main Results - IRR DC Operator'!$F$15</f>
        <v>1</v>
      </c>
      <c r="AW236" s="771">
        <f t="shared" ca="1" si="281"/>
        <v>0</v>
      </c>
      <c r="AX236" s="772">
        <f t="shared" si="282"/>
        <v>0</v>
      </c>
      <c r="AY236" s="231"/>
      <c r="AZ236" s="770" cm="1">
        <f t="array" aca="1" ref="AZ236" ca="1">INDIRECT("'Definition of Typical Day'!"&amp; ADDRESS($D236+29*(AZ$16-1),$E236))+$AZ$17</f>
        <v>11</v>
      </c>
      <c r="BA236" s="771" cm="1">
        <f t="array" aca="1" ref="BA236" ca="1">INDIRECT("'Definition of Typical Day'!"&amp; ADDRESS($D236+29*(BA$16-1),$E236))+$BA$17</f>
        <v>11</v>
      </c>
      <c r="BB236" s="772" cm="1">
        <f t="array" aca="1" ref="BB236" ca="1">INDIRECT("'Definition of Typical Day'!"&amp;ADDRESS(BB$16,$E236))</f>
        <v>0</v>
      </c>
      <c r="BC236" s="776" cm="1">
        <f t="array" aca="1" ref="BC236" ca="1">INDIRECT("'Definition of Typical Day'!"&amp; ADDRESS($D236+29*(BC$16-1),$E236))</f>
        <v>0</v>
      </c>
      <c r="BD236" s="777" cm="1">
        <f t="array" aca="1" ref="BD236" ca="1">INDIRECT("'Definition of Typical Day'!"&amp; ADDRESS($D236+29*(BD$16-1),$E236))</f>
        <v>0</v>
      </c>
      <c r="BE236" s="776">
        <f t="shared" si="283"/>
        <v>0</v>
      </c>
      <c r="BF236" s="771">
        <f t="shared" ca="1" si="284"/>
        <v>0</v>
      </c>
      <c r="BG236" s="771">
        <f t="shared" ca="1" si="285"/>
        <v>0</v>
      </c>
      <c r="BH236" s="771">
        <f t="shared" ca="1" si="286"/>
        <v>0</v>
      </c>
      <c r="BI236" s="776">
        <f t="shared" ca="1" si="287"/>
        <v>0</v>
      </c>
      <c r="BJ236" s="776">
        <f t="shared" ca="1" si="288"/>
        <v>0</v>
      </c>
      <c r="BK236" s="776">
        <f t="shared" ca="1" si="289"/>
        <v>0</v>
      </c>
      <c r="BL236" s="776">
        <f t="shared" ca="1" si="290"/>
        <v>0</v>
      </c>
      <c r="BM236" s="135"/>
      <c r="BN236" s="776">
        <f t="shared" ca="1" si="291"/>
        <v>0</v>
      </c>
      <c r="BO236" s="778">
        <f t="shared" ca="1" si="228"/>
        <v>0</v>
      </c>
      <c r="BP236" s="770">
        <f t="shared" ca="1" si="229"/>
        <v>0</v>
      </c>
      <c r="BQ236" s="771">
        <f t="shared" ca="1" si="230"/>
        <v>0</v>
      </c>
      <c r="BR236" s="771">
        <f t="shared" ca="1" si="231"/>
        <v>0</v>
      </c>
      <c r="BS236" s="776">
        <f t="shared" ca="1" si="292"/>
        <v>0</v>
      </c>
      <c r="BT236" s="776">
        <f t="shared" ca="1" si="232"/>
        <v>0</v>
      </c>
      <c r="BU236" s="783">
        <f t="shared" ca="1" si="233"/>
        <v>0</v>
      </c>
      <c r="BV236" s="783">
        <f t="shared" ca="1" si="234"/>
        <v>0</v>
      </c>
      <c r="BW236" s="1019">
        <f t="shared" ca="1" si="293"/>
        <v>0</v>
      </c>
      <c r="BX236" s="771" cm="1">
        <f t="array" aca="1" ref="BX236" ca="1">INDIRECT("'Definition of Typical Day'!"&amp; ADDRESS($D236+29*(BX$16-1),$E236))</f>
        <v>0</v>
      </c>
      <c r="BY236" s="771">
        <f t="shared" ca="1" si="294"/>
        <v>0</v>
      </c>
      <c r="BZ236" s="781">
        <f t="shared" ca="1" si="235"/>
        <v>0</v>
      </c>
      <c r="CA236" s="781">
        <f t="shared" ca="1" si="236"/>
        <v>0</v>
      </c>
      <c r="CB236" s="776">
        <f t="shared" ca="1" si="237"/>
        <v>0</v>
      </c>
      <c r="CC236" s="782">
        <f t="shared" si="238"/>
        <v>9</v>
      </c>
      <c r="CD236" s="782">
        <f t="shared" si="239"/>
        <v>24</v>
      </c>
      <c r="CE236" s="784" cm="1">
        <f t="array" aca="1" ref="CE236" ca="1">INDIRECT("'Definition of Typical Day'!"&amp;ADDRESS(CE$16,$E236))</f>
        <v>9</v>
      </c>
      <c r="CF236" s="232"/>
      <c r="CG236" s="232"/>
      <c r="CH236" s="776">
        <f t="shared" ca="1" si="240"/>
        <v>0</v>
      </c>
      <c r="CI236" s="806">
        <f t="shared" ca="1" si="241"/>
        <v>0</v>
      </c>
      <c r="CJ236" s="770">
        <f t="shared" ca="1" si="242"/>
        <v>0</v>
      </c>
      <c r="CK236" s="771">
        <f t="shared" ca="1" si="243"/>
        <v>0</v>
      </c>
      <c r="CL236" s="771">
        <f t="shared" ca="1" si="244"/>
        <v>0</v>
      </c>
      <c r="CM236" s="772">
        <f t="shared" ca="1" si="245"/>
        <v>0</v>
      </c>
      <c r="CN236" s="135"/>
      <c r="CO236" s="770">
        <f t="shared" ca="1" si="295"/>
        <v>1.05</v>
      </c>
      <c r="CP236" s="771">
        <f t="shared" ca="1" si="246"/>
        <v>0.02</v>
      </c>
      <c r="CQ236" s="771">
        <f t="shared" ca="1" si="247"/>
        <v>-2.5000000000000001E-2</v>
      </c>
      <c r="CR236" s="771">
        <f t="shared" ca="1" si="248"/>
        <v>0.95</v>
      </c>
      <c r="CS236" s="771">
        <f t="shared" ca="1" si="249"/>
        <v>0.03</v>
      </c>
      <c r="CT236" s="772">
        <f t="shared" ca="1" si="250"/>
        <v>0.02</v>
      </c>
      <c r="CU236" s="135"/>
      <c r="CV236" s="135"/>
      <c r="CW236" s="135"/>
      <c r="CX236" s="135"/>
      <c r="CY236" s="135"/>
      <c r="CZ236" s="135"/>
      <c r="DA236" s="135"/>
      <c r="DB236" s="135"/>
      <c r="DC236" s="135"/>
      <c r="DD236" s="135"/>
      <c r="DE236" s="135"/>
      <c r="DF236" s="135"/>
      <c r="DG236" s="135"/>
      <c r="DH236" s="135"/>
      <c r="DI236" s="135"/>
      <c r="DJ236" s="135"/>
      <c r="DK236" s="135"/>
      <c r="DL236" s="135"/>
      <c r="DX236" s="135"/>
      <c r="DY236" s="135"/>
      <c r="DZ236" s="135"/>
      <c r="EA236" s="135"/>
      <c r="EB236" s="135"/>
      <c r="EC236" s="135"/>
      <c r="ED236" s="135"/>
      <c r="EE236" s="135"/>
      <c r="EF236" s="135"/>
      <c r="EG236" s="135"/>
      <c r="EH236" s="135"/>
      <c r="EI236" s="135"/>
      <c r="EJ236" s="135"/>
      <c r="EK236" s="135"/>
      <c r="EL236" s="135"/>
      <c r="EM236" s="135"/>
      <c r="EN236" s="135"/>
      <c r="EO236" s="135"/>
      <c r="EP236" s="135"/>
      <c r="EQ236" s="135"/>
      <c r="ER236" s="135"/>
      <c r="ES236" s="135"/>
      <c r="ET236" s="135"/>
      <c r="EU236" s="135"/>
      <c r="EV236" s="135"/>
      <c r="EW236" s="135"/>
      <c r="EX236" s="135"/>
      <c r="EY236" s="135"/>
      <c r="EZ236" s="135"/>
      <c r="FA236" s="135"/>
      <c r="FB236" s="135"/>
      <c r="FC236" s="135"/>
      <c r="FD236" s="135"/>
      <c r="FE236" s="135"/>
      <c r="FF236" s="135"/>
      <c r="FG236" s="135"/>
    </row>
    <row r="237" spans="1:163" s="57" customFormat="1" ht="11.25" outlineLevel="1">
      <c r="A237" s="765">
        <f t="shared" si="223"/>
        <v>10</v>
      </c>
      <c r="B237" s="715" cm="1">
        <f t="array" aca="1" ref="B237" ca="1">INDIRECT("'Definition of Typical Day'!"&amp;ADDRESS(B$16,$E237))</f>
        <v>10</v>
      </c>
      <c r="C237" s="766">
        <f t="shared" si="224"/>
        <v>1</v>
      </c>
      <c r="D237" s="715">
        <f t="shared" si="224"/>
        <v>35</v>
      </c>
      <c r="E237" s="715">
        <f t="shared" si="225"/>
        <v>14</v>
      </c>
      <c r="F237" s="767" cm="1">
        <f t="array" aca="1" ref="F237" ca="1">INDIRECT("'Definition of Typical Day'!D"&amp;D237)</f>
        <v>1</v>
      </c>
      <c r="G237" s="767" cm="1">
        <f t="array" aca="1" ref="G237" ca="1">INDIRECT("'Definition of Typical Day'!"&amp;ADDRESS(13,E237))</f>
        <v>10</v>
      </c>
      <c r="H237" s="768" cm="1">
        <f t="array" aca="1" ref="H237" ca="1">INDIRECT("'Definition of Typical Day'!"&amp; ADDRESS($D237+28*(H$16-1),$E237))</f>
        <v>0</v>
      </c>
      <c r="I237" s="715" cm="1">
        <f t="array" aca="1" ref="I237" ca="1">INDIRECT("'Definition of Typical Day'!"&amp; ADDRESS($D237+29*(I$16-1),$E237))</f>
        <v>0</v>
      </c>
      <c r="J237" s="715">
        <f t="shared" ca="1" si="251"/>
        <v>0</v>
      </c>
      <c r="K237" s="785">
        <f t="shared" si="252"/>
        <v>28</v>
      </c>
      <c r="L237" s="786" cm="1">
        <f t="array" aca="1" ref="L237" ca="1">INDIRECT("'Definition of Typical Day'!"&amp; ADDRESS($D237+29*(L$16-1),$E237))</f>
        <v>0</v>
      </c>
      <c r="M237" s="768" cm="1">
        <f t="array" aca="1" ref="M237" ca="1">INDIRECT("'Definition of Typical Day'!"&amp; ADDRESS($D237+29*(M$16-1),$E237))</f>
        <v>0</v>
      </c>
      <c r="N237" s="715">
        <f t="shared" si="253"/>
        <v>3</v>
      </c>
      <c r="O237" s="715">
        <f t="shared" ca="1" si="254"/>
        <v>3</v>
      </c>
      <c r="P237" s="715" cm="1">
        <f t="array" aca="1" ref="P237" ca="1">INDIRECT("'Definition of Typical Day'!"&amp; ADDRESS($D237+29*(P$16-1),$E237))</f>
        <v>0</v>
      </c>
      <c r="Q237" s="787">
        <f t="shared" ca="1" si="255"/>
        <v>3</v>
      </c>
      <c r="R237" s="792">
        <f t="shared" ca="1" si="256"/>
        <v>3</v>
      </c>
      <c r="S237" s="769">
        <f t="shared" si="257"/>
        <v>3</v>
      </c>
      <c r="T237" s="769">
        <f t="shared" ca="1" si="258"/>
        <v>-0.5</v>
      </c>
      <c r="U237" s="769">
        <f t="shared" ca="1" si="259"/>
        <v>2.262</v>
      </c>
      <c r="V237" s="769">
        <f t="shared" ca="1" si="260"/>
        <v>0</v>
      </c>
      <c r="W237" s="769">
        <f t="shared" ca="1" si="261"/>
        <v>4.7620000000000005</v>
      </c>
      <c r="X237" s="794">
        <f t="shared" si="262"/>
        <v>3</v>
      </c>
      <c r="Y237" s="769">
        <f t="shared" ca="1" si="263"/>
        <v>0.54772255750516607</v>
      </c>
      <c r="Z237" s="769">
        <f t="shared" ca="1" si="264"/>
        <v>0</v>
      </c>
      <c r="AA237" s="795">
        <f t="shared" ca="1" si="265"/>
        <v>0</v>
      </c>
      <c r="AB237" s="769">
        <f t="shared" ca="1" si="266"/>
        <v>0</v>
      </c>
      <c r="AC237" s="769">
        <f t="shared" ca="1" si="267"/>
        <v>0</v>
      </c>
      <c r="AD237" s="769">
        <f t="shared" ca="1" si="268"/>
        <v>0</v>
      </c>
      <c r="AE237" s="794">
        <f t="shared" ca="1" si="269"/>
        <v>0</v>
      </c>
      <c r="AF237" s="769">
        <f t="shared" ca="1" si="270"/>
        <v>0</v>
      </c>
      <c r="AG237" s="769">
        <f t="shared" ca="1" si="271"/>
        <v>0</v>
      </c>
      <c r="AH237" s="799">
        <f t="shared" ca="1" si="272"/>
        <v>0</v>
      </c>
      <c r="AI237" s="801">
        <f t="shared" ca="1" si="273"/>
        <v>1</v>
      </c>
      <c r="AJ237" s="794">
        <f t="shared" ca="1" si="274"/>
        <v>0</v>
      </c>
      <c r="AK237" s="769">
        <f t="shared" ca="1" si="275"/>
        <v>0</v>
      </c>
      <c r="AL237" s="769">
        <f t="shared" ca="1" si="276"/>
        <v>0</v>
      </c>
      <c r="AM237" s="804">
        <f t="shared" ca="1" si="226"/>
        <v>0</v>
      </c>
      <c r="AN237" s="795">
        <f t="shared" ca="1" si="227"/>
        <v>0</v>
      </c>
      <c r="AO237" s="251"/>
      <c r="AP237" s="770">
        <f t="shared" si="277"/>
        <v>0</v>
      </c>
      <c r="AQ237" s="771">
        <f t="shared" ca="1" si="278"/>
        <v>0</v>
      </c>
      <c r="AR237" s="771">
        <f t="shared" ca="1" si="279"/>
        <v>0</v>
      </c>
      <c r="AS237" s="772">
        <f t="shared" ca="1" si="280"/>
        <v>0</v>
      </c>
      <c r="AT237" s="231"/>
      <c r="AU237" s="770">
        <f>'Main Results - IRR DC Operator'!$F$16</f>
        <v>2</v>
      </c>
      <c r="AV237" s="773">
        <f>'Main Results - IRR DC Operator'!$F$15</f>
        <v>1</v>
      </c>
      <c r="AW237" s="771">
        <f t="shared" ca="1" si="281"/>
        <v>0</v>
      </c>
      <c r="AX237" s="772">
        <f t="shared" si="282"/>
        <v>0</v>
      </c>
      <c r="AY237" s="231"/>
      <c r="AZ237" s="770" cm="1">
        <f t="array" aca="1" ref="AZ237" ca="1">INDIRECT("'Definition of Typical Day'!"&amp; ADDRESS($D237+29*(AZ$16-1),$E237))+$AZ$17</f>
        <v>11</v>
      </c>
      <c r="BA237" s="771" cm="1">
        <f t="array" aca="1" ref="BA237" ca="1">INDIRECT("'Definition of Typical Day'!"&amp; ADDRESS($D237+29*(BA$16-1),$E237))+$BA$17</f>
        <v>11</v>
      </c>
      <c r="BB237" s="772" cm="1">
        <f t="array" aca="1" ref="BB237" ca="1">INDIRECT("'Definition of Typical Day'!"&amp;ADDRESS(BB$16,$E237))</f>
        <v>0</v>
      </c>
      <c r="BC237" s="776" cm="1">
        <f t="array" aca="1" ref="BC237" ca="1">INDIRECT("'Definition of Typical Day'!"&amp; ADDRESS($D237+29*(BC$16-1),$E237))</f>
        <v>0</v>
      </c>
      <c r="BD237" s="777" cm="1">
        <f t="array" aca="1" ref="BD237" ca="1">INDIRECT("'Definition of Typical Day'!"&amp; ADDRESS($D237+29*(BD$16-1),$E237))</f>
        <v>0</v>
      </c>
      <c r="BE237" s="776">
        <f t="shared" si="283"/>
        <v>0</v>
      </c>
      <c r="BF237" s="771">
        <f t="shared" ca="1" si="284"/>
        <v>0</v>
      </c>
      <c r="BG237" s="771">
        <f t="shared" ca="1" si="285"/>
        <v>0</v>
      </c>
      <c r="BH237" s="771">
        <f t="shared" ca="1" si="286"/>
        <v>0</v>
      </c>
      <c r="BI237" s="776">
        <f t="shared" ca="1" si="287"/>
        <v>0</v>
      </c>
      <c r="BJ237" s="776">
        <f t="shared" ca="1" si="288"/>
        <v>0</v>
      </c>
      <c r="BK237" s="776">
        <f t="shared" ca="1" si="289"/>
        <v>0</v>
      </c>
      <c r="BL237" s="776">
        <f t="shared" ca="1" si="290"/>
        <v>0</v>
      </c>
      <c r="BM237" s="135"/>
      <c r="BN237" s="776">
        <f t="shared" ca="1" si="291"/>
        <v>0</v>
      </c>
      <c r="BO237" s="778">
        <f t="shared" ca="1" si="228"/>
        <v>0</v>
      </c>
      <c r="BP237" s="770">
        <f t="shared" ca="1" si="229"/>
        <v>0</v>
      </c>
      <c r="BQ237" s="771">
        <f t="shared" ca="1" si="230"/>
        <v>0</v>
      </c>
      <c r="BR237" s="771">
        <f t="shared" ca="1" si="231"/>
        <v>0</v>
      </c>
      <c r="BS237" s="776">
        <f t="shared" ca="1" si="292"/>
        <v>0</v>
      </c>
      <c r="BT237" s="776">
        <f t="shared" ca="1" si="232"/>
        <v>0</v>
      </c>
      <c r="BU237" s="783">
        <f t="shared" ca="1" si="233"/>
        <v>0</v>
      </c>
      <c r="BV237" s="783">
        <f t="shared" ca="1" si="234"/>
        <v>0</v>
      </c>
      <c r="BW237" s="1019">
        <f t="shared" ca="1" si="293"/>
        <v>0</v>
      </c>
      <c r="BX237" s="771" cm="1">
        <f t="array" aca="1" ref="BX237" ca="1">INDIRECT("'Definition of Typical Day'!"&amp; ADDRESS($D237+29*(BX$16-1),$E237))</f>
        <v>0</v>
      </c>
      <c r="BY237" s="771">
        <f t="shared" ca="1" si="294"/>
        <v>0</v>
      </c>
      <c r="BZ237" s="781">
        <f t="shared" ca="1" si="235"/>
        <v>0</v>
      </c>
      <c r="CA237" s="781">
        <f t="shared" ca="1" si="236"/>
        <v>0</v>
      </c>
      <c r="CB237" s="776">
        <f t="shared" ca="1" si="237"/>
        <v>0</v>
      </c>
      <c r="CC237" s="782">
        <f t="shared" si="238"/>
        <v>10</v>
      </c>
      <c r="CD237" s="782">
        <f t="shared" si="239"/>
        <v>1</v>
      </c>
      <c r="CE237" s="784" cm="1">
        <f t="array" aca="1" ref="CE237" ca="1">INDIRECT("'Definition of Typical Day'!"&amp;ADDRESS(CE$16,$E237))</f>
        <v>10</v>
      </c>
      <c r="CF237" s="232"/>
      <c r="CG237" s="232"/>
      <c r="CH237" s="776">
        <f t="shared" ca="1" si="240"/>
        <v>0</v>
      </c>
      <c r="CI237" s="806">
        <f t="shared" ca="1" si="241"/>
        <v>0</v>
      </c>
      <c r="CJ237" s="770">
        <f t="shared" ca="1" si="242"/>
        <v>0</v>
      </c>
      <c r="CK237" s="771">
        <f t="shared" ca="1" si="243"/>
        <v>0</v>
      </c>
      <c r="CL237" s="771">
        <f t="shared" ca="1" si="244"/>
        <v>0</v>
      </c>
      <c r="CM237" s="772">
        <f t="shared" ca="1" si="245"/>
        <v>0</v>
      </c>
      <c r="CN237" s="135"/>
      <c r="CO237" s="770">
        <f t="shared" ca="1" si="295"/>
        <v>1.05</v>
      </c>
      <c r="CP237" s="771">
        <f t="shared" ca="1" si="246"/>
        <v>0.02</v>
      </c>
      <c r="CQ237" s="771">
        <f t="shared" ca="1" si="247"/>
        <v>-2.5000000000000001E-2</v>
      </c>
      <c r="CR237" s="771">
        <f t="shared" ca="1" si="248"/>
        <v>0.95</v>
      </c>
      <c r="CS237" s="771">
        <f t="shared" ca="1" si="249"/>
        <v>0.03</v>
      </c>
      <c r="CT237" s="772">
        <f t="shared" ca="1" si="250"/>
        <v>0.02</v>
      </c>
      <c r="CU237" s="135"/>
      <c r="CV237" s="135"/>
      <c r="CW237" s="135"/>
      <c r="CX237" s="135"/>
      <c r="CY237" s="135"/>
      <c r="CZ237" s="135"/>
      <c r="DA237" s="135"/>
      <c r="DB237" s="135"/>
      <c r="DC237" s="135"/>
      <c r="DD237" s="135"/>
      <c r="DE237" s="135"/>
      <c r="DF237" s="135"/>
      <c r="DG237" s="135"/>
      <c r="DH237" s="135"/>
      <c r="DI237" s="135"/>
      <c r="DJ237" s="135"/>
      <c r="DK237" s="135"/>
      <c r="DL237" s="135"/>
      <c r="DX237" s="135"/>
      <c r="DY237" s="135"/>
      <c r="DZ237" s="135"/>
      <c r="EA237" s="135"/>
      <c r="EB237" s="135"/>
      <c r="EC237" s="135"/>
      <c r="ED237" s="135"/>
      <c r="EE237" s="135"/>
      <c r="EF237" s="135"/>
      <c r="EG237" s="135"/>
      <c r="EH237" s="135"/>
      <c r="EI237" s="135"/>
      <c r="EJ237" s="135"/>
      <c r="EK237" s="135"/>
      <c r="EL237" s="135"/>
      <c r="EM237" s="135"/>
      <c r="EN237" s="135"/>
      <c r="EO237" s="135"/>
      <c r="EP237" s="135"/>
      <c r="EQ237" s="135"/>
      <c r="ER237" s="135"/>
      <c r="ES237" s="135"/>
      <c r="ET237" s="135"/>
      <c r="EU237" s="135"/>
      <c r="EV237" s="135"/>
      <c r="EW237" s="135"/>
      <c r="EX237" s="135"/>
      <c r="EY237" s="135"/>
      <c r="EZ237" s="135"/>
      <c r="FA237" s="135"/>
      <c r="FB237" s="135"/>
      <c r="FC237" s="135"/>
      <c r="FD237" s="135"/>
      <c r="FE237" s="135"/>
      <c r="FF237" s="135"/>
      <c r="FG237" s="135"/>
    </row>
    <row r="238" spans="1:163" s="57" customFormat="1" ht="11.25" outlineLevel="1">
      <c r="A238" s="765">
        <f t="shared" ref="A238:A301" si="296">A214+1</f>
        <v>10</v>
      </c>
      <c r="B238" s="715" cm="1">
        <f t="array" aca="1" ref="B238" ca="1">INDIRECT("'Definition of Typical Day'!"&amp;ADDRESS(B$16,$E238))</f>
        <v>10</v>
      </c>
      <c r="C238" s="766">
        <f t="shared" ref="C238:D301" si="297">C214</f>
        <v>2</v>
      </c>
      <c r="D238" s="715">
        <f t="shared" si="297"/>
        <v>36</v>
      </c>
      <c r="E238" s="715">
        <f t="shared" si="225"/>
        <v>14</v>
      </c>
      <c r="F238" s="767" cm="1">
        <f t="array" aca="1" ref="F238" ca="1">INDIRECT("'Definition of Typical Day'!D"&amp;D238)</f>
        <v>2</v>
      </c>
      <c r="G238" s="767" cm="1">
        <f t="array" aca="1" ref="G238" ca="1">INDIRECT("'Definition of Typical Day'!"&amp;ADDRESS(13,E238))</f>
        <v>10</v>
      </c>
      <c r="H238" s="768" cm="1">
        <f t="array" aca="1" ref="H238" ca="1">INDIRECT("'Definition of Typical Day'!"&amp; ADDRESS($D238+28*(H$16-1),$E238))</f>
        <v>0</v>
      </c>
      <c r="I238" s="715" cm="1">
        <f t="array" aca="1" ref="I238" ca="1">INDIRECT("'Definition of Typical Day'!"&amp; ADDRESS($D238+29*(I$16-1),$E238))</f>
        <v>0</v>
      </c>
      <c r="J238" s="715">
        <f t="shared" ca="1" si="251"/>
        <v>0</v>
      </c>
      <c r="K238" s="785">
        <f t="shared" si="252"/>
        <v>28</v>
      </c>
      <c r="L238" s="786" cm="1">
        <f t="array" aca="1" ref="L238" ca="1">INDIRECT("'Definition of Typical Day'!"&amp; ADDRESS($D238+29*(L$16-1),$E238))</f>
        <v>0</v>
      </c>
      <c r="M238" s="768" cm="1">
        <f t="array" aca="1" ref="M238" ca="1">INDIRECT("'Definition of Typical Day'!"&amp; ADDRESS($D238+29*(M$16-1),$E238))</f>
        <v>0</v>
      </c>
      <c r="N238" s="715">
        <f t="shared" si="253"/>
        <v>3</v>
      </c>
      <c r="O238" s="715">
        <f t="shared" ca="1" si="254"/>
        <v>3</v>
      </c>
      <c r="P238" s="715" cm="1">
        <f t="array" aca="1" ref="P238" ca="1">INDIRECT("'Definition of Typical Day'!"&amp; ADDRESS($D238+29*(P$16-1),$E238))</f>
        <v>0</v>
      </c>
      <c r="Q238" s="787">
        <f t="shared" ca="1" si="255"/>
        <v>3</v>
      </c>
      <c r="R238" s="792">
        <f t="shared" ca="1" si="256"/>
        <v>3</v>
      </c>
      <c r="S238" s="769">
        <f t="shared" si="257"/>
        <v>3</v>
      </c>
      <c r="T238" s="769">
        <f t="shared" ca="1" si="258"/>
        <v>-0.5</v>
      </c>
      <c r="U238" s="769">
        <f t="shared" ca="1" si="259"/>
        <v>2.262</v>
      </c>
      <c r="V238" s="769">
        <f t="shared" ca="1" si="260"/>
        <v>0</v>
      </c>
      <c r="W238" s="769">
        <f t="shared" ca="1" si="261"/>
        <v>4.7620000000000005</v>
      </c>
      <c r="X238" s="794">
        <f t="shared" si="262"/>
        <v>3</v>
      </c>
      <c r="Y238" s="769">
        <f t="shared" ca="1" si="263"/>
        <v>0.54772255750516607</v>
      </c>
      <c r="Z238" s="769">
        <f t="shared" ca="1" si="264"/>
        <v>0</v>
      </c>
      <c r="AA238" s="795">
        <f t="shared" ca="1" si="265"/>
        <v>0</v>
      </c>
      <c r="AB238" s="769">
        <f t="shared" ca="1" si="266"/>
        <v>0</v>
      </c>
      <c r="AC238" s="769">
        <f t="shared" ca="1" si="267"/>
        <v>0</v>
      </c>
      <c r="AD238" s="769">
        <f t="shared" ca="1" si="268"/>
        <v>0</v>
      </c>
      <c r="AE238" s="794">
        <f t="shared" ca="1" si="269"/>
        <v>0</v>
      </c>
      <c r="AF238" s="769">
        <f t="shared" ca="1" si="270"/>
        <v>0</v>
      </c>
      <c r="AG238" s="769">
        <f t="shared" ca="1" si="271"/>
        <v>0</v>
      </c>
      <c r="AH238" s="799">
        <f t="shared" ca="1" si="272"/>
        <v>0</v>
      </c>
      <c r="AI238" s="801">
        <f t="shared" ca="1" si="273"/>
        <v>1</v>
      </c>
      <c r="AJ238" s="794">
        <f t="shared" ca="1" si="274"/>
        <v>0</v>
      </c>
      <c r="AK238" s="769">
        <f t="shared" ca="1" si="275"/>
        <v>0</v>
      </c>
      <c r="AL238" s="769">
        <f t="shared" ca="1" si="276"/>
        <v>0</v>
      </c>
      <c r="AM238" s="804">
        <f t="shared" ca="1" si="226"/>
        <v>0</v>
      </c>
      <c r="AN238" s="795">
        <f t="shared" ca="1" si="227"/>
        <v>0</v>
      </c>
      <c r="AO238" s="251"/>
      <c r="AP238" s="770">
        <f t="shared" si="277"/>
        <v>0</v>
      </c>
      <c r="AQ238" s="771">
        <f t="shared" ca="1" si="278"/>
        <v>0</v>
      </c>
      <c r="AR238" s="771">
        <f t="shared" ca="1" si="279"/>
        <v>0</v>
      </c>
      <c r="AS238" s="772">
        <f t="shared" ca="1" si="280"/>
        <v>0</v>
      </c>
      <c r="AT238" s="231"/>
      <c r="AU238" s="770">
        <f>'Main Results - IRR DC Operator'!$F$16</f>
        <v>2</v>
      </c>
      <c r="AV238" s="773">
        <f>'Main Results - IRR DC Operator'!$F$15</f>
        <v>1</v>
      </c>
      <c r="AW238" s="771">
        <f t="shared" ca="1" si="281"/>
        <v>0</v>
      </c>
      <c r="AX238" s="772">
        <f t="shared" si="282"/>
        <v>0</v>
      </c>
      <c r="AY238" s="231"/>
      <c r="AZ238" s="770" cm="1">
        <f t="array" aca="1" ref="AZ238" ca="1">INDIRECT("'Definition of Typical Day'!"&amp; ADDRESS($D238+29*(AZ$16-1),$E238))+$AZ$17</f>
        <v>11</v>
      </c>
      <c r="BA238" s="771" cm="1">
        <f t="array" aca="1" ref="BA238" ca="1">INDIRECT("'Definition of Typical Day'!"&amp; ADDRESS($D238+29*(BA$16-1),$E238))+$BA$17</f>
        <v>11</v>
      </c>
      <c r="BB238" s="772" cm="1">
        <f t="array" aca="1" ref="BB238" ca="1">INDIRECT("'Definition of Typical Day'!"&amp;ADDRESS(BB$16,$E238))</f>
        <v>0</v>
      </c>
      <c r="BC238" s="776" cm="1">
        <f t="array" aca="1" ref="BC238" ca="1">INDIRECT("'Definition of Typical Day'!"&amp; ADDRESS($D238+29*(BC$16-1),$E238))</f>
        <v>0</v>
      </c>
      <c r="BD238" s="777" cm="1">
        <f t="array" aca="1" ref="BD238" ca="1">INDIRECT("'Definition of Typical Day'!"&amp; ADDRESS($D238+29*(BD$16-1),$E238))</f>
        <v>0</v>
      </c>
      <c r="BE238" s="776">
        <f t="shared" si="283"/>
        <v>0</v>
      </c>
      <c r="BF238" s="771">
        <f t="shared" ca="1" si="284"/>
        <v>0</v>
      </c>
      <c r="BG238" s="771">
        <f t="shared" ca="1" si="285"/>
        <v>0</v>
      </c>
      <c r="BH238" s="771">
        <f t="shared" ca="1" si="286"/>
        <v>0</v>
      </c>
      <c r="BI238" s="776">
        <f t="shared" ca="1" si="287"/>
        <v>0</v>
      </c>
      <c r="BJ238" s="776">
        <f t="shared" ca="1" si="288"/>
        <v>0</v>
      </c>
      <c r="BK238" s="776">
        <f t="shared" ca="1" si="289"/>
        <v>0</v>
      </c>
      <c r="BL238" s="776">
        <f t="shared" ca="1" si="290"/>
        <v>0</v>
      </c>
      <c r="BM238" s="135"/>
      <c r="BN238" s="776">
        <f t="shared" ca="1" si="291"/>
        <v>0</v>
      </c>
      <c r="BO238" s="778">
        <f t="shared" ca="1" si="228"/>
        <v>0</v>
      </c>
      <c r="BP238" s="770">
        <f t="shared" ca="1" si="229"/>
        <v>0</v>
      </c>
      <c r="BQ238" s="771">
        <f t="shared" ca="1" si="230"/>
        <v>0</v>
      </c>
      <c r="BR238" s="771">
        <f t="shared" ca="1" si="231"/>
        <v>0</v>
      </c>
      <c r="BS238" s="776">
        <f t="shared" ca="1" si="292"/>
        <v>0</v>
      </c>
      <c r="BT238" s="776">
        <f t="shared" ca="1" si="232"/>
        <v>0</v>
      </c>
      <c r="BU238" s="783">
        <f t="shared" ca="1" si="233"/>
        <v>0</v>
      </c>
      <c r="BV238" s="783">
        <f t="shared" ca="1" si="234"/>
        <v>0</v>
      </c>
      <c r="BW238" s="1019">
        <f t="shared" ca="1" si="293"/>
        <v>0</v>
      </c>
      <c r="BX238" s="771" cm="1">
        <f t="array" aca="1" ref="BX238" ca="1">INDIRECT("'Definition of Typical Day'!"&amp; ADDRESS($D238+29*(BX$16-1),$E238))</f>
        <v>0</v>
      </c>
      <c r="BY238" s="771">
        <f t="shared" ca="1" si="294"/>
        <v>0</v>
      </c>
      <c r="BZ238" s="781">
        <f t="shared" ca="1" si="235"/>
        <v>0</v>
      </c>
      <c r="CA238" s="781">
        <f t="shared" ca="1" si="236"/>
        <v>0</v>
      </c>
      <c r="CB238" s="776">
        <f t="shared" ca="1" si="237"/>
        <v>0</v>
      </c>
      <c r="CC238" s="782">
        <f t="shared" si="238"/>
        <v>10</v>
      </c>
      <c r="CD238" s="782">
        <f t="shared" si="239"/>
        <v>2</v>
      </c>
      <c r="CE238" s="784" cm="1">
        <f t="array" aca="1" ref="CE238" ca="1">INDIRECT("'Definition of Typical Day'!"&amp;ADDRESS(CE$16,$E238))</f>
        <v>10</v>
      </c>
      <c r="CF238" s="232"/>
      <c r="CG238" s="232"/>
      <c r="CH238" s="776">
        <f t="shared" ca="1" si="240"/>
        <v>0</v>
      </c>
      <c r="CI238" s="806">
        <f t="shared" ca="1" si="241"/>
        <v>0</v>
      </c>
      <c r="CJ238" s="770">
        <f t="shared" ca="1" si="242"/>
        <v>0</v>
      </c>
      <c r="CK238" s="771">
        <f t="shared" ca="1" si="243"/>
        <v>0</v>
      </c>
      <c r="CL238" s="771">
        <f t="shared" ca="1" si="244"/>
        <v>0</v>
      </c>
      <c r="CM238" s="772">
        <f t="shared" ca="1" si="245"/>
        <v>0</v>
      </c>
      <c r="CN238" s="135"/>
      <c r="CO238" s="770">
        <f t="shared" ca="1" si="295"/>
        <v>1.05</v>
      </c>
      <c r="CP238" s="771">
        <f t="shared" ca="1" si="246"/>
        <v>0.02</v>
      </c>
      <c r="CQ238" s="771">
        <f t="shared" ca="1" si="247"/>
        <v>-2.5000000000000001E-2</v>
      </c>
      <c r="CR238" s="771">
        <f t="shared" ca="1" si="248"/>
        <v>0.95</v>
      </c>
      <c r="CS238" s="771">
        <f t="shared" ca="1" si="249"/>
        <v>0.03</v>
      </c>
      <c r="CT238" s="772">
        <f t="shared" ca="1" si="250"/>
        <v>0.02</v>
      </c>
      <c r="CU238" s="135"/>
      <c r="CV238" s="135"/>
      <c r="CW238" s="135"/>
      <c r="CX238" s="135"/>
      <c r="CY238" s="135"/>
      <c r="CZ238" s="135"/>
      <c r="DA238" s="135"/>
      <c r="DB238" s="135"/>
      <c r="DC238" s="135"/>
      <c r="DD238" s="135"/>
      <c r="DE238" s="135"/>
      <c r="DF238" s="135"/>
      <c r="DG238" s="135"/>
      <c r="DH238" s="135"/>
      <c r="DI238" s="135"/>
      <c r="DJ238" s="135"/>
      <c r="DK238" s="135"/>
      <c r="DL238" s="135"/>
      <c r="DX238" s="135"/>
      <c r="DY238" s="135"/>
      <c r="DZ238" s="135"/>
      <c r="EA238" s="135"/>
      <c r="EB238" s="135"/>
      <c r="EC238" s="135"/>
      <c r="ED238" s="135"/>
      <c r="EE238" s="135"/>
      <c r="EF238" s="135"/>
      <c r="EG238" s="135"/>
      <c r="EH238" s="135"/>
      <c r="EI238" s="135"/>
      <c r="EJ238" s="135"/>
      <c r="EK238" s="135"/>
      <c r="EL238" s="135"/>
      <c r="EM238" s="135"/>
      <c r="EN238" s="135"/>
      <c r="EO238" s="135"/>
      <c r="EP238" s="135"/>
      <c r="EQ238" s="135"/>
      <c r="ER238" s="135"/>
      <c r="ES238" s="135"/>
      <c r="ET238" s="135"/>
      <c r="EU238" s="135"/>
      <c r="EV238" s="135"/>
      <c r="EW238" s="135"/>
      <c r="EX238" s="135"/>
      <c r="EY238" s="135"/>
      <c r="EZ238" s="135"/>
      <c r="FA238" s="135"/>
      <c r="FB238" s="135"/>
      <c r="FC238" s="135"/>
      <c r="FD238" s="135"/>
      <c r="FE238" s="135"/>
      <c r="FF238" s="135"/>
      <c r="FG238" s="135"/>
    </row>
    <row r="239" spans="1:163" s="57" customFormat="1" ht="11.25" outlineLevel="1">
      <c r="A239" s="765">
        <f t="shared" si="296"/>
        <v>10</v>
      </c>
      <c r="B239" s="715" cm="1">
        <f t="array" aca="1" ref="B239" ca="1">INDIRECT("'Definition of Typical Day'!"&amp;ADDRESS(B$16,$E239))</f>
        <v>10</v>
      </c>
      <c r="C239" s="766">
        <f t="shared" si="297"/>
        <v>3</v>
      </c>
      <c r="D239" s="715">
        <f t="shared" si="297"/>
        <v>37</v>
      </c>
      <c r="E239" s="715">
        <f t="shared" si="225"/>
        <v>14</v>
      </c>
      <c r="F239" s="767" cm="1">
        <f t="array" aca="1" ref="F239" ca="1">INDIRECT("'Definition of Typical Day'!D"&amp;D239)</f>
        <v>3</v>
      </c>
      <c r="G239" s="767" cm="1">
        <f t="array" aca="1" ref="G239" ca="1">INDIRECT("'Definition of Typical Day'!"&amp;ADDRESS(13,E239))</f>
        <v>10</v>
      </c>
      <c r="H239" s="768" cm="1">
        <f t="array" aca="1" ref="H239" ca="1">INDIRECT("'Definition of Typical Day'!"&amp; ADDRESS($D239+28*(H$16-1),$E239))</f>
        <v>0</v>
      </c>
      <c r="I239" s="715" cm="1">
        <f t="array" aca="1" ref="I239" ca="1">INDIRECT("'Definition of Typical Day'!"&amp; ADDRESS($D239+29*(I$16-1),$E239))</f>
        <v>0</v>
      </c>
      <c r="J239" s="715">
        <f t="shared" ca="1" si="251"/>
        <v>0</v>
      </c>
      <c r="K239" s="785">
        <f t="shared" si="252"/>
        <v>28</v>
      </c>
      <c r="L239" s="786" cm="1">
        <f t="array" aca="1" ref="L239" ca="1">INDIRECT("'Definition of Typical Day'!"&amp; ADDRESS($D239+29*(L$16-1),$E239))</f>
        <v>0</v>
      </c>
      <c r="M239" s="768" cm="1">
        <f t="array" aca="1" ref="M239" ca="1">INDIRECT("'Definition of Typical Day'!"&amp; ADDRESS($D239+29*(M$16-1),$E239))</f>
        <v>0</v>
      </c>
      <c r="N239" s="715">
        <f t="shared" si="253"/>
        <v>3</v>
      </c>
      <c r="O239" s="715">
        <f t="shared" ca="1" si="254"/>
        <v>3</v>
      </c>
      <c r="P239" s="715" cm="1">
        <f t="array" aca="1" ref="P239" ca="1">INDIRECT("'Definition of Typical Day'!"&amp; ADDRESS($D239+29*(P$16-1),$E239))</f>
        <v>0</v>
      </c>
      <c r="Q239" s="787">
        <f t="shared" ca="1" si="255"/>
        <v>3</v>
      </c>
      <c r="R239" s="792">
        <f t="shared" ca="1" si="256"/>
        <v>3</v>
      </c>
      <c r="S239" s="769">
        <f t="shared" si="257"/>
        <v>3</v>
      </c>
      <c r="T239" s="769">
        <f t="shared" ca="1" si="258"/>
        <v>-0.5</v>
      </c>
      <c r="U239" s="769">
        <f t="shared" ca="1" si="259"/>
        <v>2.262</v>
      </c>
      <c r="V239" s="769">
        <f t="shared" ca="1" si="260"/>
        <v>0</v>
      </c>
      <c r="W239" s="769">
        <f t="shared" ca="1" si="261"/>
        <v>4.7620000000000005</v>
      </c>
      <c r="X239" s="794">
        <f t="shared" si="262"/>
        <v>3</v>
      </c>
      <c r="Y239" s="769">
        <f t="shared" ca="1" si="263"/>
        <v>0.54772255750516607</v>
      </c>
      <c r="Z239" s="769">
        <f t="shared" ca="1" si="264"/>
        <v>0</v>
      </c>
      <c r="AA239" s="795">
        <f t="shared" ca="1" si="265"/>
        <v>0</v>
      </c>
      <c r="AB239" s="769">
        <f t="shared" ca="1" si="266"/>
        <v>0</v>
      </c>
      <c r="AC239" s="769">
        <f t="shared" ca="1" si="267"/>
        <v>0</v>
      </c>
      <c r="AD239" s="769">
        <f t="shared" ca="1" si="268"/>
        <v>0</v>
      </c>
      <c r="AE239" s="794">
        <f t="shared" ca="1" si="269"/>
        <v>0</v>
      </c>
      <c r="AF239" s="769">
        <f t="shared" ca="1" si="270"/>
        <v>0</v>
      </c>
      <c r="AG239" s="769">
        <f t="shared" ca="1" si="271"/>
        <v>0</v>
      </c>
      <c r="AH239" s="799">
        <f t="shared" ca="1" si="272"/>
        <v>0</v>
      </c>
      <c r="AI239" s="801">
        <f t="shared" ca="1" si="273"/>
        <v>1</v>
      </c>
      <c r="AJ239" s="794">
        <f t="shared" ca="1" si="274"/>
        <v>0</v>
      </c>
      <c r="AK239" s="769">
        <f t="shared" ca="1" si="275"/>
        <v>0</v>
      </c>
      <c r="AL239" s="769">
        <f t="shared" ca="1" si="276"/>
        <v>0</v>
      </c>
      <c r="AM239" s="804">
        <f t="shared" ca="1" si="226"/>
        <v>0</v>
      </c>
      <c r="AN239" s="795">
        <f t="shared" ca="1" si="227"/>
        <v>0</v>
      </c>
      <c r="AO239" s="251"/>
      <c r="AP239" s="770">
        <f t="shared" si="277"/>
        <v>0</v>
      </c>
      <c r="AQ239" s="771">
        <f t="shared" ca="1" si="278"/>
        <v>0</v>
      </c>
      <c r="AR239" s="771">
        <f t="shared" ca="1" si="279"/>
        <v>0</v>
      </c>
      <c r="AS239" s="772">
        <f t="shared" ca="1" si="280"/>
        <v>0</v>
      </c>
      <c r="AT239" s="231"/>
      <c r="AU239" s="770">
        <f>'Main Results - IRR DC Operator'!$F$16</f>
        <v>2</v>
      </c>
      <c r="AV239" s="773">
        <f>'Main Results - IRR DC Operator'!$F$15</f>
        <v>1</v>
      </c>
      <c r="AW239" s="771">
        <f t="shared" ca="1" si="281"/>
        <v>0</v>
      </c>
      <c r="AX239" s="772">
        <f t="shared" si="282"/>
        <v>0</v>
      </c>
      <c r="AY239" s="231"/>
      <c r="AZ239" s="770" cm="1">
        <f t="array" aca="1" ref="AZ239" ca="1">INDIRECT("'Definition of Typical Day'!"&amp; ADDRESS($D239+29*(AZ$16-1),$E239))+$AZ$17</f>
        <v>11</v>
      </c>
      <c r="BA239" s="771" cm="1">
        <f t="array" aca="1" ref="BA239" ca="1">INDIRECT("'Definition of Typical Day'!"&amp; ADDRESS($D239+29*(BA$16-1),$E239))+$BA$17</f>
        <v>11</v>
      </c>
      <c r="BB239" s="772" cm="1">
        <f t="array" aca="1" ref="BB239" ca="1">INDIRECT("'Definition of Typical Day'!"&amp;ADDRESS(BB$16,$E239))</f>
        <v>0</v>
      </c>
      <c r="BC239" s="776" cm="1">
        <f t="array" aca="1" ref="BC239" ca="1">INDIRECT("'Definition of Typical Day'!"&amp; ADDRESS($D239+29*(BC$16-1),$E239))</f>
        <v>0</v>
      </c>
      <c r="BD239" s="777" cm="1">
        <f t="array" aca="1" ref="BD239" ca="1">INDIRECT("'Definition of Typical Day'!"&amp; ADDRESS($D239+29*(BD$16-1),$E239))</f>
        <v>0</v>
      </c>
      <c r="BE239" s="776">
        <f t="shared" si="283"/>
        <v>0</v>
      </c>
      <c r="BF239" s="771">
        <f t="shared" ca="1" si="284"/>
        <v>0</v>
      </c>
      <c r="BG239" s="771">
        <f t="shared" ca="1" si="285"/>
        <v>0</v>
      </c>
      <c r="BH239" s="771">
        <f t="shared" ca="1" si="286"/>
        <v>0</v>
      </c>
      <c r="BI239" s="776">
        <f t="shared" ca="1" si="287"/>
        <v>0</v>
      </c>
      <c r="BJ239" s="776">
        <f t="shared" ca="1" si="288"/>
        <v>0</v>
      </c>
      <c r="BK239" s="776">
        <f t="shared" ca="1" si="289"/>
        <v>0</v>
      </c>
      <c r="BL239" s="776">
        <f t="shared" ca="1" si="290"/>
        <v>0</v>
      </c>
      <c r="BM239" s="135"/>
      <c r="BN239" s="776">
        <f t="shared" ca="1" si="291"/>
        <v>0</v>
      </c>
      <c r="BO239" s="778">
        <f t="shared" ca="1" si="228"/>
        <v>0</v>
      </c>
      <c r="BP239" s="770">
        <f t="shared" ca="1" si="229"/>
        <v>0</v>
      </c>
      <c r="BQ239" s="771">
        <f t="shared" ca="1" si="230"/>
        <v>0</v>
      </c>
      <c r="BR239" s="771">
        <f t="shared" ca="1" si="231"/>
        <v>0</v>
      </c>
      <c r="BS239" s="776">
        <f t="shared" ca="1" si="292"/>
        <v>0</v>
      </c>
      <c r="BT239" s="776">
        <f t="shared" ca="1" si="232"/>
        <v>0</v>
      </c>
      <c r="BU239" s="783">
        <f t="shared" ca="1" si="233"/>
        <v>0</v>
      </c>
      <c r="BV239" s="783">
        <f t="shared" ca="1" si="234"/>
        <v>0</v>
      </c>
      <c r="BW239" s="1019">
        <f t="shared" ca="1" si="293"/>
        <v>0</v>
      </c>
      <c r="BX239" s="771" cm="1">
        <f t="array" aca="1" ref="BX239" ca="1">INDIRECT("'Definition of Typical Day'!"&amp; ADDRESS($D239+29*(BX$16-1),$E239))</f>
        <v>0</v>
      </c>
      <c r="BY239" s="771">
        <f t="shared" ca="1" si="294"/>
        <v>0</v>
      </c>
      <c r="BZ239" s="781">
        <f t="shared" ca="1" si="235"/>
        <v>0</v>
      </c>
      <c r="CA239" s="781">
        <f t="shared" ca="1" si="236"/>
        <v>0</v>
      </c>
      <c r="CB239" s="776">
        <f t="shared" ca="1" si="237"/>
        <v>0</v>
      </c>
      <c r="CC239" s="782">
        <f t="shared" si="238"/>
        <v>10</v>
      </c>
      <c r="CD239" s="782">
        <f t="shared" si="239"/>
        <v>3</v>
      </c>
      <c r="CE239" s="784" cm="1">
        <f t="array" aca="1" ref="CE239" ca="1">INDIRECT("'Definition of Typical Day'!"&amp;ADDRESS(CE$16,$E239))</f>
        <v>10</v>
      </c>
      <c r="CF239" s="232"/>
      <c r="CG239" s="232"/>
      <c r="CH239" s="776">
        <f t="shared" ca="1" si="240"/>
        <v>0</v>
      </c>
      <c r="CI239" s="806">
        <f t="shared" ca="1" si="241"/>
        <v>0</v>
      </c>
      <c r="CJ239" s="770">
        <f t="shared" ca="1" si="242"/>
        <v>0</v>
      </c>
      <c r="CK239" s="771">
        <f t="shared" ca="1" si="243"/>
        <v>0</v>
      </c>
      <c r="CL239" s="771">
        <f t="shared" ca="1" si="244"/>
        <v>0</v>
      </c>
      <c r="CM239" s="772">
        <f t="shared" ca="1" si="245"/>
        <v>0</v>
      </c>
      <c r="CN239" s="135"/>
      <c r="CO239" s="770">
        <f t="shared" ca="1" si="295"/>
        <v>1.05</v>
      </c>
      <c r="CP239" s="771">
        <f t="shared" ca="1" si="246"/>
        <v>0.02</v>
      </c>
      <c r="CQ239" s="771">
        <f t="shared" ca="1" si="247"/>
        <v>-2.5000000000000001E-2</v>
      </c>
      <c r="CR239" s="771">
        <f t="shared" ca="1" si="248"/>
        <v>0.95</v>
      </c>
      <c r="CS239" s="771">
        <f t="shared" ca="1" si="249"/>
        <v>0.03</v>
      </c>
      <c r="CT239" s="772">
        <f t="shared" ca="1" si="250"/>
        <v>0.02</v>
      </c>
      <c r="CU239" s="135"/>
      <c r="CV239" s="135"/>
      <c r="CW239" s="135"/>
      <c r="CX239" s="135"/>
      <c r="CY239" s="135"/>
      <c r="CZ239" s="135"/>
      <c r="DA239" s="135"/>
      <c r="DB239" s="135"/>
      <c r="DC239" s="135"/>
      <c r="DD239" s="135"/>
      <c r="DE239" s="135"/>
      <c r="DF239" s="135"/>
      <c r="DG239" s="135"/>
      <c r="DH239" s="135"/>
      <c r="DI239" s="135"/>
      <c r="DJ239" s="135"/>
      <c r="DK239" s="135"/>
      <c r="DL239" s="135"/>
      <c r="DX239" s="135"/>
      <c r="DY239" s="135"/>
      <c r="DZ239" s="135"/>
      <c r="EA239" s="135"/>
      <c r="EB239" s="135"/>
      <c r="EC239" s="135"/>
      <c r="ED239" s="135"/>
      <c r="EE239" s="135"/>
      <c r="EF239" s="135"/>
      <c r="EG239" s="135"/>
      <c r="EH239" s="135"/>
      <c r="EI239" s="135"/>
      <c r="EJ239" s="135"/>
      <c r="EK239" s="135"/>
      <c r="EL239" s="135"/>
      <c r="EM239" s="135"/>
      <c r="EN239" s="135"/>
      <c r="EO239" s="135"/>
      <c r="EP239" s="135"/>
      <c r="EQ239" s="135"/>
      <c r="ER239" s="135"/>
      <c r="ES239" s="135"/>
      <c r="ET239" s="135"/>
      <c r="EU239" s="135"/>
      <c r="EV239" s="135"/>
      <c r="EW239" s="135"/>
      <c r="EX239" s="135"/>
      <c r="EY239" s="135"/>
      <c r="EZ239" s="135"/>
      <c r="FA239" s="135"/>
      <c r="FB239" s="135"/>
      <c r="FC239" s="135"/>
      <c r="FD239" s="135"/>
      <c r="FE239" s="135"/>
      <c r="FF239" s="135"/>
      <c r="FG239" s="135"/>
    </row>
    <row r="240" spans="1:163" s="57" customFormat="1" ht="11.25" outlineLevel="1">
      <c r="A240" s="765">
        <f t="shared" si="296"/>
        <v>10</v>
      </c>
      <c r="B240" s="715" cm="1">
        <f t="array" aca="1" ref="B240" ca="1">INDIRECT("'Definition of Typical Day'!"&amp;ADDRESS(B$16,$E240))</f>
        <v>10</v>
      </c>
      <c r="C240" s="766">
        <f t="shared" si="297"/>
        <v>4</v>
      </c>
      <c r="D240" s="715">
        <f t="shared" si="297"/>
        <v>38</v>
      </c>
      <c r="E240" s="715">
        <f t="shared" si="225"/>
        <v>14</v>
      </c>
      <c r="F240" s="767" cm="1">
        <f t="array" aca="1" ref="F240" ca="1">INDIRECT("'Definition of Typical Day'!D"&amp;D240)</f>
        <v>4</v>
      </c>
      <c r="G240" s="767" cm="1">
        <f t="array" aca="1" ref="G240" ca="1">INDIRECT("'Definition of Typical Day'!"&amp;ADDRESS(13,E240))</f>
        <v>10</v>
      </c>
      <c r="H240" s="768" cm="1">
        <f t="array" aca="1" ref="H240" ca="1">INDIRECT("'Definition of Typical Day'!"&amp; ADDRESS($D240+28*(H$16-1),$E240))</f>
        <v>0</v>
      </c>
      <c r="I240" s="715" cm="1">
        <f t="array" aca="1" ref="I240" ca="1">INDIRECT("'Definition of Typical Day'!"&amp; ADDRESS($D240+29*(I$16-1),$E240))</f>
        <v>0</v>
      </c>
      <c r="J240" s="715">
        <f t="shared" ca="1" si="251"/>
        <v>0</v>
      </c>
      <c r="K240" s="785">
        <f t="shared" si="252"/>
        <v>28</v>
      </c>
      <c r="L240" s="786" cm="1">
        <f t="array" aca="1" ref="L240" ca="1">INDIRECT("'Definition of Typical Day'!"&amp; ADDRESS($D240+29*(L$16-1),$E240))</f>
        <v>0</v>
      </c>
      <c r="M240" s="768" cm="1">
        <f t="array" aca="1" ref="M240" ca="1">INDIRECT("'Definition of Typical Day'!"&amp; ADDRESS($D240+29*(M$16-1),$E240))</f>
        <v>0</v>
      </c>
      <c r="N240" s="715">
        <f t="shared" si="253"/>
        <v>3</v>
      </c>
      <c r="O240" s="715">
        <f t="shared" ca="1" si="254"/>
        <v>3</v>
      </c>
      <c r="P240" s="715" cm="1">
        <f t="array" aca="1" ref="P240" ca="1">INDIRECT("'Definition of Typical Day'!"&amp; ADDRESS($D240+29*(P$16-1),$E240))</f>
        <v>0</v>
      </c>
      <c r="Q240" s="787">
        <f t="shared" ca="1" si="255"/>
        <v>3</v>
      </c>
      <c r="R240" s="792">
        <f t="shared" ca="1" si="256"/>
        <v>3</v>
      </c>
      <c r="S240" s="769">
        <f t="shared" si="257"/>
        <v>3</v>
      </c>
      <c r="T240" s="769">
        <f t="shared" ca="1" si="258"/>
        <v>-0.5</v>
      </c>
      <c r="U240" s="769">
        <f t="shared" ca="1" si="259"/>
        <v>2.262</v>
      </c>
      <c r="V240" s="769">
        <f t="shared" ca="1" si="260"/>
        <v>0</v>
      </c>
      <c r="W240" s="769">
        <f t="shared" ca="1" si="261"/>
        <v>4.7620000000000005</v>
      </c>
      <c r="X240" s="794">
        <f t="shared" si="262"/>
        <v>3</v>
      </c>
      <c r="Y240" s="769">
        <f t="shared" ca="1" si="263"/>
        <v>0.54772255750516607</v>
      </c>
      <c r="Z240" s="769">
        <f t="shared" ca="1" si="264"/>
        <v>0</v>
      </c>
      <c r="AA240" s="795">
        <f t="shared" ca="1" si="265"/>
        <v>0</v>
      </c>
      <c r="AB240" s="769">
        <f t="shared" ca="1" si="266"/>
        <v>0</v>
      </c>
      <c r="AC240" s="769">
        <f t="shared" ca="1" si="267"/>
        <v>0</v>
      </c>
      <c r="AD240" s="769">
        <f t="shared" ca="1" si="268"/>
        <v>0</v>
      </c>
      <c r="AE240" s="794">
        <f t="shared" ca="1" si="269"/>
        <v>0</v>
      </c>
      <c r="AF240" s="769">
        <f t="shared" ca="1" si="270"/>
        <v>0</v>
      </c>
      <c r="AG240" s="769">
        <f t="shared" ca="1" si="271"/>
        <v>0</v>
      </c>
      <c r="AH240" s="799">
        <f t="shared" ca="1" si="272"/>
        <v>0</v>
      </c>
      <c r="AI240" s="801">
        <f t="shared" ca="1" si="273"/>
        <v>1</v>
      </c>
      <c r="AJ240" s="794">
        <f t="shared" ca="1" si="274"/>
        <v>0</v>
      </c>
      <c r="AK240" s="769">
        <f t="shared" ca="1" si="275"/>
        <v>0</v>
      </c>
      <c r="AL240" s="769">
        <f t="shared" ca="1" si="276"/>
        <v>0</v>
      </c>
      <c r="AM240" s="804">
        <f t="shared" ca="1" si="226"/>
        <v>0</v>
      </c>
      <c r="AN240" s="795">
        <f t="shared" ca="1" si="227"/>
        <v>0</v>
      </c>
      <c r="AO240" s="251"/>
      <c r="AP240" s="770">
        <f t="shared" si="277"/>
        <v>0</v>
      </c>
      <c r="AQ240" s="771">
        <f t="shared" ca="1" si="278"/>
        <v>0</v>
      </c>
      <c r="AR240" s="771">
        <f t="shared" ca="1" si="279"/>
        <v>0</v>
      </c>
      <c r="AS240" s="772">
        <f t="shared" ca="1" si="280"/>
        <v>0</v>
      </c>
      <c r="AT240" s="231"/>
      <c r="AU240" s="770">
        <f>'Main Results - IRR DC Operator'!$F$16</f>
        <v>2</v>
      </c>
      <c r="AV240" s="773">
        <f>'Main Results - IRR DC Operator'!$F$15</f>
        <v>1</v>
      </c>
      <c r="AW240" s="771">
        <f t="shared" ca="1" si="281"/>
        <v>0</v>
      </c>
      <c r="AX240" s="772">
        <f t="shared" si="282"/>
        <v>0</v>
      </c>
      <c r="AY240" s="231"/>
      <c r="AZ240" s="770" cm="1">
        <f t="array" aca="1" ref="AZ240" ca="1">INDIRECT("'Definition of Typical Day'!"&amp; ADDRESS($D240+29*(AZ$16-1),$E240))+$AZ$17</f>
        <v>11</v>
      </c>
      <c r="BA240" s="771" cm="1">
        <f t="array" aca="1" ref="BA240" ca="1">INDIRECT("'Definition of Typical Day'!"&amp; ADDRESS($D240+29*(BA$16-1),$E240))+$BA$17</f>
        <v>11</v>
      </c>
      <c r="BB240" s="772" cm="1">
        <f t="array" aca="1" ref="BB240" ca="1">INDIRECT("'Definition of Typical Day'!"&amp;ADDRESS(BB$16,$E240))</f>
        <v>0</v>
      </c>
      <c r="BC240" s="776" cm="1">
        <f t="array" aca="1" ref="BC240" ca="1">INDIRECT("'Definition of Typical Day'!"&amp; ADDRESS($D240+29*(BC$16-1),$E240))</f>
        <v>0</v>
      </c>
      <c r="BD240" s="777" cm="1">
        <f t="array" aca="1" ref="BD240" ca="1">INDIRECT("'Definition of Typical Day'!"&amp; ADDRESS($D240+29*(BD$16-1),$E240))</f>
        <v>0</v>
      </c>
      <c r="BE240" s="776">
        <f t="shared" si="283"/>
        <v>0</v>
      </c>
      <c r="BF240" s="771">
        <f t="shared" ca="1" si="284"/>
        <v>0</v>
      </c>
      <c r="BG240" s="771">
        <f t="shared" ca="1" si="285"/>
        <v>0</v>
      </c>
      <c r="BH240" s="771">
        <f t="shared" ca="1" si="286"/>
        <v>0</v>
      </c>
      <c r="BI240" s="776">
        <f t="shared" ca="1" si="287"/>
        <v>0</v>
      </c>
      <c r="BJ240" s="776">
        <f t="shared" ca="1" si="288"/>
        <v>0</v>
      </c>
      <c r="BK240" s="776">
        <f t="shared" ca="1" si="289"/>
        <v>0</v>
      </c>
      <c r="BL240" s="776">
        <f t="shared" ca="1" si="290"/>
        <v>0</v>
      </c>
      <c r="BM240" s="135"/>
      <c r="BN240" s="776">
        <f t="shared" ca="1" si="291"/>
        <v>0</v>
      </c>
      <c r="BO240" s="778">
        <f t="shared" ca="1" si="228"/>
        <v>0</v>
      </c>
      <c r="BP240" s="770">
        <f t="shared" ca="1" si="229"/>
        <v>0</v>
      </c>
      <c r="BQ240" s="771">
        <f t="shared" ca="1" si="230"/>
        <v>0</v>
      </c>
      <c r="BR240" s="771">
        <f t="shared" ca="1" si="231"/>
        <v>0</v>
      </c>
      <c r="BS240" s="776">
        <f t="shared" ca="1" si="292"/>
        <v>0</v>
      </c>
      <c r="BT240" s="776">
        <f t="shared" ca="1" si="232"/>
        <v>0</v>
      </c>
      <c r="BU240" s="783">
        <f t="shared" ca="1" si="233"/>
        <v>0</v>
      </c>
      <c r="BV240" s="783">
        <f t="shared" ca="1" si="234"/>
        <v>0</v>
      </c>
      <c r="BW240" s="1019">
        <f t="shared" ca="1" si="293"/>
        <v>0</v>
      </c>
      <c r="BX240" s="771" cm="1">
        <f t="array" aca="1" ref="BX240" ca="1">INDIRECT("'Definition of Typical Day'!"&amp; ADDRESS($D240+29*(BX$16-1),$E240))</f>
        <v>0</v>
      </c>
      <c r="BY240" s="771">
        <f t="shared" ca="1" si="294"/>
        <v>0</v>
      </c>
      <c r="BZ240" s="781">
        <f t="shared" ca="1" si="235"/>
        <v>0</v>
      </c>
      <c r="CA240" s="781">
        <f t="shared" ca="1" si="236"/>
        <v>0</v>
      </c>
      <c r="CB240" s="776">
        <f t="shared" ca="1" si="237"/>
        <v>0</v>
      </c>
      <c r="CC240" s="782">
        <f t="shared" si="238"/>
        <v>10</v>
      </c>
      <c r="CD240" s="782">
        <f t="shared" si="239"/>
        <v>4</v>
      </c>
      <c r="CE240" s="784" cm="1">
        <f t="array" aca="1" ref="CE240" ca="1">INDIRECT("'Definition of Typical Day'!"&amp;ADDRESS(CE$16,$E240))</f>
        <v>10</v>
      </c>
      <c r="CF240" s="232"/>
      <c r="CG240" s="232"/>
      <c r="CH240" s="776">
        <f t="shared" ca="1" si="240"/>
        <v>0</v>
      </c>
      <c r="CI240" s="806">
        <f t="shared" ca="1" si="241"/>
        <v>0</v>
      </c>
      <c r="CJ240" s="770">
        <f t="shared" ca="1" si="242"/>
        <v>0</v>
      </c>
      <c r="CK240" s="771">
        <f t="shared" ca="1" si="243"/>
        <v>0</v>
      </c>
      <c r="CL240" s="771">
        <f t="shared" ca="1" si="244"/>
        <v>0</v>
      </c>
      <c r="CM240" s="772">
        <f t="shared" ca="1" si="245"/>
        <v>0</v>
      </c>
      <c r="CN240" s="135"/>
      <c r="CO240" s="770">
        <f t="shared" ca="1" si="295"/>
        <v>1.05</v>
      </c>
      <c r="CP240" s="771">
        <f t="shared" ca="1" si="246"/>
        <v>0.02</v>
      </c>
      <c r="CQ240" s="771">
        <f t="shared" ca="1" si="247"/>
        <v>-2.5000000000000001E-2</v>
      </c>
      <c r="CR240" s="771">
        <f t="shared" ca="1" si="248"/>
        <v>0.95</v>
      </c>
      <c r="CS240" s="771">
        <f t="shared" ca="1" si="249"/>
        <v>0.03</v>
      </c>
      <c r="CT240" s="772">
        <f t="shared" ca="1" si="250"/>
        <v>0.02</v>
      </c>
      <c r="CU240" s="135"/>
      <c r="CV240" s="135"/>
      <c r="CW240" s="135"/>
      <c r="CX240" s="135"/>
      <c r="CY240" s="135"/>
      <c r="CZ240" s="135"/>
      <c r="DA240" s="135"/>
      <c r="DB240" s="135"/>
      <c r="DC240" s="135"/>
      <c r="DD240" s="135"/>
      <c r="DE240" s="135"/>
      <c r="DF240" s="135"/>
      <c r="DG240" s="135"/>
      <c r="DH240" s="135"/>
      <c r="DI240" s="135"/>
      <c r="DJ240" s="135"/>
      <c r="DK240" s="135"/>
      <c r="DL240" s="135"/>
      <c r="DX240" s="135"/>
      <c r="DY240" s="135"/>
      <c r="DZ240" s="135"/>
      <c r="EA240" s="135"/>
      <c r="EB240" s="135"/>
      <c r="EC240" s="135"/>
      <c r="ED240" s="135"/>
      <c r="EE240" s="135"/>
      <c r="EF240" s="135"/>
      <c r="EG240" s="135"/>
      <c r="EH240" s="135"/>
      <c r="EI240" s="135"/>
      <c r="EJ240" s="135"/>
      <c r="EK240" s="135"/>
      <c r="EL240" s="135"/>
      <c r="EM240" s="135"/>
      <c r="EN240" s="135"/>
      <c r="EO240" s="135"/>
      <c r="EP240" s="135"/>
      <c r="EQ240" s="135"/>
      <c r="ER240" s="135"/>
      <c r="ES240" s="135"/>
      <c r="ET240" s="135"/>
      <c r="EU240" s="135"/>
      <c r="EV240" s="135"/>
      <c r="EW240" s="135"/>
      <c r="EX240" s="135"/>
      <c r="EY240" s="135"/>
      <c r="EZ240" s="135"/>
      <c r="FA240" s="135"/>
      <c r="FB240" s="135"/>
      <c r="FC240" s="135"/>
      <c r="FD240" s="135"/>
      <c r="FE240" s="135"/>
      <c r="FF240" s="135"/>
      <c r="FG240" s="135"/>
    </row>
    <row r="241" spans="1:163" s="57" customFormat="1" ht="11.25" outlineLevel="1">
      <c r="A241" s="765">
        <f t="shared" si="296"/>
        <v>10</v>
      </c>
      <c r="B241" s="715" cm="1">
        <f t="array" aca="1" ref="B241" ca="1">INDIRECT("'Definition of Typical Day'!"&amp;ADDRESS(B$16,$E241))</f>
        <v>10</v>
      </c>
      <c r="C241" s="766">
        <f t="shared" si="297"/>
        <v>5</v>
      </c>
      <c r="D241" s="715">
        <f t="shared" si="297"/>
        <v>39</v>
      </c>
      <c r="E241" s="715">
        <f t="shared" si="225"/>
        <v>14</v>
      </c>
      <c r="F241" s="767" cm="1">
        <f t="array" aca="1" ref="F241" ca="1">INDIRECT("'Definition of Typical Day'!D"&amp;D241)</f>
        <v>5</v>
      </c>
      <c r="G241" s="767" cm="1">
        <f t="array" aca="1" ref="G241" ca="1">INDIRECT("'Definition of Typical Day'!"&amp;ADDRESS(13,E241))</f>
        <v>10</v>
      </c>
      <c r="H241" s="768" cm="1">
        <f t="array" aca="1" ref="H241" ca="1">INDIRECT("'Definition of Typical Day'!"&amp; ADDRESS($D241+28*(H$16-1),$E241))</f>
        <v>0</v>
      </c>
      <c r="I241" s="715" cm="1">
        <f t="array" aca="1" ref="I241" ca="1">INDIRECT("'Definition of Typical Day'!"&amp; ADDRESS($D241+29*(I$16-1),$E241))</f>
        <v>0</v>
      </c>
      <c r="J241" s="715">
        <f t="shared" ca="1" si="251"/>
        <v>0</v>
      </c>
      <c r="K241" s="785">
        <f t="shared" si="252"/>
        <v>28</v>
      </c>
      <c r="L241" s="786" cm="1">
        <f t="array" aca="1" ref="L241" ca="1">INDIRECT("'Definition of Typical Day'!"&amp; ADDRESS($D241+29*(L$16-1),$E241))</f>
        <v>0</v>
      </c>
      <c r="M241" s="768" cm="1">
        <f t="array" aca="1" ref="M241" ca="1">INDIRECT("'Definition of Typical Day'!"&amp; ADDRESS($D241+29*(M$16-1),$E241))</f>
        <v>0</v>
      </c>
      <c r="N241" s="715">
        <f t="shared" si="253"/>
        <v>3</v>
      </c>
      <c r="O241" s="715">
        <f t="shared" ca="1" si="254"/>
        <v>3</v>
      </c>
      <c r="P241" s="715" cm="1">
        <f t="array" aca="1" ref="P241" ca="1">INDIRECT("'Definition of Typical Day'!"&amp; ADDRESS($D241+29*(P$16-1),$E241))</f>
        <v>0</v>
      </c>
      <c r="Q241" s="787">
        <f t="shared" ca="1" si="255"/>
        <v>3</v>
      </c>
      <c r="R241" s="792">
        <f t="shared" ca="1" si="256"/>
        <v>3</v>
      </c>
      <c r="S241" s="769">
        <f t="shared" si="257"/>
        <v>3</v>
      </c>
      <c r="T241" s="769">
        <f t="shared" ca="1" si="258"/>
        <v>-0.5</v>
      </c>
      <c r="U241" s="769">
        <f t="shared" ca="1" si="259"/>
        <v>2.262</v>
      </c>
      <c r="V241" s="769">
        <f t="shared" ca="1" si="260"/>
        <v>0</v>
      </c>
      <c r="W241" s="769">
        <f t="shared" ca="1" si="261"/>
        <v>4.7620000000000005</v>
      </c>
      <c r="X241" s="794">
        <f t="shared" si="262"/>
        <v>3</v>
      </c>
      <c r="Y241" s="769">
        <f t="shared" ca="1" si="263"/>
        <v>0.54772255750516607</v>
      </c>
      <c r="Z241" s="769">
        <f t="shared" ca="1" si="264"/>
        <v>0</v>
      </c>
      <c r="AA241" s="795">
        <f t="shared" ca="1" si="265"/>
        <v>0</v>
      </c>
      <c r="AB241" s="769">
        <f t="shared" ca="1" si="266"/>
        <v>0</v>
      </c>
      <c r="AC241" s="769">
        <f t="shared" ca="1" si="267"/>
        <v>0</v>
      </c>
      <c r="AD241" s="769">
        <f t="shared" ca="1" si="268"/>
        <v>0</v>
      </c>
      <c r="AE241" s="794">
        <f t="shared" ca="1" si="269"/>
        <v>0</v>
      </c>
      <c r="AF241" s="769">
        <f t="shared" ca="1" si="270"/>
        <v>0</v>
      </c>
      <c r="AG241" s="769">
        <f t="shared" ca="1" si="271"/>
        <v>0</v>
      </c>
      <c r="AH241" s="799">
        <f t="shared" ca="1" si="272"/>
        <v>0</v>
      </c>
      <c r="AI241" s="801">
        <f t="shared" ca="1" si="273"/>
        <v>1</v>
      </c>
      <c r="AJ241" s="794">
        <f t="shared" ca="1" si="274"/>
        <v>0</v>
      </c>
      <c r="AK241" s="769">
        <f t="shared" ca="1" si="275"/>
        <v>0</v>
      </c>
      <c r="AL241" s="769">
        <f t="shared" ca="1" si="276"/>
        <v>0</v>
      </c>
      <c r="AM241" s="804">
        <f t="shared" ca="1" si="226"/>
        <v>0</v>
      </c>
      <c r="AN241" s="795">
        <f t="shared" ca="1" si="227"/>
        <v>0</v>
      </c>
      <c r="AO241" s="251"/>
      <c r="AP241" s="770">
        <f t="shared" si="277"/>
        <v>0</v>
      </c>
      <c r="AQ241" s="771">
        <f t="shared" ca="1" si="278"/>
        <v>0</v>
      </c>
      <c r="AR241" s="771">
        <f t="shared" ca="1" si="279"/>
        <v>0</v>
      </c>
      <c r="AS241" s="772">
        <f t="shared" ca="1" si="280"/>
        <v>0</v>
      </c>
      <c r="AT241" s="231"/>
      <c r="AU241" s="770">
        <f>'Main Results - IRR DC Operator'!$F$16</f>
        <v>2</v>
      </c>
      <c r="AV241" s="773">
        <f>'Main Results - IRR DC Operator'!$F$15</f>
        <v>1</v>
      </c>
      <c r="AW241" s="771">
        <f t="shared" ca="1" si="281"/>
        <v>0</v>
      </c>
      <c r="AX241" s="772">
        <f t="shared" si="282"/>
        <v>0</v>
      </c>
      <c r="AY241" s="231"/>
      <c r="AZ241" s="770" cm="1">
        <f t="array" aca="1" ref="AZ241" ca="1">INDIRECT("'Definition of Typical Day'!"&amp; ADDRESS($D241+29*(AZ$16-1),$E241))+$AZ$17</f>
        <v>11</v>
      </c>
      <c r="BA241" s="771" cm="1">
        <f t="array" aca="1" ref="BA241" ca="1">INDIRECT("'Definition of Typical Day'!"&amp; ADDRESS($D241+29*(BA$16-1),$E241))+$BA$17</f>
        <v>11</v>
      </c>
      <c r="BB241" s="772" cm="1">
        <f t="array" aca="1" ref="BB241" ca="1">INDIRECT("'Definition of Typical Day'!"&amp;ADDRESS(BB$16,$E241))</f>
        <v>0</v>
      </c>
      <c r="BC241" s="776" cm="1">
        <f t="array" aca="1" ref="BC241" ca="1">INDIRECT("'Definition of Typical Day'!"&amp; ADDRESS($D241+29*(BC$16-1),$E241))</f>
        <v>0</v>
      </c>
      <c r="BD241" s="777" cm="1">
        <f t="array" aca="1" ref="BD241" ca="1">INDIRECT("'Definition of Typical Day'!"&amp; ADDRESS($D241+29*(BD$16-1),$E241))</f>
        <v>0</v>
      </c>
      <c r="BE241" s="776">
        <f t="shared" si="283"/>
        <v>0</v>
      </c>
      <c r="BF241" s="771">
        <f t="shared" ca="1" si="284"/>
        <v>0</v>
      </c>
      <c r="BG241" s="771">
        <f t="shared" ca="1" si="285"/>
        <v>0</v>
      </c>
      <c r="BH241" s="771">
        <f t="shared" ca="1" si="286"/>
        <v>0</v>
      </c>
      <c r="BI241" s="776">
        <f t="shared" ca="1" si="287"/>
        <v>0</v>
      </c>
      <c r="BJ241" s="776">
        <f t="shared" ca="1" si="288"/>
        <v>0</v>
      </c>
      <c r="BK241" s="776">
        <f t="shared" ca="1" si="289"/>
        <v>0</v>
      </c>
      <c r="BL241" s="776">
        <f t="shared" ca="1" si="290"/>
        <v>0</v>
      </c>
      <c r="BM241" s="135"/>
      <c r="BN241" s="776">
        <f t="shared" ca="1" si="291"/>
        <v>0</v>
      </c>
      <c r="BO241" s="778">
        <f t="shared" ca="1" si="228"/>
        <v>0</v>
      </c>
      <c r="BP241" s="770">
        <f t="shared" ca="1" si="229"/>
        <v>0</v>
      </c>
      <c r="BQ241" s="771">
        <f t="shared" ca="1" si="230"/>
        <v>0</v>
      </c>
      <c r="BR241" s="771">
        <f t="shared" ca="1" si="231"/>
        <v>0</v>
      </c>
      <c r="BS241" s="776">
        <f t="shared" ca="1" si="292"/>
        <v>0</v>
      </c>
      <c r="BT241" s="776">
        <f t="shared" ca="1" si="232"/>
        <v>0</v>
      </c>
      <c r="BU241" s="783">
        <f t="shared" ca="1" si="233"/>
        <v>0</v>
      </c>
      <c r="BV241" s="783">
        <f t="shared" ca="1" si="234"/>
        <v>0</v>
      </c>
      <c r="BW241" s="1019">
        <f t="shared" ca="1" si="293"/>
        <v>0</v>
      </c>
      <c r="BX241" s="771" cm="1">
        <f t="array" aca="1" ref="BX241" ca="1">INDIRECT("'Definition of Typical Day'!"&amp; ADDRESS($D241+29*(BX$16-1),$E241))</f>
        <v>0</v>
      </c>
      <c r="BY241" s="771">
        <f t="shared" ca="1" si="294"/>
        <v>0</v>
      </c>
      <c r="BZ241" s="781">
        <f t="shared" ca="1" si="235"/>
        <v>0</v>
      </c>
      <c r="CA241" s="781">
        <f t="shared" ca="1" si="236"/>
        <v>0</v>
      </c>
      <c r="CB241" s="776">
        <f t="shared" ca="1" si="237"/>
        <v>0</v>
      </c>
      <c r="CC241" s="782">
        <f t="shared" si="238"/>
        <v>10</v>
      </c>
      <c r="CD241" s="782">
        <f t="shared" si="239"/>
        <v>5</v>
      </c>
      <c r="CE241" s="784" cm="1">
        <f t="array" aca="1" ref="CE241" ca="1">INDIRECT("'Definition of Typical Day'!"&amp;ADDRESS(CE$16,$E241))</f>
        <v>10</v>
      </c>
      <c r="CF241" s="232"/>
      <c r="CG241" s="232"/>
      <c r="CH241" s="776">
        <f t="shared" ca="1" si="240"/>
        <v>0</v>
      </c>
      <c r="CI241" s="806">
        <f t="shared" ca="1" si="241"/>
        <v>0</v>
      </c>
      <c r="CJ241" s="770">
        <f t="shared" ca="1" si="242"/>
        <v>0</v>
      </c>
      <c r="CK241" s="771">
        <f t="shared" ca="1" si="243"/>
        <v>0</v>
      </c>
      <c r="CL241" s="771">
        <f t="shared" ca="1" si="244"/>
        <v>0</v>
      </c>
      <c r="CM241" s="772">
        <f t="shared" ca="1" si="245"/>
        <v>0</v>
      </c>
      <c r="CN241" s="135"/>
      <c r="CO241" s="770">
        <f t="shared" ca="1" si="295"/>
        <v>1.05</v>
      </c>
      <c r="CP241" s="771">
        <f t="shared" ca="1" si="246"/>
        <v>0.02</v>
      </c>
      <c r="CQ241" s="771">
        <f t="shared" ca="1" si="247"/>
        <v>-2.5000000000000001E-2</v>
      </c>
      <c r="CR241" s="771">
        <f t="shared" ca="1" si="248"/>
        <v>0.95</v>
      </c>
      <c r="CS241" s="771">
        <f t="shared" ca="1" si="249"/>
        <v>0.03</v>
      </c>
      <c r="CT241" s="772">
        <f t="shared" ca="1" si="250"/>
        <v>0.02</v>
      </c>
      <c r="CU241" s="135"/>
      <c r="CV241" s="135"/>
      <c r="CW241" s="135"/>
      <c r="CX241" s="135"/>
      <c r="CY241" s="135"/>
      <c r="CZ241" s="135"/>
      <c r="DA241" s="135"/>
      <c r="DB241" s="135"/>
      <c r="DC241" s="135"/>
      <c r="DD241" s="135"/>
      <c r="DE241" s="135"/>
      <c r="DF241" s="135"/>
      <c r="DG241" s="135"/>
      <c r="DH241" s="135"/>
      <c r="DI241" s="135"/>
      <c r="DJ241" s="135"/>
      <c r="DK241" s="135"/>
      <c r="DL241" s="135"/>
      <c r="DX241" s="135"/>
      <c r="DY241" s="135"/>
      <c r="DZ241" s="135"/>
      <c r="EA241" s="135"/>
      <c r="EB241" s="135"/>
      <c r="EC241" s="135"/>
      <c r="ED241" s="135"/>
      <c r="EE241" s="135"/>
      <c r="EF241" s="135"/>
      <c r="EG241" s="135"/>
      <c r="EH241" s="135"/>
      <c r="EI241" s="135"/>
      <c r="EJ241" s="135"/>
      <c r="EK241" s="135"/>
      <c r="EL241" s="135"/>
      <c r="EM241" s="135"/>
      <c r="EN241" s="135"/>
      <c r="EO241" s="135"/>
      <c r="EP241" s="135"/>
      <c r="EQ241" s="135"/>
      <c r="ER241" s="135"/>
      <c r="ES241" s="135"/>
      <c r="ET241" s="135"/>
      <c r="EU241" s="135"/>
      <c r="EV241" s="135"/>
      <c r="EW241" s="135"/>
      <c r="EX241" s="135"/>
      <c r="EY241" s="135"/>
      <c r="EZ241" s="135"/>
      <c r="FA241" s="135"/>
      <c r="FB241" s="135"/>
      <c r="FC241" s="135"/>
      <c r="FD241" s="135"/>
      <c r="FE241" s="135"/>
      <c r="FF241" s="135"/>
      <c r="FG241" s="135"/>
    </row>
    <row r="242" spans="1:163" s="57" customFormat="1" ht="11.25" outlineLevel="1">
      <c r="A242" s="765">
        <f t="shared" si="296"/>
        <v>10</v>
      </c>
      <c r="B242" s="715" cm="1">
        <f t="array" aca="1" ref="B242" ca="1">INDIRECT("'Definition of Typical Day'!"&amp;ADDRESS(B$16,$E242))</f>
        <v>10</v>
      </c>
      <c r="C242" s="766">
        <f t="shared" si="297"/>
        <v>6</v>
      </c>
      <c r="D242" s="715">
        <f t="shared" si="297"/>
        <v>40</v>
      </c>
      <c r="E242" s="715">
        <f t="shared" si="225"/>
        <v>14</v>
      </c>
      <c r="F242" s="767" cm="1">
        <f t="array" aca="1" ref="F242" ca="1">INDIRECT("'Definition of Typical Day'!D"&amp;D242)</f>
        <v>6</v>
      </c>
      <c r="G242" s="767" cm="1">
        <f t="array" aca="1" ref="G242" ca="1">INDIRECT("'Definition of Typical Day'!"&amp;ADDRESS(13,E242))</f>
        <v>10</v>
      </c>
      <c r="H242" s="768" cm="1">
        <f t="array" aca="1" ref="H242" ca="1">INDIRECT("'Definition of Typical Day'!"&amp; ADDRESS($D242+28*(H$16-1),$E242))</f>
        <v>0</v>
      </c>
      <c r="I242" s="715" cm="1">
        <f t="array" aca="1" ref="I242" ca="1">INDIRECT("'Definition of Typical Day'!"&amp; ADDRESS($D242+29*(I$16-1),$E242))</f>
        <v>0</v>
      </c>
      <c r="J242" s="715">
        <f t="shared" ca="1" si="251"/>
        <v>0</v>
      </c>
      <c r="K242" s="785">
        <f t="shared" si="252"/>
        <v>28</v>
      </c>
      <c r="L242" s="786" cm="1">
        <f t="array" aca="1" ref="L242" ca="1">INDIRECT("'Definition of Typical Day'!"&amp; ADDRESS($D242+29*(L$16-1),$E242))</f>
        <v>0</v>
      </c>
      <c r="M242" s="768" cm="1">
        <f t="array" aca="1" ref="M242" ca="1">INDIRECT("'Definition of Typical Day'!"&amp; ADDRESS($D242+29*(M$16-1),$E242))</f>
        <v>0</v>
      </c>
      <c r="N242" s="715">
        <f t="shared" si="253"/>
        <v>3</v>
      </c>
      <c r="O242" s="715">
        <f t="shared" ca="1" si="254"/>
        <v>3</v>
      </c>
      <c r="P242" s="715" cm="1">
        <f t="array" aca="1" ref="P242" ca="1">INDIRECT("'Definition of Typical Day'!"&amp; ADDRESS($D242+29*(P$16-1),$E242))</f>
        <v>0</v>
      </c>
      <c r="Q242" s="787">
        <f t="shared" ca="1" si="255"/>
        <v>3</v>
      </c>
      <c r="R242" s="792">
        <f t="shared" ca="1" si="256"/>
        <v>3</v>
      </c>
      <c r="S242" s="769">
        <f t="shared" si="257"/>
        <v>3</v>
      </c>
      <c r="T242" s="769">
        <f t="shared" ca="1" si="258"/>
        <v>-0.5</v>
      </c>
      <c r="U242" s="769">
        <f t="shared" ca="1" si="259"/>
        <v>2.262</v>
      </c>
      <c r="V242" s="769">
        <f t="shared" ca="1" si="260"/>
        <v>0</v>
      </c>
      <c r="W242" s="769">
        <f t="shared" ca="1" si="261"/>
        <v>4.7620000000000005</v>
      </c>
      <c r="X242" s="794">
        <f t="shared" si="262"/>
        <v>3</v>
      </c>
      <c r="Y242" s="769">
        <f t="shared" ca="1" si="263"/>
        <v>0.54772255750516607</v>
      </c>
      <c r="Z242" s="769">
        <f t="shared" ca="1" si="264"/>
        <v>0</v>
      </c>
      <c r="AA242" s="795">
        <f t="shared" ca="1" si="265"/>
        <v>0</v>
      </c>
      <c r="AB242" s="769">
        <f t="shared" ca="1" si="266"/>
        <v>0</v>
      </c>
      <c r="AC242" s="769">
        <f t="shared" ca="1" si="267"/>
        <v>0</v>
      </c>
      <c r="AD242" s="769">
        <f t="shared" ca="1" si="268"/>
        <v>0</v>
      </c>
      <c r="AE242" s="794">
        <f t="shared" ca="1" si="269"/>
        <v>0</v>
      </c>
      <c r="AF242" s="769">
        <f t="shared" ca="1" si="270"/>
        <v>0</v>
      </c>
      <c r="AG242" s="769">
        <f t="shared" ca="1" si="271"/>
        <v>0</v>
      </c>
      <c r="AH242" s="799">
        <f t="shared" ca="1" si="272"/>
        <v>0</v>
      </c>
      <c r="AI242" s="801">
        <f t="shared" ca="1" si="273"/>
        <v>1</v>
      </c>
      <c r="AJ242" s="794">
        <f t="shared" ca="1" si="274"/>
        <v>0</v>
      </c>
      <c r="AK242" s="769">
        <f t="shared" ca="1" si="275"/>
        <v>0</v>
      </c>
      <c r="AL242" s="769">
        <f t="shared" ca="1" si="276"/>
        <v>0</v>
      </c>
      <c r="AM242" s="804">
        <f t="shared" ca="1" si="226"/>
        <v>0</v>
      </c>
      <c r="AN242" s="795">
        <f t="shared" ca="1" si="227"/>
        <v>0</v>
      </c>
      <c r="AO242" s="251"/>
      <c r="AP242" s="770">
        <f t="shared" si="277"/>
        <v>0</v>
      </c>
      <c r="AQ242" s="771">
        <f t="shared" ca="1" si="278"/>
        <v>0</v>
      </c>
      <c r="AR242" s="771">
        <f t="shared" ca="1" si="279"/>
        <v>0</v>
      </c>
      <c r="AS242" s="772">
        <f t="shared" ca="1" si="280"/>
        <v>0</v>
      </c>
      <c r="AT242" s="231"/>
      <c r="AU242" s="770">
        <f>'Main Results - IRR DC Operator'!$F$16</f>
        <v>2</v>
      </c>
      <c r="AV242" s="773">
        <f>'Main Results - IRR DC Operator'!$F$15</f>
        <v>1</v>
      </c>
      <c r="AW242" s="771">
        <f t="shared" ca="1" si="281"/>
        <v>0</v>
      </c>
      <c r="AX242" s="772">
        <f t="shared" si="282"/>
        <v>0</v>
      </c>
      <c r="AY242" s="231"/>
      <c r="AZ242" s="770" cm="1">
        <f t="array" aca="1" ref="AZ242" ca="1">INDIRECT("'Definition of Typical Day'!"&amp; ADDRESS($D242+29*(AZ$16-1),$E242))+$AZ$17</f>
        <v>11</v>
      </c>
      <c r="BA242" s="771" cm="1">
        <f t="array" aca="1" ref="BA242" ca="1">INDIRECT("'Definition of Typical Day'!"&amp; ADDRESS($D242+29*(BA$16-1),$E242))+$BA$17</f>
        <v>11</v>
      </c>
      <c r="BB242" s="772" cm="1">
        <f t="array" aca="1" ref="BB242" ca="1">INDIRECT("'Definition of Typical Day'!"&amp;ADDRESS(BB$16,$E242))</f>
        <v>0</v>
      </c>
      <c r="BC242" s="776" cm="1">
        <f t="array" aca="1" ref="BC242" ca="1">INDIRECT("'Definition of Typical Day'!"&amp; ADDRESS($D242+29*(BC$16-1),$E242))</f>
        <v>0</v>
      </c>
      <c r="BD242" s="777" cm="1">
        <f t="array" aca="1" ref="BD242" ca="1">INDIRECT("'Definition of Typical Day'!"&amp; ADDRESS($D242+29*(BD$16-1),$E242))</f>
        <v>0</v>
      </c>
      <c r="BE242" s="776">
        <f t="shared" si="283"/>
        <v>0</v>
      </c>
      <c r="BF242" s="771">
        <f t="shared" ca="1" si="284"/>
        <v>0</v>
      </c>
      <c r="BG242" s="771">
        <f t="shared" ca="1" si="285"/>
        <v>0</v>
      </c>
      <c r="BH242" s="771">
        <f t="shared" ca="1" si="286"/>
        <v>0</v>
      </c>
      <c r="BI242" s="776">
        <f t="shared" ca="1" si="287"/>
        <v>0</v>
      </c>
      <c r="BJ242" s="776">
        <f t="shared" ca="1" si="288"/>
        <v>0</v>
      </c>
      <c r="BK242" s="776">
        <f t="shared" ca="1" si="289"/>
        <v>0</v>
      </c>
      <c r="BL242" s="776">
        <f t="shared" ca="1" si="290"/>
        <v>0</v>
      </c>
      <c r="BM242" s="135"/>
      <c r="BN242" s="776">
        <f t="shared" ca="1" si="291"/>
        <v>0</v>
      </c>
      <c r="BO242" s="778">
        <f t="shared" ca="1" si="228"/>
        <v>0</v>
      </c>
      <c r="BP242" s="770">
        <f t="shared" ca="1" si="229"/>
        <v>0</v>
      </c>
      <c r="BQ242" s="771">
        <f t="shared" ca="1" si="230"/>
        <v>0</v>
      </c>
      <c r="BR242" s="771">
        <f t="shared" ca="1" si="231"/>
        <v>0</v>
      </c>
      <c r="BS242" s="776">
        <f t="shared" ca="1" si="292"/>
        <v>0</v>
      </c>
      <c r="BT242" s="776">
        <f t="shared" ca="1" si="232"/>
        <v>0</v>
      </c>
      <c r="BU242" s="783">
        <f t="shared" ca="1" si="233"/>
        <v>0</v>
      </c>
      <c r="BV242" s="783">
        <f t="shared" ca="1" si="234"/>
        <v>0</v>
      </c>
      <c r="BW242" s="1019">
        <f t="shared" ca="1" si="293"/>
        <v>0</v>
      </c>
      <c r="BX242" s="771" cm="1">
        <f t="array" aca="1" ref="BX242" ca="1">INDIRECT("'Definition of Typical Day'!"&amp; ADDRESS($D242+29*(BX$16-1),$E242))</f>
        <v>0</v>
      </c>
      <c r="BY242" s="771">
        <f t="shared" ca="1" si="294"/>
        <v>0</v>
      </c>
      <c r="BZ242" s="781">
        <f t="shared" ca="1" si="235"/>
        <v>0</v>
      </c>
      <c r="CA242" s="781">
        <f t="shared" ca="1" si="236"/>
        <v>0</v>
      </c>
      <c r="CB242" s="776">
        <f t="shared" ca="1" si="237"/>
        <v>0</v>
      </c>
      <c r="CC242" s="782">
        <f t="shared" si="238"/>
        <v>10</v>
      </c>
      <c r="CD242" s="782">
        <f t="shared" si="239"/>
        <v>6</v>
      </c>
      <c r="CE242" s="784" cm="1">
        <f t="array" aca="1" ref="CE242" ca="1">INDIRECT("'Definition of Typical Day'!"&amp;ADDRESS(CE$16,$E242))</f>
        <v>10</v>
      </c>
      <c r="CF242" s="232"/>
      <c r="CG242" s="232"/>
      <c r="CH242" s="776">
        <f t="shared" ca="1" si="240"/>
        <v>0</v>
      </c>
      <c r="CI242" s="806">
        <f t="shared" ca="1" si="241"/>
        <v>0</v>
      </c>
      <c r="CJ242" s="770">
        <f t="shared" ca="1" si="242"/>
        <v>0</v>
      </c>
      <c r="CK242" s="771">
        <f t="shared" ca="1" si="243"/>
        <v>0</v>
      </c>
      <c r="CL242" s="771">
        <f t="shared" ca="1" si="244"/>
        <v>0</v>
      </c>
      <c r="CM242" s="772">
        <f t="shared" ca="1" si="245"/>
        <v>0</v>
      </c>
      <c r="CN242" s="135"/>
      <c r="CO242" s="770">
        <f t="shared" ca="1" si="295"/>
        <v>1.05</v>
      </c>
      <c r="CP242" s="771">
        <f t="shared" ca="1" si="246"/>
        <v>0.02</v>
      </c>
      <c r="CQ242" s="771">
        <f t="shared" ca="1" si="247"/>
        <v>-2.5000000000000001E-2</v>
      </c>
      <c r="CR242" s="771">
        <f t="shared" ca="1" si="248"/>
        <v>0.95</v>
      </c>
      <c r="CS242" s="771">
        <f t="shared" ca="1" si="249"/>
        <v>0.03</v>
      </c>
      <c r="CT242" s="772">
        <f t="shared" ca="1" si="250"/>
        <v>0.02</v>
      </c>
      <c r="CU242" s="135"/>
      <c r="CV242" s="135"/>
      <c r="CW242" s="135"/>
      <c r="CX242" s="135"/>
      <c r="CY242" s="135"/>
      <c r="CZ242" s="135"/>
      <c r="DA242" s="135"/>
      <c r="DB242" s="135"/>
      <c r="DC242" s="135"/>
      <c r="DD242" s="135"/>
      <c r="DE242" s="135"/>
      <c r="DF242" s="135"/>
      <c r="DG242" s="135"/>
      <c r="DH242" s="135"/>
      <c r="DI242" s="135"/>
      <c r="DJ242" s="135"/>
      <c r="DK242" s="135"/>
      <c r="DL242" s="135"/>
      <c r="DX242" s="135"/>
      <c r="DY242" s="135"/>
      <c r="DZ242" s="135"/>
      <c r="EA242" s="135"/>
      <c r="EB242" s="135"/>
      <c r="EC242" s="135"/>
      <c r="ED242" s="135"/>
      <c r="EE242" s="135"/>
      <c r="EF242" s="135"/>
      <c r="EG242" s="135"/>
      <c r="EH242" s="135"/>
      <c r="EI242" s="135"/>
      <c r="EJ242" s="135"/>
      <c r="EK242" s="135"/>
      <c r="EL242" s="135"/>
      <c r="EM242" s="135"/>
      <c r="EN242" s="135"/>
      <c r="EO242" s="135"/>
      <c r="EP242" s="135"/>
      <c r="EQ242" s="135"/>
      <c r="ER242" s="135"/>
      <c r="ES242" s="135"/>
      <c r="ET242" s="135"/>
      <c r="EU242" s="135"/>
      <c r="EV242" s="135"/>
      <c r="EW242" s="135"/>
      <c r="EX242" s="135"/>
      <c r="EY242" s="135"/>
      <c r="EZ242" s="135"/>
      <c r="FA242" s="135"/>
      <c r="FB242" s="135"/>
      <c r="FC242" s="135"/>
      <c r="FD242" s="135"/>
      <c r="FE242" s="135"/>
      <c r="FF242" s="135"/>
      <c r="FG242" s="135"/>
    </row>
    <row r="243" spans="1:163" s="57" customFormat="1" ht="11.25" outlineLevel="1">
      <c r="A243" s="765">
        <f t="shared" si="296"/>
        <v>10</v>
      </c>
      <c r="B243" s="715" cm="1">
        <f t="array" aca="1" ref="B243" ca="1">INDIRECT("'Definition of Typical Day'!"&amp;ADDRESS(B$16,$E243))</f>
        <v>10</v>
      </c>
      <c r="C243" s="766">
        <f t="shared" si="297"/>
        <v>7</v>
      </c>
      <c r="D243" s="715">
        <f t="shared" si="297"/>
        <v>41</v>
      </c>
      <c r="E243" s="715">
        <f t="shared" si="225"/>
        <v>14</v>
      </c>
      <c r="F243" s="767" cm="1">
        <f t="array" aca="1" ref="F243" ca="1">INDIRECT("'Definition of Typical Day'!D"&amp;D243)</f>
        <v>7</v>
      </c>
      <c r="G243" s="767" cm="1">
        <f t="array" aca="1" ref="G243" ca="1">INDIRECT("'Definition of Typical Day'!"&amp;ADDRESS(13,E243))</f>
        <v>10</v>
      </c>
      <c r="H243" s="768" cm="1">
        <f t="array" aca="1" ref="H243" ca="1">INDIRECT("'Definition of Typical Day'!"&amp; ADDRESS($D243+28*(H$16-1),$E243))</f>
        <v>0</v>
      </c>
      <c r="I243" s="715" cm="1">
        <f t="array" aca="1" ref="I243" ca="1">INDIRECT("'Definition of Typical Day'!"&amp; ADDRESS($D243+29*(I$16-1),$E243))</f>
        <v>0</v>
      </c>
      <c r="J243" s="715">
        <f t="shared" ca="1" si="251"/>
        <v>0</v>
      </c>
      <c r="K243" s="785">
        <f t="shared" si="252"/>
        <v>28</v>
      </c>
      <c r="L243" s="786" cm="1">
        <f t="array" aca="1" ref="L243" ca="1">INDIRECT("'Definition of Typical Day'!"&amp; ADDRESS($D243+29*(L$16-1),$E243))</f>
        <v>0</v>
      </c>
      <c r="M243" s="768" cm="1">
        <f t="array" aca="1" ref="M243" ca="1">INDIRECT("'Definition of Typical Day'!"&amp; ADDRESS($D243+29*(M$16-1),$E243))</f>
        <v>0</v>
      </c>
      <c r="N243" s="715">
        <f t="shared" si="253"/>
        <v>3</v>
      </c>
      <c r="O243" s="715">
        <f t="shared" ca="1" si="254"/>
        <v>3</v>
      </c>
      <c r="P243" s="715" cm="1">
        <f t="array" aca="1" ref="P243" ca="1">INDIRECT("'Definition of Typical Day'!"&amp; ADDRESS($D243+29*(P$16-1),$E243))</f>
        <v>0</v>
      </c>
      <c r="Q243" s="787">
        <f t="shared" ca="1" si="255"/>
        <v>3</v>
      </c>
      <c r="R243" s="792">
        <f t="shared" ca="1" si="256"/>
        <v>3</v>
      </c>
      <c r="S243" s="769">
        <f t="shared" si="257"/>
        <v>3</v>
      </c>
      <c r="T243" s="769">
        <f t="shared" ca="1" si="258"/>
        <v>-0.5</v>
      </c>
      <c r="U243" s="769">
        <f t="shared" ca="1" si="259"/>
        <v>2.262</v>
      </c>
      <c r="V243" s="769">
        <f t="shared" ca="1" si="260"/>
        <v>0</v>
      </c>
      <c r="W243" s="769">
        <f t="shared" ca="1" si="261"/>
        <v>4.7620000000000005</v>
      </c>
      <c r="X243" s="794">
        <f t="shared" si="262"/>
        <v>3</v>
      </c>
      <c r="Y243" s="769">
        <f t="shared" ca="1" si="263"/>
        <v>0.54772255750516607</v>
      </c>
      <c r="Z243" s="769">
        <f t="shared" ca="1" si="264"/>
        <v>0</v>
      </c>
      <c r="AA243" s="795">
        <f t="shared" ca="1" si="265"/>
        <v>0</v>
      </c>
      <c r="AB243" s="769">
        <f t="shared" ca="1" si="266"/>
        <v>0</v>
      </c>
      <c r="AC243" s="769">
        <f t="shared" ca="1" si="267"/>
        <v>0</v>
      </c>
      <c r="AD243" s="769">
        <f t="shared" ca="1" si="268"/>
        <v>0</v>
      </c>
      <c r="AE243" s="794">
        <f t="shared" ca="1" si="269"/>
        <v>0</v>
      </c>
      <c r="AF243" s="769">
        <f t="shared" ca="1" si="270"/>
        <v>0</v>
      </c>
      <c r="AG243" s="769">
        <f t="shared" ca="1" si="271"/>
        <v>0</v>
      </c>
      <c r="AH243" s="799">
        <f t="shared" ca="1" si="272"/>
        <v>0</v>
      </c>
      <c r="AI243" s="801">
        <f t="shared" ca="1" si="273"/>
        <v>1</v>
      </c>
      <c r="AJ243" s="794">
        <f t="shared" ca="1" si="274"/>
        <v>0</v>
      </c>
      <c r="AK243" s="769">
        <f t="shared" ca="1" si="275"/>
        <v>0</v>
      </c>
      <c r="AL243" s="769">
        <f t="shared" ca="1" si="276"/>
        <v>0</v>
      </c>
      <c r="AM243" s="804">
        <f t="shared" ca="1" si="226"/>
        <v>0</v>
      </c>
      <c r="AN243" s="795">
        <f t="shared" ca="1" si="227"/>
        <v>0</v>
      </c>
      <c r="AO243" s="251"/>
      <c r="AP243" s="770">
        <f t="shared" si="277"/>
        <v>0</v>
      </c>
      <c r="AQ243" s="771">
        <f t="shared" ca="1" si="278"/>
        <v>0</v>
      </c>
      <c r="AR243" s="771">
        <f t="shared" ca="1" si="279"/>
        <v>0</v>
      </c>
      <c r="AS243" s="772">
        <f t="shared" ca="1" si="280"/>
        <v>0</v>
      </c>
      <c r="AT243" s="231"/>
      <c r="AU243" s="770">
        <f>'Main Results - IRR DC Operator'!$F$16</f>
        <v>2</v>
      </c>
      <c r="AV243" s="773">
        <f>'Main Results - IRR DC Operator'!$F$15</f>
        <v>1</v>
      </c>
      <c r="AW243" s="771">
        <f t="shared" ca="1" si="281"/>
        <v>0</v>
      </c>
      <c r="AX243" s="772">
        <f t="shared" si="282"/>
        <v>0</v>
      </c>
      <c r="AY243" s="231"/>
      <c r="AZ243" s="770" cm="1">
        <f t="array" aca="1" ref="AZ243" ca="1">INDIRECT("'Definition of Typical Day'!"&amp; ADDRESS($D243+29*(AZ$16-1),$E243))+$AZ$17</f>
        <v>11</v>
      </c>
      <c r="BA243" s="771" cm="1">
        <f t="array" aca="1" ref="BA243" ca="1">INDIRECT("'Definition of Typical Day'!"&amp; ADDRESS($D243+29*(BA$16-1),$E243))+$BA$17</f>
        <v>11</v>
      </c>
      <c r="BB243" s="772" cm="1">
        <f t="array" aca="1" ref="BB243" ca="1">INDIRECT("'Definition of Typical Day'!"&amp;ADDRESS(BB$16,$E243))</f>
        <v>0</v>
      </c>
      <c r="BC243" s="776" cm="1">
        <f t="array" aca="1" ref="BC243" ca="1">INDIRECT("'Definition of Typical Day'!"&amp; ADDRESS($D243+29*(BC$16-1),$E243))</f>
        <v>0</v>
      </c>
      <c r="BD243" s="777" cm="1">
        <f t="array" aca="1" ref="BD243" ca="1">INDIRECT("'Definition of Typical Day'!"&amp; ADDRESS($D243+29*(BD$16-1),$E243))</f>
        <v>0</v>
      </c>
      <c r="BE243" s="776">
        <f t="shared" si="283"/>
        <v>0</v>
      </c>
      <c r="BF243" s="771">
        <f t="shared" ca="1" si="284"/>
        <v>0</v>
      </c>
      <c r="BG243" s="771">
        <f t="shared" ca="1" si="285"/>
        <v>0</v>
      </c>
      <c r="BH243" s="771">
        <f t="shared" ca="1" si="286"/>
        <v>0</v>
      </c>
      <c r="BI243" s="776">
        <f t="shared" ca="1" si="287"/>
        <v>0</v>
      </c>
      <c r="BJ243" s="776">
        <f t="shared" ca="1" si="288"/>
        <v>0</v>
      </c>
      <c r="BK243" s="776">
        <f t="shared" ca="1" si="289"/>
        <v>0</v>
      </c>
      <c r="BL243" s="776">
        <f t="shared" ca="1" si="290"/>
        <v>0</v>
      </c>
      <c r="BM243" s="135"/>
      <c r="BN243" s="776">
        <f t="shared" ca="1" si="291"/>
        <v>0</v>
      </c>
      <c r="BO243" s="778">
        <f t="shared" ca="1" si="228"/>
        <v>0</v>
      </c>
      <c r="BP243" s="770">
        <f t="shared" ca="1" si="229"/>
        <v>0</v>
      </c>
      <c r="BQ243" s="771">
        <f t="shared" ca="1" si="230"/>
        <v>0</v>
      </c>
      <c r="BR243" s="771">
        <f t="shared" ca="1" si="231"/>
        <v>0</v>
      </c>
      <c r="BS243" s="776">
        <f t="shared" ca="1" si="292"/>
        <v>0</v>
      </c>
      <c r="BT243" s="776">
        <f t="shared" ca="1" si="232"/>
        <v>0</v>
      </c>
      <c r="BU243" s="783">
        <f t="shared" ca="1" si="233"/>
        <v>0</v>
      </c>
      <c r="BV243" s="783">
        <f t="shared" ca="1" si="234"/>
        <v>0</v>
      </c>
      <c r="BW243" s="1019">
        <f t="shared" ca="1" si="293"/>
        <v>0</v>
      </c>
      <c r="BX243" s="771" cm="1">
        <f t="array" aca="1" ref="BX243" ca="1">INDIRECT("'Definition of Typical Day'!"&amp; ADDRESS($D243+29*(BX$16-1),$E243))</f>
        <v>0</v>
      </c>
      <c r="BY243" s="771">
        <f t="shared" ca="1" si="294"/>
        <v>0</v>
      </c>
      <c r="BZ243" s="781">
        <f t="shared" ca="1" si="235"/>
        <v>0</v>
      </c>
      <c r="CA243" s="781">
        <f t="shared" ca="1" si="236"/>
        <v>0</v>
      </c>
      <c r="CB243" s="776">
        <f t="shared" ca="1" si="237"/>
        <v>0</v>
      </c>
      <c r="CC243" s="782">
        <f t="shared" si="238"/>
        <v>10</v>
      </c>
      <c r="CD243" s="782">
        <f t="shared" si="239"/>
        <v>7</v>
      </c>
      <c r="CE243" s="784" cm="1">
        <f t="array" aca="1" ref="CE243" ca="1">INDIRECT("'Definition of Typical Day'!"&amp;ADDRESS(CE$16,$E243))</f>
        <v>10</v>
      </c>
      <c r="CF243" s="232"/>
      <c r="CG243" s="232"/>
      <c r="CH243" s="776">
        <f t="shared" ca="1" si="240"/>
        <v>0</v>
      </c>
      <c r="CI243" s="806">
        <f t="shared" ca="1" si="241"/>
        <v>0</v>
      </c>
      <c r="CJ243" s="770">
        <f t="shared" ca="1" si="242"/>
        <v>0</v>
      </c>
      <c r="CK243" s="771">
        <f t="shared" ca="1" si="243"/>
        <v>0</v>
      </c>
      <c r="CL243" s="771">
        <f t="shared" ca="1" si="244"/>
        <v>0</v>
      </c>
      <c r="CM243" s="772">
        <f t="shared" ca="1" si="245"/>
        <v>0</v>
      </c>
      <c r="CN243" s="135"/>
      <c r="CO243" s="770">
        <f t="shared" ca="1" si="295"/>
        <v>1.05</v>
      </c>
      <c r="CP243" s="771">
        <f t="shared" ca="1" si="246"/>
        <v>0.02</v>
      </c>
      <c r="CQ243" s="771">
        <f t="shared" ca="1" si="247"/>
        <v>-2.5000000000000001E-2</v>
      </c>
      <c r="CR243" s="771">
        <f t="shared" ca="1" si="248"/>
        <v>0.95</v>
      </c>
      <c r="CS243" s="771">
        <f t="shared" ca="1" si="249"/>
        <v>0.03</v>
      </c>
      <c r="CT243" s="772">
        <f t="shared" ca="1" si="250"/>
        <v>0.02</v>
      </c>
      <c r="CU243" s="135"/>
      <c r="CV243" s="135"/>
      <c r="CW243" s="135"/>
      <c r="CX243" s="135"/>
      <c r="CY243" s="135"/>
      <c r="CZ243" s="135"/>
      <c r="DA243" s="135"/>
      <c r="DB243" s="135"/>
      <c r="DC243" s="135"/>
      <c r="DD243" s="135"/>
      <c r="DE243" s="135"/>
      <c r="DF243" s="135"/>
      <c r="DG243" s="135"/>
      <c r="DH243" s="135"/>
      <c r="DI243" s="135"/>
      <c r="DJ243" s="135"/>
      <c r="DK243" s="135"/>
      <c r="DL243" s="135"/>
      <c r="DX243" s="135"/>
      <c r="DY243" s="135"/>
      <c r="DZ243" s="135"/>
      <c r="EA243" s="135"/>
      <c r="EB243" s="135"/>
      <c r="EC243" s="135"/>
      <c r="ED243" s="135"/>
      <c r="EE243" s="135"/>
      <c r="EF243" s="135"/>
      <c r="EG243" s="135"/>
      <c r="EH243" s="135"/>
      <c r="EI243" s="135"/>
      <c r="EJ243" s="135"/>
      <c r="EK243" s="135"/>
      <c r="EL243" s="135"/>
      <c r="EM243" s="135"/>
      <c r="EN243" s="135"/>
      <c r="EO243" s="135"/>
      <c r="EP243" s="135"/>
      <c r="EQ243" s="135"/>
      <c r="ER243" s="135"/>
      <c r="ES243" s="135"/>
      <c r="ET243" s="135"/>
      <c r="EU243" s="135"/>
      <c r="EV243" s="135"/>
      <c r="EW243" s="135"/>
      <c r="EX243" s="135"/>
      <c r="EY243" s="135"/>
      <c r="EZ243" s="135"/>
      <c r="FA243" s="135"/>
      <c r="FB243" s="135"/>
      <c r="FC243" s="135"/>
      <c r="FD243" s="135"/>
      <c r="FE243" s="135"/>
      <c r="FF243" s="135"/>
      <c r="FG243" s="135"/>
    </row>
    <row r="244" spans="1:163" s="57" customFormat="1" ht="11.25" outlineLevel="1">
      <c r="A244" s="765">
        <f t="shared" si="296"/>
        <v>10</v>
      </c>
      <c r="B244" s="715" cm="1">
        <f t="array" aca="1" ref="B244" ca="1">INDIRECT("'Definition of Typical Day'!"&amp;ADDRESS(B$16,$E244))</f>
        <v>10</v>
      </c>
      <c r="C244" s="766">
        <f t="shared" si="297"/>
        <v>8</v>
      </c>
      <c r="D244" s="715">
        <f t="shared" si="297"/>
        <v>42</v>
      </c>
      <c r="E244" s="715">
        <f t="shared" si="225"/>
        <v>14</v>
      </c>
      <c r="F244" s="767" cm="1">
        <f t="array" aca="1" ref="F244" ca="1">INDIRECT("'Definition of Typical Day'!D"&amp;D244)</f>
        <v>8</v>
      </c>
      <c r="G244" s="767" cm="1">
        <f t="array" aca="1" ref="G244" ca="1">INDIRECT("'Definition of Typical Day'!"&amp;ADDRESS(13,E244))</f>
        <v>10</v>
      </c>
      <c r="H244" s="768" cm="1">
        <f t="array" aca="1" ref="H244" ca="1">INDIRECT("'Definition of Typical Day'!"&amp; ADDRESS($D244+28*(H$16-1),$E244))</f>
        <v>0</v>
      </c>
      <c r="I244" s="715" cm="1">
        <f t="array" aca="1" ref="I244" ca="1">INDIRECT("'Definition of Typical Day'!"&amp; ADDRESS($D244+29*(I$16-1),$E244))</f>
        <v>0</v>
      </c>
      <c r="J244" s="715">
        <f t="shared" ca="1" si="251"/>
        <v>0</v>
      </c>
      <c r="K244" s="785">
        <f t="shared" si="252"/>
        <v>28</v>
      </c>
      <c r="L244" s="786" cm="1">
        <f t="array" aca="1" ref="L244" ca="1">INDIRECT("'Definition of Typical Day'!"&amp; ADDRESS($D244+29*(L$16-1),$E244))</f>
        <v>0</v>
      </c>
      <c r="M244" s="768" cm="1">
        <f t="array" aca="1" ref="M244" ca="1">INDIRECT("'Definition of Typical Day'!"&amp; ADDRESS($D244+29*(M$16-1),$E244))</f>
        <v>0</v>
      </c>
      <c r="N244" s="715">
        <f t="shared" si="253"/>
        <v>3</v>
      </c>
      <c r="O244" s="715">
        <f t="shared" ca="1" si="254"/>
        <v>3</v>
      </c>
      <c r="P244" s="715" cm="1">
        <f t="array" aca="1" ref="P244" ca="1">INDIRECT("'Definition of Typical Day'!"&amp; ADDRESS($D244+29*(P$16-1),$E244))</f>
        <v>0</v>
      </c>
      <c r="Q244" s="787">
        <f t="shared" ca="1" si="255"/>
        <v>3</v>
      </c>
      <c r="R244" s="792">
        <f t="shared" ca="1" si="256"/>
        <v>3</v>
      </c>
      <c r="S244" s="769">
        <f t="shared" si="257"/>
        <v>3</v>
      </c>
      <c r="T244" s="769">
        <f t="shared" ca="1" si="258"/>
        <v>-0.5</v>
      </c>
      <c r="U244" s="769">
        <f t="shared" ca="1" si="259"/>
        <v>2.262</v>
      </c>
      <c r="V244" s="769">
        <f t="shared" ca="1" si="260"/>
        <v>0</v>
      </c>
      <c r="W244" s="769">
        <f t="shared" ca="1" si="261"/>
        <v>4.7620000000000005</v>
      </c>
      <c r="X244" s="794">
        <f t="shared" si="262"/>
        <v>3</v>
      </c>
      <c r="Y244" s="769">
        <f t="shared" ca="1" si="263"/>
        <v>0.54772255750516607</v>
      </c>
      <c r="Z244" s="769">
        <f t="shared" ca="1" si="264"/>
        <v>0</v>
      </c>
      <c r="AA244" s="795">
        <f t="shared" ca="1" si="265"/>
        <v>0</v>
      </c>
      <c r="AB244" s="769">
        <f t="shared" ca="1" si="266"/>
        <v>0</v>
      </c>
      <c r="AC244" s="769">
        <f t="shared" ca="1" si="267"/>
        <v>0</v>
      </c>
      <c r="AD244" s="769">
        <f t="shared" ca="1" si="268"/>
        <v>0</v>
      </c>
      <c r="AE244" s="794">
        <f t="shared" ca="1" si="269"/>
        <v>0</v>
      </c>
      <c r="AF244" s="769">
        <f t="shared" ca="1" si="270"/>
        <v>0</v>
      </c>
      <c r="AG244" s="769">
        <f t="shared" ca="1" si="271"/>
        <v>0</v>
      </c>
      <c r="AH244" s="799">
        <f t="shared" ca="1" si="272"/>
        <v>0</v>
      </c>
      <c r="AI244" s="801">
        <f t="shared" ca="1" si="273"/>
        <v>1</v>
      </c>
      <c r="AJ244" s="794">
        <f t="shared" ca="1" si="274"/>
        <v>0</v>
      </c>
      <c r="AK244" s="769">
        <f t="shared" ca="1" si="275"/>
        <v>0</v>
      </c>
      <c r="AL244" s="769">
        <f t="shared" ca="1" si="276"/>
        <v>0</v>
      </c>
      <c r="AM244" s="804">
        <f t="shared" ca="1" si="226"/>
        <v>0</v>
      </c>
      <c r="AN244" s="795">
        <f t="shared" ca="1" si="227"/>
        <v>0</v>
      </c>
      <c r="AO244" s="251"/>
      <c r="AP244" s="770">
        <f t="shared" si="277"/>
        <v>0</v>
      </c>
      <c r="AQ244" s="771">
        <f t="shared" ca="1" si="278"/>
        <v>0</v>
      </c>
      <c r="AR244" s="771">
        <f t="shared" ca="1" si="279"/>
        <v>0</v>
      </c>
      <c r="AS244" s="772">
        <f t="shared" ca="1" si="280"/>
        <v>0</v>
      </c>
      <c r="AT244" s="231"/>
      <c r="AU244" s="770">
        <f>'Main Results - IRR DC Operator'!$F$16</f>
        <v>2</v>
      </c>
      <c r="AV244" s="773">
        <f>'Main Results - IRR DC Operator'!$F$15</f>
        <v>1</v>
      </c>
      <c r="AW244" s="771">
        <f t="shared" ca="1" si="281"/>
        <v>0</v>
      </c>
      <c r="AX244" s="772">
        <f t="shared" si="282"/>
        <v>0</v>
      </c>
      <c r="AY244" s="231"/>
      <c r="AZ244" s="770" cm="1">
        <f t="array" aca="1" ref="AZ244" ca="1">INDIRECT("'Definition of Typical Day'!"&amp; ADDRESS($D244+29*(AZ$16-1),$E244))+$AZ$17</f>
        <v>11</v>
      </c>
      <c r="BA244" s="771" cm="1">
        <f t="array" aca="1" ref="BA244" ca="1">INDIRECT("'Definition of Typical Day'!"&amp; ADDRESS($D244+29*(BA$16-1),$E244))+$BA$17</f>
        <v>11</v>
      </c>
      <c r="BB244" s="772" cm="1">
        <f t="array" aca="1" ref="BB244" ca="1">INDIRECT("'Definition of Typical Day'!"&amp;ADDRESS(BB$16,$E244))</f>
        <v>0</v>
      </c>
      <c r="BC244" s="776" cm="1">
        <f t="array" aca="1" ref="BC244" ca="1">INDIRECT("'Definition of Typical Day'!"&amp; ADDRESS($D244+29*(BC$16-1),$E244))</f>
        <v>0</v>
      </c>
      <c r="BD244" s="777" cm="1">
        <f t="array" aca="1" ref="BD244" ca="1">INDIRECT("'Definition of Typical Day'!"&amp; ADDRESS($D244+29*(BD$16-1),$E244))</f>
        <v>0</v>
      </c>
      <c r="BE244" s="776">
        <f t="shared" si="283"/>
        <v>0</v>
      </c>
      <c r="BF244" s="771">
        <f t="shared" ca="1" si="284"/>
        <v>0</v>
      </c>
      <c r="BG244" s="771">
        <f t="shared" ca="1" si="285"/>
        <v>0</v>
      </c>
      <c r="BH244" s="771">
        <f t="shared" ca="1" si="286"/>
        <v>0</v>
      </c>
      <c r="BI244" s="776">
        <f t="shared" ca="1" si="287"/>
        <v>0</v>
      </c>
      <c r="BJ244" s="776">
        <f t="shared" ca="1" si="288"/>
        <v>0</v>
      </c>
      <c r="BK244" s="776">
        <f t="shared" ca="1" si="289"/>
        <v>0</v>
      </c>
      <c r="BL244" s="776">
        <f t="shared" ca="1" si="290"/>
        <v>0</v>
      </c>
      <c r="BM244" s="135"/>
      <c r="BN244" s="776">
        <f t="shared" ca="1" si="291"/>
        <v>0</v>
      </c>
      <c r="BO244" s="778">
        <f t="shared" ca="1" si="228"/>
        <v>0</v>
      </c>
      <c r="BP244" s="770">
        <f t="shared" ca="1" si="229"/>
        <v>0</v>
      </c>
      <c r="BQ244" s="771">
        <f t="shared" ca="1" si="230"/>
        <v>0</v>
      </c>
      <c r="BR244" s="771">
        <f t="shared" ca="1" si="231"/>
        <v>0</v>
      </c>
      <c r="BS244" s="776">
        <f t="shared" ca="1" si="292"/>
        <v>0</v>
      </c>
      <c r="BT244" s="776">
        <f t="shared" ca="1" si="232"/>
        <v>0</v>
      </c>
      <c r="BU244" s="783">
        <f t="shared" ca="1" si="233"/>
        <v>0</v>
      </c>
      <c r="BV244" s="783">
        <f t="shared" ca="1" si="234"/>
        <v>0</v>
      </c>
      <c r="BW244" s="1019">
        <f t="shared" ca="1" si="293"/>
        <v>0</v>
      </c>
      <c r="BX244" s="771" cm="1">
        <f t="array" aca="1" ref="BX244" ca="1">INDIRECT("'Definition of Typical Day'!"&amp; ADDRESS($D244+29*(BX$16-1),$E244))</f>
        <v>0</v>
      </c>
      <c r="BY244" s="771">
        <f t="shared" ca="1" si="294"/>
        <v>0</v>
      </c>
      <c r="BZ244" s="781">
        <f t="shared" ca="1" si="235"/>
        <v>0</v>
      </c>
      <c r="CA244" s="781">
        <f t="shared" ca="1" si="236"/>
        <v>0</v>
      </c>
      <c r="CB244" s="776">
        <f t="shared" ca="1" si="237"/>
        <v>0</v>
      </c>
      <c r="CC244" s="782">
        <f t="shared" si="238"/>
        <v>10</v>
      </c>
      <c r="CD244" s="782">
        <f t="shared" si="239"/>
        <v>8</v>
      </c>
      <c r="CE244" s="784" cm="1">
        <f t="array" aca="1" ref="CE244" ca="1">INDIRECT("'Definition of Typical Day'!"&amp;ADDRESS(CE$16,$E244))</f>
        <v>10</v>
      </c>
      <c r="CF244" s="232"/>
      <c r="CG244" s="232"/>
      <c r="CH244" s="776">
        <f t="shared" ca="1" si="240"/>
        <v>0</v>
      </c>
      <c r="CI244" s="806">
        <f t="shared" ca="1" si="241"/>
        <v>0</v>
      </c>
      <c r="CJ244" s="770">
        <f t="shared" ca="1" si="242"/>
        <v>0</v>
      </c>
      <c r="CK244" s="771">
        <f t="shared" ca="1" si="243"/>
        <v>0</v>
      </c>
      <c r="CL244" s="771">
        <f t="shared" ca="1" si="244"/>
        <v>0</v>
      </c>
      <c r="CM244" s="772">
        <f t="shared" ca="1" si="245"/>
        <v>0</v>
      </c>
      <c r="CN244" s="135"/>
      <c r="CO244" s="770">
        <f t="shared" ca="1" si="295"/>
        <v>1.05</v>
      </c>
      <c r="CP244" s="771">
        <f t="shared" ca="1" si="246"/>
        <v>0.02</v>
      </c>
      <c r="CQ244" s="771">
        <f t="shared" ca="1" si="247"/>
        <v>-2.5000000000000001E-2</v>
      </c>
      <c r="CR244" s="771">
        <f t="shared" ca="1" si="248"/>
        <v>0.95</v>
      </c>
      <c r="CS244" s="771">
        <f t="shared" ca="1" si="249"/>
        <v>0.03</v>
      </c>
      <c r="CT244" s="772">
        <f t="shared" ca="1" si="250"/>
        <v>0.02</v>
      </c>
      <c r="CU244" s="135"/>
      <c r="CV244" s="135"/>
      <c r="CW244" s="135"/>
      <c r="CX244" s="135"/>
      <c r="CY244" s="135"/>
      <c r="CZ244" s="135"/>
      <c r="DA244" s="135"/>
      <c r="DB244" s="135"/>
      <c r="DC244" s="135"/>
      <c r="DD244" s="135"/>
      <c r="DE244" s="135"/>
      <c r="DF244" s="135"/>
      <c r="DG244" s="135"/>
      <c r="DH244" s="135"/>
      <c r="DI244" s="135"/>
      <c r="DJ244" s="135"/>
      <c r="DK244" s="135"/>
      <c r="DL244" s="135"/>
      <c r="DX244" s="135"/>
      <c r="DY244" s="135"/>
      <c r="DZ244" s="135"/>
      <c r="EA244" s="135"/>
      <c r="EB244" s="135"/>
      <c r="EC244" s="135"/>
      <c r="ED244" s="135"/>
      <c r="EE244" s="135"/>
      <c r="EF244" s="135"/>
      <c r="EG244" s="135"/>
      <c r="EH244" s="135"/>
      <c r="EI244" s="135"/>
      <c r="EJ244" s="135"/>
      <c r="EK244" s="135"/>
      <c r="EL244" s="135"/>
      <c r="EM244" s="135"/>
      <c r="EN244" s="135"/>
      <c r="EO244" s="135"/>
      <c r="EP244" s="135"/>
      <c r="EQ244" s="135"/>
      <c r="ER244" s="135"/>
      <c r="ES244" s="135"/>
      <c r="ET244" s="135"/>
      <c r="EU244" s="135"/>
      <c r="EV244" s="135"/>
      <c r="EW244" s="135"/>
      <c r="EX244" s="135"/>
      <c r="EY244" s="135"/>
      <c r="EZ244" s="135"/>
      <c r="FA244" s="135"/>
      <c r="FB244" s="135"/>
      <c r="FC244" s="135"/>
      <c r="FD244" s="135"/>
      <c r="FE244" s="135"/>
      <c r="FF244" s="135"/>
      <c r="FG244" s="135"/>
    </row>
    <row r="245" spans="1:163" s="57" customFormat="1" ht="11.25" outlineLevel="1">
      <c r="A245" s="765">
        <f t="shared" si="296"/>
        <v>10</v>
      </c>
      <c r="B245" s="715" cm="1">
        <f t="array" aca="1" ref="B245" ca="1">INDIRECT("'Definition of Typical Day'!"&amp;ADDRESS(B$16,$E245))</f>
        <v>10</v>
      </c>
      <c r="C245" s="766">
        <f t="shared" si="297"/>
        <v>9</v>
      </c>
      <c r="D245" s="715">
        <f t="shared" si="297"/>
        <v>43</v>
      </c>
      <c r="E245" s="715">
        <f t="shared" si="225"/>
        <v>14</v>
      </c>
      <c r="F245" s="767" cm="1">
        <f t="array" aca="1" ref="F245" ca="1">INDIRECT("'Definition of Typical Day'!D"&amp;D245)</f>
        <v>9</v>
      </c>
      <c r="G245" s="767" cm="1">
        <f t="array" aca="1" ref="G245" ca="1">INDIRECT("'Definition of Typical Day'!"&amp;ADDRESS(13,E245))</f>
        <v>10</v>
      </c>
      <c r="H245" s="768" cm="1">
        <f t="array" aca="1" ref="H245" ca="1">INDIRECT("'Definition of Typical Day'!"&amp; ADDRESS($D245+28*(H$16-1),$E245))</f>
        <v>0</v>
      </c>
      <c r="I245" s="715" cm="1">
        <f t="array" aca="1" ref="I245" ca="1">INDIRECT("'Definition of Typical Day'!"&amp; ADDRESS($D245+29*(I$16-1),$E245))</f>
        <v>0</v>
      </c>
      <c r="J245" s="715">
        <f t="shared" ca="1" si="251"/>
        <v>0</v>
      </c>
      <c r="K245" s="785">
        <f t="shared" si="252"/>
        <v>28</v>
      </c>
      <c r="L245" s="786" cm="1">
        <f t="array" aca="1" ref="L245" ca="1">INDIRECT("'Definition of Typical Day'!"&amp; ADDRESS($D245+29*(L$16-1),$E245))</f>
        <v>0</v>
      </c>
      <c r="M245" s="768" cm="1">
        <f t="array" aca="1" ref="M245" ca="1">INDIRECT("'Definition of Typical Day'!"&amp; ADDRESS($D245+29*(M$16-1),$E245))</f>
        <v>0</v>
      </c>
      <c r="N245" s="715">
        <f t="shared" si="253"/>
        <v>3</v>
      </c>
      <c r="O245" s="715">
        <f t="shared" ca="1" si="254"/>
        <v>3</v>
      </c>
      <c r="P245" s="715" cm="1">
        <f t="array" aca="1" ref="P245" ca="1">INDIRECT("'Definition of Typical Day'!"&amp; ADDRESS($D245+29*(P$16-1),$E245))</f>
        <v>0</v>
      </c>
      <c r="Q245" s="787">
        <f t="shared" ca="1" si="255"/>
        <v>3</v>
      </c>
      <c r="R245" s="792">
        <f t="shared" ca="1" si="256"/>
        <v>3</v>
      </c>
      <c r="S245" s="769">
        <f t="shared" si="257"/>
        <v>3</v>
      </c>
      <c r="T245" s="769">
        <f t="shared" ca="1" si="258"/>
        <v>-0.5</v>
      </c>
      <c r="U245" s="769">
        <f t="shared" ca="1" si="259"/>
        <v>2.262</v>
      </c>
      <c r="V245" s="769">
        <f t="shared" ca="1" si="260"/>
        <v>0</v>
      </c>
      <c r="W245" s="769">
        <f t="shared" ca="1" si="261"/>
        <v>4.7620000000000005</v>
      </c>
      <c r="X245" s="794">
        <f t="shared" si="262"/>
        <v>3</v>
      </c>
      <c r="Y245" s="769">
        <f t="shared" ca="1" si="263"/>
        <v>0.54772255750516607</v>
      </c>
      <c r="Z245" s="769">
        <f t="shared" ca="1" si="264"/>
        <v>0</v>
      </c>
      <c r="AA245" s="795">
        <f t="shared" ca="1" si="265"/>
        <v>0</v>
      </c>
      <c r="AB245" s="769">
        <f t="shared" ca="1" si="266"/>
        <v>0</v>
      </c>
      <c r="AC245" s="769">
        <f t="shared" ca="1" si="267"/>
        <v>0</v>
      </c>
      <c r="AD245" s="769">
        <f t="shared" ca="1" si="268"/>
        <v>0</v>
      </c>
      <c r="AE245" s="794">
        <f t="shared" ca="1" si="269"/>
        <v>0</v>
      </c>
      <c r="AF245" s="769">
        <f t="shared" ca="1" si="270"/>
        <v>0</v>
      </c>
      <c r="AG245" s="769">
        <f t="shared" ca="1" si="271"/>
        <v>0</v>
      </c>
      <c r="AH245" s="799">
        <f t="shared" ca="1" si="272"/>
        <v>0</v>
      </c>
      <c r="AI245" s="801">
        <f t="shared" ca="1" si="273"/>
        <v>1</v>
      </c>
      <c r="AJ245" s="794">
        <f t="shared" ca="1" si="274"/>
        <v>0</v>
      </c>
      <c r="AK245" s="769">
        <f t="shared" ca="1" si="275"/>
        <v>0</v>
      </c>
      <c r="AL245" s="769">
        <f t="shared" ca="1" si="276"/>
        <v>0</v>
      </c>
      <c r="AM245" s="804">
        <f t="shared" ca="1" si="226"/>
        <v>0</v>
      </c>
      <c r="AN245" s="795">
        <f t="shared" ca="1" si="227"/>
        <v>0</v>
      </c>
      <c r="AO245" s="251"/>
      <c r="AP245" s="770">
        <f t="shared" si="277"/>
        <v>0</v>
      </c>
      <c r="AQ245" s="771">
        <f t="shared" ca="1" si="278"/>
        <v>0</v>
      </c>
      <c r="AR245" s="771">
        <f t="shared" ca="1" si="279"/>
        <v>0</v>
      </c>
      <c r="AS245" s="772">
        <f t="shared" ca="1" si="280"/>
        <v>0</v>
      </c>
      <c r="AT245" s="231"/>
      <c r="AU245" s="770">
        <f>'Main Results - IRR DC Operator'!$F$16</f>
        <v>2</v>
      </c>
      <c r="AV245" s="773">
        <f>'Main Results - IRR DC Operator'!$F$15</f>
        <v>1</v>
      </c>
      <c r="AW245" s="771">
        <f t="shared" ca="1" si="281"/>
        <v>0</v>
      </c>
      <c r="AX245" s="772">
        <f t="shared" si="282"/>
        <v>0</v>
      </c>
      <c r="AY245" s="231"/>
      <c r="AZ245" s="770" cm="1">
        <f t="array" aca="1" ref="AZ245" ca="1">INDIRECT("'Definition of Typical Day'!"&amp; ADDRESS($D245+29*(AZ$16-1),$E245))+$AZ$17</f>
        <v>11</v>
      </c>
      <c r="BA245" s="771" cm="1">
        <f t="array" aca="1" ref="BA245" ca="1">INDIRECT("'Definition of Typical Day'!"&amp; ADDRESS($D245+29*(BA$16-1),$E245))+$BA$17</f>
        <v>11</v>
      </c>
      <c r="BB245" s="772" cm="1">
        <f t="array" aca="1" ref="BB245" ca="1">INDIRECT("'Definition of Typical Day'!"&amp;ADDRESS(BB$16,$E245))</f>
        <v>0</v>
      </c>
      <c r="BC245" s="776" cm="1">
        <f t="array" aca="1" ref="BC245" ca="1">INDIRECT("'Definition of Typical Day'!"&amp; ADDRESS($D245+29*(BC$16-1),$E245))</f>
        <v>0</v>
      </c>
      <c r="BD245" s="777" cm="1">
        <f t="array" aca="1" ref="BD245" ca="1">INDIRECT("'Definition of Typical Day'!"&amp; ADDRESS($D245+29*(BD$16-1),$E245))</f>
        <v>0</v>
      </c>
      <c r="BE245" s="776">
        <f t="shared" si="283"/>
        <v>0</v>
      </c>
      <c r="BF245" s="771">
        <f t="shared" ca="1" si="284"/>
        <v>0</v>
      </c>
      <c r="BG245" s="771">
        <f t="shared" ca="1" si="285"/>
        <v>0</v>
      </c>
      <c r="BH245" s="771">
        <f t="shared" ca="1" si="286"/>
        <v>0</v>
      </c>
      <c r="BI245" s="776">
        <f t="shared" ca="1" si="287"/>
        <v>0</v>
      </c>
      <c r="BJ245" s="776">
        <f t="shared" ca="1" si="288"/>
        <v>0</v>
      </c>
      <c r="BK245" s="776">
        <f t="shared" ca="1" si="289"/>
        <v>0</v>
      </c>
      <c r="BL245" s="776">
        <f t="shared" ca="1" si="290"/>
        <v>0</v>
      </c>
      <c r="BM245" s="135"/>
      <c r="BN245" s="776">
        <f t="shared" ca="1" si="291"/>
        <v>0</v>
      </c>
      <c r="BO245" s="778">
        <f t="shared" ca="1" si="228"/>
        <v>0</v>
      </c>
      <c r="BP245" s="770">
        <f t="shared" ca="1" si="229"/>
        <v>0</v>
      </c>
      <c r="BQ245" s="771">
        <f t="shared" ca="1" si="230"/>
        <v>0</v>
      </c>
      <c r="BR245" s="771">
        <f t="shared" ca="1" si="231"/>
        <v>0</v>
      </c>
      <c r="BS245" s="776">
        <f t="shared" ca="1" si="292"/>
        <v>0</v>
      </c>
      <c r="BT245" s="776">
        <f t="shared" ca="1" si="232"/>
        <v>0</v>
      </c>
      <c r="BU245" s="783">
        <f t="shared" ca="1" si="233"/>
        <v>0</v>
      </c>
      <c r="BV245" s="783">
        <f t="shared" ca="1" si="234"/>
        <v>0</v>
      </c>
      <c r="BW245" s="1019">
        <f t="shared" ca="1" si="293"/>
        <v>0</v>
      </c>
      <c r="BX245" s="771" cm="1">
        <f t="array" aca="1" ref="BX245" ca="1">INDIRECT("'Definition of Typical Day'!"&amp; ADDRESS($D245+29*(BX$16-1),$E245))</f>
        <v>0</v>
      </c>
      <c r="BY245" s="771">
        <f t="shared" ca="1" si="294"/>
        <v>0</v>
      </c>
      <c r="BZ245" s="781">
        <f t="shared" ca="1" si="235"/>
        <v>0</v>
      </c>
      <c r="CA245" s="781">
        <f t="shared" ca="1" si="236"/>
        <v>0</v>
      </c>
      <c r="CB245" s="776">
        <f t="shared" ca="1" si="237"/>
        <v>0</v>
      </c>
      <c r="CC245" s="782">
        <f t="shared" si="238"/>
        <v>10</v>
      </c>
      <c r="CD245" s="782">
        <f t="shared" si="239"/>
        <v>9</v>
      </c>
      <c r="CE245" s="784" cm="1">
        <f t="array" aca="1" ref="CE245" ca="1">INDIRECT("'Definition of Typical Day'!"&amp;ADDRESS(CE$16,$E245))</f>
        <v>10</v>
      </c>
      <c r="CF245" s="232"/>
      <c r="CG245" s="232"/>
      <c r="CH245" s="776">
        <f t="shared" ca="1" si="240"/>
        <v>0</v>
      </c>
      <c r="CI245" s="806">
        <f t="shared" ca="1" si="241"/>
        <v>0</v>
      </c>
      <c r="CJ245" s="770">
        <f t="shared" ca="1" si="242"/>
        <v>0</v>
      </c>
      <c r="CK245" s="771">
        <f t="shared" ca="1" si="243"/>
        <v>0</v>
      </c>
      <c r="CL245" s="771">
        <f t="shared" ca="1" si="244"/>
        <v>0</v>
      </c>
      <c r="CM245" s="772">
        <f t="shared" ca="1" si="245"/>
        <v>0</v>
      </c>
      <c r="CN245" s="135"/>
      <c r="CO245" s="770">
        <f t="shared" ca="1" si="295"/>
        <v>1.05</v>
      </c>
      <c r="CP245" s="771">
        <f t="shared" ca="1" si="246"/>
        <v>0.02</v>
      </c>
      <c r="CQ245" s="771">
        <f t="shared" ca="1" si="247"/>
        <v>-2.5000000000000001E-2</v>
      </c>
      <c r="CR245" s="771">
        <f t="shared" ca="1" si="248"/>
        <v>0.95</v>
      </c>
      <c r="CS245" s="771">
        <f t="shared" ca="1" si="249"/>
        <v>0.03</v>
      </c>
      <c r="CT245" s="772">
        <f t="shared" ca="1" si="250"/>
        <v>0.02</v>
      </c>
      <c r="CU245" s="135"/>
      <c r="CV245" s="135"/>
      <c r="CW245" s="135"/>
      <c r="CX245" s="135"/>
      <c r="CY245" s="135"/>
      <c r="CZ245" s="135"/>
      <c r="DA245" s="135"/>
      <c r="DB245" s="135"/>
      <c r="DC245" s="135"/>
      <c r="DD245" s="135"/>
      <c r="DE245" s="135"/>
      <c r="DF245" s="135"/>
      <c r="DG245" s="135"/>
      <c r="DH245" s="135"/>
      <c r="DI245" s="135"/>
      <c r="DJ245" s="135"/>
      <c r="DK245" s="135"/>
      <c r="DL245" s="135"/>
      <c r="DX245" s="135"/>
      <c r="DY245" s="135"/>
      <c r="DZ245" s="135"/>
      <c r="EA245" s="135"/>
      <c r="EB245" s="135"/>
      <c r="EC245" s="135"/>
      <c r="ED245" s="135"/>
      <c r="EE245" s="135"/>
      <c r="EF245" s="135"/>
      <c r="EG245" s="135"/>
      <c r="EH245" s="135"/>
      <c r="EI245" s="135"/>
      <c r="EJ245" s="135"/>
      <c r="EK245" s="135"/>
      <c r="EL245" s="135"/>
      <c r="EM245" s="135"/>
      <c r="EN245" s="135"/>
      <c r="EO245" s="135"/>
      <c r="EP245" s="135"/>
      <c r="EQ245" s="135"/>
      <c r="ER245" s="135"/>
      <c r="ES245" s="135"/>
      <c r="ET245" s="135"/>
      <c r="EU245" s="135"/>
      <c r="EV245" s="135"/>
      <c r="EW245" s="135"/>
      <c r="EX245" s="135"/>
      <c r="EY245" s="135"/>
      <c r="EZ245" s="135"/>
      <c r="FA245" s="135"/>
      <c r="FB245" s="135"/>
      <c r="FC245" s="135"/>
      <c r="FD245" s="135"/>
      <c r="FE245" s="135"/>
      <c r="FF245" s="135"/>
      <c r="FG245" s="135"/>
    </row>
    <row r="246" spans="1:163" s="57" customFormat="1" ht="11.25" outlineLevel="1">
      <c r="A246" s="765">
        <f t="shared" si="296"/>
        <v>10</v>
      </c>
      <c r="B246" s="715" cm="1">
        <f t="array" aca="1" ref="B246" ca="1">INDIRECT("'Definition of Typical Day'!"&amp;ADDRESS(B$16,$E246))</f>
        <v>10</v>
      </c>
      <c r="C246" s="766">
        <f t="shared" si="297"/>
        <v>10</v>
      </c>
      <c r="D246" s="715">
        <f t="shared" si="297"/>
        <v>44</v>
      </c>
      <c r="E246" s="715">
        <f t="shared" si="225"/>
        <v>14</v>
      </c>
      <c r="F246" s="767" cm="1">
        <f t="array" aca="1" ref="F246" ca="1">INDIRECT("'Definition of Typical Day'!D"&amp;D246)</f>
        <v>10</v>
      </c>
      <c r="G246" s="767" cm="1">
        <f t="array" aca="1" ref="G246" ca="1">INDIRECT("'Definition of Typical Day'!"&amp;ADDRESS(13,E246))</f>
        <v>10</v>
      </c>
      <c r="H246" s="768" cm="1">
        <f t="array" aca="1" ref="H246" ca="1">INDIRECT("'Definition of Typical Day'!"&amp; ADDRESS($D246+28*(H$16-1),$E246))</f>
        <v>0</v>
      </c>
      <c r="I246" s="715" cm="1">
        <f t="array" aca="1" ref="I246" ca="1">INDIRECT("'Definition of Typical Day'!"&amp; ADDRESS($D246+29*(I$16-1),$E246))</f>
        <v>0</v>
      </c>
      <c r="J246" s="715">
        <f t="shared" ca="1" si="251"/>
        <v>0</v>
      </c>
      <c r="K246" s="785">
        <f t="shared" si="252"/>
        <v>28</v>
      </c>
      <c r="L246" s="786" cm="1">
        <f t="array" aca="1" ref="L246" ca="1">INDIRECT("'Definition of Typical Day'!"&amp; ADDRESS($D246+29*(L$16-1),$E246))</f>
        <v>0</v>
      </c>
      <c r="M246" s="768" cm="1">
        <f t="array" aca="1" ref="M246" ca="1">INDIRECT("'Definition of Typical Day'!"&amp; ADDRESS($D246+29*(M$16-1),$E246))</f>
        <v>0</v>
      </c>
      <c r="N246" s="715">
        <f t="shared" si="253"/>
        <v>3</v>
      </c>
      <c r="O246" s="715">
        <f t="shared" ca="1" si="254"/>
        <v>3</v>
      </c>
      <c r="P246" s="715" cm="1">
        <f t="array" aca="1" ref="P246" ca="1">INDIRECT("'Definition of Typical Day'!"&amp; ADDRESS($D246+29*(P$16-1),$E246))</f>
        <v>0</v>
      </c>
      <c r="Q246" s="787">
        <f t="shared" ca="1" si="255"/>
        <v>3</v>
      </c>
      <c r="R246" s="792">
        <f t="shared" ca="1" si="256"/>
        <v>3</v>
      </c>
      <c r="S246" s="769">
        <f t="shared" si="257"/>
        <v>3</v>
      </c>
      <c r="T246" s="769">
        <f t="shared" ca="1" si="258"/>
        <v>-0.5</v>
      </c>
      <c r="U246" s="769">
        <f t="shared" ca="1" si="259"/>
        <v>2.262</v>
      </c>
      <c r="V246" s="769">
        <f t="shared" ca="1" si="260"/>
        <v>0</v>
      </c>
      <c r="W246" s="769">
        <f t="shared" ca="1" si="261"/>
        <v>4.7620000000000005</v>
      </c>
      <c r="X246" s="794">
        <f t="shared" si="262"/>
        <v>3</v>
      </c>
      <c r="Y246" s="769">
        <f t="shared" ca="1" si="263"/>
        <v>0.54772255750516607</v>
      </c>
      <c r="Z246" s="769">
        <f t="shared" ca="1" si="264"/>
        <v>0</v>
      </c>
      <c r="AA246" s="795">
        <f t="shared" ca="1" si="265"/>
        <v>0</v>
      </c>
      <c r="AB246" s="769">
        <f t="shared" ca="1" si="266"/>
        <v>0</v>
      </c>
      <c r="AC246" s="769">
        <f t="shared" ca="1" si="267"/>
        <v>0</v>
      </c>
      <c r="AD246" s="769">
        <f t="shared" ca="1" si="268"/>
        <v>0</v>
      </c>
      <c r="AE246" s="794">
        <f t="shared" ca="1" si="269"/>
        <v>0</v>
      </c>
      <c r="AF246" s="769">
        <f t="shared" ca="1" si="270"/>
        <v>0</v>
      </c>
      <c r="AG246" s="769">
        <f t="shared" ca="1" si="271"/>
        <v>0</v>
      </c>
      <c r="AH246" s="799">
        <f t="shared" ca="1" si="272"/>
        <v>0</v>
      </c>
      <c r="AI246" s="801">
        <f t="shared" ca="1" si="273"/>
        <v>1</v>
      </c>
      <c r="AJ246" s="794">
        <f t="shared" ca="1" si="274"/>
        <v>0</v>
      </c>
      <c r="AK246" s="769">
        <f t="shared" ca="1" si="275"/>
        <v>0</v>
      </c>
      <c r="AL246" s="769">
        <f t="shared" ca="1" si="276"/>
        <v>0</v>
      </c>
      <c r="AM246" s="804">
        <f t="shared" ca="1" si="226"/>
        <v>0</v>
      </c>
      <c r="AN246" s="795">
        <f t="shared" ca="1" si="227"/>
        <v>0</v>
      </c>
      <c r="AO246" s="251"/>
      <c r="AP246" s="770">
        <f t="shared" si="277"/>
        <v>0</v>
      </c>
      <c r="AQ246" s="771">
        <f t="shared" ca="1" si="278"/>
        <v>0</v>
      </c>
      <c r="AR246" s="771">
        <f t="shared" ca="1" si="279"/>
        <v>0</v>
      </c>
      <c r="AS246" s="772">
        <f t="shared" ca="1" si="280"/>
        <v>0</v>
      </c>
      <c r="AT246" s="231"/>
      <c r="AU246" s="770">
        <f>'Main Results - IRR DC Operator'!$F$16</f>
        <v>2</v>
      </c>
      <c r="AV246" s="773">
        <f>'Main Results - IRR DC Operator'!$F$15</f>
        <v>1</v>
      </c>
      <c r="AW246" s="771">
        <f t="shared" ca="1" si="281"/>
        <v>0</v>
      </c>
      <c r="AX246" s="772">
        <f t="shared" si="282"/>
        <v>0</v>
      </c>
      <c r="AY246" s="231"/>
      <c r="AZ246" s="770" cm="1">
        <f t="array" aca="1" ref="AZ246" ca="1">INDIRECT("'Definition of Typical Day'!"&amp; ADDRESS($D246+29*(AZ$16-1),$E246))+$AZ$17</f>
        <v>11</v>
      </c>
      <c r="BA246" s="771" cm="1">
        <f t="array" aca="1" ref="BA246" ca="1">INDIRECT("'Definition of Typical Day'!"&amp; ADDRESS($D246+29*(BA$16-1),$E246))+$BA$17</f>
        <v>11</v>
      </c>
      <c r="BB246" s="772" cm="1">
        <f t="array" aca="1" ref="BB246" ca="1">INDIRECT("'Definition of Typical Day'!"&amp;ADDRESS(BB$16,$E246))</f>
        <v>0</v>
      </c>
      <c r="BC246" s="776" cm="1">
        <f t="array" aca="1" ref="BC246" ca="1">INDIRECT("'Definition of Typical Day'!"&amp; ADDRESS($D246+29*(BC$16-1),$E246))</f>
        <v>0</v>
      </c>
      <c r="BD246" s="777" cm="1">
        <f t="array" aca="1" ref="BD246" ca="1">INDIRECT("'Definition of Typical Day'!"&amp; ADDRESS($D246+29*(BD$16-1),$E246))</f>
        <v>0</v>
      </c>
      <c r="BE246" s="776">
        <f t="shared" si="283"/>
        <v>0</v>
      </c>
      <c r="BF246" s="771">
        <f t="shared" ca="1" si="284"/>
        <v>0</v>
      </c>
      <c r="BG246" s="771">
        <f t="shared" ca="1" si="285"/>
        <v>0</v>
      </c>
      <c r="BH246" s="771">
        <f t="shared" ca="1" si="286"/>
        <v>0</v>
      </c>
      <c r="BI246" s="776">
        <f t="shared" ca="1" si="287"/>
        <v>0</v>
      </c>
      <c r="BJ246" s="776">
        <f t="shared" ca="1" si="288"/>
        <v>0</v>
      </c>
      <c r="BK246" s="776">
        <f t="shared" ca="1" si="289"/>
        <v>0</v>
      </c>
      <c r="BL246" s="776">
        <f t="shared" ca="1" si="290"/>
        <v>0</v>
      </c>
      <c r="BM246" s="135"/>
      <c r="BN246" s="776">
        <f t="shared" ca="1" si="291"/>
        <v>0</v>
      </c>
      <c r="BO246" s="778">
        <f t="shared" ca="1" si="228"/>
        <v>0</v>
      </c>
      <c r="BP246" s="770">
        <f t="shared" ca="1" si="229"/>
        <v>0</v>
      </c>
      <c r="BQ246" s="771">
        <f t="shared" ca="1" si="230"/>
        <v>0</v>
      </c>
      <c r="BR246" s="771">
        <f t="shared" ca="1" si="231"/>
        <v>0</v>
      </c>
      <c r="BS246" s="776">
        <f t="shared" ca="1" si="292"/>
        <v>0</v>
      </c>
      <c r="BT246" s="776">
        <f t="shared" ca="1" si="232"/>
        <v>0</v>
      </c>
      <c r="BU246" s="783">
        <f t="shared" ca="1" si="233"/>
        <v>0</v>
      </c>
      <c r="BV246" s="783">
        <f t="shared" ca="1" si="234"/>
        <v>0</v>
      </c>
      <c r="BW246" s="1019">
        <f t="shared" ca="1" si="293"/>
        <v>0</v>
      </c>
      <c r="BX246" s="771" cm="1">
        <f t="array" aca="1" ref="BX246" ca="1">INDIRECT("'Definition of Typical Day'!"&amp; ADDRESS($D246+29*(BX$16-1),$E246))</f>
        <v>0</v>
      </c>
      <c r="BY246" s="771">
        <f t="shared" ca="1" si="294"/>
        <v>0</v>
      </c>
      <c r="BZ246" s="781">
        <f t="shared" ca="1" si="235"/>
        <v>0</v>
      </c>
      <c r="CA246" s="781">
        <f t="shared" ca="1" si="236"/>
        <v>0</v>
      </c>
      <c r="CB246" s="776">
        <f t="shared" ca="1" si="237"/>
        <v>0</v>
      </c>
      <c r="CC246" s="782">
        <f t="shared" si="238"/>
        <v>10</v>
      </c>
      <c r="CD246" s="782">
        <f t="shared" si="239"/>
        <v>10</v>
      </c>
      <c r="CE246" s="784" cm="1">
        <f t="array" aca="1" ref="CE246" ca="1">INDIRECT("'Definition of Typical Day'!"&amp;ADDRESS(CE$16,$E246))</f>
        <v>10</v>
      </c>
      <c r="CF246" s="232"/>
      <c r="CG246" s="232"/>
      <c r="CH246" s="776">
        <f t="shared" ca="1" si="240"/>
        <v>0</v>
      </c>
      <c r="CI246" s="806">
        <f t="shared" ca="1" si="241"/>
        <v>0</v>
      </c>
      <c r="CJ246" s="770">
        <f t="shared" ca="1" si="242"/>
        <v>0</v>
      </c>
      <c r="CK246" s="771">
        <f t="shared" ca="1" si="243"/>
        <v>0</v>
      </c>
      <c r="CL246" s="771">
        <f t="shared" ca="1" si="244"/>
        <v>0</v>
      </c>
      <c r="CM246" s="772">
        <f t="shared" ca="1" si="245"/>
        <v>0</v>
      </c>
      <c r="CN246" s="135"/>
      <c r="CO246" s="770">
        <f t="shared" ca="1" si="295"/>
        <v>1.05</v>
      </c>
      <c r="CP246" s="771">
        <f t="shared" ca="1" si="246"/>
        <v>0.02</v>
      </c>
      <c r="CQ246" s="771">
        <f t="shared" ca="1" si="247"/>
        <v>-2.5000000000000001E-2</v>
      </c>
      <c r="CR246" s="771">
        <f t="shared" ca="1" si="248"/>
        <v>0.95</v>
      </c>
      <c r="CS246" s="771">
        <f t="shared" ca="1" si="249"/>
        <v>0.03</v>
      </c>
      <c r="CT246" s="772">
        <f t="shared" ca="1" si="250"/>
        <v>0.02</v>
      </c>
      <c r="CU246" s="135"/>
      <c r="CV246" s="135"/>
      <c r="CW246" s="135"/>
      <c r="CX246" s="135"/>
      <c r="CY246" s="135"/>
      <c r="CZ246" s="135"/>
      <c r="DA246" s="135"/>
      <c r="DB246" s="135"/>
      <c r="DC246" s="135"/>
      <c r="DD246" s="135"/>
      <c r="DE246" s="135"/>
      <c r="DF246" s="135"/>
      <c r="DG246" s="135"/>
      <c r="DH246" s="135"/>
      <c r="DI246" s="135"/>
      <c r="DJ246" s="135"/>
      <c r="DK246" s="135"/>
      <c r="DL246" s="135"/>
      <c r="DX246" s="135"/>
      <c r="DY246" s="135"/>
      <c r="DZ246" s="135"/>
      <c r="EA246" s="135"/>
      <c r="EB246" s="135"/>
      <c r="EC246" s="135"/>
      <c r="ED246" s="135"/>
      <c r="EE246" s="135"/>
      <c r="EF246" s="135"/>
      <c r="EG246" s="135"/>
      <c r="EH246" s="135"/>
      <c r="EI246" s="135"/>
      <c r="EJ246" s="135"/>
      <c r="EK246" s="135"/>
      <c r="EL246" s="135"/>
      <c r="EM246" s="135"/>
      <c r="EN246" s="135"/>
      <c r="EO246" s="135"/>
      <c r="EP246" s="135"/>
      <c r="EQ246" s="135"/>
      <c r="ER246" s="135"/>
      <c r="ES246" s="135"/>
      <c r="ET246" s="135"/>
      <c r="EU246" s="135"/>
      <c r="EV246" s="135"/>
      <c r="EW246" s="135"/>
      <c r="EX246" s="135"/>
      <c r="EY246" s="135"/>
      <c r="EZ246" s="135"/>
      <c r="FA246" s="135"/>
      <c r="FB246" s="135"/>
      <c r="FC246" s="135"/>
      <c r="FD246" s="135"/>
      <c r="FE246" s="135"/>
      <c r="FF246" s="135"/>
      <c r="FG246" s="135"/>
    </row>
    <row r="247" spans="1:163" s="57" customFormat="1" ht="11.25" outlineLevel="1">
      <c r="A247" s="765">
        <f t="shared" si="296"/>
        <v>10</v>
      </c>
      <c r="B247" s="715" cm="1">
        <f t="array" aca="1" ref="B247" ca="1">INDIRECT("'Definition of Typical Day'!"&amp;ADDRESS(B$16,$E247))</f>
        <v>10</v>
      </c>
      <c r="C247" s="766">
        <f t="shared" si="297"/>
        <v>11</v>
      </c>
      <c r="D247" s="715">
        <f t="shared" si="297"/>
        <v>45</v>
      </c>
      <c r="E247" s="715">
        <f t="shared" si="225"/>
        <v>14</v>
      </c>
      <c r="F247" s="767" cm="1">
        <f t="array" aca="1" ref="F247" ca="1">INDIRECT("'Definition of Typical Day'!D"&amp;D247)</f>
        <v>11</v>
      </c>
      <c r="G247" s="767" cm="1">
        <f t="array" aca="1" ref="G247" ca="1">INDIRECT("'Definition of Typical Day'!"&amp;ADDRESS(13,E247))</f>
        <v>10</v>
      </c>
      <c r="H247" s="768" cm="1">
        <f t="array" aca="1" ref="H247" ca="1">INDIRECT("'Definition of Typical Day'!"&amp; ADDRESS($D247+28*(H$16-1),$E247))</f>
        <v>0</v>
      </c>
      <c r="I247" s="715" cm="1">
        <f t="array" aca="1" ref="I247" ca="1">INDIRECT("'Definition of Typical Day'!"&amp; ADDRESS($D247+29*(I$16-1),$E247))</f>
        <v>0</v>
      </c>
      <c r="J247" s="715">
        <f t="shared" ca="1" si="251"/>
        <v>0</v>
      </c>
      <c r="K247" s="785">
        <f t="shared" si="252"/>
        <v>28</v>
      </c>
      <c r="L247" s="786" cm="1">
        <f t="array" aca="1" ref="L247" ca="1">INDIRECT("'Definition of Typical Day'!"&amp; ADDRESS($D247+29*(L$16-1),$E247))</f>
        <v>0</v>
      </c>
      <c r="M247" s="768" cm="1">
        <f t="array" aca="1" ref="M247" ca="1">INDIRECT("'Definition of Typical Day'!"&amp; ADDRESS($D247+29*(M$16-1),$E247))</f>
        <v>0</v>
      </c>
      <c r="N247" s="715">
        <f t="shared" si="253"/>
        <v>3</v>
      </c>
      <c r="O247" s="715">
        <f t="shared" ca="1" si="254"/>
        <v>3</v>
      </c>
      <c r="P247" s="715" cm="1">
        <f t="array" aca="1" ref="P247" ca="1">INDIRECT("'Definition of Typical Day'!"&amp; ADDRESS($D247+29*(P$16-1),$E247))</f>
        <v>0</v>
      </c>
      <c r="Q247" s="787">
        <f t="shared" ca="1" si="255"/>
        <v>3</v>
      </c>
      <c r="R247" s="792">
        <f t="shared" ca="1" si="256"/>
        <v>3</v>
      </c>
      <c r="S247" s="769">
        <f t="shared" si="257"/>
        <v>3</v>
      </c>
      <c r="T247" s="769">
        <f t="shared" ca="1" si="258"/>
        <v>-0.5</v>
      </c>
      <c r="U247" s="769">
        <f t="shared" ca="1" si="259"/>
        <v>2.262</v>
      </c>
      <c r="V247" s="769">
        <f t="shared" ca="1" si="260"/>
        <v>0</v>
      </c>
      <c r="W247" s="769">
        <f t="shared" ca="1" si="261"/>
        <v>4.7620000000000005</v>
      </c>
      <c r="X247" s="794">
        <f t="shared" si="262"/>
        <v>3</v>
      </c>
      <c r="Y247" s="769">
        <f t="shared" ca="1" si="263"/>
        <v>0.54772255750516607</v>
      </c>
      <c r="Z247" s="769">
        <f t="shared" ca="1" si="264"/>
        <v>0</v>
      </c>
      <c r="AA247" s="795">
        <f t="shared" ca="1" si="265"/>
        <v>0</v>
      </c>
      <c r="AB247" s="769">
        <f t="shared" ca="1" si="266"/>
        <v>0</v>
      </c>
      <c r="AC247" s="769">
        <f t="shared" ca="1" si="267"/>
        <v>0</v>
      </c>
      <c r="AD247" s="769">
        <f t="shared" ca="1" si="268"/>
        <v>0</v>
      </c>
      <c r="AE247" s="794">
        <f t="shared" ca="1" si="269"/>
        <v>0</v>
      </c>
      <c r="AF247" s="769">
        <f t="shared" ca="1" si="270"/>
        <v>0</v>
      </c>
      <c r="AG247" s="769">
        <f t="shared" ca="1" si="271"/>
        <v>0</v>
      </c>
      <c r="AH247" s="799">
        <f t="shared" ca="1" si="272"/>
        <v>0</v>
      </c>
      <c r="AI247" s="801">
        <f t="shared" ca="1" si="273"/>
        <v>1</v>
      </c>
      <c r="AJ247" s="794">
        <f t="shared" ca="1" si="274"/>
        <v>0</v>
      </c>
      <c r="AK247" s="769">
        <f t="shared" ca="1" si="275"/>
        <v>0</v>
      </c>
      <c r="AL247" s="769">
        <f t="shared" ca="1" si="276"/>
        <v>0</v>
      </c>
      <c r="AM247" s="804">
        <f t="shared" ca="1" si="226"/>
        <v>0</v>
      </c>
      <c r="AN247" s="795">
        <f t="shared" ca="1" si="227"/>
        <v>0</v>
      </c>
      <c r="AO247" s="251"/>
      <c r="AP247" s="770">
        <f t="shared" si="277"/>
        <v>0</v>
      </c>
      <c r="AQ247" s="771">
        <f t="shared" ca="1" si="278"/>
        <v>0</v>
      </c>
      <c r="AR247" s="771">
        <f t="shared" ca="1" si="279"/>
        <v>0</v>
      </c>
      <c r="AS247" s="772">
        <f t="shared" ca="1" si="280"/>
        <v>0</v>
      </c>
      <c r="AT247" s="231"/>
      <c r="AU247" s="770">
        <f>'Main Results - IRR DC Operator'!$F$16</f>
        <v>2</v>
      </c>
      <c r="AV247" s="773">
        <f>'Main Results - IRR DC Operator'!$F$15</f>
        <v>1</v>
      </c>
      <c r="AW247" s="771">
        <f t="shared" ca="1" si="281"/>
        <v>0</v>
      </c>
      <c r="AX247" s="772">
        <f t="shared" si="282"/>
        <v>0</v>
      </c>
      <c r="AY247" s="231"/>
      <c r="AZ247" s="770" cm="1">
        <f t="array" aca="1" ref="AZ247" ca="1">INDIRECT("'Definition of Typical Day'!"&amp; ADDRESS($D247+29*(AZ$16-1),$E247))+$AZ$17</f>
        <v>11</v>
      </c>
      <c r="BA247" s="771" cm="1">
        <f t="array" aca="1" ref="BA247" ca="1">INDIRECT("'Definition of Typical Day'!"&amp; ADDRESS($D247+29*(BA$16-1),$E247))+$BA$17</f>
        <v>11</v>
      </c>
      <c r="BB247" s="772" cm="1">
        <f t="array" aca="1" ref="BB247" ca="1">INDIRECT("'Definition of Typical Day'!"&amp;ADDRESS(BB$16,$E247))</f>
        <v>0</v>
      </c>
      <c r="BC247" s="776" cm="1">
        <f t="array" aca="1" ref="BC247" ca="1">INDIRECT("'Definition of Typical Day'!"&amp; ADDRESS($D247+29*(BC$16-1),$E247))</f>
        <v>0</v>
      </c>
      <c r="BD247" s="777" cm="1">
        <f t="array" aca="1" ref="BD247" ca="1">INDIRECT("'Definition of Typical Day'!"&amp; ADDRESS($D247+29*(BD$16-1),$E247))</f>
        <v>0</v>
      </c>
      <c r="BE247" s="776">
        <f t="shared" si="283"/>
        <v>0</v>
      </c>
      <c r="BF247" s="771">
        <f t="shared" ca="1" si="284"/>
        <v>0</v>
      </c>
      <c r="BG247" s="771">
        <f t="shared" ca="1" si="285"/>
        <v>0</v>
      </c>
      <c r="BH247" s="771">
        <f t="shared" ca="1" si="286"/>
        <v>0</v>
      </c>
      <c r="BI247" s="776">
        <f t="shared" ca="1" si="287"/>
        <v>0</v>
      </c>
      <c r="BJ247" s="776">
        <f t="shared" ca="1" si="288"/>
        <v>0</v>
      </c>
      <c r="BK247" s="776">
        <f t="shared" ca="1" si="289"/>
        <v>0</v>
      </c>
      <c r="BL247" s="776">
        <f t="shared" ca="1" si="290"/>
        <v>0</v>
      </c>
      <c r="BM247" s="135"/>
      <c r="BN247" s="776">
        <f t="shared" ca="1" si="291"/>
        <v>0</v>
      </c>
      <c r="BO247" s="778">
        <f t="shared" ca="1" si="228"/>
        <v>0</v>
      </c>
      <c r="BP247" s="770">
        <f t="shared" ca="1" si="229"/>
        <v>0</v>
      </c>
      <c r="BQ247" s="771">
        <f t="shared" ca="1" si="230"/>
        <v>0</v>
      </c>
      <c r="BR247" s="771">
        <f t="shared" ca="1" si="231"/>
        <v>0</v>
      </c>
      <c r="BS247" s="776">
        <f t="shared" ca="1" si="292"/>
        <v>0</v>
      </c>
      <c r="BT247" s="776">
        <f t="shared" ca="1" si="232"/>
        <v>0</v>
      </c>
      <c r="BU247" s="783">
        <f t="shared" ca="1" si="233"/>
        <v>0</v>
      </c>
      <c r="BV247" s="783">
        <f t="shared" ca="1" si="234"/>
        <v>0</v>
      </c>
      <c r="BW247" s="1019">
        <f t="shared" ca="1" si="293"/>
        <v>0</v>
      </c>
      <c r="BX247" s="771" cm="1">
        <f t="array" aca="1" ref="BX247" ca="1">INDIRECT("'Definition of Typical Day'!"&amp; ADDRESS($D247+29*(BX$16-1),$E247))</f>
        <v>0</v>
      </c>
      <c r="BY247" s="771">
        <f t="shared" ca="1" si="294"/>
        <v>0</v>
      </c>
      <c r="BZ247" s="781">
        <f t="shared" ca="1" si="235"/>
        <v>0</v>
      </c>
      <c r="CA247" s="781">
        <f t="shared" ca="1" si="236"/>
        <v>0</v>
      </c>
      <c r="CB247" s="776">
        <f t="shared" ca="1" si="237"/>
        <v>0</v>
      </c>
      <c r="CC247" s="782">
        <f t="shared" si="238"/>
        <v>10</v>
      </c>
      <c r="CD247" s="782">
        <f t="shared" si="239"/>
        <v>11</v>
      </c>
      <c r="CE247" s="784" cm="1">
        <f t="array" aca="1" ref="CE247" ca="1">INDIRECT("'Definition of Typical Day'!"&amp;ADDRESS(CE$16,$E247))</f>
        <v>10</v>
      </c>
      <c r="CF247" s="232"/>
      <c r="CG247" s="232"/>
      <c r="CH247" s="776">
        <f t="shared" ca="1" si="240"/>
        <v>0</v>
      </c>
      <c r="CI247" s="806">
        <f t="shared" ca="1" si="241"/>
        <v>0</v>
      </c>
      <c r="CJ247" s="770">
        <f t="shared" ca="1" si="242"/>
        <v>0</v>
      </c>
      <c r="CK247" s="771">
        <f t="shared" ca="1" si="243"/>
        <v>0</v>
      </c>
      <c r="CL247" s="771">
        <f t="shared" ca="1" si="244"/>
        <v>0</v>
      </c>
      <c r="CM247" s="772">
        <f t="shared" ca="1" si="245"/>
        <v>0</v>
      </c>
      <c r="CN247" s="135"/>
      <c r="CO247" s="770">
        <f t="shared" ca="1" si="295"/>
        <v>1.05</v>
      </c>
      <c r="CP247" s="771">
        <f t="shared" ca="1" si="246"/>
        <v>0.02</v>
      </c>
      <c r="CQ247" s="771">
        <f t="shared" ca="1" si="247"/>
        <v>-2.5000000000000001E-2</v>
      </c>
      <c r="CR247" s="771">
        <f t="shared" ca="1" si="248"/>
        <v>0.95</v>
      </c>
      <c r="CS247" s="771">
        <f t="shared" ca="1" si="249"/>
        <v>0.03</v>
      </c>
      <c r="CT247" s="772">
        <f t="shared" ca="1" si="250"/>
        <v>0.02</v>
      </c>
      <c r="CU247" s="135"/>
      <c r="CV247" s="135"/>
      <c r="CW247" s="135"/>
      <c r="CX247" s="135"/>
      <c r="CY247" s="135"/>
      <c r="CZ247" s="135"/>
      <c r="DA247" s="135"/>
      <c r="DB247" s="135"/>
      <c r="DC247" s="135"/>
      <c r="DD247" s="135"/>
      <c r="DE247" s="135"/>
      <c r="DF247" s="135"/>
      <c r="DG247" s="135"/>
      <c r="DH247" s="135"/>
      <c r="DI247" s="135"/>
      <c r="DJ247" s="135"/>
      <c r="DK247" s="135"/>
      <c r="DL247" s="135"/>
      <c r="DX247" s="135"/>
      <c r="DY247" s="135"/>
      <c r="DZ247" s="135"/>
      <c r="EA247" s="135"/>
      <c r="EB247" s="135"/>
      <c r="EC247" s="135"/>
      <c r="ED247" s="135"/>
      <c r="EE247" s="135"/>
      <c r="EF247" s="135"/>
      <c r="EG247" s="135"/>
      <c r="EH247" s="135"/>
      <c r="EI247" s="135"/>
      <c r="EJ247" s="135"/>
      <c r="EK247" s="135"/>
      <c r="EL247" s="135"/>
      <c r="EM247" s="135"/>
      <c r="EN247" s="135"/>
      <c r="EO247" s="135"/>
      <c r="EP247" s="135"/>
      <c r="EQ247" s="135"/>
      <c r="ER247" s="135"/>
      <c r="ES247" s="135"/>
      <c r="ET247" s="135"/>
      <c r="EU247" s="135"/>
      <c r="EV247" s="135"/>
      <c r="EW247" s="135"/>
      <c r="EX247" s="135"/>
      <c r="EY247" s="135"/>
      <c r="EZ247" s="135"/>
      <c r="FA247" s="135"/>
      <c r="FB247" s="135"/>
      <c r="FC247" s="135"/>
      <c r="FD247" s="135"/>
      <c r="FE247" s="135"/>
      <c r="FF247" s="135"/>
      <c r="FG247" s="135"/>
    </row>
    <row r="248" spans="1:163" s="57" customFormat="1" ht="11.25" outlineLevel="1">
      <c r="A248" s="765">
        <f t="shared" si="296"/>
        <v>10</v>
      </c>
      <c r="B248" s="715" cm="1">
        <f t="array" aca="1" ref="B248" ca="1">INDIRECT("'Definition of Typical Day'!"&amp;ADDRESS(B$16,$E248))</f>
        <v>10</v>
      </c>
      <c r="C248" s="766">
        <f t="shared" si="297"/>
        <v>12</v>
      </c>
      <c r="D248" s="715">
        <f t="shared" si="297"/>
        <v>46</v>
      </c>
      <c r="E248" s="715">
        <f t="shared" si="225"/>
        <v>14</v>
      </c>
      <c r="F248" s="767" cm="1">
        <f t="array" aca="1" ref="F248" ca="1">INDIRECT("'Definition of Typical Day'!D"&amp;D248)</f>
        <v>12</v>
      </c>
      <c r="G248" s="767" cm="1">
        <f t="array" aca="1" ref="G248" ca="1">INDIRECT("'Definition of Typical Day'!"&amp;ADDRESS(13,E248))</f>
        <v>10</v>
      </c>
      <c r="H248" s="768" cm="1">
        <f t="array" aca="1" ref="H248" ca="1">INDIRECT("'Definition of Typical Day'!"&amp; ADDRESS($D248+28*(H$16-1),$E248))</f>
        <v>0</v>
      </c>
      <c r="I248" s="715" cm="1">
        <f t="array" aca="1" ref="I248" ca="1">INDIRECT("'Definition of Typical Day'!"&amp; ADDRESS($D248+29*(I$16-1),$E248))</f>
        <v>0</v>
      </c>
      <c r="J248" s="715">
        <f t="shared" ca="1" si="251"/>
        <v>0</v>
      </c>
      <c r="K248" s="785">
        <f t="shared" si="252"/>
        <v>28</v>
      </c>
      <c r="L248" s="786" cm="1">
        <f t="array" aca="1" ref="L248" ca="1">INDIRECT("'Definition of Typical Day'!"&amp; ADDRESS($D248+29*(L$16-1),$E248))</f>
        <v>0</v>
      </c>
      <c r="M248" s="768" cm="1">
        <f t="array" aca="1" ref="M248" ca="1">INDIRECT("'Definition of Typical Day'!"&amp; ADDRESS($D248+29*(M$16-1),$E248))</f>
        <v>0</v>
      </c>
      <c r="N248" s="715">
        <f t="shared" si="253"/>
        <v>3</v>
      </c>
      <c r="O248" s="715">
        <f t="shared" ca="1" si="254"/>
        <v>3</v>
      </c>
      <c r="P248" s="715" cm="1">
        <f t="array" aca="1" ref="P248" ca="1">INDIRECT("'Definition of Typical Day'!"&amp; ADDRESS($D248+29*(P$16-1),$E248))</f>
        <v>0</v>
      </c>
      <c r="Q248" s="787">
        <f t="shared" ca="1" si="255"/>
        <v>3</v>
      </c>
      <c r="R248" s="792">
        <f t="shared" ca="1" si="256"/>
        <v>3</v>
      </c>
      <c r="S248" s="769">
        <f t="shared" si="257"/>
        <v>3</v>
      </c>
      <c r="T248" s="769">
        <f t="shared" ca="1" si="258"/>
        <v>-0.5</v>
      </c>
      <c r="U248" s="769">
        <f t="shared" ca="1" si="259"/>
        <v>2.262</v>
      </c>
      <c r="V248" s="769">
        <f t="shared" ca="1" si="260"/>
        <v>0</v>
      </c>
      <c r="W248" s="769">
        <f t="shared" ca="1" si="261"/>
        <v>4.7620000000000005</v>
      </c>
      <c r="X248" s="794">
        <f t="shared" si="262"/>
        <v>3</v>
      </c>
      <c r="Y248" s="769">
        <f t="shared" ca="1" si="263"/>
        <v>0.54772255750516607</v>
      </c>
      <c r="Z248" s="769">
        <f t="shared" ca="1" si="264"/>
        <v>0</v>
      </c>
      <c r="AA248" s="795">
        <f t="shared" ca="1" si="265"/>
        <v>0</v>
      </c>
      <c r="AB248" s="769">
        <f t="shared" ca="1" si="266"/>
        <v>0</v>
      </c>
      <c r="AC248" s="769">
        <f t="shared" ca="1" si="267"/>
        <v>0</v>
      </c>
      <c r="AD248" s="769">
        <f t="shared" ca="1" si="268"/>
        <v>0</v>
      </c>
      <c r="AE248" s="794">
        <f t="shared" ca="1" si="269"/>
        <v>0</v>
      </c>
      <c r="AF248" s="769">
        <f t="shared" ca="1" si="270"/>
        <v>0</v>
      </c>
      <c r="AG248" s="769">
        <f t="shared" ca="1" si="271"/>
        <v>0</v>
      </c>
      <c r="AH248" s="799">
        <f t="shared" ca="1" si="272"/>
        <v>0</v>
      </c>
      <c r="AI248" s="801">
        <f t="shared" ca="1" si="273"/>
        <v>1</v>
      </c>
      <c r="AJ248" s="794">
        <f t="shared" ca="1" si="274"/>
        <v>0</v>
      </c>
      <c r="AK248" s="769">
        <f t="shared" ca="1" si="275"/>
        <v>0</v>
      </c>
      <c r="AL248" s="769">
        <f t="shared" ca="1" si="276"/>
        <v>0</v>
      </c>
      <c r="AM248" s="804">
        <f t="shared" ca="1" si="226"/>
        <v>0</v>
      </c>
      <c r="AN248" s="795">
        <f t="shared" ca="1" si="227"/>
        <v>0</v>
      </c>
      <c r="AO248" s="251"/>
      <c r="AP248" s="770">
        <f t="shared" si="277"/>
        <v>0</v>
      </c>
      <c r="AQ248" s="771">
        <f t="shared" ca="1" si="278"/>
        <v>0</v>
      </c>
      <c r="AR248" s="771">
        <f t="shared" ca="1" si="279"/>
        <v>0</v>
      </c>
      <c r="AS248" s="772">
        <f t="shared" ca="1" si="280"/>
        <v>0</v>
      </c>
      <c r="AT248" s="231"/>
      <c r="AU248" s="770">
        <f>'Main Results - IRR DC Operator'!$F$16</f>
        <v>2</v>
      </c>
      <c r="AV248" s="773">
        <f>'Main Results - IRR DC Operator'!$F$15</f>
        <v>1</v>
      </c>
      <c r="AW248" s="771">
        <f t="shared" ca="1" si="281"/>
        <v>0</v>
      </c>
      <c r="AX248" s="772">
        <f t="shared" si="282"/>
        <v>0</v>
      </c>
      <c r="AY248" s="231"/>
      <c r="AZ248" s="770" cm="1">
        <f t="array" aca="1" ref="AZ248" ca="1">INDIRECT("'Definition of Typical Day'!"&amp; ADDRESS($D248+29*(AZ$16-1),$E248))+$AZ$17</f>
        <v>11</v>
      </c>
      <c r="BA248" s="771" cm="1">
        <f t="array" aca="1" ref="BA248" ca="1">INDIRECT("'Definition of Typical Day'!"&amp; ADDRESS($D248+29*(BA$16-1),$E248))+$BA$17</f>
        <v>11</v>
      </c>
      <c r="BB248" s="772" cm="1">
        <f t="array" aca="1" ref="BB248" ca="1">INDIRECT("'Definition of Typical Day'!"&amp;ADDRESS(BB$16,$E248))</f>
        <v>0</v>
      </c>
      <c r="BC248" s="776" cm="1">
        <f t="array" aca="1" ref="BC248" ca="1">INDIRECT("'Definition of Typical Day'!"&amp; ADDRESS($D248+29*(BC$16-1),$E248))</f>
        <v>0</v>
      </c>
      <c r="BD248" s="777" cm="1">
        <f t="array" aca="1" ref="BD248" ca="1">INDIRECT("'Definition of Typical Day'!"&amp; ADDRESS($D248+29*(BD$16-1),$E248))</f>
        <v>0</v>
      </c>
      <c r="BE248" s="776">
        <f t="shared" si="283"/>
        <v>0</v>
      </c>
      <c r="BF248" s="771">
        <f t="shared" ca="1" si="284"/>
        <v>0</v>
      </c>
      <c r="BG248" s="771">
        <f t="shared" ca="1" si="285"/>
        <v>0</v>
      </c>
      <c r="BH248" s="771">
        <f t="shared" ca="1" si="286"/>
        <v>0</v>
      </c>
      <c r="BI248" s="776">
        <f t="shared" ca="1" si="287"/>
        <v>0</v>
      </c>
      <c r="BJ248" s="776">
        <f t="shared" ca="1" si="288"/>
        <v>0</v>
      </c>
      <c r="BK248" s="776">
        <f t="shared" ca="1" si="289"/>
        <v>0</v>
      </c>
      <c r="BL248" s="776">
        <f t="shared" ca="1" si="290"/>
        <v>0</v>
      </c>
      <c r="BM248" s="135"/>
      <c r="BN248" s="776">
        <f t="shared" ca="1" si="291"/>
        <v>0</v>
      </c>
      <c r="BO248" s="778">
        <f t="shared" ca="1" si="228"/>
        <v>0</v>
      </c>
      <c r="BP248" s="770">
        <f t="shared" ca="1" si="229"/>
        <v>0</v>
      </c>
      <c r="BQ248" s="771">
        <f t="shared" ca="1" si="230"/>
        <v>0</v>
      </c>
      <c r="BR248" s="771">
        <f t="shared" ca="1" si="231"/>
        <v>0</v>
      </c>
      <c r="BS248" s="776">
        <f t="shared" ca="1" si="292"/>
        <v>0</v>
      </c>
      <c r="BT248" s="776">
        <f t="shared" ca="1" si="232"/>
        <v>0</v>
      </c>
      <c r="BU248" s="783">
        <f t="shared" ca="1" si="233"/>
        <v>0</v>
      </c>
      <c r="BV248" s="783">
        <f t="shared" ca="1" si="234"/>
        <v>0</v>
      </c>
      <c r="BW248" s="1019">
        <f t="shared" ca="1" si="293"/>
        <v>0</v>
      </c>
      <c r="BX248" s="771" cm="1">
        <f t="array" aca="1" ref="BX248" ca="1">INDIRECT("'Definition of Typical Day'!"&amp; ADDRESS($D248+29*(BX$16-1),$E248))</f>
        <v>0</v>
      </c>
      <c r="BY248" s="771">
        <f t="shared" ca="1" si="294"/>
        <v>0</v>
      </c>
      <c r="BZ248" s="781">
        <f t="shared" ca="1" si="235"/>
        <v>0</v>
      </c>
      <c r="CA248" s="781">
        <f t="shared" ca="1" si="236"/>
        <v>0</v>
      </c>
      <c r="CB248" s="776">
        <f t="shared" ca="1" si="237"/>
        <v>0</v>
      </c>
      <c r="CC248" s="782">
        <f t="shared" si="238"/>
        <v>10</v>
      </c>
      <c r="CD248" s="782">
        <f t="shared" si="239"/>
        <v>12</v>
      </c>
      <c r="CE248" s="784" cm="1">
        <f t="array" aca="1" ref="CE248" ca="1">INDIRECT("'Definition of Typical Day'!"&amp;ADDRESS(CE$16,$E248))</f>
        <v>10</v>
      </c>
      <c r="CF248" s="232"/>
      <c r="CG248" s="232"/>
      <c r="CH248" s="776">
        <f t="shared" ca="1" si="240"/>
        <v>0</v>
      </c>
      <c r="CI248" s="806">
        <f t="shared" ca="1" si="241"/>
        <v>0</v>
      </c>
      <c r="CJ248" s="770">
        <f t="shared" ca="1" si="242"/>
        <v>0</v>
      </c>
      <c r="CK248" s="771">
        <f t="shared" ca="1" si="243"/>
        <v>0</v>
      </c>
      <c r="CL248" s="771">
        <f t="shared" ca="1" si="244"/>
        <v>0</v>
      </c>
      <c r="CM248" s="772">
        <f t="shared" ca="1" si="245"/>
        <v>0</v>
      </c>
      <c r="CN248" s="135"/>
      <c r="CO248" s="770">
        <f t="shared" ca="1" si="295"/>
        <v>1.05</v>
      </c>
      <c r="CP248" s="771">
        <f t="shared" ca="1" si="246"/>
        <v>0.02</v>
      </c>
      <c r="CQ248" s="771">
        <f t="shared" ca="1" si="247"/>
        <v>-2.5000000000000001E-2</v>
      </c>
      <c r="CR248" s="771">
        <f t="shared" ca="1" si="248"/>
        <v>0.95</v>
      </c>
      <c r="CS248" s="771">
        <f t="shared" ca="1" si="249"/>
        <v>0.03</v>
      </c>
      <c r="CT248" s="772">
        <f t="shared" ca="1" si="250"/>
        <v>0.02</v>
      </c>
      <c r="CU248" s="135"/>
      <c r="CV248" s="135"/>
      <c r="CW248" s="135"/>
      <c r="CX248" s="135"/>
      <c r="CY248" s="135"/>
      <c r="CZ248" s="135"/>
      <c r="DA248" s="135"/>
      <c r="DB248" s="135"/>
      <c r="DC248" s="135"/>
      <c r="DD248" s="135"/>
      <c r="DE248" s="135"/>
      <c r="DF248" s="135"/>
      <c r="DG248" s="135"/>
      <c r="DH248" s="135"/>
      <c r="DI248" s="135"/>
      <c r="DJ248" s="135"/>
      <c r="DK248" s="135"/>
      <c r="DL248" s="135"/>
      <c r="DX248" s="135"/>
      <c r="DY248" s="135"/>
      <c r="DZ248" s="135"/>
      <c r="EA248" s="135"/>
      <c r="EB248" s="135"/>
      <c r="EC248" s="135"/>
      <c r="ED248" s="135"/>
      <c r="EE248" s="135"/>
      <c r="EF248" s="135"/>
      <c r="EG248" s="135"/>
      <c r="EH248" s="135"/>
      <c r="EI248" s="135"/>
      <c r="EJ248" s="135"/>
      <c r="EK248" s="135"/>
      <c r="EL248" s="135"/>
      <c r="EM248" s="135"/>
      <c r="EN248" s="135"/>
      <c r="EO248" s="135"/>
      <c r="EP248" s="135"/>
      <c r="EQ248" s="135"/>
      <c r="ER248" s="135"/>
      <c r="ES248" s="135"/>
      <c r="ET248" s="135"/>
      <c r="EU248" s="135"/>
      <c r="EV248" s="135"/>
      <c r="EW248" s="135"/>
      <c r="EX248" s="135"/>
      <c r="EY248" s="135"/>
      <c r="EZ248" s="135"/>
      <c r="FA248" s="135"/>
      <c r="FB248" s="135"/>
      <c r="FC248" s="135"/>
      <c r="FD248" s="135"/>
      <c r="FE248" s="135"/>
      <c r="FF248" s="135"/>
      <c r="FG248" s="135"/>
    </row>
    <row r="249" spans="1:163" s="57" customFormat="1" ht="11.25" outlineLevel="1">
      <c r="A249" s="765">
        <f t="shared" si="296"/>
        <v>10</v>
      </c>
      <c r="B249" s="715" cm="1">
        <f t="array" aca="1" ref="B249" ca="1">INDIRECT("'Definition of Typical Day'!"&amp;ADDRESS(B$16,$E249))</f>
        <v>10</v>
      </c>
      <c r="C249" s="766">
        <f t="shared" si="297"/>
        <v>13</v>
      </c>
      <c r="D249" s="715">
        <f t="shared" si="297"/>
        <v>47</v>
      </c>
      <c r="E249" s="715">
        <f t="shared" si="225"/>
        <v>14</v>
      </c>
      <c r="F249" s="767" cm="1">
        <f t="array" aca="1" ref="F249" ca="1">INDIRECT("'Definition of Typical Day'!D"&amp;D249)</f>
        <v>13</v>
      </c>
      <c r="G249" s="767" cm="1">
        <f t="array" aca="1" ref="G249" ca="1">INDIRECT("'Definition of Typical Day'!"&amp;ADDRESS(13,E249))</f>
        <v>10</v>
      </c>
      <c r="H249" s="768" cm="1">
        <f t="array" aca="1" ref="H249" ca="1">INDIRECT("'Definition of Typical Day'!"&amp; ADDRESS($D249+28*(H$16-1),$E249))</f>
        <v>0</v>
      </c>
      <c r="I249" s="715" cm="1">
        <f t="array" aca="1" ref="I249" ca="1">INDIRECT("'Definition of Typical Day'!"&amp; ADDRESS($D249+29*(I$16-1),$E249))</f>
        <v>0</v>
      </c>
      <c r="J249" s="715">
        <f t="shared" ca="1" si="251"/>
        <v>0</v>
      </c>
      <c r="K249" s="785">
        <f t="shared" si="252"/>
        <v>28</v>
      </c>
      <c r="L249" s="786" cm="1">
        <f t="array" aca="1" ref="L249" ca="1">INDIRECT("'Definition of Typical Day'!"&amp; ADDRESS($D249+29*(L$16-1),$E249))</f>
        <v>0</v>
      </c>
      <c r="M249" s="768" cm="1">
        <f t="array" aca="1" ref="M249" ca="1">INDIRECT("'Definition of Typical Day'!"&amp; ADDRESS($D249+29*(M$16-1),$E249))</f>
        <v>0</v>
      </c>
      <c r="N249" s="715">
        <f t="shared" si="253"/>
        <v>3</v>
      </c>
      <c r="O249" s="715">
        <f t="shared" ca="1" si="254"/>
        <v>3</v>
      </c>
      <c r="P249" s="715" cm="1">
        <f t="array" aca="1" ref="P249" ca="1">INDIRECT("'Definition of Typical Day'!"&amp; ADDRESS($D249+29*(P$16-1),$E249))</f>
        <v>0</v>
      </c>
      <c r="Q249" s="787">
        <f t="shared" ca="1" si="255"/>
        <v>3</v>
      </c>
      <c r="R249" s="792">
        <f t="shared" ca="1" si="256"/>
        <v>3</v>
      </c>
      <c r="S249" s="769">
        <f t="shared" si="257"/>
        <v>3</v>
      </c>
      <c r="T249" s="769">
        <f t="shared" ca="1" si="258"/>
        <v>-0.5</v>
      </c>
      <c r="U249" s="769">
        <f t="shared" ca="1" si="259"/>
        <v>2.262</v>
      </c>
      <c r="V249" s="769">
        <f t="shared" ca="1" si="260"/>
        <v>0</v>
      </c>
      <c r="W249" s="769">
        <f t="shared" ca="1" si="261"/>
        <v>4.7620000000000005</v>
      </c>
      <c r="X249" s="794">
        <f t="shared" si="262"/>
        <v>3</v>
      </c>
      <c r="Y249" s="769">
        <f t="shared" ca="1" si="263"/>
        <v>0.54772255750516607</v>
      </c>
      <c r="Z249" s="769">
        <f t="shared" ca="1" si="264"/>
        <v>0</v>
      </c>
      <c r="AA249" s="795">
        <f t="shared" ca="1" si="265"/>
        <v>0</v>
      </c>
      <c r="AB249" s="769">
        <f t="shared" ca="1" si="266"/>
        <v>0</v>
      </c>
      <c r="AC249" s="769">
        <f t="shared" ca="1" si="267"/>
        <v>0</v>
      </c>
      <c r="AD249" s="769">
        <f t="shared" ca="1" si="268"/>
        <v>0</v>
      </c>
      <c r="AE249" s="794">
        <f t="shared" ca="1" si="269"/>
        <v>0</v>
      </c>
      <c r="AF249" s="769">
        <f t="shared" ca="1" si="270"/>
        <v>0</v>
      </c>
      <c r="AG249" s="769">
        <f t="shared" ca="1" si="271"/>
        <v>0</v>
      </c>
      <c r="AH249" s="799">
        <f t="shared" ca="1" si="272"/>
        <v>0</v>
      </c>
      <c r="AI249" s="801">
        <f t="shared" ca="1" si="273"/>
        <v>1</v>
      </c>
      <c r="AJ249" s="794">
        <f t="shared" ca="1" si="274"/>
        <v>0</v>
      </c>
      <c r="AK249" s="769">
        <f t="shared" ca="1" si="275"/>
        <v>0</v>
      </c>
      <c r="AL249" s="769">
        <f t="shared" ca="1" si="276"/>
        <v>0</v>
      </c>
      <c r="AM249" s="804">
        <f t="shared" ca="1" si="226"/>
        <v>0</v>
      </c>
      <c r="AN249" s="795">
        <f t="shared" ca="1" si="227"/>
        <v>0</v>
      </c>
      <c r="AO249" s="251"/>
      <c r="AP249" s="770">
        <f t="shared" si="277"/>
        <v>0</v>
      </c>
      <c r="AQ249" s="771">
        <f t="shared" ca="1" si="278"/>
        <v>0</v>
      </c>
      <c r="AR249" s="771">
        <f t="shared" ca="1" si="279"/>
        <v>0</v>
      </c>
      <c r="AS249" s="772">
        <f t="shared" ca="1" si="280"/>
        <v>0</v>
      </c>
      <c r="AT249" s="231"/>
      <c r="AU249" s="770">
        <f>'Main Results - IRR DC Operator'!$F$16</f>
        <v>2</v>
      </c>
      <c r="AV249" s="773">
        <f>'Main Results - IRR DC Operator'!$F$15</f>
        <v>1</v>
      </c>
      <c r="AW249" s="771">
        <f t="shared" ca="1" si="281"/>
        <v>0</v>
      </c>
      <c r="AX249" s="772">
        <f t="shared" si="282"/>
        <v>0</v>
      </c>
      <c r="AY249" s="231"/>
      <c r="AZ249" s="770" cm="1">
        <f t="array" aca="1" ref="AZ249" ca="1">INDIRECT("'Definition of Typical Day'!"&amp; ADDRESS($D249+29*(AZ$16-1),$E249))+$AZ$17</f>
        <v>11</v>
      </c>
      <c r="BA249" s="771" cm="1">
        <f t="array" aca="1" ref="BA249" ca="1">INDIRECT("'Definition of Typical Day'!"&amp; ADDRESS($D249+29*(BA$16-1),$E249))+$BA$17</f>
        <v>11</v>
      </c>
      <c r="BB249" s="772" cm="1">
        <f t="array" aca="1" ref="BB249" ca="1">INDIRECT("'Definition of Typical Day'!"&amp;ADDRESS(BB$16,$E249))</f>
        <v>0</v>
      </c>
      <c r="BC249" s="776" cm="1">
        <f t="array" aca="1" ref="BC249" ca="1">INDIRECT("'Definition of Typical Day'!"&amp; ADDRESS($D249+29*(BC$16-1),$E249))</f>
        <v>0</v>
      </c>
      <c r="BD249" s="777" cm="1">
        <f t="array" aca="1" ref="BD249" ca="1">INDIRECT("'Definition of Typical Day'!"&amp; ADDRESS($D249+29*(BD$16-1),$E249))</f>
        <v>0</v>
      </c>
      <c r="BE249" s="776">
        <f t="shared" si="283"/>
        <v>0</v>
      </c>
      <c r="BF249" s="771">
        <f t="shared" ca="1" si="284"/>
        <v>0</v>
      </c>
      <c r="BG249" s="771">
        <f t="shared" ca="1" si="285"/>
        <v>0</v>
      </c>
      <c r="BH249" s="771">
        <f t="shared" ca="1" si="286"/>
        <v>0</v>
      </c>
      <c r="BI249" s="776">
        <f t="shared" ca="1" si="287"/>
        <v>0</v>
      </c>
      <c r="BJ249" s="776">
        <f t="shared" ca="1" si="288"/>
        <v>0</v>
      </c>
      <c r="BK249" s="776">
        <f t="shared" ca="1" si="289"/>
        <v>0</v>
      </c>
      <c r="BL249" s="776">
        <f t="shared" ca="1" si="290"/>
        <v>0</v>
      </c>
      <c r="BM249" s="135"/>
      <c r="BN249" s="776">
        <f t="shared" ca="1" si="291"/>
        <v>0</v>
      </c>
      <c r="BO249" s="778">
        <f t="shared" ca="1" si="228"/>
        <v>0</v>
      </c>
      <c r="BP249" s="770">
        <f t="shared" ca="1" si="229"/>
        <v>0</v>
      </c>
      <c r="BQ249" s="771">
        <f t="shared" ca="1" si="230"/>
        <v>0</v>
      </c>
      <c r="BR249" s="771">
        <f t="shared" ca="1" si="231"/>
        <v>0</v>
      </c>
      <c r="BS249" s="776">
        <f t="shared" ca="1" si="292"/>
        <v>0</v>
      </c>
      <c r="BT249" s="776">
        <f t="shared" ca="1" si="232"/>
        <v>0</v>
      </c>
      <c r="BU249" s="783">
        <f t="shared" ca="1" si="233"/>
        <v>0</v>
      </c>
      <c r="BV249" s="783">
        <f t="shared" ca="1" si="234"/>
        <v>0</v>
      </c>
      <c r="BW249" s="1019">
        <f t="shared" ca="1" si="293"/>
        <v>0</v>
      </c>
      <c r="BX249" s="771" cm="1">
        <f t="array" aca="1" ref="BX249" ca="1">INDIRECT("'Definition of Typical Day'!"&amp; ADDRESS($D249+29*(BX$16-1),$E249))</f>
        <v>0</v>
      </c>
      <c r="BY249" s="771">
        <f t="shared" ca="1" si="294"/>
        <v>0</v>
      </c>
      <c r="BZ249" s="781">
        <f t="shared" ca="1" si="235"/>
        <v>0</v>
      </c>
      <c r="CA249" s="781">
        <f t="shared" ca="1" si="236"/>
        <v>0</v>
      </c>
      <c r="CB249" s="776">
        <f t="shared" ca="1" si="237"/>
        <v>0</v>
      </c>
      <c r="CC249" s="782">
        <f t="shared" si="238"/>
        <v>10</v>
      </c>
      <c r="CD249" s="782">
        <f t="shared" si="239"/>
        <v>13</v>
      </c>
      <c r="CE249" s="784" cm="1">
        <f t="array" aca="1" ref="CE249" ca="1">INDIRECT("'Definition of Typical Day'!"&amp;ADDRESS(CE$16,$E249))</f>
        <v>10</v>
      </c>
      <c r="CF249" s="232"/>
      <c r="CG249" s="232"/>
      <c r="CH249" s="776">
        <f t="shared" ca="1" si="240"/>
        <v>0</v>
      </c>
      <c r="CI249" s="806">
        <f t="shared" ca="1" si="241"/>
        <v>0</v>
      </c>
      <c r="CJ249" s="770">
        <f t="shared" ca="1" si="242"/>
        <v>0</v>
      </c>
      <c r="CK249" s="771">
        <f t="shared" ca="1" si="243"/>
        <v>0</v>
      </c>
      <c r="CL249" s="771">
        <f t="shared" ca="1" si="244"/>
        <v>0</v>
      </c>
      <c r="CM249" s="772">
        <f t="shared" ca="1" si="245"/>
        <v>0</v>
      </c>
      <c r="CN249" s="135"/>
      <c r="CO249" s="770">
        <f t="shared" ca="1" si="295"/>
        <v>1.05</v>
      </c>
      <c r="CP249" s="771">
        <f t="shared" ca="1" si="246"/>
        <v>0.02</v>
      </c>
      <c r="CQ249" s="771">
        <f t="shared" ca="1" si="247"/>
        <v>-2.5000000000000001E-2</v>
      </c>
      <c r="CR249" s="771">
        <f t="shared" ca="1" si="248"/>
        <v>0.95</v>
      </c>
      <c r="CS249" s="771">
        <f t="shared" ca="1" si="249"/>
        <v>0.03</v>
      </c>
      <c r="CT249" s="772">
        <f t="shared" ca="1" si="250"/>
        <v>0.02</v>
      </c>
      <c r="CU249" s="135"/>
      <c r="CV249" s="135"/>
      <c r="CW249" s="135"/>
      <c r="CX249" s="135"/>
      <c r="CY249" s="135"/>
      <c r="CZ249" s="135"/>
      <c r="DA249" s="135"/>
      <c r="DB249" s="135"/>
      <c r="DC249" s="135"/>
      <c r="DD249" s="135"/>
      <c r="DE249" s="135"/>
      <c r="DF249" s="135"/>
      <c r="DG249" s="135"/>
      <c r="DH249" s="135"/>
      <c r="DI249" s="135"/>
      <c r="DJ249" s="135"/>
      <c r="DK249" s="135"/>
      <c r="DL249" s="135"/>
      <c r="DX249" s="135"/>
      <c r="DY249" s="135"/>
      <c r="DZ249" s="135"/>
      <c r="EA249" s="135"/>
      <c r="EB249" s="135"/>
      <c r="EC249" s="135"/>
      <c r="ED249" s="135"/>
      <c r="EE249" s="135"/>
      <c r="EF249" s="135"/>
      <c r="EG249" s="135"/>
      <c r="EH249" s="135"/>
      <c r="EI249" s="135"/>
      <c r="EJ249" s="135"/>
      <c r="EK249" s="135"/>
      <c r="EL249" s="135"/>
      <c r="EM249" s="135"/>
      <c r="EN249" s="135"/>
      <c r="EO249" s="135"/>
      <c r="EP249" s="135"/>
      <c r="EQ249" s="135"/>
      <c r="ER249" s="135"/>
      <c r="ES249" s="135"/>
      <c r="ET249" s="135"/>
      <c r="EU249" s="135"/>
      <c r="EV249" s="135"/>
      <c r="EW249" s="135"/>
      <c r="EX249" s="135"/>
      <c r="EY249" s="135"/>
      <c r="EZ249" s="135"/>
      <c r="FA249" s="135"/>
      <c r="FB249" s="135"/>
      <c r="FC249" s="135"/>
      <c r="FD249" s="135"/>
      <c r="FE249" s="135"/>
      <c r="FF249" s="135"/>
      <c r="FG249" s="135"/>
    </row>
    <row r="250" spans="1:163" s="57" customFormat="1" ht="11.25" outlineLevel="1">
      <c r="A250" s="765">
        <f t="shared" si="296"/>
        <v>10</v>
      </c>
      <c r="B250" s="715" cm="1">
        <f t="array" aca="1" ref="B250" ca="1">INDIRECT("'Definition of Typical Day'!"&amp;ADDRESS(B$16,$E250))</f>
        <v>10</v>
      </c>
      <c r="C250" s="766">
        <f t="shared" si="297"/>
        <v>14</v>
      </c>
      <c r="D250" s="715">
        <f t="shared" si="297"/>
        <v>48</v>
      </c>
      <c r="E250" s="715">
        <f t="shared" si="225"/>
        <v>14</v>
      </c>
      <c r="F250" s="767" cm="1">
        <f t="array" aca="1" ref="F250" ca="1">INDIRECT("'Definition of Typical Day'!D"&amp;D250)</f>
        <v>14</v>
      </c>
      <c r="G250" s="767" cm="1">
        <f t="array" aca="1" ref="G250" ca="1">INDIRECT("'Definition of Typical Day'!"&amp;ADDRESS(13,E250))</f>
        <v>10</v>
      </c>
      <c r="H250" s="768" cm="1">
        <f t="array" aca="1" ref="H250" ca="1">INDIRECT("'Definition of Typical Day'!"&amp; ADDRESS($D250+28*(H$16-1),$E250))</f>
        <v>0</v>
      </c>
      <c r="I250" s="715" cm="1">
        <f t="array" aca="1" ref="I250" ca="1">INDIRECT("'Definition of Typical Day'!"&amp; ADDRESS($D250+29*(I$16-1),$E250))</f>
        <v>0</v>
      </c>
      <c r="J250" s="715">
        <f t="shared" ca="1" si="251"/>
        <v>0</v>
      </c>
      <c r="K250" s="785">
        <f t="shared" si="252"/>
        <v>28</v>
      </c>
      <c r="L250" s="786" cm="1">
        <f t="array" aca="1" ref="L250" ca="1">INDIRECT("'Definition of Typical Day'!"&amp; ADDRESS($D250+29*(L$16-1),$E250))</f>
        <v>0</v>
      </c>
      <c r="M250" s="768" cm="1">
        <f t="array" aca="1" ref="M250" ca="1">INDIRECT("'Definition of Typical Day'!"&amp; ADDRESS($D250+29*(M$16-1),$E250))</f>
        <v>0</v>
      </c>
      <c r="N250" s="715">
        <f t="shared" si="253"/>
        <v>3</v>
      </c>
      <c r="O250" s="715">
        <f t="shared" ca="1" si="254"/>
        <v>3</v>
      </c>
      <c r="P250" s="715" cm="1">
        <f t="array" aca="1" ref="P250" ca="1">INDIRECT("'Definition of Typical Day'!"&amp; ADDRESS($D250+29*(P$16-1),$E250))</f>
        <v>0</v>
      </c>
      <c r="Q250" s="787">
        <f t="shared" ca="1" si="255"/>
        <v>3</v>
      </c>
      <c r="R250" s="792">
        <f t="shared" ca="1" si="256"/>
        <v>3</v>
      </c>
      <c r="S250" s="769">
        <f t="shared" si="257"/>
        <v>3</v>
      </c>
      <c r="T250" s="769">
        <f t="shared" ca="1" si="258"/>
        <v>-0.5</v>
      </c>
      <c r="U250" s="769">
        <f t="shared" ca="1" si="259"/>
        <v>2.262</v>
      </c>
      <c r="V250" s="769">
        <f t="shared" ca="1" si="260"/>
        <v>0</v>
      </c>
      <c r="W250" s="769">
        <f t="shared" ca="1" si="261"/>
        <v>4.7620000000000005</v>
      </c>
      <c r="X250" s="794">
        <f t="shared" si="262"/>
        <v>3</v>
      </c>
      <c r="Y250" s="769">
        <f t="shared" ca="1" si="263"/>
        <v>0.54772255750516607</v>
      </c>
      <c r="Z250" s="769">
        <f t="shared" ca="1" si="264"/>
        <v>0</v>
      </c>
      <c r="AA250" s="795">
        <f t="shared" ca="1" si="265"/>
        <v>0</v>
      </c>
      <c r="AB250" s="769">
        <f t="shared" ca="1" si="266"/>
        <v>0</v>
      </c>
      <c r="AC250" s="769">
        <f t="shared" ca="1" si="267"/>
        <v>0</v>
      </c>
      <c r="AD250" s="769">
        <f t="shared" ca="1" si="268"/>
        <v>0</v>
      </c>
      <c r="AE250" s="794">
        <f t="shared" ca="1" si="269"/>
        <v>0</v>
      </c>
      <c r="AF250" s="769">
        <f t="shared" ca="1" si="270"/>
        <v>0</v>
      </c>
      <c r="AG250" s="769">
        <f t="shared" ca="1" si="271"/>
        <v>0</v>
      </c>
      <c r="AH250" s="799">
        <f t="shared" ca="1" si="272"/>
        <v>0</v>
      </c>
      <c r="AI250" s="801">
        <f t="shared" ca="1" si="273"/>
        <v>1</v>
      </c>
      <c r="AJ250" s="794">
        <f t="shared" ca="1" si="274"/>
        <v>0</v>
      </c>
      <c r="AK250" s="769">
        <f t="shared" ca="1" si="275"/>
        <v>0</v>
      </c>
      <c r="AL250" s="769">
        <f t="shared" ca="1" si="276"/>
        <v>0</v>
      </c>
      <c r="AM250" s="804">
        <f t="shared" ca="1" si="226"/>
        <v>0</v>
      </c>
      <c r="AN250" s="795">
        <f t="shared" ca="1" si="227"/>
        <v>0</v>
      </c>
      <c r="AO250" s="251"/>
      <c r="AP250" s="770">
        <f t="shared" si="277"/>
        <v>0</v>
      </c>
      <c r="AQ250" s="771">
        <f t="shared" ca="1" si="278"/>
        <v>0</v>
      </c>
      <c r="AR250" s="771">
        <f t="shared" ca="1" si="279"/>
        <v>0</v>
      </c>
      <c r="AS250" s="772">
        <f t="shared" ca="1" si="280"/>
        <v>0</v>
      </c>
      <c r="AT250" s="231"/>
      <c r="AU250" s="770">
        <f>'Main Results - IRR DC Operator'!$F$16</f>
        <v>2</v>
      </c>
      <c r="AV250" s="773">
        <f>'Main Results - IRR DC Operator'!$F$15</f>
        <v>1</v>
      </c>
      <c r="AW250" s="771">
        <f t="shared" ca="1" si="281"/>
        <v>0</v>
      </c>
      <c r="AX250" s="772">
        <f t="shared" si="282"/>
        <v>0</v>
      </c>
      <c r="AY250" s="231"/>
      <c r="AZ250" s="770" cm="1">
        <f t="array" aca="1" ref="AZ250" ca="1">INDIRECT("'Definition of Typical Day'!"&amp; ADDRESS($D250+29*(AZ$16-1),$E250))+$AZ$17</f>
        <v>11</v>
      </c>
      <c r="BA250" s="771" cm="1">
        <f t="array" aca="1" ref="BA250" ca="1">INDIRECT("'Definition of Typical Day'!"&amp; ADDRESS($D250+29*(BA$16-1),$E250))+$BA$17</f>
        <v>11</v>
      </c>
      <c r="BB250" s="772" cm="1">
        <f t="array" aca="1" ref="BB250" ca="1">INDIRECT("'Definition of Typical Day'!"&amp;ADDRESS(BB$16,$E250))</f>
        <v>0</v>
      </c>
      <c r="BC250" s="776" cm="1">
        <f t="array" aca="1" ref="BC250" ca="1">INDIRECT("'Definition of Typical Day'!"&amp; ADDRESS($D250+29*(BC$16-1),$E250))</f>
        <v>0</v>
      </c>
      <c r="BD250" s="777" cm="1">
        <f t="array" aca="1" ref="BD250" ca="1">INDIRECT("'Definition of Typical Day'!"&amp; ADDRESS($D250+29*(BD$16-1),$E250))</f>
        <v>0</v>
      </c>
      <c r="BE250" s="776">
        <f t="shared" si="283"/>
        <v>0</v>
      </c>
      <c r="BF250" s="771">
        <f t="shared" ca="1" si="284"/>
        <v>0</v>
      </c>
      <c r="BG250" s="771">
        <f t="shared" ca="1" si="285"/>
        <v>0</v>
      </c>
      <c r="BH250" s="771">
        <f t="shared" ca="1" si="286"/>
        <v>0</v>
      </c>
      <c r="BI250" s="776">
        <f t="shared" ca="1" si="287"/>
        <v>0</v>
      </c>
      <c r="BJ250" s="776">
        <f t="shared" ca="1" si="288"/>
        <v>0</v>
      </c>
      <c r="BK250" s="776">
        <f t="shared" ca="1" si="289"/>
        <v>0</v>
      </c>
      <c r="BL250" s="776">
        <f t="shared" ca="1" si="290"/>
        <v>0</v>
      </c>
      <c r="BM250" s="135"/>
      <c r="BN250" s="776">
        <f t="shared" ca="1" si="291"/>
        <v>0</v>
      </c>
      <c r="BO250" s="778">
        <f t="shared" ca="1" si="228"/>
        <v>0</v>
      </c>
      <c r="BP250" s="770">
        <f t="shared" ca="1" si="229"/>
        <v>0</v>
      </c>
      <c r="BQ250" s="771">
        <f t="shared" ca="1" si="230"/>
        <v>0</v>
      </c>
      <c r="BR250" s="771">
        <f t="shared" ca="1" si="231"/>
        <v>0</v>
      </c>
      <c r="BS250" s="776">
        <f t="shared" ca="1" si="292"/>
        <v>0</v>
      </c>
      <c r="BT250" s="776">
        <f t="shared" ca="1" si="232"/>
        <v>0</v>
      </c>
      <c r="BU250" s="783">
        <f t="shared" ca="1" si="233"/>
        <v>0</v>
      </c>
      <c r="BV250" s="783">
        <f t="shared" ca="1" si="234"/>
        <v>0</v>
      </c>
      <c r="BW250" s="1019">
        <f t="shared" ca="1" si="293"/>
        <v>0</v>
      </c>
      <c r="BX250" s="771" cm="1">
        <f t="array" aca="1" ref="BX250" ca="1">INDIRECT("'Definition of Typical Day'!"&amp; ADDRESS($D250+29*(BX$16-1),$E250))</f>
        <v>0</v>
      </c>
      <c r="BY250" s="771">
        <f t="shared" ca="1" si="294"/>
        <v>0</v>
      </c>
      <c r="BZ250" s="781">
        <f t="shared" ca="1" si="235"/>
        <v>0</v>
      </c>
      <c r="CA250" s="781">
        <f t="shared" ca="1" si="236"/>
        <v>0</v>
      </c>
      <c r="CB250" s="776">
        <f t="shared" ca="1" si="237"/>
        <v>0</v>
      </c>
      <c r="CC250" s="782">
        <f t="shared" si="238"/>
        <v>10</v>
      </c>
      <c r="CD250" s="782">
        <f t="shared" si="239"/>
        <v>14</v>
      </c>
      <c r="CE250" s="784" cm="1">
        <f t="array" aca="1" ref="CE250" ca="1">INDIRECT("'Definition of Typical Day'!"&amp;ADDRESS(CE$16,$E250))</f>
        <v>10</v>
      </c>
      <c r="CF250" s="232"/>
      <c r="CG250" s="232"/>
      <c r="CH250" s="776">
        <f t="shared" ca="1" si="240"/>
        <v>0</v>
      </c>
      <c r="CI250" s="806">
        <f t="shared" ca="1" si="241"/>
        <v>0</v>
      </c>
      <c r="CJ250" s="770">
        <f t="shared" ca="1" si="242"/>
        <v>0</v>
      </c>
      <c r="CK250" s="771">
        <f t="shared" ca="1" si="243"/>
        <v>0</v>
      </c>
      <c r="CL250" s="771">
        <f t="shared" ca="1" si="244"/>
        <v>0</v>
      </c>
      <c r="CM250" s="772">
        <f t="shared" ca="1" si="245"/>
        <v>0</v>
      </c>
      <c r="CN250" s="135"/>
      <c r="CO250" s="770">
        <f t="shared" ca="1" si="295"/>
        <v>1.05</v>
      </c>
      <c r="CP250" s="771">
        <f t="shared" ca="1" si="246"/>
        <v>0.02</v>
      </c>
      <c r="CQ250" s="771">
        <f t="shared" ca="1" si="247"/>
        <v>-2.5000000000000001E-2</v>
      </c>
      <c r="CR250" s="771">
        <f t="shared" ca="1" si="248"/>
        <v>0.95</v>
      </c>
      <c r="CS250" s="771">
        <f t="shared" ca="1" si="249"/>
        <v>0.03</v>
      </c>
      <c r="CT250" s="772">
        <f t="shared" ca="1" si="250"/>
        <v>0.02</v>
      </c>
      <c r="CU250" s="135"/>
      <c r="CV250" s="135"/>
      <c r="CW250" s="135"/>
      <c r="CX250" s="135"/>
      <c r="CY250" s="135"/>
      <c r="CZ250" s="135"/>
      <c r="DA250" s="135"/>
      <c r="DB250" s="135"/>
      <c r="DC250" s="135"/>
      <c r="DD250" s="135"/>
      <c r="DE250" s="135"/>
      <c r="DF250" s="135"/>
      <c r="DG250" s="135"/>
      <c r="DH250" s="135"/>
      <c r="DI250" s="135"/>
      <c r="DJ250" s="135"/>
      <c r="DK250" s="135"/>
      <c r="DL250" s="135"/>
      <c r="DX250" s="135"/>
      <c r="DY250" s="135"/>
      <c r="DZ250" s="135"/>
      <c r="EA250" s="135"/>
      <c r="EB250" s="135"/>
      <c r="EC250" s="135"/>
      <c r="ED250" s="135"/>
      <c r="EE250" s="135"/>
      <c r="EF250" s="135"/>
      <c r="EG250" s="135"/>
      <c r="EH250" s="135"/>
      <c r="EI250" s="135"/>
      <c r="EJ250" s="135"/>
      <c r="EK250" s="135"/>
      <c r="EL250" s="135"/>
      <c r="EM250" s="135"/>
      <c r="EN250" s="135"/>
      <c r="EO250" s="135"/>
      <c r="EP250" s="135"/>
      <c r="EQ250" s="135"/>
      <c r="ER250" s="135"/>
      <c r="ES250" s="135"/>
      <c r="ET250" s="135"/>
      <c r="EU250" s="135"/>
      <c r="EV250" s="135"/>
      <c r="EW250" s="135"/>
      <c r="EX250" s="135"/>
      <c r="EY250" s="135"/>
      <c r="EZ250" s="135"/>
      <c r="FA250" s="135"/>
      <c r="FB250" s="135"/>
      <c r="FC250" s="135"/>
      <c r="FD250" s="135"/>
      <c r="FE250" s="135"/>
      <c r="FF250" s="135"/>
      <c r="FG250" s="135"/>
    </row>
    <row r="251" spans="1:163" s="57" customFormat="1" ht="11.25" outlineLevel="1">
      <c r="A251" s="765">
        <f t="shared" si="296"/>
        <v>10</v>
      </c>
      <c r="B251" s="715" cm="1">
        <f t="array" aca="1" ref="B251" ca="1">INDIRECT("'Definition of Typical Day'!"&amp;ADDRESS(B$16,$E251))</f>
        <v>10</v>
      </c>
      <c r="C251" s="766">
        <f t="shared" si="297"/>
        <v>15</v>
      </c>
      <c r="D251" s="715">
        <f t="shared" si="297"/>
        <v>49</v>
      </c>
      <c r="E251" s="715">
        <f t="shared" si="225"/>
        <v>14</v>
      </c>
      <c r="F251" s="767" cm="1">
        <f t="array" aca="1" ref="F251" ca="1">INDIRECT("'Definition of Typical Day'!D"&amp;D251)</f>
        <v>15</v>
      </c>
      <c r="G251" s="767" cm="1">
        <f t="array" aca="1" ref="G251" ca="1">INDIRECT("'Definition of Typical Day'!"&amp;ADDRESS(13,E251))</f>
        <v>10</v>
      </c>
      <c r="H251" s="768" cm="1">
        <f t="array" aca="1" ref="H251" ca="1">INDIRECT("'Definition of Typical Day'!"&amp; ADDRESS($D251+28*(H$16-1),$E251))</f>
        <v>0</v>
      </c>
      <c r="I251" s="715" cm="1">
        <f t="array" aca="1" ref="I251" ca="1">INDIRECT("'Definition of Typical Day'!"&amp; ADDRESS($D251+29*(I$16-1),$E251))</f>
        <v>0</v>
      </c>
      <c r="J251" s="715">
        <f t="shared" ca="1" si="251"/>
        <v>0</v>
      </c>
      <c r="K251" s="785">
        <f t="shared" si="252"/>
        <v>28</v>
      </c>
      <c r="L251" s="786" cm="1">
        <f t="array" aca="1" ref="L251" ca="1">INDIRECT("'Definition of Typical Day'!"&amp; ADDRESS($D251+29*(L$16-1),$E251))</f>
        <v>0</v>
      </c>
      <c r="M251" s="768" cm="1">
        <f t="array" aca="1" ref="M251" ca="1">INDIRECT("'Definition of Typical Day'!"&amp; ADDRESS($D251+29*(M$16-1),$E251))</f>
        <v>0</v>
      </c>
      <c r="N251" s="715">
        <f t="shared" si="253"/>
        <v>3</v>
      </c>
      <c r="O251" s="715">
        <f t="shared" ca="1" si="254"/>
        <v>3</v>
      </c>
      <c r="P251" s="715" cm="1">
        <f t="array" aca="1" ref="P251" ca="1">INDIRECT("'Definition of Typical Day'!"&amp; ADDRESS($D251+29*(P$16-1),$E251))</f>
        <v>0</v>
      </c>
      <c r="Q251" s="787">
        <f t="shared" ca="1" si="255"/>
        <v>3</v>
      </c>
      <c r="R251" s="792">
        <f t="shared" ca="1" si="256"/>
        <v>3</v>
      </c>
      <c r="S251" s="769">
        <f t="shared" si="257"/>
        <v>3</v>
      </c>
      <c r="T251" s="769">
        <f t="shared" ca="1" si="258"/>
        <v>-0.5</v>
      </c>
      <c r="U251" s="769">
        <f t="shared" ca="1" si="259"/>
        <v>2.262</v>
      </c>
      <c r="V251" s="769">
        <f t="shared" ca="1" si="260"/>
        <v>0</v>
      </c>
      <c r="W251" s="769">
        <f t="shared" ca="1" si="261"/>
        <v>4.7620000000000005</v>
      </c>
      <c r="X251" s="794">
        <f t="shared" si="262"/>
        <v>3</v>
      </c>
      <c r="Y251" s="769">
        <f t="shared" ca="1" si="263"/>
        <v>0.54772255750516607</v>
      </c>
      <c r="Z251" s="769">
        <f t="shared" ca="1" si="264"/>
        <v>0</v>
      </c>
      <c r="AA251" s="795">
        <f t="shared" ca="1" si="265"/>
        <v>0</v>
      </c>
      <c r="AB251" s="769">
        <f t="shared" ca="1" si="266"/>
        <v>0</v>
      </c>
      <c r="AC251" s="769">
        <f t="shared" ca="1" si="267"/>
        <v>0</v>
      </c>
      <c r="AD251" s="769">
        <f t="shared" ca="1" si="268"/>
        <v>0</v>
      </c>
      <c r="AE251" s="794">
        <f t="shared" ca="1" si="269"/>
        <v>0</v>
      </c>
      <c r="AF251" s="769">
        <f t="shared" ca="1" si="270"/>
        <v>0</v>
      </c>
      <c r="AG251" s="769">
        <f t="shared" ca="1" si="271"/>
        <v>0</v>
      </c>
      <c r="AH251" s="799">
        <f t="shared" ca="1" si="272"/>
        <v>0</v>
      </c>
      <c r="AI251" s="801">
        <f t="shared" ca="1" si="273"/>
        <v>1</v>
      </c>
      <c r="AJ251" s="794">
        <f t="shared" ca="1" si="274"/>
        <v>0</v>
      </c>
      <c r="AK251" s="769">
        <f t="shared" ca="1" si="275"/>
        <v>0</v>
      </c>
      <c r="AL251" s="769">
        <f t="shared" ca="1" si="276"/>
        <v>0</v>
      </c>
      <c r="AM251" s="804">
        <f t="shared" ca="1" si="226"/>
        <v>0</v>
      </c>
      <c r="AN251" s="795">
        <f t="shared" ca="1" si="227"/>
        <v>0</v>
      </c>
      <c r="AO251" s="251"/>
      <c r="AP251" s="770">
        <f t="shared" si="277"/>
        <v>0</v>
      </c>
      <c r="AQ251" s="771">
        <f t="shared" ca="1" si="278"/>
        <v>0</v>
      </c>
      <c r="AR251" s="771">
        <f t="shared" ca="1" si="279"/>
        <v>0</v>
      </c>
      <c r="AS251" s="772">
        <f t="shared" ca="1" si="280"/>
        <v>0</v>
      </c>
      <c r="AT251" s="231"/>
      <c r="AU251" s="770">
        <f>'Main Results - IRR DC Operator'!$F$16</f>
        <v>2</v>
      </c>
      <c r="AV251" s="773">
        <f>'Main Results - IRR DC Operator'!$F$15</f>
        <v>1</v>
      </c>
      <c r="AW251" s="771">
        <f t="shared" ca="1" si="281"/>
        <v>0</v>
      </c>
      <c r="AX251" s="772">
        <f t="shared" si="282"/>
        <v>0</v>
      </c>
      <c r="AY251" s="231"/>
      <c r="AZ251" s="770" cm="1">
        <f t="array" aca="1" ref="AZ251" ca="1">INDIRECT("'Definition of Typical Day'!"&amp; ADDRESS($D251+29*(AZ$16-1),$E251))+$AZ$17</f>
        <v>11</v>
      </c>
      <c r="BA251" s="771" cm="1">
        <f t="array" aca="1" ref="BA251" ca="1">INDIRECT("'Definition of Typical Day'!"&amp; ADDRESS($D251+29*(BA$16-1),$E251))+$BA$17</f>
        <v>11</v>
      </c>
      <c r="BB251" s="772" cm="1">
        <f t="array" aca="1" ref="BB251" ca="1">INDIRECT("'Definition of Typical Day'!"&amp;ADDRESS(BB$16,$E251))</f>
        <v>0</v>
      </c>
      <c r="BC251" s="776" cm="1">
        <f t="array" aca="1" ref="BC251" ca="1">INDIRECT("'Definition of Typical Day'!"&amp; ADDRESS($D251+29*(BC$16-1),$E251))</f>
        <v>0</v>
      </c>
      <c r="BD251" s="777" cm="1">
        <f t="array" aca="1" ref="BD251" ca="1">INDIRECT("'Definition of Typical Day'!"&amp; ADDRESS($D251+29*(BD$16-1),$E251))</f>
        <v>0</v>
      </c>
      <c r="BE251" s="776">
        <f t="shared" si="283"/>
        <v>0</v>
      </c>
      <c r="BF251" s="771">
        <f t="shared" ca="1" si="284"/>
        <v>0</v>
      </c>
      <c r="BG251" s="771">
        <f t="shared" ca="1" si="285"/>
        <v>0</v>
      </c>
      <c r="BH251" s="771">
        <f t="shared" ca="1" si="286"/>
        <v>0</v>
      </c>
      <c r="BI251" s="776">
        <f t="shared" ca="1" si="287"/>
        <v>0</v>
      </c>
      <c r="BJ251" s="776">
        <f t="shared" ca="1" si="288"/>
        <v>0</v>
      </c>
      <c r="BK251" s="776">
        <f t="shared" ca="1" si="289"/>
        <v>0</v>
      </c>
      <c r="BL251" s="776">
        <f t="shared" ca="1" si="290"/>
        <v>0</v>
      </c>
      <c r="BM251" s="135"/>
      <c r="BN251" s="776">
        <f t="shared" ca="1" si="291"/>
        <v>0</v>
      </c>
      <c r="BO251" s="778">
        <f t="shared" ca="1" si="228"/>
        <v>0</v>
      </c>
      <c r="BP251" s="770">
        <f t="shared" ca="1" si="229"/>
        <v>0</v>
      </c>
      <c r="BQ251" s="771">
        <f t="shared" ca="1" si="230"/>
        <v>0</v>
      </c>
      <c r="BR251" s="771">
        <f t="shared" ca="1" si="231"/>
        <v>0</v>
      </c>
      <c r="BS251" s="776">
        <f t="shared" ca="1" si="292"/>
        <v>0</v>
      </c>
      <c r="BT251" s="776">
        <f t="shared" ca="1" si="232"/>
        <v>0</v>
      </c>
      <c r="BU251" s="783">
        <f t="shared" ca="1" si="233"/>
        <v>0</v>
      </c>
      <c r="BV251" s="783">
        <f t="shared" ca="1" si="234"/>
        <v>0</v>
      </c>
      <c r="BW251" s="1019">
        <f t="shared" ca="1" si="293"/>
        <v>0</v>
      </c>
      <c r="BX251" s="771" cm="1">
        <f t="array" aca="1" ref="BX251" ca="1">INDIRECT("'Definition of Typical Day'!"&amp; ADDRESS($D251+29*(BX$16-1),$E251))</f>
        <v>0</v>
      </c>
      <c r="BY251" s="771">
        <f t="shared" ca="1" si="294"/>
        <v>0</v>
      </c>
      <c r="BZ251" s="781">
        <f t="shared" ca="1" si="235"/>
        <v>0</v>
      </c>
      <c r="CA251" s="781">
        <f t="shared" ca="1" si="236"/>
        <v>0</v>
      </c>
      <c r="CB251" s="776">
        <f t="shared" ca="1" si="237"/>
        <v>0</v>
      </c>
      <c r="CC251" s="782">
        <f t="shared" si="238"/>
        <v>10</v>
      </c>
      <c r="CD251" s="782">
        <f t="shared" si="239"/>
        <v>15</v>
      </c>
      <c r="CE251" s="784" cm="1">
        <f t="array" aca="1" ref="CE251" ca="1">INDIRECT("'Definition of Typical Day'!"&amp;ADDRESS(CE$16,$E251))</f>
        <v>10</v>
      </c>
      <c r="CF251" s="232"/>
      <c r="CG251" s="232"/>
      <c r="CH251" s="776">
        <f t="shared" ca="1" si="240"/>
        <v>0</v>
      </c>
      <c r="CI251" s="806">
        <f t="shared" ca="1" si="241"/>
        <v>0</v>
      </c>
      <c r="CJ251" s="770">
        <f t="shared" ca="1" si="242"/>
        <v>0</v>
      </c>
      <c r="CK251" s="771">
        <f t="shared" ca="1" si="243"/>
        <v>0</v>
      </c>
      <c r="CL251" s="771">
        <f t="shared" ca="1" si="244"/>
        <v>0</v>
      </c>
      <c r="CM251" s="772">
        <f t="shared" ca="1" si="245"/>
        <v>0</v>
      </c>
      <c r="CN251" s="135"/>
      <c r="CO251" s="770">
        <f t="shared" ca="1" si="295"/>
        <v>1.05</v>
      </c>
      <c r="CP251" s="771">
        <f t="shared" ca="1" si="246"/>
        <v>0.02</v>
      </c>
      <c r="CQ251" s="771">
        <f t="shared" ca="1" si="247"/>
        <v>-2.5000000000000001E-2</v>
      </c>
      <c r="CR251" s="771">
        <f t="shared" ca="1" si="248"/>
        <v>0.95</v>
      </c>
      <c r="CS251" s="771">
        <f t="shared" ca="1" si="249"/>
        <v>0.03</v>
      </c>
      <c r="CT251" s="772">
        <f t="shared" ca="1" si="250"/>
        <v>0.02</v>
      </c>
      <c r="CU251" s="135"/>
      <c r="CV251" s="135"/>
      <c r="CW251" s="135"/>
      <c r="CX251" s="135"/>
      <c r="CY251" s="135"/>
      <c r="CZ251" s="135"/>
      <c r="DA251" s="135"/>
      <c r="DB251" s="135"/>
      <c r="DC251" s="135"/>
      <c r="DD251" s="135"/>
      <c r="DE251" s="135"/>
      <c r="DF251" s="135"/>
      <c r="DG251" s="135"/>
      <c r="DH251" s="135"/>
      <c r="DI251" s="135"/>
      <c r="DJ251" s="135"/>
      <c r="DK251" s="135"/>
      <c r="DL251" s="135"/>
      <c r="DX251" s="135"/>
      <c r="DY251" s="135"/>
      <c r="DZ251" s="135"/>
      <c r="EA251" s="135"/>
      <c r="EB251" s="135"/>
      <c r="EC251" s="135"/>
      <c r="ED251" s="135"/>
      <c r="EE251" s="135"/>
      <c r="EF251" s="135"/>
      <c r="EG251" s="135"/>
      <c r="EH251" s="135"/>
      <c r="EI251" s="135"/>
      <c r="EJ251" s="135"/>
      <c r="EK251" s="135"/>
      <c r="EL251" s="135"/>
      <c r="EM251" s="135"/>
      <c r="EN251" s="135"/>
      <c r="EO251" s="135"/>
      <c r="EP251" s="135"/>
      <c r="EQ251" s="135"/>
      <c r="ER251" s="135"/>
      <c r="ES251" s="135"/>
      <c r="ET251" s="135"/>
      <c r="EU251" s="135"/>
      <c r="EV251" s="135"/>
      <c r="EW251" s="135"/>
      <c r="EX251" s="135"/>
      <c r="EY251" s="135"/>
      <c r="EZ251" s="135"/>
      <c r="FA251" s="135"/>
      <c r="FB251" s="135"/>
      <c r="FC251" s="135"/>
      <c r="FD251" s="135"/>
      <c r="FE251" s="135"/>
      <c r="FF251" s="135"/>
      <c r="FG251" s="135"/>
    </row>
    <row r="252" spans="1:163" s="57" customFormat="1" ht="11.25" outlineLevel="1">
      <c r="A252" s="765">
        <f t="shared" si="296"/>
        <v>10</v>
      </c>
      <c r="B252" s="715" cm="1">
        <f t="array" aca="1" ref="B252" ca="1">INDIRECT("'Definition of Typical Day'!"&amp;ADDRESS(B$16,$E252))</f>
        <v>10</v>
      </c>
      <c r="C252" s="766">
        <f t="shared" si="297"/>
        <v>16</v>
      </c>
      <c r="D252" s="715">
        <f t="shared" si="297"/>
        <v>50</v>
      </c>
      <c r="E252" s="715">
        <f t="shared" si="225"/>
        <v>14</v>
      </c>
      <c r="F252" s="767" cm="1">
        <f t="array" aca="1" ref="F252" ca="1">INDIRECT("'Definition of Typical Day'!D"&amp;D252)</f>
        <v>16</v>
      </c>
      <c r="G252" s="767" cm="1">
        <f t="array" aca="1" ref="G252" ca="1">INDIRECT("'Definition of Typical Day'!"&amp;ADDRESS(13,E252))</f>
        <v>10</v>
      </c>
      <c r="H252" s="768" cm="1">
        <f t="array" aca="1" ref="H252" ca="1">INDIRECT("'Definition of Typical Day'!"&amp; ADDRESS($D252+28*(H$16-1),$E252))</f>
        <v>0</v>
      </c>
      <c r="I252" s="715" cm="1">
        <f t="array" aca="1" ref="I252" ca="1">INDIRECT("'Definition of Typical Day'!"&amp; ADDRESS($D252+29*(I$16-1),$E252))</f>
        <v>0</v>
      </c>
      <c r="J252" s="715">
        <f t="shared" ca="1" si="251"/>
        <v>0</v>
      </c>
      <c r="K252" s="785">
        <f t="shared" si="252"/>
        <v>28</v>
      </c>
      <c r="L252" s="786" cm="1">
        <f t="array" aca="1" ref="L252" ca="1">INDIRECT("'Definition of Typical Day'!"&amp; ADDRESS($D252+29*(L$16-1),$E252))</f>
        <v>0</v>
      </c>
      <c r="M252" s="768" cm="1">
        <f t="array" aca="1" ref="M252" ca="1">INDIRECT("'Definition of Typical Day'!"&amp; ADDRESS($D252+29*(M$16-1),$E252))</f>
        <v>0</v>
      </c>
      <c r="N252" s="715">
        <f t="shared" si="253"/>
        <v>3</v>
      </c>
      <c r="O252" s="715">
        <f t="shared" ca="1" si="254"/>
        <v>3</v>
      </c>
      <c r="P252" s="715" cm="1">
        <f t="array" aca="1" ref="P252" ca="1">INDIRECT("'Definition of Typical Day'!"&amp; ADDRESS($D252+29*(P$16-1),$E252))</f>
        <v>0</v>
      </c>
      <c r="Q252" s="787">
        <f t="shared" ca="1" si="255"/>
        <v>3</v>
      </c>
      <c r="R252" s="792">
        <f t="shared" ca="1" si="256"/>
        <v>3</v>
      </c>
      <c r="S252" s="769">
        <f t="shared" si="257"/>
        <v>3</v>
      </c>
      <c r="T252" s="769">
        <f t="shared" ca="1" si="258"/>
        <v>-0.5</v>
      </c>
      <c r="U252" s="769">
        <f t="shared" ca="1" si="259"/>
        <v>2.262</v>
      </c>
      <c r="V252" s="769">
        <f t="shared" ca="1" si="260"/>
        <v>0</v>
      </c>
      <c r="W252" s="769">
        <f t="shared" ca="1" si="261"/>
        <v>4.7620000000000005</v>
      </c>
      <c r="X252" s="794">
        <f t="shared" si="262"/>
        <v>3</v>
      </c>
      <c r="Y252" s="769">
        <f t="shared" ca="1" si="263"/>
        <v>0.54772255750516607</v>
      </c>
      <c r="Z252" s="769">
        <f t="shared" ca="1" si="264"/>
        <v>0</v>
      </c>
      <c r="AA252" s="795">
        <f t="shared" ca="1" si="265"/>
        <v>0</v>
      </c>
      <c r="AB252" s="769">
        <f t="shared" ca="1" si="266"/>
        <v>0</v>
      </c>
      <c r="AC252" s="769">
        <f t="shared" ca="1" si="267"/>
        <v>0</v>
      </c>
      <c r="AD252" s="769">
        <f t="shared" ca="1" si="268"/>
        <v>0</v>
      </c>
      <c r="AE252" s="794">
        <f t="shared" ca="1" si="269"/>
        <v>0</v>
      </c>
      <c r="AF252" s="769">
        <f t="shared" ca="1" si="270"/>
        <v>0</v>
      </c>
      <c r="AG252" s="769">
        <f t="shared" ca="1" si="271"/>
        <v>0</v>
      </c>
      <c r="AH252" s="799">
        <f t="shared" ca="1" si="272"/>
        <v>0</v>
      </c>
      <c r="AI252" s="801">
        <f t="shared" ca="1" si="273"/>
        <v>1</v>
      </c>
      <c r="AJ252" s="794">
        <f t="shared" ca="1" si="274"/>
        <v>0</v>
      </c>
      <c r="AK252" s="769">
        <f t="shared" ca="1" si="275"/>
        <v>0</v>
      </c>
      <c r="AL252" s="769">
        <f t="shared" ca="1" si="276"/>
        <v>0</v>
      </c>
      <c r="AM252" s="804">
        <f t="shared" ca="1" si="226"/>
        <v>0</v>
      </c>
      <c r="AN252" s="795">
        <f t="shared" ca="1" si="227"/>
        <v>0</v>
      </c>
      <c r="AO252" s="251"/>
      <c r="AP252" s="770">
        <f t="shared" si="277"/>
        <v>0</v>
      </c>
      <c r="AQ252" s="771">
        <f t="shared" ca="1" si="278"/>
        <v>0</v>
      </c>
      <c r="AR252" s="771">
        <f t="shared" ca="1" si="279"/>
        <v>0</v>
      </c>
      <c r="AS252" s="772">
        <f t="shared" ca="1" si="280"/>
        <v>0</v>
      </c>
      <c r="AT252" s="231"/>
      <c r="AU252" s="770">
        <f>'Main Results - IRR DC Operator'!$F$16</f>
        <v>2</v>
      </c>
      <c r="AV252" s="773">
        <f>'Main Results - IRR DC Operator'!$F$15</f>
        <v>1</v>
      </c>
      <c r="AW252" s="771">
        <f t="shared" ca="1" si="281"/>
        <v>0</v>
      </c>
      <c r="AX252" s="772">
        <f t="shared" si="282"/>
        <v>0</v>
      </c>
      <c r="AY252" s="231"/>
      <c r="AZ252" s="770" cm="1">
        <f t="array" aca="1" ref="AZ252" ca="1">INDIRECT("'Definition of Typical Day'!"&amp; ADDRESS($D252+29*(AZ$16-1),$E252))+$AZ$17</f>
        <v>11</v>
      </c>
      <c r="BA252" s="771" cm="1">
        <f t="array" aca="1" ref="BA252" ca="1">INDIRECT("'Definition of Typical Day'!"&amp; ADDRESS($D252+29*(BA$16-1),$E252))+$BA$17</f>
        <v>11</v>
      </c>
      <c r="BB252" s="772" cm="1">
        <f t="array" aca="1" ref="BB252" ca="1">INDIRECT("'Definition of Typical Day'!"&amp;ADDRESS(BB$16,$E252))</f>
        <v>0</v>
      </c>
      <c r="BC252" s="776" cm="1">
        <f t="array" aca="1" ref="BC252" ca="1">INDIRECT("'Definition of Typical Day'!"&amp; ADDRESS($D252+29*(BC$16-1),$E252))</f>
        <v>0</v>
      </c>
      <c r="BD252" s="777" cm="1">
        <f t="array" aca="1" ref="BD252" ca="1">INDIRECT("'Definition of Typical Day'!"&amp; ADDRESS($D252+29*(BD$16-1),$E252))</f>
        <v>0</v>
      </c>
      <c r="BE252" s="776">
        <f t="shared" si="283"/>
        <v>0</v>
      </c>
      <c r="BF252" s="771">
        <f t="shared" ca="1" si="284"/>
        <v>0</v>
      </c>
      <c r="BG252" s="771">
        <f t="shared" ca="1" si="285"/>
        <v>0</v>
      </c>
      <c r="BH252" s="771">
        <f t="shared" ca="1" si="286"/>
        <v>0</v>
      </c>
      <c r="BI252" s="776">
        <f t="shared" ca="1" si="287"/>
        <v>0</v>
      </c>
      <c r="BJ252" s="776">
        <f t="shared" ca="1" si="288"/>
        <v>0</v>
      </c>
      <c r="BK252" s="776">
        <f t="shared" ca="1" si="289"/>
        <v>0</v>
      </c>
      <c r="BL252" s="776">
        <f t="shared" ca="1" si="290"/>
        <v>0</v>
      </c>
      <c r="BM252" s="135"/>
      <c r="BN252" s="776">
        <f t="shared" ca="1" si="291"/>
        <v>0</v>
      </c>
      <c r="BO252" s="778">
        <f t="shared" ca="1" si="228"/>
        <v>0</v>
      </c>
      <c r="BP252" s="770">
        <f t="shared" ca="1" si="229"/>
        <v>0</v>
      </c>
      <c r="BQ252" s="771">
        <f t="shared" ca="1" si="230"/>
        <v>0</v>
      </c>
      <c r="BR252" s="771">
        <f t="shared" ca="1" si="231"/>
        <v>0</v>
      </c>
      <c r="BS252" s="776">
        <f t="shared" ca="1" si="292"/>
        <v>0</v>
      </c>
      <c r="BT252" s="776">
        <f t="shared" ca="1" si="232"/>
        <v>0</v>
      </c>
      <c r="BU252" s="783">
        <f t="shared" ca="1" si="233"/>
        <v>0</v>
      </c>
      <c r="BV252" s="783">
        <f t="shared" ca="1" si="234"/>
        <v>0</v>
      </c>
      <c r="BW252" s="1019">
        <f t="shared" ca="1" si="293"/>
        <v>0</v>
      </c>
      <c r="BX252" s="771" cm="1">
        <f t="array" aca="1" ref="BX252" ca="1">INDIRECT("'Definition of Typical Day'!"&amp; ADDRESS($D252+29*(BX$16-1),$E252))</f>
        <v>0</v>
      </c>
      <c r="BY252" s="771">
        <f t="shared" ca="1" si="294"/>
        <v>0</v>
      </c>
      <c r="BZ252" s="781">
        <f t="shared" ca="1" si="235"/>
        <v>0</v>
      </c>
      <c r="CA252" s="781">
        <f t="shared" ca="1" si="236"/>
        <v>0</v>
      </c>
      <c r="CB252" s="776">
        <f t="shared" ca="1" si="237"/>
        <v>0</v>
      </c>
      <c r="CC252" s="782">
        <f t="shared" si="238"/>
        <v>10</v>
      </c>
      <c r="CD252" s="782">
        <f t="shared" si="239"/>
        <v>16</v>
      </c>
      <c r="CE252" s="784" cm="1">
        <f t="array" aca="1" ref="CE252" ca="1">INDIRECT("'Definition of Typical Day'!"&amp;ADDRESS(CE$16,$E252))</f>
        <v>10</v>
      </c>
      <c r="CF252" s="232"/>
      <c r="CG252" s="232"/>
      <c r="CH252" s="776">
        <f t="shared" ca="1" si="240"/>
        <v>0</v>
      </c>
      <c r="CI252" s="806">
        <f t="shared" ca="1" si="241"/>
        <v>0</v>
      </c>
      <c r="CJ252" s="770">
        <f t="shared" ca="1" si="242"/>
        <v>0</v>
      </c>
      <c r="CK252" s="771">
        <f t="shared" ca="1" si="243"/>
        <v>0</v>
      </c>
      <c r="CL252" s="771">
        <f t="shared" ca="1" si="244"/>
        <v>0</v>
      </c>
      <c r="CM252" s="772">
        <f t="shared" ca="1" si="245"/>
        <v>0</v>
      </c>
      <c r="CN252" s="135"/>
      <c r="CO252" s="770">
        <f t="shared" ca="1" si="295"/>
        <v>1.05</v>
      </c>
      <c r="CP252" s="771">
        <f t="shared" ca="1" si="246"/>
        <v>0.02</v>
      </c>
      <c r="CQ252" s="771">
        <f t="shared" ca="1" si="247"/>
        <v>-2.5000000000000001E-2</v>
      </c>
      <c r="CR252" s="771">
        <f t="shared" ca="1" si="248"/>
        <v>0.95</v>
      </c>
      <c r="CS252" s="771">
        <f t="shared" ca="1" si="249"/>
        <v>0.03</v>
      </c>
      <c r="CT252" s="772">
        <f t="shared" ca="1" si="250"/>
        <v>0.02</v>
      </c>
      <c r="CU252" s="135"/>
      <c r="CV252" s="135"/>
      <c r="CW252" s="135"/>
      <c r="CX252" s="135"/>
      <c r="CY252" s="135"/>
      <c r="CZ252" s="135"/>
      <c r="DA252" s="135"/>
      <c r="DB252" s="135"/>
      <c r="DC252" s="135"/>
      <c r="DD252" s="135"/>
      <c r="DE252" s="135"/>
      <c r="DF252" s="135"/>
      <c r="DG252" s="135"/>
      <c r="DH252" s="135"/>
      <c r="DI252" s="135"/>
      <c r="DJ252" s="135"/>
      <c r="DK252" s="135"/>
      <c r="DL252" s="135"/>
      <c r="DX252" s="135"/>
      <c r="DY252" s="135"/>
      <c r="DZ252" s="135"/>
      <c r="EA252" s="135"/>
      <c r="EB252" s="135"/>
      <c r="EC252" s="135"/>
      <c r="ED252" s="135"/>
      <c r="EE252" s="135"/>
      <c r="EF252" s="135"/>
      <c r="EG252" s="135"/>
      <c r="EH252" s="135"/>
      <c r="EI252" s="135"/>
      <c r="EJ252" s="135"/>
      <c r="EK252" s="135"/>
      <c r="EL252" s="135"/>
      <c r="EM252" s="135"/>
      <c r="EN252" s="135"/>
      <c r="EO252" s="135"/>
      <c r="EP252" s="135"/>
      <c r="EQ252" s="135"/>
      <c r="ER252" s="135"/>
      <c r="ES252" s="135"/>
      <c r="ET252" s="135"/>
      <c r="EU252" s="135"/>
      <c r="EV252" s="135"/>
      <c r="EW252" s="135"/>
      <c r="EX252" s="135"/>
      <c r="EY252" s="135"/>
      <c r="EZ252" s="135"/>
      <c r="FA252" s="135"/>
      <c r="FB252" s="135"/>
      <c r="FC252" s="135"/>
      <c r="FD252" s="135"/>
      <c r="FE252" s="135"/>
      <c r="FF252" s="135"/>
      <c r="FG252" s="135"/>
    </row>
    <row r="253" spans="1:163" s="57" customFormat="1" ht="11.25" outlineLevel="1">
      <c r="A253" s="765">
        <f t="shared" si="296"/>
        <v>10</v>
      </c>
      <c r="B253" s="715" cm="1">
        <f t="array" aca="1" ref="B253" ca="1">INDIRECT("'Definition of Typical Day'!"&amp;ADDRESS(B$16,$E253))</f>
        <v>10</v>
      </c>
      <c r="C253" s="766">
        <f t="shared" si="297"/>
        <v>17</v>
      </c>
      <c r="D253" s="715">
        <f t="shared" si="297"/>
        <v>51</v>
      </c>
      <c r="E253" s="715">
        <f t="shared" si="225"/>
        <v>14</v>
      </c>
      <c r="F253" s="767" cm="1">
        <f t="array" aca="1" ref="F253" ca="1">INDIRECT("'Definition of Typical Day'!D"&amp;D253)</f>
        <v>17</v>
      </c>
      <c r="G253" s="767" cm="1">
        <f t="array" aca="1" ref="G253" ca="1">INDIRECT("'Definition of Typical Day'!"&amp;ADDRESS(13,E253))</f>
        <v>10</v>
      </c>
      <c r="H253" s="768" cm="1">
        <f t="array" aca="1" ref="H253" ca="1">INDIRECT("'Definition of Typical Day'!"&amp; ADDRESS($D253+28*(H$16-1),$E253))</f>
        <v>0</v>
      </c>
      <c r="I253" s="715" cm="1">
        <f t="array" aca="1" ref="I253" ca="1">INDIRECT("'Definition of Typical Day'!"&amp; ADDRESS($D253+29*(I$16-1),$E253))</f>
        <v>0</v>
      </c>
      <c r="J253" s="715">
        <f t="shared" ca="1" si="251"/>
        <v>0</v>
      </c>
      <c r="K253" s="785">
        <f t="shared" si="252"/>
        <v>28</v>
      </c>
      <c r="L253" s="786" cm="1">
        <f t="array" aca="1" ref="L253" ca="1">INDIRECT("'Definition of Typical Day'!"&amp; ADDRESS($D253+29*(L$16-1),$E253))</f>
        <v>0</v>
      </c>
      <c r="M253" s="768" cm="1">
        <f t="array" aca="1" ref="M253" ca="1">INDIRECT("'Definition of Typical Day'!"&amp; ADDRESS($D253+29*(M$16-1),$E253))</f>
        <v>0</v>
      </c>
      <c r="N253" s="715">
        <f t="shared" si="253"/>
        <v>3</v>
      </c>
      <c r="O253" s="715">
        <f t="shared" ca="1" si="254"/>
        <v>3</v>
      </c>
      <c r="P253" s="715" cm="1">
        <f t="array" aca="1" ref="P253" ca="1">INDIRECT("'Definition of Typical Day'!"&amp; ADDRESS($D253+29*(P$16-1),$E253))</f>
        <v>0</v>
      </c>
      <c r="Q253" s="787">
        <f t="shared" ca="1" si="255"/>
        <v>3</v>
      </c>
      <c r="R253" s="792">
        <f t="shared" ca="1" si="256"/>
        <v>3</v>
      </c>
      <c r="S253" s="769">
        <f t="shared" si="257"/>
        <v>3</v>
      </c>
      <c r="T253" s="769">
        <f t="shared" ca="1" si="258"/>
        <v>-0.5</v>
      </c>
      <c r="U253" s="769">
        <f t="shared" ca="1" si="259"/>
        <v>2.262</v>
      </c>
      <c r="V253" s="769">
        <f t="shared" ca="1" si="260"/>
        <v>0</v>
      </c>
      <c r="W253" s="769">
        <f t="shared" ca="1" si="261"/>
        <v>4.7620000000000005</v>
      </c>
      <c r="X253" s="794">
        <f t="shared" si="262"/>
        <v>3</v>
      </c>
      <c r="Y253" s="769">
        <f t="shared" ca="1" si="263"/>
        <v>0.54772255750516607</v>
      </c>
      <c r="Z253" s="769">
        <f t="shared" ca="1" si="264"/>
        <v>0</v>
      </c>
      <c r="AA253" s="795">
        <f t="shared" ca="1" si="265"/>
        <v>0</v>
      </c>
      <c r="AB253" s="769">
        <f t="shared" ca="1" si="266"/>
        <v>0</v>
      </c>
      <c r="AC253" s="769">
        <f t="shared" ca="1" si="267"/>
        <v>0</v>
      </c>
      <c r="AD253" s="769">
        <f t="shared" ca="1" si="268"/>
        <v>0</v>
      </c>
      <c r="AE253" s="794">
        <f t="shared" ca="1" si="269"/>
        <v>0</v>
      </c>
      <c r="AF253" s="769">
        <f t="shared" ca="1" si="270"/>
        <v>0</v>
      </c>
      <c r="AG253" s="769">
        <f t="shared" ca="1" si="271"/>
        <v>0</v>
      </c>
      <c r="AH253" s="799">
        <f t="shared" ca="1" si="272"/>
        <v>0</v>
      </c>
      <c r="AI253" s="801">
        <f t="shared" ca="1" si="273"/>
        <v>1</v>
      </c>
      <c r="AJ253" s="794">
        <f t="shared" ca="1" si="274"/>
        <v>0</v>
      </c>
      <c r="AK253" s="769">
        <f t="shared" ca="1" si="275"/>
        <v>0</v>
      </c>
      <c r="AL253" s="769">
        <f t="shared" ca="1" si="276"/>
        <v>0</v>
      </c>
      <c r="AM253" s="804">
        <f t="shared" ca="1" si="226"/>
        <v>0</v>
      </c>
      <c r="AN253" s="795">
        <f t="shared" ca="1" si="227"/>
        <v>0</v>
      </c>
      <c r="AO253" s="251"/>
      <c r="AP253" s="770">
        <f t="shared" si="277"/>
        <v>0</v>
      </c>
      <c r="AQ253" s="771">
        <f t="shared" ca="1" si="278"/>
        <v>0</v>
      </c>
      <c r="AR253" s="771">
        <f t="shared" ca="1" si="279"/>
        <v>0</v>
      </c>
      <c r="AS253" s="772">
        <f t="shared" ca="1" si="280"/>
        <v>0</v>
      </c>
      <c r="AT253" s="231"/>
      <c r="AU253" s="770">
        <f>'Main Results - IRR DC Operator'!$F$16</f>
        <v>2</v>
      </c>
      <c r="AV253" s="773">
        <f>'Main Results - IRR DC Operator'!$F$15</f>
        <v>1</v>
      </c>
      <c r="AW253" s="771">
        <f t="shared" ca="1" si="281"/>
        <v>0</v>
      </c>
      <c r="AX253" s="772">
        <f t="shared" si="282"/>
        <v>0</v>
      </c>
      <c r="AY253" s="231"/>
      <c r="AZ253" s="770" cm="1">
        <f t="array" aca="1" ref="AZ253" ca="1">INDIRECT("'Definition of Typical Day'!"&amp; ADDRESS($D253+29*(AZ$16-1),$E253))+$AZ$17</f>
        <v>11</v>
      </c>
      <c r="BA253" s="771" cm="1">
        <f t="array" aca="1" ref="BA253" ca="1">INDIRECT("'Definition of Typical Day'!"&amp; ADDRESS($D253+29*(BA$16-1),$E253))+$BA$17</f>
        <v>11</v>
      </c>
      <c r="BB253" s="772" cm="1">
        <f t="array" aca="1" ref="BB253" ca="1">INDIRECT("'Definition of Typical Day'!"&amp;ADDRESS(BB$16,$E253))</f>
        <v>0</v>
      </c>
      <c r="BC253" s="776" cm="1">
        <f t="array" aca="1" ref="BC253" ca="1">INDIRECT("'Definition of Typical Day'!"&amp; ADDRESS($D253+29*(BC$16-1),$E253))</f>
        <v>0</v>
      </c>
      <c r="BD253" s="777" cm="1">
        <f t="array" aca="1" ref="BD253" ca="1">INDIRECT("'Definition of Typical Day'!"&amp; ADDRESS($D253+29*(BD$16-1),$E253))</f>
        <v>0</v>
      </c>
      <c r="BE253" s="776">
        <f t="shared" si="283"/>
        <v>0</v>
      </c>
      <c r="BF253" s="771">
        <f t="shared" ca="1" si="284"/>
        <v>0</v>
      </c>
      <c r="BG253" s="771">
        <f t="shared" ca="1" si="285"/>
        <v>0</v>
      </c>
      <c r="BH253" s="771">
        <f t="shared" ca="1" si="286"/>
        <v>0</v>
      </c>
      <c r="BI253" s="776">
        <f t="shared" ca="1" si="287"/>
        <v>0</v>
      </c>
      <c r="BJ253" s="776">
        <f t="shared" ca="1" si="288"/>
        <v>0</v>
      </c>
      <c r="BK253" s="776">
        <f t="shared" ca="1" si="289"/>
        <v>0</v>
      </c>
      <c r="BL253" s="776">
        <f t="shared" ca="1" si="290"/>
        <v>0</v>
      </c>
      <c r="BM253" s="135"/>
      <c r="BN253" s="776">
        <f t="shared" ca="1" si="291"/>
        <v>0</v>
      </c>
      <c r="BO253" s="778">
        <f t="shared" ca="1" si="228"/>
        <v>0</v>
      </c>
      <c r="BP253" s="770">
        <f t="shared" ca="1" si="229"/>
        <v>0</v>
      </c>
      <c r="BQ253" s="771">
        <f t="shared" ca="1" si="230"/>
        <v>0</v>
      </c>
      <c r="BR253" s="771">
        <f t="shared" ca="1" si="231"/>
        <v>0</v>
      </c>
      <c r="BS253" s="776">
        <f t="shared" ca="1" si="292"/>
        <v>0</v>
      </c>
      <c r="BT253" s="776">
        <f t="shared" ca="1" si="232"/>
        <v>0</v>
      </c>
      <c r="BU253" s="783">
        <f t="shared" ca="1" si="233"/>
        <v>0</v>
      </c>
      <c r="BV253" s="783">
        <f t="shared" ca="1" si="234"/>
        <v>0</v>
      </c>
      <c r="BW253" s="1019">
        <f t="shared" ca="1" si="293"/>
        <v>0</v>
      </c>
      <c r="BX253" s="771" cm="1">
        <f t="array" aca="1" ref="BX253" ca="1">INDIRECT("'Definition of Typical Day'!"&amp; ADDRESS($D253+29*(BX$16-1),$E253))</f>
        <v>0</v>
      </c>
      <c r="BY253" s="771">
        <f t="shared" ca="1" si="294"/>
        <v>0</v>
      </c>
      <c r="BZ253" s="781">
        <f t="shared" ca="1" si="235"/>
        <v>0</v>
      </c>
      <c r="CA253" s="781">
        <f t="shared" ca="1" si="236"/>
        <v>0</v>
      </c>
      <c r="CB253" s="776">
        <f t="shared" ca="1" si="237"/>
        <v>0</v>
      </c>
      <c r="CC253" s="782">
        <f t="shared" si="238"/>
        <v>10</v>
      </c>
      <c r="CD253" s="782">
        <f t="shared" si="239"/>
        <v>17</v>
      </c>
      <c r="CE253" s="784" cm="1">
        <f t="array" aca="1" ref="CE253" ca="1">INDIRECT("'Definition of Typical Day'!"&amp;ADDRESS(CE$16,$E253))</f>
        <v>10</v>
      </c>
      <c r="CF253" s="232"/>
      <c r="CG253" s="232"/>
      <c r="CH253" s="776">
        <f t="shared" ca="1" si="240"/>
        <v>0</v>
      </c>
      <c r="CI253" s="806">
        <f t="shared" ca="1" si="241"/>
        <v>0</v>
      </c>
      <c r="CJ253" s="770">
        <f t="shared" ca="1" si="242"/>
        <v>0</v>
      </c>
      <c r="CK253" s="771">
        <f t="shared" ca="1" si="243"/>
        <v>0</v>
      </c>
      <c r="CL253" s="771">
        <f t="shared" ca="1" si="244"/>
        <v>0</v>
      </c>
      <c r="CM253" s="772">
        <f t="shared" ca="1" si="245"/>
        <v>0</v>
      </c>
      <c r="CN253" s="135"/>
      <c r="CO253" s="770">
        <f t="shared" ca="1" si="295"/>
        <v>1.05</v>
      </c>
      <c r="CP253" s="771">
        <f t="shared" ca="1" si="246"/>
        <v>0.02</v>
      </c>
      <c r="CQ253" s="771">
        <f t="shared" ca="1" si="247"/>
        <v>-2.5000000000000001E-2</v>
      </c>
      <c r="CR253" s="771">
        <f t="shared" ca="1" si="248"/>
        <v>0.95</v>
      </c>
      <c r="CS253" s="771">
        <f t="shared" ca="1" si="249"/>
        <v>0.03</v>
      </c>
      <c r="CT253" s="772">
        <f t="shared" ca="1" si="250"/>
        <v>0.02</v>
      </c>
      <c r="CU253" s="135"/>
      <c r="CV253" s="135"/>
      <c r="CW253" s="135"/>
      <c r="CX253" s="135"/>
      <c r="CY253" s="135"/>
      <c r="CZ253" s="135"/>
      <c r="DA253" s="135"/>
      <c r="DB253" s="135"/>
      <c r="DC253" s="135"/>
      <c r="DD253" s="135"/>
      <c r="DE253" s="135"/>
      <c r="DF253" s="135"/>
      <c r="DG253" s="135"/>
      <c r="DH253" s="135"/>
      <c r="DI253" s="135"/>
      <c r="DJ253" s="135"/>
      <c r="DK253" s="135"/>
      <c r="DL253" s="135"/>
      <c r="DX253" s="135"/>
      <c r="DY253" s="135"/>
      <c r="DZ253" s="135"/>
      <c r="EA253" s="135"/>
      <c r="EB253" s="135"/>
      <c r="EC253" s="135"/>
      <c r="ED253" s="135"/>
      <c r="EE253" s="135"/>
      <c r="EF253" s="135"/>
      <c r="EG253" s="135"/>
      <c r="EH253" s="135"/>
      <c r="EI253" s="135"/>
      <c r="EJ253" s="135"/>
      <c r="EK253" s="135"/>
      <c r="EL253" s="135"/>
      <c r="EM253" s="135"/>
      <c r="EN253" s="135"/>
      <c r="EO253" s="135"/>
      <c r="EP253" s="135"/>
      <c r="EQ253" s="135"/>
      <c r="ER253" s="135"/>
      <c r="ES253" s="135"/>
      <c r="ET253" s="135"/>
      <c r="EU253" s="135"/>
      <c r="EV253" s="135"/>
      <c r="EW253" s="135"/>
      <c r="EX253" s="135"/>
      <c r="EY253" s="135"/>
      <c r="EZ253" s="135"/>
      <c r="FA253" s="135"/>
      <c r="FB253" s="135"/>
      <c r="FC253" s="135"/>
      <c r="FD253" s="135"/>
      <c r="FE253" s="135"/>
      <c r="FF253" s="135"/>
      <c r="FG253" s="135"/>
    </row>
    <row r="254" spans="1:163" s="57" customFormat="1" ht="11.25" outlineLevel="1">
      <c r="A254" s="765">
        <f t="shared" si="296"/>
        <v>10</v>
      </c>
      <c r="B254" s="715" cm="1">
        <f t="array" aca="1" ref="B254" ca="1">INDIRECT("'Definition of Typical Day'!"&amp;ADDRESS(B$16,$E254))</f>
        <v>10</v>
      </c>
      <c r="C254" s="766">
        <f t="shared" si="297"/>
        <v>18</v>
      </c>
      <c r="D254" s="715">
        <f t="shared" si="297"/>
        <v>52</v>
      </c>
      <c r="E254" s="715">
        <f t="shared" si="225"/>
        <v>14</v>
      </c>
      <c r="F254" s="767" cm="1">
        <f t="array" aca="1" ref="F254" ca="1">INDIRECT("'Definition of Typical Day'!D"&amp;D254)</f>
        <v>18</v>
      </c>
      <c r="G254" s="767" cm="1">
        <f t="array" aca="1" ref="G254" ca="1">INDIRECT("'Definition of Typical Day'!"&amp;ADDRESS(13,E254))</f>
        <v>10</v>
      </c>
      <c r="H254" s="768" cm="1">
        <f t="array" aca="1" ref="H254" ca="1">INDIRECT("'Definition of Typical Day'!"&amp; ADDRESS($D254+28*(H$16-1),$E254))</f>
        <v>0</v>
      </c>
      <c r="I254" s="715" cm="1">
        <f t="array" aca="1" ref="I254" ca="1">INDIRECT("'Definition of Typical Day'!"&amp; ADDRESS($D254+29*(I$16-1),$E254))</f>
        <v>0</v>
      </c>
      <c r="J254" s="715">
        <f t="shared" ca="1" si="251"/>
        <v>0</v>
      </c>
      <c r="K254" s="785">
        <f t="shared" si="252"/>
        <v>28</v>
      </c>
      <c r="L254" s="786" cm="1">
        <f t="array" aca="1" ref="L254" ca="1">INDIRECT("'Definition of Typical Day'!"&amp; ADDRESS($D254+29*(L$16-1),$E254))</f>
        <v>0</v>
      </c>
      <c r="M254" s="768" cm="1">
        <f t="array" aca="1" ref="M254" ca="1">INDIRECT("'Definition of Typical Day'!"&amp; ADDRESS($D254+29*(M$16-1),$E254))</f>
        <v>0</v>
      </c>
      <c r="N254" s="715">
        <f t="shared" si="253"/>
        <v>3</v>
      </c>
      <c r="O254" s="715">
        <f t="shared" ca="1" si="254"/>
        <v>3</v>
      </c>
      <c r="P254" s="715" cm="1">
        <f t="array" aca="1" ref="P254" ca="1">INDIRECT("'Definition of Typical Day'!"&amp; ADDRESS($D254+29*(P$16-1),$E254))</f>
        <v>0</v>
      </c>
      <c r="Q254" s="787">
        <f t="shared" ca="1" si="255"/>
        <v>3</v>
      </c>
      <c r="R254" s="792">
        <f t="shared" ca="1" si="256"/>
        <v>3</v>
      </c>
      <c r="S254" s="769">
        <f t="shared" si="257"/>
        <v>3</v>
      </c>
      <c r="T254" s="769">
        <f t="shared" ca="1" si="258"/>
        <v>-0.5</v>
      </c>
      <c r="U254" s="769">
        <f t="shared" ca="1" si="259"/>
        <v>2.262</v>
      </c>
      <c r="V254" s="769">
        <f t="shared" ca="1" si="260"/>
        <v>0</v>
      </c>
      <c r="W254" s="769">
        <f t="shared" ca="1" si="261"/>
        <v>4.7620000000000005</v>
      </c>
      <c r="X254" s="794">
        <f t="shared" si="262"/>
        <v>3</v>
      </c>
      <c r="Y254" s="769">
        <f t="shared" ca="1" si="263"/>
        <v>0.54772255750516607</v>
      </c>
      <c r="Z254" s="769">
        <f t="shared" ca="1" si="264"/>
        <v>0</v>
      </c>
      <c r="AA254" s="795">
        <f t="shared" ca="1" si="265"/>
        <v>0</v>
      </c>
      <c r="AB254" s="769">
        <f t="shared" ca="1" si="266"/>
        <v>0</v>
      </c>
      <c r="AC254" s="769">
        <f t="shared" ca="1" si="267"/>
        <v>0</v>
      </c>
      <c r="AD254" s="769">
        <f t="shared" ca="1" si="268"/>
        <v>0</v>
      </c>
      <c r="AE254" s="794">
        <f t="shared" ca="1" si="269"/>
        <v>0</v>
      </c>
      <c r="AF254" s="769">
        <f t="shared" ca="1" si="270"/>
        <v>0</v>
      </c>
      <c r="AG254" s="769">
        <f t="shared" ca="1" si="271"/>
        <v>0</v>
      </c>
      <c r="AH254" s="799">
        <f t="shared" ca="1" si="272"/>
        <v>0</v>
      </c>
      <c r="AI254" s="801">
        <f t="shared" ca="1" si="273"/>
        <v>1</v>
      </c>
      <c r="AJ254" s="794">
        <f t="shared" ca="1" si="274"/>
        <v>0</v>
      </c>
      <c r="AK254" s="769">
        <f t="shared" ca="1" si="275"/>
        <v>0</v>
      </c>
      <c r="AL254" s="769">
        <f t="shared" ca="1" si="276"/>
        <v>0</v>
      </c>
      <c r="AM254" s="804">
        <f t="shared" ca="1" si="226"/>
        <v>0</v>
      </c>
      <c r="AN254" s="795">
        <f t="shared" ca="1" si="227"/>
        <v>0</v>
      </c>
      <c r="AO254" s="251"/>
      <c r="AP254" s="770">
        <f t="shared" si="277"/>
        <v>0</v>
      </c>
      <c r="AQ254" s="771">
        <f t="shared" ca="1" si="278"/>
        <v>0</v>
      </c>
      <c r="AR254" s="771">
        <f t="shared" ca="1" si="279"/>
        <v>0</v>
      </c>
      <c r="AS254" s="772">
        <f t="shared" ca="1" si="280"/>
        <v>0</v>
      </c>
      <c r="AT254" s="231"/>
      <c r="AU254" s="770">
        <f>'Main Results - IRR DC Operator'!$F$16</f>
        <v>2</v>
      </c>
      <c r="AV254" s="773">
        <f>'Main Results - IRR DC Operator'!$F$15</f>
        <v>1</v>
      </c>
      <c r="AW254" s="771">
        <f t="shared" ca="1" si="281"/>
        <v>0</v>
      </c>
      <c r="AX254" s="772">
        <f t="shared" si="282"/>
        <v>0</v>
      </c>
      <c r="AY254" s="231"/>
      <c r="AZ254" s="770" cm="1">
        <f t="array" aca="1" ref="AZ254" ca="1">INDIRECT("'Definition of Typical Day'!"&amp; ADDRESS($D254+29*(AZ$16-1),$E254))+$AZ$17</f>
        <v>11</v>
      </c>
      <c r="BA254" s="771" cm="1">
        <f t="array" aca="1" ref="BA254" ca="1">INDIRECT("'Definition of Typical Day'!"&amp; ADDRESS($D254+29*(BA$16-1),$E254))+$BA$17</f>
        <v>11</v>
      </c>
      <c r="BB254" s="772" cm="1">
        <f t="array" aca="1" ref="BB254" ca="1">INDIRECT("'Definition of Typical Day'!"&amp;ADDRESS(BB$16,$E254))</f>
        <v>0</v>
      </c>
      <c r="BC254" s="776" cm="1">
        <f t="array" aca="1" ref="BC254" ca="1">INDIRECT("'Definition of Typical Day'!"&amp; ADDRESS($D254+29*(BC$16-1),$E254))</f>
        <v>0</v>
      </c>
      <c r="BD254" s="777" cm="1">
        <f t="array" aca="1" ref="BD254" ca="1">INDIRECT("'Definition of Typical Day'!"&amp; ADDRESS($D254+29*(BD$16-1),$E254))</f>
        <v>0</v>
      </c>
      <c r="BE254" s="776">
        <f t="shared" si="283"/>
        <v>0</v>
      </c>
      <c r="BF254" s="771">
        <f t="shared" ca="1" si="284"/>
        <v>0</v>
      </c>
      <c r="BG254" s="771">
        <f t="shared" ca="1" si="285"/>
        <v>0</v>
      </c>
      <c r="BH254" s="771">
        <f t="shared" ca="1" si="286"/>
        <v>0</v>
      </c>
      <c r="BI254" s="776">
        <f t="shared" ca="1" si="287"/>
        <v>0</v>
      </c>
      <c r="BJ254" s="776">
        <f t="shared" ca="1" si="288"/>
        <v>0</v>
      </c>
      <c r="BK254" s="776">
        <f t="shared" ca="1" si="289"/>
        <v>0</v>
      </c>
      <c r="BL254" s="776">
        <f t="shared" ca="1" si="290"/>
        <v>0</v>
      </c>
      <c r="BM254" s="135"/>
      <c r="BN254" s="776">
        <f t="shared" ca="1" si="291"/>
        <v>0</v>
      </c>
      <c r="BO254" s="778">
        <f t="shared" ca="1" si="228"/>
        <v>0</v>
      </c>
      <c r="BP254" s="770">
        <f t="shared" ca="1" si="229"/>
        <v>0</v>
      </c>
      <c r="BQ254" s="771">
        <f t="shared" ca="1" si="230"/>
        <v>0</v>
      </c>
      <c r="BR254" s="771">
        <f t="shared" ca="1" si="231"/>
        <v>0</v>
      </c>
      <c r="BS254" s="776">
        <f t="shared" ca="1" si="292"/>
        <v>0</v>
      </c>
      <c r="BT254" s="776">
        <f t="shared" ca="1" si="232"/>
        <v>0</v>
      </c>
      <c r="BU254" s="783">
        <f t="shared" ca="1" si="233"/>
        <v>0</v>
      </c>
      <c r="BV254" s="783">
        <f t="shared" ca="1" si="234"/>
        <v>0</v>
      </c>
      <c r="BW254" s="1019">
        <f t="shared" ca="1" si="293"/>
        <v>0</v>
      </c>
      <c r="BX254" s="771" cm="1">
        <f t="array" aca="1" ref="BX254" ca="1">INDIRECT("'Definition of Typical Day'!"&amp; ADDRESS($D254+29*(BX$16-1),$E254))</f>
        <v>0</v>
      </c>
      <c r="BY254" s="771">
        <f t="shared" ca="1" si="294"/>
        <v>0</v>
      </c>
      <c r="BZ254" s="781">
        <f t="shared" ca="1" si="235"/>
        <v>0</v>
      </c>
      <c r="CA254" s="781">
        <f t="shared" ca="1" si="236"/>
        <v>0</v>
      </c>
      <c r="CB254" s="776">
        <f t="shared" ca="1" si="237"/>
        <v>0</v>
      </c>
      <c r="CC254" s="782">
        <f t="shared" si="238"/>
        <v>10</v>
      </c>
      <c r="CD254" s="782">
        <f t="shared" si="239"/>
        <v>18</v>
      </c>
      <c r="CE254" s="784" cm="1">
        <f t="array" aca="1" ref="CE254" ca="1">INDIRECT("'Definition of Typical Day'!"&amp;ADDRESS(CE$16,$E254))</f>
        <v>10</v>
      </c>
      <c r="CF254" s="232"/>
      <c r="CG254" s="232"/>
      <c r="CH254" s="776">
        <f t="shared" ca="1" si="240"/>
        <v>0</v>
      </c>
      <c r="CI254" s="806">
        <f t="shared" ca="1" si="241"/>
        <v>0</v>
      </c>
      <c r="CJ254" s="770">
        <f t="shared" ca="1" si="242"/>
        <v>0</v>
      </c>
      <c r="CK254" s="771">
        <f t="shared" ca="1" si="243"/>
        <v>0</v>
      </c>
      <c r="CL254" s="771">
        <f t="shared" ca="1" si="244"/>
        <v>0</v>
      </c>
      <c r="CM254" s="772">
        <f t="shared" ca="1" si="245"/>
        <v>0</v>
      </c>
      <c r="CN254" s="135"/>
      <c r="CO254" s="770">
        <f t="shared" ca="1" si="295"/>
        <v>1.05</v>
      </c>
      <c r="CP254" s="771">
        <f t="shared" ca="1" si="246"/>
        <v>0.02</v>
      </c>
      <c r="CQ254" s="771">
        <f t="shared" ca="1" si="247"/>
        <v>-2.5000000000000001E-2</v>
      </c>
      <c r="CR254" s="771">
        <f t="shared" ca="1" si="248"/>
        <v>0.95</v>
      </c>
      <c r="CS254" s="771">
        <f t="shared" ca="1" si="249"/>
        <v>0.03</v>
      </c>
      <c r="CT254" s="772">
        <f t="shared" ca="1" si="250"/>
        <v>0.02</v>
      </c>
      <c r="CU254" s="135"/>
      <c r="CV254" s="135"/>
      <c r="CW254" s="135"/>
      <c r="CX254" s="135"/>
      <c r="CY254" s="135"/>
      <c r="CZ254" s="135"/>
      <c r="DA254" s="135"/>
      <c r="DB254" s="135"/>
      <c r="DC254" s="135"/>
      <c r="DD254" s="135"/>
      <c r="DE254" s="135"/>
      <c r="DF254" s="135"/>
      <c r="DG254" s="135"/>
      <c r="DH254" s="135"/>
      <c r="DI254" s="135"/>
      <c r="DJ254" s="135"/>
      <c r="DK254" s="135"/>
      <c r="DL254" s="135"/>
      <c r="DX254" s="135"/>
      <c r="DY254" s="135"/>
      <c r="DZ254" s="135"/>
      <c r="EA254" s="135"/>
      <c r="EB254" s="135"/>
      <c r="EC254" s="135"/>
      <c r="ED254" s="135"/>
      <c r="EE254" s="135"/>
      <c r="EF254" s="135"/>
      <c r="EG254" s="135"/>
      <c r="EH254" s="135"/>
      <c r="EI254" s="135"/>
      <c r="EJ254" s="135"/>
      <c r="EK254" s="135"/>
      <c r="EL254" s="135"/>
      <c r="EM254" s="135"/>
      <c r="EN254" s="135"/>
      <c r="EO254" s="135"/>
      <c r="EP254" s="135"/>
      <c r="EQ254" s="135"/>
      <c r="ER254" s="135"/>
      <c r="ES254" s="135"/>
      <c r="ET254" s="135"/>
      <c r="EU254" s="135"/>
      <c r="EV254" s="135"/>
      <c r="EW254" s="135"/>
      <c r="EX254" s="135"/>
      <c r="EY254" s="135"/>
      <c r="EZ254" s="135"/>
      <c r="FA254" s="135"/>
      <c r="FB254" s="135"/>
      <c r="FC254" s="135"/>
      <c r="FD254" s="135"/>
      <c r="FE254" s="135"/>
      <c r="FF254" s="135"/>
      <c r="FG254" s="135"/>
    </row>
    <row r="255" spans="1:163" s="57" customFormat="1" ht="11.25" outlineLevel="1">
      <c r="A255" s="765">
        <f t="shared" si="296"/>
        <v>10</v>
      </c>
      <c r="B255" s="715" cm="1">
        <f t="array" aca="1" ref="B255" ca="1">INDIRECT("'Definition of Typical Day'!"&amp;ADDRESS(B$16,$E255))</f>
        <v>10</v>
      </c>
      <c r="C255" s="766">
        <f t="shared" si="297"/>
        <v>19</v>
      </c>
      <c r="D255" s="715">
        <f t="shared" si="297"/>
        <v>53</v>
      </c>
      <c r="E255" s="715">
        <f t="shared" si="225"/>
        <v>14</v>
      </c>
      <c r="F255" s="767" cm="1">
        <f t="array" aca="1" ref="F255" ca="1">INDIRECT("'Definition of Typical Day'!D"&amp;D255)</f>
        <v>19</v>
      </c>
      <c r="G255" s="767" cm="1">
        <f t="array" aca="1" ref="G255" ca="1">INDIRECT("'Definition of Typical Day'!"&amp;ADDRESS(13,E255))</f>
        <v>10</v>
      </c>
      <c r="H255" s="768" cm="1">
        <f t="array" aca="1" ref="H255" ca="1">INDIRECT("'Definition of Typical Day'!"&amp; ADDRESS($D255+28*(H$16-1),$E255))</f>
        <v>0</v>
      </c>
      <c r="I255" s="715" cm="1">
        <f t="array" aca="1" ref="I255" ca="1">INDIRECT("'Definition of Typical Day'!"&amp; ADDRESS($D255+29*(I$16-1),$E255))</f>
        <v>0</v>
      </c>
      <c r="J255" s="715">
        <f t="shared" ca="1" si="251"/>
        <v>0</v>
      </c>
      <c r="K255" s="785">
        <f t="shared" si="252"/>
        <v>28</v>
      </c>
      <c r="L255" s="786" cm="1">
        <f t="array" aca="1" ref="L255" ca="1">INDIRECT("'Definition of Typical Day'!"&amp; ADDRESS($D255+29*(L$16-1),$E255))</f>
        <v>0</v>
      </c>
      <c r="M255" s="768" cm="1">
        <f t="array" aca="1" ref="M255" ca="1">INDIRECT("'Definition of Typical Day'!"&amp; ADDRESS($D255+29*(M$16-1),$E255))</f>
        <v>0</v>
      </c>
      <c r="N255" s="715">
        <f t="shared" si="253"/>
        <v>3</v>
      </c>
      <c r="O255" s="715">
        <f t="shared" ca="1" si="254"/>
        <v>3</v>
      </c>
      <c r="P255" s="715" cm="1">
        <f t="array" aca="1" ref="P255" ca="1">INDIRECT("'Definition of Typical Day'!"&amp; ADDRESS($D255+29*(P$16-1),$E255))</f>
        <v>0</v>
      </c>
      <c r="Q255" s="787">
        <f t="shared" ca="1" si="255"/>
        <v>3</v>
      </c>
      <c r="R255" s="792">
        <f t="shared" ca="1" si="256"/>
        <v>3</v>
      </c>
      <c r="S255" s="769">
        <f t="shared" si="257"/>
        <v>3</v>
      </c>
      <c r="T255" s="769">
        <f t="shared" ca="1" si="258"/>
        <v>-0.5</v>
      </c>
      <c r="U255" s="769">
        <f t="shared" ca="1" si="259"/>
        <v>2.262</v>
      </c>
      <c r="V255" s="769">
        <f t="shared" ca="1" si="260"/>
        <v>0</v>
      </c>
      <c r="W255" s="769">
        <f t="shared" ca="1" si="261"/>
        <v>4.7620000000000005</v>
      </c>
      <c r="X255" s="794">
        <f t="shared" si="262"/>
        <v>3</v>
      </c>
      <c r="Y255" s="769">
        <f t="shared" ca="1" si="263"/>
        <v>0.54772255750516607</v>
      </c>
      <c r="Z255" s="769">
        <f t="shared" ca="1" si="264"/>
        <v>0</v>
      </c>
      <c r="AA255" s="795">
        <f t="shared" ca="1" si="265"/>
        <v>0</v>
      </c>
      <c r="AB255" s="769">
        <f t="shared" ca="1" si="266"/>
        <v>0</v>
      </c>
      <c r="AC255" s="769">
        <f t="shared" ca="1" si="267"/>
        <v>0</v>
      </c>
      <c r="AD255" s="769">
        <f t="shared" ca="1" si="268"/>
        <v>0</v>
      </c>
      <c r="AE255" s="794">
        <f t="shared" ca="1" si="269"/>
        <v>0</v>
      </c>
      <c r="AF255" s="769">
        <f t="shared" ca="1" si="270"/>
        <v>0</v>
      </c>
      <c r="AG255" s="769">
        <f t="shared" ca="1" si="271"/>
        <v>0</v>
      </c>
      <c r="AH255" s="799">
        <f t="shared" ca="1" si="272"/>
        <v>0</v>
      </c>
      <c r="AI255" s="801">
        <f t="shared" ca="1" si="273"/>
        <v>1</v>
      </c>
      <c r="AJ255" s="794">
        <f t="shared" ca="1" si="274"/>
        <v>0</v>
      </c>
      <c r="AK255" s="769">
        <f t="shared" ca="1" si="275"/>
        <v>0</v>
      </c>
      <c r="AL255" s="769">
        <f t="shared" ca="1" si="276"/>
        <v>0</v>
      </c>
      <c r="AM255" s="804">
        <f t="shared" ca="1" si="226"/>
        <v>0</v>
      </c>
      <c r="AN255" s="795">
        <f t="shared" ca="1" si="227"/>
        <v>0</v>
      </c>
      <c r="AO255" s="251"/>
      <c r="AP255" s="770">
        <f t="shared" si="277"/>
        <v>0</v>
      </c>
      <c r="AQ255" s="771">
        <f t="shared" ca="1" si="278"/>
        <v>0</v>
      </c>
      <c r="AR255" s="771">
        <f t="shared" ca="1" si="279"/>
        <v>0</v>
      </c>
      <c r="AS255" s="772">
        <f t="shared" ca="1" si="280"/>
        <v>0</v>
      </c>
      <c r="AT255" s="231"/>
      <c r="AU255" s="770">
        <f>'Main Results - IRR DC Operator'!$F$16</f>
        <v>2</v>
      </c>
      <c r="AV255" s="773">
        <f>'Main Results - IRR DC Operator'!$F$15</f>
        <v>1</v>
      </c>
      <c r="AW255" s="771">
        <f t="shared" ca="1" si="281"/>
        <v>0</v>
      </c>
      <c r="AX255" s="772">
        <f t="shared" si="282"/>
        <v>0</v>
      </c>
      <c r="AY255" s="231"/>
      <c r="AZ255" s="770" cm="1">
        <f t="array" aca="1" ref="AZ255" ca="1">INDIRECT("'Definition of Typical Day'!"&amp; ADDRESS($D255+29*(AZ$16-1),$E255))+$AZ$17</f>
        <v>11</v>
      </c>
      <c r="BA255" s="771" cm="1">
        <f t="array" aca="1" ref="BA255" ca="1">INDIRECT("'Definition of Typical Day'!"&amp; ADDRESS($D255+29*(BA$16-1),$E255))+$BA$17</f>
        <v>11</v>
      </c>
      <c r="BB255" s="772" cm="1">
        <f t="array" aca="1" ref="BB255" ca="1">INDIRECT("'Definition of Typical Day'!"&amp;ADDRESS(BB$16,$E255))</f>
        <v>0</v>
      </c>
      <c r="BC255" s="776" cm="1">
        <f t="array" aca="1" ref="BC255" ca="1">INDIRECT("'Definition of Typical Day'!"&amp; ADDRESS($D255+29*(BC$16-1),$E255))</f>
        <v>0</v>
      </c>
      <c r="BD255" s="777" cm="1">
        <f t="array" aca="1" ref="BD255" ca="1">INDIRECT("'Definition of Typical Day'!"&amp; ADDRESS($D255+29*(BD$16-1),$E255))</f>
        <v>0</v>
      </c>
      <c r="BE255" s="776">
        <f t="shared" si="283"/>
        <v>0</v>
      </c>
      <c r="BF255" s="771">
        <f t="shared" ca="1" si="284"/>
        <v>0</v>
      </c>
      <c r="BG255" s="771">
        <f t="shared" ca="1" si="285"/>
        <v>0</v>
      </c>
      <c r="BH255" s="771">
        <f t="shared" ca="1" si="286"/>
        <v>0</v>
      </c>
      <c r="BI255" s="776">
        <f t="shared" ca="1" si="287"/>
        <v>0</v>
      </c>
      <c r="BJ255" s="776">
        <f t="shared" ca="1" si="288"/>
        <v>0</v>
      </c>
      <c r="BK255" s="776">
        <f t="shared" ca="1" si="289"/>
        <v>0</v>
      </c>
      <c r="BL255" s="776">
        <f t="shared" ca="1" si="290"/>
        <v>0</v>
      </c>
      <c r="BM255" s="135"/>
      <c r="BN255" s="776">
        <f t="shared" ca="1" si="291"/>
        <v>0</v>
      </c>
      <c r="BO255" s="778">
        <f t="shared" ca="1" si="228"/>
        <v>0</v>
      </c>
      <c r="BP255" s="770">
        <f t="shared" ca="1" si="229"/>
        <v>0</v>
      </c>
      <c r="BQ255" s="771">
        <f t="shared" ca="1" si="230"/>
        <v>0</v>
      </c>
      <c r="BR255" s="771">
        <f t="shared" ca="1" si="231"/>
        <v>0</v>
      </c>
      <c r="BS255" s="776">
        <f t="shared" ca="1" si="292"/>
        <v>0</v>
      </c>
      <c r="BT255" s="776">
        <f t="shared" ca="1" si="232"/>
        <v>0</v>
      </c>
      <c r="BU255" s="783">
        <f t="shared" ca="1" si="233"/>
        <v>0</v>
      </c>
      <c r="BV255" s="783">
        <f t="shared" ca="1" si="234"/>
        <v>0</v>
      </c>
      <c r="BW255" s="1019">
        <f t="shared" ca="1" si="293"/>
        <v>0</v>
      </c>
      <c r="BX255" s="771" cm="1">
        <f t="array" aca="1" ref="BX255" ca="1">INDIRECT("'Definition of Typical Day'!"&amp; ADDRESS($D255+29*(BX$16-1),$E255))</f>
        <v>0</v>
      </c>
      <c r="BY255" s="771">
        <f t="shared" ca="1" si="294"/>
        <v>0</v>
      </c>
      <c r="BZ255" s="781">
        <f t="shared" ca="1" si="235"/>
        <v>0</v>
      </c>
      <c r="CA255" s="781">
        <f t="shared" ca="1" si="236"/>
        <v>0</v>
      </c>
      <c r="CB255" s="776">
        <f t="shared" ca="1" si="237"/>
        <v>0</v>
      </c>
      <c r="CC255" s="782">
        <f t="shared" si="238"/>
        <v>10</v>
      </c>
      <c r="CD255" s="782">
        <f t="shared" si="239"/>
        <v>19</v>
      </c>
      <c r="CE255" s="784" cm="1">
        <f t="array" aca="1" ref="CE255" ca="1">INDIRECT("'Definition of Typical Day'!"&amp;ADDRESS(CE$16,$E255))</f>
        <v>10</v>
      </c>
      <c r="CF255" s="232"/>
      <c r="CG255" s="232"/>
      <c r="CH255" s="776">
        <f t="shared" ca="1" si="240"/>
        <v>0</v>
      </c>
      <c r="CI255" s="806">
        <f t="shared" ca="1" si="241"/>
        <v>0</v>
      </c>
      <c r="CJ255" s="770">
        <f t="shared" ca="1" si="242"/>
        <v>0</v>
      </c>
      <c r="CK255" s="771">
        <f t="shared" ca="1" si="243"/>
        <v>0</v>
      </c>
      <c r="CL255" s="771">
        <f t="shared" ca="1" si="244"/>
        <v>0</v>
      </c>
      <c r="CM255" s="772">
        <f t="shared" ca="1" si="245"/>
        <v>0</v>
      </c>
      <c r="CN255" s="135"/>
      <c r="CO255" s="770">
        <f t="shared" ca="1" si="295"/>
        <v>1.05</v>
      </c>
      <c r="CP255" s="771">
        <f t="shared" ca="1" si="246"/>
        <v>0.02</v>
      </c>
      <c r="CQ255" s="771">
        <f t="shared" ca="1" si="247"/>
        <v>-2.5000000000000001E-2</v>
      </c>
      <c r="CR255" s="771">
        <f t="shared" ca="1" si="248"/>
        <v>0.95</v>
      </c>
      <c r="CS255" s="771">
        <f t="shared" ca="1" si="249"/>
        <v>0.03</v>
      </c>
      <c r="CT255" s="772">
        <f t="shared" ca="1" si="250"/>
        <v>0.02</v>
      </c>
      <c r="CU255" s="135"/>
      <c r="CV255" s="135"/>
      <c r="CW255" s="135"/>
      <c r="CX255" s="135"/>
      <c r="CY255" s="135"/>
      <c r="CZ255" s="135"/>
      <c r="DA255" s="135"/>
      <c r="DB255" s="135"/>
      <c r="DC255" s="135"/>
      <c r="DD255" s="135"/>
      <c r="DE255" s="135"/>
      <c r="DF255" s="135"/>
      <c r="DG255" s="135"/>
      <c r="DH255" s="135"/>
      <c r="DI255" s="135"/>
      <c r="DJ255" s="135"/>
      <c r="DK255" s="135"/>
      <c r="DL255" s="135"/>
      <c r="DX255" s="135"/>
      <c r="DY255" s="135"/>
      <c r="DZ255" s="135"/>
      <c r="EA255" s="135"/>
      <c r="EB255" s="135"/>
      <c r="EC255" s="135"/>
      <c r="ED255" s="135"/>
      <c r="EE255" s="135"/>
      <c r="EF255" s="135"/>
      <c r="EG255" s="135"/>
      <c r="EH255" s="135"/>
      <c r="EI255" s="135"/>
      <c r="EJ255" s="135"/>
      <c r="EK255" s="135"/>
      <c r="EL255" s="135"/>
      <c r="EM255" s="135"/>
      <c r="EN255" s="135"/>
      <c r="EO255" s="135"/>
      <c r="EP255" s="135"/>
      <c r="EQ255" s="135"/>
      <c r="ER255" s="135"/>
      <c r="ES255" s="135"/>
      <c r="ET255" s="135"/>
      <c r="EU255" s="135"/>
      <c r="EV255" s="135"/>
      <c r="EW255" s="135"/>
      <c r="EX255" s="135"/>
      <c r="EY255" s="135"/>
      <c r="EZ255" s="135"/>
      <c r="FA255" s="135"/>
      <c r="FB255" s="135"/>
      <c r="FC255" s="135"/>
      <c r="FD255" s="135"/>
      <c r="FE255" s="135"/>
      <c r="FF255" s="135"/>
      <c r="FG255" s="135"/>
    </row>
    <row r="256" spans="1:163" s="57" customFormat="1" ht="11.25" outlineLevel="1">
      <c r="A256" s="765">
        <f t="shared" si="296"/>
        <v>10</v>
      </c>
      <c r="B256" s="715" cm="1">
        <f t="array" aca="1" ref="B256" ca="1">INDIRECT("'Definition of Typical Day'!"&amp;ADDRESS(B$16,$E256))</f>
        <v>10</v>
      </c>
      <c r="C256" s="766">
        <f t="shared" si="297"/>
        <v>20</v>
      </c>
      <c r="D256" s="715">
        <f t="shared" si="297"/>
        <v>54</v>
      </c>
      <c r="E256" s="715">
        <f t="shared" si="225"/>
        <v>14</v>
      </c>
      <c r="F256" s="767" cm="1">
        <f t="array" aca="1" ref="F256" ca="1">INDIRECT("'Definition of Typical Day'!D"&amp;D256)</f>
        <v>20</v>
      </c>
      <c r="G256" s="767" cm="1">
        <f t="array" aca="1" ref="G256" ca="1">INDIRECT("'Definition of Typical Day'!"&amp;ADDRESS(13,E256))</f>
        <v>10</v>
      </c>
      <c r="H256" s="768" cm="1">
        <f t="array" aca="1" ref="H256" ca="1">INDIRECT("'Definition of Typical Day'!"&amp; ADDRESS($D256+28*(H$16-1),$E256))</f>
        <v>0</v>
      </c>
      <c r="I256" s="715" cm="1">
        <f t="array" aca="1" ref="I256" ca="1">INDIRECT("'Definition of Typical Day'!"&amp; ADDRESS($D256+29*(I$16-1),$E256))</f>
        <v>0</v>
      </c>
      <c r="J256" s="715">
        <f t="shared" ca="1" si="251"/>
        <v>0</v>
      </c>
      <c r="K256" s="785">
        <f t="shared" si="252"/>
        <v>28</v>
      </c>
      <c r="L256" s="786" cm="1">
        <f t="array" aca="1" ref="L256" ca="1">INDIRECT("'Definition of Typical Day'!"&amp; ADDRESS($D256+29*(L$16-1),$E256))</f>
        <v>0</v>
      </c>
      <c r="M256" s="768" cm="1">
        <f t="array" aca="1" ref="M256" ca="1">INDIRECT("'Definition of Typical Day'!"&amp; ADDRESS($D256+29*(M$16-1),$E256))</f>
        <v>0</v>
      </c>
      <c r="N256" s="715">
        <f t="shared" si="253"/>
        <v>3</v>
      </c>
      <c r="O256" s="715">
        <f t="shared" ca="1" si="254"/>
        <v>3</v>
      </c>
      <c r="P256" s="715" cm="1">
        <f t="array" aca="1" ref="P256" ca="1">INDIRECT("'Definition of Typical Day'!"&amp; ADDRESS($D256+29*(P$16-1),$E256))</f>
        <v>0</v>
      </c>
      <c r="Q256" s="787">
        <f t="shared" ca="1" si="255"/>
        <v>3</v>
      </c>
      <c r="R256" s="792">
        <f t="shared" ca="1" si="256"/>
        <v>3</v>
      </c>
      <c r="S256" s="769">
        <f t="shared" si="257"/>
        <v>3</v>
      </c>
      <c r="T256" s="769">
        <f t="shared" ca="1" si="258"/>
        <v>-0.5</v>
      </c>
      <c r="U256" s="769">
        <f t="shared" ca="1" si="259"/>
        <v>2.262</v>
      </c>
      <c r="V256" s="769">
        <f t="shared" ca="1" si="260"/>
        <v>0</v>
      </c>
      <c r="W256" s="769">
        <f t="shared" ca="1" si="261"/>
        <v>4.7620000000000005</v>
      </c>
      <c r="X256" s="794">
        <f t="shared" si="262"/>
        <v>3</v>
      </c>
      <c r="Y256" s="769">
        <f t="shared" ca="1" si="263"/>
        <v>0.54772255750516607</v>
      </c>
      <c r="Z256" s="769">
        <f t="shared" ca="1" si="264"/>
        <v>0</v>
      </c>
      <c r="AA256" s="795">
        <f t="shared" ca="1" si="265"/>
        <v>0</v>
      </c>
      <c r="AB256" s="769">
        <f t="shared" ca="1" si="266"/>
        <v>0</v>
      </c>
      <c r="AC256" s="769">
        <f t="shared" ca="1" si="267"/>
        <v>0</v>
      </c>
      <c r="AD256" s="769">
        <f t="shared" ca="1" si="268"/>
        <v>0</v>
      </c>
      <c r="AE256" s="794">
        <f t="shared" ca="1" si="269"/>
        <v>0</v>
      </c>
      <c r="AF256" s="769">
        <f t="shared" ca="1" si="270"/>
        <v>0</v>
      </c>
      <c r="AG256" s="769">
        <f t="shared" ca="1" si="271"/>
        <v>0</v>
      </c>
      <c r="AH256" s="799">
        <f t="shared" ca="1" si="272"/>
        <v>0</v>
      </c>
      <c r="AI256" s="801">
        <f t="shared" ca="1" si="273"/>
        <v>1</v>
      </c>
      <c r="AJ256" s="794">
        <f t="shared" ca="1" si="274"/>
        <v>0</v>
      </c>
      <c r="AK256" s="769">
        <f t="shared" ca="1" si="275"/>
        <v>0</v>
      </c>
      <c r="AL256" s="769">
        <f t="shared" ca="1" si="276"/>
        <v>0</v>
      </c>
      <c r="AM256" s="804">
        <f t="shared" ca="1" si="226"/>
        <v>0</v>
      </c>
      <c r="AN256" s="795">
        <f t="shared" ca="1" si="227"/>
        <v>0</v>
      </c>
      <c r="AO256" s="251"/>
      <c r="AP256" s="770">
        <f t="shared" si="277"/>
        <v>0</v>
      </c>
      <c r="AQ256" s="771">
        <f t="shared" ca="1" si="278"/>
        <v>0</v>
      </c>
      <c r="AR256" s="771">
        <f t="shared" ca="1" si="279"/>
        <v>0</v>
      </c>
      <c r="AS256" s="772">
        <f t="shared" ca="1" si="280"/>
        <v>0</v>
      </c>
      <c r="AT256" s="231"/>
      <c r="AU256" s="770">
        <f>'Main Results - IRR DC Operator'!$F$16</f>
        <v>2</v>
      </c>
      <c r="AV256" s="773">
        <f>'Main Results - IRR DC Operator'!$F$15</f>
        <v>1</v>
      </c>
      <c r="AW256" s="771">
        <f t="shared" ca="1" si="281"/>
        <v>0</v>
      </c>
      <c r="AX256" s="772">
        <f t="shared" si="282"/>
        <v>0</v>
      </c>
      <c r="AY256" s="231"/>
      <c r="AZ256" s="770" cm="1">
        <f t="array" aca="1" ref="AZ256" ca="1">INDIRECT("'Definition of Typical Day'!"&amp; ADDRESS($D256+29*(AZ$16-1),$E256))+$AZ$17</f>
        <v>11</v>
      </c>
      <c r="BA256" s="771" cm="1">
        <f t="array" aca="1" ref="BA256" ca="1">INDIRECT("'Definition of Typical Day'!"&amp; ADDRESS($D256+29*(BA$16-1),$E256))+$BA$17</f>
        <v>11</v>
      </c>
      <c r="BB256" s="772" cm="1">
        <f t="array" aca="1" ref="BB256" ca="1">INDIRECT("'Definition of Typical Day'!"&amp;ADDRESS(BB$16,$E256))</f>
        <v>0</v>
      </c>
      <c r="BC256" s="776" cm="1">
        <f t="array" aca="1" ref="BC256" ca="1">INDIRECT("'Definition of Typical Day'!"&amp; ADDRESS($D256+29*(BC$16-1),$E256))</f>
        <v>0</v>
      </c>
      <c r="BD256" s="777" cm="1">
        <f t="array" aca="1" ref="BD256" ca="1">INDIRECT("'Definition of Typical Day'!"&amp; ADDRESS($D256+29*(BD$16-1),$E256))</f>
        <v>0</v>
      </c>
      <c r="BE256" s="776">
        <f t="shared" si="283"/>
        <v>0</v>
      </c>
      <c r="BF256" s="771">
        <f t="shared" ca="1" si="284"/>
        <v>0</v>
      </c>
      <c r="BG256" s="771">
        <f t="shared" ca="1" si="285"/>
        <v>0</v>
      </c>
      <c r="BH256" s="771">
        <f t="shared" ca="1" si="286"/>
        <v>0</v>
      </c>
      <c r="BI256" s="776">
        <f t="shared" ca="1" si="287"/>
        <v>0</v>
      </c>
      <c r="BJ256" s="776">
        <f t="shared" ca="1" si="288"/>
        <v>0</v>
      </c>
      <c r="BK256" s="776">
        <f t="shared" ca="1" si="289"/>
        <v>0</v>
      </c>
      <c r="BL256" s="776">
        <f t="shared" ca="1" si="290"/>
        <v>0</v>
      </c>
      <c r="BM256" s="135"/>
      <c r="BN256" s="776">
        <f t="shared" ca="1" si="291"/>
        <v>0</v>
      </c>
      <c r="BO256" s="778">
        <f t="shared" ca="1" si="228"/>
        <v>0</v>
      </c>
      <c r="BP256" s="770">
        <f t="shared" ca="1" si="229"/>
        <v>0</v>
      </c>
      <c r="BQ256" s="771">
        <f t="shared" ca="1" si="230"/>
        <v>0</v>
      </c>
      <c r="BR256" s="771">
        <f t="shared" ca="1" si="231"/>
        <v>0</v>
      </c>
      <c r="BS256" s="776">
        <f t="shared" ca="1" si="292"/>
        <v>0</v>
      </c>
      <c r="BT256" s="776">
        <f t="shared" ca="1" si="232"/>
        <v>0</v>
      </c>
      <c r="BU256" s="783">
        <f t="shared" ca="1" si="233"/>
        <v>0</v>
      </c>
      <c r="BV256" s="783">
        <f t="shared" ca="1" si="234"/>
        <v>0</v>
      </c>
      <c r="BW256" s="1019">
        <f t="shared" ca="1" si="293"/>
        <v>0</v>
      </c>
      <c r="BX256" s="771" cm="1">
        <f t="array" aca="1" ref="BX256" ca="1">INDIRECT("'Definition of Typical Day'!"&amp; ADDRESS($D256+29*(BX$16-1),$E256))</f>
        <v>0</v>
      </c>
      <c r="BY256" s="771">
        <f t="shared" ca="1" si="294"/>
        <v>0</v>
      </c>
      <c r="BZ256" s="781">
        <f t="shared" ca="1" si="235"/>
        <v>0</v>
      </c>
      <c r="CA256" s="781">
        <f t="shared" ca="1" si="236"/>
        <v>0</v>
      </c>
      <c r="CB256" s="776">
        <f t="shared" ca="1" si="237"/>
        <v>0</v>
      </c>
      <c r="CC256" s="782">
        <f t="shared" si="238"/>
        <v>10</v>
      </c>
      <c r="CD256" s="782">
        <f t="shared" si="239"/>
        <v>20</v>
      </c>
      <c r="CE256" s="784" cm="1">
        <f t="array" aca="1" ref="CE256" ca="1">INDIRECT("'Definition of Typical Day'!"&amp;ADDRESS(CE$16,$E256))</f>
        <v>10</v>
      </c>
      <c r="CF256" s="232"/>
      <c r="CG256" s="232"/>
      <c r="CH256" s="776">
        <f t="shared" ca="1" si="240"/>
        <v>0</v>
      </c>
      <c r="CI256" s="806">
        <f t="shared" ca="1" si="241"/>
        <v>0</v>
      </c>
      <c r="CJ256" s="770">
        <f t="shared" ca="1" si="242"/>
        <v>0</v>
      </c>
      <c r="CK256" s="771">
        <f t="shared" ca="1" si="243"/>
        <v>0</v>
      </c>
      <c r="CL256" s="771">
        <f t="shared" ca="1" si="244"/>
        <v>0</v>
      </c>
      <c r="CM256" s="772">
        <f t="shared" ca="1" si="245"/>
        <v>0</v>
      </c>
      <c r="CN256" s="135"/>
      <c r="CO256" s="770">
        <f t="shared" ca="1" si="295"/>
        <v>1.05</v>
      </c>
      <c r="CP256" s="771">
        <f t="shared" ca="1" si="246"/>
        <v>0.02</v>
      </c>
      <c r="CQ256" s="771">
        <f t="shared" ca="1" si="247"/>
        <v>-2.5000000000000001E-2</v>
      </c>
      <c r="CR256" s="771">
        <f t="shared" ca="1" si="248"/>
        <v>0.95</v>
      </c>
      <c r="CS256" s="771">
        <f t="shared" ca="1" si="249"/>
        <v>0.03</v>
      </c>
      <c r="CT256" s="772">
        <f t="shared" ca="1" si="250"/>
        <v>0.02</v>
      </c>
      <c r="CU256" s="135"/>
      <c r="CV256" s="135"/>
      <c r="CW256" s="135"/>
      <c r="CX256" s="135"/>
      <c r="CY256" s="135"/>
      <c r="CZ256" s="135"/>
      <c r="DA256" s="135"/>
      <c r="DB256" s="135"/>
      <c r="DC256" s="135"/>
      <c r="DD256" s="135"/>
      <c r="DE256" s="135"/>
      <c r="DF256" s="135"/>
      <c r="DG256" s="135"/>
      <c r="DH256" s="135"/>
      <c r="DI256" s="135"/>
      <c r="DJ256" s="135"/>
      <c r="DK256" s="135"/>
      <c r="DL256" s="135"/>
      <c r="DX256" s="135"/>
      <c r="DY256" s="135"/>
      <c r="DZ256" s="135"/>
      <c r="EA256" s="135"/>
      <c r="EB256" s="135"/>
      <c r="EC256" s="135"/>
      <c r="ED256" s="135"/>
      <c r="EE256" s="135"/>
      <c r="EF256" s="135"/>
      <c r="EG256" s="135"/>
      <c r="EH256" s="135"/>
      <c r="EI256" s="135"/>
      <c r="EJ256" s="135"/>
      <c r="EK256" s="135"/>
      <c r="EL256" s="135"/>
      <c r="EM256" s="135"/>
      <c r="EN256" s="135"/>
      <c r="EO256" s="135"/>
      <c r="EP256" s="135"/>
      <c r="EQ256" s="135"/>
      <c r="ER256" s="135"/>
      <c r="ES256" s="135"/>
      <c r="ET256" s="135"/>
      <c r="EU256" s="135"/>
      <c r="EV256" s="135"/>
      <c r="EW256" s="135"/>
      <c r="EX256" s="135"/>
      <c r="EY256" s="135"/>
      <c r="EZ256" s="135"/>
      <c r="FA256" s="135"/>
      <c r="FB256" s="135"/>
      <c r="FC256" s="135"/>
      <c r="FD256" s="135"/>
      <c r="FE256" s="135"/>
      <c r="FF256" s="135"/>
      <c r="FG256" s="135"/>
    </row>
    <row r="257" spans="1:163" s="57" customFormat="1" ht="11.25" outlineLevel="1">
      <c r="A257" s="765">
        <f t="shared" si="296"/>
        <v>10</v>
      </c>
      <c r="B257" s="715" cm="1">
        <f t="array" aca="1" ref="B257" ca="1">INDIRECT("'Definition of Typical Day'!"&amp;ADDRESS(B$16,$E257))</f>
        <v>10</v>
      </c>
      <c r="C257" s="766">
        <f t="shared" si="297"/>
        <v>21</v>
      </c>
      <c r="D257" s="715">
        <f t="shared" si="297"/>
        <v>55</v>
      </c>
      <c r="E257" s="715">
        <f t="shared" si="225"/>
        <v>14</v>
      </c>
      <c r="F257" s="767" cm="1">
        <f t="array" aca="1" ref="F257" ca="1">INDIRECT("'Definition of Typical Day'!D"&amp;D257)</f>
        <v>21</v>
      </c>
      <c r="G257" s="767" cm="1">
        <f t="array" aca="1" ref="G257" ca="1">INDIRECT("'Definition of Typical Day'!"&amp;ADDRESS(13,E257))</f>
        <v>10</v>
      </c>
      <c r="H257" s="768" cm="1">
        <f t="array" aca="1" ref="H257" ca="1">INDIRECT("'Definition of Typical Day'!"&amp; ADDRESS($D257+28*(H$16-1),$E257))</f>
        <v>0</v>
      </c>
      <c r="I257" s="715" cm="1">
        <f t="array" aca="1" ref="I257" ca="1">INDIRECT("'Definition of Typical Day'!"&amp; ADDRESS($D257+29*(I$16-1),$E257))</f>
        <v>0</v>
      </c>
      <c r="J257" s="715">
        <f t="shared" ca="1" si="251"/>
        <v>0</v>
      </c>
      <c r="K257" s="785">
        <f t="shared" si="252"/>
        <v>28</v>
      </c>
      <c r="L257" s="786" cm="1">
        <f t="array" aca="1" ref="L257" ca="1">INDIRECT("'Definition of Typical Day'!"&amp; ADDRESS($D257+29*(L$16-1),$E257))</f>
        <v>0</v>
      </c>
      <c r="M257" s="768" cm="1">
        <f t="array" aca="1" ref="M257" ca="1">INDIRECT("'Definition of Typical Day'!"&amp; ADDRESS($D257+29*(M$16-1),$E257))</f>
        <v>0</v>
      </c>
      <c r="N257" s="715">
        <f t="shared" si="253"/>
        <v>3</v>
      </c>
      <c r="O257" s="715">
        <f t="shared" ca="1" si="254"/>
        <v>3</v>
      </c>
      <c r="P257" s="715" cm="1">
        <f t="array" aca="1" ref="P257" ca="1">INDIRECT("'Definition of Typical Day'!"&amp; ADDRESS($D257+29*(P$16-1),$E257))</f>
        <v>0</v>
      </c>
      <c r="Q257" s="787">
        <f t="shared" ca="1" si="255"/>
        <v>3</v>
      </c>
      <c r="R257" s="792">
        <f t="shared" ca="1" si="256"/>
        <v>3</v>
      </c>
      <c r="S257" s="769">
        <f t="shared" si="257"/>
        <v>3</v>
      </c>
      <c r="T257" s="769">
        <f t="shared" ca="1" si="258"/>
        <v>-0.5</v>
      </c>
      <c r="U257" s="769">
        <f t="shared" ca="1" si="259"/>
        <v>2.262</v>
      </c>
      <c r="V257" s="769">
        <f t="shared" ca="1" si="260"/>
        <v>0</v>
      </c>
      <c r="W257" s="769">
        <f t="shared" ca="1" si="261"/>
        <v>4.7620000000000005</v>
      </c>
      <c r="X257" s="794">
        <f t="shared" si="262"/>
        <v>3</v>
      </c>
      <c r="Y257" s="769">
        <f t="shared" ca="1" si="263"/>
        <v>0.54772255750516607</v>
      </c>
      <c r="Z257" s="769">
        <f t="shared" ca="1" si="264"/>
        <v>0</v>
      </c>
      <c r="AA257" s="795">
        <f t="shared" ca="1" si="265"/>
        <v>0</v>
      </c>
      <c r="AB257" s="769">
        <f t="shared" ca="1" si="266"/>
        <v>0</v>
      </c>
      <c r="AC257" s="769">
        <f t="shared" ca="1" si="267"/>
        <v>0</v>
      </c>
      <c r="AD257" s="769">
        <f t="shared" ca="1" si="268"/>
        <v>0</v>
      </c>
      <c r="AE257" s="794">
        <f t="shared" ca="1" si="269"/>
        <v>0</v>
      </c>
      <c r="AF257" s="769">
        <f t="shared" ca="1" si="270"/>
        <v>0</v>
      </c>
      <c r="AG257" s="769">
        <f t="shared" ca="1" si="271"/>
        <v>0</v>
      </c>
      <c r="AH257" s="799">
        <f t="shared" ca="1" si="272"/>
        <v>0</v>
      </c>
      <c r="AI257" s="801">
        <f t="shared" ca="1" si="273"/>
        <v>1</v>
      </c>
      <c r="AJ257" s="794">
        <f t="shared" ca="1" si="274"/>
        <v>0</v>
      </c>
      <c r="AK257" s="769">
        <f t="shared" ca="1" si="275"/>
        <v>0</v>
      </c>
      <c r="AL257" s="769">
        <f t="shared" ca="1" si="276"/>
        <v>0</v>
      </c>
      <c r="AM257" s="804">
        <f t="shared" ca="1" si="226"/>
        <v>0</v>
      </c>
      <c r="AN257" s="795">
        <f t="shared" ca="1" si="227"/>
        <v>0</v>
      </c>
      <c r="AO257" s="251"/>
      <c r="AP257" s="770">
        <f t="shared" si="277"/>
        <v>0</v>
      </c>
      <c r="AQ257" s="771">
        <f t="shared" ca="1" si="278"/>
        <v>0</v>
      </c>
      <c r="AR257" s="771">
        <f t="shared" ca="1" si="279"/>
        <v>0</v>
      </c>
      <c r="AS257" s="772">
        <f t="shared" ca="1" si="280"/>
        <v>0</v>
      </c>
      <c r="AT257" s="231"/>
      <c r="AU257" s="770">
        <f>'Main Results - IRR DC Operator'!$F$16</f>
        <v>2</v>
      </c>
      <c r="AV257" s="773">
        <f>'Main Results - IRR DC Operator'!$F$15</f>
        <v>1</v>
      </c>
      <c r="AW257" s="771">
        <f t="shared" ca="1" si="281"/>
        <v>0</v>
      </c>
      <c r="AX257" s="772">
        <f t="shared" si="282"/>
        <v>0</v>
      </c>
      <c r="AY257" s="231"/>
      <c r="AZ257" s="770" cm="1">
        <f t="array" aca="1" ref="AZ257" ca="1">INDIRECT("'Definition of Typical Day'!"&amp; ADDRESS($D257+29*(AZ$16-1),$E257))+$AZ$17</f>
        <v>11</v>
      </c>
      <c r="BA257" s="771" cm="1">
        <f t="array" aca="1" ref="BA257" ca="1">INDIRECT("'Definition of Typical Day'!"&amp; ADDRESS($D257+29*(BA$16-1),$E257))+$BA$17</f>
        <v>11</v>
      </c>
      <c r="BB257" s="772" cm="1">
        <f t="array" aca="1" ref="BB257" ca="1">INDIRECT("'Definition of Typical Day'!"&amp;ADDRESS(BB$16,$E257))</f>
        <v>0</v>
      </c>
      <c r="BC257" s="776" cm="1">
        <f t="array" aca="1" ref="BC257" ca="1">INDIRECT("'Definition of Typical Day'!"&amp; ADDRESS($D257+29*(BC$16-1),$E257))</f>
        <v>0</v>
      </c>
      <c r="BD257" s="777" cm="1">
        <f t="array" aca="1" ref="BD257" ca="1">INDIRECT("'Definition of Typical Day'!"&amp; ADDRESS($D257+29*(BD$16-1),$E257))</f>
        <v>0</v>
      </c>
      <c r="BE257" s="776">
        <f t="shared" si="283"/>
        <v>0</v>
      </c>
      <c r="BF257" s="771">
        <f t="shared" ca="1" si="284"/>
        <v>0</v>
      </c>
      <c r="BG257" s="771">
        <f t="shared" ca="1" si="285"/>
        <v>0</v>
      </c>
      <c r="BH257" s="771">
        <f t="shared" ca="1" si="286"/>
        <v>0</v>
      </c>
      <c r="BI257" s="776">
        <f t="shared" ca="1" si="287"/>
        <v>0</v>
      </c>
      <c r="BJ257" s="776">
        <f t="shared" ca="1" si="288"/>
        <v>0</v>
      </c>
      <c r="BK257" s="776">
        <f t="shared" ca="1" si="289"/>
        <v>0</v>
      </c>
      <c r="BL257" s="776">
        <f t="shared" ca="1" si="290"/>
        <v>0</v>
      </c>
      <c r="BM257" s="135"/>
      <c r="BN257" s="776">
        <f t="shared" ca="1" si="291"/>
        <v>0</v>
      </c>
      <c r="BO257" s="778">
        <f t="shared" ca="1" si="228"/>
        <v>0</v>
      </c>
      <c r="BP257" s="770">
        <f t="shared" ca="1" si="229"/>
        <v>0</v>
      </c>
      <c r="BQ257" s="771">
        <f t="shared" ca="1" si="230"/>
        <v>0</v>
      </c>
      <c r="BR257" s="771">
        <f t="shared" ca="1" si="231"/>
        <v>0</v>
      </c>
      <c r="BS257" s="776">
        <f t="shared" ca="1" si="292"/>
        <v>0</v>
      </c>
      <c r="BT257" s="776">
        <f t="shared" ca="1" si="232"/>
        <v>0</v>
      </c>
      <c r="BU257" s="783">
        <f t="shared" ca="1" si="233"/>
        <v>0</v>
      </c>
      <c r="BV257" s="783">
        <f t="shared" ca="1" si="234"/>
        <v>0</v>
      </c>
      <c r="BW257" s="1019">
        <f t="shared" ca="1" si="293"/>
        <v>0</v>
      </c>
      <c r="BX257" s="771" cm="1">
        <f t="array" aca="1" ref="BX257" ca="1">INDIRECT("'Definition of Typical Day'!"&amp; ADDRESS($D257+29*(BX$16-1),$E257))</f>
        <v>0</v>
      </c>
      <c r="BY257" s="771">
        <f t="shared" ca="1" si="294"/>
        <v>0</v>
      </c>
      <c r="BZ257" s="781">
        <f t="shared" ca="1" si="235"/>
        <v>0</v>
      </c>
      <c r="CA257" s="781">
        <f t="shared" ca="1" si="236"/>
        <v>0</v>
      </c>
      <c r="CB257" s="776">
        <f t="shared" ca="1" si="237"/>
        <v>0</v>
      </c>
      <c r="CC257" s="782">
        <f t="shared" si="238"/>
        <v>10</v>
      </c>
      <c r="CD257" s="782">
        <f t="shared" si="239"/>
        <v>21</v>
      </c>
      <c r="CE257" s="784" cm="1">
        <f t="array" aca="1" ref="CE257" ca="1">INDIRECT("'Definition of Typical Day'!"&amp;ADDRESS(CE$16,$E257))</f>
        <v>10</v>
      </c>
      <c r="CF257" s="232"/>
      <c r="CG257" s="232"/>
      <c r="CH257" s="776">
        <f t="shared" ca="1" si="240"/>
        <v>0</v>
      </c>
      <c r="CI257" s="806">
        <f t="shared" ca="1" si="241"/>
        <v>0</v>
      </c>
      <c r="CJ257" s="770">
        <f t="shared" ca="1" si="242"/>
        <v>0</v>
      </c>
      <c r="CK257" s="771">
        <f t="shared" ca="1" si="243"/>
        <v>0</v>
      </c>
      <c r="CL257" s="771">
        <f t="shared" ca="1" si="244"/>
        <v>0</v>
      </c>
      <c r="CM257" s="772">
        <f t="shared" ca="1" si="245"/>
        <v>0</v>
      </c>
      <c r="CN257" s="135"/>
      <c r="CO257" s="770">
        <f t="shared" ca="1" si="295"/>
        <v>1.05</v>
      </c>
      <c r="CP257" s="771">
        <f t="shared" ca="1" si="246"/>
        <v>0.02</v>
      </c>
      <c r="CQ257" s="771">
        <f t="shared" ca="1" si="247"/>
        <v>-2.5000000000000001E-2</v>
      </c>
      <c r="CR257" s="771">
        <f t="shared" ca="1" si="248"/>
        <v>0.95</v>
      </c>
      <c r="CS257" s="771">
        <f t="shared" ca="1" si="249"/>
        <v>0.03</v>
      </c>
      <c r="CT257" s="772">
        <f t="shared" ca="1" si="250"/>
        <v>0.02</v>
      </c>
      <c r="CU257" s="135"/>
      <c r="CV257" s="135"/>
      <c r="CW257" s="135"/>
      <c r="CX257" s="135"/>
      <c r="CY257" s="135"/>
      <c r="CZ257" s="135"/>
      <c r="DA257" s="135"/>
      <c r="DB257" s="135"/>
      <c r="DC257" s="135"/>
      <c r="DD257" s="135"/>
      <c r="DE257" s="135"/>
      <c r="DF257" s="135"/>
      <c r="DG257" s="135"/>
      <c r="DH257" s="135"/>
      <c r="DI257" s="135"/>
      <c r="DJ257" s="135"/>
      <c r="DK257" s="135"/>
      <c r="DL257" s="135"/>
      <c r="DX257" s="135"/>
      <c r="DY257" s="135"/>
      <c r="DZ257" s="135"/>
      <c r="EA257" s="135"/>
      <c r="EB257" s="135"/>
      <c r="EC257" s="135"/>
      <c r="ED257" s="135"/>
      <c r="EE257" s="135"/>
      <c r="EF257" s="135"/>
      <c r="EG257" s="135"/>
      <c r="EH257" s="135"/>
      <c r="EI257" s="135"/>
      <c r="EJ257" s="135"/>
      <c r="EK257" s="135"/>
      <c r="EL257" s="135"/>
      <c r="EM257" s="135"/>
      <c r="EN257" s="135"/>
      <c r="EO257" s="135"/>
      <c r="EP257" s="135"/>
      <c r="EQ257" s="135"/>
      <c r="ER257" s="135"/>
      <c r="ES257" s="135"/>
      <c r="ET257" s="135"/>
      <c r="EU257" s="135"/>
      <c r="EV257" s="135"/>
      <c r="EW257" s="135"/>
      <c r="EX257" s="135"/>
      <c r="EY257" s="135"/>
      <c r="EZ257" s="135"/>
      <c r="FA257" s="135"/>
      <c r="FB257" s="135"/>
      <c r="FC257" s="135"/>
      <c r="FD257" s="135"/>
      <c r="FE257" s="135"/>
      <c r="FF257" s="135"/>
      <c r="FG257" s="135"/>
    </row>
    <row r="258" spans="1:163" s="57" customFormat="1" ht="11.25" outlineLevel="1">
      <c r="A258" s="765">
        <f t="shared" si="296"/>
        <v>10</v>
      </c>
      <c r="B258" s="715" cm="1">
        <f t="array" aca="1" ref="B258" ca="1">INDIRECT("'Definition of Typical Day'!"&amp;ADDRESS(B$16,$E258))</f>
        <v>10</v>
      </c>
      <c r="C258" s="766">
        <f t="shared" si="297"/>
        <v>22</v>
      </c>
      <c r="D258" s="715">
        <f t="shared" si="297"/>
        <v>56</v>
      </c>
      <c r="E258" s="715">
        <f t="shared" si="225"/>
        <v>14</v>
      </c>
      <c r="F258" s="767" cm="1">
        <f t="array" aca="1" ref="F258" ca="1">INDIRECT("'Definition of Typical Day'!D"&amp;D258)</f>
        <v>22</v>
      </c>
      <c r="G258" s="767" cm="1">
        <f t="array" aca="1" ref="G258" ca="1">INDIRECT("'Definition of Typical Day'!"&amp;ADDRESS(13,E258))</f>
        <v>10</v>
      </c>
      <c r="H258" s="768" cm="1">
        <f t="array" aca="1" ref="H258" ca="1">INDIRECT("'Definition of Typical Day'!"&amp; ADDRESS($D258+28*(H$16-1),$E258))</f>
        <v>0</v>
      </c>
      <c r="I258" s="715" cm="1">
        <f t="array" aca="1" ref="I258" ca="1">INDIRECT("'Definition of Typical Day'!"&amp; ADDRESS($D258+29*(I$16-1),$E258))</f>
        <v>0</v>
      </c>
      <c r="J258" s="715">
        <f t="shared" ca="1" si="251"/>
        <v>0</v>
      </c>
      <c r="K258" s="785">
        <f t="shared" si="252"/>
        <v>28</v>
      </c>
      <c r="L258" s="786" cm="1">
        <f t="array" aca="1" ref="L258" ca="1">INDIRECT("'Definition of Typical Day'!"&amp; ADDRESS($D258+29*(L$16-1),$E258))</f>
        <v>0</v>
      </c>
      <c r="M258" s="768" cm="1">
        <f t="array" aca="1" ref="M258" ca="1">INDIRECT("'Definition of Typical Day'!"&amp; ADDRESS($D258+29*(M$16-1),$E258))</f>
        <v>0</v>
      </c>
      <c r="N258" s="715">
        <f t="shared" si="253"/>
        <v>3</v>
      </c>
      <c r="O258" s="715">
        <f t="shared" ca="1" si="254"/>
        <v>3</v>
      </c>
      <c r="P258" s="715" cm="1">
        <f t="array" aca="1" ref="P258" ca="1">INDIRECT("'Definition of Typical Day'!"&amp; ADDRESS($D258+29*(P$16-1),$E258))</f>
        <v>0</v>
      </c>
      <c r="Q258" s="787">
        <f t="shared" ca="1" si="255"/>
        <v>3</v>
      </c>
      <c r="R258" s="792">
        <f t="shared" ca="1" si="256"/>
        <v>3</v>
      </c>
      <c r="S258" s="769">
        <f t="shared" si="257"/>
        <v>3</v>
      </c>
      <c r="T258" s="769">
        <f t="shared" ca="1" si="258"/>
        <v>-0.5</v>
      </c>
      <c r="U258" s="769">
        <f t="shared" ca="1" si="259"/>
        <v>2.262</v>
      </c>
      <c r="V258" s="769">
        <f t="shared" ca="1" si="260"/>
        <v>0</v>
      </c>
      <c r="W258" s="769">
        <f t="shared" ca="1" si="261"/>
        <v>4.7620000000000005</v>
      </c>
      <c r="X258" s="794">
        <f t="shared" si="262"/>
        <v>3</v>
      </c>
      <c r="Y258" s="769">
        <f t="shared" ca="1" si="263"/>
        <v>0.54772255750516607</v>
      </c>
      <c r="Z258" s="769">
        <f t="shared" ca="1" si="264"/>
        <v>0</v>
      </c>
      <c r="AA258" s="795">
        <f t="shared" ca="1" si="265"/>
        <v>0</v>
      </c>
      <c r="AB258" s="769">
        <f t="shared" ca="1" si="266"/>
        <v>0</v>
      </c>
      <c r="AC258" s="769">
        <f t="shared" ca="1" si="267"/>
        <v>0</v>
      </c>
      <c r="AD258" s="769">
        <f t="shared" ca="1" si="268"/>
        <v>0</v>
      </c>
      <c r="AE258" s="794">
        <f t="shared" ca="1" si="269"/>
        <v>0</v>
      </c>
      <c r="AF258" s="769">
        <f t="shared" ca="1" si="270"/>
        <v>0</v>
      </c>
      <c r="AG258" s="769">
        <f t="shared" ca="1" si="271"/>
        <v>0</v>
      </c>
      <c r="AH258" s="799">
        <f t="shared" ca="1" si="272"/>
        <v>0</v>
      </c>
      <c r="AI258" s="801">
        <f t="shared" ca="1" si="273"/>
        <v>1</v>
      </c>
      <c r="AJ258" s="794">
        <f t="shared" ca="1" si="274"/>
        <v>0</v>
      </c>
      <c r="AK258" s="769">
        <f t="shared" ca="1" si="275"/>
        <v>0</v>
      </c>
      <c r="AL258" s="769">
        <f t="shared" ca="1" si="276"/>
        <v>0</v>
      </c>
      <c r="AM258" s="804">
        <f t="shared" ca="1" si="226"/>
        <v>0</v>
      </c>
      <c r="AN258" s="795">
        <f t="shared" ca="1" si="227"/>
        <v>0</v>
      </c>
      <c r="AO258" s="251"/>
      <c r="AP258" s="770">
        <f t="shared" si="277"/>
        <v>0</v>
      </c>
      <c r="AQ258" s="771">
        <f t="shared" ca="1" si="278"/>
        <v>0</v>
      </c>
      <c r="AR258" s="771">
        <f t="shared" ca="1" si="279"/>
        <v>0</v>
      </c>
      <c r="AS258" s="772">
        <f t="shared" ca="1" si="280"/>
        <v>0</v>
      </c>
      <c r="AT258" s="231"/>
      <c r="AU258" s="770">
        <f>'Main Results - IRR DC Operator'!$F$16</f>
        <v>2</v>
      </c>
      <c r="AV258" s="773">
        <f>'Main Results - IRR DC Operator'!$F$15</f>
        <v>1</v>
      </c>
      <c r="AW258" s="771">
        <f t="shared" ca="1" si="281"/>
        <v>0</v>
      </c>
      <c r="AX258" s="772">
        <f t="shared" si="282"/>
        <v>0</v>
      </c>
      <c r="AY258" s="231"/>
      <c r="AZ258" s="770" cm="1">
        <f t="array" aca="1" ref="AZ258" ca="1">INDIRECT("'Definition of Typical Day'!"&amp; ADDRESS($D258+29*(AZ$16-1),$E258))+$AZ$17</f>
        <v>11</v>
      </c>
      <c r="BA258" s="771" cm="1">
        <f t="array" aca="1" ref="BA258" ca="1">INDIRECT("'Definition of Typical Day'!"&amp; ADDRESS($D258+29*(BA$16-1),$E258))+$BA$17</f>
        <v>11</v>
      </c>
      <c r="BB258" s="772" cm="1">
        <f t="array" aca="1" ref="BB258" ca="1">INDIRECT("'Definition of Typical Day'!"&amp;ADDRESS(BB$16,$E258))</f>
        <v>0</v>
      </c>
      <c r="BC258" s="776" cm="1">
        <f t="array" aca="1" ref="BC258" ca="1">INDIRECT("'Definition of Typical Day'!"&amp; ADDRESS($D258+29*(BC$16-1),$E258))</f>
        <v>0</v>
      </c>
      <c r="BD258" s="777" cm="1">
        <f t="array" aca="1" ref="BD258" ca="1">INDIRECT("'Definition of Typical Day'!"&amp; ADDRESS($D258+29*(BD$16-1),$E258))</f>
        <v>0</v>
      </c>
      <c r="BE258" s="776">
        <f t="shared" si="283"/>
        <v>0</v>
      </c>
      <c r="BF258" s="771">
        <f t="shared" ca="1" si="284"/>
        <v>0</v>
      </c>
      <c r="BG258" s="771">
        <f t="shared" ca="1" si="285"/>
        <v>0</v>
      </c>
      <c r="BH258" s="771">
        <f t="shared" ca="1" si="286"/>
        <v>0</v>
      </c>
      <c r="BI258" s="776">
        <f t="shared" ca="1" si="287"/>
        <v>0</v>
      </c>
      <c r="BJ258" s="776">
        <f t="shared" ca="1" si="288"/>
        <v>0</v>
      </c>
      <c r="BK258" s="776">
        <f t="shared" ca="1" si="289"/>
        <v>0</v>
      </c>
      <c r="BL258" s="776">
        <f t="shared" ca="1" si="290"/>
        <v>0</v>
      </c>
      <c r="BM258" s="135"/>
      <c r="BN258" s="776">
        <f t="shared" ca="1" si="291"/>
        <v>0</v>
      </c>
      <c r="BO258" s="778">
        <f t="shared" ca="1" si="228"/>
        <v>0</v>
      </c>
      <c r="BP258" s="770">
        <f t="shared" ca="1" si="229"/>
        <v>0</v>
      </c>
      <c r="BQ258" s="771">
        <f t="shared" ca="1" si="230"/>
        <v>0</v>
      </c>
      <c r="BR258" s="771">
        <f t="shared" ca="1" si="231"/>
        <v>0</v>
      </c>
      <c r="BS258" s="776">
        <f t="shared" ca="1" si="292"/>
        <v>0</v>
      </c>
      <c r="BT258" s="776">
        <f t="shared" ca="1" si="232"/>
        <v>0</v>
      </c>
      <c r="BU258" s="783">
        <f t="shared" ca="1" si="233"/>
        <v>0</v>
      </c>
      <c r="BV258" s="783">
        <f t="shared" ca="1" si="234"/>
        <v>0</v>
      </c>
      <c r="BW258" s="1019">
        <f t="shared" ca="1" si="293"/>
        <v>0</v>
      </c>
      <c r="BX258" s="771" cm="1">
        <f t="array" aca="1" ref="BX258" ca="1">INDIRECT("'Definition of Typical Day'!"&amp; ADDRESS($D258+29*(BX$16-1),$E258))</f>
        <v>0</v>
      </c>
      <c r="BY258" s="771">
        <f t="shared" ca="1" si="294"/>
        <v>0</v>
      </c>
      <c r="BZ258" s="781">
        <f t="shared" ca="1" si="235"/>
        <v>0</v>
      </c>
      <c r="CA258" s="781">
        <f t="shared" ca="1" si="236"/>
        <v>0</v>
      </c>
      <c r="CB258" s="776">
        <f t="shared" ca="1" si="237"/>
        <v>0</v>
      </c>
      <c r="CC258" s="782">
        <f t="shared" si="238"/>
        <v>10</v>
      </c>
      <c r="CD258" s="782">
        <f t="shared" si="239"/>
        <v>22</v>
      </c>
      <c r="CE258" s="784" cm="1">
        <f t="array" aca="1" ref="CE258" ca="1">INDIRECT("'Definition of Typical Day'!"&amp;ADDRESS(CE$16,$E258))</f>
        <v>10</v>
      </c>
      <c r="CF258" s="232"/>
      <c r="CG258" s="232"/>
      <c r="CH258" s="776">
        <f t="shared" ca="1" si="240"/>
        <v>0</v>
      </c>
      <c r="CI258" s="806">
        <f t="shared" ca="1" si="241"/>
        <v>0</v>
      </c>
      <c r="CJ258" s="770">
        <f t="shared" ca="1" si="242"/>
        <v>0</v>
      </c>
      <c r="CK258" s="771">
        <f t="shared" ca="1" si="243"/>
        <v>0</v>
      </c>
      <c r="CL258" s="771">
        <f t="shared" ca="1" si="244"/>
        <v>0</v>
      </c>
      <c r="CM258" s="772">
        <f t="shared" ca="1" si="245"/>
        <v>0</v>
      </c>
      <c r="CN258" s="135"/>
      <c r="CO258" s="770">
        <f t="shared" ca="1" si="295"/>
        <v>1.05</v>
      </c>
      <c r="CP258" s="771">
        <f t="shared" ca="1" si="246"/>
        <v>0.02</v>
      </c>
      <c r="CQ258" s="771">
        <f t="shared" ca="1" si="247"/>
        <v>-2.5000000000000001E-2</v>
      </c>
      <c r="CR258" s="771">
        <f t="shared" ca="1" si="248"/>
        <v>0.95</v>
      </c>
      <c r="CS258" s="771">
        <f t="shared" ca="1" si="249"/>
        <v>0.03</v>
      </c>
      <c r="CT258" s="772">
        <f t="shared" ca="1" si="250"/>
        <v>0.02</v>
      </c>
      <c r="CU258" s="135"/>
      <c r="CV258" s="135"/>
      <c r="CW258" s="135"/>
      <c r="CX258" s="135"/>
      <c r="CY258" s="135"/>
      <c r="CZ258" s="135"/>
      <c r="DA258" s="135"/>
      <c r="DB258" s="135"/>
      <c r="DC258" s="135"/>
      <c r="DD258" s="135"/>
      <c r="DE258" s="135"/>
      <c r="DF258" s="135"/>
      <c r="DG258" s="135"/>
      <c r="DH258" s="135"/>
      <c r="DI258" s="135"/>
      <c r="DJ258" s="135"/>
      <c r="DK258" s="135"/>
      <c r="DL258" s="135"/>
      <c r="DX258" s="135"/>
      <c r="DY258" s="135"/>
      <c r="DZ258" s="135"/>
      <c r="EA258" s="135"/>
      <c r="EB258" s="135"/>
      <c r="EC258" s="135"/>
      <c r="ED258" s="135"/>
      <c r="EE258" s="135"/>
      <c r="EF258" s="135"/>
      <c r="EG258" s="135"/>
      <c r="EH258" s="135"/>
      <c r="EI258" s="135"/>
      <c r="EJ258" s="135"/>
      <c r="EK258" s="135"/>
      <c r="EL258" s="135"/>
      <c r="EM258" s="135"/>
      <c r="EN258" s="135"/>
      <c r="EO258" s="135"/>
      <c r="EP258" s="135"/>
      <c r="EQ258" s="135"/>
      <c r="ER258" s="135"/>
      <c r="ES258" s="135"/>
      <c r="ET258" s="135"/>
      <c r="EU258" s="135"/>
      <c r="EV258" s="135"/>
      <c r="EW258" s="135"/>
      <c r="EX258" s="135"/>
      <c r="EY258" s="135"/>
      <c r="EZ258" s="135"/>
      <c r="FA258" s="135"/>
      <c r="FB258" s="135"/>
      <c r="FC258" s="135"/>
      <c r="FD258" s="135"/>
      <c r="FE258" s="135"/>
      <c r="FF258" s="135"/>
      <c r="FG258" s="135"/>
    </row>
    <row r="259" spans="1:163" s="57" customFormat="1" ht="11.25" outlineLevel="1">
      <c r="A259" s="765">
        <f t="shared" si="296"/>
        <v>10</v>
      </c>
      <c r="B259" s="715" cm="1">
        <f t="array" aca="1" ref="B259" ca="1">INDIRECT("'Definition of Typical Day'!"&amp;ADDRESS(B$16,$E259))</f>
        <v>10</v>
      </c>
      <c r="C259" s="766">
        <f t="shared" si="297"/>
        <v>23</v>
      </c>
      <c r="D259" s="715">
        <f t="shared" si="297"/>
        <v>57</v>
      </c>
      <c r="E259" s="715">
        <f t="shared" si="225"/>
        <v>14</v>
      </c>
      <c r="F259" s="767" cm="1">
        <f t="array" aca="1" ref="F259" ca="1">INDIRECT("'Definition of Typical Day'!D"&amp;D259)</f>
        <v>23</v>
      </c>
      <c r="G259" s="767" cm="1">
        <f t="array" aca="1" ref="G259" ca="1">INDIRECT("'Definition of Typical Day'!"&amp;ADDRESS(13,E259))</f>
        <v>10</v>
      </c>
      <c r="H259" s="768" cm="1">
        <f t="array" aca="1" ref="H259" ca="1">INDIRECT("'Definition of Typical Day'!"&amp; ADDRESS($D259+28*(H$16-1),$E259))</f>
        <v>0</v>
      </c>
      <c r="I259" s="715" cm="1">
        <f t="array" aca="1" ref="I259" ca="1">INDIRECT("'Definition of Typical Day'!"&amp; ADDRESS($D259+29*(I$16-1),$E259))</f>
        <v>0</v>
      </c>
      <c r="J259" s="715">
        <f t="shared" ca="1" si="251"/>
        <v>0</v>
      </c>
      <c r="K259" s="785">
        <f t="shared" si="252"/>
        <v>28</v>
      </c>
      <c r="L259" s="786" cm="1">
        <f t="array" aca="1" ref="L259" ca="1">INDIRECT("'Definition of Typical Day'!"&amp; ADDRESS($D259+29*(L$16-1),$E259))</f>
        <v>0</v>
      </c>
      <c r="M259" s="768" cm="1">
        <f t="array" aca="1" ref="M259" ca="1">INDIRECT("'Definition of Typical Day'!"&amp; ADDRESS($D259+29*(M$16-1),$E259))</f>
        <v>0</v>
      </c>
      <c r="N259" s="715">
        <f t="shared" si="253"/>
        <v>3</v>
      </c>
      <c r="O259" s="715">
        <f t="shared" ca="1" si="254"/>
        <v>3</v>
      </c>
      <c r="P259" s="715" cm="1">
        <f t="array" aca="1" ref="P259" ca="1">INDIRECT("'Definition of Typical Day'!"&amp; ADDRESS($D259+29*(P$16-1),$E259))</f>
        <v>0</v>
      </c>
      <c r="Q259" s="787">
        <f t="shared" ca="1" si="255"/>
        <v>3</v>
      </c>
      <c r="R259" s="792">
        <f t="shared" ca="1" si="256"/>
        <v>3</v>
      </c>
      <c r="S259" s="769">
        <f t="shared" si="257"/>
        <v>3</v>
      </c>
      <c r="T259" s="769">
        <f t="shared" ca="1" si="258"/>
        <v>-0.5</v>
      </c>
      <c r="U259" s="769">
        <f t="shared" ca="1" si="259"/>
        <v>2.262</v>
      </c>
      <c r="V259" s="769">
        <f t="shared" ca="1" si="260"/>
        <v>0</v>
      </c>
      <c r="W259" s="769">
        <f t="shared" ca="1" si="261"/>
        <v>4.7620000000000005</v>
      </c>
      <c r="X259" s="794">
        <f t="shared" si="262"/>
        <v>3</v>
      </c>
      <c r="Y259" s="769">
        <f t="shared" ca="1" si="263"/>
        <v>0.54772255750516607</v>
      </c>
      <c r="Z259" s="769">
        <f t="shared" ca="1" si="264"/>
        <v>0</v>
      </c>
      <c r="AA259" s="795">
        <f t="shared" ca="1" si="265"/>
        <v>0</v>
      </c>
      <c r="AB259" s="769">
        <f t="shared" ca="1" si="266"/>
        <v>0</v>
      </c>
      <c r="AC259" s="769">
        <f t="shared" ca="1" si="267"/>
        <v>0</v>
      </c>
      <c r="AD259" s="769">
        <f t="shared" ca="1" si="268"/>
        <v>0</v>
      </c>
      <c r="AE259" s="794">
        <f t="shared" ca="1" si="269"/>
        <v>0</v>
      </c>
      <c r="AF259" s="769">
        <f t="shared" ca="1" si="270"/>
        <v>0</v>
      </c>
      <c r="AG259" s="769">
        <f t="shared" ca="1" si="271"/>
        <v>0</v>
      </c>
      <c r="AH259" s="799">
        <f t="shared" ca="1" si="272"/>
        <v>0</v>
      </c>
      <c r="AI259" s="801">
        <f t="shared" ca="1" si="273"/>
        <v>1</v>
      </c>
      <c r="AJ259" s="794">
        <f t="shared" ca="1" si="274"/>
        <v>0</v>
      </c>
      <c r="AK259" s="769">
        <f t="shared" ca="1" si="275"/>
        <v>0</v>
      </c>
      <c r="AL259" s="769">
        <f t="shared" ca="1" si="276"/>
        <v>0</v>
      </c>
      <c r="AM259" s="804">
        <f t="shared" ca="1" si="226"/>
        <v>0</v>
      </c>
      <c r="AN259" s="795">
        <f t="shared" ca="1" si="227"/>
        <v>0</v>
      </c>
      <c r="AO259" s="251"/>
      <c r="AP259" s="770">
        <f t="shared" si="277"/>
        <v>0</v>
      </c>
      <c r="AQ259" s="771">
        <f t="shared" ca="1" si="278"/>
        <v>0</v>
      </c>
      <c r="AR259" s="771">
        <f t="shared" ca="1" si="279"/>
        <v>0</v>
      </c>
      <c r="AS259" s="772">
        <f t="shared" ca="1" si="280"/>
        <v>0</v>
      </c>
      <c r="AT259" s="231"/>
      <c r="AU259" s="770">
        <f>'Main Results - IRR DC Operator'!$F$16</f>
        <v>2</v>
      </c>
      <c r="AV259" s="773">
        <f>'Main Results - IRR DC Operator'!$F$15</f>
        <v>1</v>
      </c>
      <c r="AW259" s="771">
        <f t="shared" ca="1" si="281"/>
        <v>0</v>
      </c>
      <c r="AX259" s="772">
        <f t="shared" si="282"/>
        <v>0</v>
      </c>
      <c r="AY259" s="231"/>
      <c r="AZ259" s="770" cm="1">
        <f t="array" aca="1" ref="AZ259" ca="1">INDIRECT("'Definition of Typical Day'!"&amp; ADDRESS($D259+29*(AZ$16-1),$E259))+$AZ$17</f>
        <v>11</v>
      </c>
      <c r="BA259" s="771" cm="1">
        <f t="array" aca="1" ref="BA259" ca="1">INDIRECT("'Definition of Typical Day'!"&amp; ADDRESS($D259+29*(BA$16-1),$E259))+$BA$17</f>
        <v>11</v>
      </c>
      <c r="BB259" s="772" cm="1">
        <f t="array" aca="1" ref="BB259" ca="1">INDIRECT("'Definition of Typical Day'!"&amp;ADDRESS(BB$16,$E259))</f>
        <v>0</v>
      </c>
      <c r="BC259" s="776" cm="1">
        <f t="array" aca="1" ref="BC259" ca="1">INDIRECT("'Definition of Typical Day'!"&amp; ADDRESS($D259+29*(BC$16-1),$E259))</f>
        <v>0</v>
      </c>
      <c r="BD259" s="777" cm="1">
        <f t="array" aca="1" ref="BD259" ca="1">INDIRECT("'Definition of Typical Day'!"&amp; ADDRESS($D259+29*(BD$16-1),$E259))</f>
        <v>0</v>
      </c>
      <c r="BE259" s="776">
        <f t="shared" si="283"/>
        <v>0</v>
      </c>
      <c r="BF259" s="771">
        <f t="shared" ca="1" si="284"/>
        <v>0</v>
      </c>
      <c r="BG259" s="771">
        <f t="shared" ca="1" si="285"/>
        <v>0</v>
      </c>
      <c r="BH259" s="771">
        <f t="shared" ca="1" si="286"/>
        <v>0</v>
      </c>
      <c r="BI259" s="776">
        <f t="shared" ca="1" si="287"/>
        <v>0</v>
      </c>
      <c r="BJ259" s="776">
        <f t="shared" ca="1" si="288"/>
        <v>0</v>
      </c>
      <c r="BK259" s="776">
        <f t="shared" ca="1" si="289"/>
        <v>0</v>
      </c>
      <c r="BL259" s="776">
        <f t="shared" ca="1" si="290"/>
        <v>0</v>
      </c>
      <c r="BM259" s="135"/>
      <c r="BN259" s="776">
        <f t="shared" ca="1" si="291"/>
        <v>0</v>
      </c>
      <c r="BO259" s="778">
        <f t="shared" ca="1" si="228"/>
        <v>0</v>
      </c>
      <c r="BP259" s="770">
        <f t="shared" ca="1" si="229"/>
        <v>0</v>
      </c>
      <c r="BQ259" s="771">
        <f t="shared" ca="1" si="230"/>
        <v>0</v>
      </c>
      <c r="BR259" s="771">
        <f t="shared" ca="1" si="231"/>
        <v>0</v>
      </c>
      <c r="BS259" s="776">
        <f t="shared" ca="1" si="292"/>
        <v>0</v>
      </c>
      <c r="BT259" s="776">
        <f t="shared" ca="1" si="232"/>
        <v>0</v>
      </c>
      <c r="BU259" s="783">
        <f t="shared" ca="1" si="233"/>
        <v>0</v>
      </c>
      <c r="BV259" s="783">
        <f t="shared" ca="1" si="234"/>
        <v>0</v>
      </c>
      <c r="BW259" s="1019">
        <f t="shared" ca="1" si="293"/>
        <v>0</v>
      </c>
      <c r="BX259" s="771" cm="1">
        <f t="array" aca="1" ref="BX259" ca="1">INDIRECT("'Definition of Typical Day'!"&amp; ADDRESS($D259+29*(BX$16-1),$E259))</f>
        <v>0</v>
      </c>
      <c r="BY259" s="771">
        <f t="shared" ca="1" si="294"/>
        <v>0</v>
      </c>
      <c r="BZ259" s="781">
        <f t="shared" ca="1" si="235"/>
        <v>0</v>
      </c>
      <c r="CA259" s="781">
        <f t="shared" ca="1" si="236"/>
        <v>0</v>
      </c>
      <c r="CB259" s="776">
        <f t="shared" ca="1" si="237"/>
        <v>0</v>
      </c>
      <c r="CC259" s="782">
        <f t="shared" si="238"/>
        <v>10</v>
      </c>
      <c r="CD259" s="782">
        <f t="shared" si="239"/>
        <v>23</v>
      </c>
      <c r="CE259" s="784" cm="1">
        <f t="array" aca="1" ref="CE259" ca="1">INDIRECT("'Definition of Typical Day'!"&amp;ADDRESS(CE$16,$E259))</f>
        <v>10</v>
      </c>
      <c r="CF259" s="232"/>
      <c r="CG259" s="232"/>
      <c r="CH259" s="776">
        <f t="shared" ca="1" si="240"/>
        <v>0</v>
      </c>
      <c r="CI259" s="806">
        <f t="shared" ca="1" si="241"/>
        <v>0</v>
      </c>
      <c r="CJ259" s="770">
        <f t="shared" ca="1" si="242"/>
        <v>0</v>
      </c>
      <c r="CK259" s="771">
        <f t="shared" ca="1" si="243"/>
        <v>0</v>
      </c>
      <c r="CL259" s="771">
        <f t="shared" ca="1" si="244"/>
        <v>0</v>
      </c>
      <c r="CM259" s="772">
        <f t="shared" ca="1" si="245"/>
        <v>0</v>
      </c>
      <c r="CN259" s="135"/>
      <c r="CO259" s="770">
        <f t="shared" ca="1" si="295"/>
        <v>1.05</v>
      </c>
      <c r="CP259" s="771">
        <f t="shared" ca="1" si="246"/>
        <v>0.02</v>
      </c>
      <c r="CQ259" s="771">
        <f t="shared" ca="1" si="247"/>
        <v>-2.5000000000000001E-2</v>
      </c>
      <c r="CR259" s="771">
        <f t="shared" ca="1" si="248"/>
        <v>0.95</v>
      </c>
      <c r="CS259" s="771">
        <f t="shared" ca="1" si="249"/>
        <v>0.03</v>
      </c>
      <c r="CT259" s="772">
        <f t="shared" ca="1" si="250"/>
        <v>0.02</v>
      </c>
      <c r="CU259" s="135"/>
      <c r="CV259" s="135"/>
      <c r="CW259" s="135"/>
      <c r="CX259" s="135"/>
      <c r="CY259" s="135"/>
      <c r="CZ259" s="135"/>
      <c r="DA259" s="135"/>
      <c r="DB259" s="135"/>
      <c r="DC259" s="135"/>
      <c r="DD259" s="135"/>
      <c r="DE259" s="135"/>
      <c r="DF259" s="135"/>
      <c r="DG259" s="135"/>
      <c r="DH259" s="135"/>
      <c r="DI259" s="135"/>
      <c r="DJ259" s="135"/>
      <c r="DK259" s="135"/>
      <c r="DL259" s="135"/>
      <c r="DX259" s="135"/>
      <c r="DY259" s="135"/>
      <c r="DZ259" s="135"/>
      <c r="EA259" s="135"/>
      <c r="EB259" s="135"/>
      <c r="EC259" s="135"/>
      <c r="ED259" s="135"/>
      <c r="EE259" s="135"/>
      <c r="EF259" s="135"/>
      <c r="EG259" s="135"/>
      <c r="EH259" s="135"/>
      <c r="EI259" s="135"/>
      <c r="EJ259" s="135"/>
      <c r="EK259" s="135"/>
      <c r="EL259" s="135"/>
      <c r="EM259" s="135"/>
      <c r="EN259" s="135"/>
      <c r="EO259" s="135"/>
      <c r="EP259" s="135"/>
      <c r="EQ259" s="135"/>
      <c r="ER259" s="135"/>
      <c r="ES259" s="135"/>
      <c r="ET259" s="135"/>
      <c r="EU259" s="135"/>
      <c r="EV259" s="135"/>
      <c r="EW259" s="135"/>
      <c r="EX259" s="135"/>
      <c r="EY259" s="135"/>
      <c r="EZ259" s="135"/>
      <c r="FA259" s="135"/>
      <c r="FB259" s="135"/>
      <c r="FC259" s="135"/>
      <c r="FD259" s="135"/>
      <c r="FE259" s="135"/>
      <c r="FF259" s="135"/>
      <c r="FG259" s="135"/>
    </row>
    <row r="260" spans="1:163" s="57" customFormat="1" ht="11.25" outlineLevel="1">
      <c r="A260" s="765">
        <f t="shared" si="296"/>
        <v>10</v>
      </c>
      <c r="B260" s="715" cm="1">
        <f t="array" aca="1" ref="B260" ca="1">INDIRECT("'Definition of Typical Day'!"&amp;ADDRESS(B$16,$E260))</f>
        <v>10</v>
      </c>
      <c r="C260" s="766">
        <f t="shared" si="297"/>
        <v>24</v>
      </c>
      <c r="D260" s="715">
        <f t="shared" si="297"/>
        <v>58</v>
      </c>
      <c r="E260" s="715">
        <f t="shared" si="225"/>
        <v>14</v>
      </c>
      <c r="F260" s="767" cm="1">
        <f t="array" aca="1" ref="F260" ca="1">INDIRECT("'Definition of Typical Day'!D"&amp;D260)</f>
        <v>24</v>
      </c>
      <c r="G260" s="767" cm="1">
        <f t="array" aca="1" ref="G260" ca="1">INDIRECT("'Definition of Typical Day'!"&amp;ADDRESS(13,E260))</f>
        <v>10</v>
      </c>
      <c r="H260" s="768" cm="1">
        <f t="array" aca="1" ref="H260" ca="1">INDIRECT("'Definition of Typical Day'!"&amp; ADDRESS($D260+28*(H$16-1),$E260))</f>
        <v>0</v>
      </c>
      <c r="I260" s="715" cm="1">
        <f t="array" aca="1" ref="I260" ca="1">INDIRECT("'Definition of Typical Day'!"&amp; ADDRESS($D260+29*(I$16-1),$E260))</f>
        <v>0</v>
      </c>
      <c r="J260" s="715">
        <f t="shared" ca="1" si="251"/>
        <v>0</v>
      </c>
      <c r="K260" s="785">
        <f t="shared" si="252"/>
        <v>28</v>
      </c>
      <c r="L260" s="786" cm="1">
        <f t="array" aca="1" ref="L260" ca="1">INDIRECT("'Definition of Typical Day'!"&amp; ADDRESS($D260+29*(L$16-1),$E260))</f>
        <v>0</v>
      </c>
      <c r="M260" s="768" cm="1">
        <f t="array" aca="1" ref="M260" ca="1">INDIRECT("'Definition of Typical Day'!"&amp; ADDRESS($D260+29*(M$16-1),$E260))</f>
        <v>0</v>
      </c>
      <c r="N260" s="715">
        <f t="shared" si="253"/>
        <v>3</v>
      </c>
      <c r="O260" s="715">
        <f t="shared" ca="1" si="254"/>
        <v>3</v>
      </c>
      <c r="P260" s="715" cm="1">
        <f t="array" aca="1" ref="P260" ca="1">INDIRECT("'Definition of Typical Day'!"&amp; ADDRESS($D260+29*(P$16-1),$E260))</f>
        <v>0</v>
      </c>
      <c r="Q260" s="787">
        <f t="shared" ca="1" si="255"/>
        <v>3</v>
      </c>
      <c r="R260" s="792">
        <f t="shared" ca="1" si="256"/>
        <v>3</v>
      </c>
      <c r="S260" s="769">
        <f t="shared" si="257"/>
        <v>3</v>
      </c>
      <c r="T260" s="769">
        <f t="shared" ca="1" si="258"/>
        <v>-0.5</v>
      </c>
      <c r="U260" s="769">
        <f t="shared" ca="1" si="259"/>
        <v>2.262</v>
      </c>
      <c r="V260" s="769">
        <f t="shared" ca="1" si="260"/>
        <v>0</v>
      </c>
      <c r="W260" s="769">
        <f t="shared" ca="1" si="261"/>
        <v>4.7620000000000005</v>
      </c>
      <c r="X260" s="794">
        <f t="shared" si="262"/>
        <v>3</v>
      </c>
      <c r="Y260" s="769">
        <f t="shared" ca="1" si="263"/>
        <v>0.54772255750516607</v>
      </c>
      <c r="Z260" s="769">
        <f t="shared" ca="1" si="264"/>
        <v>0</v>
      </c>
      <c r="AA260" s="795">
        <f t="shared" ca="1" si="265"/>
        <v>0</v>
      </c>
      <c r="AB260" s="769">
        <f t="shared" ca="1" si="266"/>
        <v>0</v>
      </c>
      <c r="AC260" s="769">
        <f t="shared" ca="1" si="267"/>
        <v>0</v>
      </c>
      <c r="AD260" s="769">
        <f t="shared" ca="1" si="268"/>
        <v>0</v>
      </c>
      <c r="AE260" s="794">
        <f t="shared" ca="1" si="269"/>
        <v>0</v>
      </c>
      <c r="AF260" s="769">
        <f t="shared" ca="1" si="270"/>
        <v>0</v>
      </c>
      <c r="AG260" s="769">
        <f t="shared" ca="1" si="271"/>
        <v>0</v>
      </c>
      <c r="AH260" s="799">
        <f t="shared" ca="1" si="272"/>
        <v>0</v>
      </c>
      <c r="AI260" s="801">
        <f t="shared" ca="1" si="273"/>
        <v>1</v>
      </c>
      <c r="AJ260" s="794">
        <f t="shared" ca="1" si="274"/>
        <v>0</v>
      </c>
      <c r="AK260" s="769">
        <f t="shared" ca="1" si="275"/>
        <v>0</v>
      </c>
      <c r="AL260" s="769">
        <f t="shared" ca="1" si="276"/>
        <v>0</v>
      </c>
      <c r="AM260" s="804">
        <f t="shared" ca="1" si="226"/>
        <v>0</v>
      </c>
      <c r="AN260" s="795">
        <f t="shared" ca="1" si="227"/>
        <v>0</v>
      </c>
      <c r="AO260" s="251"/>
      <c r="AP260" s="770">
        <f t="shared" si="277"/>
        <v>0</v>
      </c>
      <c r="AQ260" s="771">
        <f t="shared" ca="1" si="278"/>
        <v>0</v>
      </c>
      <c r="AR260" s="771">
        <f t="shared" ca="1" si="279"/>
        <v>0</v>
      </c>
      <c r="AS260" s="772">
        <f t="shared" ca="1" si="280"/>
        <v>0</v>
      </c>
      <c r="AT260" s="231"/>
      <c r="AU260" s="770">
        <f>'Main Results - IRR DC Operator'!$F$16</f>
        <v>2</v>
      </c>
      <c r="AV260" s="773">
        <f>'Main Results - IRR DC Operator'!$F$15</f>
        <v>1</v>
      </c>
      <c r="AW260" s="771">
        <f t="shared" ca="1" si="281"/>
        <v>0</v>
      </c>
      <c r="AX260" s="772">
        <f t="shared" si="282"/>
        <v>0</v>
      </c>
      <c r="AY260" s="231"/>
      <c r="AZ260" s="770" cm="1">
        <f t="array" aca="1" ref="AZ260" ca="1">INDIRECT("'Definition of Typical Day'!"&amp; ADDRESS($D260+29*(AZ$16-1),$E260))+$AZ$17</f>
        <v>11</v>
      </c>
      <c r="BA260" s="771" cm="1">
        <f t="array" aca="1" ref="BA260" ca="1">INDIRECT("'Definition of Typical Day'!"&amp; ADDRESS($D260+29*(BA$16-1),$E260))+$BA$17</f>
        <v>11</v>
      </c>
      <c r="BB260" s="772" cm="1">
        <f t="array" aca="1" ref="BB260" ca="1">INDIRECT("'Definition of Typical Day'!"&amp;ADDRESS(BB$16,$E260))</f>
        <v>0</v>
      </c>
      <c r="BC260" s="776" cm="1">
        <f t="array" aca="1" ref="BC260" ca="1">INDIRECT("'Definition of Typical Day'!"&amp; ADDRESS($D260+29*(BC$16-1),$E260))</f>
        <v>0</v>
      </c>
      <c r="BD260" s="777" cm="1">
        <f t="array" aca="1" ref="BD260" ca="1">INDIRECT("'Definition of Typical Day'!"&amp; ADDRESS($D260+29*(BD$16-1),$E260))</f>
        <v>0</v>
      </c>
      <c r="BE260" s="776">
        <f t="shared" si="283"/>
        <v>0</v>
      </c>
      <c r="BF260" s="771">
        <f t="shared" ca="1" si="284"/>
        <v>0</v>
      </c>
      <c r="BG260" s="771">
        <f t="shared" ca="1" si="285"/>
        <v>0</v>
      </c>
      <c r="BH260" s="771">
        <f t="shared" ca="1" si="286"/>
        <v>0</v>
      </c>
      <c r="BI260" s="776">
        <f t="shared" ca="1" si="287"/>
        <v>0</v>
      </c>
      <c r="BJ260" s="776">
        <f t="shared" ca="1" si="288"/>
        <v>0</v>
      </c>
      <c r="BK260" s="776">
        <f t="shared" ca="1" si="289"/>
        <v>0</v>
      </c>
      <c r="BL260" s="776">
        <f t="shared" ca="1" si="290"/>
        <v>0</v>
      </c>
      <c r="BM260" s="135"/>
      <c r="BN260" s="776">
        <f t="shared" ca="1" si="291"/>
        <v>0</v>
      </c>
      <c r="BO260" s="778">
        <f t="shared" ca="1" si="228"/>
        <v>0</v>
      </c>
      <c r="BP260" s="770">
        <f t="shared" ca="1" si="229"/>
        <v>0</v>
      </c>
      <c r="BQ260" s="771">
        <f t="shared" ca="1" si="230"/>
        <v>0</v>
      </c>
      <c r="BR260" s="771">
        <f t="shared" ca="1" si="231"/>
        <v>0</v>
      </c>
      <c r="BS260" s="776">
        <f t="shared" ca="1" si="292"/>
        <v>0</v>
      </c>
      <c r="BT260" s="776">
        <f t="shared" ca="1" si="232"/>
        <v>0</v>
      </c>
      <c r="BU260" s="783">
        <f t="shared" ca="1" si="233"/>
        <v>0</v>
      </c>
      <c r="BV260" s="783">
        <f t="shared" ca="1" si="234"/>
        <v>0</v>
      </c>
      <c r="BW260" s="1019">
        <f t="shared" ca="1" si="293"/>
        <v>0</v>
      </c>
      <c r="BX260" s="771" cm="1">
        <f t="array" aca="1" ref="BX260" ca="1">INDIRECT("'Definition of Typical Day'!"&amp; ADDRESS($D260+29*(BX$16-1),$E260))</f>
        <v>0</v>
      </c>
      <c r="BY260" s="771">
        <f t="shared" ca="1" si="294"/>
        <v>0</v>
      </c>
      <c r="BZ260" s="781">
        <f t="shared" ca="1" si="235"/>
        <v>0</v>
      </c>
      <c r="CA260" s="781">
        <f t="shared" ca="1" si="236"/>
        <v>0</v>
      </c>
      <c r="CB260" s="776">
        <f t="shared" ca="1" si="237"/>
        <v>0</v>
      </c>
      <c r="CC260" s="782">
        <f t="shared" si="238"/>
        <v>10</v>
      </c>
      <c r="CD260" s="782">
        <f t="shared" si="239"/>
        <v>24</v>
      </c>
      <c r="CE260" s="784" cm="1">
        <f t="array" aca="1" ref="CE260" ca="1">INDIRECT("'Definition of Typical Day'!"&amp;ADDRESS(CE$16,$E260))</f>
        <v>10</v>
      </c>
      <c r="CF260" s="232"/>
      <c r="CG260" s="232"/>
      <c r="CH260" s="776">
        <f t="shared" ca="1" si="240"/>
        <v>0</v>
      </c>
      <c r="CI260" s="806">
        <f t="shared" ca="1" si="241"/>
        <v>0</v>
      </c>
      <c r="CJ260" s="770">
        <f t="shared" ca="1" si="242"/>
        <v>0</v>
      </c>
      <c r="CK260" s="771">
        <f t="shared" ca="1" si="243"/>
        <v>0</v>
      </c>
      <c r="CL260" s="771">
        <f t="shared" ca="1" si="244"/>
        <v>0</v>
      </c>
      <c r="CM260" s="772">
        <f t="shared" ca="1" si="245"/>
        <v>0</v>
      </c>
      <c r="CN260" s="135"/>
      <c r="CO260" s="770">
        <f t="shared" ca="1" si="295"/>
        <v>1.05</v>
      </c>
      <c r="CP260" s="771">
        <f t="shared" ca="1" si="246"/>
        <v>0.02</v>
      </c>
      <c r="CQ260" s="771">
        <f t="shared" ca="1" si="247"/>
        <v>-2.5000000000000001E-2</v>
      </c>
      <c r="CR260" s="771">
        <f t="shared" ca="1" si="248"/>
        <v>0.95</v>
      </c>
      <c r="CS260" s="771">
        <f t="shared" ca="1" si="249"/>
        <v>0.03</v>
      </c>
      <c r="CT260" s="772">
        <f t="shared" ca="1" si="250"/>
        <v>0.02</v>
      </c>
      <c r="CU260" s="135"/>
      <c r="CV260" s="135"/>
      <c r="CW260" s="135"/>
      <c r="CX260" s="135"/>
      <c r="CY260" s="135"/>
      <c r="CZ260" s="135"/>
      <c r="DA260" s="135"/>
      <c r="DB260" s="135"/>
      <c r="DC260" s="135"/>
      <c r="DD260" s="135"/>
      <c r="DE260" s="135"/>
      <c r="DF260" s="135"/>
      <c r="DG260" s="135"/>
      <c r="DH260" s="135"/>
      <c r="DI260" s="135"/>
      <c r="DJ260" s="135"/>
      <c r="DK260" s="135"/>
      <c r="DL260" s="135"/>
      <c r="DX260" s="135"/>
      <c r="DY260" s="135"/>
      <c r="DZ260" s="135"/>
      <c r="EA260" s="135"/>
      <c r="EB260" s="135"/>
      <c r="EC260" s="135"/>
      <c r="ED260" s="135"/>
      <c r="EE260" s="135"/>
      <c r="EF260" s="135"/>
      <c r="EG260" s="135"/>
      <c r="EH260" s="135"/>
      <c r="EI260" s="135"/>
      <c r="EJ260" s="135"/>
      <c r="EK260" s="135"/>
      <c r="EL260" s="135"/>
      <c r="EM260" s="135"/>
      <c r="EN260" s="135"/>
      <c r="EO260" s="135"/>
      <c r="EP260" s="135"/>
      <c r="EQ260" s="135"/>
      <c r="ER260" s="135"/>
      <c r="ES260" s="135"/>
      <c r="ET260" s="135"/>
      <c r="EU260" s="135"/>
      <c r="EV260" s="135"/>
      <c r="EW260" s="135"/>
      <c r="EX260" s="135"/>
      <c r="EY260" s="135"/>
      <c r="EZ260" s="135"/>
      <c r="FA260" s="135"/>
      <c r="FB260" s="135"/>
      <c r="FC260" s="135"/>
      <c r="FD260" s="135"/>
      <c r="FE260" s="135"/>
      <c r="FF260" s="135"/>
      <c r="FG260" s="135"/>
    </row>
    <row r="261" spans="1:163" s="57" customFormat="1" ht="11.25" outlineLevel="1">
      <c r="A261" s="765">
        <f t="shared" si="296"/>
        <v>11</v>
      </c>
      <c r="B261" s="715" cm="1">
        <f t="array" aca="1" ref="B261" ca="1">INDIRECT("'Definition of Typical Day'!"&amp;ADDRESS(B$16,$E261))</f>
        <v>11</v>
      </c>
      <c r="C261" s="766">
        <f t="shared" si="297"/>
        <v>1</v>
      </c>
      <c r="D261" s="715">
        <f t="shared" si="297"/>
        <v>35</v>
      </c>
      <c r="E261" s="715">
        <f t="shared" si="225"/>
        <v>15</v>
      </c>
      <c r="F261" s="767" cm="1">
        <f t="array" aca="1" ref="F261" ca="1">INDIRECT("'Definition of Typical Day'!D"&amp;D261)</f>
        <v>1</v>
      </c>
      <c r="G261" s="767" cm="1">
        <f t="array" aca="1" ref="G261" ca="1">INDIRECT("'Definition of Typical Day'!"&amp;ADDRESS(13,E261))</f>
        <v>11</v>
      </c>
      <c r="H261" s="768" cm="1">
        <f t="array" aca="1" ref="H261" ca="1">INDIRECT("'Definition of Typical Day'!"&amp; ADDRESS($D261+28*(H$16-1),$E261))</f>
        <v>0</v>
      </c>
      <c r="I261" s="715" cm="1">
        <f t="array" aca="1" ref="I261" ca="1">INDIRECT("'Definition of Typical Day'!"&amp; ADDRESS($D261+29*(I$16-1),$E261))</f>
        <v>0</v>
      </c>
      <c r="J261" s="715">
        <f t="shared" ca="1" si="251"/>
        <v>0</v>
      </c>
      <c r="K261" s="785">
        <f t="shared" si="252"/>
        <v>28</v>
      </c>
      <c r="L261" s="786" cm="1">
        <f t="array" aca="1" ref="L261" ca="1">INDIRECT("'Definition of Typical Day'!"&amp; ADDRESS($D261+29*(L$16-1),$E261))</f>
        <v>0</v>
      </c>
      <c r="M261" s="768" cm="1">
        <f t="array" aca="1" ref="M261" ca="1">INDIRECT("'Definition of Typical Day'!"&amp; ADDRESS($D261+29*(M$16-1),$E261))</f>
        <v>0</v>
      </c>
      <c r="N261" s="715">
        <f t="shared" si="253"/>
        <v>3</v>
      </c>
      <c r="O261" s="715">
        <f t="shared" ca="1" si="254"/>
        <v>3</v>
      </c>
      <c r="P261" s="715" cm="1">
        <f t="array" aca="1" ref="P261" ca="1">INDIRECT("'Definition of Typical Day'!"&amp; ADDRESS($D261+29*(P$16-1),$E261))</f>
        <v>0</v>
      </c>
      <c r="Q261" s="787">
        <f t="shared" ca="1" si="255"/>
        <v>3</v>
      </c>
      <c r="R261" s="792">
        <f t="shared" ca="1" si="256"/>
        <v>3</v>
      </c>
      <c r="S261" s="769">
        <f t="shared" si="257"/>
        <v>3</v>
      </c>
      <c r="T261" s="769">
        <f t="shared" ca="1" si="258"/>
        <v>-0.5</v>
      </c>
      <c r="U261" s="769">
        <f t="shared" ca="1" si="259"/>
        <v>2.262</v>
      </c>
      <c r="V261" s="769">
        <f t="shared" ca="1" si="260"/>
        <v>0</v>
      </c>
      <c r="W261" s="769">
        <f t="shared" ca="1" si="261"/>
        <v>4.7620000000000005</v>
      </c>
      <c r="X261" s="794">
        <f t="shared" si="262"/>
        <v>3</v>
      </c>
      <c r="Y261" s="769">
        <f t="shared" ca="1" si="263"/>
        <v>0.54772255750516607</v>
      </c>
      <c r="Z261" s="769">
        <f t="shared" ca="1" si="264"/>
        <v>0</v>
      </c>
      <c r="AA261" s="795">
        <f t="shared" ca="1" si="265"/>
        <v>0</v>
      </c>
      <c r="AB261" s="769">
        <f t="shared" ca="1" si="266"/>
        <v>0</v>
      </c>
      <c r="AC261" s="769">
        <f t="shared" ca="1" si="267"/>
        <v>0</v>
      </c>
      <c r="AD261" s="769">
        <f t="shared" ca="1" si="268"/>
        <v>0</v>
      </c>
      <c r="AE261" s="794">
        <f t="shared" ca="1" si="269"/>
        <v>0</v>
      </c>
      <c r="AF261" s="769">
        <f t="shared" ca="1" si="270"/>
        <v>0</v>
      </c>
      <c r="AG261" s="769">
        <f t="shared" ca="1" si="271"/>
        <v>0</v>
      </c>
      <c r="AH261" s="799">
        <f t="shared" ca="1" si="272"/>
        <v>0</v>
      </c>
      <c r="AI261" s="801">
        <f t="shared" ca="1" si="273"/>
        <v>1</v>
      </c>
      <c r="AJ261" s="794">
        <f t="shared" ca="1" si="274"/>
        <v>0</v>
      </c>
      <c r="AK261" s="769">
        <f t="shared" ca="1" si="275"/>
        <v>0</v>
      </c>
      <c r="AL261" s="769">
        <f t="shared" ca="1" si="276"/>
        <v>0</v>
      </c>
      <c r="AM261" s="804">
        <f t="shared" ca="1" si="226"/>
        <v>0</v>
      </c>
      <c r="AN261" s="795">
        <f t="shared" ca="1" si="227"/>
        <v>0</v>
      </c>
      <c r="AO261" s="251"/>
      <c r="AP261" s="770">
        <f t="shared" si="277"/>
        <v>0</v>
      </c>
      <c r="AQ261" s="771">
        <f t="shared" ca="1" si="278"/>
        <v>0</v>
      </c>
      <c r="AR261" s="771">
        <f t="shared" ca="1" si="279"/>
        <v>0</v>
      </c>
      <c r="AS261" s="772">
        <f t="shared" ca="1" si="280"/>
        <v>0</v>
      </c>
      <c r="AT261" s="231"/>
      <c r="AU261" s="770">
        <f>'Main Results - IRR DC Operator'!$F$16</f>
        <v>2</v>
      </c>
      <c r="AV261" s="773">
        <f>'Main Results - IRR DC Operator'!$F$15</f>
        <v>1</v>
      </c>
      <c r="AW261" s="771">
        <f t="shared" ca="1" si="281"/>
        <v>0</v>
      </c>
      <c r="AX261" s="772">
        <f t="shared" si="282"/>
        <v>0</v>
      </c>
      <c r="AY261" s="231"/>
      <c r="AZ261" s="770" cm="1">
        <f t="array" aca="1" ref="AZ261" ca="1">INDIRECT("'Definition of Typical Day'!"&amp; ADDRESS($D261+29*(AZ$16-1),$E261))+$AZ$17</f>
        <v>11</v>
      </c>
      <c r="BA261" s="771" cm="1">
        <f t="array" aca="1" ref="BA261" ca="1">INDIRECT("'Definition of Typical Day'!"&amp; ADDRESS($D261+29*(BA$16-1),$E261))+$BA$17</f>
        <v>11</v>
      </c>
      <c r="BB261" s="772" cm="1">
        <f t="array" aca="1" ref="BB261" ca="1">INDIRECT("'Definition of Typical Day'!"&amp;ADDRESS(BB$16,$E261))</f>
        <v>0</v>
      </c>
      <c r="BC261" s="776" cm="1">
        <f t="array" aca="1" ref="BC261" ca="1">INDIRECT("'Definition of Typical Day'!"&amp; ADDRESS($D261+29*(BC$16-1),$E261))</f>
        <v>0</v>
      </c>
      <c r="BD261" s="777" cm="1">
        <f t="array" aca="1" ref="BD261" ca="1">INDIRECT("'Definition of Typical Day'!"&amp; ADDRESS($D261+29*(BD$16-1),$E261))</f>
        <v>0</v>
      </c>
      <c r="BE261" s="776">
        <f t="shared" si="283"/>
        <v>0</v>
      </c>
      <c r="BF261" s="771">
        <f t="shared" ca="1" si="284"/>
        <v>0</v>
      </c>
      <c r="BG261" s="771">
        <f t="shared" ca="1" si="285"/>
        <v>0</v>
      </c>
      <c r="BH261" s="771">
        <f t="shared" ca="1" si="286"/>
        <v>0</v>
      </c>
      <c r="BI261" s="776">
        <f t="shared" ca="1" si="287"/>
        <v>0</v>
      </c>
      <c r="BJ261" s="776">
        <f t="shared" ca="1" si="288"/>
        <v>0</v>
      </c>
      <c r="BK261" s="776">
        <f t="shared" ca="1" si="289"/>
        <v>0</v>
      </c>
      <c r="BL261" s="776">
        <f t="shared" ca="1" si="290"/>
        <v>0</v>
      </c>
      <c r="BM261" s="135"/>
      <c r="BN261" s="776">
        <f t="shared" ca="1" si="291"/>
        <v>0</v>
      </c>
      <c r="BO261" s="778">
        <f t="shared" ca="1" si="228"/>
        <v>0</v>
      </c>
      <c r="BP261" s="770">
        <f t="shared" ca="1" si="229"/>
        <v>0</v>
      </c>
      <c r="BQ261" s="771">
        <f t="shared" ca="1" si="230"/>
        <v>0</v>
      </c>
      <c r="BR261" s="771">
        <f t="shared" ca="1" si="231"/>
        <v>0</v>
      </c>
      <c r="BS261" s="776">
        <f t="shared" ca="1" si="292"/>
        <v>0</v>
      </c>
      <c r="BT261" s="776">
        <f t="shared" ca="1" si="232"/>
        <v>0</v>
      </c>
      <c r="BU261" s="783">
        <f t="shared" ca="1" si="233"/>
        <v>0</v>
      </c>
      <c r="BV261" s="783">
        <f t="shared" ca="1" si="234"/>
        <v>0</v>
      </c>
      <c r="BW261" s="1019">
        <f t="shared" ca="1" si="293"/>
        <v>0</v>
      </c>
      <c r="BX261" s="771" cm="1">
        <f t="array" aca="1" ref="BX261" ca="1">INDIRECT("'Definition of Typical Day'!"&amp; ADDRESS($D261+29*(BX$16-1),$E261))</f>
        <v>0</v>
      </c>
      <c r="BY261" s="771">
        <f t="shared" ca="1" si="294"/>
        <v>0</v>
      </c>
      <c r="BZ261" s="781">
        <f t="shared" ca="1" si="235"/>
        <v>0</v>
      </c>
      <c r="CA261" s="781">
        <f t="shared" ca="1" si="236"/>
        <v>0</v>
      </c>
      <c r="CB261" s="776">
        <f t="shared" ca="1" si="237"/>
        <v>0</v>
      </c>
      <c r="CC261" s="782">
        <f t="shared" si="238"/>
        <v>11</v>
      </c>
      <c r="CD261" s="782">
        <f t="shared" si="239"/>
        <v>1</v>
      </c>
      <c r="CE261" s="784" cm="1">
        <f t="array" aca="1" ref="CE261" ca="1">INDIRECT("'Definition of Typical Day'!"&amp;ADDRESS(CE$16,$E261))</f>
        <v>11</v>
      </c>
      <c r="CF261" s="232"/>
      <c r="CG261" s="232"/>
      <c r="CH261" s="776">
        <f t="shared" ca="1" si="240"/>
        <v>0</v>
      </c>
      <c r="CI261" s="806">
        <f t="shared" ca="1" si="241"/>
        <v>0</v>
      </c>
      <c r="CJ261" s="770">
        <f t="shared" ca="1" si="242"/>
        <v>0</v>
      </c>
      <c r="CK261" s="771">
        <f t="shared" ca="1" si="243"/>
        <v>0</v>
      </c>
      <c r="CL261" s="771">
        <f t="shared" ca="1" si="244"/>
        <v>0</v>
      </c>
      <c r="CM261" s="772">
        <f t="shared" ca="1" si="245"/>
        <v>0</v>
      </c>
      <c r="CN261" s="135"/>
      <c r="CO261" s="770">
        <f t="shared" ca="1" si="295"/>
        <v>1.05</v>
      </c>
      <c r="CP261" s="771">
        <f t="shared" ca="1" si="246"/>
        <v>0.02</v>
      </c>
      <c r="CQ261" s="771">
        <f t="shared" ca="1" si="247"/>
        <v>-2.5000000000000001E-2</v>
      </c>
      <c r="CR261" s="771">
        <f t="shared" ca="1" si="248"/>
        <v>0.95</v>
      </c>
      <c r="CS261" s="771">
        <f t="shared" ca="1" si="249"/>
        <v>0.03</v>
      </c>
      <c r="CT261" s="772">
        <f t="shared" ca="1" si="250"/>
        <v>0.02</v>
      </c>
      <c r="CU261" s="135"/>
      <c r="CV261" s="135"/>
      <c r="CW261" s="135"/>
      <c r="CX261" s="135"/>
      <c r="CY261" s="135"/>
      <c r="CZ261" s="135"/>
      <c r="DA261" s="135"/>
      <c r="DB261" s="135"/>
      <c r="DC261" s="135"/>
      <c r="DD261" s="135"/>
      <c r="DE261" s="135"/>
      <c r="DF261" s="135"/>
      <c r="DG261" s="135"/>
      <c r="DH261" s="135"/>
      <c r="DI261" s="135"/>
      <c r="DJ261" s="135"/>
      <c r="DK261" s="135"/>
      <c r="DL261" s="135"/>
      <c r="DX261" s="135"/>
      <c r="DY261" s="135"/>
      <c r="DZ261" s="135"/>
      <c r="EA261" s="135"/>
      <c r="EB261" s="135"/>
      <c r="EC261" s="135"/>
      <c r="ED261" s="135"/>
      <c r="EE261" s="135"/>
      <c r="EF261" s="135"/>
      <c r="EG261" s="135"/>
      <c r="EH261" s="135"/>
      <c r="EI261" s="135"/>
      <c r="EJ261" s="135"/>
      <c r="EK261" s="135"/>
      <c r="EL261" s="135"/>
      <c r="EM261" s="135"/>
      <c r="EN261" s="135"/>
      <c r="EO261" s="135"/>
      <c r="EP261" s="135"/>
      <c r="EQ261" s="135"/>
      <c r="ER261" s="135"/>
      <c r="ES261" s="135"/>
      <c r="ET261" s="135"/>
      <c r="EU261" s="135"/>
      <c r="EV261" s="135"/>
      <c r="EW261" s="135"/>
      <c r="EX261" s="135"/>
      <c r="EY261" s="135"/>
      <c r="EZ261" s="135"/>
      <c r="FA261" s="135"/>
      <c r="FB261" s="135"/>
      <c r="FC261" s="135"/>
      <c r="FD261" s="135"/>
      <c r="FE261" s="135"/>
      <c r="FF261" s="135"/>
      <c r="FG261" s="135"/>
    </row>
    <row r="262" spans="1:163" s="57" customFormat="1" ht="11.25" outlineLevel="1">
      <c r="A262" s="765">
        <f t="shared" si="296"/>
        <v>11</v>
      </c>
      <c r="B262" s="715" cm="1">
        <f t="array" aca="1" ref="B262" ca="1">INDIRECT("'Definition of Typical Day'!"&amp;ADDRESS(B$16,$E262))</f>
        <v>11</v>
      </c>
      <c r="C262" s="766">
        <f t="shared" si="297"/>
        <v>2</v>
      </c>
      <c r="D262" s="715">
        <f t="shared" si="297"/>
        <v>36</v>
      </c>
      <c r="E262" s="715">
        <f t="shared" si="225"/>
        <v>15</v>
      </c>
      <c r="F262" s="767" cm="1">
        <f t="array" aca="1" ref="F262" ca="1">INDIRECT("'Definition of Typical Day'!D"&amp;D262)</f>
        <v>2</v>
      </c>
      <c r="G262" s="767" cm="1">
        <f t="array" aca="1" ref="G262" ca="1">INDIRECT("'Definition of Typical Day'!"&amp;ADDRESS(13,E262))</f>
        <v>11</v>
      </c>
      <c r="H262" s="768" cm="1">
        <f t="array" aca="1" ref="H262" ca="1">INDIRECT("'Definition of Typical Day'!"&amp; ADDRESS($D262+28*(H$16-1),$E262))</f>
        <v>0</v>
      </c>
      <c r="I262" s="715" cm="1">
        <f t="array" aca="1" ref="I262" ca="1">INDIRECT("'Definition of Typical Day'!"&amp; ADDRESS($D262+29*(I$16-1),$E262))</f>
        <v>0</v>
      </c>
      <c r="J262" s="715">
        <f t="shared" ca="1" si="251"/>
        <v>0</v>
      </c>
      <c r="K262" s="785">
        <f t="shared" si="252"/>
        <v>28</v>
      </c>
      <c r="L262" s="786" cm="1">
        <f t="array" aca="1" ref="L262" ca="1">INDIRECT("'Definition of Typical Day'!"&amp; ADDRESS($D262+29*(L$16-1),$E262))</f>
        <v>0</v>
      </c>
      <c r="M262" s="768" cm="1">
        <f t="array" aca="1" ref="M262" ca="1">INDIRECT("'Definition of Typical Day'!"&amp; ADDRESS($D262+29*(M$16-1),$E262))</f>
        <v>0</v>
      </c>
      <c r="N262" s="715">
        <f t="shared" si="253"/>
        <v>3</v>
      </c>
      <c r="O262" s="715">
        <f t="shared" ca="1" si="254"/>
        <v>3</v>
      </c>
      <c r="P262" s="715" cm="1">
        <f t="array" aca="1" ref="P262" ca="1">INDIRECT("'Definition of Typical Day'!"&amp; ADDRESS($D262+29*(P$16-1),$E262))</f>
        <v>0</v>
      </c>
      <c r="Q262" s="787">
        <f t="shared" ca="1" si="255"/>
        <v>3</v>
      </c>
      <c r="R262" s="792">
        <f t="shared" ca="1" si="256"/>
        <v>3</v>
      </c>
      <c r="S262" s="769">
        <f t="shared" si="257"/>
        <v>3</v>
      </c>
      <c r="T262" s="769">
        <f t="shared" ca="1" si="258"/>
        <v>-0.5</v>
      </c>
      <c r="U262" s="769">
        <f t="shared" ca="1" si="259"/>
        <v>2.262</v>
      </c>
      <c r="V262" s="769">
        <f t="shared" ca="1" si="260"/>
        <v>0</v>
      </c>
      <c r="W262" s="769">
        <f t="shared" ca="1" si="261"/>
        <v>4.7620000000000005</v>
      </c>
      <c r="X262" s="794">
        <f t="shared" si="262"/>
        <v>3</v>
      </c>
      <c r="Y262" s="769">
        <f t="shared" ca="1" si="263"/>
        <v>0.54772255750516607</v>
      </c>
      <c r="Z262" s="769">
        <f t="shared" ca="1" si="264"/>
        <v>0</v>
      </c>
      <c r="AA262" s="795">
        <f t="shared" ca="1" si="265"/>
        <v>0</v>
      </c>
      <c r="AB262" s="769">
        <f t="shared" ca="1" si="266"/>
        <v>0</v>
      </c>
      <c r="AC262" s="769">
        <f t="shared" ca="1" si="267"/>
        <v>0</v>
      </c>
      <c r="AD262" s="769">
        <f t="shared" ca="1" si="268"/>
        <v>0</v>
      </c>
      <c r="AE262" s="794">
        <f t="shared" ca="1" si="269"/>
        <v>0</v>
      </c>
      <c r="AF262" s="769">
        <f t="shared" ca="1" si="270"/>
        <v>0</v>
      </c>
      <c r="AG262" s="769">
        <f t="shared" ca="1" si="271"/>
        <v>0</v>
      </c>
      <c r="AH262" s="799">
        <f t="shared" ca="1" si="272"/>
        <v>0</v>
      </c>
      <c r="AI262" s="801">
        <f t="shared" ca="1" si="273"/>
        <v>1</v>
      </c>
      <c r="AJ262" s="794">
        <f t="shared" ca="1" si="274"/>
        <v>0</v>
      </c>
      <c r="AK262" s="769">
        <f t="shared" ca="1" si="275"/>
        <v>0</v>
      </c>
      <c r="AL262" s="769">
        <f t="shared" ca="1" si="276"/>
        <v>0</v>
      </c>
      <c r="AM262" s="804">
        <f t="shared" ca="1" si="226"/>
        <v>0</v>
      </c>
      <c r="AN262" s="795">
        <f t="shared" ca="1" si="227"/>
        <v>0</v>
      </c>
      <c r="AO262" s="251"/>
      <c r="AP262" s="770">
        <f t="shared" si="277"/>
        <v>0</v>
      </c>
      <c r="AQ262" s="771">
        <f t="shared" ca="1" si="278"/>
        <v>0</v>
      </c>
      <c r="AR262" s="771">
        <f t="shared" ca="1" si="279"/>
        <v>0</v>
      </c>
      <c r="AS262" s="772">
        <f t="shared" ca="1" si="280"/>
        <v>0</v>
      </c>
      <c r="AT262" s="231"/>
      <c r="AU262" s="770">
        <f>'Main Results - IRR DC Operator'!$F$16</f>
        <v>2</v>
      </c>
      <c r="AV262" s="773">
        <f>'Main Results - IRR DC Operator'!$F$15</f>
        <v>1</v>
      </c>
      <c r="AW262" s="771">
        <f t="shared" ca="1" si="281"/>
        <v>0</v>
      </c>
      <c r="AX262" s="772">
        <f t="shared" si="282"/>
        <v>0</v>
      </c>
      <c r="AY262" s="231"/>
      <c r="AZ262" s="770" cm="1">
        <f t="array" aca="1" ref="AZ262" ca="1">INDIRECT("'Definition of Typical Day'!"&amp; ADDRESS($D262+29*(AZ$16-1),$E262))+$AZ$17</f>
        <v>11</v>
      </c>
      <c r="BA262" s="771" cm="1">
        <f t="array" aca="1" ref="BA262" ca="1">INDIRECT("'Definition of Typical Day'!"&amp; ADDRESS($D262+29*(BA$16-1),$E262))+$BA$17</f>
        <v>11</v>
      </c>
      <c r="BB262" s="772" cm="1">
        <f t="array" aca="1" ref="BB262" ca="1">INDIRECT("'Definition of Typical Day'!"&amp;ADDRESS(BB$16,$E262))</f>
        <v>0</v>
      </c>
      <c r="BC262" s="776" cm="1">
        <f t="array" aca="1" ref="BC262" ca="1">INDIRECT("'Definition of Typical Day'!"&amp; ADDRESS($D262+29*(BC$16-1),$E262))</f>
        <v>0</v>
      </c>
      <c r="BD262" s="777" cm="1">
        <f t="array" aca="1" ref="BD262" ca="1">INDIRECT("'Definition of Typical Day'!"&amp; ADDRESS($D262+29*(BD$16-1),$E262))</f>
        <v>0</v>
      </c>
      <c r="BE262" s="776">
        <f t="shared" si="283"/>
        <v>0</v>
      </c>
      <c r="BF262" s="771">
        <f t="shared" ca="1" si="284"/>
        <v>0</v>
      </c>
      <c r="BG262" s="771">
        <f t="shared" ca="1" si="285"/>
        <v>0</v>
      </c>
      <c r="BH262" s="771">
        <f t="shared" ca="1" si="286"/>
        <v>0</v>
      </c>
      <c r="BI262" s="776">
        <f t="shared" ca="1" si="287"/>
        <v>0</v>
      </c>
      <c r="BJ262" s="776">
        <f t="shared" ca="1" si="288"/>
        <v>0</v>
      </c>
      <c r="BK262" s="776">
        <f t="shared" ca="1" si="289"/>
        <v>0</v>
      </c>
      <c r="BL262" s="776">
        <f t="shared" ca="1" si="290"/>
        <v>0</v>
      </c>
      <c r="BM262" s="135"/>
      <c r="BN262" s="776">
        <f t="shared" ca="1" si="291"/>
        <v>0</v>
      </c>
      <c r="BO262" s="778">
        <f t="shared" ca="1" si="228"/>
        <v>0</v>
      </c>
      <c r="BP262" s="770">
        <f t="shared" ca="1" si="229"/>
        <v>0</v>
      </c>
      <c r="BQ262" s="771">
        <f t="shared" ca="1" si="230"/>
        <v>0</v>
      </c>
      <c r="BR262" s="771">
        <f t="shared" ca="1" si="231"/>
        <v>0</v>
      </c>
      <c r="BS262" s="776">
        <f t="shared" ca="1" si="292"/>
        <v>0</v>
      </c>
      <c r="BT262" s="776">
        <f t="shared" ca="1" si="232"/>
        <v>0</v>
      </c>
      <c r="BU262" s="783">
        <f t="shared" ca="1" si="233"/>
        <v>0</v>
      </c>
      <c r="BV262" s="783">
        <f t="shared" ca="1" si="234"/>
        <v>0</v>
      </c>
      <c r="BW262" s="1019">
        <f t="shared" ca="1" si="293"/>
        <v>0</v>
      </c>
      <c r="BX262" s="771" cm="1">
        <f t="array" aca="1" ref="BX262" ca="1">INDIRECT("'Definition of Typical Day'!"&amp; ADDRESS($D262+29*(BX$16-1),$E262))</f>
        <v>0</v>
      </c>
      <c r="BY262" s="771">
        <f t="shared" ca="1" si="294"/>
        <v>0</v>
      </c>
      <c r="BZ262" s="781">
        <f t="shared" ca="1" si="235"/>
        <v>0</v>
      </c>
      <c r="CA262" s="781">
        <f t="shared" ca="1" si="236"/>
        <v>0</v>
      </c>
      <c r="CB262" s="776">
        <f t="shared" ca="1" si="237"/>
        <v>0</v>
      </c>
      <c r="CC262" s="782">
        <f t="shared" si="238"/>
        <v>11</v>
      </c>
      <c r="CD262" s="782">
        <f t="shared" si="239"/>
        <v>2</v>
      </c>
      <c r="CE262" s="784" cm="1">
        <f t="array" aca="1" ref="CE262" ca="1">INDIRECT("'Definition of Typical Day'!"&amp;ADDRESS(CE$16,$E262))</f>
        <v>11</v>
      </c>
      <c r="CF262" s="232"/>
      <c r="CG262" s="232"/>
      <c r="CH262" s="776">
        <f t="shared" ca="1" si="240"/>
        <v>0</v>
      </c>
      <c r="CI262" s="806">
        <f t="shared" ca="1" si="241"/>
        <v>0</v>
      </c>
      <c r="CJ262" s="770">
        <f t="shared" ca="1" si="242"/>
        <v>0</v>
      </c>
      <c r="CK262" s="771">
        <f t="shared" ca="1" si="243"/>
        <v>0</v>
      </c>
      <c r="CL262" s="771">
        <f t="shared" ca="1" si="244"/>
        <v>0</v>
      </c>
      <c r="CM262" s="772">
        <f t="shared" ca="1" si="245"/>
        <v>0</v>
      </c>
      <c r="CN262" s="135"/>
      <c r="CO262" s="770">
        <f t="shared" ca="1" si="295"/>
        <v>1.05</v>
      </c>
      <c r="CP262" s="771">
        <f t="shared" ca="1" si="246"/>
        <v>0.02</v>
      </c>
      <c r="CQ262" s="771">
        <f t="shared" ca="1" si="247"/>
        <v>-2.5000000000000001E-2</v>
      </c>
      <c r="CR262" s="771">
        <f t="shared" ca="1" si="248"/>
        <v>0.95</v>
      </c>
      <c r="CS262" s="771">
        <f t="shared" ca="1" si="249"/>
        <v>0.03</v>
      </c>
      <c r="CT262" s="772">
        <f t="shared" ca="1" si="250"/>
        <v>0.02</v>
      </c>
      <c r="CU262" s="135"/>
      <c r="CV262" s="135"/>
      <c r="CW262" s="135"/>
      <c r="CX262" s="135"/>
      <c r="CY262" s="135"/>
      <c r="CZ262" s="135"/>
      <c r="DA262" s="135"/>
      <c r="DB262" s="135"/>
      <c r="DC262" s="135"/>
      <c r="DD262" s="135"/>
      <c r="DE262" s="135"/>
      <c r="DF262" s="135"/>
      <c r="DG262" s="135"/>
      <c r="DH262" s="135"/>
      <c r="DI262" s="135"/>
      <c r="DJ262" s="135"/>
      <c r="DK262" s="135"/>
      <c r="DL262" s="135"/>
      <c r="DX262" s="135"/>
      <c r="DY262" s="135"/>
      <c r="DZ262" s="135"/>
      <c r="EA262" s="135"/>
      <c r="EB262" s="135"/>
      <c r="EC262" s="135"/>
      <c r="ED262" s="135"/>
      <c r="EE262" s="135"/>
      <c r="EF262" s="135"/>
      <c r="EG262" s="135"/>
      <c r="EH262" s="135"/>
      <c r="EI262" s="135"/>
      <c r="EJ262" s="135"/>
      <c r="EK262" s="135"/>
      <c r="EL262" s="135"/>
      <c r="EM262" s="135"/>
      <c r="EN262" s="135"/>
      <c r="EO262" s="135"/>
      <c r="EP262" s="135"/>
      <c r="EQ262" s="135"/>
      <c r="ER262" s="135"/>
      <c r="ES262" s="135"/>
      <c r="ET262" s="135"/>
      <c r="EU262" s="135"/>
      <c r="EV262" s="135"/>
      <c r="EW262" s="135"/>
      <c r="EX262" s="135"/>
      <c r="EY262" s="135"/>
      <c r="EZ262" s="135"/>
      <c r="FA262" s="135"/>
      <c r="FB262" s="135"/>
      <c r="FC262" s="135"/>
      <c r="FD262" s="135"/>
      <c r="FE262" s="135"/>
      <c r="FF262" s="135"/>
      <c r="FG262" s="135"/>
    </row>
    <row r="263" spans="1:163" s="57" customFormat="1" ht="11.25" outlineLevel="1">
      <c r="A263" s="765">
        <f t="shared" si="296"/>
        <v>11</v>
      </c>
      <c r="B263" s="715" cm="1">
        <f t="array" aca="1" ref="B263" ca="1">INDIRECT("'Definition of Typical Day'!"&amp;ADDRESS(B$16,$E263))</f>
        <v>11</v>
      </c>
      <c r="C263" s="766">
        <f t="shared" si="297"/>
        <v>3</v>
      </c>
      <c r="D263" s="715">
        <f t="shared" si="297"/>
        <v>37</v>
      </c>
      <c r="E263" s="715">
        <f t="shared" si="225"/>
        <v>15</v>
      </c>
      <c r="F263" s="767" cm="1">
        <f t="array" aca="1" ref="F263" ca="1">INDIRECT("'Definition of Typical Day'!D"&amp;D263)</f>
        <v>3</v>
      </c>
      <c r="G263" s="767" cm="1">
        <f t="array" aca="1" ref="G263" ca="1">INDIRECT("'Definition of Typical Day'!"&amp;ADDRESS(13,E263))</f>
        <v>11</v>
      </c>
      <c r="H263" s="768" cm="1">
        <f t="array" aca="1" ref="H263" ca="1">INDIRECT("'Definition of Typical Day'!"&amp; ADDRESS($D263+28*(H$16-1),$E263))</f>
        <v>0</v>
      </c>
      <c r="I263" s="715" cm="1">
        <f t="array" aca="1" ref="I263" ca="1">INDIRECT("'Definition of Typical Day'!"&amp; ADDRESS($D263+29*(I$16-1),$E263))</f>
        <v>0</v>
      </c>
      <c r="J263" s="715">
        <f t="shared" ca="1" si="251"/>
        <v>0</v>
      </c>
      <c r="K263" s="785">
        <f t="shared" si="252"/>
        <v>28</v>
      </c>
      <c r="L263" s="786" cm="1">
        <f t="array" aca="1" ref="L263" ca="1">INDIRECT("'Definition of Typical Day'!"&amp; ADDRESS($D263+29*(L$16-1),$E263))</f>
        <v>0</v>
      </c>
      <c r="M263" s="768" cm="1">
        <f t="array" aca="1" ref="M263" ca="1">INDIRECT("'Definition of Typical Day'!"&amp; ADDRESS($D263+29*(M$16-1),$E263))</f>
        <v>0</v>
      </c>
      <c r="N263" s="715">
        <f t="shared" si="253"/>
        <v>3</v>
      </c>
      <c r="O263" s="715">
        <f t="shared" ca="1" si="254"/>
        <v>3</v>
      </c>
      <c r="P263" s="715" cm="1">
        <f t="array" aca="1" ref="P263" ca="1">INDIRECT("'Definition of Typical Day'!"&amp; ADDRESS($D263+29*(P$16-1),$E263))</f>
        <v>0</v>
      </c>
      <c r="Q263" s="787">
        <f t="shared" ca="1" si="255"/>
        <v>3</v>
      </c>
      <c r="R263" s="792">
        <f t="shared" ca="1" si="256"/>
        <v>3</v>
      </c>
      <c r="S263" s="769">
        <f t="shared" si="257"/>
        <v>3</v>
      </c>
      <c r="T263" s="769">
        <f t="shared" ca="1" si="258"/>
        <v>-0.5</v>
      </c>
      <c r="U263" s="769">
        <f t="shared" ca="1" si="259"/>
        <v>2.262</v>
      </c>
      <c r="V263" s="769">
        <f t="shared" ca="1" si="260"/>
        <v>0</v>
      </c>
      <c r="W263" s="769">
        <f t="shared" ca="1" si="261"/>
        <v>4.7620000000000005</v>
      </c>
      <c r="X263" s="794">
        <f t="shared" si="262"/>
        <v>3</v>
      </c>
      <c r="Y263" s="769">
        <f t="shared" ca="1" si="263"/>
        <v>0.54772255750516607</v>
      </c>
      <c r="Z263" s="769">
        <f t="shared" ca="1" si="264"/>
        <v>0</v>
      </c>
      <c r="AA263" s="795">
        <f t="shared" ca="1" si="265"/>
        <v>0</v>
      </c>
      <c r="AB263" s="769">
        <f t="shared" ca="1" si="266"/>
        <v>0</v>
      </c>
      <c r="AC263" s="769">
        <f t="shared" ca="1" si="267"/>
        <v>0</v>
      </c>
      <c r="AD263" s="769">
        <f t="shared" ca="1" si="268"/>
        <v>0</v>
      </c>
      <c r="AE263" s="794">
        <f t="shared" ca="1" si="269"/>
        <v>0</v>
      </c>
      <c r="AF263" s="769">
        <f t="shared" ca="1" si="270"/>
        <v>0</v>
      </c>
      <c r="AG263" s="769">
        <f t="shared" ca="1" si="271"/>
        <v>0</v>
      </c>
      <c r="AH263" s="799">
        <f t="shared" ca="1" si="272"/>
        <v>0</v>
      </c>
      <c r="AI263" s="801">
        <f t="shared" ca="1" si="273"/>
        <v>1</v>
      </c>
      <c r="AJ263" s="794">
        <f t="shared" ca="1" si="274"/>
        <v>0</v>
      </c>
      <c r="AK263" s="769">
        <f t="shared" ca="1" si="275"/>
        <v>0</v>
      </c>
      <c r="AL263" s="769">
        <f t="shared" ca="1" si="276"/>
        <v>0</v>
      </c>
      <c r="AM263" s="804">
        <f t="shared" ca="1" si="226"/>
        <v>0</v>
      </c>
      <c r="AN263" s="795">
        <f t="shared" ca="1" si="227"/>
        <v>0</v>
      </c>
      <c r="AO263" s="251"/>
      <c r="AP263" s="770">
        <f t="shared" si="277"/>
        <v>0</v>
      </c>
      <c r="AQ263" s="771">
        <f t="shared" ca="1" si="278"/>
        <v>0</v>
      </c>
      <c r="AR263" s="771">
        <f t="shared" ca="1" si="279"/>
        <v>0</v>
      </c>
      <c r="AS263" s="772">
        <f t="shared" ca="1" si="280"/>
        <v>0</v>
      </c>
      <c r="AT263" s="231"/>
      <c r="AU263" s="770">
        <f>'Main Results - IRR DC Operator'!$F$16</f>
        <v>2</v>
      </c>
      <c r="AV263" s="773">
        <f>'Main Results - IRR DC Operator'!$F$15</f>
        <v>1</v>
      </c>
      <c r="AW263" s="771">
        <f t="shared" ca="1" si="281"/>
        <v>0</v>
      </c>
      <c r="AX263" s="772">
        <f t="shared" si="282"/>
        <v>0</v>
      </c>
      <c r="AY263" s="231"/>
      <c r="AZ263" s="770" cm="1">
        <f t="array" aca="1" ref="AZ263" ca="1">INDIRECT("'Definition of Typical Day'!"&amp; ADDRESS($D263+29*(AZ$16-1),$E263))+$AZ$17</f>
        <v>11</v>
      </c>
      <c r="BA263" s="771" cm="1">
        <f t="array" aca="1" ref="BA263" ca="1">INDIRECT("'Definition of Typical Day'!"&amp; ADDRESS($D263+29*(BA$16-1),$E263))+$BA$17</f>
        <v>11</v>
      </c>
      <c r="BB263" s="772" cm="1">
        <f t="array" aca="1" ref="BB263" ca="1">INDIRECT("'Definition of Typical Day'!"&amp;ADDRESS(BB$16,$E263))</f>
        <v>0</v>
      </c>
      <c r="BC263" s="776" cm="1">
        <f t="array" aca="1" ref="BC263" ca="1">INDIRECT("'Definition of Typical Day'!"&amp; ADDRESS($D263+29*(BC$16-1),$E263))</f>
        <v>0</v>
      </c>
      <c r="BD263" s="777" cm="1">
        <f t="array" aca="1" ref="BD263" ca="1">INDIRECT("'Definition of Typical Day'!"&amp; ADDRESS($D263+29*(BD$16-1),$E263))</f>
        <v>0</v>
      </c>
      <c r="BE263" s="776">
        <f t="shared" si="283"/>
        <v>0</v>
      </c>
      <c r="BF263" s="771">
        <f t="shared" ca="1" si="284"/>
        <v>0</v>
      </c>
      <c r="BG263" s="771">
        <f t="shared" ca="1" si="285"/>
        <v>0</v>
      </c>
      <c r="BH263" s="771">
        <f t="shared" ca="1" si="286"/>
        <v>0</v>
      </c>
      <c r="BI263" s="776">
        <f t="shared" ca="1" si="287"/>
        <v>0</v>
      </c>
      <c r="BJ263" s="776">
        <f t="shared" ca="1" si="288"/>
        <v>0</v>
      </c>
      <c r="BK263" s="776">
        <f t="shared" ca="1" si="289"/>
        <v>0</v>
      </c>
      <c r="BL263" s="776">
        <f t="shared" ca="1" si="290"/>
        <v>0</v>
      </c>
      <c r="BM263" s="135"/>
      <c r="BN263" s="776">
        <f t="shared" ca="1" si="291"/>
        <v>0</v>
      </c>
      <c r="BO263" s="778">
        <f t="shared" ca="1" si="228"/>
        <v>0</v>
      </c>
      <c r="BP263" s="770">
        <f t="shared" ca="1" si="229"/>
        <v>0</v>
      </c>
      <c r="BQ263" s="771">
        <f t="shared" ca="1" si="230"/>
        <v>0</v>
      </c>
      <c r="BR263" s="771">
        <f t="shared" ca="1" si="231"/>
        <v>0</v>
      </c>
      <c r="BS263" s="776">
        <f t="shared" ca="1" si="292"/>
        <v>0</v>
      </c>
      <c r="BT263" s="776">
        <f t="shared" ca="1" si="232"/>
        <v>0</v>
      </c>
      <c r="BU263" s="783">
        <f t="shared" ca="1" si="233"/>
        <v>0</v>
      </c>
      <c r="BV263" s="783">
        <f t="shared" ca="1" si="234"/>
        <v>0</v>
      </c>
      <c r="BW263" s="1019">
        <f t="shared" ca="1" si="293"/>
        <v>0</v>
      </c>
      <c r="BX263" s="771" cm="1">
        <f t="array" aca="1" ref="BX263" ca="1">INDIRECT("'Definition of Typical Day'!"&amp; ADDRESS($D263+29*(BX$16-1),$E263))</f>
        <v>0</v>
      </c>
      <c r="BY263" s="771">
        <f t="shared" ca="1" si="294"/>
        <v>0</v>
      </c>
      <c r="BZ263" s="781">
        <f t="shared" ca="1" si="235"/>
        <v>0</v>
      </c>
      <c r="CA263" s="781">
        <f t="shared" ca="1" si="236"/>
        <v>0</v>
      </c>
      <c r="CB263" s="776">
        <f t="shared" ca="1" si="237"/>
        <v>0</v>
      </c>
      <c r="CC263" s="782">
        <f t="shared" si="238"/>
        <v>11</v>
      </c>
      <c r="CD263" s="782">
        <f t="shared" si="239"/>
        <v>3</v>
      </c>
      <c r="CE263" s="784" cm="1">
        <f t="array" aca="1" ref="CE263" ca="1">INDIRECT("'Definition of Typical Day'!"&amp;ADDRESS(CE$16,$E263))</f>
        <v>11</v>
      </c>
      <c r="CF263" s="232"/>
      <c r="CG263" s="232"/>
      <c r="CH263" s="776">
        <f t="shared" ca="1" si="240"/>
        <v>0</v>
      </c>
      <c r="CI263" s="806">
        <f t="shared" ca="1" si="241"/>
        <v>0</v>
      </c>
      <c r="CJ263" s="770">
        <f t="shared" ca="1" si="242"/>
        <v>0</v>
      </c>
      <c r="CK263" s="771">
        <f t="shared" ca="1" si="243"/>
        <v>0</v>
      </c>
      <c r="CL263" s="771">
        <f t="shared" ca="1" si="244"/>
        <v>0</v>
      </c>
      <c r="CM263" s="772">
        <f t="shared" ca="1" si="245"/>
        <v>0</v>
      </c>
      <c r="CN263" s="135"/>
      <c r="CO263" s="770">
        <f t="shared" ca="1" si="295"/>
        <v>1.05</v>
      </c>
      <c r="CP263" s="771">
        <f t="shared" ca="1" si="246"/>
        <v>0.02</v>
      </c>
      <c r="CQ263" s="771">
        <f t="shared" ca="1" si="247"/>
        <v>-2.5000000000000001E-2</v>
      </c>
      <c r="CR263" s="771">
        <f t="shared" ca="1" si="248"/>
        <v>0.95</v>
      </c>
      <c r="CS263" s="771">
        <f t="shared" ca="1" si="249"/>
        <v>0.03</v>
      </c>
      <c r="CT263" s="772">
        <f t="shared" ca="1" si="250"/>
        <v>0.02</v>
      </c>
      <c r="CU263" s="135"/>
      <c r="CV263" s="135"/>
      <c r="CW263" s="135"/>
      <c r="CX263" s="135"/>
      <c r="CY263" s="135"/>
      <c r="CZ263" s="135"/>
      <c r="DA263" s="135"/>
      <c r="DB263" s="135"/>
      <c r="DC263" s="135"/>
      <c r="DD263" s="135"/>
      <c r="DE263" s="135"/>
      <c r="DF263" s="135"/>
      <c r="DG263" s="135"/>
      <c r="DH263" s="135"/>
      <c r="DI263" s="135"/>
      <c r="DJ263" s="135"/>
      <c r="DK263" s="135"/>
      <c r="DL263" s="135"/>
      <c r="DX263" s="135"/>
      <c r="DY263" s="135"/>
      <c r="DZ263" s="135"/>
      <c r="EA263" s="135"/>
      <c r="EB263" s="135"/>
      <c r="EC263" s="135"/>
      <c r="ED263" s="135"/>
      <c r="EE263" s="135"/>
      <c r="EF263" s="135"/>
      <c r="EG263" s="135"/>
      <c r="EH263" s="135"/>
      <c r="EI263" s="135"/>
      <c r="EJ263" s="135"/>
      <c r="EK263" s="135"/>
      <c r="EL263" s="135"/>
      <c r="EM263" s="135"/>
      <c r="EN263" s="135"/>
      <c r="EO263" s="135"/>
      <c r="EP263" s="135"/>
      <c r="EQ263" s="135"/>
      <c r="ER263" s="135"/>
      <c r="ES263" s="135"/>
      <c r="ET263" s="135"/>
      <c r="EU263" s="135"/>
      <c r="EV263" s="135"/>
      <c r="EW263" s="135"/>
      <c r="EX263" s="135"/>
      <c r="EY263" s="135"/>
      <c r="EZ263" s="135"/>
      <c r="FA263" s="135"/>
      <c r="FB263" s="135"/>
      <c r="FC263" s="135"/>
      <c r="FD263" s="135"/>
      <c r="FE263" s="135"/>
      <c r="FF263" s="135"/>
      <c r="FG263" s="135"/>
    </row>
    <row r="264" spans="1:163" s="57" customFormat="1" ht="11.25" outlineLevel="1">
      <c r="A264" s="765">
        <f t="shared" si="296"/>
        <v>11</v>
      </c>
      <c r="B264" s="715" cm="1">
        <f t="array" aca="1" ref="B264" ca="1">INDIRECT("'Definition of Typical Day'!"&amp;ADDRESS(B$16,$E264))</f>
        <v>11</v>
      </c>
      <c r="C264" s="766">
        <f t="shared" si="297"/>
        <v>4</v>
      </c>
      <c r="D264" s="715">
        <f t="shared" si="297"/>
        <v>38</v>
      </c>
      <c r="E264" s="715">
        <f t="shared" si="225"/>
        <v>15</v>
      </c>
      <c r="F264" s="767" cm="1">
        <f t="array" aca="1" ref="F264" ca="1">INDIRECT("'Definition of Typical Day'!D"&amp;D264)</f>
        <v>4</v>
      </c>
      <c r="G264" s="767" cm="1">
        <f t="array" aca="1" ref="G264" ca="1">INDIRECT("'Definition of Typical Day'!"&amp;ADDRESS(13,E264))</f>
        <v>11</v>
      </c>
      <c r="H264" s="768" cm="1">
        <f t="array" aca="1" ref="H264" ca="1">INDIRECT("'Definition of Typical Day'!"&amp; ADDRESS($D264+28*(H$16-1),$E264))</f>
        <v>0</v>
      </c>
      <c r="I264" s="715" cm="1">
        <f t="array" aca="1" ref="I264" ca="1">INDIRECT("'Definition of Typical Day'!"&amp; ADDRESS($D264+29*(I$16-1),$E264))</f>
        <v>0</v>
      </c>
      <c r="J264" s="715">
        <f t="shared" ca="1" si="251"/>
        <v>0</v>
      </c>
      <c r="K264" s="785">
        <f t="shared" si="252"/>
        <v>28</v>
      </c>
      <c r="L264" s="786" cm="1">
        <f t="array" aca="1" ref="L264" ca="1">INDIRECT("'Definition of Typical Day'!"&amp; ADDRESS($D264+29*(L$16-1),$E264))</f>
        <v>0</v>
      </c>
      <c r="M264" s="768" cm="1">
        <f t="array" aca="1" ref="M264" ca="1">INDIRECT("'Definition of Typical Day'!"&amp; ADDRESS($D264+29*(M$16-1),$E264))</f>
        <v>0</v>
      </c>
      <c r="N264" s="715">
        <f t="shared" si="253"/>
        <v>3</v>
      </c>
      <c r="O264" s="715">
        <f t="shared" ca="1" si="254"/>
        <v>3</v>
      </c>
      <c r="P264" s="715" cm="1">
        <f t="array" aca="1" ref="P264" ca="1">INDIRECT("'Definition of Typical Day'!"&amp; ADDRESS($D264+29*(P$16-1),$E264))</f>
        <v>0</v>
      </c>
      <c r="Q264" s="787">
        <f t="shared" ca="1" si="255"/>
        <v>3</v>
      </c>
      <c r="R264" s="792">
        <f t="shared" ca="1" si="256"/>
        <v>3</v>
      </c>
      <c r="S264" s="769">
        <f t="shared" si="257"/>
        <v>3</v>
      </c>
      <c r="T264" s="769">
        <f t="shared" ca="1" si="258"/>
        <v>-0.5</v>
      </c>
      <c r="U264" s="769">
        <f t="shared" ca="1" si="259"/>
        <v>2.262</v>
      </c>
      <c r="V264" s="769">
        <f t="shared" ca="1" si="260"/>
        <v>0</v>
      </c>
      <c r="W264" s="769">
        <f t="shared" ca="1" si="261"/>
        <v>4.7620000000000005</v>
      </c>
      <c r="X264" s="794">
        <f t="shared" si="262"/>
        <v>3</v>
      </c>
      <c r="Y264" s="769">
        <f t="shared" ca="1" si="263"/>
        <v>0.54772255750516607</v>
      </c>
      <c r="Z264" s="769">
        <f t="shared" ca="1" si="264"/>
        <v>0</v>
      </c>
      <c r="AA264" s="795">
        <f t="shared" ca="1" si="265"/>
        <v>0</v>
      </c>
      <c r="AB264" s="769">
        <f t="shared" ca="1" si="266"/>
        <v>0</v>
      </c>
      <c r="AC264" s="769">
        <f t="shared" ca="1" si="267"/>
        <v>0</v>
      </c>
      <c r="AD264" s="769">
        <f t="shared" ca="1" si="268"/>
        <v>0</v>
      </c>
      <c r="AE264" s="794">
        <f t="shared" ca="1" si="269"/>
        <v>0</v>
      </c>
      <c r="AF264" s="769">
        <f t="shared" ca="1" si="270"/>
        <v>0</v>
      </c>
      <c r="AG264" s="769">
        <f t="shared" ca="1" si="271"/>
        <v>0</v>
      </c>
      <c r="AH264" s="799">
        <f t="shared" ca="1" si="272"/>
        <v>0</v>
      </c>
      <c r="AI264" s="801">
        <f t="shared" ca="1" si="273"/>
        <v>1</v>
      </c>
      <c r="AJ264" s="794">
        <f t="shared" ca="1" si="274"/>
        <v>0</v>
      </c>
      <c r="AK264" s="769">
        <f t="shared" ca="1" si="275"/>
        <v>0</v>
      </c>
      <c r="AL264" s="769">
        <f t="shared" ca="1" si="276"/>
        <v>0</v>
      </c>
      <c r="AM264" s="804">
        <f t="shared" ca="1" si="226"/>
        <v>0</v>
      </c>
      <c r="AN264" s="795">
        <f t="shared" ca="1" si="227"/>
        <v>0</v>
      </c>
      <c r="AO264" s="251"/>
      <c r="AP264" s="770">
        <f t="shared" si="277"/>
        <v>0</v>
      </c>
      <c r="AQ264" s="771">
        <f t="shared" ca="1" si="278"/>
        <v>0</v>
      </c>
      <c r="AR264" s="771">
        <f t="shared" ca="1" si="279"/>
        <v>0</v>
      </c>
      <c r="AS264" s="772">
        <f t="shared" ca="1" si="280"/>
        <v>0</v>
      </c>
      <c r="AT264" s="231"/>
      <c r="AU264" s="770">
        <f>'Main Results - IRR DC Operator'!$F$16</f>
        <v>2</v>
      </c>
      <c r="AV264" s="773">
        <f>'Main Results - IRR DC Operator'!$F$15</f>
        <v>1</v>
      </c>
      <c r="AW264" s="771">
        <f t="shared" ca="1" si="281"/>
        <v>0</v>
      </c>
      <c r="AX264" s="772">
        <f t="shared" si="282"/>
        <v>0</v>
      </c>
      <c r="AY264" s="231"/>
      <c r="AZ264" s="770" cm="1">
        <f t="array" aca="1" ref="AZ264" ca="1">INDIRECT("'Definition of Typical Day'!"&amp; ADDRESS($D264+29*(AZ$16-1),$E264))+$AZ$17</f>
        <v>11</v>
      </c>
      <c r="BA264" s="771" cm="1">
        <f t="array" aca="1" ref="BA264" ca="1">INDIRECT("'Definition of Typical Day'!"&amp; ADDRESS($D264+29*(BA$16-1),$E264))+$BA$17</f>
        <v>11</v>
      </c>
      <c r="BB264" s="772" cm="1">
        <f t="array" aca="1" ref="BB264" ca="1">INDIRECT("'Definition of Typical Day'!"&amp;ADDRESS(BB$16,$E264))</f>
        <v>0</v>
      </c>
      <c r="BC264" s="776" cm="1">
        <f t="array" aca="1" ref="BC264" ca="1">INDIRECT("'Definition of Typical Day'!"&amp; ADDRESS($D264+29*(BC$16-1),$E264))</f>
        <v>0</v>
      </c>
      <c r="BD264" s="777" cm="1">
        <f t="array" aca="1" ref="BD264" ca="1">INDIRECT("'Definition of Typical Day'!"&amp; ADDRESS($D264+29*(BD$16-1),$E264))</f>
        <v>0</v>
      </c>
      <c r="BE264" s="776">
        <f t="shared" si="283"/>
        <v>0</v>
      </c>
      <c r="BF264" s="771">
        <f t="shared" ca="1" si="284"/>
        <v>0</v>
      </c>
      <c r="BG264" s="771">
        <f t="shared" ca="1" si="285"/>
        <v>0</v>
      </c>
      <c r="BH264" s="771">
        <f t="shared" ca="1" si="286"/>
        <v>0</v>
      </c>
      <c r="BI264" s="776">
        <f t="shared" ca="1" si="287"/>
        <v>0</v>
      </c>
      <c r="BJ264" s="776">
        <f t="shared" ca="1" si="288"/>
        <v>0</v>
      </c>
      <c r="BK264" s="776">
        <f t="shared" ca="1" si="289"/>
        <v>0</v>
      </c>
      <c r="BL264" s="776">
        <f t="shared" ca="1" si="290"/>
        <v>0</v>
      </c>
      <c r="BM264" s="135"/>
      <c r="BN264" s="776">
        <f t="shared" ca="1" si="291"/>
        <v>0</v>
      </c>
      <c r="BO264" s="778">
        <f t="shared" ca="1" si="228"/>
        <v>0</v>
      </c>
      <c r="BP264" s="770">
        <f t="shared" ca="1" si="229"/>
        <v>0</v>
      </c>
      <c r="BQ264" s="771">
        <f t="shared" ca="1" si="230"/>
        <v>0</v>
      </c>
      <c r="BR264" s="771">
        <f t="shared" ca="1" si="231"/>
        <v>0</v>
      </c>
      <c r="BS264" s="776">
        <f t="shared" ca="1" si="292"/>
        <v>0</v>
      </c>
      <c r="BT264" s="776">
        <f t="shared" ca="1" si="232"/>
        <v>0</v>
      </c>
      <c r="BU264" s="783">
        <f t="shared" ca="1" si="233"/>
        <v>0</v>
      </c>
      <c r="BV264" s="783">
        <f t="shared" ca="1" si="234"/>
        <v>0</v>
      </c>
      <c r="BW264" s="1019">
        <f t="shared" ca="1" si="293"/>
        <v>0</v>
      </c>
      <c r="BX264" s="771" cm="1">
        <f t="array" aca="1" ref="BX264" ca="1">INDIRECT("'Definition of Typical Day'!"&amp; ADDRESS($D264+29*(BX$16-1),$E264))</f>
        <v>0</v>
      </c>
      <c r="BY264" s="771">
        <f t="shared" ca="1" si="294"/>
        <v>0</v>
      </c>
      <c r="BZ264" s="781">
        <f t="shared" ca="1" si="235"/>
        <v>0</v>
      </c>
      <c r="CA264" s="781">
        <f t="shared" ca="1" si="236"/>
        <v>0</v>
      </c>
      <c r="CB264" s="776">
        <f t="shared" ca="1" si="237"/>
        <v>0</v>
      </c>
      <c r="CC264" s="782">
        <f t="shared" si="238"/>
        <v>11</v>
      </c>
      <c r="CD264" s="782">
        <f t="shared" si="239"/>
        <v>4</v>
      </c>
      <c r="CE264" s="784" cm="1">
        <f t="array" aca="1" ref="CE264" ca="1">INDIRECT("'Definition of Typical Day'!"&amp;ADDRESS(CE$16,$E264))</f>
        <v>11</v>
      </c>
      <c r="CF264" s="232"/>
      <c r="CG264" s="232"/>
      <c r="CH264" s="776">
        <f t="shared" ca="1" si="240"/>
        <v>0</v>
      </c>
      <c r="CI264" s="806">
        <f t="shared" ca="1" si="241"/>
        <v>0</v>
      </c>
      <c r="CJ264" s="770">
        <f t="shared" ca="1" si="242"/>
        <v>0</v>
      </c>
      <c r="CK264" s="771">
        <f t="shared" ca="1" si="243"/>
        <v>0</v>
      </c>
      <c r="CL264" s="771">
        <f t="shared" ca="1" si="244"/>
        <v>0</v>
      </c>
      <c r="CM264" s="772">
        <f t="shared" ca="1" si="245"/>
        <v>0</v>
      </c>
      <c r="CN264" s="135"/>
      <c r="CO264" s="770">
        <f t="shared" ca="1" si="295"/>
        <v>1.05</v>
      </c>
      <c r="CP264" s="771">
        <f t="shared" ca="1" si="246"/>
        <v>0.02</v>
      </c>
      <c r="CQ264" s="771">
        <f t="shared" ca="1" si="247"/>
        <v>-2.5000000000000001E-2</v>
      </c>
      <c r="CR264" s="771">
        <f t="shared" ca="1" si="248"/>
        <v>0.95</v>
      </c>
      <c r="CS264" s="771">
        <f t="shared" ca="1" si="249"/>
        <v>0.03</v>
      </c>
      <c r="CT264" s="772">
        <f t="shared" ca="1" si="250"/>
        <v>0.02</v>
      </c>
      <c r="CU264" s="135"/>
      <c r="CV264" s="135"/>
      <c r="CW264" s="135"/>
      <c r="CX264" s="135"/>
      <c r="CY264" s="135"/>
      <c r="CZ264" s="135"/>
      <c r="DA264" s="135"/>
      <c r="DB264" s="135"/>
      <c r="DC264" s="135"/>
      <c r="DD264" s="135"/>
      <c r="DE264" s="135"/>
      <c r="DF264" s="135"/>
      <c r="DG264" s="135"/>
      <c r="DH264" s="135"/>
      <c r="DI264" s="135"/>
      <c r="DJ264" s="135"/>
      <c r="DK264" s="135"/>
      <c r="DL264" s="135"/>
      <c r="DX264" s="135"/>
      <c r="DY264" s="135"/>
      <c r="DZ264" s="135"/>
      <c r="EA264" s="135"/>
      <c r="EB264" s="135"/>
      <c r="EC264" s="135"/>
      <c r="ED264" s="135"/>
      <c r="EE264" s="135"/>
      <c r="EF264" s="135"/>
      <c r="EG264" s="135"/>
      <c r="EH264" s="135"/>
      <c r="EI264" s="135"/>
      <c r="EJ264" s="135"/>
      <c r="EK264" s="135"/>
      <c r="EL264" s="135"/>
      <c r="EM264" s="135"/>
      <c r="EN264" s="135"/>
      <c r="EO264" s="135"/>
      <c r="EP264" s="135"/>
      <c r="EQ264" s="135"/>
      <c r="ER264" s="135"/>
      <c r="ES264" s="135"/>
      <c r="ET264" s="135"/>
      <c r="EU264" s="135"/>
      <c r="EV264" s="135"/>
      <c r="EW264" s="135"/>
      <c r="EX264" s="135"/>
      <c r="EY264" s="135"/>
      <c r="EZ264" s="135"/>
      <c r="FA264" s="135"/>
      <c r="FB264" s="135"/>
      <c r="FC264" s="135"/>
      <c r="FD264" s="135"/>
      <c r="FE264" s="135"/>
      <c r="FF264" s="135"/>
      <c r="FG264" s="135"/>
    </row>
    <row r="265" spans="1:163" s="57" customFormat="1" ht="11.25" outlineLevel="1">
      <c r="A265" s="765">
        <f t="shared" si="296"/>
        <v>11</v>
      </c>
      <c r="B265" s="715" cm="1">
        <f t="array" aca="1" ref="B265" ca="1">INDIRECT("'Definition of Typical Day'!"&amp;ADDRESS(B$16,$E265))</f>
        <v>11</v>
      </c>
      <c r="C265" s="766">
        <f t="shared" si="297"/>
        <v>5</v>
      </c>
      <c r="D265" s="715">
        <f t="shared" si="297"/>
        <v>39</v>
      </c>
      <c r="E265" s="715">
        <f t="shared" si="225"/>
        <v>15</v>
      </c>
      <c r="F265" s="767" cm="1">
        <f t="array" aca="1" ref="F265" ca="1">INDIRECT("'Definition of Typical Day'!D"&amp;D265)</f>
        <v>5</v>
      </c>
      <c r="G265" s="767" cm="1">
        <f t="array" aca="1" ref="G265" ca="1">INDIRECT("'Definition of Typical Day'!"&amp;ADDRESS(13,E265))</f>
        <v>11</v>
      </c>
      <c r="H265" s="768" cm="1">
        <f t="array" aca="1" ref="H265" ca="1">INDIRECT("'Definition of Typical Day'!"&amp; ADDRESS($D265+28*(H$16-1),$E265))</f>
        <v>0</v>
      </c>
      <c r="I265" s="715" cm="1">
        <f t="array" aca="1" ref="I265" ca="1">INDIRECT("'Definition of Typical Day'!"&amp; ADDRESS($D265+29*(I$16-1),$E265))</f>
        <v>0</v>
      </c>
      <c r="J265" s="715">
        <f t="shared" ca="1" si="251"/>
        <v>0</v>
      </c>
      <c r="K265" s="785">
        <f t="shared" si="252"/>
        <v>28</v>
      </c>
      <c r="L265" s="786" cm="1">
        <f t="array" aca="1" ref="L265" ca="1">INDIRECT("'Definition of Typical Day'!"&amp; ADDRESS($D265+29*(L$16-1),$E265))</f>
        <v>0</v>
      </c>
      <c r="M265" s="768" cm="1">
        <f t="array" aca="1" ref="M265" ca="1">INDIRECT("'Definition of Typical Day'!"&amp; ADDRESS($D265+29*(M$16-1),$E265))</f>
        <v>0</v>
      </c>
      <c r="N265" s="715">
        <f t="shared" si="253"/>
        <v>3</v>
      </c>
      <c r="O265" s="715">
        <f t="shared" ca="1" si="254"/>
        <v>3</v>
      </c>
      <c r="P265" s="715" cm="1">
        <f t="array" aca="1" ref="P265" ca="1">INDIRECT("'Definition of Typical Day'!"&amp; ADDRESS($D265+29*(P$16-1),$E265))</f>
        <v>0</v>
      </c>
      <c r="Q265" s="787">
        <f t="shared" ca="1" si="255"/>
        <v>3</v>
      </c>
      <c r="R265" s="792">
        <f t="shared" ca="1" si="256"/>
        <v>3</v>
      </c>
      <c r="S265" s="769">
        <f t="shared" si="257"/>
        <v>3</v>
      </c>
      <c r="T265" s="769">
        <f t="shared" ca="1" si="258"/>
        <v>-0.5</v>
      </c>
      <c r="U265" s="769">
        <f t="shared" ca="1" si="259"/>
        <v>2.262</v>
      </c>
      <c r="V265" s="769">
        <f t="shared" ca="1" si="260"/>
        <v>0</v>
      </c>
      <c r="W265" s="769">
        <f t="shared" ca="1" si="261"/>
        <v>4.7620000000000005</v>
      </c>
      <c r="X265" s="794">
        <f t="shared" si="262"/>
        <v>3</v>
      </c>
      <c r="Y265" s="769">
        <f t="shared" ca="1" si="263"/>
        <v>0.54772255750516607</v>
      </c>
      <c r="Z265" s="769">
        <f t="shared" ca="1" si="264"/>
        <v>0</v>
      </c>
      <c r="AA265" s="795">
        <f t="shared" ca="1" si="265"/>
        <v>0</v>
      </c>
      <c r="AB265" s="769">
        <f t="shared" ca="1" si="266"/>
        <v>0</v>
      </c>
      <c r="AC265" s="769">
        <f t="shared" ca="1" si="267"/>
        <v>0</v>
      </c>
      <c r="AD265" s="769">
        <f t="shared" ca="1" si="268"/>
        <v>0</v>
      </c>
      <c r="AE265" s="794">
        <f t="shared" ca="1" si="269"/>
        <v>0</v>
      </c>
      <c r="AF265" s="769">
        <f t="shared" ca="1" si="270"/>
        <v>0</v>
      </c>
      <c r="AG265" s="769">
        <f t="shared" ca="1" si="271"/>
        <v>0</v>
      </c>
      <c r="AH265" s="799">
        <f t="shared" ca="1" si="272"/>
        <v>0</v>
      </c>
      <c r="AI265" s="801">
        <f t="shared" ca="1" si="273"/>
        <v>1</v>
      </c>
      <c r="AJ265" s="794">
        <f t="shared" ca="1" si="274"/>
        <v>0</v>
      </c>
      <c r="AK265" s="769">
        <f t="shared" ca="1" si="275"/>
        <v>0</v>
      </c>
      <c r="AL265" s="769">
        <f t="shared" ca="1" si="276"/>
        <v>0</v>
      </c>
      <c r="AM265" s="804">
        <f t="shared" ca="1" si="226"/>
        <v>0</v>
      </c>
      <c r="AN265" s="795">
        <f t="shared" ca="1" si="227"/>
        <v>0</v>
      </c>
      <c r="AO265" s="251"/>
      <c r="AP265" s="770">
        <f t="shared" si="277"/>
        <v>0</v>
      </c>
      <c r="AQ265" s="771">
        <f t="shared" ca="1" si="278"/>
        <v>0</v>
      </c>
      <c r="AR265" s="771">
        <f t="shared" ca="1" si="279"/>
        <v>0</v>
      </c>
      <c r="AS265" s="772">
        <f t="shared" ca="1" si="280"/>
        <v>0</v>
      </c>
      <c r="AT265" s="231"/>
      <c r="AU265" s="770">
        <f>'Main Results - IRR DC Operator'!$F$16</f>
        <v>2</v>
      </c>
      <c r="AV265" s="773">
        <f>'Main Results - IRR DC Operator'!$F$15</f>
        <v>1</v>
      </c>
      <c r="AW265" s="771">
        <f t="shared" ca="1" si="281"/>
        <v>0</v>
      </c>
      <c r="AX265" s="772">
        <f t="shared" si="282"/>
        <v>0</v>
      </c>
      <c r="AY265" s="231"/>
      <c r="AZ265" s="770" cm="1">
        <f t="array" aca="1" ref="AZ265" ca="1">INDIRECT("'Definition of Typical Day'!"&amp; ADDRESS($D265+29*(AZ$16-1),$E265))+$AZ$17</f>
        <v>11</v>
      </c>
      <c r="BA265" s="771" cm="1">
        <f t="array" aca="1" ref="BA265" ca="1">INDIRECT("'Definition of Typical Day'!"&amp; ADDRESS($D265+29*(BA$16-1),$E265))+$BA$17</f>
        <v>11</v>
      </c>
      <c r="BB265" s="772" cm="1">
        <f t="array" aca="1" ref="BB265" ca="1">INDIRECT("'Definition of Typical Day'!"&amp;ADDRESS(BB$16,$E265))</f>
        <v>0</v>
      </c>
      <c r="BC265" s="776" cm="1">
        <f t="array" aca="1" ref="BC265" ca="1">INDIRECT("'Definition of Typical Day'!"&amp; ADDRESS($D265+29*(BC$16-1),$E265))</f>
        <v>0</v>
      </c>
      <c r="BD265" s="777" cm="1">
        <f t="array" aca="1" ref="BD265" ca="1">INDIRECT("'Definition of Typical Day'!"&amp; ADDRESS($D265+29*(BD$16-1),$E265))</f>
        <v>0</v>
      </c>
      <c r="BE265" s="776">
        <f t="shared" si="283"/>
        <v>0</v>
      </c>
      <c r="BF265" s="771">
        <f t="shared" ca="1" si="284"/>
        <v>0</v>
      </c>
      <c r="BG265" s="771">
        <f t="shared" ca="1" si="285"/>
        <v>0</v>
      </c>
      <c r="BH265" s="771">
        <f t="shared" ca="1" si="286"/>
        <v>0</v>
      </c>
      <c r="BI265" s="776">
        <f t="shared" ca="1" si="287"/>
        <v>0</v>
      </c>
      <c r="BJ265" s="776">
        <f t="shared" ca="1" si="288"/>
        <v>0</v>
      </c>
      <c r="BK265" s="776">
        <f t="shared" ca="1" si="289"/>
        <v>0</v>
      </c>
      <c r="BL265" s="776">
        <f t="shared" ca="1" si="290"/>
        <v>0</v>
      </c>
      <c r="BM265" s="135"/>
      <c r="BN265" s="776">
        <f t="shared" ca="1" si="291"/>
        <v>0</v>
      </c>
      <c r="BO265" s="778">
        <f t="shared" ca="1" si="228"/>
        <v>0</v>
      </c>
      <c r="BP265" s="770">
        <f t="shared" ca="1" si="229"/>
        <v>0</v>
      </c>
      <c r="BQ265" s="771">
        <f t="shared" ca="1" si="230"/>
        <v>0</v>
      </c>
      <c r="BR265" s="771">
        <f t="shared" ca="1" si="231"/>
        <v>0</v>
      </c>
      <c r="BS265" s="776">
        <f t="shared" ca="1" si="292"/>
        <v>0</v>
      </c>
      <c r="BT265" s="776">
        <f t="shared" ca="1" si="232"/>
        <v>0</v>
      </c>
      <c r="BU265" s="783">
        <f t="shared" ca="1" si="233"/>
        <v>0</v>
      </c>
      <c r="BV265" s="783">
        <f t="shared" ca="1" si="234"/>
        <v>0</v>
      </c>
      <c r="BW265" s="1019">
        <f t="shared" ca="1" si="293"/>
        <v>0</v>
      </c>
      <c r="BX265" s="771" cm="1">
        <f t="array" aca="1" ref="BX265" ca="1">INDIRECT("'Definition of Typical Day'!"&amp; ADDRESS($D265+29*(BX$16-1),$E265))</f>
        <v>0</v>
      </c>
      <c r="BY265" s="771">
        <f t="shared" ca="1" si="294"/>
        <v>0</v>
      </c>
      <c r="BZ265" s="781">
        <f t="shared" ca="1" si="235"/>
        <v>0</v>
      </c>
      <c r="CA265" s="781">
        <f t="shared" ca="1" si="236"/>
        <v>0</v>
      </c>
      <c r="CB265" s="776">
        <f t="shared" ca="1" si="237"/>
        <v>0</v>
      </c>
      <c r="CC265" s="782">
        <f t="shared" si="238"/>
        <v>11</v>
      </c>
      <c r="CD265" s="782">
        <f t="shared" si="239"/>
        <v>5</v>
      </c>
      <c r="CE265" s="784" cm="1">
        <f t="array" aca="1" ref="CE265" ca="1">INDIRECT("'Definition of Typical Day'!"&amp;ADDRESS(CE$16,$E265))</f>
        <v>11</v>
      </c>
      <c r="CF265" s="232"/>
      <c r="CG265" s="232"/>
      <c r="CH265" s="776">
        <f t="shared" ca="1" si="240"/>
        <v>0</v>
      </c>
      <c r="CI265" s="806">
        <f t="shared" ca="1" si="241"/>
        <v>0</v>
      </c>
      <c r="CJ265" s="770">
        <f t="shared" ca="1" si="242"/>
        <v>0</v>
      </c>
      <c r="CK265" s="771">
        <f t="shared" ca="1" si="243"/>
        <v>0</v>
      </c>
      <c r="CL265" s="771">
        <f t="shared" ca="1" si="244"/>
        <v>0</v>
      </c>
      <c r="CM265" s="772">
        <f t="shared" ca="1" si="245"/>
        <v>0</v>
      </c>
      <c r="CN265" s="135"/>
      <c r="CO265" s="770">
        <f t="shared" ca="1" si="295"/>
        <v>1.05</v>
      </c>
      <c r="CP265" s="771">
        <f t="shared" ca="1" si="246"/>
        <v>0.02</v>
      </c>
      <c r="CQ265" s="771">
        <f t="shared" ca="1" si="247"/>
        <v>-2.5000000000000001E-2</v>
      </c>
      <c r="CR265" s="771">
        <f t="shared" ca="1" si="248"/>
        <v>0.95</v>
      </c>
      <c r="CS265" s="771">
        <f t="shared" ca="1" si="249"/>
        <v>0.03</v>
      </c>
      <c r="CT265" s="772">
        <f t="shared" ca="1" si="250"/>
        <v>0.02</v>
      </c>
      <c r="CU265" s="135"/>
      <c r="CV265" s="135"/>
      <c r="CW265" s="135"/>
      <c r="CX265" s="135"/>
      <c r="CY265" s="135"/>
      <c r="CZ265" s="135"/>
      <c r="DA265" s="135"/>
      <c r="DB265" s="135"/>
      <c r="DC265" s="135"/>
      <c r="DD265" s="135"/>
      <c r="DE265" s="135"/>
      <c r="DF265" s="135"/>
      <c r="DG265" s="135"/>
      <c r="DH265" s="135"/>
      <c r="DI265" s="135"/>
      <c r="DJ265" s="135"/>
      <c r="DK265" s="135"/>
      <c r="DL265" s="135"/>
      <c r="DX265" s="135"/>
      <c r="DY265" s="135"/>
      <c r="DZ265" s="135"/>
      <c r="EA265" s="135"/>
      <c r="EB265" s="135"/>
      <c r="EC265" s="135"/>
      <c r="ED265" s="135"/>
      <c r="EE265" s="135"/>
      <c r="EF265" s="135"/>
      <c r="EG265" s="135"/>
      <c r="EH265" s="135"/>
      <c r="EI265" s="135"/>
      <c r="EJ265" s="135"/>
      <c r="EK265" s="135"/>
      <c r="EL265" s="135"/>
      <c r="EM265" s="135"/>
      <c r="EN265" s="135"/>
      <c r="EO265" s="135"/>
      <c r="EP265" s="135"/>
      <c r="EQ265" s="135"/>
      <c r="ER265" s="135"/>
      <c r="ES265" s="135"/>
      <c r="ET265" s="135"/>
      <c r="EU265" s="135"/>
      <c r="EV265" s="135"/>
      <c r="EW265" s="135"/>
      <c r="EX265" s="135"/>
      <c r="EY265" s="135"/>
      <c r="EZ265" s="135"/>
      <c r="FA265" s="135"/>
      <c r="FB265" s="135"/>
      <c r="FC265" s="135"/>
      <c r="FD265" s="135"/>
      <c r="FE265" s="135"/>
      <c r="FF265" s="135"/>
      <c r="FG265" s="135"/>
    </row>
    <row r="266" spans="1:163" s="57" customFormat="1" ht="11.25" outlineLevel="1">
      <c r="A266" s="765">
        <f t="shared" si="296"/>
        <v>11</v>
      </c>
      <c r="B266" s="715" cm="1">
        <f t="array" aca="1" ref="B266" ca="1">INDIRECT("'Definition of Typical Day'!"&amp;ADDRESS(B$16,$E266))</f>
        <v>11</v>
      </c>
      <c r="C266" s="766">
        <f t="shared" si="297"/>
        <v>6</v>
      </c>
      <c r="D266" s="715">
        <f t="shared" si="297"/>
        <v>40</v>
      </c>
      <c r="E266" s="715">
        <f t="shared" si="225"/>
        <v>15</v>
      </c>
      <c r="F266" s="767" cm="1">
        <f t="array" aca="1" ref="F266" ca="1">INDIRECT("'Definition of Typical Day'!D"&amp;D266)</f>
        <v>6</v>
      </c>
      <c r="G266" s="767" cm="1">
        <f t="array" aca="1" ref="G266" ca="1">INDIRECT("'Definition of Typical Day'!"&amp;ADDRESS(13,E266))</f>
        <v>11</v>
      </c>
      <c r="H266" s="768" cm="1">
        <f t="array" aca="1" ref="H266" ca="1">INDIRECT("'Definition of Typical Day'!"&amp; ADDRESS($D266+28*(H$16-1),$E266))</f>
        <v>0</v>
      </c>
      <c r="I266" s="715" cm="1">
        <f t="array" aca="1" ref="I266" ca="1">INDIRECT("'Definition of Typical Day'!"&amp; ADDRESS($D266+29*(I$16-1),$E266))</f>
        <v>0</v>
      </c>
      <c r="J266" s="715">
        <f t="shared" ca="1" si="251"/>
        <v>0</v>
      </c>
      <c r="K266" s="785">
        <f t="shared" si="252"/>
        <v>28</v>
      </c>
      <c r="L266" s="786" cm="1">
        <f t="array" aca="1" ref="L266" ca="1">INDIRECT("'Definition of Typical Day'!"&amp; ADDRESS($D266+29*(L$16-1),$E266))</f>
        <v>0</v>
      </c>
      <c r="M266" s="768" cm="1">
        <f t="array" aca="1" ref="M266" ca="1">INDIRECT("'Definition of Typical Day'!"&amp; ADDRESS($D266+29*(M$16-1),$E266))</f>
        <v>0</v>
      </c>
      <c r="N266" s="715">
        <f t="shared" si="253"/>
        <v>3</v>
      </c>
      <c r="O266" s="715">
        <f t="shared" ca="1" si="254"/>
        <v>3</v>
      </c>
      <c r="P266" s="715" cm="1">
        <f t="array" aca="1" ref="P266" ca="1">INDIRECT("'Definition of Typical Day'!"&amp; ADDRESS($D266+29*(P$16-1),$E266))</f>
        <v>0</v>
      </c>
      <c r="Q266" s="787">
        <f t="shared" ca="1" si="255"/>
        <v>3</v>
      </c>
      <c r="R266" s="792">
        <f t="shared" ca="1" si="256"/>
        <v>3</v>
      </c>
      <c r="S266" s="769">
        <f t="shared" si="257"/>
        <v>3</v>
      </c>
      <c r="T266" s="769">
        <f t="shared" ca="1" si="258"/>
        <v>-0.5</v>
      </c>
      <c r="U266" s="769">
        <f t="shared" ca="1" si="259"/>
        <v>2.262</v>
      </c>
      <c r="V266" s="769">
        <f t="shared" ca="1" si="260"/>
        <v>0</v>
      </c>
      <c r="W266" s="769">
        <f t="shared" ca="1" si="261"/>
        <v>4.7620000000000005</v>
      </c>
      <c r="X266" s="794">
        <f t="shared" si="262"/>
        <v>3</v>
      </c>
      <c r="Y266" s="769">
        <f t="shared" ca="1" si="263"/>
        <v>0.54772255750516607</v>
      </c>
      <c r="Z266" s="769">
        <f t="shared" ca="1" si="264"/>
        <v>0</v>
      </c>
      <c r="AA266" s="795">
        <f t="shared" ca="1" si="265"/>
        <v>0</v>
      </c>
      <c r="AB266" s="769">
        <f t="shared" ca="1" si="266"/>
        <v>0</v>
      </c>
      <c r="AC266" s="769">
        <f t="shared" ca="1" si="267"/>
        <v>0</v>
      </c>
      <c r="AD266" s="769">
        <f t="shared" ca="1" si="268"/>
        <v>0</v>
      </c>
      <c r="AE266" s="794">
        <f t="shared" ca="1" si="269"/>
        <v>0</v>
      </c>
      <c r="AF266" s="769">
        <f t="shared" ca="1" si="270"/>
        <v>0</v>
      </c>
      <c r="AG266" s="769">
        <f t="shared" ca="1" si="271"/>
        <v>0</v>
      </c>
      <c r="AH266" s="799">
        <f t="shared" ca="1" si="272"/>
        <v>0</v>
      </c>
      <c r="AI266" s="801">
        <f t="shared" ca="1" si="273"/>
        <v>1</v>
      </c>
      <c r="AJ266" s="794">
        <f t="shared" ca="1" si="274"/>
        <v>0</v>
      </c>
      <c r="AK266" s="769">
        <f t="shared" ca="1" si="275"/>
        <v>0</v>
      </c>
      <c r="AL266" s="769">
        <f t="shared" ca="1" si="276"/>
        <v>0</v>
      </c>
      <c r="AM266" s="804">
        <f t="shared" ca="1" si="226"/>
        <v>0</v>
      </c>
      <c r="AN266" s="795">
        <f t="shared" ca="1" si="227"/>
        <v>0</v>
      </c>
      <c r="AO266" s="251"/>
      <c r="AP266" s="770">
        <f t="shared" si="277"/>
        <v>0</v>
      </c>
      <c r="AQ266" s="771">
        <f t="shared" ca="1" si="278"/>
        <v>0</v>
      </c>
      <c r="AR266" s="771">
        <f t="shared" ca="1" si="279"/>
        <v>0</v>
      </c>
      <c r="AS266" s="772">
        <f t="shared" ca="1" si="280"/>
        <v>0</v>
      </c>
      <c r="AT266" s="231"/>
      <c r="AU266" s="770">
        <f>'Main Results - IRR DC Operator'!$F$16</f>
        <v>2</v>
      </c>
      <c r="AV266" s="773">
        <f>'Main Results - IRR DC Operator'!$F$15</f>
        <v>1</v>
      </c>
      <c r="AW266" s="771">
        <f t="shared" ca="1" si="281"/>
        <v>0</v>
      </c>
      <c r="AX266" s="772">
        <f t="shared" si="282"/>
        <v>0</v>
      </c>
      <c r="AY266" s="231"/>
      <c r="AZ266" s="770" cm="1">
        <f t="array" aca="1" ref="AZ266" ca="1">INDIRECT("'Definition of Typical Day'!"&amp; ADDRESS($D266+29*(AZ$16-1),$E266))+$AZ$17</f>
        <v>11</v>
      </c>
      <c r="BA266" s="771" cm="1">
        <f t="array" aca="1" ref="BA266" ca="1">INDIRECT("'Definition of Typical Day'!"&amp; ADDRESS($D266+29*(BA$16-1),$E266))+$BA$17</f>
        <v>11</v>
      </c>
      <c r="BB266" s="772" cm="1">
        <f t="array" aca="1" ref="BB266" ca="1">INDIRECT("'Definition of Typical Day'!"&amp;ADDRESS(BB$16,$E266))</f>
        <v>0</v>
      </c>
      <c r="BC266" s="776" cm="1">
        <f t="array" aca="1" ref="BC266" ca="1">INDIRECT("'Definition of Typical Day'!"&amp; ADDRESS($D266+29*(BC$16-1),$E266))</f>
        <v>0</v>
      </c>
      <c r="BD266" s="777" cm="1">
        <f t="array" aca="1" ref="BD266" ca="1">INDIRECT("'Definition of Typical Day'!"&amp; ADDRESS($D266+29*(BD$16-1),$E266))</f>
        <v>0</v>
      </c>
      <c r="BE266" s="776">
        <f t="shared" si="283"/>
        <v>0</v>
      </c>
      <c r="BF266" s="771">
        <f t="shared" ca="1" si="284"/>
        <v>0</v>
      </c>
      <c r="BG266" s="771">
        <f t="shared" ca="1" si="285"/>
        <v>0</v>
      </c>
      <c r="BH266" s="771">
        <f t="shared" ca="1" si="286"/>
        <v>0</v>
      </c>
      <c r="BI266" s="776">
        <f t="shared" ca="1" si="287"/>
        <v>0</v>
      </c>
      <c r="BJ266" s="776">
        <f t="shared" ca="1" si="288"/>
        <v>0</v>
      </c>
      <c r="BK266" s="776">
        <f t="shared" ca="1" si="289"/>
        <v>0</v>
      </c>
      <c r="BL266" s="776">
        <f t="shared" ca="1" si="290"/>
        <v>0</v>
      </c>
      <c r="BM266" s="135"/>
      <c r="BN266" s="776">
        <f t="shared" ca="1" si="291"/>
        <v>0</v>
      </c>
      <c r="BO266" s="778">
        <f t="shared" ca="1" si="228"/>
        <v>0</v>
      </c>
      <c r="BP266" s="770">
        <f t="shared" ca="1" si="229"/>
        <v>0</v>
      </c>
      <c r="BQ266" s="771">
        <f t="shared" ca="1" si="230"/>
        <v>0</v>
      </c>
      <c r="BR266" s="771">
        <f t="shared" ca="1" si="231"/>
        <v>0</v>
      </c>
      <c r="BS266" s="776">
        <f t="shared" ca="1" si="292"/>
        <v>0</v>
      </c>
      <c r="BT266" s="776">
        <f t="shared" ca="1" si="232"/>
        <v>0</v>
      </c>
      <c r="BU266" s="783">
        <f t="shared" ca="1" si="233"/>
        <v>0</v>
      </c>
      <c r="BV266" s="783">
        <f t="shared" ca="1" si="234"/>
        <v>0</v>
      </c>
      <c r="BW266" s="1019">
        <f t="shared" ca="1" si="293"/>
        <v>0</v>
      </c>
      <c r="BX266" s="771" cm="1">
        <f t="array" aca="1" ref="BX266" ca="1">INDIRECT("'Definition of Typical Day'!"&amp; ADDRESS($D266+29*(BX$16-1),$E266))</f>
        <v>0</v>
      </c>
      <c r="BY266" s="771">
        <f t="shared" ca="1" si="294"/>
        <v>0</v>
      </c>
      <c r="BZ266" s="781">
        <f t="shared" ca="1" si="235"/>
        <v>0</v>
      </c>
      <c r="CA266" s="781">
        <f t="shared" ca="1" si="236"/>
        <v>0</v>
      </c>
      <c r="CB266" s="776">
        <f t="shared" ca="1" si="237"/>
        <v>0</v>
      </c>
      <c r="CC266" s="782">
        <f t="shared" si="238"/>
        <v>11</v>
      </c>
      <c r="CD266" s="782">
        <f t="shared" si="239"/>
        <v>6</v>
      </c>
      <c r="CE266" s="784" cm="1">
        <f t="array" aca="1" ref="CE266" ca="1">INDIRECT("'Definition of Typical Day'!"&amp;ADDRESS(CE$16,$E266))</f>
        <v>11</v>
      </c>
      <c r="CF266" s="232"/>
      <c r="CG266" s="232"/>
      <c r="CH266" s="776">
        <f t="shared" ca="1" si="240"/>
        <v>0</v>
      </c>
      <c r="CI266" s="806">
        <f t="shared" ca="1" si="241"/>
        <v>0</v>
      </c>
      <c r="CJ266" s="770">
        <f t="shared" ca="1" si="242"/>
        <v>0</v>
      </c>
      <c r="CK266" s="771">
        <f t="shared" ca="1" si="243"/>
        <v>0</v>
      </c>
      <c r="CL266" s="771">
        <f t="shared" ca="1" si="244"/>
        <v>0</v>
      </c>
      <c r="CM266" s="772">
        <f t="shared" ca="1" si="245"/>
        <v>0</v>
      </c>
      <c r="CN266" s="135"/>
      <c r="CO266" s="770">
        <f t="shared" ca="1" si="295"/>
        <v>1.05</v>
      </c>
      <c r="CP266" s="771">
        <f t="shared" ca="1" si="246"/>
        <v>0.02</v>
      </c>
      <c r="CQ266" s="771">
        <f t="shared" ca="1" si="247"/>
        <v>-2.5000000000000001E-2</v>
      </c>
      <c r="CR266" s="771">
        <f t="shared" ca="1" si="248"/>
        <v>0.95</v>
      </c>
      <c r="CS266" s="771">
        <f t="shared" ca="1" si="249"/>
        <v>0.03</v>
      </c>
      <c r="CT266" s="772">
        <f t="shared" ca="1" si="250"/>
        <v>0.02</v>
      </c>
      <c r="CU266" s="135"/>
      <c r="CV266" s="135"/>
      <c r="CW266" s="135"/>
      <c r="CX266" s="135"/>
      <c r="CY266" s="135"/>
      <c r="CZ266" s="135"/>
      <c r="DA266" s="135"/>
      <c r="DB266" s="135"/>
      <c r="DC266" s="135"/>
      <c r="DD266" s="135"/>
      <c r="DE266" s="135"/>
      <c r="DF266" s="135"/>
      <c r="DG266" s="135"/>
      <c r="DH266" s="135"/>
      <c r="DI266" s="135"/>
      <c r="DJ266" s="135"/>
      <c r="DK266" s="135"/>
      <c r="DL266" s="135"/>
      <c r="DX266" s="135"/>
      <c r="DY266" s="135"/>
      <c r="DZ266" s="135"/>
      <c r="EA266" s="135"/>
      <c r="EB266" s="135"/>
      <c r="EC266" s="135"/>
      <c r="ED266" s="135"/>
      <c r="EE266" s="135"/>
      <c r="EF266" s="135"/>
      <c r="EG266" s="135"/>
      <c r="EH266" s="135"/>
      <c r="EI266" s="135"/>
      <c r="EJ266" s="135"/>
      <c r="EK266" s="135"/>
      <c r="EL266" s="135"/>
      <c r="EM266" s="135"/>
      <c r="EN266" s="135"/>
      <c r="EO266" s="135"/>
      <c r="EP266" s="135"/>
      <c r="EQ266" s="135"/>
      <c r="ER266" s="135"/>
      <c r="ES266" s="135"/>
      <c r="ET266" s="135"/>
      <c r="EU266" s="135"/>
      <c r="EV266" s="135"/>
      <c r="EW266" s="135"/>
      <c r="EX266" s="135"/>
      <c r="EY266" s="135"/>
      <c r="EZ266" s="135"/>
      <c r="FA266" s="135"/>
      <c r="FB266" s="135"/>
      <c r="FC266" s="135"/>
      <c r="FD266" s="135"/>
      <c r="FE266" s="135"/>
      <c r="FF266" s="135"/>
      <c r="FG266" s="135"/>
    </row>
    <row r="267" spans="1:163" s="57" customFormat="1" ht="11.25" outlineLevel="1">
      <c r="A267" s="765">
        <f t="shared" si="296"/>
        <v>11</v>
      </c>
      <c r="B267" s="715" cm="1">
        <f t="array" aca="1" ref="B267" ca="1">INDIRECT("'Definition of Typical Day'!"&amp;ADDRESS(B$16,$E267))</f>
        <v>11</v>
      </c>
      <c r="C267" s="766">
        <f t="shared" si="297"/>
        <v>7</v>
      </c>
      <c r="D267" s="715">
        <f t="shared" si="297"/>
        <v>41</v>
      </c>
      <c r="E267" s="715">
        <f t="shared" si="225"/>
        <v>15</v>
      </c>
      <c r="F267" s="767" cm="1">
        <f t="array" aca="1" ref="F267" ca="1">INDIRECT("'Definition of Typical Day'!D"&amp;D267)</f>
        <v>7</v>
      </c>
      <c r="G267" s="767" cm="1">
        <f t="array" aca="1" ref="G267" ca="1">INDIRECT("'Definition of Typical Day'!"&amp;ADDRESS(13,E267))</f>
        <v>11</v>
      </c>
      <c r="H267" s="768" cm="1">
        <f t="array" aca="1" ref="H267" ca="1">INDIRECT("'Definition of Typical Day'!"&amp; ADDRESS($D267+28*(H$16-1),$E267))</f>
        <v>0</v>
      </c>
      <c r="I267" s="715" cm="1">
        <f t="array" aca="1" ref="I267" ca="1">INDIRECT("'Definition of Typical Day'!"&amp; ADDRESS($D267+29*(I$16-1),$E267))</f>
        <v>0</v>
      </c>
      <c r="J267" s="715">
        <f t="shared" ca="1" si="251"/>
        <v>0</v>
      </c>
      <c r="K267" s="785">
        <f t="shared" si="252"/>
        <v>28</v>
      </c>
      <c r="L267" s="786" cm="1">
        <f t="array" aca="1" ref="L267" ca="1">INDIRECT("'Definition of Typical Day'!"&amp; ADDRESS($D267+29*(L$16-1),$E267))</f>
        <v>0</v>
      </c>
      <c r="M267" s="768" cm="1">
        <f t="array" aca="1" ref="M267" ca="1">INDIRECT("'Definition of Typical Day'!"&amp; ADDRESS($D267+29*(M$16-1),$E267))</f>
        <v>0</v>
      </c>
      <c r="N267" s="715">
        <f t="shared" si="253"/>
        <v>3</v>
      </c>
      <c r="O267" s="715">
        <f t="shared" ca="1" si="254"/>
        <v>3</v>
      </c>
      <c r="P267" s="715" cm="1">
        <f t="array" aca="1" ref="P267" ca="1">INDIRECT("'Definition of Typical Day'!"&amp; ADDRESS($D267+29*(P$16-1),$E267))</f>
        <v>0</v>
      </c>
      <c r="Q267" s="787">
        <f t="shared" ca="1" si="255"/>
        <v>3</v>
      </c>
      <c r="R267" s="792">
        <f t="shared" ca="1" si="256"/>
        <v>3</v>
      </c>
      <c r="S267" s="769">
        <f t="shared" si="257"/>
        <v>3</v>
      </c>
      <c r="T267" s="769">
        <f t="shared" ca="1" si="258"/>
        <v>-0.5</v>
      </c>
      <c r="U267" s="769">
        <f t="shared" ca="1" si="259"/>
        <v>2.262</v>
      </c>
      <c r="V267" s="769">
        <f t="shared" ca="1" si="260"/>
        <v>0</v>
      </c>
      <c r="W267" s="769">
        <f t="shared" ca="1" si="261"/>
        <v>4.7620000000000005</v>
      </c>
      <c r="X267" s="794">
        <f t="shared" si="262"/>
        <v>3</v>
      </c>
      <c r="Y267" s="769">
        <f t="shared" ca="1" si="263"/>
        <v>0.54772255750516607</v>
      </c>
      <c r="Z267" s="769">
        <f t="shared" ca="1" si="264"/>
        <v>0</v>
      </c>
      <c r="AA267" s="795">
        <f t="shared" ca="1" si="265"/>
        <v>0</v>
      </c>
      <c r="AB267" s="769">
        <f t="shared" ca="1" si="266"/>
        <v>0</v>
      </c>
      <c r="AC267" s="769">
        <f t="shared" ca="1" si="267"/>
        <v>0</v>
      </c>
      <c r="AD267" s="769">
        <f t="shared" ca="1" si="268"/>
        <v>0</v>
      </c>
      <c r="AE267" s="794">
        <f t="shared" ca="1" si="269"/>
        <v>0</v>
      </c>
      <c r="AF267" s="769">
        <f t="shared" ca="1" si="270"/>
        <v>0</v>
      </c>
      <c r="AG267" s="769">
        <f t="shared" ca="1" si="271"/>
        <v>0</v>
      </c>
      <c r="AH267" s="799">
        <f t="shared" ca="1" si="272"/>
        <v>0</v>
      </c>
      <c r="AI267" s="801">
        <f t="shared" ca="1" si="273"/>
        <v>1</v>
      </c>
      <c r="AJ267" s="794">
        <f t="shared" ca="1" si="274"/>
        <v>0</v>
      </c>
      <c r="AK267" s="769">
        <f t="shared" ca="1" si="275"/>
        <v>0</v>
      </c>
      <c r="AL267" s="769">
        <f t="shared" ca="1" si="276"/>
        <v>0</v>
      </c>
      <c r="AM267" s="804">
        <f t="shared" ca="1" si="226"/>
        <v>0</v>
      </c>
      <c r="AN267" s="795">
        <f t="shared" ca="1" si="227"/>
        <v>0</v>
      </c>
      <c r="AO267" s="251"/>
      <c r="AP267" s="770">
        <f t="shared" si="277"/>
        <v>0</v>
      </c>
      <c r="AQ267" s="771">
        <f t="shared" ca="1" si="278"/>
        <v>0</v>
      </c>
      <c r="AR267" s="771">
        <f t="shared" ca="1" si="279"/>
        <v>0</v>
      </c>
      <c r="AS267" s="772">
        <f t="shared" ca="1" si="280"/>
        <v>0</v>
      </c>
      <c r="AT267" s="231"/>
      <c r="AU267" s="770">
        <f>'Main Results - IRR DC Operator'!$F$16</f>
        <v>2</v>
      </c>
      <c r="AV267" s="773">
        <f>'Main Results - IRR DC Operator'!$F$15</f>
        <v>1</v>
      </c>
      <c r="AW267" s="771">
        <f t="shared" ca="1" si="281"/>
        <v>0</v>
      </c>
      <c r="AX267" s="772">
        <f t="shared" si="282"/>
        <v>0</v>
      </c>
      <c r="AY267" s="231"/>
      <c r="AZ267" s="770" cm="1">
        <f t="array" aca="1" ref="AZ267" ca="1">INDIRECT("'Definition of Typical Day'!"&amp; ADDRESS($D267+29*(AZ$16-1),$E267))+$AZ$17</f>
        <v>11</v>
      </c>
      <c r="BA267" s="771" cm="1">
        <f t="array" aca="1" ref="BA267" ca="1">INDIRECT("'Definition of Typical Day'!"&amp; ADDRESS($D267+29*(BA$16-1),$E267))+$BA$17</f>
        <v>11</v>
      </c>
      <c r="BB267" s="772" cm="1">
        <f t="array" aca="1" ref="BB267" ca="1">INDIRECT("'Definition of Typical Day'!"&amp;ADDRESS(BB$16,$E267))</f>
        <v>0</v>
      </c>
      <c r="BC267" s="776" cm="1">
        <f t="array" aca="1" ref="BC267" ca="1">INDIRECT("'Definition of Typical Day'!"&amp; ADDRESS($D267+29*(BC$16-1),$E267))</f>
        <v>0</v>
      </c>
      <c r="BD267" s="777" cm="1">
        <f t="array" aca="1" ref="BD267" ca="1">INDIRECT("'Definition of Typical Day'!"&amp; ADDRESS($D267+29*(BD$16-1),$E267))</f>
        <v>0</v>
      </c>
      <c r="BE267" s="776">
        <f t="shared" si="283"/>
        <v>0</v>
      </c>
      <c r="BF267" s="771">
        <f t="shared" ca="1" si="284"/>
        <v>0</v>
      </c>
      <c r="BG267" s="771">
        <f t="shared" ca="1" si="285"/>
        <v>0</v>
      </c>
      <c r="BH267" s="771">
        <f t="shared" ca="1" si="286"/>
        <v>0</v>
      </c>
      <c r="BI267" s="776">
        <f t="shared" ca="1" si="287"/>
        <v>0</v>
      </c>
      <c r="BJ267" s="776">
        <f t="shared" ca="1" si="288"/>
        <v>0</v>
      </c>
      <c r="BK267" s="776">
        <f t="shared" ca="1" si="289"/>
        <v>0</v>
      </c>
      <c r="BL267" s="776">
        <f t="shared" ca="1" si="290"/>
        <v>0</v>
      </c>
      <c r="BM267" s="135"/>
      <c r="BN267" s="776">
        <f t="shared" ca="1" si="291"/>
        <v>0</v>
      </c>
      <c r="BO267" s="778">
        <f t="shared" ca="1" si="228"/>
        <v>0</v>
      </c>
      <c r="BP267" s="770">
        <f t="shared" ca="1" si="229"/>
        <v>0</v>
      </c>
      <c r="BQ267" s="771">
        <f t="shared" ca="1" si="230"/>
        <v>0</v>
      </c>
      <c r="BR267" s="771">
        <f t="shared" ca="1" si="231"/>
        <v>0</v>
      </c>
      <c r="BS267" s="776">
        <f t="shared" ca="1" si="292"/>
        <v>0</v>
      </c>
      <c r="BT267" s="776">
        <f t="shared" ca="1" si="232"/>
        <v>0</v>
      </c>
      <c r="BU267" s="783">
        <f t="shared" ca="1" si="233"/>
        <v>0</v>
      </c>
      <c r="BV267" s="783">
        <f t="shared" ca="1" si="234"/>
        <v>0</v>
      </c>
      <c r="BW267" s="1019">
        <f t="shared" ca="1" si="293"/>
        <v>0</v>
      </c>
      <c r="BX267" s="771" cm="1">
        <f t="array" aca="1" ref="BX267" ca="1">INDIRECT("'Definition of Typical Day'!"&amp; ADDRESS($D267+29*(BX$16-1),$E267))</f>
        <v>0</v>
      </c>
      <c r="BY267" s="771">
        <f t="shared" ca="1" si="294"/>
        <v>0</v>
      </c>
      <c r="BZ267" s="781">
        <f t="shared" ca="1" si="235"/>
        <v>0</v>
      </c>
      <c r="CA267" s="781">
        <f t="shared" ca="1" si="236"/>
        <v>0</v>
      </c>
      <c r="CB267" s="776">
        <f t="shared" ca="1" si="237"/>
        <v>0</v>
      </c>
      <c r="CC267" s="782">
        <f t="shared" si="238"/>
        <v>11</v>
      </c>
      <c r="CD267" s="782">
        <f t="shared" si="239"/>
        <v>7</v>
      </c>
      <c r="CE267" s="784" cm="1">
        <f t="array" aca="1" ref="CE267" ca="1">INDIRECT("'Definition of Typical Day'!"&amp;ADDRESS(CE$16,$E267))</f>
        <v>11</v>
      </c>
      <c r="CF267" s="232"/>
      <c r="CG267" s="232"/>
      <c r="CH267" s="776">
        <f t="shared" ca="1" si="240"/>
        <v>0</v>
      </c>
      <c r="CI267" s="806">
        <f t="shared" ca="1" si="241"/>
        <v>0</v>
      </c>
      <c r="CJ267" s="770">
        <f t="shared" ca="1" si="242"/>
        <v>0</v>
      </c>
      <c r="CK267" s="771">
        <f t="shared" ca="1" si="243"/>
        <v>0</v>
      </c>
      <c r="CL267" s="771">
        <f t="shared" ca="1" si="244"/>
        <v>0</v>
      </c>
      <c r="CM267" s="772">
        <f t="shared" ca="1" si="245"/>
        <v>0</v>
      </c>
      <c r="CN267" s="135"/>
      <c r="CO267" s="770">
        <f t="shared" ca="1" si="295"/>
        <v>1.05</v>
      </c>
      <c r="CP267" s="771">
        <f t="shared" ca="1" si="246"/>
        <v>0.02</v>
      </c>
      <c r="CQ267" s="771">
        <f t="shared" ca="1" si="247"/>
        <v>-2.5000000000000001E-2</v>
      </c>
      <c r="CR267" s="771">
        <f t="shared" ca="1" si="248"/>
        <v>0.95</v>
      </c>
      <c r="CS267" s="771">
        <f t="shared" ca="1" si="249"/>
        <v>0.03</v>
      </c>
      <c r="CT267" s="772">
        <f t="shared" ca="1" si="250"/>
        <v>0.02</v>
      </c>
      <c r="CU267" s="135"/>
      <c r="CV267" s="135"/>
      <c r="CW267" s="135"/>
      <c r="CX267" s="135"/>
      <c r="CY267" s="135"/>
      <c r="CZ267" s="135"/>
      <c r="DA267" s="135"/>
      <c r="DB267" s="135"/>
      <c r="DC267" s="135"/>
      <c r="DD267" s="135"/>
      <c r="DE267" s="135"/>
      <c r="DF267" s="135"/>
      <c r="DG267" s="135"/>
      <c r="DH267" s="135"/>
      <c r="DI267" s="135"/>
      <c r="DJ267" s="135"/>
      <c r="DK267" s="135"/>
      <c r="DL267" s="135"/>
      <c r="DX267" s="135"/>
      <c r="DY267" s="135"/>
      <c r="DZ267" s="135"/>
      <c r="EA267" s="135"/>
      <c r="EB267" s="135"/>
      <c r="EC267" s="135"/>
      <c r="ED267" s="135"/>
      <c r="EE267" s="135"/>
      <c r="EF267" s="135"/>
      <c r="EG267" s="135"/>
      <c r="EH267" s="135"/>
      <c r="EI267" s="135"/>
      <c r="EJ267" s="135"/>
      <c r="EK267" s="135"/>
      <c r="EL267" s="135"/>
      <c r="EM267" s="135"/>
      <c r="EN267" s="135"/>
      <c r="EO267" s="135"/>
      <c r="EP267" s="135"/>
      <c r="EQ267" s="135"/>
      <c r="ER267" s="135"/>
      <c r="ES267" s="135"/>
      <c r="ET267" s="135"/>
      <c r="EU267" s="135"/>
      <c r="EV267" s="135"/>
      <c r="EW267" s="135"/>
      <c r="EX267" s="135"/>
      <c r="EY267" s="135"/>
      <c r="EZ267" s="135"/>
      <c r="FA267" s="135"/>
      <c r="FB267" s="135"/>
      <c r="FC267" s="135"/>
      <c r="FD267" s="135"/>
      <c r="FE267" s="135"/>
      <c r="FF267" s="135"/>
      <c r="FG267" s="135"/>
    </row>
    <row r="268" spans="1:163" s="57" customFormat="1" ht="11.25" outlineLevel="1">
      <c r="A268" s="765">
        <f t="shared" si="296"/>
        <v>11</v>
      </c>
      <c r="B268" s="715" cm="1">
        <f t="array" aca="1" ref="B268" ca="1">INDIRECT("'Definition of Typical Day'!"&amp;ADDRESS(B$16,$E268))</f>
        <v>11</v>
      </c>
      <c r="C268" s="766">
        <f t="shared" si="297"/>
        <v>8</v>
      </c>
      <c r="D268" s="715">
        <f t="shared" si="297"/>
        <v>42</v>
      </c>
      <c r="E268" s="715">
        <f t="shared" si="225"/>
        <v>15</v>
      </c>
      <c r="F268" s="767" cm="1">
        <f t="array" aca="1" ref="F268" ca="1">INDIRECT("'Definition of Typical Day'!D"&amp;D268)</f>
        <v>8</v>
      </c>
      <c r="G268" s="767" cm="1">
        <f t="array" aca="1" ref="G268" ca="1">INDIRECT("'Definition of Typical Day'!"&amp;ADDRESS(13,E268))</f>
        <v>11</v>
      </c>
      <c r="H268" s="768" cm="1">
        <f t="array" aca="1" ref="H268" ca="1">INDIRECT("'Definition of Typical Day'!"&amp; ADDRESS($D268+28*(H$16-1),$E268))</f>
        <v>0</v>
      </c>
      <c r="I268" s="715" cm="1">
        <f t="array" aca="1" ref="I268" ca="1">INDIRECT("'Definition of Typical Day'!"&amp; ADDRESS($D268+29*(I$16-1),$E268))</f>
        <v>0</v>
      </c>
      <c r="J268" s="715">
        <f t="shared" ca="1" si="251"/>
        <v>0</v>
      </c>
      <c r="K268" s="785">
        <f t="shared" si="252"/>
        <v>28</v>
      </c>
      <c r="L268" s="786" cm="1">
        <f t="array" aca="1" ref="L268" ca="1">INDIRECT("'Definition of Typical Day'!"&amp; ADDRESS($D268+29*(L$16-1),$E268))</f>
        <v>0</v>
      </c>
      <c r="M268" s="768" cm="1">
        <f t="array" aca="1" ref="M268" ca="1">INDIRECT("'Definition of Typical Day'!"&amp; ADDRESS($D268+29*(M$16-1),$E268))</f>
        <v>0</v>
      </c>
      <c r="N268" s="715">
        <f t="shared" si="253"/>
        <v>3</v>
      </c>
      <c r="O268" s="715">
        <f t="shared" ca="1" si="254"/>
        <v>3</v>
      </c>
      <c r="P268" s="715" cm="1">
        <f t="array" aca="1" ref="P268" ca="1">INDIRECT("'Definition of Typical Day'!"&amp; ADDRESS($D268+29*(P$16-1),$E268))</f>
        <v>0</v>
      </c>
      <c r="Q268" s="787">
        <f t="shared" ca="1" si="255"/>
        <v>3</v>
      </c>
      <c r="R268" s="792">
        <f t="shared" ca="1" si="256"/>
        <v>3</v>
      </c>
      <c r="S268" s="769">
        <f t="shared" si="257"/>
        <v>3</v>
      </c>
      <c r="T268" s="769">
        <f t="shared" ca="1" si="258"/>
        <v>-0.5</v>
      </c>
      <c r="U268" s="769">
        <f t="shared" ca="1" si="259"/>
        <v>2.262</v>
      </c>
      <c r="V268" s="769">
        <f t="shared" ca="1" si="260"/>
        <v>0</v>
      </c>
      <c r="W268" s="769">
        <f t="shared" ca="1" si="261"/>
        <v>4.7620000000000005</v>
      </c>
      <c r="X268" s="794">
        <f t="shared" si="262"/>
        <v>3</v>
      </c>
      <c r="Y268" s="769">
        <f t="shared" ca="1" si="263"/>
        <v>0.54772255750516607</v>
      </c>
      <c r="Z268" s="769">
        <f t="shared" ca="1" si="264"/>
        <v>0</v>
      </c>
      <c r="AA268" s="795">
        <f t="shared" ca="1" si="265"/>
        <v>0</v>
      </c>
      <c r="AB268" s="769">
        <f t="shared" ca="1" si="266"/>
        <v>0</v>
      </c>
      <c r="AC268" s="769">
        <f t="shared" ca="1" si="267"/>
        <v>0</v>
      </c>
      <c r="AD268" s="769">
        <f t="shared" ca="1" si="268"/>
        <v>0</v>
      </c>
      <c r="AE268" s="794">
        <f t="shared" ca="1" si="269"/>
        <v>0</v>
      </c>
      <c r="AF268" s="769">
        <f t="shared" ca="1" si="270"/>
        <v>0</v>
      </c>
      <c r="AG268" s="769">
        <f t="shared" ca="1" si="271"/>
        <v>0</v>
      </c>
      <c r="AH268" s="799">
        <f t="shared" ca="1" si="272"/>
        <v>0</v>
      </c>
      <c r="AI268" s="801">
        <f t="shared" ca="1" si="273"/>
        <v>1</v>
      </c>
      <c r="AJ268" s="794">
        <f t="shared" ca="1" si="274"/>
        <v>0</v>
      </c>
      <c r="AK268" s="769">
        <f t="shared" ca="1" si="275"/>
        <v>0</v>
      </c>
      <c r="AL268" s="769">
        <f t="shared" ca="1" si="276"/>
        <v>0</v>
      </c>
      <c r="AM268" s="804">
        <f t="shared" ca="1" si="226"/>
        <v>0</v>
      </c>
      <c r="AN268" s="795">
        <f t="shared" ca="1" si="227"/>
        <v>0</v>
      </c>
      <c r="AO268" s="251"/>
      <c r="AP268" s="770">
        <f t="shared" si="277"/>
        <v>0</v>
      </c>
      <c r="AQ268" s="771">
        <f t="shared" ca="1" si="278"/>
        <v>0</v>
      </c>
      <c r="AR268" s="771">
        <f t="shared" ca="1" si="279"/>
        <v>0</v>
      </c>
      <c r="AS268" s="772">
        <f t="shared" ca="1" si="280"/>
        <v>0</v>
      </c>
      <c r="AT268" s="231"/>
      <c r="AU268" s="770">
        <f>'Main Results - IRR DC Operator'!$F$16</f>
        <v>2</v>
      </c>
      <c r="AV268" s="773">
        <f>'Main Results - IRR DC Operator'!$F$15</f>
        <v>1</v>
      </c>
      <c r="AW268" s="771">
        <f t="shared" ca="1" si="281"/>
        <v>0</v>
      </c>
      <c r="AX268" s="772">
        <f t="shared" si="282"/>
        <v>0</v>
      </c>
      <c r="AY268" s="231"/>
      <c r="AZ268" s="770" cm="1">
        <f t="array" aca="1" ref="AZ268" ca="1">INDIRECT("'Definition of Typical Day'!"&amp; ADDRESS($D268+29*(AZ$16-1),$E268))+$AZ$17</f>
        <v>11</v>
      </c>
      <c r="BA268" s="771" cm="1">
        <f t="array" aca="1" ref="BA268" ca="1">INDIRECT("'Definition of Typical Day'!"&amp; ADDRESS($D268+29*(BA$16-1),$E268))+$BA$17</f>
        <v>11</v>
      </c>
      <c r="BB268" s="772" cm="1">
        <f t="array" aca="1" ref="BB268" ca="1">INDIRECT("'Definition of Typical Day'!"&amp;ADDRESS(BB$16,$E268))</f>
        <v>0</v>
      </c>
      <c r="BC268" s="776" cm="1">
        <f t="array" aca="1" ref="BC268" ca="1">INDIRECT("'Definition of Typical Day'!"&amp; ADDRESS($D268+29*(BC$16-1),$E268))</f>
        <v>0</v>
      </c>
      <c r="BD268" s="777" cm="1">
        <f t="array" aca="1" ref="BD268" ca="1">INDIRECT("'Definition of Typical Day'!"&amp; ADDRESS($D268+29*(BD$16-1),$E268))</f>
        <v>0</v>
      </c>
      <c r="BE268" s="776">
        <f t="shared" si="283"/>
        <v>0</v>
      </c>
      <c r="BF268" s="771">
        <f t="shared" ca="1" si="284"/>
        <v>0</v>
      </c>
      <c r="BG268" s="771">
        <f t="shared" ca="1" si="285"/>
        <v>0</v>
      </c>
      <c r="BH268" s="771">
        <f t="shared" ca="1" si="286"/>
        <v>0</v>
      </c>
      <c r="BI268" s="776">
        <f t="shared" ca="1" si="287"/>
        <v>0</v>
      </c>
      <c r="BJ268" s="776">
        <f t="shared" ca="1" si="288"/>
        <v>0</v>
      </c>
      <c r="BK268" s="776">
        <f t="shared" ca="1" si="289"/>
        <v>0</v>
      </c>
      <c r="BL268" s="776">
        <f t="shared" ca="1" si="290"/>
        <v>0</v>
      </c>
      <c r="BM268" s="135"/>
      <c r="BN268" s="776">
        <f t="shared" ca="1" si="291"/>
        <v>0</v>
      </c>
      <c r="BO268" s="778">
        <f t="shared" ca="1" si="228"/>
        <v>0</v>
      </c>
      <c r="BP268" s="770">
        <f t="shared" ca="1" si="229"/>
        <v>0</v>
      </c>
      <c r="BQ268" s="771">
        <f t="shared" ca="1" si="230"/>
        <v>0</v>
      </c>
      <c r="BR268" s="771">
        <f t="shared" ca="1" si="231"/>
        <v>0</v>
      </c>
      <c r="BS268" s="776">
        <f t="shared" ca="1" si="292"/>
        <v>0</v>
      </c>
      <c r="BT268" s="776">
        <f t="shared" ca="1" si="232"/>
        <v>0</v>
      </c>
      <c r="BU268" s="783">
        <f t="shared" ca="1" si="233"/>
        <v>0</v>
      </c>
      <c r="BV268" s="783">
        <f t="shared" ca="1" si="234"/>
        <v>0</v>
      </c>
      <c r="BW268" s="1019">
        <f t="shared" ca="1" si="293"/>
        <v>0</v>
      </c>
      <c r="BX268" s="771" cm="1">
        <f t="array" aca="1" ref="BX268" ca="1">INDIRECT("'Definition of Typical Day'!"&amp; ADDRESS($D268+29*(BX$16-1),$E268))</f>
        <v>0</v>
      </c>
      <c r="BY268" s="771">
        <f t="shared" ca="1" si="294"/>
        <v>0</v>
      </c>
      <c r="BZ268" s="781">
        <f t="shared" ca="1" si="235"/>
        <v>0</v>
      </c>
      <c r="CA268" s="781">
        <f t="shared" ca="1" si="236"/>
        <v>0</v>
      </c>
      <c r="CB268" s="776">
        <f t="shared" ca="1" si="237"/>
        <v>0</v>
      </c>
      <c r="CC268" s="782">
        <f t="shared" si="238"/>
        <v>11</v>
      </c>
      <c r="CD268" s="782">
        <f t="shared" si="239"/>
        <v>8</v>
      </c>
      <c r="CE268" s="784" cm="1">
        <f t="array" aca="1" ref="CE268" ca="1">INDIRECT("'Definition of Typical Day'!"&amp;ADDRESS(CE$16,$E268))</f>
        <v>11</v>
      </c>
      <c r="CF268" s="232"/>
      <c r="CG268" s="232"/>
      <c r="CH268" s="776">
        <f t="shared" ca="1" si="240"/>
        <v>0</v>
      </c>
      <c r="CI268" s="806">
        <f t="shared" ca="1" si="241"/>
        <v>0</v>
      </c>
      <c r="CJ268" s="770">
        <f t="shared" ca="1" si="242"/>
        <v>0</v>
      </c>
      <c r="CK268" s="771">
        <f t="shared" ca="1" si="243"/>
        <v>0</v>
      </c>
      <c r="CL268" s="771">
        <f t="shared" ca="1" si="244"/>
        <v>0</v>
      </c>
      <c r="CM268" s="772">
        <f t="shared" ca="1" si="245"/>
        <v>0</v>
      </c>
      <c r="CN268" s="135"/>
      <c r="CO268" s="770">
        <f t="shared" ca="1" si="295"/>
        <v>1.05</v>
      </c>
      <c r="CP268" s="771">
        <f t="shared" ca="1" si="246"/>
        <v>0.02</v>
      </c>
      <c r="CQ268" s="771">
        <f t="shared" ca="1" si="247"/>
        <v>-2.5000000000000001E-2</v>
      </c>
      <c r="CR268" s="771">
        <f t="shared" ca="1" si="248"/>
        <v>0.95</v>
      </c>
      <c r="CS268" s="771">
        <f t="shared" ca="1" si="249"/>
        <v>0.03</v>
      </c>
      <c r="CT268" s="772">
        <f t="shared" ca="1" si="250"/>
        <v>0.02</v>
      </c>
      <c r="CU268" s="135"/>
      <c r="CV268" s="135"/>
      <c r="CW268" s="135"/>
      <c r="CX268" s="135"/>
      <c r="CY268" s="135"/>
      <c r="CZ268" s="135"/>
      <c r="DA268" s="135"/>
      <c r="DB268" s="135"/>
      <c r="DC268" s="135"/>
      <c r="DD268" s="135"/>
      <c r="DE268" s="135"/>
      <c r="DF268" s="135"/>
      <c r="DG268" s="135"/>
      <c r="DH268" s="135"/>
      <c r="DI268" s="135"/>
      <c r="DJ268" s="135"/>
      <c r="DK268" s="135"/>
      <c r="DL268" s="135"/>
      <c r="DX268" s="135"/>
      <c r="DY268" s="135"/>
      <c r="DZ268" s="135"/>
      <c r="EA268" s="135"/>
      <c r="EB268" s="135"/>
      <c r="EC268" s="135"/>
      <c r="ED268" s="135"/>
      <c r="EE268" s="135"/>
      <c r="EF268" s="135"/>
      <c r="EG268" s="135"/>
      <c r="EH268" s="135"/>
      <c r="EI268" s="135"/>
      <c r="EJ268" s="135"/>
      <c r="EK268" s="135"/>
      <c r="EL268" s="135"/>
      <c r="EM268" s="135"/>
      <c r="EN268" s="135"/>
      <c r="EO268" s="135"/>
      <c r="EP268" s="135"/>
      <c r="EQ268" s="135"/>
      <c r="ER268" s="135"/>
      <c r="ES268" s="135"/>
      <c r="ET268" s="135"/>
      <c r="EU268" s="135"/>
      <c r="EV268" s="135"/>
      <c r="EW268" s="135"/>
      <c r="EX268" s="135"/>
      <c r="EY268" s="135"/>
      <c r="EZ268" s="135"/>
      <c r="FA268" s="135"/>
      <c r="FB268" s="135"/>
      <c r="FC268" s="135"/>
      <c r="FD268" s="135"/>
      <c r="FE268" s="135"/>
      <c r="FF268" s="135"/>
      <c r="FG268" s="135"/>
    </row>
    <row r="269" spans="1:163" s="57" customFormat="1" ht="11.25" outlineLevel="1">
      <c r="A269" s="765">
        <f t="shared" si="296"/>
        <v>11</v>
      </c>
      <c r="B269" s="715" cm="1">
        <f t="array" aca="1" ref="B269" ca="1">INDIRECT("'Definition of Typical Day'!"&amp;ADDRESS(B$16,$E269))</f>
        <v>11</v>
      </c>
      <c r="C269" s="766">
        <f t="shared" si="297"/>
        <v>9</v>
      </c>
      <c r="D269" s="715">
        <f t="shared" si="297"/>
        <v>43</v>
      </c>
      <c r="E269" s="715">
        <f t="shared" si="225"/>
        <v>15</v>
      </c>
      <c r="F269" s="767" cm="1">
        <f t="array" aca="1" ref="F269" ca="1">INDIRECT("'Definition of Typical Day'!D"&amp;D269)</f>
        <v>9</v>
      </c>
      <c r="G269" s="767" cm="1">
        <f t="array" aca="1" ref="G269" ca="1">INDIRECT("'Definition of Typical Day'!"&amp;ADDRESS(13,E269))</f>
        <v>11</v>
      </c>
      <c r="H269" s="768" cm="1">
        <f t="array" aca="1" ref="H269" ca="1">INDIRECT("'Definition of Typical Day'!"&amp; ADDRESS($D269+28*(H$16-1),$E269))</f>
        <v>0</v>
      </c>
      <c r="I269" s="715" cm="1">
        <f t="array" aca="1" ref="I269" ca="1">INDIRECT("'Definition of Typical Day'!"&amp; ADDRESS($D269+29*(I$16-1),$E269))</f>
        <v>0</v>
      </c>
      <c r="J269" s="715">
        <f t="shared" ca="1" si="251"/>
        <v>0</v>
      </c>
      <c r="K269" s="785">
        <f t="shared" si="252"/>
        <v>28</v>
      </c>
      <c r="L269" s="786" cm="1">
        <f t="array" aca="1" ref="L269" ca="1">INDIRECT("'Definition of Typical Day'!"&amp; ADDRESS($D269+29*(L$16-1),$E269))</f>
        <v>0</v>
      </c>
      <c r="M269" s="768" cm="1">
        <f t="array" aca="1" ref="M269" ca="1">INDIRECT("'Definition of Typical Day'!"&amp; ADDRESS($D269+29*(M$16-1),$E269))</f>
        <v>0</v>
      </c>
      <c r="N269" s="715">
        <f t="shared" si="253"/>
        <v>3</v>
      </c>
      <c r="O269" s="715">
        <f t="shared" ca="1" si="254"/>
        <v>3</v>
      </c>
      <c r="P269" s="715" cm="1">
        <f t="array" aca="1" ref="P269" ca="1">INDIRECT("'Definition of Typical Day'!"&amp; ADDRESS($D269+29*(P$16-1),$E269))</f>
        <v>0</v>
      </c>
      <c r="Q269" s="787">
        <f t="shared" ca="1" si="255"/>
        <v>3</v>
      </c>
      <c r="R269" s="792">
        <f t="shared" ca="1" si="256"/>
        <v>3</v>
      </c>
      <c r="S269" s="769">
        <f t="shared" si="257"/>
        <v>3</v>
      </c>
      <c r="T269" s="769">
        <f t="shared" ca="1" si="258"/>
        <v>-0.5</v>
      </c>
      <c r="U269" s="769">
        <f t="shared" ca="1" si="259"/>
        <v>2.262</v>
      </c>
      <c r="V269" s="769">
        <f t="shared" ca="1" si="260"/>
        <v>0</v>
      </c>
      <c r="W269" s="769">
        <f t="shared" ca="1" si="261"/>
        <v>4.7620000000000005</v>
      </c>
      <c r="X269" s="794">
        <f t="shared" si="262"/>
        <v>3</v>
      </c>
      <c r="Y269" s="769">
        <f t="shared" ca="1" si="263"/>
        <v>0.54772255750516607</v>
      </c>
      <c r="Z269" s="769">
        <f t="shared" ca="1" si="264"/>
        <v>0</v>
      </c>
      <c r="AA269" s="795">
        <f t="shared" ca="1" si="265"/>
        <v>0</v>
      </c>
      <c r="AB269" s="769">
        <f t="shared" ca="1" si="266"/>
        <v>0</v>
      </c>
      <c r="AC269" s="769">
        <f t="shared" ca="1" si="267"/>
        <v>0</v>
      </c>
      <c r="AD269" s="769">
        <f t="shared" ca="1" si="268"/>
        <v>0</v>
      </c>
      <c r="AE269" s="794">
        <f t="shared" ca="1" si="269"/>
        <v>0</v>
      </c>
      <c r="AF269" s="769">
        <f t="shared" ca="1" si="270"/>
        <v>0</v>
      </c>
      <c r="AG269" s="769">
        <f t="shared" ca="1" si="271"/>
        <v>0</v>
      </c>
      <c r="AH269" s="799">
        <f t="shared" ca="1" si="272"/>
        <v>0</v>
      </c>
      <c r="AI269" s="801">
        <f t="shared" ca="1" si="273"/>
        <v>1</v>
      </c>
      <c r="AJ269" s="794">
        <f t="shared" ca="1" si="274"/>
        <v>0</v>
      </c>
      <c r="AK269" s="769">
        <f t="shared" ca="1" si="275"/>
        <v>0</v>
      </c>
      <c r="AL269" s="769">
        <f t="shared" ca="1" si="276"/>
        <v>0</v>
      </c>
      <c r="AM269" s="804">
        <f t="shared" ca="1" si="226"/>
        <v>0</v>
      </c>
      <c r="AN269" s="795">
        <f t="shared" ca="1" si="227"/>
        <v>0</v>
      </c>
      <c r="AO269" s="251"/>
      <c r="AP269" s="770">
        <f t="shared" si="277"/>
        <v>0</v>
      </c>
      <c r="AQ269" s="771">
        <f t="shared" ca="1" si="278"/>
        <v>0</v>
      </c>
      <c r="AR269" s="771">
        <f t="shared" ca="1" si="279"/>
        <v>0</v>
      </c>
      <c r="AS269" s="772">
        <f t="shared" ca="1" si="280"/>
        <v>0</v>
      </c>
      <c r="AT269" s="231"/>
      <c r="AU269" s="770">
        <f>'Main Results - IRR DC Operator'!$F$16</f>
        <v>2</v>
      </c>
      <c r="AV269" s="773">
        <f>'Main Results - IRR DC Operator'!$F$15</f>
        <v>1</v>
      </c>
      <c r="AW269" s="771">
        <f t="shared" ca="1" si="281"/>
        <v>0</v>
      </c>
      <c r="AX269" s="772">
        <f t="shared" si="282"/>
        <v>0</v>
      </c>
      <c r="AY269" s="231"/>
      <c r="AZ269" s="770" cm="1">
        <f t="array" aca="1" ref="AZ269" ca="1">INDIRECT("'Definition of Typical Day'!"&amp; ADDRESS($D269+29*(AZ$16-1),$E269))+$AZ$17</f>
        <v>11</v>
      </c>
      <c r="BA269" s="771" cm="1">
        <f t="array" aca="1" ref="BA269" ca="1">INDIRECT("'Definition of Typical Day'!"&amp; ADDRESS($D269+29*(BA$16-1),$E269))+$BA$17</f>
        <v>11</v>
      </c>
      <c r="BB269" s="772" cm="1">
        <f t="array" aca="1" ref="BB269" ca="1">INDIRECT("'Definition of Typical Day'!"&amp;ADDRESS(BB$16,$E269))</f>
        <v>0</v>
      </c>
      <c r="BC269" s="776" cm="1">
        <f t="array" aca="1" ref="BC269" ca="1">INDIRECT("'Definition of Typical Day'!"&amp; ADDRESS($D269+29*(BC$16-1),$E269))</f>
        <v>0</v>
      </c>
      <c r="BD269" s="777" cm="1">
        <f t="array" aca="1" ref="BD269" ca="1">INDIRECT("'Definition of Typical Day'!"&amp; ADDRESS($D269+29*(BD$16-1),$E269))</f>
        <v>0</v>
      </c>
      <c r="BE269" s="776">
        <f t="shared" si="283"/>
        <v>0</v>
      </c>
      <c r="BF269" s="771">
        <f t="shared" ca="1" si="284"/>
        <v>0</v>
      </c>
      <c r="BG269" s="771">
        <f t="shared" ca="1" si="285"/>
        <v>0</v>
      </c>
      <c r="BH269" s="771">
        <f t="shared" ca="1" si="286"/>
        <v>0</v>
      </c>
      <c r="BI269" s="776">
        <f t="shared" ca="1" si="287"/>
        <v>0</v>
      </c>
      <c r="BJ269" s="776">
        <f t="shared" ca="1" si="288"/>
        <v>0</v>
      </c>
      <c r="BK269" s="776">
        <f t="shared" ca="1" si="289"/>
        <v>0</v>
      </c>
      <c r="BL269" s="776">
        <f t="shared" ca="1" si="290"/>
        <v>0</v>
      </c>
      <c r="BM269" s="135"/>
      <c r="BN269" s="776">
        <f t="shared" ca="1" si="291"/>
        <v>0</v>
      </c>
      <c r="BO269" s="778">
        <f t="shared" ca="1" si="228"/>
        <v>0</v>
      </c>
      <c r="BP269" s="770">
        <f t="shared" ca="1" si="229"/>
        <v>0</v>
      </c>
      <c r="BQ269" s="771">
        <f t="shared" ca="1" si="230"/>
        <v>0</v>
      </c>
      <c r="BR269" s="771">
        <f t="shared" ca="1" si="231"/>
        <v>0</v>
      </c>
      <c r="BS269" s="776">
        <f t="shared" ca="1" si="292"/>
        <v>0</v>
      </c>
      <c r="BT269" s="776">
        <f t="shared" ca="1" si="232"/>
        <v>0</v>
      </c>
      <c r="BU269" s="783">
        <f t="shared" ca="1" si="233"/>
        <v>0</v>
      </c>
      <c r="BV269" s="783">
        <f t="shared" ca="1" si="234"/>
        <v>0</v>
      </c>
      <c r="BW269" s="1019">
        <f t="shared" ca="1" si="293"/>
        <v>0</v>
      </c>
      <c r="BX269" s="771" cm="1">
        <f t="array" aca="1" ref="BX269" ca="1">INDIRECT("'Definition of Typical Day'!"&amp; ADDRESS($D269+29*(BX$16-1),$E269))</f>
        <v>0</v>
      </c>
      <c r="BY269" s="771">
        <f t="shared" ca="1" si="294"/>
        <v>0</v>
      </c>
      <c r="BZ269" s="781">
        <f t="shared" ca="1" si="235"/>
        <v>0</v>
      </c>
      <c r="CA269" s="781">
        <f t="shared" ca="1" si="236"/>
        <v>0</v>
      </c>
      <c r="CB269" s="776">
        <f t="shared" ca="1" si="237"/>
        <v>0</v>
      </c>
      <c r="CC269" s="782">
        <f t="shared" si="238"/>
        <v>11</v>
      </c>
      <c r="CD269" s="782">
        <f t="shared" si="239"/>
        <v>9</v>
      </c>
      <c r="CE269" s="784" cm="1">
        <f t="array" aca="1" ref="CE269" ca="1">INDIRECT("'Definition of Typical Day'!"&amp;ADDRESS(CE$16,$E269))</f>
        <v>11</v>
      </c>
      <c r="CF269" s="232"/>
      <c r="CG269" s="232"/>
      <c r="CH269" s="776">
        <f t="shared" ca="1" si="240"/>
        <v>0</v>
      </c>
      <c r="CI269" s="806">
        <f t="shared" ca="1" si="241"/>
        <v>0</v>
      </c>
      <c r="CJ269" s="770">
        <f t="shared" ca="1" si="242"/>
        <v>0</v>
      </c>
      <c r="CK269" s="771">
        <f t="shared" ca="1" si="243"/>
        <v>0</v>
      </c>
      <c r="CL269" s="771">
        <f t="shared" ca="1" si="244"/>
        <v>0</v>
      </c>
      <c r="CM269" s="772">
        <f t="shared" ca="1" si="245"/>
        <v>0</v>
      </c>
      <c r="CN269" s="135"/>
      <c r="CO269" s="770">
        <f t="shared" ca="1" si="295"/>
        <v>1.05</v>
      </c>
      <c r="CP269" s="771">
        <f t="shared" ca="1" si="246"/>
        <v>0.02</v>
      </c>
      <c r="CQ269" s="771">
        <f t="shared" ca="1" si="247"/>
        <v>-2.5000000000000001E-2</v>
      </c>
      <c r="CR269" s="771">
        <f t="shared" ca="1" si="248"/>
        <v>0.95</v>
      </c>
      <c r="CS269" s="771">
        <f t="shared" ca="1" si="249"/>
        <v>0.03</v>
      </c>
      <c r="CT269" s="772">
        <f t="shared" ca="1" si="250"/>
        <v>0.02</v>
      </c>
      <c r="CU269" s="135"/>
      <c r="CV269" s="135"/>
      <c r="CW269" s="135"/>
      <c r="CX269" s="135"/>
      <c r="CY269" s="135"/>
      <c r="CZ269" s="135"/>
      <c r="DA269" s="135"/>
      <c r="DB269" s="135"/>
      <c r="DC269" s="135"/>
      <c r="DD269" s="135"/>
      <c r="DE269" s="135"/>
      <c r="DF269" s="135"/>
      <c r="DG269" s="135"/>
      <c r="DH269" s="135"/>
      <c r="DI269" s="135"/>
      <c r="DJ269" s="135"/>
      <c r="DK269" s="135"/>
      <c r="DL269" s="135"/>
      <c r="DX269" s="135"/>
      <c r="DY269" s="135"/>
      <c r="DZ269" s="135"/>
      <c r="EA269" s="135"/>
      <c r="EB269" s="135"/>
      <c r="EC269" s="135"/>
      <c r="ED269" s="135"/>
      <c r="EE269" s="135"/>
      <c r="EF269" s="135"/>
      <c r="EG269" s="135"/>
      <c r="EH269" s="135"/>
      <c r="EI269" s="135"/>
      <c r="EJ269" s="135"/>
      <c r="EK269" s="135"/>
      <c r="EL269" s="135"/>
      <c r="EM269" s="135"/>
      <c r="EN269" s="135"/>
      <c r="EO269" s="135"/>
      <c r="EP269" s="135"/>
      <c r="EQ269" s="135"/>
      <c r="ER269" s="135"/>
      <c r="ES269" s="135"/>
      <c r="ET269" s="135"/>
      <c r="EU269" s="135"/>
      <c r="EV269" s="135"/>
      <c r="EW269" s="135"/>
      <c r="EX269" s="135"/>
      <c r="EY269" s="135"/>
      <c r="EZ269" s="135"/>
      <c r="FA269" s="135"/>
      <c r="FB269" s="135"/>
      <c r="FC269" s="135"/>
      <c r="FD269" s="135"/>
      <c r="FE269" s="135"/>
      <c r="FF269" s="135"/>
      <c r="FG269" s="135"/>
    </row>
    <row r="270" spans="1:163" s="57" customFormat="1" ht="11.25" outlineLevel="1">
      <c r="A270" s="765">
        <f t="shared" si="296"/>
        <v>11</v>
      </c>
      <c r="B270" s="715" cm="1">
        <f t="array" aca="1" ref="B270" ca="1">INDIRECT("'Definition of Typical Day'!"&amp;ADDRESS(B$16,$E270))</f>
        <v>11</v>
      </c>
      <c r="C270" s="766">
        <f t="shared" si="297"/>
        <v>10</v>
      </c>
      <c r="D270" s="715">
        <f t="shared" si="297"/>
        <v>44</v>
      </c>
      <c r="E270" s="715">
        <f t="shared" si="225"/>
        <v>15</v>
      </c>
      <c r="F270" s="767" cm="1">
        <f t="array" aca="1" ref="F270" ca="1">INDIRECT("'Definition of Typical Day'!D"&amp;D270)</f>
        <v>10</v>
      </c>
      <c r="G270" s="767" cm="1">
        <f t="array" aca="1" ref="G270" ca="1">INDIRECT("'Definition of Typical Day'!"&amp;ADDRESS(13,E270))</f>
        <v>11</v>
      </c>
      <c r="H270" s="768" cm="1">
        <f t="array" aca="1" ref="H270" ca="1">INDIRECT("'Definition of Typical Day'!"&amp; ADDRESS($D270+28*(H$16-1),$E270))</f>
        <v>0</v>
      </c>
      <c r="I270" s="715" cm="1">
        <f t="array" aca="1" ref="I270" ca="1">INDIRECT("'Definition of Typical Day'!"&amp; ADDRESS($D270+29*(I$16-1),$E270))</f>
        <v>0</v>
      </c>
      <c r="J270" s="715">
        <f t="shared" ca="1" si="251"/>
        <v>0</v>
      </c>
      <c r="K270" s="785">
        <f t="shared" si="252"/>
        <v>28</v>
      </c>
      <c r="L270" s="786" cm="1">
        <f t="array" aca="1" ref="L270" ca="1">INDIRECT("'Definition of Typical Day'!"&amp; ADDRESS($D270+29*(L$16-1),$E270))</f>
        <v>0</v>
      </c>
      <c r="M270" s="768" cm="1">
        <f t="array" aca="1" ref="M270" ca="1">INDIRECT("'Definition of Typical Day'!"&amp; ADDRESS($D270+29*(M$16-1),$E270))</f>
        <v>0</v>
      </c>
      <c r="N270" s="715">
        <f t="shared" si="253"/>
        <v>3</v>
      </c>
      <c r="O270" s="715">
        <f t="shared" ca="1" si="254"/>
        <v>3</v>
      </c>
      <c r="P270" s="715" cm="1">
        <f t="array" aca="1" ref="P270" ca="1">INDIRECT("'Definition of Typical Day'!"&amp; ADDRESS($D270+29*(P$16-1),$E270))</f>
        <v>0</v>
      </c>
      <c r="Q270" s="787">
        <f t="shared" ca="1" si="255"/>
        <v>3</v>
      </c>
      <c r="R270" s="792">
        <f t="shared" ca="1" si="256"/>
        <v>3</v>
      </c>
      <c r="S270" s="769">
        <f t="shared" si="257"/>
        <v>3</v>
      </c>
      <c r="T270" s="769">
        <f t="shared" ca="1" si="258"/>
        <v>-0.5</v>
      </c>
      <c r="U270" s="769">
        <f t="shared" ca="1" si="259"/>
        <v>2.262</v>
      </c>
      <c r="V270" s="769">
        <f t="shared" ca="1" si="260"/>
        <v>0</v>
      </c>
      <c r="W270" s="769">
        <f t="shared" ca="1" si="261"/>
        <v>4.7620000000000005</v>
      </c>
      <c r="X270" s="794">
        <f t="shared" si="262"/>
        <v>3</v>
      </c>
      <c r="Y270" s="769">
        <f t="shared" ca="1" si="263"/>
        <v>0.54772255750516607</v>
      </c>
      <c r="Z270" s="769">
        <f t="shared" ca="1" si="264"/>
        <v>0</v>
      </c>
      <c r="AA270" s="795">
        <f t="shared" ca="1" si="265"/>
        <v>0</v>
      </c>
      <c r="AB270" s="769">
        <f t="shared" ca="1" si="266"/>
        <v>0</v>
      </c>
      <c r="AC270" s="769">
        <f t="shared" ca="1" si="267"/>
        <v>0</v>
      </c>
      <c r="AD270" s="769">
        <f t="shared" ca="1" si="268"/>
        <v>0</v>
      </c>
      <c r="AE270" s="794">
        <f t="shared" ca="1" si="269"/>
        <v>0</v>
      </c>
      <c r="AF270" s="769">
        <f t="shared" ca="1" si="270"/>
        <v>0</v>
      </c>
      <c r="AG270" s="769">
        <f t="shared" ca="1" si="271"/>
        <v>0</v>
      </c>
      <c r="AH270" s="799">
        <f t="shared" ca="1" si="272"/>
        <v>0</v>
      </c>
      <c r="AI270" s="801">
        <f t="shared" ca="1" si="273"/>
        <v>1</v>
      </c>
      <c r="AJ270" s="794">
        <f t="shared" ca="1" si="274"/>
        <v>0</v>
      </c>
      <c r="AK270" s="769">
        <f t="shared" ca="1" si="275"/>
        <v>0</v>
      </c>
      <c r="AL270" s="769">
        <f t="shared" ca="1" si="276"/>
        <v>0</v>
      </c>
      <c r="AM270" s="804">
        <f t="shared" ca="1" si="226"/>
        <v>0</v>
      </c>
      <c r="AN270" s="795">
        <f t="shared" ca="1" si="227"/>
        <v>0</v>
      </c>
      <c r="AO270" s="251"/>
      <c r="AP270" s="770">
        <f t="shared" si="277"/>
        <v>0</v>
      </c>
      <c r="AQ270" s="771">
        <f t="shared" ca="1" si="278"/>
        <v>0</v>
      </c>
      <c r="AR270" s="771">
        <f t="shared" ca="1" si="279"/>
        <v>0</v>
      </c>
      <c r="AS270" s="772">
        <f t="shared" ca="1" si="280"/>
        <v>0</v>
      </c>
      <c r="AT270" s="231"/>
      <c r="AU270" s="770">
        <f>'Main Results - IRR DC Operator'!$F$16</f>
        <v>2</v>
      </c>
      <c r="AV270" s="773">
        <f>'Main Results - IRR DC Operator'!$F$15</f>
        <v>1</v>
      </c>
      <c r="AW270" s="771">
        <f t="shared" ca="1" si="281"/>
        <v>0</v>
      </c>
      <c r="AX270" s="772">
        <f t="shared" si="282"/>
        <v>0</v>
      </c>
      <c r="AY270" s="231"/>
      <c r="AZ270" s="770" cm="1">
        <f t="array" aca="1" ref="AZ270" ca="1">INDIRECT("'Definition of Typical Day'!"&amp; ADDRESS($D270+29*(AZ$16-1),$E270))+$AZ$17</f>
        <v>11</v>
      </c>
      <c r="BA270" s="771" cm="1">
        <f t="array" aca="1" ref="BA270" ca="1">INDIRECT("'Definition of Typical Day'!"&amp; ADDRESS($D270+29*(BA$16-1),$E270))+$BA$17</f>
        <v>11</v>
      </c>
      <c r="BB270" s="772" cm="1">
        <f t="array" aca="1" ref="BB270" ca="1">INDIRECT("'Definition of Typical Day'!"&amp;ADDRESS(BB$16,$E270))</f>
        <v>0</v>
      </c>
      <c r="BC270" s="776" cm="1">
        <f t="array" aca="1" ref="BC270" ca="1">INDIRECT("'Definition of Typical Day'!"&amp; ADDRESS($D270+29*(BC$16-1),$E270))</f>
        <v>0</v>
      </c>
      <c r="BD270" s="777" cm="1">
        <f t="array" aca="1" ref="BD270" ca="1">INDIRECT("'Definition of Typical Day'!"&amp; ADDRESS($D270+29*(BD$16-1),$E270))</f>
        <v>0</v>
      </c>
      <c r="BE270" s="776">
        <f t="shared" si="283"/>
        <v>0</v>
      </c>
      <c r="BF270" s="771">
        <f t="shared" ca="1" si="284"/>
        <v>0</v>
      </c>
      <c r="BG270" s="771">
        <f t="shared" ca="1" si="285"/>
        <v>0</v>
      </c>
      <c r="BH270" s="771">
        <f t="shared" ca="1" si="286"/>
        <v>0</v>
      </c>
      <c r="BI270" s="776">
        <f t="shared" ca="1" si="287"/>
        <v>0</v>
      </c>
      <c r="BJ270" s="776">
        <f t="shared" ca="1" si="288"/>
        <v>0</v>
      </c>
      <c r="BK270" s="776">
        <f t="shared" ca="1" si="289"/>
        <v>0</v>
      </c>
      <c r="BL270" s="776">
        <f t="shared" ca="1" si="290"/>
        <v>0</v>
      </c>
      <c r="BM270" s="135"/>
      <c r="BN270" s="776">
        <f t="shared" ca="1" si="291"/>
        <v>0</v>
      </c>
      <c r="BO270" s="778">
        <f t="shared" ca="1" si="228"/>
        <v>0</v>
      </c>
      <c r="BP270" s="770">
        <f t="shared" ca="1" si="229"/>
        <v>0</v>
      </c>
      <c r="BQ270" s="771">
        <f t="shared" ca="1" si="230"/>
        <v>0</v>
      </c>
      <c r="BR270" s="771">
        <f t="shared" ca="1" si="231"/>
        <v>0</v>
      </c>
      <c r="BS270" s="776">
        <f t="shared" ca="1" si="292"/>
        <v>0</v>
      </c>
      <c r="BT270" s="776">
        <f t="shared" ca="1" si="232"/>
        <v>0</v>
      </c>
      <c r="BU270" s="783">
        <f t="shared" ca="1" si="233"/>
        <v>0</v>
      </c>
      <c r="BV270" s="783">
        <f t="shared" ca="1" si="234"/>
        <v>0</v>
      </c>
      <c r="BW270" s="1019">
        <f t="shared" ca="1" si="293"/>
        <v>0</v>
      </c>
      <c r="BX270" s="771" cm="1">
        <f t="array" aca="1" ref="BX270" ca="1">INDIRECT("'Definition of Typical Day'!"&amp; ADDRESS($D270+29*(BX$16-1),$E270))</f>
        <v>0</v>
      </c>
      <c r="BY270" s="771">
        <f t="shared" ca="1" si="294"/>
        <v>0</v>
      </c>
      <c r="BZ270" s="781">
        <f t="shared" ca="1" si="235"/>
        <v>0</v>
      </c>
      <c r="CA270" s="781">
        <f t="shared" ca="1" si="236"/>
        <v>0</v>
      </c>
      <c r="CB270" s="776">
        <f t="shared" ca="1" si="237"/>
        <v>0</v>
      </c>
      <c r="CC270" s="782">
        <f t="shared" si="238"/>
        <v>11</v>
      </c>
      <c r="CD270" s="782">
        <f t="shared" si="239"/>
        <v>10</v>
      </c>
      <c r="CE270" s="784" cm="1">
        <f t="array" aca="1" ref="CE270" ca="1">INDIRECT("'Definition of Typical Day'!"&amp;ADDRESS(CE$16,$E270))</f>
        <v>11</v>
      </c>
      <c r="CF270" s="232"/>
      <c r="CG270" s="232"/>
      <c r="CH270" s="776">
        <f t="shared" ca="1" si="240"/>
        <v>0</v>
      </c>
      <c r="CI270" s="806">
        <f t="shared" ca="1" si="241"/>
        <v>0</v>
      </c>
      <c r="CJ270" s="770">
        <f t="shared" ca="1" si="242"/>
        <v>0</v>
      </c>
      <c r="CK270" s="771">
        <f t="shared" ca="1" si="243"/>
        <v>0</v>
      </c>
      <c r="CL270" s="771">
        <f t="shared" ca="1" si="244"/>
        <v>0</v>
      </c>
      <c r="CM270" s="772">
        <f t="shared" ca="1" si="245"/>
        <v>0</v>
      </c>
      <c r="CN270" s="135"/>
      <c r="CO270" s="770">
        <f t="shared" ca="1" si="295"/>
        <v>1.05</v>
      </c>
      <c r="CP270" s="771">
        <f t="shared" ca="1" si="246"/>
        <v>0.02</v>
      </c>
      <c r="CQ270" s="771">
        <f t="shared" ca="1" si="247"/>
        <v>-2.5000000000000001E-2</v>
      </c>
      <c r="CR270" s="771">
        <f t="shared" ca="1" si="248"/>
        <v>0.95</v>
      </c>
      <c r="CS270" s="771">
        <f t="shared" ca="1" si="249"/>
        <v>0.03</v>
      </c>
      <c r="CT270" s="772">
        <f t="shared" ca="1" si="250"/>
        <v>0.02</v>
      </c>
      <c r="CU270" s="135"/>
      <c r="CV270" s="135"/>
      <c r="CW270" s="135"/>
      <c r="CX270" s="135"/>
      <c r="CY270" s="135"/>
      <c r="CZ270" s="135"/>
      <c r="DA270" s="135"/>
      <c r="DB270" s="135"/>
      <c r="DC270" s="135"/>
      <c r="DD270" s="135"/>
      <c r="DE270" s="135"/>
      <c r="DF270" s="135"/>
      <c r="DG270" s="135"/>
      <c r="DH270" s="135"/>
      <c r="DI270" s="135"/>
      <c r="DJ270" s="135"/>
      <c r="DK270" s="135"/>
      <c r="DL270" s="135"/>
      <c r="DX270" s="135"/>
      <c r="DY270" s="135"/>
      <c r="DZ270" s="135"/>
      <c r="EA270" s="135"/>
      <c r="EB270" s="135"/>
      <c r="EC270" s="135"/>
      <c r="ED270" s="135"/>
      <c r="EE270" s="135"/>
      <c r="EF270" s="135"/>
      <c r="EG270" s="135"/>
      <c r="EH270" s="135"/>
      <c r="EI270" s="135"/>
      <c r="EJ270" s="135"/>
      <c r="EK270" s="135"/>
      <c r="EL270" s="135"/>
      <c r="EM270" s="135"/>
      <c r="EN270" s="135"/>
      <c r="EO270" s="135"/>
      <c r="EP270" s="135"/>
      <c r="EQ270" s="135"/>
      <c r="ER270" s="135"/>
      <c r="ES270" s="135"/>
      <c r="ET270" s="135"/>
      <c r="EU270" s="135"/>
      <c r="EV270" s="135"/>
      <c r="EW270" s="135"/>
      <c r="EX270" s="135"/>
      <c r="EY270" s="135"/>
      <c r="EZ270" s="135"/>
      <c r="FA270" s="135"/>
      <c r="FB270" s="135"/>
      <c r="FC270" s="135"/>
      <c r="FD270" s="135"/>
      <c r="FE270" s="135"/>
      <c r="FF270" s="135"/>
      <c r="FG270" s="135"/>
    </row>
    <row r="271" spans="1:163" s="57" customFormat="1" ht="11.25" outlineLevel="1">
      <c r="A271" s="765">
        <f t="shared" si="296"/>
        <v>11</v>
      </c>
      <c r="B271" s="715" cm="1">
        <f t="array" aca="1" ref="B271" ca="1">INDIRECT("'Definition of Typical Day'!"&amp;ADDRESS(B$16,$E271))</f>
        <v>11</v>
      </c>
      <c r="C271" s="766">
        <f t="shared" si="297"/>
        <v>11</v>
      </c>
      <c r="D271" s="715">
        <f t="shared" si="297"/>
        <v>45</v>
      </c>
      <c r="E271" s="715">
        <f t="shared" si="225"/>
        <v>15</v>
      </c>
      <c r="F271" s="767" cm="1">
        <f t="array" aca="1" ref="F271" ca="1">INDIRECT("'Definition of Typical Day'!D"&amp;D271)</f>
        <v>11</v>
      </c>
      <c r="G271" s="767" cm="1">
        <f t="array" aca="1" ref="G271" ca="1">INDIRECT("'Definition of Typical Day'!"&amp;ADDRESS(13,E271))</f>
        <v>11</v>
      </c>
      <c r="H271" s="768" cm="1">
        <f t="array" aca="1" ref="H271" ca="1">INDIRECT("'Definition of Typical Day'!"&amp; ADDRESS($D271+28*(H$16-1),$E271))</f>
        <v>0</v>
      </c>
      <c r="I271" s="715" cm="1">
        <f t="array" aca="1" ref="I271" ca="1">INDIRECT("'Definition of Typical Day'!"&amp; ADDRESS($D271+29*(I$16-1),$E271))</f>
        <v>0</v>
      </c>
      <c r="J271" s="715">
        <f t="shared" ca="1" si="251"/>
        <v>0</v>
      </c>
      <c r="K271" s="785">
        <f t="shared" si="252"/>
        <v>28</v>
      </c>
      <c r="L271" s="786" cm="1">
        <f t="array" aca="1" ref="L271" ca="1">INDIRECT("'Definition of Typical Day'!"&amp; ADDRESS($D271+29*(L$16-1),$E271))</f>
        <v>0</v>
      </c>
      <c r="M271" s="768" cm="1">
        <f t="array" aca="1" ref="M271" ca="1">INDIRECT("'Definition of Typical Day'!"&amp; ADDRESS($D271+29*(M$16-1),$E271))</f>
        <v>0</v>
      </c>
      <c r="N271" s="715">
        <f t="shared" si="253"/>
        <v>3</v>
      </c>
      <c r="O271" s="715">
        <f t="shared" ca="1" si="254"/>
        <v>3</v>
      </c>
      <c r="P271" s="715" cm="1">
        <f t="array" aca="1" ref="P271" ca="1">INDIRECT("'Definition of Typical Day'!"&amp; ADDRESS($D271+29*(P$16-1),$E271))</f>
        <v>0</v>
      </c>
      <c r="Q271" s="787">
        <f t="shared" ca="1" si="255"/>
        <v>3</v>
      </c>
      <c r="R271" s="792">
        <f t="shared" ca="1" si="256"/>
        <v>3</v>
      </c>
      <c r="S271" s="769">
        <f t="shared" si="257"/>
        <v>3</v>
      </c>
      <c r="T271" s="769">
        <f t="shared" ca="1" si="258"/>
        <v>-0.5</v>
      </c>
      <c r="U271" s="769">
        <f t="shared" ca="1" si="259"/>
        <v>2.262</v>
      </c>
      <c r="V271" s="769">
        <f t="shared" ca="1" si="260"/>
        <v>0</v>
      </c>
      <c r="W271" s="769">
        <f t="shared" ca="1" si="261"/>
        <v>4.7620000000000005</v>
      </c>
      <c r="X271" s="794">
        <f t="shared" si="262"/>
        <v>3</v>
      </c>
      <c r="Y271" s="769">
        <f t="shared" ca="1" si="263"/>
        <v>0.54772255750516607</v>
      </c>
      <c r="Z271" s="769">
        <f t="shared" ca="1" si="264"/>
        <v>0</v>
      </c>
      <c r="AA271" s="795">
        <f t="shared" ca="1" si="265"/>
        <v>0</v>
      </c>
      <c r="AB271" s="769">
        <f t="shared" ca="1" si="266"/>
        <v>0</v>
      </c>
      <c r="AC271" s="769">
        <f t="shared" ca="1" si="267"/>
        <v>0</v>
      </c>
      <c r="AD271" s="769">
        <f t="shared" ca="1" si="268"/>
        <v>0</v>
      </c>
      <c r="AE271" s="794">
        <f t="shared" ca="1" si="269"/>
        <v>0</v>
      </c>
      <c r="AF271" s="769">
        <f t="shared" ca="1" si="270"/>
        <v>0</v>
      </c>
      <c r="AG271" s="769">
        <f t="shared" ca="1" si="271"/>
        <v>0</v>
      </c>
      <c r="AH271" s="799">
        <f t="shared" ca="1" si="272"/>
        <v>0</v>
      </c>
      <c r="AI271" s="801">
        <f t="shared" ca="1" si="273"/>
        <v>1</v>
      </c>
      <c r="AJ271" s="794">
        <f t="shared" ca="1" si="274"/>
        <v>0</v>
      </c>
      <c r="AK271" s="769">
        <f t="shared" ca="1" si="275"/>
        <v>0</v>
      </c>
      <c r="AL271" s="769">
        <f t="shared" ca="1" si="276"/>
        <v>0</v>
      </c>
      <c r="AM271" s="804">
        <f t="shared" ca="1" si="226"/>
        <v>0</v>
      </c>
      <c r="AN271" s="795">
        <f t="shared" ca="1" si="227"/>
        <v>0</v>
      </c>
      <c r="AO271" s="251"/>
      <c r="AP271" s="770">
        <f t="shared" si="277"/>
        <v>0</v>
      </c>
      <c r="AQ271" s="771">
        <f t="shared" ca="1" si="278"/>
        <v>0</v>
      </c>
      <c r="AR271" s="771">
        <f t="shared" ca="1" si="279"/>
        <v>0</v>
      </c>
      <c r="AS271" s="772">
        <f t="shared" ca="1" si="280"/>
        <v>0</v>
      </c>
      <c r="AT271" s="231"/>
      <c r="AU271" s="770">
        <f>'Main Results - IRR DC Operator'!$F$16</f>
        <v>2</v>
      </c>
      <c r="AV271" s="773">
        <f>'Main Results - IRR DC Operator'!$F$15</f>
        <v>1</v>
      </c>
      <c r="AW271" s="771">
        <f t="shared" ca="1" si="281"/>
        <v>0</v>
      </c>
      <c r="AX271" s="772">
        <f t="shared" si="282"/>
        <v>0</v>
      </c>
      <c r="AY271" s="231"/>
      <c r="AZ271" s="770" cm="1">
        <f t="array" aca="1" ref="AZ271" ca="1">INDIRECT("'Definition of Typical Day'!"&amp; ADDRESS($D271+29*(AZ$16-1),$E271))+$AZ$17</f>
        <v>11</v>
      </c>
      <c r="BA271" s="771" cm="1">
        <f t="array" aca="1" ref="BA271" ca="1">INDIRECT("'Definition of Typical Day'!"&amp; ADDRESS($D271+29*(BA$16-1),$E271))+$BA$17</f>
        <v>11</v>
      </c>
      <c r="BB271" s="772" cm="1">
        <f t="array" aca="1" ref="BB271" ca="1">INDIRECT("'Definition of Typical Day'!"&amp;ADDRESS(BB$16,$E271))</f>
        <v>0</v>
      </c>
      <c r="BC271" s="776" cm="1">
        <f t="array" aca="1" ref="BC271" ca="1">INDIRECT("'Definition of Typical Day'!"&amp; ADDRESS($D271+29*(BC$16-1),$E271))</f>
        <v>0</v>
      </c>
      <c r="BD271" s="777" cm="1">
        <f t="array" aca="1" ref="BD271" ca="1">INDIRECT("'Definition of Typical Day'!"&amp; ADDRESS($D271+29*(BD$16-1),$E271))</f>
        <v>0</v>
      </c>
      <c r="BE271" s="776">
        <f t="shared" si="283"/>
        <v>0</v>
      </c>
      <c r="BF271" s="771">
        <f t="shared" ca="1" si="284"/>
        <v>0</v>
      </c>
      <c r="BG271" s="771">
        <f t="shared" ca="1" si="285"/>
        <v>0</v>
      </c>
      <c r="BH271" s="771">
        <f t="shared" ca="1" si="286"/>
        <v>0</v>
      </c>
      <c r="BI271" s="776">
        <f t="shared" ca="1" si="287"/>
        <v>0</v>
      </c>
      <c r="BJ271" s="776">
        <f t="shared" ca="1" si="288"/>
        <v>0</v>
      </c>
      <c r="BK271" s="776">
        <f t="shared" ca="1" si="289"/>
        <v>0</v>
      </c>
      <c r="BL271" s="776">
        <f t="shared" ca="1" si="290"/>
        <v>0</v>
      </c>
      <c r="BM271" s="135"/>
      <c r="BN271" s="776">
        <f t="shared" ca="1" si="291"/>
        <v>0</v>
      </c>
      <c r="BO271" s="778">
        <f t="shared" ca="1" si="228"/>
        <v>0</v>
      </c>
      <c r="BP271" s="770">
        <f t="shared" ca="1" si="229"/>
        <v>0</v>
      </c>
      <c r="BQ271" s="771">
        <f t="shared" ca="1" si="230"/>
        <v>0</v>
      </c>
      <c r="BR271" s="771">
        <f t="shared" ca="1" si="231"/>
        <v>0</v>
      </c>
      <c r="BS271" s="776">
        <f t="shared" ca="1" si="292"/>
        <v>0</v>
      </c>
      <c r="BT271" s="776">
        <f t="shared" ca="1" si="232"/>
        <v>0</v>
      </c>
      <c r="BU271" s="783">
        <f t="shared" ca="1" si="233"/>
        <v>0</v>
      </c>
      <c r="BV271" s="783">
        <f t="shared" ca="1" si="234"/>
        <v>0</v>
      </c>
      <c r="BW271" s="1019">
        <f t="shared" ca="1" si="293"/>
        <v>0</v>
      </c>
      <c r="BX271" s="771" cm="1">
        <f t="array" aca="1" ref="BX271" ca="1">INDIRECT("'Definition of Typical Day'!"&amp; ADDRESS($D271+29*(BX$16-1),$E271))</f>
        <v>0</v>
      </c>
      <c r="BY271" s="771">
        <f t="shared" ca="1" si="294"/>
        <v>0</v>
      </c>
      <c r="BZ271" s="781">
        <f t="shared" ca="1" si="235"/>
        <v>0</v>
      </c>
      <c r="CA271" s="781">
        <f t="shared" ca="1" si="236"/>
        <v>0</v>
      </c>
      <c r="CB271" s="776">
        <f t="shared" ca="1" si="237"/>
        <v>0</v>
      </c>
      <c r="CC271" s="782">
        <f t="shared" si="238"/>
        <v>11</v>
      </c>
      <c r="CD271" s="782">
        <f t="shared" si="239"/>
        <v>11</v>
      </c>
      <c r="CE271" s="784" cm="1">
        <f t="array" aca="1" ref="CE271" ca="1">INDIRECT("'Definition of Typical Day'!"&amp;ADDRESS(CE$16,$E271))</f>
        <v>11</v>
      </c>
      <c r="CF271" s="232"/>
      <c r="CG271" s="232"/>
      <c r="CH271" s="776">
        <f t="shared" ca="1" si="240"/>
        <v>0</v>
      </c>
      <c r="CI271" s="806">
        <f t="shared" ca="1" si="241"/>
        <v>0</v>
      </c>
      <c r="CJ271" s="770">
        <f t="shared" ca="1" si="242"/>
        <v>0</v>
      </c>
      <c r="CK271" s="771">
        <f t="shared" ca="1" si="243"/>
        <v>0</v>
      </c>
      <c r="CL271" s="771">
        <f t="shared" ca="1" si="244"/>
        <v>0</v>
      </c>
      <c r="CM271" s="772">
        <f t="shared" ca="1" si="245"/>
        <v>0</v>
      </c>
      <c r="CN271" s="135"/>
      <c r="CO271" s="770">
        <f t="shared" ca="1" si="295"/>
        <v>1.05</v>
      </c>
      <c r="CP271" s="771">
        <f t="shared" ca="1" si="246"/>
        <v>0.02</v>
      </c>
      <c r="CQ271" s="771">
        <f t="shared" ca="1" si="247"/>
        <v>-2.5000000000000001E-2</v>
      </c>
      <c r="CR271" s="771">
        <f t="shared" ca="1" si="248"/>
        <v>0.95</v>
      </c>
      <c r="CS271" s="771">
        <f t="shared" ca="1" si="249"/>
        <v>0.03</v>
      </c>
      <c r="CT271" s="772">
        <f t="shared" ca="1" si="250"/>
        <v>0.02</v>
      </c>
      <c r="CU271" s="135"/>
      <c r="CV271" s="135"/>
      <c r="CW271" s="135"/>
      <c r="CX271" s="135"/>
      <c r="CY271" s="135"/>
      <c r="CZ271" s="135"/>
      <c r="DA271" s="135"/>
      <c r="DB271" s="135"/>
      <c r="DC271" s="135"/>
      <c r="DD271" s="135"/>
      <c r="DE271" s="135"/>
      <c r="DF271" s="135"/>
      <c r="DG271" s="135"/>
      <c r="DH271" s="135"/>
      <c r="DI271" s="135"/>
      <c r="DJ271" s="135"/>
      <c r="DK271" s="135"/>
      <c r="DL271" s="135"/>
      <c r="DX271" s="135"/>
      <c r="DY271" s="135"/>
      <c r="DZ271" s="135"/>
      <c r="EA271" s="135"/>
      <c r="EB271" s="135"/>
      <c r="EC271" s="135"/>
      <c r="ED271" s="135"/>
      <c r="EE271" s="135"/>
      <c r="EF271" s="135"/>
      <c r="EG271" s="135"/>
      <c r="EH271" s="135"/>
      <c r="EI271" s="135"/>
      <c r="EJ271" s="135"/>
      <c r="EK271" s="135"/>
      <c r="EL271" s="135"/>
      <c r="EM271" s="135"/>
      <c r="EN271" s="135"/>
      <c r="EO271" s="135"/>
      <c r="EP271" s="135"/>
      <c r="EQ271" s="135"/>
      <c r="ER271" s="135"/>
      <c r="ES271" s="135"/>
      <c r="ET271" s="135"/>
      <c r="EU271" s="135"/>
      <c r="EV271" s="135"/>
      <c r="EW271" s="135"/>
      <c r="EX271" s="135"/>
      <c r="EY271" s="135"/>
      <c r="EZ271" s="135"/>
      <c r="FA271" s="135"/>
      <c r="FB271" s="135"/>
      <c r="FC271" s="135"/>
      <c r="FD271" s="135"/>
      <c r="FE271" s="135"/>
      <c r="FF271" s="135"/>
      <c r="FG271" s="135"/>
    </row>
    <row r="272" spans="1:163" s="57" customFormat="1" ht="11.25" outlineLevel="1">
      <c r="A272" s="765">
        <f t="shared" si="296"/>
        <v>11</v>
      </c>
      <c r="B272" s="715" cm="1">
        <f t="array" aca="1" ref="B272" ca="1">INDIRECT("'Definition of Typical Day'!"&amp;ADDRESS(B$16,$E272))</f>
        <v>11</v>
      </c>
      <c r="C272" s="766">
        <f t="shared" si="297"/>
        <v>12</v>
      </c>
      <c r="D272" s="715">
        <f t="shared" si="297"/>
        <v>46</v>
      </c>
      <c r="E272" s="715">
        <f t="shared" si="225"/>
        <v>15</v>
      </c>
      <c r="F272" s="767" cm="1">
        <f t="array" aca="1" ref="F272" ca="1">INDIRECT("'Definition of Typical Day'!D"&amp;D272)</f>
        <v>12</v>
      </c>
      <c r="G272" s="767" cm="1">
        <f t="array" aca="1" ref="G272" ca="1">INDIRECT("'Definition of Typical Day'!"&amp;ADDRESS(13,E272))</f>
        <v>11</v>
      </c>
      <c r="H272" s="768" cm="1">
        <f t="array" aca="1" ref="H272" ca="1">INDIRECT("'Definition of Typical Day'!"&amp; ADDRESS($D272+28*(H$16-1),$E272))</f>
        <v>0</v>
      </c>
      <c r="I272" s="715" cm="1">
        <f t="array" aca="1" ref="I272" ca="1">INDIRECT("'Definition of Typical Day'!"&amp; ADDRESS($D272+29*(I$16-1),$E272))</f>
        <v>0</v>
      </c>
      <c r="J272" s="715">
        <f t="shared" ca="1" si="251"/>
        <v>0</v>
      </c>
      <c r="K272" s="785">
        <f t="shared" si="252"/>
        <v>28</v>
      </c>
      <c r="L272" s="786" cm="1">
        <f t="array" aca="1" ref="L272" ca="1">INDIRECT("'Definition of Typical Day'!"&amp; ADDRESS($D272+29*(L$16-1),$E272))</f>
        <v>0</v>
      </c>
      <c r="M272" s="768" cm="1">
        <f t="array" aca="1" ref="M272" ca="1">INDIRECT("'Definition of Typical Day'!"&amp; ADDRESS($D272+29*(M$16-1),$E272))</f>
        <v>0</v>
      </c>
      <c r="N272" s="715">
        <f t="shared" si="253"/>
        <v>3</v>
      </c>
      <c r="O272" s="715">
        <f t="shared" ca="1" si="254"/>
        <v>3</v>
      </c>
      <c r="P272" s="715" cm="1">
        <f t="array" aca="1" ref="P272" ca="1">INDIRECT("'Definition of Typical Day'!"&amp; ADDRESS($D272+29*(P$16-1),$E272))</f>
        <v>0</v>
      </c>
      <c r="Q272" s="787">
        <f t="shared" ca="1" si="255"/>
        <v>3</v>
      </c>
      <c r="R272" s="792">
        <f t="shared" ca="1" si="256"/>
        <v>3</v>
      </c>
      <c r="S272" s="769">
        <f t="shared" si="257"/>
        <v>3</v>
      </c>
      <c r="T272" s="769">
        <f t="shared" ca="1" si="258"/>
        <v>-0.5</v>
      </c>
      <c r="U272" s="769">
        <f t="shared" ca="1" si="259"/>
        <v>2.262</v>
      </c>
      <c r="V272" s="769">
        <f t="shared" ca="1" si="260"/>
        <v>0</v>
      </c>
      <c r="W272" s="769">
        <f t="shared" ca="1" si="261"/>
        <v>4.7620000000000005</v>
      </c>
      <c r="X272" s="794">
        <f t="shared" si="262"/>
        <v>3</v>
      </c>
      <c r="Y272" s="769">
        <f t="shared" ca="1" si="263"/>
        <v>0.54772255750516607</v>
      </c>
      <c r="Z272" s="769">
        <f t="shared" ca="1" si="264"/>
        <v>0</v>
      </c>
      <c r="AA272" s="795">
        <f t="shared" ca="1" si="265"/>
        <v>0</v>
      </c>
      <c r="AB272" s="769">
        <f t="shared" ca="1" si="266"/>
        <v>0</v>
      </c>
      <c r="AC272" s="769">
        <f t="shared" ca="1" si="267"/>
        <v>0</v>
      </c>
      <c r="AD272" s="769">
        <f t="shared" ca="1" si="268"/>
        <v>0</v>
      </c>
      <c r="AE272" s="794">
        <f t="shared" ca="1" si="269"/>
        <v>0</v>
      </c>
      <c r="AF272" s="769">
        <f t="shared" ca="1" si="270"/>
        <v>0</v>
      </c>
      <c r="AG272" s="769">
        <f t="shared" ca="1" si="271"/>
        <v>0</v>
      </c>
      <c r="AH272" s="799">
        <f t="shared" ca="1" si="272"/>
        <v>0</v>
      </c>
      <c r="AI272" s="801">
        <f t="shared" ca="1" si="273"/>
        <v>1</v>
      </c>
      <c r="AJ272" s="794">
        <f t="shared" ca="1" si="274"/>
        <v>0</v>
      </c>
      <c r="AK272" s="769">
        <f t="shared" ca="1" si="275"/>
        <v>0</v>
      </c>
      <c r="AL272" s="769">
        <f t="shared" ca="1" si="276"/>
        <v>0</v>
      </c>
      <c r="AM272" s="804">
        <f t="shared" ca="1" si="226"/>
        <v>0</v>
      </c>
      <c r="AN272" s="795">
        <f t="shared" ca="1" si="227"/>
        <v>0</v>
      </c>
      <c r="AO272" s="251"/>
      <c r="AP272" s="770">
        <f t="shared" si="277"/>
        <v>0</v>
      </c>
      <c r="AQ272" s="771">
        <f t="shared" ca="1" si="278"/>
        <v>0</v>
      </c>
      <c r="AR272" s="771">
        <f t="shared" ca="1" si="279"/>
        <v>0</v>
      </c>
      <c r="AS272" s="772">
        <f t="shared" ca="1" si="280"/>
        <v>0</v>
      </c>
      <c r="AT272" s="231"/>
      <c r="AU272" s="770">
        <f>'Main Results - IRR DC Operator'!$F$16</f>
        <v>2</v>
      </c>
      <c r="AV272" s="773">
        <f>'Main Results - IRR DC Operator'!$F$15</f>
        <v>1</v>
      </c>
      <c r="AW272" s="771">
        <f t="shared" ca="1" si="281"/>
        <v>0</v>
      </c>
      <c r="AX272" s="772">
        <f t="shared" si="282"/>
        <v>0</v>
      </c>
      <c r="AY272" s="231"/>
      <c r="AZ272" s="770" cm="1">
        <f t="array" aca="1" ref="AZ272" ca="1">INDIRECT("'Definition of Typical Day'!"&amp; ADDRESS($D272+29*(AZ$16-1),$E272))+$AZ$17</f>
        <v>11</v>
      </c>
      <c r="BA272" s="771" cm="1">
        <f t="array" aca="1" ref="BA272" ca="1">INDIRECT("'Definition of Typical Day'!"&amp; ADDRESS($D272+29*(BA$16-1),$E272))+$BA$17</f>
        <v>11</v>
      </c>
      <c r="BB272" s="772" cm="1">
        <f t="array" aca="1" ref="BB272" ca="1">INDIRECT("'Definition of Typical Day'!"&amp;ADDRESS(BB$16,$E272))</f>
        <v>0</v>
      </c>
      <c r="BC272" s="776" cm="1">
        <f t="array" aca="1" ref="BC272" ca="1">INDIRECT("'Definition of Typical Day'!"&amp; ADDRESS($D272+29*(BC$16-1),$E272))</f>
        <v>0</v>
      </c>
      <c r="BD272" s="777" cm="1">
        <f t="array" aca="1" ref="BD272" ca="1">INDIRECT("'Definition of Typical Day'!"&amp; ADDRESS($D272+29*(BD$16-1),$E272))</f>
        <v>0</v>
      </c>
      <c r="BE272" s="776">
        <f t="shared" si="283"/>
        <v>0</v>
      </c>
      <c r="BF272" s="771">
        <f t="shared" ca="1" si="284"/>
        <v>0</v>
      </c>
      <c r="BG272" s="771">
        <f t="shared" ca="1" si="285"/>
        <v>0</v>
      </c>
      <c r="BH272" s="771">
        <f t="shared" ca="1" si="286"/>
        <v>0</v>
      </c>
      <c r="BI272" s="776">
        <f t="shared" ca="1" si="287"/>
        <v>0</v>
      </c>
      <c r="BJ272" s="776">
        <f t="shared" ca="1" si="288"/>
        <v>0</v>
      </c>
      <c r="BK272" s="776">
        <f t="shared" ca="1" si="289"/>
        <v>0</v>
      </c>
      <c r="BL272" s="776">
        <f t="shared" ca="1" si="290"/>
        <v>0</v>
      </c>
      <c r="BM272" s="135"/>
      <c r="BN272" s="776">
        <f t="shared" ca="1" si="291"/>
        <v>0</v>
      </c>
      <c r="BO272" s="778">
        <f t="shared" ca="1" si="228"/>
        <v>0</v>
      </c>
      <c r="BP272" s="770">
        <f t="shared" ca="1" si="229"/>
        <v>0</v>
      </c>
      <c r="BQ272" s="771">
        <f t="shared" ca="1" si="230"/>
        <v>0</v>
      </c>
      <c r="BR272" s="771">
        <f t="shared" ca="1" si="231"/>
        <v>0</v>
      </c>
      <c r="BS272" s="776">
        <f t="shared" ca="1" si="292"/>
        <v>0</v>
      </c>
      <c r="BT272" s="776">
        <f t="shared" ca="1" si="232"/>
        <v>0</v>
      </c>
      <c r="BU272" s="783">
        <f t="shared" ca="1" si="233"/>
        <v>0</v>
      </c>
      <c r="BV272" s="783">
        <f t="shared" ca="1" si="234"/>
        <v>0</v>
      </c>
      <c r="BW272" s="1019">
        <f t="shared" ca="1" si="293"/>
        <v>0</v>
      </c>
      <c r="BX272" s="771" cm="1">
        <f t="array" aca="1" ref="BX272" ca="1">INDIRECT("'Definition of Typical Day'!"&amp; ADDRESS($D272+29*(BX$16-1),$E272))</f>
        <v>0</v>
      </c>
      <c r="BY272" s="771">
        <f t="shared" ca="1" si="294"/>
        <v>0</v>
      </c>
      <c r="BZ272" s="781">
        <f t="shared" ca="1" si="235"/>
        <v>0</v>
      </c>
      <c r="CA272" s="781">
        <f t="shared" ca="1" si="236"/>
        <v>0</v>
      </c>
      <c r="CB272" s="776">
        <f t="shared" ca="1" si="237"/>
        <v>0</v>
      </c>
      <c r="CC272" s="782">
        <f t="shared" si="238"/>
        <v>11</v>
      </c>
      <c r="CD272" s="782">
        <f t="shared" si="239"/>
        <v>12</v>
      </c>
      <c r="CE272" s="784" cm="1">
        <f t="array" aca="1" ref="CE272" ca="1">INDIRECT("'Definition of Typical Day'!"&amp;ADDRESS(CE$16,$E272))</f>
        <v>11</v>
      </c>
      <c r="CF272" s="232"/>
      <c r="CG272" s="232"/>
      <c r="CH272" s="776">
        <f t="shared" ca="1" si="240"/>
        <v>0</v>
      </c>
      <c r="CI272" s="806">
        <f t="shared" ca="1" si="241"/>
        <v>0</v>
      </c>
      <c r="CJ272" s="770">
        <f t="shared" ca="1" si="242"/>
        <v>0</v>
      </c>
      <c r="CK272" s="771">
        <f t="shared" ca="1" si="243"/>
        <v>0</v>
      </c>
      <c r="CL272" s="771">
        <f t="shared" ca="1" si="244"/>
        <v>0</v>
      </c>
      <c r="CM272" s="772">
        <f t="shared" ca="1" si="245"/>
        <v>0</v>
      </c>
      <c r="CN272" s="135"/>
      <c r="CO272" s="770">
        <f t="shared" ca="1" si="295"/>
        <v>1.05</v>
      </c>
      <c r="CP272" s="771">
        <f t="shared" ca="1" si="246"/>
        <v>0.02</v>
      </c>
      <c r="CQ272" s="771">
        <f t="shared" ca="1" si="247"/>
        <v>-2.5000000000000001E-2</v>
      </c>
      <c r="CR272" s="771">
        <f t="shared" ca="1" si="248"/>
        <v>0.95</v>
      </c>
      <c r="CS272" s="771">
        <f t="shared" ca="1" si="249"/>
        <v>0.03</v>
      </c>
      <c r="CT272" s="772">
        <f t="shared" ca="1" si="250"/>
        <v>0.02</v>
      </c>
      <c r="CU272" s="135"/>
      <c r="CV272" s="135"/>
      <c r="CW272" s="135"/>
      <c r="CX272" s="135"/>
      <c r="CY272" s="135"/>
      <c r="CZ272" s="135"/>
      <c r="DA272" s="135"/>
      <c r="DB272" s="135"/>
      <c r="DC272" s="135"/>
      <c r="DD272" s="135"/>
      <c r="DE272" s="135"/>
      <c r="DF272" s="135"/>
      <c r="DG272" s="135"/>
      <c r="DH272" s="135"/>
      <c r="DI272" s="135"/>
      <c r="DJ272" s="135"/>
      <c r="DK272" s="135"/>
      <c r="DL272" s="135"/>
      <c r="DX272" s="135"/>
      <c r="DY272" s="135"/>
      <c r="DZ272" s="135"/>
      <c r="EA272" s="135"/>
      <c r="EB272" s="135"/>
      <c r="EC272" s="135"/>
      <c r="ED272" s="135"/>
      <c r="EE272" s="135"/>
      <c r="EF272" s="135"/>
      <c r="EG272" s="135"/>
      <c r="EH272" s="135"/>
      <c r="EI272" s="135"/>
      <c r="EJ272" s="135"/>
      <c r="EK272" s="135"/>
      <c r="EL272" s="135"/>
      <c r="EM272" s="135"/>
      <c r="EN272" s="135"/>
      <c r="EO272" s="135"/>
      <c r="EP272" s="135"/>
      <c r="EQ272" s="135"/>
      <c r="ER272" s="135"/>
      <c r="ES272" s="135"/>
      <c r="ET272" s="135"/>
      <c r="EU272" s="135"/>
      <c r="EV272" s="135"/>
      <c r="EW272" s="135"/>
      <c r="EX272" s="135"/>
      <c r="EY272" s="135"/>
      <c r="EZ272" s="135"/>
      <c r="FA272" s="135"/>
      <c r="FB272" s="135"/>
      <c r="FC272" s="135"/>
      <c r="FD272" s="135"/>
      <c r="FE272" s="135"/>
      <c r="FF272" s="135"/>
      <c r="FG272" s="135"/>
    </row>
    <row r="273" spans="1:163" s="57" customFormat="1" ht="11.25" outlineLevel="1">
      <c r="A273" s="765">
        <f t="shared" si="296"/>
        <v>11</v>
      </c>
      <c r="B273" s="715" cm="1">
        <f t="array" aca="1" ref="B273" ca="1">INDIRECT("'Definition of Typical Day'!"&amp;ADDRESS(B$16,$E273))</f>
        <v>11</v>
      </c>
      <c r="C273" s="766">
        <f t="shared" si="297"/>
        <v>13</v>
      </c>
      <c r="D273" s="715">
        <f t="shared" si="297"/>
        <v>47</v>
      </c>
      <c r="E273" s="715">
        <f t="shared" si="225"/>
        <v>15</v>
      </c>
      <c r="F273" s="767" cm="1">
        <f t="array" aca="1" ref="F273" ca="1">INDIRECT("'Definition of Typical Day'!D"&amp;D273)</f>
        <v>13</v>
      </c>
      <c r="G273" s="767" cm="1">
        <f t="array" aca="1" ref="G273" ca="1">INDIRECT("'Definition of Typical Day'!"&amp;ADDRESS(13,E273))</f>
        <v>11</v>
      </c>
      <c r="H273" s="768" cm="1">
        <f t="array" aca="1" ref="H273" ca="1">INDIRECT("'Definition of Typical Day'!"&amp; ADDRESS($D273+28*(H$16-1),$E273))</f>
        <v>0</v>
      </c>
      <c r="I273" s="715" cm="1">
        <f t="array" aca="1" ref="I273" ca="1">INDIRECT("'Definition of Typical Day'!"&amp; ADDRESS($D273+29*(I$16-1),$E273))</f>
        <v>0</v>
      </c>
      <c r="J273" s="715">
        <f t="shared" ca="1" si="251"/>
        <v>0</v>
      </c>
      <c r="K273" s="785">
        <f t="shared" si="252"/>
        <v>28</v>
      </c>
      <c r="L273" s="786" cm="1">
        <f t="array" aca="1" ref="L273" ca="1">INDIRECT("'Definition of Typical Day'!"&amp; ADDRESS($D273+29*(L$16-1),$E273))</f>
        <v>0</v>
      </c>
      <c r="M273" s="768" cm="1">
        <f t="array" aca="1" ref="M273" ca="1">INDIRECT("'Definition of Typical Day'!"&amp; ADDRESS($D273+29*(M$16-1),$E273))</f>
        <v>0</v>
      </c>
      <c r="N273" s="715">
        <f t="shared" si="253"/>
        <v>3</v>
      </c>
      <c r="O273" s="715">
        <f t="shared" ca="1" si="254"/>
        <v>3</v>
      </c>
      <c r="P273" s="715" cm="1">
        <f t="array" aca="1" ref="P273" ca="1">INDIRECT("'Definition of Typical Day'!"&amp; ADDRESS($D273+29*(P$16-1),$E273))</f>
        <v>0</v>
      </c>
      <c r="Q273" s="787">
        <f t="shared" ca="1" si="255"/>
        <v>3</v>
      </c>
      <c r="R273" s="792">
        <f t="shared" ca="1" si="256"/>
        <v>3</v>
      </c>
      <c r="S273" s="769">
        <f t="shared" si="257"/>
        <v>3</v>
      </c>
      <c r="T273" s="769">
        <f t="shared" ca="1" si="258"/>
        <v>-0.5</v>
      </c>
      <c r="U273" s="769">
        <f t="shared" ca="1" si="259"/>
        <v>2.262</v>
      </c>
      <c r="V273" s="769">
        <f t="shared" ca="1" si="260"/>
        <v>0</v>
      </c>
      <c r="W273" s="769">
        <f t="shared" ca="1" si="261"/>
        <v>4.7620000000000005</v>
      </c>
      <c r="X273" s="794">
        <f t="shared" si="262"/>
        <v>3</v>
      </c>
      <c r="Y273" s="769">
        <f t="shared" ca="1" si="263"/>
        <v>0.54772255750516607</v>
      </c>
      <c r="Z273" s="769">
        <f t="shared" ca="1" si="264"/>
        <v>0</v>
      </c>
      <c r="AA273" s="795">
        <f t="shared" ca="1" si="265"/>
        <v>0</v>
      </c>
      <c r="AB273" s="769">
        <f t="shared" ca="1" si="266"/>
        <v>0</v>
      </c>
      <c r="AC273" s="769">
        <f t="shared" ca="1" si="267"/>
        <v>0</v>
      </c>
      <c r="AD273" s="769">
        <f t="shared" ca="1" si="268"/>
        <v>0</v>
      </c>
      <c r="AE273" s="794">
        <f t="shared" ca="1" si="269"/>
        <v>0</v>
      </c>
      <c r="AF273" s="769">
        <f t="shared" ca="1" si="270"/>
        <v>0</v>
      </c>
      <c r="AG273" s="769">
        <f t="shared" ca="1" si="271"/>
        <v>0</v>
      </c>
      <c r="AH273" s="799">
        <f t="shared" ca="1" si="272"/>
        <v>0</v>
      </c>
      <c r="AI273" s="801">
        <f t="shared" ca="1" si="273"/>
        <v>1</v>
      </c>
      <c r="AJ273" s="794">
        <f t="shared" ca="1" si="274"/>
        <v>0</v>
      </c>
      <c r="AK273" s="769">
        <f t="shared" ca="1" si="275"/>
        <v>0</v>
      </c>
      <c r="AL273" s="769">
        <f t="shared" ca="1" si="276"/>
        <v>0</v>
      </c>
      <c r="AM273" s="804">
        <f t="shared" ca="1" si="226"/>
        <v>0</v>
      </c>
      <c r="AN273" s="795">
        <f t="shared" ca="1" si="227"/>
        <v>0</v>
      </c>
      <c r="AO273" s="251"/>
      <c r="AP273" s="770">
        <f t="shared" si="277"/>
        <v>0</v>
      </c>
      <c r="AQ273" s="771">
        <f t="shared" ca="1" si="278"/>
        <v>0</v>
      </c>
      <c r="AR273" s="771">
        <f t="shared" ca="1" si="279"/>
        <v>0</v>
      </c>
      <c r="AS273" s="772">
        <f t="shared" ca="1" si="280"/>
        <v>0</v>
      </c>
      <c r="AT273" s="231"/>
      <c r="AU273" s="770">
        <f>'Main Results - IRR DC Operator'!$F$16</f>
        <v>2</v>
      </c>
      <c r="AV273" s="773">
        <f>'Main Results - IRR DC Operator'!$F$15</f>
        <v>1</v>
      </c>
      <c r="AW273" s="771">
        <f t="shared" ca="1" si="281"/>
        <v>0</v>
      </c>
      <c r="AX273" s="772">
        <f t="shared" si="282"/>
        <v>0</v>
      </c>
      <c r="AY273" s="231"/>
      <c r="AZ273" s="770" cm="1">
        <f t="array" aca="1" ref="AZ273" ca="1">INDIRECT("'Definition of Typical Day'!"&amp; ADDRESS($D273+29*(AZ$16-1),$E273))+$AZ$17</f>
        <v>11</v>
      </c>
      <c r="BA273" s="771" cm="1">
        <f t="array" aca="1" ref="BA273" ca="1">INDIRECT("'Definition of Typical Day'!"&amp; ADDRESS($D273+29*(BA$16-1),$E273))+$BA$17</f>
        <v>11</v>
      </c>
      <c r="BB273" s="772" cm="1">
        <f t="array" aca="1" ref="BB273" ca="1">INDIRECT("'Definition of Typical Day'!"&amp;ADDRESS(BB$16,$E273))</f>
        <v>0</v>
      </c>
      <c r="BC273" s="776" cm="1">
        <f t="array" aca="1" ref="BC273" ca="1">INDIRECT("'Definition of Typical Day'!"&amp; ADDRESS($D273+29*(BC$16-1),$E273))</f>
        <v>0</v>
      </c>
      <c r="BD273" s="777" cm="1">
        <f t="array" aca="1" ref="BD273" ca="1">INDIRECT("'Definition of Typical Day'!"&amp; ADDRESS($D273+29*(BD$16-1),$E273))</f>
        <v>0</v>
      </c>
      <c r="BE273" s="776">
        <f t="shared" si="283"/>
        <v>0</v>
      </c>
      <c r="BF273" s="771">
        <f t="shared" ca="1" si="284"/>
        <v>0</v>
      </c>
      <c r="BG273" s="771">
        <f t="shared" ca="1" si="285"/>
        <v>0</v>
      </c>
      <c r="BH273" s="771">
        <f t="shared" ca="1" si="286"/>
        <v>0</v>
      </c>
      <c r="BI273" s="776">
        <f t="shared" ca="1" si="287"/>
        <v>0</v>
      </c>
      <c r="BJ273" s="776">
        <f t="shared" ca="1" si="288"/>
        <v>0</v>
      </c>
      <c r="BK273" s="776">
        <f t="shared" ca="1" si="289"/>
        <v>0</v>
      </c>
      <c r="BL273" s="776">
        <f t="shared" ca="1" si="290"/>
        <v>0</v>
      </c>
      <c r="BM273" s="135"/>
      <c r="BN273" s="776">
        <f t="shared" ca="1" si="291"/>
        <v>0</v>
      </c>
      <c r="BO273" s="778">
        <f t="shared" ca="1" si="228"/>
        <v>0</v>
      </c>
      <c r="BP273" s="770">
        <f t="shared" ca="1" si="229"/>
        <v>0</v>
      </c>
      <c r="BQ273" s="771">
        <f t="shared" ca="1" si="230"/>
        <v>0</v>
      </c>
      <c r="BR273" s="771">
        <f t="shared" ca="1" si="231"/>
        <v>0</v>
      </c>
      <c r="BS273" s="776">
        <f t="shared" ca="1" si="292"/>
        <v>0</v>
      </c>
      <c r="BT273" s="776">
        <f t="shared" ca="1" si="232"/>
        <v>0</v>
      </c>
      <c r="BU273" s="783">
        <f t="shared" ca="1" si="233"/>
        <v>0</v>
      </c>
      <c r="BV273" s="783">
        <f t="shared" ca="1" si="234"/>
        <v>0</v>
      </c>
      <c r="BW273" s="1019">
        <f t="shared" ca="1" si="293"/>
        <v>0</v>
      </c>
      <c r="BX273" s="771" cm="1">
        <f t="array" aca="1" ref="BX273" ca="1">INDIRECT("'Definition of Typical Day'!"&amp; ADDRESS($D273+29*(BX$16-1),$E273))</f>
        <v>0</v>
      </c>
      <c r="BY273" s="771">
        <f t="shared" ca="1" si="294"/>
        <v>0</v>
      </c>
      <c r="BZ273" s="781">
        <f t="shared" ca="1" si="235"/>
        <v>0</v>
      </c>
      <c r="CA273" s="781">
        <f t="shared" ca="1" si="236"/>
        <v>0</v>
      </c>
      <c r="CB273" s="776">
        <f t="shared" ca="1" si="237"/>
        <v>0</v>
      </c>
      <c r="CC273" s="782">
        <f t="shared" si="238"/>
        <v>11</v>
      </c>
      <c r="CD273" s="782">
        <f t="shared" si="239"/>
        <v>13</v>
      </c>
      <c r="CE273" s="784" cm="1">
        <f t="array" aca="1" ref="CE273" ca="1">INDIRECT("'Definition of Typical Day'!"&amp;ADDRESS(CE$16,$E273))</f>
        <v>11</v>
      </c>
      <c r="CF273" s="232"/>
      <c r="CG273" s="232"/>
      <c r="CH273" s="776">
        <f t="shared" ca="1" si="240"/>
        <v>0</v>
      </c>
      <c r="CI273" s="806">
        <f t="shared" ca="1" si="241"/>
        <v>0</v>
      </c>
      <c r="CJ273" s="770">
        <f t="shared" ca="1" si="242"/>
        <v>0</v>
      </c>
      <c r="CK273" s="771">
        <f t="shared" ca="1" si="243"/>
        <v>0</v>
      </c>
      <c r="CL273" s="771">
        <f t="shared" ca="1" si="244"/>
        <v>0</v>
      </c>
      <c r="CM273" s="772">
        <f t="shared" ca="1" si="245"/>
        <v>0</v>
      </c>
      <c r="CN273" s="135"/>
      <c r="CO273" s="770">
        <f t="shared" ca="1" si="295"/>
        <v>1.05</v>
      </c>
      <c r="CP273" s="771">
        <f t="shared" ca="1" si="246"/>
        <v>0.02</v>
      </c>
      <c r="CQ273" s="771">
        <f t="shared" ca="1" si="247"/>
        <v>-2.5000000000000001E-2</v>
      </c>
      <c r="CR273" s="771">
        <f t="shared" ca="1" si="248"/>
        <v>0.95</v>
      </c>
      <c r="CS273" s="771">
        <f t="shared" ca="1" si="249"/>
        <v>0.03</v>
      </c>
      <c r="CT273" s="772">
        <f t="shared" ca="1" si="250"/>
        <v>0.02</v>
      </c>
      <c r="CU273" s="135"/>
      <c r="CV273" s="135"/>
      <c r="CW273" s="135"/>
      <c r="CX273" s="135"/>
      <c r="CY273" s="135"/>
      <c r="CZ273" s="135"/>
      <c r="DA273" s="135"/>
      <c r="DB273" s="135"/>
      <c r="DC273" s="135"/>
      <c r="DD273" s="135"/>
      <c r="DE273" s="135"/>
      <c r="DF273" s="135"/>
      <c r="DG273" s="135"/>
      <c r="DH273" s="135"/>
      <c r="DI273" s="135"/>
      <c r="DJ273" s="135"/>
      <c r="DK273" s="135"/>
      <c r="DL273" s="135"/>
      <c r="DX273" s="135"/>
      <c r="DY273" s="135"/>
      <c r="DZ273" s="135"/>
      <c r="EA273" s="135"/>
      <c r="EB273" s="135"/>
      <c r="EC273" s="135"/>
      <c r="ED273" s="135"/>
      <c r="EE273" s="135"/>
      <c r="EF273" s="135"/>
      <c r="EG273" s="135"/>
      <c r="EH273" s="135"/>
      <c r="EI273" s="135"/>
      <c r="EJ273" s="135"/>
      <c r="EK273" s="135"/>
      <c r="EL273" s="135"/>
      <c r="EM273" s="135"/>
      <c r="EN273" s="135"/>
      <c r="EO273" s="135"/>
      <c r="EP273" s="135"/>
      <c r="EQ273" s="135"/>
      <c r="ER273" s="135"/>
      <c r="ES273" s="135"/>
      <c r="ET273" s="135"/>
      <c r="EU273" s="135"/>
      <c r="EV273" s="135"/>
      <c r="EW273" s="135"/>
      <c r="EX273" s="135"/>
      <c r="EY273" s="135"/>
      <c r="EZ273" s="135"/>
      <c r="FA273" s="135"/>
      <c r="FB273" s="135"/>
      <c r="FC273" s="135"/>
      <c r="FD273" s="135"/>
      <c r="FE273" s="135"/>
      <c r="FF273" s="135"/>
      <c r="FG273" s="135"/>
    </row>
    <row r="274" spans="1:163" s="57" customFormat="1" ht="11.25" outlineLevel="1">
      <c r="A274" s="765">
        <f t="shared" si="296"/>
        <v>11</v>
      </c>
      <c r="B274" s="715" cm="1">
        <f t="array" aca="1" ref="B274" ca="1">INDIRECT("'Definition of Typical Day'!"&amp;ADDRESS(B$16,$E274))</f>
        <v>11</v>
      </c>
      <c r="C274" s="766">
        <f t="shared" si="297"/>
        <v>14</v>
      </c>
      <c r="D274" s="715">
        <f t="shared" si="297"/>
        <v>48</v>
      </c>
      <c r="E274" s="715">
        <f t="shared" si="225"/>
        <v>15</v>
      </c>
      <c r="F274" s="767" cm="1">
        <f t="array" aca="1" ref="F274" ca="1">INDIRECT("'Definition of Typical Day'!D"&amp;D274)</f>
        <v>14</v>
      </c>
      <c r="G274" s="767" cm="1">
        <f t="array" aca="1" ref="G274" ca="1">INDIRECT("'Definition of Typical Day'!"&amp;ADDRESS(13,E274))</f>
        <v>11</v>
      </c>
      <c r="H274" s="768" cm="1">
        <f t="array" aca="1" ref="H274" ca="1">INDIRECT("'Definition of Typical Day'!"&amp; ADDRESS($D274+28*(H$16-1),$E274))</f>
        <v>0</v>
      </c>
      <c r="I274" s="715" cm="1">
        <f t="array" aca="1" ref="I274" ca="1">INDIRECT("'Definition of Typical Day'!"&amp; ADDRESS($D274+29*(I$16-1),$E274))</f>
        <v>0</v>
      </c>
      <c r="J274" s="715">
        <f t="shared" ca="1" si="251"/>
        <v>0</v>
      </c>
      <c r="K274" s="785">
        <f t="shared" si="252"/>
        <v>28</v>
      </c>
      <c r="L274" s="786" cm="1">
        <f t="array" aca="1" ref="L274" ca="1">INDIRECT("'Definition of Typical Day'!"&amp; ADDRESS($D274+29*(L$16-1),$E274))</f>
        <v>0</v>
      </c>
      <c r="M274" s="768" cm="1">
        <f t="array" aca="1" ref="M274" ca="1">INDIRECT("'Definition of Typical Day'!"&amp; ADDRESS($D274+29*(M$16-1),$E274))</f>
        <v>0</v>
      </c>
      <c r="N274" s="715">
        <f t="shared" si="253"/>
        <v>3</v>
      </c>
      <c r="O274" s="715">
        <f t="shared" ca="1" si="254"/>
        <v>3</v>
      </c>
      <c r="P274" s="715" cm="1">
        <f t="array" aca="1" ref="P274" ca="1">INDIRECT("'Definition of Typical Day'!"&amp; ADDRESS($D274+29*(P$16-1),$E274))</f>
        <v>0</v>
      </c>
      <c r="Q274" s="787">
        <f t="shared" ca="1" si="255"/>
        <v>3</v>
      </c>
      <c r="R274" s="792">
        <f t="shared" ca="1" si="256"/>
        <v>3</v>
      </c>
      <c r="S274" s="769">
        <f t="shared" si="257"/>
        <v>3</v>
      </c>
      <c r="T274" s="769">
        <f t="shared" ca="1" si="258"/>
        <v>-0.5</v>
      </c>
      <c r="U274" s="769">
        <f t="shared" ca="1" si="259"/>
        <v>2.262</v>
      </c>
      <c r="V274" s="769">
        <f t="shared" ca="1" si="260"/>
        <v>0</v>
      </c>
      <c r="W274" s="769">
        <f t="shared" ca="1" si="261"/>
        <v>4.7620000000000005</v>
      </c>
      <c r="X274" s="794">
        <f t="shared" si="262"/>
        <v>3</v>
      </c>
      <c r="Y274" s="769">
        <f t="shared" ca="1" si="263"/>
        <v>0.54772255750516607</v>
      </c>
      <c r="Z274" s="769">
        <f t="shared" ca="1" si="264"/>
        <v>0</v>
      </c>
      <c r="AA274" s="795">
        <f t="shared" ca="1" si="265"/>
        <v>0</v>
      </c>
      <c r="AB274" s="769">
        <f t="shared" ca="1" si="266"/>
        <v>0</v>
      </c>
      <c r="AC274" s="769">
        <f t="shared" ca="1" si="267"/>
        <v>0</v>
      </c>
      <c r="AD274" s="769">
        <f t="shared" ca="1" si="268"/>
        <v>0</v>
      </c>
      <c r="AE274" s="794">
        <f t="shared" ca="1" si="269"/>
        <v>0</v>
      </c>
      <c r="AF274" s="769">
        <f t="shared" ca="1" si="270"/>
        <v>0</v>
      </c>
      <c r="AG274" s="769">
        <f t="shared" ca="1" si="271"/>
        <v>0</v>
      </c>
      <c r="AH274" s="799">
        <f t="shared" ca="1" si="272"/>
        <v>0</v>
      </c>
      <c r="AI274" s="801">
        <f t="shared" ca="1" si="273"/>
        <v>1</v>
      </c>
      <c r="AJ274" s="794">
        <f t="shared" ca="1" si="274"/>
        <v>0</v>
      </c>
      <c r="AK274" s="769">
        <f t="shared" ca="1" si="275"/>
        <v>0</v>
      </c>
      <c r="AL274" s="769">
        <f t="shared" ca="1" si="276"/>
        <v>0</v>
      </c>
      <c r="AM274" s="804">
        <f t="shared" ca="1" si="226"/>
        <v>0</v>
      </c>
      <c r="AN274" s="795">
        <f t="shared" ca="1" si="227"/>
        <v>0</v>
      </c>
      <c r="AO274" s="251"/>
      <c r="AP274" s="770">
        <f t="shared" si="277"/>
        <v>0</v>
      </c>
      <c r="AQ274" s="771">
        <f t="shared" ca="1" si="278"/>
        <v>0</v>
      </c>
      <c r="AR274" s="771">
        <f t="shared" ca="1" si="279"/>
        <v>0</v>
      </c>
      <c r="AS274" s="772">
        <f t="shared" ca="1" si="280"/>
        <v>0</v>
      </c>
      <c r="AT274" s="231"/>
      <c r="AU274" s="770">
        <f>'Main Results - IRR DC Operator'!$F$16</f>
        <v>2</v>
      </c>
      <c r="AV274" s="773">
        <f>'Main Results - IRR DC Operator'!$F$15</f>
        <v>1</v>
      </c>
      <c r="AW274" s="771">
        <f t="shared" ca="1" si="281"/>
        <v>0</v>
      </c>
      <c r="AX274" s="772">
        <f t="shared" si="282"/>
        <v>0</v>
      </c>
      <c r="AY274" s="231"/>
      <c r="AZ274" s="770" cm="1">
        <f t="array" aca="1" ref="AZ274" ca="1">INDIRECT("'Definition of Typical Day'!"&amp; ADDRESS($D274+29*(AZ$16-1),$E274))+$AZ$17</f>
        <v>11</v>
      </c>
      <c r="BA274" s="771" cm="1">
        <f t="array" aca="1" ref="BA274" ca="1">INDIRECT("'Definition of Typical Day'!"&amp; ADDRESS($D274+29*(BA$16-1),$E274))+$BA$17</f>
        <v>11</v>
      </c>
      <c r="BB274" s="772" cm="1">
        <f t="array" aca="1" ref="BB274" ca="1">INDIRECT("'Definition of Typical Day'!"&amp;ADDRESS(BB$16,$E274))</f>
        <v>0</v>
      </c>
      <c r="BC274" s="776" cm="1">
        <f t="array" aca="1" ref="BC274" ca="1">INDIRECT("'Definition of Typical Day'!"&amp; ADDRESS($D274+29*(BC$16-1),$E274))</f>
        <v>0</v>
      </c>
      <c r="BD274" s="777" cm="1">
        <f t="array" aca="1" ref="BD274" ca="1">INDIRECT("'Definition of Typical Day'!"&amp; ADDRESS($D274+29*(BD$16-1),$E274))</f>
        <v>0</v>
      </c>
      <c r="BE274" s="776">
        <f t="shared" si="283"/>
        <v>0</v>
      </c>
      <c r="BF274" s="771">
        <f t="shared" ca="1" si="284"/>
        <v>0</v>
      </c>
      <c r="BG274" s="771">
        <f t="shared" ca="1" si="285"/>
        <v>0</v>
      </c>
      <c r="BH274" s="771">
        <f t="shared" ca="1" si="286"/>
        <v>0</v>
      </c>
      <c r="BI274" s="776">
        <f t="shared" ca="1" si="287"/>
        <v>0</v>
      </c>
      <c r="BJ274" s="776">
        <f t="shared" ca="1" si="288"/>
        <v>0</v>
      </c>
      <c r="BK274" s="776">
        <f t="shared" ca="1" si="289"/>
        <v>0</v>
      </c>
      <c r="BL274" s="776">
        <f t="shared" ca="1" si="290"/>
        <v>0</v>
      </c>
      <c r="BM274" s="135"/>
      <c r="BN274" s="776">
        <f t="shared" ca="1" si="291"/>
        <v>0</v>
      </c>
      <c r="BO274" s="778">
        <f t="shared" ca="1" si="228"/>
        <v>0</v>
      </c>
      <c r="BP274" s="770">
        <f t="shared" ca="1" si="229"/>
        <v>0</v>
      </c>
      <c r="BQ274" s="771">
        <f t="shared" ca="1" si="230"/>
        <v>0</v>
      </c>
      <c r="BR274" s="771">
        <f t="shared" ca="1" si="231"/>
        <v>0</v>
      </c>
      <c r="BS274" s="776">
        <f t="shared" ca="1" si="292"/>
        <v>0</v>
      </c>
      <c r="BT274" s="776">
        <f t="shared" ca="1" si="232"/>
        <v>0</v>
      </c>
      <c r="BU274" s="783">
        <f t="shared" ca="1" si="233"/>
        <v>0</v>
      </c>
      <c r="BV274" s="783">
        <f t="shared" ca="1" si="234"/>
        <v>0</v>
      </c>
      <c r="BW274" s="1019">
        <f t="shared" ca="1" si="293"/>
        <v>0</v>
      </c>
      <c r="BX274" s="771" cm="1">
        <f t="array" aca="1" ref="BX274" ca="1">INDIRECT("'Definition of Typical Day'!"&amp; ADDRESS($D274+29*(BX$16-1),$E274))</f>
        <v>0</v>
      </c>
      <c r="BY274" s="771">
        <f t="shared" ca="1" si="294"/>
        <v>0</v>
      </c>
      <c r="BZ274" s="781">
        <f t="shared" ca="1" si="235"/>
        <v>0</v>
      </c>
      <c r="CA274" s="781">
        <f t="shared" ca="1" si="236"/>
        <v>0</v>
      </c>
      <c r="CB274" s="776">
        <f t="shared" ca="1" si="237"/>
        <v>0</v>
      </c>
      <c r="CC274" s="782">
        <f t="shared" si="238"/>
        <v>11</v>
      </c>
      <c r="CD274" s="782">
        <f t="shared" si="239"/>
        <v>14</v>
      </c>
      <c r="CE274" s="784" cm="1">
        <f t="array" aca="1" ref="CE274" ca="1">INDIRECT("'Definition of Typical Day'!"&amp;ADDRESS(CE$16,$E274))</f>
        <v>11</v>
      </c>
      <c r="CF274" s="232"/>
      <c r="CG274" s="232"/>
      <c r="CH274" s="776">
        <f t="shared" ca="1" si="240"/>
        <v>0</v>
      </c>
      <c r="CI274" s="806">
        <f t="shared" ca="1" si="241"/>
        <v>0</v>
      </c>
      <c r="CJ274" s="770">
        <f t="shared" ca="1" si="242"/>
        <v>0</v>
      </c>
      <c r="CK274" s="771">
        <f t="shared" ca="1" si="243"/>
        <v>0</v>
      </c>
      <c r="CL274" s="771">
        <f t="shared" ca="1" si="244"/>
        <v>0</v>
      </c>
      <c r="CM274" s="772">
        <f t="shared" ca="1" si="245"/>
        <v>0</v>
      </c>
      <c r="CN274" s="135"/>
      <c r="CO274" s="770">
        <f t="shared" ca="1" si="295"/>
        <v>1.05</v>
      </c>
      <c r="CP274" s="771">
        <f t="shared" ca="1" si="246"/>
        <v>0.02</v>
      </c>
      <c r="CQ274" s="771">
        <f t="shared" ca="1" si="247"/>
        <v>-2.5000000000000001E-2</v>
      </c>
      <c r="CR274" s="771">
        <f t="shared" ca="1" si="248"/>
        <v>0.95</v>
      </c>
      <c r="CS274" s="771">
        <f t="shared" ca="1" si="249"/>
        <v>0.03</v>
      </c>
      <c r="CT274" s="772">
        <f t="shared" ca="1" si="250"/>
        <v>0.02</v>
      </c>
      <c r="CU274" s="135"/>
      <c r="CV274" s="135"/>
      <c r="CW274" s="135"/>
      <c r="CX274" s="135"/>
      <c r="CY274" s="135"/>
      <c r="CZ274" s="135"/>
      <c r="DA274" s="135"/>
      <c r="DB274" s="135"/>
      <c r="DC274" s="135"/>
      <c r="DD274" s="135"/>
      <c r="DE274" s="135"/>
      <c r="DF274" s="135"/>
      <c r="DG274" s="135"/>
      <c r="DH274" s="135"/>
      <c r="DI274" s="135"/>
      <c r="DJ274" s="135"/>
      <c r="DK274" s="135"/>
      <c r="DL274" s="135"/>
      <c r="DX274" s="135"/>
      <c r="DY274" s="135"/>
      <c r="DZ274" s="135"/>
      <c r="EA274" s="135"/>
      <c r="EB274" s="135"/>
      <c r="EC274" s="135"/>
      <c r="ED274" s="135"/>
      <c r="EE274" s="135"/>
      <c r="EF274" s="135"/>
      <c r="EG274" s="135"/>
      <c r="EH274" s="135"/>
      <c r="EI274" s="135"/>
      <c r="EJ274" s="135"/>
      <c r="EK274" s="135"/>
      <c r="EL274" s="135"/>
      <c r="EM274" s="135"/>
      <c r="EN274" s="135"/>
      <c r="EO274" s="135"/>
      <c r="EP274" s="135"/>
      <c r="EQ274" s="135"/>
      <c r="ER274" s="135"/>
      <c r="ES274" s="135"/>
      <c r="ET274" s="135"/>
      <c r="EU274" s="135"/>
      <c r="EV274" s="135"/>
      <c r="EW274" s="135"/>
      <c r="EX274" s="135"/>
      <c r="EY274" s="135"/>
      <c r="EZ274" s="135"/>
      <c r="FA274" s="135"/>
      <c r="FB274" s="135"/>
      <c r="FC274" s="135"/>
      <c r="FD274" s="135"/>
      <c r="FE274" s="135"/>
      <c r="FF274" s="135"/>
      <c r="FG274" s="135"/>
    </row>
    <row r="275" spans="1:163" s="57" customFormat="1" ht="11.25" outlineLevel="1">
      <c r="A275" s="765">
        <f t="shared" si="296"/>
        <v>11</v>
      </c>
      <c r="B275" s="715" cm="1">
        <f t="array" aca="1" ref="B275" ca="1">INDIRECT("'Definition of Typical Day'!"&amp;ADDRESS(B$16,$E275))</f>
        <v>11</v>
      </c>
      <c r="C275" s="766">
        <f t="shared" si="297"/>
        <v>15</v>
      </c>
      <c r="D275" s="715">
        <f t="shared" si="297"/>
        <v>49</v>
      </c>
      <c r="E275" s="715">
        <f t="shared" si="225"/>
        <v>15</v>
      </c>
      <c r="F275" s="767" cm="1">
        <f t="array" aca="1" ref="F275" ca="1">INDIRECT("'Definition of Typical Day'!D"&amp;D275)</f>
        <v>15</v>
      </c>
      <c r="G275" s="767" cm="1">
        <f t="array" aca="1" ref="G275" ca="1">INDIRECT("'Definition of Typical Day'!"&amp;ADDRESS(13,E275))</f>
        <v>11</v>
      </c>
      <c r="H275" s="768" cm="1">
        <f t="array" aca="1" ref="H275" ca="1">INDIRECT("'Definition of Typical Day'!"&amp; ADDRESS($D275+28*(H$16-1),$E275))</f>
        <v>0</v>
      </c>
      <c r="I275" s="715" cm="1">
        <f t="array" aca="1" ref="I275" ca="1">INDIRECT("'Definition of Typical Day'!"&amp; ADDRESS($D275+29*(I$16-1),$E275))</f>
        <v>0</v>
      </c>
      <c r="J275" s="715">
        <f t="shared" ca="1" si="251"/>
        <v>0</v>
      </c>
      <c r="K275" s="785">
        <f t="shared" si="252"/>
        <v>28</v>
      </c>
      <c r="L275" s="786" cm="1">
        <f t="array" aca="1" ref="L275" ca="1">INDIRECT("'Definition of Typical Day'!"&amp; ADDRESS($D275+29*(L$16-1),$E275))</f>
        <v>0</v>
      </c>
      <c r="M275" s="768" cm="1">
        <f t="array" aca="1" ref="M275" ca="1">INDIRECT("'Definition of Typical Day'!"&amp; ADDRESS($D275+29*(M$16-1),$E275))</f>
        <v>0</v>
      </c>
      <c r="N275" s="715">
        <f t="shared" si="253"/>
        <v>3</v>
      </c>
      <c r="O275" s="715">
        <f t="shared" ca="1" si="254"/>
        <v>3</v>
      </c>
      <c r="P275" s="715" cm="1">
        <f t="array" aca="1" ref="P275" ca="1">INDIRECT("'Definition of Typical Day'!"&amp; ADDRESS($D275+29*(P$16-1),$E275))</f>
        <v>0</v>
      </c>
      <c r="Q275" s="787">
        <f t="shared" ca="1" si="255"/>
        <v>3</v>
      </c>
      <c r="R275" s="792">
        <f t="shared" ca="1" si="256"/>
        <v>3</v>
      </c>
      <c r="S275" s="769">
        <f t="shared" si="257"/>
        <v>3</v>
      </c>
      <c r="T275" s="769">
        <f t="shared" ca="1" si="258"/>
        <v>-0.5</v>
      </c>
      <c r="U275" s="769">
        <f t="shared" ca="1" si="259"/>
        <v>2.262</v>
      </c>
      <c r="V275" s="769">
        <f t="shared" ca="1" si="260"/>
        <v>0</v>
      </c>
      <c r="W275" s="769">
        <f t="shared" ca="1" si="261"/>
        <v>4.7620000000000005</v>
      </c>
      <c r="X275" s="794">
        <f t="shared" si="262"/>
        <v>3</v>
      </c>
      <c r="Y275" s="769">
        <f t="shared" ca="1" si="263"/>
        <v>0.54772255750516607</v>
      </c>
      <c r="Z275" s="769">
        <f t="shared" ca="1" si="264"/>
        <v>0</v>
      </c>
      <c r="AA275" s="795">
        <f t="shared" ca="1" si="265"/>
        <v>0</v>
      </c>
      <c r="AB275" s="769">
        <f t="shared" ca="1" si="266"/>
        <v>0</v>
      </c>
      <c r="AC275" s="769">
        <f t="shared" ca="1" si="267"/>
        <v>0</v>
      </c>
      <c r="AD275" s="769">
        <f t="shared" ca="1" si="268"/>
        <v>0</v>
      </c>
      <c r="AE275" s="794">
        <f t="shared" ca="1" si="269"/>
        <v>0</v>
      </c>
      <c r="AF275" s="769">
        <f t="shared" ca="1" si="270"/>
        <v>0</v>
      </c>
      <c r="AG275" s="769">
        <f t="shared" ca="1" si="271"/>
        <v>0</v>
      </c>
      <c r="AH275" s="799">
        <f t="shared" ca="1" si="272"/>
        <v>0</v>
      </c>
      <c r="AI275" s="801">
        <f t="shared" ca="1" si="273"/>
        <v>1</v>
      </c>
      <c r="AJ275" s="794">
        <f t="shared" ca="1" si="274"/>
        <v>0</v>
      </c>
      <c r="AK275" s="769">
        <f t="shared" ca="1" si="275"/>
        <v>0</v>
      </c>
      <c r="AL275" s="769">
        <f t="shared" ca="1" si="276"/>
        <v>0</v>
      </c>
      <c r="AM275" s="804">
        <f t="shared" ca="1" si="226"/>
        <v>0</v>
      </c>
      <c r="AN275" s="795">
        <f t="shared" ca="1" si="227"/>
        <v>0</v>
      </c>
      <c r="AO275" s="251"/>
      <c r="AP275" s="770">
        <f t="shared" si="277"/>
        <v>0</v>
      </c>
      <c r="AQ275" s="771">
        <f t="shared" ca="1" si="278"/>
        <v>0</v>
      </c>
      <c r="AR275" s="771">
        <f t="shared" ca="1" si="279"/>
        <v>0</v>
      </c>
      <c r="AS275" s="772">
        <f t="shared" ca="1" si="280"/>
        <v>0</v>
      </c>
      <c r="AT275" s="231"/>
      <c r="AU275" s="770">
        <f>'Main Results - IRR DC Operator'!$F$16</f>
        <v>2</v>
      </c>
      <c r="AV275" s="773">
        <f>'Main Results - IRR DC Operator'!$F$15</f>
        <v>1</v>
      </c>
      <c r="AW275" s="771">
        <f t="shared" ca="1" si="281"/>
        <v>0</v>
      </c>
      <c r="AX275" s="772">
        <f t="shared" si="282"/>
        <v>0</v>
      </c>
      <c r="AY275" s="231"/>
      <c r="AZ275" s="770" cm="1">
        <f t="array" aca="1" ref="AZ275" ca="1">INDIRECT("'Definition of Typical Day'!"&amp; ADDRESS($D275+29*(AZ$16-1),$E275))+$AZ$17</f>
        <v>11</v>
      </c>
      <c r="BA275" s="771" cm="1">
        <f t="array" aca="1" ref="BA275" ca="1">INDIRECT("'Definition of Typical Day'!"&amp; ADDRESS($D275+29*(BA$16-1),$E275))+$BA$17</f>
        <v>11</v>
      </c>
      <c r="BB275" s="772" cm="1">
        <f t="array" aca="1" ref="BB275" ca="1">INDIRECT("'Definition of Typical Day'!"&amp;ADDRESS(BB$16,$E275))</f>
        <v>0</v>
      </c>
      <c r="BC275" s="776" cm="1">
        <f t="array" aca="1" ref="BC275" ca="1">INDIRECT("'Definition of Typical Day'!"&amp; ADDRESS($D275+29*(BC$16-1),$E275))</f>
        <v>0</v>
      </c>
      <c r="BD275" s="777" cm="1">
        <f t="array" aca="1" ref="BD275" ca="1">INDIRECT("'Definition of Typical Day'!"&amp; ADDRESS($D275+29*(BD$16-1),$E275))</f>
        <v>0</v>
      </c>
      <c r="BE275" s="776">
        <f t="shared" si="283"/>
        <v>0</v>
      </c>
      <c r="BF275" s="771">
        <f t="shared" ca="1" si="284"/>
        <v>0</v>
      </c>
      <c r="BG275" s="771">
        <f t="shared" ca="1" si="285"/>
        <v>0</v>
      </c>
      <c r="BH275" s="771">
        <f t="shared" ca="1" si="286"/>
        <v>0</v>
      </c>
      <c r="BI275" s="776">
        <f t="shared" ca="1" si="287"/>
        <v>0</v>
      </c>
      <c r="BJ275" s="776">
        <f t="shared" ca="1" si="288"/>
        <v>0</v>
      </c>
      <c r="BK275" s="776">
        <f t="shared" ca="1" si="289"/>
        <v>0</v>
      </c>
      <c r="BL275" s="776">
        <f t="shared" ca="1" si="290"/>
        <v>0</v>
      </c>
      <c r="BM275" s="135"/>
      <c r="BN275" s="776">
        <f t="shared" ca="1" si="291"/>
        <v>0</v>
      </c>
      <c r="BO275" s="778">
        <f t="shared" ca="1" si="228"/>
        <v>0</v>
      </c>
      <c r="BP275" s="770">
        <f t="shared" ca="1" si="229"/>
        <v>0</v>
      </c>
      <c r="BQ275" s="771">
        <f t="shared" ca="1" si="230"/>
        <v>0</v>
      </c>
      <c r="BR275" s="771">
        <f t="shared" ca="1" si="231"/>
        <v>0</v>
      </c>
      <c r="BS275" s="776">
        <f t="shared" ca="1" si="292"/>
        <v>0</v>
      </c>
      <c r="BT275" s="776">
        <f t="shared" ca="1" si="232"/>
        <v>0</v>
      </c>
      <c r="BU275" s="783">
        <f t="shared" ca="1" si="233"/>
        <v>0</v>
      </c>
      <c r="BV275" s="783">
        <f t="shared" ca="1" si="234"/>
        <v>0</v>
      </c>
      <c r="BW275" s="1019">
        <f t="shared" ca="1" si="293"/>
        <v>0</v>
      </c>
      <c r="BX275" s="771" cm="1">
        <f t="array" aca="1" ref="BX275" ca="1">INDIRECT("'Definition of Typical Day'!"&amp; ADDRESS($D275+29*(BX$16-1),$E275))</f>
        <v>0</v>
      </c>
      <c r="BY275" s="771">
        <f t="shared" ca="1" si="294"/>
        <v>0</v>
      </c>
      <c r="BZ275" s="781">
        <f t="shared" ca="1" si="235"/>
        <v>0</v>
      </c>
      <c r="CA275" s="781">
        <f t="shared" ca="1" si="236"/>
        <v>0</v>
      </c>
      <c r="CB275" s="776">
        <f t="shared" ca="1" si="237"/>
        <v>0</v>
      </c>
      <c r="CC275" s="782">
        <f t="shared" si="238"/>
        <v>11</v>
      </c>
      <c r="CD275" s="782">
        <f t="shared" si="239"/>
        <v>15</v>
      </c>
      <c r="CE275" s="784" cm="1">
        <f t="array" aca="1" ref="CE275" ca="1">INDIRECT("'Definition of Typical Day'!"&amp;ADDRESS(CE$16,$E275))</f>
        <v>11</v>
      </c>
      <c r="CF275" s="232"/>
      <c r="CG275" s="232"/>
      <c r="CH275" s="776">
        <f t="shared" ca="1" si="240"/>
        <v>0</v>
      </c>
      <c r="CI275" s="806">
        <f t="shared" ca="1" si="241"/>
        <v>0</v>
      </c>
      <c r="CJ275" s="770">
        <f t="shared" ca="1" si="242"/>
        <v>0</v>
      </c>
      <c r="CK275" s="771">
        <f t="shared" ca="1" si="243"/>
        <v>0</v>
      </c>
      <c r="CL275" s="771">
        <f t="shared" ca="1" si="244"/>
        <v>0</v>
      </c>
      <c r="CM275" s="772">
        <f t="shared" ca="1" si="245"/>
        <v>0</v>
      </c>
      <c r="CN275" s="135"/>
      <c r="CO275" s="770">
        <f t="shared" ca="1" si="295"/>
        <v>1.05</v>
      </c>
      <c r="CP275" s="771">
        <f t="shared" ca="1" si="246"/>
        <v>0.02</v>
      </c>
      <c r="CQ275" s="771">
        <f t="shared" ca="1" si="247"/>
        <v>-2.5000000000000001E-2</v>
      </c>
      <c r="CR275" s="771">
        <f t="shared" ca="1" si="248"/>
        <v>0.95</v>
      </c>
      <c r="CS275" s="771">
        <f t="shared" ca="1" si="249"/>
        <v>0.03</v>
      </c>
      <c r="CT275" s="772">
        <f t="shared" ca="1" si="250"/>
        <v>0.02</v>
      </c>
      <c r="CU275" s="135"/>
      <c r="CV275" s="135"/>
      <c r="CW275" s="135"/>
      <c r="CX275" s="135"/>
      <c r="CY275" s="135"/>
      <c r="CZ275" s="135"/>
      <c r="DA275" s="135"/>
      <c r="DB275" s="135"/>
      <c r="DC275" s="135"/>
      <c r="DD275" s="135"/>
      <c r="DE275" s="135"/>
      <c r="DF275" s="135"/>
      <c r="DG275" s="135"/>
      <c r="DH275" s="135"/>
      <c r="DI275" s="135"/>
      <c r="DJ275" s="135"/>
      <c r="DK275" s="135"/>
      <c r="DL275" s="135"/>
      <c r="DX275" s="135"/>
      <c r="DY275" s="135"/>
      <c r="DZ275" s="135"/>
      <c r="EA275" s="135"/>
      <c r="EB275" s="135"/>
      <c r="EC275" s="135"/>
      <c r="ED275" s="135"/>
      <c r="EE275" s="135"/>
      <c r="EF275" s="135"/>
      <c r="EG275" s="135"/>
      <c r="EH275" s="135"/>
      <c r="EI275" s="135"/>
      <c r="EJ275" s="135"/>
      <c r="EK275" s="135"/>
      <c r="EL275" s="135"/>
      <c r="EM275" s="135"/>
      <c r="EN275" s="135"/>
      <c r="EO275" s="135"/>
      <c r="EP275" s="135"/>
      <c r="EQ275" s="135"/>
      <c r="ER275" s="135"/>
      <c r="ES275" s="135"/>
      <c r="ET275" s="135"/>
      <c r="EU275" s="135"/>
      <c r="EV275" s="135"/>
      <c r="EW275" s="135"/>
      <c r="EX275" s="135"/>
      <c r="EY275" s="135"/>
      <c r="EZ275" s="135"/>
      <c r="FA275" s="135"/>
      <c r="FB275" s="135"/>
      <c r="FC275" s="135"/>
      <c r="FD275" s="135"/>
      <c r="FE275" s="135"/>
      <c r="FF275" s="135"/>
      <c r="FG275" s="135"/>
    </row>
    <row r="276" spans="1:163" s="57" customFormat="1" ht="11.25" outlineLevel="1">
      <c r="A276" s="765">
        <f t="shared" si="296"/>
        <v>11</v>
      </c>
      <c r="B276" s="715" cm="1">
        <f t="array" aca="1" ref="B276" ca="1">INDIRECT("'Definition of Typical Day'!"&amp;ADDRESS(B$16,$E276))</f>
        <v>11</v>
      </c>
      <c r="C276" s="766">
        <f t="shared" si="297"/>
        <v>16</v>
      </c>
      <c r="D276" s="715">
        <f t="shared" si="297"/>
        <v>50</v>
      </c>
      <c r="E276" s="715">
        <f t="shared" si="225"/>
        <v>15</v>
      </c>
      <c r="F276" s="767" cm="1">
        <f t="array" aca="1" ref="F276" ca="1">INDIRECT("'Definition of Typical Day'!D"&amp;D276)</f>
        <v>16</v>
      </c>
      <c r="G276" s="767" cm="1">
        <f t="array" aca="1" ref="G276" ca="1">INDIRECT("'Definition of Typical Day'!"&amp;ADDRESS(13,E276))</f>
        <v>11</v>
      </c>
      <c r="H276" s="768" cm="1">
        <f t="array" aca="1" ref="H276" ca="1">INDIRECT("'Definition of Typical Day'!"&amp; ADDRESS($D276+28*(H$16-1),$E276))</f>
        <v>0</v>
      </c>
      <c r="I276" s="715" cm="1">
        <f t="array" aca="1" ref="I276" ca="1">INDIRECT("'Definition of Typical Day'!"&amp; ADDRESS($D276+29*(I$16-1),$E276))</f>
        <v>0</v>
      </c>
      <c r="J276" s="715">
        <f t="shared" ca="1" si="251"/>
        <v>0</v>
      </c>
      <c r="K276" s="785">
        <f t="shared" si="252"/>
        <v>28</v>
      </c>
      <c r="L276" s="786" cm="1">
        <f t="array" aca="1" ref="L276" ca="1">INDIRECT("'Definition of Typical Day'!"&amp; ADDRESS($D276+29*(L$16-1),$E276))</f>
        <v>0</v>
      </c>
      <c r="M276" s="768" cm="1">
        <f t="array" aca="1" ref="M276" ca="1">INDIRECT("'Definition of Typical Day'!"&amp; ADDRESS($D276+29*(M$16-1),$E276))</f>
        <v>0</v>
      </c>
      <c r="N276" s="715">
        <f t="shared" si="253"/>
        <v>3</v>
      </c>
      <c r="O276" s="715">
        <f t="shared" ca="1" si="254"/>
        <v>3</v>
      </c>
      <c r="P276" s="715" cm="1">
        <f t="array" aca="1" ref="P276" ca="1">INDIRECT("'Definition of Typical Day'!"&amp; ADDRESS($D276+29*(P$16-1),$E276))</f>
        <v>0</v>
      </c>
      <c r="Q276" s="787">
        <f t="shared" ca="1" si="255"/>
        <v>3</v>
      </c>
      <c r="R276" s="792">
        <f t="shared" ca="1" si="256"/>
        <v>3</v>
      </c>
      <c r="S276" s="769">
        <f t="shared" si="257"/>
        <v>3</v>
      </c>
      <c r="T276" s="769">
        <f t="shared" ca="1" si="258"/>
        <v>-0.5</v>
      </c>
      <c r="U276" s="769">
        <f t="shared" ca="1" si="259"/>
        <v>2.262</v>
      </c>
      <c r="V276" s="769">
        <f t="shared" ca="1" si="260"/>
        <v>0</v>
      </c>
      <c r="W276" s="769">
        <f t="shared" ca="1" si="261"/>
        <v>4.7620000000000005</v>
      </c>
      <c r="X276" s="794">
        <f t="shared" si="262"/>
        <v>3</v>
      </c>
      <c r="Y276" s="769">
        <f t="shared" ca="1" si="263"/>
        <v>0.54772255750516607</v>
      </c>
      <c r="Z276" s="769">
        <f t="shared" ca="1" si="264"/>
        <v>0</v>
      </c>
      <c r="AA276" s="795">
        <f t="shared" ca="1" si="265"/>
        <v>0</v>
      </c>
      <c r="AB276" s="769">
        <f t="shared" ca="1" si="266"/>
        <v>0</v>
      </c>
      <c r="AC276" s="769">
        <f t="shared" ca="1" si="267"/>
        <v>0</v>
      </c>
      <c r="AD276" s="769">
        <f t="shared" ca="1" si="268"/>
        <v>0</v>
      </c>
      <c r="AE276" s="794">
        <f t="shared" ca="1" si="269"/>
        <v>0</v>
      </c>
      <c r="AF276" s="769">
        <f t="shared" ca="1" si="270"/>
        <v>0</v>
      </c>
      <c r="AG276" s="769">
        <f t="shared" ca="1" si="271"/>
        <v>0</v>
      </c>
      <c r="AH276" s="799">
        <f t="shared" ca="1" si="272"/>
        <v>0</v>
      </c>
      <c r="AI276" s="801">
        <f t="shared" ca="1" si="273"/>
        <v>1</v>
      </c>
      <c r="AJ276" s="794">
        <f t="shared" ca="1" si="274"/>
        <v>0</v>
      </c>
      <c r="AK276" s="769">
        <f t="shared" ca="1" si="275"/>
        <v>0</v>
      </c>
      <c r="AL276" s="769">
        <f t="shared" ca="1" si="276"/>
        <v>0</v>
      </c>
      <c r="AM276" s="804">
        <f t="shared" ca="1" si="226"/>
        <v>0</v>
      </c>
      <c r="AN276" s="795">
        <f t="shared" ca="1" si="227"/>
        <v>0</v>
      </c>
      <c r="AO276" s="251"/>
      <c r="AP276" s="770">
        <f t="shared" si="277"/>
        <v>0</v>
      </c>
      <c r="AQ276" s="771">
        <f t="shared" ca="1" si="278"/>
        <v>0</v>
      </c>
      <c r="AR276" s="771">
        <f t="shared" ca="1" si="279"/>
        <v>0</v>
      </c>
      <c r="AS276" s="772">
        <f t="shared" ca="1" si="280"/>
        <v>0</v>
      </c>
      <c r="AT276" s="231"/>
      <c r="AU276" s="770">
        <f>'Main Results - IRR DC Operator'!$F$16</f>
        <v>2</v>
      </c>
      <c r="AV276" s="773">
        <f>'Main Results - IRR DC Operator'!$F$15</f>
        <v>1</v>
      </c>
      <c r="AW276" s="771">
        <f t="shared" ca="1" si="281"/>
        <v>0</v>
      </c>
      <c r="AX276" s="772">
        <f t="shared" si="282"/>
        <v>0</v>
      </c>
      <c r="AY276" s="231"/>
      <c r="AZ276" s="770" cm="1">
        <f t="array" aca="1" ref="AZ276" ca="1">INDIRECT("'Definition of Typical Day'!"&amp; ADDRESS($D276+29*(AZ$16-1),$E276))+$AZ$17</f>
        <v>11</v>
      </c>
      <c r="BA276" s="771" cm="1">
        <f t="array" aca="1" ref="BA276" ca="1">INDIRECT("'Definition of Typical Day'!"&amp; ADDRESS($D276+29*(BA$16-1),$E276))+$BA$17</f>
        <v>11</v>
      </c>
      <c r="BB276" s="772" cm="1">
        <f t="array" aca="1" ref="BB276" ca="1">INDIRECT("'Definition of Typical Day'!"&amp;ADDRESS(BB$16,$E276))</f>
        <v>0</v>
      </c>
      <c r="BC276" s="776" cm="1">
        <f t="array" aca="1" ref="BC276" ca="1">INDIRECT("'Definition of Typical Day'!"&amp; ADDRESS($D276+29*(BC$16-1),$E276))</f>
        <v>0</v>
      </c>
      <c r="BD276" s="777" cm="1">
        <f t="array" aca="1" ref="BD276" ca="1">INDIRECT("'Definition of Typical Day'!"&amp; ADDRESS($D276+29*(BD$16-1),$E276))</f>
        <v>0</v>
      </c>
      <c r="BE276" s="776">
        <f t="shared" si="283"/>
        <v>0</v>
      </c>
      <c r="BF276" s="771">
        <f t="shared" ca="1" si="284"/>
        <v>0</v>
      </c>
      <c r="BG276" s="771">
        <f t="shared" ca="1" si="285"/>
        <v>0</v>
      </c>
      <c r="BH276" s="771">
        <f t="shared" ca="1" si="286"/>
        <v>0</v>
      </c>
      <c r="BI276" s="776">
        <f t="shared" ca="1" si="287"/>
        <v>0</v>
      </c>
      <c r="BJ276" s="776">
        <f t="shared" ca="1" si="288"/>
        <v>0</v>
      </c>
      <c r="BK276" s="776">
        <f t="shared" ca="1" si="289"/>
        <v>0</v>
      </c>
      <c r="BL276" s="776">
        <f t="shared" ca="1" si="290"/>
        <v>0</v>
      </c>
      <c r="BM276" s="135"/>
      <c r="BN276" s="776">
        <f t="shared" ca="1" si="291"/>
        <v>0</v>
      </c>
      <c r="BO276" s="778">
        <f t="shared" ca="1" si="228"/>
        <v>0</v>
      </c>
      <c r="BP276" s="770">
        <f t="shared" ca="1" si="229"/>
        <v>0</v>
      </c>
      <c r="BQ276" s="771">
        <f t="shared" ca="1" si="230"/>
        <v>0</v>
      </c>
      <c r="BR276" s="771">
        <f t="shared" ca="1" si="231"/>
        <v>0</v>
      </c>
      <c r="BS276" s="776">
        <f t="shared" ca="1" si="292"/>
        <v>0</v>
      </c>
      <c r="BT276" s="776">
        <f t="shared" ca="1" si="232"/>
        <v>0</v>
      </c>
      <c r="BU276" s="783">
        <f t="shared" ca="1" si="233"/>
        <v>0</v>
      </c>
      <c r="BV276" s="783">
        <f t="shared" ca="1" si="234"/>
        <v>0</v>
      </c>
      <c r="BW276" s="1019">
        <f t="shared" ca="1" si="293"/>
        <v>0</v>
      </c>
      <c r="BX276" s="771" cm="1">
        <f t="array" aca="1" ref="BX276" ca="1">INDIRECT("'Definition of Typical Day'!"&amp; ADDRESS($D276+29*(BX$16-1),$E276))</f>
        <v>0</v>
      </c>
      <c r="BY276" s="771">
        <f t="shared" ca="1" si="294"/>
        <v>0</v>
      </c>
      <c r="BZ276" s="781">
        <f t="shared" ca="1" si="235"/>
        <v>0</v>
      </c>
      <c r="CA276" s="781">
        <f t="shared" ca="1" si="236"/>
        <v>0</v>
      </c>
      <c r="CB276" s="776">
        <f t="shared" ca="1" si="237"/>
        <v>0</v>
      </c>
      <c r="CC276" s="782">
        <f t="shared" si="238"/>
        <v>11</v>
      </c>
      <c r="CD276" s="782">
        <f t="shared" si="239"/>
        <v>16</v>
      </c>
      <c r="CE276" s="784" cm="1">
        <f t="array" aca="1" ref="CE276" ca="1">INDIRECT("'Definition of Typical Day'!"&amp;ADDRESS(CE$16,$E276))</f>
        <v>11</v>
      </c>
      <c r="CF276" s="232"/>
      <c r="CG276" s="232"/>
      <c r="CH276" s="776">
        <f t="shared" ca="1" si="240"/>
        <v>0</v>
      </c>
      <c r="CI276" s="806">
        <f t="shared" ca="1" si="241"/>
        <v>0</v>
      </c>
      <c r="CJ276" s="770">
        <f t="shared" ca="1" si="242"/>
        <v>0</v>
      </c>
      <c r="CK276" s="771">
        <f t="shared" ca="1" si="243"/>
        <v>0</v>
      </c>
      <c r="CL276" s="771">
        <f t="shared" ca="1" si="244"/>
        <v>0</v>
      </c>
      <c r="CM276" s="772">
        <f t="shared" ca="1" si="245"/>
        <v>0</v>
      </c>
      <c r="CN276" s="135"/>
      <c r="CO276" s="770">
        <f t="shared" ca="1" si="295"/>
        <v>1.05</v>
      </c>
      <c r="CP276" s="771">
        <f t="shared" ca="1" si="246"/>
        <v>0.02</v>
      </c>
      <c r="CQ276" s="771">
        <f t="shared" ca="1" si="247"/>
        <v>-2.5000000000000001E-2</v>
      </c>
      <c r="CR276" s="771">
        <f t="shared" ca="1" si="248"/>
        <v>0.95</v>
      </c>
      <c r="CS276" s="771">
        <f t="shared" ca="1" si="249"/>
        <v>0.03</v>
      </c>
      <c r="CT276" s="772">
        <f t="shared" ca="1" si="250"/>
        <v>0.02</v>
      </c>
      <c r="CU276" s="135"/>
      <c r="CV276" s="135"/>
      <c r="CW276" s="135"/>
      <c r="CX276" s="135"/>
      <c r="CY276" s="135"/>
      <c r="CZ276" s="135"/>
      <c r="DA276" s="135"/>
      <c r="DB276" s="135"/>
      <c r="DC276" s="135"/>
      <c r="DD276" s="135"/>
      <c r="DE276" s="135"/>
      <c r="DF276" s="135"/>
      <c r="DG276" s="135"/>
      <c r="DH276" s="135"/>
      <c r="DI276" s="135"/>
      <c r="DJ276" s="135"/>
      <c r="DK276" s="135"/>
      <c r="DL276" s="135"/>
      <c r="DX276" s="135"/>
      <c r="DY276" s="135"/>
      <c r="DZ276" s="135"/>
      <c r="EA276" s="135"/>
      <c r="EB276" s="135"/>
      <c r="EC276" s="135"/>
      <c r="ED276" s="135"/>
      <c r="EE276" s="135"/>
      <c r="EF276" s="135"/>
      <c r="EG276" s="135"/>
      <c r="EH276" s="135"/>
      <c r="EI276" s="135"/>
      <c r="EJ276" s="135"/>
      <c r="EK276" s="135"/>
      <c r="EL276" s="135"/>
      <c r="EM276" s="135"/>
      <c r="EN276" s="135"/>
      <c r="EO276" s="135"/>
      <c r="EP276" s="135"/>
      <c r="EQ276" s="135"/>
      <c r="ER276" s="135"/>
      <c r="ES276" s="135"/>
      <c r="ET276" s="135"/>
      <c r="EU276" s="135"/>
      <c r="EV276" s="135"/>
      <c r="EW276" s="135"/>
      <c r="EX276" s="135"/>
      <c r="EY276" s="135"/>
      <c r="EZ276" s="135"/>
      <c r="FA276" s="135"/>
      <c r="FB276" s="135"/>
      <c r="FC276" s="135"/>
      <c r="FD276" s="135"/>
      <c r="FE276" s="135"/>
      <c r="FF276" s="135"/>
      <c r="FG276" s="135"/>
    </row>
    <row r="277" spans="1:163" s="57" customFormat="1" ht="11.25" outlineLevel="1">
      <c r="A277" s="765">
        <f t="shared" si="296"/>
        <v>11</v>
      </c>
      <c r="B277" s="715" cm="1">
        <f t="array" aca="1" ref="B277" ca="1">INDIRECT("'Definition of Typical Day'!"&amp;ADDRESS(B$16,$E277))</f>
        <v>11</v>
      </c>
      <c r="C277" s="766">
        <f t="shared" si="297"/>
        <v>17</v>
      </c>
      <c r="D277" s="715">
        <f t="shared" si="297"/>
        <v>51</v>
      </c>
      <c r="E277" s="715">
        <f t="shared" ref="E277:E340" si="298">A277+4</f>
        <v>15</v>
      </c>
      <c r="F277" s="767" cm="1">
        <f t="array" aca="1" ref="F277" ca="1">INDIRECT("'Definition of Typical Day'!D"&amp;D277)</f>
        <v>17</v>
      </c>
      <c r="G277" s="767" cm="1">
        <f t="array" aca="1" ref="G277" ca="1">INDIRECT("'Definition of Typical Day'!"&amp;ADDRESS(13,E277))</f>
        <v>11</v>
      </c>
      <c r="H277" s="768" cm="1">
        <f t="array" aca="1" ref="H277" ca="1">INDIRECT("'Definition of Typical Day'!"&amp; ADDRESS($D277+28*(H$16-1),$E277))</f>
        <v>0</v>
      </c>
      <c r="I277" s="715" cm="1">
        <f t="array" aca="1" ref="I277" ca="1">INDIRECT("'Definition of Typical Day'!"&amp; ADDRESS($D277+29*(I$16-1),$E277))</f>
        <v>0</v>
      </c>
      <c r="J277" s="715">
        <f t="shared" ca="1" si="251"/>
        <v>0</v>
      </c>
      <c r="K277" s="785">
        <f t="shared" si="252"/>
        <v>28</v>
      </c>
      <c r="L277" s="786" cm="1">
        <f t="array" aca="1" ref="L277" ca="1">INDIRECT("'Definition of Typical Day'!"&amp; ADDRESS($D277+29*(L$16-1),$E277))</f>
        <v>0</v>
      </c>
      <c r="M277" s="768" cm="1">
        <f t="array" aca="1" ref="M277" ca="1">INDIRECT("'Definition of Typical Day'!"&amp; ADDRESS($D277+29*(M$16-1),$E277))</f>
        <v>0</v>
      </c>
      <c r="N277" s="715">
        <f t="shared" si="253"/>
        <v>3</v>
      </c>
      <c r="O277" s="715">
        <f t="shared" ca="1" si="254"/>
        <v>3</v>
      </c>
      <c r="P277" s="715" cm="1">
        <f t="array" aca="1" ref="P277" ca="1">INDIRECT("'Definition of Typical Day'!"&amp; ADDRESS($D277+29*(P$16-1),$E277))</f>
        <v>0</v>
      </c>
      <c r="Q277" s="787">
        <f t="shared" ca="1" si="255"/>
        <v>3</v>
      </c>
      <c r="R277" s="792">
        <f t="shared" ca="1" si="256"/>
        <v>3</v>
      </c>
      <c r="S277" s="769">
        <f t="shared" si="257"/>
        <v>3</v>
      </c>
      <c r="T277" s="769">
        <f t="shared" ca="1" si="258"/>
        <v>-0.5</v>
      </c>
      <c r="U277" s="769">
        <f t="shared" ca="1" si="259"/>
        <v>2.262</v>
      </c>
      <c r="V277" s="769">
        <f t="shared" ca="1" si="260"/>
        <v>0</v>
      </c>
      <c r="W277" s="769">
        <f t="shared" ca="1" si="261"/>
        <v>4.7620000000000005</v>
      </c>
      <c r="X277" s="794">
        <f t="shared" si="262"/>
        <v>3</v>
      </c>
      <c r="Y277" s="769">
        <f t="shared" ca="1" si="263"/>
        <v>0.54772255750516607</v>
      </c>
      <c r="Z277" s="769">
        <f t="shared" ca="1" si="264"/>
        <v>0</v>
      </c>
      <c r="AA277" s="795">
        <f t="shared" ca="1" si="265"/>
        <v>0</v>
      </c>
      <c r="AB277" s="769">
        <f t="shared" ca="1" si="266"/>
        <v>0</v>
      </c>
      <c r="AC277" s="769">
        <f t="shared" ca="1" si="267"/>
        <v>0</v>
      </c>
      <c r="AD277" s="769">
        <f t="shared" ca="1" si="268"/>
        <v>0</v>
      </c>
      <c r="AE277" s="794">
        <f t="shared" ca="1" si="269"/>
        <v>0</v>
      </c>
      <c r="AF277" s="769">
        <f t="shared" ca="1" si="270"/>
        <v>0</v>
      </c>
      <c r="AG277" s="769">
        <f t="shared" ca="1" si="271"/>
        <v>0</v>
      </c>
      <c r="AH277" s="799">
        <f t="shared" ca="1" si="272"/>
        <v>0</v>
      </c>
      <c r="AI277" s="801">
        <f t="shared" ca="1" si="273"/>
        <v>1</v>
      </c>
      <c r="AJ277" s="794">
        <f t="shared" ca="1" si="274"/>
        <v>0</v>
      </c>
      <c r="AK277" s="769">
        <f t="shared" ca="1" si="275"/>
        <v>0</v>
      </c>
      <c r="AL277" s="769">
        <f t="shared" ca="1" si="276"/>
        <v>0</v>
      </c>
      <c r="AM277" s="804">
        <f t="shared" ref="AM277:AM340" ca="1" si="299">IF($BY277=1,$AJ277,0)*$BD277/AM$16</f>
        <v>0</v>
      </c>
      <c r="AN277" s="795">
        <f t="shared" ref="AN277:AN340" ca="1" si="300">(H277-IF($BY277=1,$AJ277,0))*$BD277/AN$16</f>
        <v>0</v>
      </c>
      <c r="AO277" s="251"/>
      <c r="AP277" s="770">
        <f t="shared" si="277"/>
        <v>0</v>
      </c>
      <c r="AQ277" s="771">
        <f t="shared" ca="1" si="278"/>
        <v>0</v>
      </c>
      <c r="AR277" s="771">
        <f t="shared" ca="1" si="279"/>
        <v>0</v>
      </c>
      <c r="AS277" s="772">
        <f t="shared" ca="1" si="280"/>
        <v>0</v>
      </c>
      <c r="AT277" s="231"/>
      <c r="AU277" s="770">
        <f>'Main Results - IRR DC Operator'!$F$16</f>
        <v>2</v>
      </c>
      <c r="AV277" s="773">
        <f>'Main Results - IRR DC Operator'!$F$15</f>
        <v>1</v>
      </c>
      <c r="AW277" s="771">
        <f t="shared" ca="1" si="281"/>
        <v>0</v>
      </c>
      <c r="AX277" s="772">
        <f t="shared" si="282"/>
        <v>0</v>
      </c>
      <c r="AY277" s="231"/>
      <c r="AZ277" s="770" cm="1">
        <f t="array" aca="1" ref="AZ277" ca="1">INDIRECT("'Definition of Typical Day'!"&amp; ADDRESS($D277+29*(AZ$16-1),$E277))+$AZ$17</f>
        <v>11</v>
      </c>
      <c r="BA277" s="771" cm="1">
        <f t="array" aca="1" ref="BA277" ca="1">INDIRECT("'Definition of Typical Day'!"&amp; ADDRESS($D277+29*(BA$16-1),$E277))+$BA$17</f>
        <v>11</v>
      </c>
      <c r="BB277" s="772" cm="1">
        <f t="array" aca="1" ref="BB277" ca="1">INDIRECT("'Definition of Typical Day'!"&amp;ADDRESS(BB$16,$E277))</f>
        <v>0</v>
      </c>
      <c r="BC277" s="776" cm="1">
        <f t="array" aca="1" ref="BC277" ca="1">INDIRECT("'Definition of Typical Day'!"&amp; ADDRESS($D277+29*(BC$16-1),$E277))</f>
        <v>0</v>
      </c>
      <c r="BD277" s="777" cm="1">
        <f t="array" aca="1" ref="BD277" ca="1">INDIRECT("'Definition of Typical Day'!"&amp; ADDRESS($D277+29*(BD$16-1),$E277))</f>
        <v>0</v>
      </c>
      <c r="BE277" s="776">
        <f t="shared" si="283"/>
        <v>0</v>
      </c>
      <c r="BF277" s="771">
        <f t="shared" ca="1" si="284"/>
        <v>0</v>
      </c>
      <c r="BG277" s="771">
        <f t="shared" ca="1" si="285"/>
        <v>0</v>
      </c>
      <c r="BH277" s="771">
        <f t="shared" ca="1" si="286"/>
        <v>0</v>
      </c>
      <c r="BI277" s="776">
        <f t="shared" ca="1" si="287"/>
        <v>0</v>
      </c>
      <c r="BJ277" s="776">
        <f t="shared" ca="1" si="288"/>
        <v>0</v>
      </c>
      <c r="BK277" s="776">
        <f t="shared" ca="1" si="289"/>
        <v>0</v>
      </c>
      <c r="BL277" s="776">
        <f t="shared" ca="1" si="290"/>
        <v>0</v>
      </c>
      <c r="BM277" s="135"/>
      <c r="BN277" s="776">
        <f t="shared" ca="1" si="291"/>
        <v>0</v>
      </c>
      <c r="BO277" s="778">
        <f t="shared" ref="BO277:BO340" ca="1" si="301">BN277/MAX(0.0001,AH277)</f>
        <v>0</v>
      </c>
      <c r="BP277" s="770">
        <f t="shared" ref="BP277:BP340" ca="1" si="302">SUM(AX277,BF277:BH277)</f>
        <v>0</v>
      </c>
      <c r="BQ277" s="771">
        <f t="shared" ref="BQ277:BQ340" ca="1" si="303">$BQ$16*AH277</f>
        <v>0</v>
      </c>
      <c r="BR277" s="771">
        <f t="shared" ref="BR277:BR340" ca="1" si="304">$BR$16*AD277</f>
        <v>0</v>
      </c>
      <c r="BS277" s="776">
        <f t="shared" ca="1" si="292"/>
        <v>0</v>
      </c>
      <c r="BT277" s="776">
        <f t="shared" ref="BT277:BT340" ca="1" si="305">BP277+BQ277+BR277</f>
        <v>0</v>
      </c>
      <c r="BU277" s="783">
        <f t="shared" ref="BU277:BU340" ca="1" si="306">BT277/MAX(0.0001,AH277)</f>
        <v>0</v>
      </c>
      <c r="BV277" s="783">
        <f t="shared" ref="BV277:BV340" ca="1" si="307">(BT277-BL277)/MAX(0.0001,AH277)</f>
        <v>0</v>
      </c>
      <c r="BW277" s="1019">
        <f t="shared" ca="1" si="293"/>
        <v>0</v>
      </c>
      <c r="BX277" s="771" cm="1">
        <f t="array" aca="1" ref="BX277" ca="1">INDIRECT("'Definition of Typical Day'!"&amp; ADDRESS($D277+29*(BX$16-1),$E277))</f>
        <v>0</v>
      </c>
      <c r="BY277" s="771">
        <f t="shared" ca="1" si="294"/>
        <v>0</v>
      </c>
      <c r="BZ277" s="781">
        <f t="shared" ref="BZ277:BZ340" ca="1" si="308">IF(AND(AJ277&gt;0,BY277&gt;0),1,0)</f>
        <v>0</v>
      </c>
      <c r="CA277" s="781">
        <f t="shared" ref="CA277:CA340" ca="1" si="309">IF(BY277&gt;0,(AJ277+AK277)/X$16,0)</f>
        <v>0</v>
      </c>
      <c r="CB277" s="776">
        <f t="shared" ref="CB277:CB340" ca="1" si="310">BX277*AH277</f>
        <v>0</v>
      </c>
      <c r="CC277" s="782">
        <f t="shared" ref="CC277:CC340" si="311">A277</f>
        <v>11</v>
      </c>
      <c r="CD277" s="782">
        <f t="shared" ref="CD277:CD340" si="312">C277</f>
        <v>17</v>
      </c>
      <c r="CE277" s="784" cm="1">
        <f t="array" aca="1" ref="CE277" ca="1">INDIRECT("'Definition of Typical Day'!"&amp;ADDRESS(CE$16,$E277))</f>
        <v>11</v>
      </c>
      <c r="CF277" s="232"/>
      <c r="CG277" s="232"/>
      <c r="CH277" s="776">
        <f t="shared" ref="CH277:CH340" ca="1" si="313">H277</f>
        <v>0</v>
      </c>
      <c r="CI277" s="806">
        <f t="shared" ref="CI277:CI340" ca="1" si="314">L277</f>
        <v>0</v>
      </c>
      <c r="CJ277" s="770">
        <f t="shared" ref="CJ277:CJ340" ca="1" si="315">AH277*$BY277</f>
        <v>0</v>
      </c>
      <c r="CK277" s="771">
        <f t="shared" ref="CK277:CK340" ca="1" si="316">AJ277*$BY277</f>
        <v>0</v>
      </c>
      <c r="CL277" s="771">
        <f t="shared" ref="CL277:CL340" ca="1" si="317">AK277*$BY277</f>
        <v>0</v>
      </c>
      <c r="CM277" s="772">
        <f t="shared" ref="CM277:CM340" ca="1" si="318">AL277*$BY277</f>
        <v>0</v>
      </c>
      <c r="CN277" s="135"/>
      <c r="CO277" s="770">
        <f t="shared" ca="1" si="295"/>
        <v>1.05</v>
      </c>
      <c r="CP277" s="771">
        <f t="shared" ref="CP277:CP340" ca="1" si="319">IF(L277&lt;0.01,2%,98%)</f>
        <v>0.02</v>
      </c>
      <c r="CQ277" s="771">
        <f t="shared" ref="CQ277:CQ340" ca="1" si="320">IF(H277&lt;0.01,-2.5%,96%)</f>
        <v>-2.5000000000000001E-2</v>
      </c>
      <c r="CR277" s="771">
        <f t="shared" ref="CR277:CR340" ca="1" si="321">IF(OR(AB277=0,AD277&gt;0),95%,5%)</f>
        <v>0.95</v>
      </c>
      <c r="CS277" s="771">
        <f t="shared" ref="CS277:CS340" ca="1" si="322">IF(AJ277&gt;0.01,102%,3%)</f>
        <v>0.03</v>
      </c>
      <c r="CT277" s="772">
        <f t="shared" ref="CT277:CT340" ca="1" si="323">IF(AL277&gt;0.01,101%,2%)</f>
        <v>0.02</v>
      </c>
      <c r="CU277" s="135"/>
      <c r="CV277" s="135"/>
      <c r="CW277" s="135"/>
      <c r="CX277" s="135"/>
      <c r="CY277" s="135"/>
      <c r="CZ277" s="135"/>
      <c r="DA277" s="135"/>
      <c r="DB277" s="135"/>
      <c r="DC277" s="135"/>
      <c r="DD277" s="135"/>
      <c r="DE277" s="135"/>
      <c r="DF277" s="135"/>
      <c r="DG277" s="135"/>
      <c r="DH277" s="135"/>
      <c r="DI277" s="135"/>
      <c r="DJ277" s="135"/>
      <c r="DK277" s="135"/>
      <c r="DL277" s="135"/>
      <c r="DX277" s="135"/>
      <c r="DY277" s="135"/>
      <c r="DZ277" s="135"/>
      <c r="EA277" s="135"/>
      <c r="EB277" s="135"/>
      <c r="EC277" s="135"/>
      <c r="ED277" s="135"/>
      <c r="EE277" s="135"/>
      <c r="EF277" s="135"/>
      <c r="EG277" s="135"/>
      <c r="EH277" s="135"/>
      <c r="EI277" s="135"/>
      <c r="EJ277" s="135"/>
      <c r="EK277" s="135"/>
      <c r="EL277" s="135"/>
      <c r="EM277" s="135"/>
      <c r="EN277" s="135"/>
      <c r="EO277" s="135"/>
      <c r="EP277" s="135"/>
      <c r="EQ277" s="135"/>
      <c r="ER277" s="135"/>
      <c r="ES277" s="135"/>
      <c r="ET277" s="135"/>
      <c r="EU277" s="135"/>
      <c r="EV277" s="135"/>
      <c r="EW277" s="135"/>
      <c r="EX277" s="135"/>
      <c r="EY277" s="135"/>
      <c r="EZ277" s="135"/>
      <c r="FA277" s="135"/>
      <c r="FB277" s="135"/>
      <c r="FC277" s="135"/>
      <c r="FD277" s="135"/>
      <c r="FE277" s="135"/>
      <c r="FF277" s="135"/>
      <c r="FG277" s="135"/>
    </row>
    <row r="278" spans="1:163" s="57" customFormat="1" ht="11.25" outlineLevel="1">
      <c r="A278" s="765">
        <f t="shared" si="296"/>
        <v>11</v>
      </c>
      <c r="B278" s="715" cm="1">
        <f t="array" aca="1" ref="B278" ca="1">INDIRECT("'Definition of Typical Day'!"&amp;ADDRESS(B$16,$E278))</f>
        <v>11</v>
      </c>
      <c r="C278" s="766">
        <f t="shared" si="297"/>
        <v>18</v>
      </c>
      <c r="D278" s="715">
        <f t="shared" si="297"/>
        <v>52</v>
      </c>
      <c r="E278" s="715">
        <f t="shared" si="298"/>
        <v>15</v>
      </c>
      <c r="F278" s="767" cm="1">
        <f t="array" aca="1" ref="F278" ca="1">INDIRECT("'Definition of Typical Day'!D"&amp;D278)</f>
        <v>18</v>
      </c>
      <c r="G278" s="767" cm="1">
        <f t="array" aca="1" ref="G278" ca="1">INDIRECT("'Definition of Typical Day'!"&amp;ADDRESS(13,E278))</f>
        <v>11</v>
      </c>
      <c r="H278" s="768" cm="1">
        <f t="array" aca="1" ref="H278" ca="1">INDIRECT("'Definition of Typical Day'!"&amp; ADDRESS($D278+28*(H$16-1),$E278))</f>
        <v>0</v>
      </c>
      <c r="I278" s="715" cm="1">
        <f t="array" aca="1" ref="I278" ca="1">INDIRECT("'Definition of Typical Day'!"&amp; ADDRESS($D278+29*(I$16-1),$E278))</f>
        <v>0</v>
      </c>
      <c r="J278" s="715">
        <f t="shared" ref="J278:J341" ca="1" si="324">IF(I278&lt;K278,0,I278-$J$16)</f>
        <v>0</v>
      </c>
      <c r="K278" s="785">
        <f t="shared" ref="K278:K341" si="325">$K$16</f>
        <v>28</v>
      </c>
      <c r="L278" s="786" cm="1">
        <f t="array" aca="1" ref="L278" ca="1">INDIRECT("'Definition of Typical Day'!"&amp; ADDRESS($D278+29*(L$16-1),$E278))</f>
        <v>0</v>
      </c>
      <c r="M278" s="768" cm="1">
        <f t="array" aca="1" ref="M278" ca="1">INDIRECT("'Definition of Typical Day'!"&amp; ADDRESS($D278+29*(M$16-1),$E278))</f>
        <v>0</v>
      </c>
      <c r="N278" s="715">
        <f t="shared" ref="N278:N341" si="326">$N$16</f>
        <v>3</v>
      </c>
      <c r="O278" s="715">
        <f t="shared" ref="O278:O341" ca="1" si="327">N278+M278</f>
        <v>3</v>
      </c>
      <c r="P278" s="715" cm="1">
        <f t="array" aca="1" ref="P278" ca="1">INDIRECT("'Definition of Typical Day'!"&amp; ADDRESS($D278+29*(P$16-1),$E278))</f>
        <v>0</v>
      </c>
      <c r="Q278" s="787">
        <f t="shared" ref="Q278:Q341" ca="1" si="328">P278+N278</f>
        <v>3</v>
      </c>
      <c r="R278" s="792">
        <f t="shared" ref="R278:R341" ca="1" si="329">MIN($R$16,O278)</f>
        <v>3</v>
      </c>
      <c r="S278" s="769">
        <f t="shared" ref="S278:S341" si="330">$S$16</f>
        <v>3</v>
      </c>
      <c r="T278" s="769">
        <f t="shared" ref="T278:T341" ca="1" si="331">ABS($T$16)*(J278-$T$17)</f>
        <v>-0.5</v>
      </c>
      <c r="U278" s="769">
        <f t="shared" ref="U278:U341" ca="1" si="332">ABS($U$16)*($U$17-R278)</f>
        <v>2.262</v>
      </c>
      <c r="V278" s="769">
        <f t="shared" ref="V278:V341" ca="1" si="333">($V$16)*(Q278-$V$17)</f>
        <v>0</v>
      </c>
      <c r="W278" s="769">
        <f t="shared" ref="W278:W341" ca="1" si="334">SUM(S278:V278)</f>
        <v>4.7620000000000005</v>
      </c>
      <c r="X278" s="794">
        <f t="shared" ref="X278:X341" si="335">$X$16</f>
        <v>3</v>
      </c>
      <c r="Y278" s="769">
        <f t="shared" ref="Y278:Y341" ca="1" si="336">X278*MIN(1,(MAX(1,R278-Q278)/$Y$16)^$Y$17)</f>
        <v>0.54772255750516607</v>
      </c>
      <c r="Z278" s="769">
        <f t="shared" ref="Z278:Z341" ca="1" si="337">MIN(H278*W278/(W278-1),Y278)</f>
        <v>0</v>
      </c>
      <c r="AA278" s="795">
        <f t="shared" ref="AA278:AA341" ca="1" si="338">(0.00001 + AD278)/(0.00001+AC278)*Z278</f>
        <v>0</v>
      </c>
      <c r="AB278" s="769">
        <f t="shared" ref="AB278:AB341" ca="1" si="339">MAX(0, O278-R278)</f>
        <v>0</v>
      </c>
      <c r="AC278" s="769">
        <f t="shared" ref="AC278:AC341" ca="1" si="340">(AB278/MAX(1,R278-Q278)*Z278)</f>
        <v>0</v>
      </c>
      <c r="AD278" s="769">
        <f t="shared" ref="AD278:AD341" ca="1" si="341">MIN(AC278,$AD$16)</f>
        <v>0</v>
      </c>
      <c r="AE278" s="794">
        <f t="shared" ref="AE278:AE341" ca="1" si="342">AD278+AA278</f>
        <v>0</v>
      </c>
      <c r="AF278" s="769">
        <f t="shared" ref="AF278:AF341" ca="1" si="343">AE278*$AF$16/100</f>
        <v>0</v>
      </c>
      <c r="AG278" s="769">
        <f t="shared" ref="AG278:AG341" ca="1" si="344">AE278-AF278</f>
        <v>0</v>
      </c>
      <c r="AH278" s="799">
        <f t="shared" ref="AH278:AH341" ca="1" si="345">MIN(AG278,L278)</f>
        <v>0</v>
      </c>
      <c r="AI278" s="801">
        <f t="shared" ref="AI278:AI341" ca="1" si="346">(0.00001 + AH278)/(0.00001+AG278)</f>
        <v>1</v>
      </c>
      <c r="AJ278" s="794">
        <f t="shared" ref="AJ278:AJ341" ca="1" si="347">AA278*(W278-1)/(W278)*$AI278</f>
        <v>0</v>
      </c>
      <c r="AK278" s="769">
        <f t="shared" ref="AK278:AK341" ca="1" si="348">AA278/(W278)*$AI278</f>
        <v>0</v>
      </c>
      <c r="AL278" s="769">
        <f t="shared" ref="AL278:AL341" ca="1" si="349">AD278/MAX(0.001, $AL$16/100)*$AI278</f>
        <v>0</v>
      </c>
      <c r="AM278" s="804">
        <f t="shared" ca="1" si="299"/>
        <v>0</v>
      </c>
      <c r="AN278" s="795">
        <f t="shared" ca="1" si="300"/>
        <v>0</v>
      </c>
      <c r="AO278" s="251"/>
      <c r="AP278" s="770">
        <f t="shared" ref="AP278:AP341" si="350">$AP$16</f>
        <v>0</v>
      </c>
      <c r="AQ278" s="771">
        <f t="shared" ref="AQ278:AQ341" ca="1" si="351">AP278*H278</f>
        <v>0</v>
      </c>
      <c r="AR278" s="771">
        <f t="shared" ref="AR278:AR341" ca="1" si="352">$AR$16*AJ278</f>
        <v>0</v>
      </c>
      <c r="AS278" s="772">
        <f t="shared" ref="AS278:AS341" ca="1" si="353">AR278+AQ278</f>
        <v>0</v>
      </c>
      <c r="AT278" s="231"/>
      <c r="AU278" s="770">
        <f>'Main Results - IRR DC Operator'!$F$16</f>
        <v>2</v>
      </c>
      <c r="AV278" s="773">
        <f>'Main Results - IRR DC Operator'!$F$15</f>
        <v>1</v>
      </c>
      <c r="AW278" s="771">
        <f t="shared" ref="AW278:AW341" ca="1" si="354">IF(AV278=1,H278*AU278,0)</f>
        <v>0</v>
      </c>
      <c r="AX278" s="772">
        <f t="shared" ref="AX278:AX341" si="355">IF(AV278=2,AJ278*AU278,0)</f>
        <v>0</v>
      </c>
      <c r="AY278" s="231"/>
      <c r="AZ278" s="770" cm="1">
        <f t="array" aca="1" ref="AZ278" ca="1">INDIRECT("'Definition of Typical Day'!"&amp; ADDRESS($D278+29*(AZ$16-1),$E278))+$AZ$17</f>
        <v>11</v>
      </c>
      <c r="BA278" s="771" cm="1">
        <f t="array" aca="1" ref="BA278" ca="1">INDIRECT("'Definition of Typical Day'!"&amp; ADDRESS($D278+29*(BA$16-1),$E278))+$BA$17</f>
        <v>11</v>
      </c>
      <c r="BB278" s="772" cm="1">
        <f t="array" aca="1" ref="BB278" ca="1">INDIRECT("'Definition of Typical Day'!"&amp;ADDRESS(BB$16,$E278))</f>
        <v>0</v>
      </c>
      <c r="BC278" s="776" cm="1">
        <f t="array" aca="1" ref="BC278" ca="1">INDIRECT("'Definition of Typical Day'!"&amp; ADDRESS($D278+29*(BC$16-1),$E278))</f>
        <v>0</v>
      </c>
      <c r="BD278" s="777" cm="1">
        <f t="array" aca="1" ref="BD278" ca="1">INDIRECT("'Definition of Typical Day'!"&amp; ADDRESS($D278+29*(BD$16-1),$E278))</f>
        <v>0</v>
      </c>
      <c r="BE278" s="776">
        <f t="shared" ref="BE278:BE341" si="356">$BE$16</f>
        <v>0</v>
      </c>
      <c r="BF278" s="771">
        <f t="shared" ref="BF278:BF341" ca="1" si="357">AZ278*AK278</f>
        <v>0</v>
      </c>
      <c r="BG278" s="771">
        <f t="shared" ref="BG278:BG341" ca="1" si="358">AE278*BG$16/100*BB278*AI278</f>
        <v>0</v>
      </c>
      <c r="BH278" s="771">
        <f t="shared" ref="BH278:BH341" ca="1" si="359">BA278*AL278</f>
        <v>0</v>
      </c>
      <c r="BI278" s="776">
        <f t="shared" ref="BI278:BI341" ca="1" si="360">AM278*$BC278</f>
        <v>0</v>
      </c>
      <c r="BJ278" s="776">
        <f t="shared" ref="BJ278:BJ341" ca="1" si="361">AN278*$BC278</f>
        <v>0</v>
      </c>
      <c r="BK278" s="776">
        <f t="shared" ref="BK278:BK341" ca="1" si="362">BE278*AJ278</f>
        <v>0</v>
      </c>
      <c r="BL278" s="776">
        <f t="shared" ref="BL278:BL341" ca="1" si="363">MIN(MAX(SUM(BF278:BG278),0), BK278)</f>
        <v>0</v>
      </c>
      <c r="BM278" s="135"/>
      <c r="BN278" s="776">
        <f t="shared" ref="BN278:BN341" ca="1" si="364">SUM(AW278:AX278,BF278:BH278)-BL278</f>
        <v>0</v>
      </c>
      <c r="BO278" s="778">
        <f t="shared" ca="1" si="301"/>
        <v>0</v>
      </c>
      <c r="BP278" s="770">
        <f t="shared" ca="1" si="302"/>
        <v>0</v>
      </c>
      <c r="BQ278" s="771">
        <f t="shared" ca="1" si="303"/>
        <v>0</v>
      </c>
      <c r="BR278" s="771">
        <f t="shared" ca="1" si="304"/>
        <v>0</v>
      </c>
      <c r="BS278" s="776">
        <f t="shared" ref="BS278:BS341" ca="1" si="365">BN278+BQ278+BR278</f>
        <v>0</v>
      </c>
      <c r="BT278" s="776">
        <f t="shared" ca="1" si="305"/>
        <v>0</v>
      </c>
      <c r="BU278" s="783">
        <f t="shared" ca="1" si="306"/>
        <v>0</v>
      </c>
      <c r="BV278" s="783">
        <f t="shared" ca="1" si="307"/>
        <v>0</v>
      </c>
      <c r="BW278" s="1019">
        <f t="shared" ref="BW278:BW341" ca="1" si="366">IF(BW$16=1,BV278,BU278)</f>
        <v>0</v>
      </c>
      <c r="BX278" s="771" cm="1">
        <f t="array" aca="1" ref="BX278" ca="1">INDIRECT("'Definition of Typical Day'!"&amp; ADDRESS($D278+29*(BX$16-1),$E278))</f>
        <v>0</v>
      </c>
      <c r="BY278" s="771">
        <f t="shared" ref="BY278:BY341" ca="1" si="367">IF(OR(BW278&gt;BX278,SUM(AJ278:AL278)&lt;0.01),0%,100%)</f>
        <v>0</v>
      </c>
      <c r="BZ278" s="781">
        <f t="shared" ca="1" si="308"/>
        <v>0</v>
      </c>
      <c r="CA278" s="781">
        <f t="shared" ca="1" si="309"/>
        <v>0</v>
      </c>
      <c r="CB278" s="776">
        <f t="shared" ca="1" si="310"/>
        <v>0</v>
      </c>
      <c r="CC278" s="782">
        <f t="shared" si="311"/>
        <v>11</v>
      </c>
      <c r="CD278" s="782">
        <f t="shared" si="312"/>
        <v>18</v>
      </c>
      <c r="CE278" s="784" cm="1">
        <f t="array" aca="1" ref="CE278" ca="1">INDIRECT("'Definition of Typical Day'!"&amp;ADDRESS(CE$16,$E278))</f>
        <v>11</v>
      </c>
      <c r="CF278" s="232"/>
      <c r="CG278" s="232"/>
      <c r="CH278" s="776">
        <f t="shared" ca="1" si="313"/>
        <v>0</v>
      </c>
      <c r="CI278" s="806">
        <f t="shared" ca="1" si="314"/>
        <v>0</v>
      </c>
      <c r="CJ278" s="770">
        <f t="shared" ca="1" si="315"/>
        <v>0</v>
      </c>
      <c r="CK278" s="771">
        <f t="shared" ca="1" si="316"/>
        <v>0</v>
      </c>
      <c r="CL278" s="771">
        <f t="shared" ca="1" si="317"/>
        <v>0</v>
      </c>
      <c r="CM278" s="772">
        <f t="shared" ca="1" si="318"/>
        <v>0</v>
      </c>
      <c r="CN278" s="135"/>
      <c r="CO278" s="770">
        <f t="shared" ca="1" si="295"/>
        <v>1.05</v>
      </c>
      <c r="CP278" s="771">
        <f t="shared" ca="1" si="319"/>
        <v>0.02</v>
      </c>
      <c r="CQ278" s="771">
        <f t="shared" ca="1" si="320"/>
        <v>-2.5000000000000001E-2</v>
      </c>
      <c r="CR278" s="771">
        <f t="shared" ca="1" si="321"/>
        <v>0.95</v>
      </c>
      <c r="CS278" s="771">
        <f t="shared" ca="1" si="322"/>
        <v>0.03</v>
      </c>
      <c r="CT278" s="772">
        <f t="shared" ca="1" si="323"/>
        <v>0.02</v>
      </c>
      <c r="CU278" s="135"/>
      <c r="CV278" s="135"/>
      <c r="CW278" s="135"/>
      <c r="CX278" s="135"/>
      <c r="CY278" s="135"/>
      <c r="CZ278" s="135"/>
      <c r="DA278" s="135"/>
      <c r="DB278" s="135"/>
      <c r="DC278" s="135"/>
      <c r="DD278" s="135"/>
      <c r="DE278" s="135"/>
      <c r="DF278" s="135"/>
      <c r="DG278" s="135"/>
      <c r="DH278" s="135"/>
      <c r="DI278" s="135"/>
      <c r="DJ278" s="135"/>
      <c r="DK278" s="135"/>
      <c r="DL278" s="135"/>
      <c r="DX278" s="135"/>
      <c r="DY278" s="135"/>
      <c r="DZ278" s="135"/>
      <c r="EA278" s="135"/>
      <c r="EB278" s="135"/>
      <c r="EC278" s="135"/>
      <c r="ED278" s="135"/>
      <c r="EE278" s="135"/>
      <c r="EF278" s="135"/>
      <c r="EG278" s="135"/>
      <c r="EH278" s="135"/>
      <c r="EI278" s="135"/>
      <c r="EJ278" s="135"/>
      <c r="EK278" s="135"/>
      <c r="EL278" s="135"/>
      <c r="EM278" s="135"/>
      <c r="EN278" s="135"/>
      <c r="EO278" s="135"/>
      <c r="EP278" s="135"/>
      <c r="EQ278" s="135"/>
      <c r="ER278" s="135"/>
      <c r="ES278" s="135"/>
      <c r="ET278" s="135"/>
      <c r="EU278" s="135"/>
      <c r="EV278" s="135"/>
      <c r="EW278" s="135"/>
      <c r="EX278" s="135"/>
      <c r="EY278" s="135"/>
      <c r="EZ278" s="135"/>
      <c r="FA278" s="135"/>
      <c r="FB278" s="135"/>
      <c r="FC278" s="135"/>
      <c r="FD278" s="135"/>
      <c r="FE278" s="135"/>
      <c r="FF278" s="135"/>
      <c r="FG278" s="135"/>
    </row>
    <row r="279" spans="1:163" s="57" customFormat="1" ht="11.25" outlineLevel="1">
      <c r="A279" s="765">
        <f t="shared" si="296"/>
        <v>11</v>
      </c>
      <c r="B279" s="715" cm="1">
        <f t="array" aca="1" ref="B279" ca="1">INDIRECT("'Definition of Typical Day'!"&amp;ADDRESS(B$16,$E279))</f>
        <v>11</v>
      </c>
      <c r="C279" s="766">
        <f t="shared" si="297"/>
        <v>19</v>
      </c>
      <c r="D279" s="715">
        <f t="shared" si="297"/>
        <v>53</v>
      </c>
      <c r="E279" s="715">
        <f t="shared" si="298"/>
        <v>15</v>
      </c>
      <c r="F279" s="767" cm="1">
        <f t="array" aca="1" ref="F279" ca="1">INDIRECT("'Definition of Typical Day'!D"&amp;D279)</f>
        <v>19</v>
      </c>
      <c r="G279" s="767" cm="1">
        <f t="array" aca="1" ref="G279" ca="1">INDIRECT("'Definition of Typical Day'!"&amp;ADDRESS(13,E279))</f>
        <v>11</v>
      </c>
      <c r="H279" s="768" cm="1">
        <f t="array" aca="1" ref="H279" ca="1">INDIRECT("'Definition of Typical Day'!"&amp; ADDRESS($D279+28*(H$16-1),$E279))</f>
        <v>0</v>
      </c>
      <c r="I279" s="715" cm="1">
        <f t="array" aca="1" ref="I279" ca="1">INDIRECT("'Definition of Typical Day'!"&amp; ADDRESS($D279+29*(I$16-1),$E279))</f>
        <v>0</v>
      </c>
      <c r="J279" s="715">
        <f t="shared" ca="1" si="324"/>
        <v>0</v>
      </c>
      <c r="K279" s="785">
        <f t="shared" si="325"/>
        <v>28</v>
      </c>
      <c r="L279" s="786" cm="1">
        <f t="array" aca="1" ref="L279" ca="1">INDIRECT("'Definition of Typical Day'!"&amp; ADDRESS($D279+29*(L$16-1),$E279))</f>
        <v>0</v>
      </c>
      <c r="M279" s="768" cm="1">
        <f t="array" aca="1" ref="M279" ca="1">INDIRECT("'Definition of Typical Day'!"&amp; ADDRESS($D279+29*(M$16-1),$E279))</f>
        <v>0</v>
      </c>
      <c r="N279" s="715">
        <f t="shared" si="326"/>
        <v>3</v>
      </c>
      <c r="O279" s="715">
        <f t="shared" ca="1" si="327"/>
        <v>3</v>
      </c>
      <c r="P279" s="715" cm="1">
        <f t="array" aca="1" ref="P279" ca="1">INDIRECT("'Definition of Typical Day'!"&amp; ADDRESS($D279+29*(P$16-1),$E279))</f>
        <v>0</v>
      </c>
      <c r="Q279" s="787">
        <f t="shared" ca="1" si="328"/>
        <v>3</v>
      </c>
      <c r="R279" s="792">
        <f t="shared" ca="1" si="329"/>
        <v>3</v>
      </c>
      <c r="S279" s="769">
        <f t="shared" si="330"/>
        <v>3</v>
      </c>
      <c r="T279" s="769">
        <f t="shared" ca="1" si="331"/>
        <v>-0.5</v>
      </c>
      <c r="U279" s="769">
        <f t="shared" ca="1" si="332"/>
        <v>2.262</v>
      </c>
      <c r="V279" s="769">
        <f t="shared" ca="1" si="333"/>
        <v>0</v>
      </c>
      <c r="W279" s="769">
        <f t="shared" ca="1" si="334"/>
        <v>4.7620000000000005</v>
      </c>
      <c r="X279" s="794">
        <f t="shared" si="335"/>
        <v>3</v>
      </c>
      <c r="Y279" s="769">
        <f t="shared" ca="1" si="336"/>
        <v>0.54772255750516607</v>
      </c>
      <c r="Z279" s="769">
        <f t="shared" ca="1" si="337"/>
        <v>0</v>
      </c>
      <c r="AA279" s="795">
        <f t="shared" ca="1" si="338"/>
        <v>0</v>
      </c>
      <c r="AB279" s="769">
        <f t="shared" ca="1" si="339"/>
        <v>0</v>
      </c>
      <c r="AC279" s="769">
        <f t="shared" ca="1" si="340"/>
        <v>0</v>
      </c>
      <c r="AD279" s="769">
        <f t="shared" ca="1" si="341"/>
        <v>0</v>
      </c>
      <c r="AE279" s="794">
        <f t="shared" ca="1" si="342"/>
        <v>0</v>
      </c>
      <c r="AF279" s="769">
        <f t="shared" ca="1" si="343"/>
        <v>0</v>
      </c>
      <c r="AG279" s="769">
        <f t="shared" ca="1" si="344"/>
        <v>0</v>
      </c>
      <c r="AH279" s="799">
        <f t="shared" ca="1" si="345"/>
        <v>0</v>
      </c>
      <c r="AI279" s="801">
        <f t="shared" ca="1" si="346"/>
        <v>1</v>
      </c>
      <c r="AJ279" s="794">
        <f t="shared" ca="1" si="347"/>
        <v>0</v>
      </c>
      <c r="AK279" s="769">
        <f t="shared" ca="1" si="348"/>
        <v>0</v>
      </c>
      <c r="AL279" s="769">
        <f t="shared" ca="1" si="349"/>
        <v>0</v>
      </c>
      <c r="AM279" s="804">
        <f t="shared" ca="1" si="299"/>
        <v>0</v>
      </c>
      <c r="AN279" s="795">
        <f t="shared" ca="1" si="300"/>
        <v>0</v>
      </c>
      <c r="AO279" s="251"/>
      <c r="AP279" s="770">
        <f t="shared" si="350"/>
        <v>0</v>
      </c>
      <c r="AQ279" s="771">
        <f t="shared" ca="1" si="351"/>
        <v>0</v>
      </c>
      <c r="AR279" s="771">
        <f t="shared" ca="1" si="352"/>
        <v>0</v>
      </c>
      <c r="AS279" s="772">
        <f t="shared" ca="1" si="353"/>
        <v>0</v>
      </c>
      <c r="AT279" s="231"/>
      <c r="AU279" s="770">
        <f>'Main Results - IRR DC Operator'!$F$16</f>
        <v>2</v>
      </c>
      <c r="AV279" s="773">
        <f>'Main Results - IRR DC Operator'!$F$15</f>
        <v>1</v>
      </c>
      <c r="AW279" s="771">
        <f t="shared" ca="1" si="354"/>
        <v>0</v>
      </c>
      <c r="AX279" s="772">
        <f t="shared" si="355"/>
        <v>0</v>
      </c>
      <c r="AY279" s="231"/>
      <c r="AZ279" s="770" cm="1">
        <f t="array" aca="1" ref="AZ279" ca="1">INDIRECT("'Definition of Typical Day'!"&amp; ADDRESS($D279+29*(AZ$16-1),$E279))+$AZ$17</f>
        <v>11</v>
      </c>
      <c r="BA279" s="771" cm="1">
        <f t="array" aca="1" ref="BA279" ca="1">INDIRECT("'Definition of Typical Day'!"&amp; ADDRESS($D279+29*(BA$16-1),$E279))+$BA$17</f>
        <v>11</v>
      </c>
      <c r="BB279" s="772" cm="1">
        <f t="array" aca="1" ref="BB279" ca="1">INDIRECT("'Definition of Typical Day'!"&amp;ADDRESS(BB$16,$E279))</f>
        <v>0</v>
      </c>
      <c r="BC279" s="776" cm="1">
        <f t="array" aca="1" ref="BC279" ca="1">INDIRECT("'Definition of Typical Day'!"&amp; ADDRESS($D279+29*(BC$16-1),$E279))</f>
        <v>0</v>
      </c>
      <c r="BD279" s="777" cm="1">
        <f t="array" aca="1" ref="BD279" ca="1">INDIRECT("'Definition of Typical Day'!"&amp; ADDRESS($D279+29*(BD$16-1),$E279))</f>
        <v>0</v>
      </c>
      <c r="BE279" s="776">
        <f t="shared" si="356"/>
        <v>0</v>
      </c>
      <c r="BF279" s="771">
        <f t="shared" ca="1" si="357"/>
        <v>0</v>
      </c>
      <c r="BG279" s="771">
        <f t="shared" ca="1" si="358"/>
        <v>0</v>
      </c>
      <c r="BH279" s="771">
        <f t="shared" ca="1" si="359"/>
        <v>0</v>
      </c>
      <c r="BI279" s="776">
        <f t="shared" ca="1" si="360"/>
        <v>0</v>
      </c>
      <c r="BJ279" s="776">
        <f t="shared" ca="1" si="361"/>
        <v>0</v>
      </c>
      <c r="BK279" s="776">
        <f t="shared" ca="1" si="362"/>
        <v>0</v>
      </c>
      <c r="BL279" s="776">
        <f t="shared" ca="1" si="363"/>
        <v>0</v>
      </c>
      <c r="BM279" s="135"/>
      <c r="BN279" s="776">
        <f t="shared" ca="1" si="364"/>
        <v>0</v>
      </c>
      <c r="BO279" s="778">
        <f t="shared" ca="1" si="301"/>
        <v>0</v>
      </c>
      <c r="BP279" s="770">
        <f t="shared" ca="1" si="302"/>
        <v>0</v>
      </c>
      <c r="BQ279" s="771">
        <f t="shared" ca="1" si="303"/>
        <v>0</v>
      </c>
      <c r="BR279" s="771">
        <f t="shared" ca="1" si="304"/>
        <v>0</v>
      </c>
      <c r="BS279" s="776">
        <f t="shared" ca="1" si="365"/>
        <v>0</v>
      </c>
      <c r="BT279" s="776">
        <f t="shared" ca="1" si="305"/>
        <v>0</v>
      </c>
      <c r="BU279" s="783">
        <f t="shared" ca="1" si="306"/>
        <v>0</v>
      </c>
      <c r="BV279" s="783">
        <f t="shared" ca="1" si="307"/>
        <v>0</v>
      </c>
      <c r="BW279" s="1019">
        <f t="shared" ca="1" si="366"/>
        <v>0</v>
      </c>
      <c r="BX279" s="771" cm="1">
        <f t="array" aca="1" ref="BX279" ca="1">INDIRECT("'Definition of Typical Day'!"&amp; ADDRESS($D279+29*(BX$16-1),$E279))</f>
        <v>0</v>
      </c>
      <c r="BY279" s="771">
        <f t="shared" ca="1" si="367"/>
        <v>0</v>
      </c>
      <c r="BZ279" s="781">
        <f t="shared" ca="1" si="308"/>
        <v>0</v>
      </c>
      <c r="CA279" s="781">
        <f t="shared" ca="1" si="309"/>
        <v>0</v>
      </c>
      <c r="CB279" s="776">
        <f t="shared" ca="1" si="310"/>
        <v>0</v>
      </c>
      <c r="CC279" s="782">
        <f t="shared" si="311"/>
        <v>11</v>
      </c>
      <c r="CD279" s="782">
        <f t="shared" si="312"/>
        <v>19</v>
      </c>
      <c r="CE279" s="784" cm="1">
        <f t="array" aca="1" ref="CE279" ca="1">INDIRECT("'Definition of Typical Day'!"&amp;ADDRESS(CE$16,$E279))</f>
        <v>11</v>
      </c>
      <c r="CF279" s="232"/>
      <c r="CG279" s="232"/>
      <c r="CH279" s="776">
        <f t="shared" ca="1" si="313"/>
        <v>0</v>
      </c>
      <c r="CI279" s="806">
        <f t="shared" ca="1" si="314"/>
        <v>0</v>
      </c>
      <c r="CJ279" s="770">
        <f t="shared" ca="1" si="315"/>
        <v>0</v>
      </c>
      <c r="CK279" s="771">
        <f t="shared" ca="1" si="316"/>
        <v>0</v>
      </c>
      <c r="CL279" s="771">
        <f t="shared" ca="1" si="317"/>
        <v>0</v>
      </c>
      <c r="CM279" s="772">
        <f t="shared" ca="1" si="318"/>
        <v>0</v>
      </c>
      <c r="CN279" s="135"/>
      <c r="CO279" s="770">
        <f t="shared" ca="1" si="295"/>
        <v>1.05</v>
      </c>
      <c r="CP279" s="771">
        <f t="shared" ca="1" si="319"/>
        <v>0.02</v>
      </c>
      <c r="CQ279" s="771">
        <f t="shared" ca="1" si="320"/>
        <v>-2.5000000000000001E-2</v>
      </c>
      <c r="CR279" s="771">
        <f t="shared" ca="1" si="321"/>
        <v>0.95</v>
      </c>
      <c r="CS279" s="771">
        <f t="shared" ca="1" si="322"/>
        <v>0.03</v>
      </c>
      <c r="CT279" s="772">
        <f t="shared" ca="1" si="323"/>
        <v>0.02</v>
      </c>
      <c r="CU279" s="135"/>
      <c r="CV279" s="135"/>
      <c r="CW279" s="135"/>
      <c r="CX279" s="135"/>
      <c r="CY279" s="135"/>
      <c r="CZ279" s="135"/>
      <c r="DA279" s="135"/>
      <c r="DB279" s="135"/>
      <c r="DC279" s="135"/>
      <c r="DD279" s="135"/>
      <c r="DE279" s="135"/>
      <c r="DF279" s="135"/>
      <c r="DG279" s="135"/>
      <c r="DH279" s="135"/>
      <c r="DI279" s="135"/>
      <c r="DJ279" s="135"/>
      <c r="DK279" s="135"/>
      <c r="DL279" s="135"/>
      <c r="DX279" s="135"/>
      <c r="DY279" s="135"/>
      <c r="DZ279" s="135"/>
      <c r="EA279" s="135"/>
      <c r="EB279" s="135"/>
      <c r="EC279" s="135"/>
      <c r="ED279" s="135"/>
      <c r="EE279" s="135"/>
      <c r="EF279" s="135"/>
      <c r="EG279" s="135"/>
      <c r="EH279" s="135"/>
      <c r="EI279" s="135"/>
      <c r="EJ279" s="135"/>
      <c r="EK279" s="135"/>
      <c r="EL279" s="135"/>
      <c r="EM279" s="135"/>
      <c r="EN279" s="135"/>
      <c r="EO279" s="135"/>
      <c r="EP279" s="135"/>
      <c r="EQ279" s="135"/>
      <c r="ER279" s="135"/>
      <c r="ES279" s="135"/>
      <c r="ET279" s="135"/>
      <c r="EU279" s="135"/>
      <c r="EV279" s="135"/>
      <c r="EW279" s="135"/>
      <c r="EX279" s="135"/>
      <c r="EY279" s="135"/>
      <c r="EZ279" s="135"/>
      <c r="FA279" s="135"/>
      <c r="FB279" s="135"/>
      <c r="FC279" s="135"/>
      <c r="FD279" s="135"/>
      <c r="FE279" s="135"/>
      <c r="FF279" s="135"/>
      <c r="FG279" s="135"/>
    </row>
    <row r="280" spans="1:163" s="57" customFormat="1" ht="11.25" outlineLevel="1">
      <c r="A280" s="765">
        <f t="shared" si="296"/>
        <v>11</v>
      </c>
      <c r="B280" s="715" cm="1">
        <f t="array" aca="1" ref="B280" ca="1">INDIRECT("'Definition of Typical Day'!"&amp;ADDRESS(B$16,$E280))</f>
        <v>11</v>
      </c>
      <c r="C280" s="766">
        <f t="shared" si="297"/>
        <v>20</v>
      </c>
      <c r="D280" s="715">
        <f t="shared" si="297"/>
        <v>54</v>
      </c>
      <c r="E280" s="715">
        <f t="shared" si="298"/>
        <v>15</v>
      </c>
      <c r="F280" s="767" cm="1">
        <f t="array" aca="1" ref="F280" ca="1">INDIRECT("'Definition of Typical Day'!D"&amp;D280)</f>
        <v>20</v>
      </c>
      <c r="G280" s="767" cm="1">
        <f t="array" aca="1" ref="G280" ca="1">INDIRECT("'Definition of Typical Day'!"&amp;ADDRESS(13,E280))</f>
        <v>11</v>
      </c>
      <c r="H280" s="768" cm="1">
        <f t="array" aca="1" ref="H280" ca="1">INDIRECT("'Definition of Typical Day'!"&amp; ADDRESS($D280+28*(H$16-1),$E280))</f>
        <v>0</v>
      </c>
      <c r="I280" s="715" cm="1">
        <f t="array" aca="1" ref="I280" ca="1">INDIRECT("'Definition of Typical Day'!"&amp; ADDRESS($D280+29*(I$16-1),$E280))</f>
        <v>0</v>
      </c>
      <c r="J280" s="715">
        <f t="shared" ca="1" si="324"/>
        <v>0</v>
      </c>
      <c r="K280" s="785">
        <f t="shared" si="325"/>
        <v>28</v>
      </c>
      <c r="L280" s="786" cm="1">
        <f t="array" aca="1" ref="L280" ca="1">INDIRECT("'Definition of Typical Day'!"&amp; ADDRESS($D280+29*(L$16-1),$E280))</f>
        <v>0</v>
      </c>
      <c r="M280" s="768" cm="1">
        <f t="array" aca="1" ref="M280" ca="1">INDIRECT("'Definition of Typical Day'!"&amp; ADDRESS($D280+29*(M$16-1),$E280))</f>
        <v>0</v>
      </c>
      <c r="N280" s="715">
        <f t="shared" si="326"/>
        <v>3</v>
      </c>
      <c r="O280" s="715">
        <f t="shared" ca="1" si="327"/>
        <v>3</v>
      </c>
      <c r="P280" s="715" cm="1">
        <f t="array" aca="1" ref="P280" ca="1">INDIRECT("'Definition of Typical Day'!"&amp; ADDRESS($D280+29*(P$16-1),$E280))</f>
        <v>0</v>
      </c>
      <c r="Q280" s="787">
        <f t="shared" ca="1" si="328"/>
        <v>3</v>
      </c>
      <c r="R280" s="792">
        <f t="shared" ca="1" si="329"/>
        <v>3</v>
      </c>
      <c r="S280" s="769">
        <f t="shared" si="330"/>
        <v>3</v>
      </c>
      <c r="T280" s="769">
        <f t="shared" ca="1" si="331"/>
        <v>-0.5</v>
      </c>
      <c r="U280" s="769">
        <f t="shared" ca="1" si="332"/>
        <v>2.262</v>
      </c>
      <c r="V280" s="769">
        <f t="shared" ca="1" si="333"/>
        <v>0</v>
      </c>
      <c r="W280" s="769">
        <f t="shared" ca="1" si="334"/>
        <v>4.7620000000000005</v>
      </c>
      <c r="X280" s="794">
        <f t="shared" si="335"/>
        <v>3</v>
      </c>
      <c r="Y280" s="769">
        <f t="shared" ca="1" si="336"/>
        <v>0.54772255750516607</v>
      </c>
      <c r="Z280" s="769">
        <f t="shared" ca="1" si="337"/>
        <v>0</v>
      </c>
      <c r="AA280" s="795">
        <f t="shared" ca="1" si="338"/>
        <v>0</v>
      </c>
      <c r="AB280" s="769">
        <f t="shared" ca="1" si="339"/>
        <v>0</v>
      </c>
      <c r="AC280" s="769">
        <f t="shared" ca="1" si="340"/>
        <v>0</v>
      </c>
      <c r="AD280" s="769">
        <f t="shared" ca="1" si="341"/>
        <v>0</v>
      </c>
      <c r="AE280" s="794">
        <f t="shared" ca="1" si="342"/>
        <v>0</v>
      </c>
      <c r="AF280" s="769">
        <f t="shared" ca="1" si="343"/>
        <v>0</v>
      </c>
      <c r="AG280" s="769">
        <f t="shared" ca="1" si="344"/>
        <v>0</v>
      </c>
      <c r="AH280" s="799">
        <f t="shared" ca="1" si="345"/>
        <v>0</v>
      </c>
      <c r="AI280" s="801">
        <f t="shared" ca="1" si="346"/>
        <v>1</v>
      </c>
      <c r="AJ280" s="794">
        <f t="shared" ca="1" si="347"/>
        <v>0</v>
      </c>
      <c r="AK280" s="769">
        <f t="shared" ca="1" si="348"/>
        <v>0</v>
      </c>
      <c r="AL280" s="769">
        <f t="shared" ca="1" si="349"/>
        <v>0</v>
      </c>
      <c r="AM280" s="804">
        <f t="shared" ca="1" si="299"/>
        <v>0</v>
      </c>
      <c r="AN280" s="795">
        <f t="shared" ca="1" si="300"/>
        <v>0</v>
      </c>
      <c r="AO280" s="251"/>
      <c r="AP280" s="770">
        <f t="shared" si="350"/>
        <v>0</v>
      </c>
      <c r="AQ280" s="771">
        <f t="shared" ca="1" si="351"/>
        <v>0</v>
      </c>
      <c r="AR280" s="771">
        <f t="shared" ca="1" si="352"/>
        <v>0</v>
      </c>
      <c r="AS280" s="772">
        <f t="shared" ca="1" si="353"/>
        <v>0</v>
      </c>
      <c r="AT280" s="231"/>
      <c r="AU280" s="770">
        <f>'Main Results - IRR DC Operator'!$F$16</f>
        <v>2</v>
      </c>
      <c r="AV280" s="773">
        <f>'Main Results - IRR DC Operator'!$F$15</f>
        <v>1</v>
      </c>
      <c r="AW280" s="771">
        <f t="shared" ca="1" si="354"/>
        <v>0</v>
      </c>
      <c r="AX280" s="772">
        <f t="shared" si="355"/>
        <v>0</v>
      </c>
      <c r="AY280" s="231"/>
      <c r="AZ280" s="770" cm="1">
        <f t="array" aca="1" ref="AZ280" ca="1">INDIRECT("'Definition of Typical Day'!"&amp; ADDRESS($D280+29*(AZ$16-1),$E280))+$AZ$17</f>
        <v>11</v>
      </c>
      <c r="BA280" s="771" cm="1">
        <f t="array" aca="1" ref="BA280" ca="1">INDIRECT("'Definition of Typical Day'!"&amp; ADDRESS($D280+29*(BA$16-1),$E280))+$BA$17</f>
        <v>11</v>
      </c>
      <c r="BB280" s="772" cm="1">
        <f t="array" aca="1" ref="BB280" ca="1">INDIRECT("'Definition of Typical Day'!"&amp;ADDRESS(BB$16,$E280))</f>
        <v>0</v>
      </c>
      <c r="BC280" s="776" cm="1">
        <f t="array" aca="1" ref="BC280" ca="1">INDIRECT("'Definition of Typical Day'!"&amp; ADDRESS($D280+29*(BC$16-1),$E280))</f>
        <v>0</v>
      </c>
      <c r="BD280" s="777" cm="1">
        <f t="array" aca="1" ref="BD280" ca="1">INDIRECT("'Definition of Typical Day'!"&amp; ADDRESS($D280+29*(BD$16-1),$E280))</f>
        <v>0</v>
      </c>
      <c r="BE280" s="776">
        <f t="shared" si="356"/>
        <v>0</v>
      </c>
      <c r="BF280" s="771">
        <f t="shared" ca="1" si="357"/>
        <v>0</v>
      </c>
      <c r="BG280" s="771">
        <f t="shared" ca="1" si="358"/>
        <v>0</v>
      </c>
      <c r="BH280" s="771">
        <f t="shared" ca="1" si="359"/>
        <v>0</v>
      </c>
      <c r="BI280" s="776">
        <f t="shared" ca="1" si="360"/>
        <v>0</v>
      </c>
      <c r="BJ280" s="776">
        <f t="shared" ca="1" si="361"/>
        <v>0</v>
      </c>
      <c r="BK280" s="776">
        <f t="shared" ca="1" si="362"/>
        <v>0</v>
      </c>
      <c r="BL280" s="776">
        <f t="shared" ca="1" si="363"/>
        <v>0</v>
      </c>
      <c r="BM280" s="135"/>
      <c r="BN280" s="776">
        <f t="shared" ca="1" si="364"/>
        <v>0</v>
      </c>
      <c r="BO280" s="778">
        <f t="shared" ca="1" si="301"/>
        <v>0</v>
      </c>
      <c r="BP280" s="770">
        <f t="shared" ca="1" si="302"/>
        <v>0</v>
      </c>
      <c r="BQ280" s="771">
        <f t="shared" ca="1" si="303"/>
        <v>0</v>
      </c>
      <c r="BR280" s="771">
        <f t="shared" ca="1" si="304"/>
        <v>0</v>
      </c>
      <c r="BS280" s="776">
        <f t="shared" ca="1" si="365"/>
        <v>0</v>
      </c>
      <c r="BT280" s="776">
        <f t="shared" ca="1" si="305"/>
        <v>0</v>
      </c>
      <c r="BU280" s="783">
        <f t="shared" ca="1" si="306"/>
        <v>0</v>
      </c>
      <c r="BV280" s="783">
        <f t="shared" ca="1" si="307"/>
        <v>0</v>
      </c>
      <c r="BW280" s="1019">
        <f t="shared" ca="1" si="366"/>
        <v>0</v>
      </c>
      <c r="BX280" s="771" cm="1">
        <f t="array" aca="1" ref="BX280" ca="1">INDIRECT("'Definition of Typical Day'!"&amp; ADDRESS($D280+29*(BX$16-1),$E280))</f>
        <v>0</v>
      </c>
      <c r="BY280" s="771">
        <f t="shared" ca="1" si="367"/>
        <v>0</v>
      </c>
      <c r="BZ280" s="781">
        <f t="shared" ca="1" si="308"/>
        <v>0</v>
      </c>
      <c r="CA280" s="781">
        <f t="shared" ca="1" si="309"/>
        <v>0</v>
      </c>
      <c r="CB280" s="776">
        <f t="shared" ca="1" si="310"/>
        <v>0</v>
      </c>
      <c r="CC280" s="782">
        <f t="shared" si="311"/>
        <v>11</v>
      </c>
      <c r="CD280" s="782">
        <f t="shared" si="312"/>
        <v>20</v>
      </c>
      <c r="CE280" s="784" cm="1">
        <f t="array" aca="1" ref="CE280" ca="1">INDIRECT("'Definition of Typical Day'!"&amp;ADDRESS(CE$16,$E280))</f>
        <v>11</v>
      </c>
      <c r="CF280" s="232"/>
      <c r="CG280" s="232"/>
      <c r="CH280" s="776">
        <f t="shared" ca="1" si="313"/>
        <v>0</v>
      </c>
      <c r="CI280" s="806">
        <f t="shared" ca="1" si="314"/>
        <v>0</v>
      </c>
      <c r="CJ280" s="770">
        <f t="shared" ca="1" si="315"/>
        <v>0</v>
      </c>
      <c r="CK280" s="771">
        <f t="shared" ca="1" si="316"/>
        <v>0</v>
      </c>
      <c r="CL280" s="771">
        <f t="shared" ca="1" si="317"/>
        <v>0</v>
      </c>
      <c r="CM280" s="772">
        <f t="shared" ca="1" si="318"/>
        <v>0</v>
      </c>
      <c r="CN280" s="135"/>
      <c r="CO280" s="770">
        <f t="shared" ca="1" si="295"/>
        <v>1.05</v>
      </c>
      <c r="CP280" s="771">
        <f t="shared" ca="1" si="319"/>
        <v>0.02</v>
      </c>
      <c r="CQ280" s="771">
        <f t="shared" ca="1" si="320"/>
        <v>-2.5000000000000001E-2</v>
      </c>
      <c r="CR280" s="771">
        <f t="shared" ca="1" si="321"/>
        <v>0.95</v>
      </c>
      <c r="CS280" s="771">
        <f t="shared" ca="1" si="322"/>
        <v>0.03</v>
      </c>
      <c r="CT280" s="772">
        <f t="shared" ca="1" si="323"/>
        <v>0.02</v>
      </c>
      <c r="CU280" s="135"/>
      <c r="CV280" s="135"/>
      <c r="CW280" s="135"/>
      <c r="CX280" s="135"/>
      <c r="CY280" s="135"/>
      <c r="CZ280" s="135"/>
      <c r="DA280" s="135"/>
      <c r="DB280" s="135"/>
      <c r="DC280" s="135"/>
      <c r="DD280" s="135"/>
      <c r="DE280" s="135"/>
      <c r="DF280" s="135"/>
      <c r="DG280" s="135"/>
      <c r="DH280" s="135"/>
      <c r="DI280" s="135"/>
      <c r="DJ280" s="135"/>
      <c r="DK280" s="135"/>
      <c r="DL280" s="135"/>
      <c r="DX280" s="135"/>
      <c r="DY280" s="135"/>
      <c r="DZ280" s="135"/>
      <c r="EA280" s="135"/>
      <c r="EB280" s="135"/>
      <c r="EC280" s="135"/>
      <c r="ED280" s="135"/>
      <c r="EE280" s="135"/>
      <c r="EF280" s="135"/>
      <c r="EG280" s="135"/>
      <c r="EH280" s="135"/>
      <c r="EI280" s="135"/>
      <c r="EJ280" s="135"/>
      <c r="EK280" s="135"/>
      <c r="EL280" s="135"/>
      <c r="EM280" s="135"/>
      <c r="EN280" s="135"/>
      <c r="EO280" s="135"/>
      <c r="EP280" s="135"/>
      <c r="EQ280" s="135"/>
      <c r="ER280" s="135"/>
      <c r="ES280" s="135"/>
      <c r="ET280" s="135"/>
      <c r="EU280" s="135"/>
      <c r="EV280" s="135"/>
      <c r="EW280" s="135"/>
      <c r="EX280" s="135"/>
      <c r="EY280" s="135"/>
      <c r="EZ280" s="135"/>
      <c r="FA280" s="135"/>
      <c r="FB280" s="135"/>
      <c r="FC280" s="135"/>
      <c r="FD280" s="135"/>
      <c r="FE280" s="135"/>
      <c r="FF280" s="135"/>
      <c r="FG280" s="135"/>
    </row>
    <row r="281" spans="1:163" s="57" customFormat="1" ht="11.25" outlineLevel="1">
      <c r="A281" s="765">
        <f t="shared" si="296"/>
        <v>11</v>
      </c>
      <c r="B281" s="715" cm="1">
        <f t="array" aca="1" ref="B281" ca="1">INDIRECT("'Definition of Typical Day'!"&amp;ADDRESS(B$16,$E281))</f>
        <v>11</v>
      </c>
      <c r="C281" s="766">
        <f t="shared" si="297"/>
        <v>21</v>
      </c>
      <c r="D281" s="715">
        <f t="shared" si="297"/>
        <v>55</v>
      </c>
      <c r="E281" s="715">
        <f t="shared" si="298"/>
        <v>15</v>
      </c>
      <c r="F281" s="767" cm="1">
        <f t="array" aca="1" ref="F281" ca="1">INDIRECT("'Definition of Typical Day'!D"&amp;D281)</f>
        <v>21</v>
      </c>
      <c r="G281" s="767" cm="1">
        <f t="array" aca="1" ref="G281" ca="1">INDIRECT("'Definition of Typical Day'!"&amp;ADDRESS(13,E281))</f>
        <v>11</v>
      </c>
      <c r="H281" s="768" cm="1">
        <f t="array" aca="1" ref="H281" ca="1">INDIRECT("'Definition of Typical Day'!"&amp; ADDRESS($D281+28*(H$16-1),$E281))</f>
        <v>0</v>
      </c>
      <c r="I281" s="715" cm="1">
        <f t="array" aca="1" ref="I281" ca="1">INDIRECT("'Definition of Typical Day'!"&amp; ADDRESS($D281+29*(I$16-1),$E281))</f>
        <v>0</v>
      </c>
      <c r="J281" s="715">
        <f t="shared" ca="1" si="324"/>
        <v>0</v>
      </c>
      <c r="K281" s="785">
        <f t="shared" si="325"/>
        <v>28</v>
      </c>
      <c r="L281" s="786" cm="1">
        <f t="array" aca="1" ref="L281" ca="1">INDIRECT("'Definition of Typical Day'!"&amp; ADDRESS($D281+29*(L$16-1),$E281))</f>
        <v>0</v>
      </c>
      <c r="M281" s="768" cm="1">
        <f t="array" aca="1" ref="M281" ca="1">INDIRECT("'Definition of Typical Day'!"&amp; ADDRESS($D281+29*(M$16-1),$E281))</f>
        <v>0</v>
      </c>
      <c r="N281" s="715">
        <f t="shared" si="326"/>
        <v>3</v>
      </c>
      <c r="O281" s="715">
        <f t="shared" ca="1" si="327"/>
        <v>3</v>
      </c>
      <c r="P281" s="715" cm="1">
        <f t="array" aca="1" ref="P281" ca="1">INDIRECT("'Definition of Typical Day'!"&amp; ADDRESS($D281+29*(P$16-1),$E281))</f>
        <v>0</v>
      </c>
      <c r="Q281" s="787">
        <f t="shared" ca="1" si="328"/>
        <v>3</v>
      </c>
      <c r="R281" s="792">
        <f t="shared" ca="1" si="329"/>
        <v>3</v>
      </c>
      <c r="S281" s="769">
        <f t="shared" si="330"/>
        <v>3</v>
      </c>
      <c r="T281" s="769">
        <f t="shared" ca="1" si="331"/>
        <v>-0.5</v>
      </c>
      <c r="U281" s="769">
        <f t="shared" ca="1" si="332"/>
        <v>2.262</v>
      </c>
      <c r="V281" s="769">
        <f t="shared" ca="1" si="333"/>
        <v>0</v>
      </c>
      <c r="W281" s="769">
        <f t="shared" ca="1" si="334"/>
        <v>4.7620000000000005</v>
      </c>
      <c r="X281" s="794">
        <f t="shared" si="335"/>
        <v>3</v>
      </c>
      <c r="Y281" s="769">
        <f t="shared" ca="1" si="336"/>
        <v>0.54772255750516607</v>
      </c>
      <c r="Z281" s="769">
        <f t="shared" ca="1" si="337"/>
        <v>0</v>
      </c>
      <c r="AA281" s="795">
        <f t="shared" ca="1" si="338"/>
        <v>0</v>
      </c>
      <c r="AB281" s="769">
        <f t="shared" ca="1" si="339"/>
        <v>0</v>
      </c>
      <c r="AC281" s="769">
        <f t="shared" ca="1" si="340"/>
        <v>0</v>
      </c>
      <c r="AD281" s="769">
        <f t="shared" ca="1" si="341"/>
        <v>0</v>
      </c>
      <c r="AE281" s="794">
        <f t="shared" ca="1" si="342"/>
        <v>0</v>
      </c>
      <c r="AF281" s="769">
        <f t="shared" ca="1" si="343"/>
        <v>0</v>
      </c>
      <c r="AG281" s="769">
        <f t="shared" ca="1" si="344"/>
        <v>0</v>
      </c>
      <c r="AH281" s="799">
        <f t="shared" ca="1" si="345"/>
        <v>0</v>
      </c>
      <c r="AI281" s="801">
        <f t="shared" ca="1" si="346"/>
        <v>1</v>
      </c>
      <c r="AJ281" s="794">
        <f t="shared" ca="1" si="347"/>
        <v>0</v>
      </c>
      <c r="AK281" s="769">
        <f t="shared" ca="1" si="348"/>
        <v>0</v>
      </c>
      <c r="AL281" s="769">
        <f t="shared" ca="1" si="349"/>
        <v>0</v>
      </c>
      <c r="AM281" s="804">
        <f t="shared" ca="1" si="299"/>
        <v>0</v>
      </c>
      <c r="AN281" s="795">
        <f t="shared" ca="1" si="300"/>
        <v>0</v>
      </c>
      <c r="AO281" s="251"/>
      <c r="AP281" s="770">
        <f t="shared" si="350"/>
        <v>0</v>
      </c>
      <c r="AQ281" s="771">
        <f t="shared" ca="1" si="351"/>
        <v>0</v>
      </c>
      <c r="AR281" s="771">
        <f t="shared" ca="1" si="352"/>
        <v>0</v>
      </c>
      <c r="AS281" s="772">
        <f t="shared" ca="1" si="353"/>
        <v>0</v>
      </c>
      <c r="AT281" s="231"/>
      <c r="AU281" s="770">
        <f>'Main Results - IRR DC Operator'!$F$16</f>
        <v>2</v>
      </c>
      <c r="AV281" s="773">
        <f>'Main Results - IRR DC Operator'!$F$15</f>
        <v>1</v>
      </c>
      <c r="AW281" s="771">
        <f t="shared" ca="1" si="354"/>
        <v>0</v>
      </c>
      <c r="AX281" s="772">
        <f t="shared" si="355"/>
        <v>0</v>
      </c>
      <c r="AY281" s="231"/>
      <c r="AZ281" s="770" cm="1">
        <f t="array" aca="1" ref="AZ281" ca="1">INDIRECT("'Definition of Typical Day'!"&amp; ADDRESS($D281+29*(AZ$16-1),$E281))+$AZ$17</f>
        <v>11</v>
      </c>
      <c r="BA281" s="771" cm="1">
        <f t="array" aca="1" ref="BA281" ca="1">INDIRECT("'Definition of Typical Day'!"&amp; ADDRESS($D281+29*(BA$16-1),$E281))+$BA$17</f>
        <v>11</v>
      </c>
      <c r="BB281" s="772" cm="1">
        <f t="array" aca="1" ref="BB281" ca="1">INDIRECT("'Definition of Typical Day'!"&amp;ADDRESS(BB$16,$E281))</f>
        <v>0</v>
      </c>
      <c r="BC281" s="776" cm="1">
        <f t="array" aca="1" ref="BC281" ca="1">INDIRECT("'Definition of Typical Day'!"&amp; ADDRESS($D281+29*(BC$16-1),$E281))</f>
        <v>0</v>
      </c>
      <c r="BD281" s="777" cm="1">
        <f t="array" aca="1" ref="BD281" ca="1">INDIRECT("'Definition of Typical Day'!"&amp; ADDRESS($D281+29*(BD$16-1),$E281))</f>
        <v>0</v>
      </c>
      <c r="BE281" s="776">
        <f t="shared" si="356"/>
        <v>0</v>
      </c>
      <c r="BF281" s="771">
        <f t="shared" ca="1" si="357"/>
        <v>0</v>
      </c>
      <c r="BG281" s="771">
        <f t="shared" ca="1" si="358"/>
        <v>0</v>
      </c>
      <c r="BH281" s="771">
        <f t="shared" ca="1" si="359"/>
        <v>0</v>
      </c>
      <c r="BI281" s="776">
        <f t="shared" ca="1" si="360"/>
        <v>0</v>
      </c>
      <c r="BJ281" s="776">
        <f t="shared" ca="1" si="361"/>
        <v>0</v>
      </c>
      <c r="BK281" s="776">
        <f t="shared" ca="1" si="362"/>
        <v>0</v>
      </c>
      <c r="BL281" s="776">
        <f t="shared" ca="1" si="363"/>
        <v>0</v>
      </c>
      <c r="BM281" s="135"/>
      <c r="BN281" s="776">
        <f t="shared" ca="1" si="364"/>
        <v>0</v>
      </c>
      <c r="BO281" s="778">
        <f t="shared" ca="1" si="301"/>
        <v>0</v>
      </c>
      <c r="BP281" s="770">
        <f t="shared" ca="1" si="302"/>
        <v>0</v>
      </c>
      <c r="BQ281" s="771">
        <f t="shared" ca="1" si="303"/>
        <v>0</v>
      </c>
      <c r="BR281" s="771">
        <f t="shared" ca="1" si="304"/>
        <v>0</v>
      </c>
      <c r="BS281" s="776">
        <f t="shared" ca="1" si="365"/>
        <v>0</v>
      </c>
      <c r="BT281" s="776">
        <f t="shared" ca="1" si="305"/>
        <v>0</v>
      </c>
      <c r="BU281" s="783">
        <f t="shared" ca="1" si="306"/>
        <v>0</v>
      </c>
      <c r="BV281" s="783">
        <f t="shared" ca="1" si="307"/>
        <v>0</v>
      </c>
      <c r="BW281" s="1019">
        <f t="shared" ca="1" si="366"/>
        <v>0</v>
      </c>
      <c r="BX281" s="771" cm="1">
        <f t="array" aca="1" ref="BX281" ca="1">INDIRECT("'Definition of Typical Day'!"&amp; ADDRESS($D281+29*(BX$16-1),$E281))</f>
        <v>0</v>
      </c>
      <c r="BY281" s="771">
        <f t="shared" ca="1" si="367"/>
        <v>0</v>
      </c>
      <c r="BZ281" s="781">
        <f t="shared" ca="1" si="308"/>
        <v>0</v>
      </c>
      <c r="CA281" s="781">
        <f t="shared" ca="1" si="309"/>
        <v>0</v>
      </c>
      <c r="CB281" s="776">
        <f t="shared" ca="1" si="310"/>
        <v>0</v>
      </c>
      <c r="CC281" s="782">
        <f t="shared" si="311"/>
        <v>11</v>
      </c>
      <c r="CD281" s="782">
        <f t="shared" si="312"/>
        <v>21</v>
      </c>
      <c r="CE281" s="784" cm="1">
        <f t="array" aca="1" ref="CE281" ca="1">INDIRECT("'Definition of Typical Day'!"&amp;ADDRESS(CE$16,$E281))</f>
        <v>11</v>
      </c>
      <c r="CF281" s="232"/>
      <c r="CG281" s="232"/>
      <c r="CH281" s="776">
        <f t="shared" ca="1" si="313"/>
        <v>0</v>
      </c>
      <c r="CI281" s="806">
        <f t="shared" ca="1" si="314"/>
        <v>0</v>
      </c>
      <c r="CJ281" s="770">
        <f t="shared" ca="1" si="315"/>
        <v>0</v>
      </c>
      <c r="CK281" s="771">
        <f t="shared" ca="1" si="316"/>
        <v>0</v>
      </c>
      <c r="CL281" s="771">
        <f t="shared" ca="1" si="317"/>
        <v>0</v>
      </c>
      <c r="CM281" s="772">
        <f t="shared" ca="1" si="318"/>
        <v>0</v>
      </c>
      <c r="CN281" s="135"/>
      <c r="CO281" s="770">
        <f t="shared" ca="1" si="295"/>
        <v>1.05</v>
      </c>
      <c r="CP281" s="771">
        <f t="shared" ca="1" si="319"/>
        <v>0.02</v>
      </c>
      <c r="CQ281" s="771">
        <f t="shared" ca="1" si="320"/>
        <v>-2.5000000000000001E-2</v>
      </c>
      <c r="CR281" s="771">
        <f t="shared" ca="1" si="321"/>
        <v>0.95</v>
      </c>
      <c r="CS281" s="771">
        <f t="shared" ca="1" si="322"/>
        <v>0.03</v>
      </c>
      <c r="CT281" s="772">
        <f t="shared" ca="1" si="323"/>
        <v>0.02</v>
      </c>
      <c r="CU281" s="135"/>
      <c r="CV281" s="135"/>
      <c r="CW281" s="135"/>
      <c r="CX281" s="135"/>
      <c r="CY281" s="135"/>
      <c r="CZ281" s="135"/>
      <c r="DA281" s="135"/>
      <c r="DB281" s="135"/>
      <c r="DC281" s="135"/>
      <c r="DD281" s="135"/>
      <c r="DE281" s="135"/>
      <c r="DF281" s="135"/>
      <c r="DG281" s="135"/>
      <c r="DH281" s="135"/>
      <c r="DI281" s="135"/>
      <c r="DJ281" s="135"/>
      <c r="DK281" s="135"/>
      <c r="DL281" s="135"/>
      <c r="DX281" s="135"/>
      <c r="DY281" s="135"/>
      <c r="DZ281" s="135"/>
      <c r="EA281" s="135"/>
      <c r="EB281" s="135"/>
      <c r="EC281" s="135"/>
      <c r="ED281" s="135"/>
      <c r="EE281" s="135"/>
      <c r="EF281" s="135"/>
      <c r="EG281" s="135"/>
      <c r="EH281" s="135"/>
      <c r="EI281" s="135"/>
      <c r="EJ281" s="135"/>
      <c r="EK281" s="135"/>
      <c r="EL281" s="135"/>
      <c r="EM281" s="135"/>
      <c r="EN281" s="135"/>
      <c r="EO281" s="135"/>
      <c r="EP281" s="135"/>
      <c r="EQ281" s="135"/>
      <c r="ER281" s="135"/>
      <c r="ES281" s="135"/>
      <c r="ET281" s="135"/>
      <c r="EU281" s="135"/>
      <c r="EV281" s="135"/>
      <c r="EW281" s="135"/>
      <c r="EX281" s="135"/>
      <c r="EY281" s="135"/>
      <c r="EZ281" s="135"/>
      <c r="FA281" s="135"/>
      <c r="FB281" s="135"/>
      <c r="FC281" s="135"/>
      <c r="FD281" s="135"/>
      <c r="FE281" s="135"/>
      <c r="FF281" s="135"/>
      <c r="FG281" s="135"/>
    </row>
    <row r="282" spans="1:163" s="57" customFormat="1" ht="11.25" outlineLevel="1">
      <c r="A282" s="765">
        <f t="shared" si="296"/>
        <v>11</v>
      </c>
      <c r="B282" s="715" cm="1">
        <f t="array" aca="1" ref="B282" ca="1">INDIRECT("'Definition of Typical Day'!"&amp;ADDRESS(B$16,$E282))</f>
        <v>11</v>
      </c>
      <c r="C282" s="766">
        <f t="shared" si="297"/>
        <v>22</v>
      </c>
      <c r="D282" s="715">
        <f t="shared" si="297"/>
        <v>56</v>
      </c>
      <c r="E282" s="715">
        <f t="shared" si="298"/>
        <v>15</v>
      </c>
      <c r="F282" s="767" cm="1">
        <f t="array" aca="1" ref="F282" ca="1">INDIRECT("'Definition of Typical Day'!D"&amp;D282)</f>
        <v>22</v>
      </c>
      <c r="G282" s="767" cm="1">
        <f t="array" aca="1" ref="G282" ca="1">INDIRECT("'Definition of Typical Day'!"&amp;ADDRESS(13,E282))</f>
        <v>11</v>
      </c>
      <c r="H282" s="768" cm="1">
        <f t="array" aca="1" ref="H282" ca="1">INDIRECT("'Definition of Typical Day'!"&amp; ADDRESS($D282+28*(H$16-1),$E282))</f>
        <v>0</v>
      </c>
      <c r="I282" s="715" cm="1">
        <f t="array" aca="1" ref="I282" ca="1">INDIRECT("'Definition of Typical Day'!"&amp; ADDRESS($D282+29*(I$16-1),$E282))</f>
        <v>0</v>
      </c>
      <c r="J282" s="715">
        <f t="shared" ca="1" si="324"/>
        <v>0</v>
      </c>
      <c r="K282" s="785">
        <f t="shared" si="325"/>
        <v>28</v>
      </c>
      <c r="L282" s="786" cm="1">
        <f t="array" aca="1" ref="L282" ca="1">INDIRECT("'Definition of Typical Day'!"&amp; ADDRESS($D282+29*(L$16-1),$E282))</f>
        <v>0</v>
      </c>
      <c r="M282" s="768" cm="1">
        <f t="array" aca="1" ref="M282" ca="1">INDIRECT("'Definition of Typical Day'!"&amp; ADDRESS($D282+29*(M$16-1),$E282))</f>
        <v>0</v>
      </c>
      <c r="N282" s="715">
        <f t="shared" si="326"/>
        <v>3</v>
      </c>
      <c r="O282" s="715">
        <f t="shared" ca="1" si="327"/>
        <v>3</v>
      </c>
      <c r="P282" s="715" cm="1">
        <f t="array" aca="1" ref="P282" ca="1">INDIRECT("'Definition of Typical Day'!"&amp; ADDRESS($D282+29*(P$16-1),$E282))</f>
        <v>0</v>
      </c>
      <c r="Q282" s="787">
        <f t="shared" ca="1" si="328"/>
        <v>3</v>
      </c>
      <c r="R282" s="792">
        <f t="shared" ca="1" si="329"/>
        <v>3</v>
      </c>
      <c r="S282" s="769">
        <f t="shared" si="330"/>
        <v>3</v>
      </c>
      <c r="T282" s="769">
        <f t="shared" ca="1" si="331"/>
        <v>-0.5</v>
      </c>
      <c r="U282" s="769">
        <f t="shared" ca="1" si="332"/>
        <v>2.262</v>
      </c>
      <c r="V282" s="769">
        <f t="shared" ca="1" si="333"/>
        <v>0</v>
      </c>
      <c r="W282" s="769">
        <f t="shared" ca="1" si="334"/>
        <v>4.7620000000000005</v>
      </c>
      <c r="X282" s="794">
        <f t="shared" si="335"/>
        <v>3</v>
      </c>
      <c r="Y282" s="769">
        <f t="shared" ca="1" si="336"/>
        <v>0.54772255750516607</v>
      </c>
      <c r="Z282" s="769">
        <f t="shared" ca="1" si="337"/>
        <v>0</v>
      </c>
      <c r="AA282" s="795">
        <f t="shared" ca="1" si="338"/>
        <v>0</v>
      </c>
      <c r="AB282" s="769">
        <f t="shared" ca="1" si="339"/>
        <v>0</v>
      </c>
      <c r="AC282" s="769">
        <f t="shared" ca="1" si="340"/>
        <v>0</v>
      </c>
      <c r="AD282" s="769">
        <f t="shared" ca="1" si="341"/>
        <v>0</v>
      </c>
      <c r="AE282" s="794">
        <f t="shared" ca="1" si="342"/>
        <v>0</v>
      </c>
      <c r="AF282" s="769">
        <f t="shared" ca="1" si="343"/>
        <v>0</v>
      </c>
      <c r="AG282" s="769">
        <f t="shared" ca="1" si="344"/>
        <v>0</v>
      </c>
      <c r="AH282" s="799">
        <f t="shared" ca="1" si="345"/>
        <v>0</v>
      </c>
      <c r="AI282" s="801">
        <f t="shared" ca="1" si="346"/>
        <v>1</v>
      </c>
      <c r="AJ282" s="794">
        <f t="shared" ca="1" si="347"/>
        <v>0</v>
      </c>
      <c r="AK282" s="769">
        <f t="shared" ca="1" si="348"/>
        <v>0</v>
      </c>
      <c r="AL282" s="769">
        <f t="shared" ca="1" si="349"/>
        <v>0</v>
      </c>
      <c r="AM282" s="804">
        <f t="shared" ca="1" si="299"/>
        <v>0</v>
      </c>
      <c r="AN282" s="795">
        <f t="shared" ca="1" si="300"/>
        <v>0</v>
      </c>
      <c r="AO282" s="251"/>
      <c r="AP282" s="770">
        <f t="shared" si="350"/>
        <v>0</v>
      </c>
      <c r="AQ282" s="771">
        <f t="shared" ca="1" si="351"/>
        <v>0</v>
      </c>
      <c r="AR282" s="771">
        <f t="shared" ca="1" si="352"/>
        <v>0</v>
      </c>
      <c r="AS282" s="772">
        <f t="shared" ca="1" si="353"/>
        <v>0</v>
      </c>
      <c r="AT282" s="231"/>
      <c r="AU282" s="770">
        <f>'Main Results - IRR DC Operator'!$F$16</f>
        <v>2</v>
      </c>
      <c r="AV282" s="773">
        <f>'Main Results - IRR DC Operator'!$F$15</f>
        <v>1</v>
      </c>
      <c r="AW282" s="771">
        <f t="shared" ca="1" si="354"/>
        <v>0</v>
      </c>
      <c r="AX282" s="772">
        <f t="shared" si="355"/>
        <v>0</v>
      </c>
      <c r="AY282" s="231"/>
      <c r="AZ282" s="770" cm="1">
        <f t="array" aca="1" ref="AZ282" ca="1">INDIRECT("'Definition of Typical Day'!"&amp; ADDRESS($D282+29*(AZ$16-1),$E282))+$AZ$17</f>
        <v>11</v>
      </c>
      <c r="BA282" s="771" cm="1">
        <f t="array" aca="1" ref="BA282" ca="1">INDIRECT("'Definition of Typical Day'!"&amp; ADDRESS($D282+29*(BA$16-1),$E282))+$BA$17</f>
        <v>11</v>
      </c>
      <c r="BB282" s="772" cm="1">
        <f t="array" aca="1" ref="BB282" ca="1">INDIRECT("'Definition of Typical Day'!"&amp;ADDRESS(BB$16,$E282))</f>
        <v>0</v>
      </c>
      <c r="BC282" s="776" cm="1">
        <f t="array" aca="1" ref="BC282" ca="1">INDIRECT("'Definition of Typical Day'!"&amp; ADDRESS($D282+29*(BC$16-1),$E282))</f>
        <v>0</v>
      </c>
      <c r="BD282" s="777" cm="1">
        <f t="array" aca="1" ref="BD282" ca="1">INDIRECT("'Definition of Typical Day'!"&amp; ADDRESS($D282+29*(BD$16-1),$E282))</f>
        <v>0</v>
      </c>
      <c r="BE282" s="776">
        <f t="shared" si="356"/>
        <v>0</v>
      </c>
      <c r="BF282" s="771">
        <f t="shared" ca="1" si="357"/>
        <v>0</v>
      </c>
      <c r="BG282" s="771">
        <f t="shared" ca="1" si="358"/>
        <v>0</v>
      </c>
      <c r="BH282" s="771">
        <f t="shared" ca="1" si="359"/>
        <v>0</v>
      </c>
      <c r="BI282" s="776">
        <f t="shared" ca="1" si="360"/>
        <v>0</v>
      </c>
      <c r="BJ282" s="776">
        <f t="shared" ca="1" si="361"/>
        <v>0</v>
      </c>
      <c r="BK282" s="776">
        <f t="shared" ca="1" si="362"/>
        <v>0</v>
      </c>
      <c r="BL282" s="776">
        <f t="shared" ca="1" si="363"/>
        <v>0</v>
      </c>
      <c r="BM282" s="135"/>
      <c r="BN282" s="776">
        <f t="shared" ca="1" si="364"/>
        <v>0</v>
      </c>
      <c r="BO282" s="778">
        <f t="shared" ca="1" si="301"/>
        <v>0</v>
      </c>
      <c r="BP282" s="770">
        <f t="shared" ca="1" si="302"/>
        <v>0</v>
      </c>
      <c r="BQ282" s="771">
        <f t="shared" ca="1" si="303"/>
        <v>0</v>
      </c>
      <c r="BR282" s="771">
        <f t="shared" ca="1" si="304"/>
        <v>0</v>
      </c>
      <c r="BS282" s="776">
        <f t="shared" ca="1" si="365"/>
        <v>0</v>
      </c>
      <c r="BT282" s="776">
        <f t="shared" ca="1" si="305"/>
        <v>0</v>
      </c>
      <c r="BU282" s="783">
        <f t="shared" ca="1" si="306"/>
        <v>0</v>
      </c>
      <c r="BV282" s="783">
        <f t="shared" ca="1" si="307"/>
        <v>0</v>
      </c>
      <c r="BW282" s="1019">
        <f t="shared" ca="1" si="366"/>
        <v>0</v>
      </c>
      <c r="BX282" s="771" cm="1">
        <f t="array" aca="1" ref="BX282" ca="1">INDIRECT("'Definition of Typical Day'!"&amp; ADDRESS($D282+29*(BX$16-1),$E282))</f>
        <v>0</v>
      </c>
      <c r="BY282" s="771">
        <f t="shared" ca="1" si="367"/>
        <v>0</v>
      </c>
      <c r="BZ282" s="781">
        <f t="shared" ca="1" si="308"/>
        <v>0</v>
      </c>
      <c r="CA282" s="781">
        <f t="shared" ca="1" si="309"/>
        <v>0</v>
      </c>
      <c r="CB282" s="776">
        <f t="shared" ca="1" si="310"/>
        <v>0</v>
      </c>
      <c r="CC282" s="782">
        <f t="shared" si="311"/>
        <v>11</v>
      </c>
      <c r="CD282" s="782">
        <f t="shared" si="312"/>
        <v>22</v>
      </c>
      <c r="CE282" s="784" cm="1">
        <f t="array" aca="1" ref="CE282" ca="1">INDIRECT("'Definition of Typical Day'!"&amp;ADDRESS(CE$16,$E282))</f>
        <v>11</v>
      </c>
      <c r="CF282" s="232"/>
      <c r="CG282" s="232"/>
      <c r="CH282" s="776">
        <f t="shared" ca="1" si="313"/>
        <v>0</v>
      </c>
      <c r="CI282" s="806">
        <f t="shared" ca="1" si="314"/>
        <v>0</v>
      </c>
      <c r="CJ282" s="770">
        <f t="shared" ca="1" si="315"/>
        <v>0</v>
      </c>
      <c r="CK282" s="771">
        <f t="shared" ca="1" si="316"/>
        <v>0</v>
      </c>
      <c r="CL282" s="771">
        <f t="shared" ca="1" si="317"/>
        <v>0</v>
      </c>
      <c r="CM282" s="772">
        <f t="shared" ca="1" si="318"/>
        <v>0</v>
      </c>
      <c r="CN282" s="135"/>
      <c r="CO282" s="770">
        <f t="shared" ca="1" si="295"/>
        <v>1.05</v>
      </c>
      <c r="CP282" s="771">
        <f t="shared" ca="1" si="319"/>
        <v>0.02</v>
      </c>
      <c r="CQ282" s="771">
        <f t="shared" ca="1" si="320"/>
        <v>-2.5000000000000001E-2</v>
      </c>
      <c r="CR282" s="771">
        <f t="shared" ca="1" si="321"/>
        <v>0.95</v>
      </c>
      <c r="CS282" s="771">
        <f t="shared" ca="1" si="322"/>
        <v>0.03</v>
      </c>
      <c r="CT282" s="772">
        <f t="shared" ca="1" si="323"/>
        <v>0.02</v>
      </c>
      <c r="CU282" s="135"/>
      <c r="CV282" s="135"/>
      <c r="CW282" s="135"/>
      <c r="CX282" s="135"/>
      <c r="CY282" s="135"/>
      <c r="CZ282" s="135"/>
      <c r="DA282" s="135"/>
      <c r="DB282" s="135"/>
      <c r="DC282" s="135"/>
      <c r="DD282" s="135"/>
      <c r="DE282" s="135"/>
      <c r="DF282" s="135"/>
      <c r="DG282" s="135"/>
      <c r="DH282" s="135"/>
      <c r="DI282" s="135"/>
      <c r="DJ282" s="135"/>
      <c r="DK282" s="135"/>
      <c r="DL282" s="135"/>
      <c r="DX282" s="135"/>
      <c r="DY282" s="135"/>
      <c r="DZ282" s="135"/>
      <c r="EA282" s="135"/>
      <c r="EB282" s="135"/>
      <c r="EC282" s="135"/>
      <c r="ED282" s="135"/>
      <c r="EE282" s="135"/>
      <c r="EF282" s="135"/>
      <c r="EG282" s="135"/>
      <c r="EH282" s="135"/>
      <c r="EI282" s="135"/>
      <c r="EJ282" s="135"/>
      <c r="EK282" s="135"/>
      <c r="EL282" s="135"/>
      <c r="EM282" s="135"/>
      <c r="EN282" s="135"/>
      <c r="EO282" s="135"/>
      <c r="EP282" s="135"/>
      <c r="EQ282" s="135"/>
      <c r="ER282" s="135"/>
      <c r="ES282" s="135"/>
      <c r="ET282" s="135"/>
      <c r="EU282" s="135"/>
      <c r="EV282" s="135"/>
      <c r="EW282" s="135"/>
      <c r="EX282" s="135"/>
      <c r="EY282" s="135"/>
      <c r="EZ282" s="135"/>
      <c r="FA282" s="135"/>
      <c r="FB282" s="135"/>
      <c r="FC282" s="135"/>
      <c r="FD282" s="135"/>
      <c r="FE282" s="135"/>
      <c r="FF282" s="135"/>
      <c r="FG282" s="135"/>
    </row>
    <row r="283" spans="1:163" s="57" customFormat="1" ht="11.25" outlineLevel="1">
      <c r="A283" s="765">
        <f t="shared" si="296"/>
        <v>11</v>
      </c>
      <c r="B283" s="715" cm="1">
        <f t="array" aca="1" ref="B283" ca="1">INDIRECT("'Definition of Typical Day'!"&amp;ADDRESS(B$16,$E283))</f>
        <v>11</v>
      </c>
      <c r="C283" s="766">
        <f t="shared" si="297"/>
        <v>23</v>
      </c>
      <c r="D283" s="715">
        <f t="shared" si="297"/>
        <v>57</v>
      </c>
      <c r="E283" s="715">
        <f t="shared" si="298"/>
        <v>15</v>
      </c>
      <c r="F283" s="767" cm="1">
        <f t="array" aca="1" ref="F283" ca="1">INDIRECT("'Definition of Typical Day'!D"&amp;D283)</f>
        <v>23</v>
      </c>
      <c r="G283" s="767" cm="1">
        <f t="array" aca="1" ref="G283" ca="1">INDIRECT("'Definition of Typical Day'!"&amp;ADDRESS(13,E283))</f>
        <v>11</v>
      </c>
      <c r="H283" s="768" cm="1">
        <f t="array" aca="1" ref="H283" ca="1">INDIRECT("'Definition of Typical Day'!"&amp; ADDRESS($D283+28*(H$16-1),$E283))</f>
        <v>0</v>
      </c>
      <c r="I283" s="715" cm="1">
        <f t="array" aca="1" ref="I283" ca="1">INDIRECT("'Definition of Typical Day'!"&amp; ADDRESS($D283+29*(I$16-1),$E283))</f>
        <v>0</v>
      </c>
      <c r="J283" s="715">
        <f t="shared" ca="1" si="324"/>
        <v>0</v>
      </c>
      <c r="K283" s="785">
        <f t="shared" si="325"/>
        <v>28</v>
      </c>
      <c r="L283" s="786" cm="1">
        <f t="array" aca="1" ref="L283" ca="1">INDIRECT("'Definition of Typical Day'!"&amp; ADDRESS($D283+29*(L$16-1),$E283))</f>
        <v>0</v>
      </c>
      <c r="M283" s="768" cm="1">
        <f t="array" aca="1" ref="M283" ca="1">INDIRECT("'Definition of Typical Day'!"&amp; ADDRESS($D283+29*(M$16-1),$E283))</f>
        <v>0</v>
      </c>
      <c r="N283" s="715">
        <f t="shared" si="326"/>
        <v>3</v>
      </c>
      <c r="O283" s="715">
        <f t="shared" ca="1" si="327"/>
        <v>3</v>
      </c>
      <c r="P283" s="715" cm="1">
        <f t="array" aca="1" ref="P283" ca="1">INDIRECT("'Definition of Typical Day'!"&amp; ADDRESS($D283+29*(P$16-1),$E283))</f>
        <v>0</v>
      </c>
      <c r="Q283" s="787">
        <f t="shared" ca="1" si="328"/>
        <v>3</v>
      </c>
      <c r="R283" s="792">
        <f t="shared" ca="1" si="329"/>
        <v>3</v>
      </c>
      <c r="S283" s="769">
        <f t="shared" si="330"/>
        <v>3</v>
      </c>
      <c r="T283" s="769">
        <f t="shared" ca="1" si="331"/>
        <v>-0.5</v>
      </c>
      <c r="U283" s="769">
        <f t="shared" ca="1" si="332"/>
        <v>2.262</v>
      </c>
      <c r="V283" s="769">
        <f t="shared" ca="1" si="333"/>
        <v>0</v>
      </c>
      <c r="W283" s="769">
        <f t="shared" ca="1" si="334"/>
        <v>4.7620000000000005</v>
      </c>
      <c r="X283" s="794">
        <f t="shared" si="335"/>
        <v>3</v>
      </c>
      <c r="Y283" s="769">
        <f t="shared" ca="1" si="336"/>
        <v>0.54772255750516607</v>
      </c>
      <c r="Z283" s="769">
        <f t="shared" ca="1" si="337"/>
        <v>0</v>
      </c>
      <c r="AA283" s="795">
        <f t="shared" ca="1" si="338"/>
        <v>0</v>
      </c>
      <c r="AB283" s="769">
        <f t="shared" ca="1" si="339"/>
        <v>0</v>
      </c>
      <c r="AC283" s="769">
        <f t="shared" ca="1" si="340"/>
        <v>0</v>
      </c>
      <c r="AD283" s="769">
        <f t="shared" ca="1" si="341"/>
        <v>0</v>
      </c>
      <c r="AE283" s="794">
        <f t="shared" ca="1" si="342"/>
        <v>0</v>
      </c>
      <c r="AF283" s="769">
        <f t="shared" ca="1" si="343"/>
        <v>0</v>
      </c>
      <c r="AG283" s="769">
        <f t="shared" ca="1" si="344"/>
        <v>0</v>
      </c>
      <c r="AH283" s="799">
        <f t="shared" ca="1" si="345"/>
        <v>0</v>
      </c>
      <c r="AI283" s="801">
        <f t="shared" ca="1" si="346"/>
        <v>1</v>
      </c>
      <c r="AJ283" s="794">
        <f t="shared" ca="1" si="347"/>
        <v>0</v>
      </c>
      <c r="AK283" s="769">
        <f t="shared" ca="1" si="348"/>
        <v>0</v>
      </c>
      <c r="AL283" s="769">
        <f t="shared" ca="1" si="349"/>
        <v>0</v>
      </c>
      <c r="AM283" s="804">
        <f t="shared" ca="1" si="299"/>
        <v>0</v>
      </c>
      <c r="AN283" s="795">
        <f t="shared" ca="1" si="300"/>
        <v>0</v>
      </c>
      <c r="AO283" s="251"/>
      <c r="AP283" s="770">
        <f t="shared" si="350"/>
        <v>0</v>
      </c>
      <c r="AQ283" s="771">
        <f t="shared" ca="1" si="351"/>
        <v>0</v>
      </c>
      <c r="AR283" s="771">
        <f t="shared" ca="1" si="352"/>
        <v>0</v>
      </c>
      <c r="AS283" s="772">
        <f t="shared" ca="1" si="353"/>
        <v>0</v>
      </c>
      <c r="AT283" s="231"/>
      <c r="AU283" s="770">
        <f>'Main Results - IRR DC Operator'!$F$16</f>
        <v>2</v>
      </c>
      <c r="AV283" s="773">
        <f>'Main Results - IRR DC Operator'!$F$15</f>
        <v>1</v>
      </c>
      <c r="AW283" s="771">
        <f t="shared" ca="1" si="354"/>
        <v>0</v>
      </c>
      <c r="AX283" s="772">
        <f t="shared" si="355"/>
        <v>0</v>
      </c>
      <c r="AY283" s="231"/>
      <c r="AZ283" s="770" cm="1">
        <f t="array" aca="1" ref="AZ283" ca="1">INDIRECT("'Definition of Typical Day'!"&amp; ADDRESS($D283+29*(AZ$16-1),$E283))+$AZ$17</f>
        <v>11</v>
      </c>
      <c r="BA283" s="771" cm="1">
        <f t="array" aca="1" ref="BA283" ca="1">INDIRECT("'Definition of Typical Day'!"&amp; ADDRESS($D283+29*(BA$16-1),$E283))+$BA$17</f>
        <v>11</v>
      </c>
      <c r="BB283" s="772" cm="1">
        <f t="array" aca="1" ref="BB283" ca="1">INDIRECT("'Definition of Typical Day'!"&amp;ADDRESS(BB$16,$E283))</f>
        <v>0</v>
      </c>
      <c r="BC283" s="776" cm="1">
        <f t="array" aca="1" ref="BC283" ca="1">INDIRECT("'Definition of Typical Day'!"&amp; ADDRESS($D283+29*(BC$16-1),$E283))</f>
        <v>0</v>
      </c>
      <c r="BD283" s="777" cm="1">
        <f t="array" aca="1" ref="BD283" ca="1">INDIRECT("'Definition of Typical Day'!"&amp; ADDRESS($D283+29*(BD$16-1),$E283))</f>
        <v>0</v>
      </c>
      <c r="BE283" s="776">
        <f t="shared" si="356"/>
        <v>0</v>
      </c>
      <c r="BF283" s="771">
        <f t="shared" ca="1" si="357"/>
        <v>0</v>
      </c>
      <c r="BG283" s="771">
        <f t="shared" ca="1" si="358"/>
        <v>0</v>
      </c>
      <c r="BH283" s="771">
        <f t="shared" ca="1" si="359"/>
        <v>0</v>
      </c>
      <c r="BI283" s="776">
        <f t="shared" ca="1" si="360"/>
        <v>0</v>
      </c>
      <c r="BJ283" s="776">
        <f t="shared" ca="1" si="361"/>
        <v>0</v>
      </c>
      <c r="BK283" s="776">
        <f t="shared" ca="1" si="362"/>
        <v>0</v>
      </c>
      <c r="BL283" s="776">
        <f t="shared" ca="1" si="363"/>
        <v>0</v>
      </c>
      <c r="BM283" s="135"/>
      <c r="BN283" s="776">
        <f t="shared" ca="1" si="364"/>
        <v>0</v>
      </c>
      <c r="BO283" s="778">
        <f t="shared" ca="1" si="301"/>
        <v>0</v>
      </c>
      <c r="BP283" s="770">
        <f t="shared" ca="1" si="302"/>
        <v>0</v>
      </c>
      <c r="BQ283" s="771">
        <f t="shared" ca="1" si="303"/>
        <v>0</v>
      </c>
      <c r="BR283" s="771">
        <f t="shared" ca="1" si="304"/>
        <v>0</v>
      </c>
      <c r="BS283" s="776">
        <f t="shared" ca="1" si="365"/>
        <v>0</v>
      </c>
      <c r="BT283" s="776">
        <f t="shared" ca="1" si="305"/>
        <v>0</v>
      </c>
      <c r="BU283" s="783">
        <f t="shared" ca="1" si="306"/>
        <v>0</v>
      </c>
      <c r="BV283" s="783">
        <f t="shared" ca="1" si="307"/>
        <v>0</v>
      </c>
      <c r="BW283" s="1019">
        <f t="shared" ca="1" si="366"/>
        <v>0</v>
      </c>
      <c r="BX283" s="771" cm="1">
        <f t="array" aca="1" ref="BX283" ca="1">INDIRECT("'Definition of Typical Day'!"&amp; ADDRESS($D283+29*(BX$16-1),$E283))</f>
        <v>0</v>
      </c>
      <c r="BY283" s="771">
        <f t="shared" ca="1" si="367"/>
        <v>0</v>
      </c>
      <c r="BZ283" s="781">
        <f t="shared" ca="1" si="308"/>
        <v>0</v>
      </c>
      <c r="CA283" s="781">
        <f t="shared" ca="1" si="309"/>
        <v>0</v>
      </c>
      <c r="CB283" s="776">
        <f t="shared" ca="1" si="310"/>
        <v>0</v>
      </c>
      <c r="CC283" s="782">
        <f t="shared" si="311"/>
        <v>11</v>
      </c>
      <c r="CD283" s="782">
        <f t="shared" si="312"/>
        <v>23</v>
      </c>
      <c r="CE283" s="784" cm="1">
        <f t="array" aca="1" ref="CE283" ca="1">INDIRECT("'Definition of Typical Day'!"&amp;ADDRESS(CE$16,$E283))</f>
        <v>11</v>
      </c>
      <c r="CF283" s="232"/>
      <c r="CG283" s="232"/>
      <c r="CH283" s="776">
        <f t="shared" ca="1" si="313"/>
        <v>0</v>
      </c>
      <c r="CI283" s="806">
        <f t="shared" ca="1" si="314"/>
        <v>0</v>
      </c>
      <c r="CJ283" s="770">
        <f t="shared" ca="1" si="315"/>
        <v>0</v>
      </c>
      <c r="CK283" s="771">
        <f t="shared" ca="1" si="316"/>
        <v>0</v>
      </c>
      <c r="CL283" s="771">
        <f t="shared" ca="1" si="317"/>
        <v>0</v>
      </c>
      <c r="CM283" s="772">
        <f t="shared" ca="1" si="318"/>
        <v>0</v>
      </c>
      <c r="CN283" s="135"/>
      <c r="CO283" s="770">
        <f t="shared" ca="1" si="295"/>
        <v>1.05</v>
      </c>
      <c r="CP283" s="771">
        <f t="shared" ca="1" si="319"/>
        <v>0.02</v>
      </c>
      <c r="CQ283" s="771">
        <f t="shared" ca="1" si="320"/>
        <v>-2.5000000000000001E-2</v>
      </c>
      <c r="CR283" s="771">
        <f t="shared" ca="1" si="321"/>
        <v>0.95</v>
      </c>
      <c r="CS283" s="771">
        <f t="shared" ca="1" si="322"/>
        <v>0.03</v>
      </c>
      <c r="CT283" s="772">
        <f t="shared" ca="1" si="323"/>
        <v>0.02</v>
      </c>
      <c r="CU283" s="135"/>
      <c r="CV283" s="135"/>
      <c r="CW283" s="135"/>
      <c r="CX283" s="135"/>
      <c r="CY283" s="135"/>
      <c r="CZ283" s="135"/>
      <c r="DA283" s="135"/>
      <c r="DB283" s="135"/>
      <c r="DC283" s="135"/>
      <c r="DD283" s="135"/>
      <c r="DE283" s="135"/>
      <c r="DF283" s="135"/>
      <c r="DG283" s="135"/>
      <c r="DH283" s="135"/>
      <c r="DI283" s="135"/>
      <c r="DJ283" s="135"/>
      <c r="DK283" s="135"/>
      <c r="DL283" s="135"/>
      <c r="DX283" s="135"/>
      <c r="DY283" s="135"/>
      <c r="DZ283" s="135"/>
      <c r="EA283" s="135"/>
      <c r="EB283" s="135"/>
      <c r="EC283" s="135"/>
      <c r="ED283" s="135"/>
      <c r="EE283" s="135"/>
      <c r="EF283" s="135"/>
      <c r="EG283" s="135"/>
      <c r="EH283" s="135"/>
      <c r="EI283" s="135"/>
      <c r="EJ283" s="135"/>
      <c r="EK283" s="135"/>
      <c r="EL283" s="135"/>
      <c r="EM283" s="135"/>
      <c r="EN283" s="135"/>
      <c r="EO283" s="135"/>
      <c r="EP283" s="135"/>
      <c r="EQ283" s="135"/>
      <c r="ER283" s="135"/>
      <c r="ES283" s="135"/>
      <c r="ET283" s="135"/>
      <c r="EU283" s="135"/>
      <c r="EV283" s="135"/>
      <c r="EW283" s="135"/>
      <c r="EX283" s="135"/>
      <c r="EY283" s="135"/>
      <c r="EZ283" s="135"/>
      <c r="FA283" s="135"/>
      <c r="FB283" s="135"/>
      <c r="FC283" s="135"/>
      <c r="FD283" s="135"/>
      <c r="FE283" s="135"/>
      <c r="FF283" s="135"/>
      <c r="FG283" s="135"/>
    </row>
    <row r="284" spans="1:163" s="57" customFormat="1" ht="11.25" outlineLevel="1">
      <c r="A284" s="765">
        <f t="shared" si="296"/>
        <v>11</v>
      </c>
      <c r="B284" s="715" cm="1">
        <f t="array" aca="1" ref="B284" ca="1">INDIRECT("'Definition of Typical Day'!"&amp;ADDRESS(B$16,$E284))</f>
        <v>11</v>
      </c>
      <c r="C284" s="766">
        <f t="shared" si="297"/>
        <v>24</v>
      </c>
      <c r="D284" s="715">
        <f t="shared" si="297"/>
        <v>58</v>
      </c>
      <c r="E284" s="715">
        <f t="shared" si="298"/>
        <v>15</v>
      </c>
      <c r="F284" s="767" cm="1">
        <f t="array" aca="1" ref="F284" ca="1">INDIRECT("'Definition of Typical Day'!D"&amp;D284)</f>
        <v>24</v>
      </c>
      <c r="G284" s="767" cm="1">
        <f t="array" aca="1" ref="G284" ca="1">INDIRECT("'Definition of Typical Day'!"&amp;ADDRESS(13,E284))</f>
        <v>11</v>
      </c>
      <c r="H284" s="768" cm="1">
        <f t="array" aca="1" ref="H284" ca="1">INDIRECT("'Definition of Typical Day'!"&amp; ADDRESS($D284+28*(H$16-1),$E284))</f>
        <v>0</v>
      </c>
      <c r="I284" s="715" cm="1">
        <f t="array" aca="1" ref="I284" ca="1">INDIRECT("'Definition of Typical Day'!"&amp; ADDRESS($D284+29*(I$16-1),$E284))</f>
        <v>0</v>
      </c>
      <c r="J284" s="715">
        <f t="shared" ca="1" si="324"/>
        <v>0</v>
      </c>
      <c r="K284" s="785">
        <f t="shared" si="325"/>
        <v>28</v>
      </c>
      <c r="L284" s="786" cm="1">
        <f t="array" aca="1" ref="L284" ca="1">INDIRECT("'Definition of Typical Day'!"&amp; ADDRESS($D284+29*(L$16-1),$E284))</f>
        <v>0</v>
      </c>
      <c r="M284" s="768" cm="1">
        <f t="array" aca="1" ref="M284" ca="1">INDIRECT("'Definition of Typical Day'!"&amp; ADDRESS($D284+29*(M$16-1),$E284))</f>
        <v>0</v>
      </c>
      <c r="N284" s="715">
        <f t="shared" si="326"/>
        <v>3</v>
      </c>
      <c r="O284" s="715">
        <f t="shared" ca="1" si="327"/>
        <v>3</v>
      </c>
      <c r="P284" s="715" cm="1">
        <f t="array" aca="1" ref="P284" ca="1">INDIRECT("'Definition of Typical Day'!"&amp; ADDRESS($D284+29*(P$16-1),$E284))</f>
        <v>0</v>
      </c>
      <c r="Q284" s="787">
        <f t="shared" ca="1" si="328"/>
        <v>3</v>
      </c>
      <c r="R284" s="792">
        <f t="shared" ca="1" si="329"/>
        <v>3</v>
      </c>
      <c r="S284" s="769">
        <f t="shared" si="330"/>
        <v>3</v>
      </c>
      <c r="T284" s="769">
        <f t="shared" ca="1" si="331"/>
        <v>-0.5</v>
      </c>
      <c r="U284" s="769">
        <f t="shared" ca="1" si="332"/>
        <v>2.262</v>
      </c>
      <c r="V284" s="769">
        <f t="shared" ca="1" si="333"/>
        <v>0</v>
      </c>
      <c r="W284" s="769">
        <f t="shared" ca="1" si="334"/>
        <v>4.7620000000000005</v>
      </c>
      <c r="X284" s="794">
        <f t="shared" si="335"/>
        <v>3</v>
      </c>
      <c r="Y284" s="769">
        <f t="shared" ca="1" si="336"/>
        <v>0.54772255750516607</v>
      </c>
      <c r="Z284" s="769">
        <f t="shared" ca="1" si="337"/>
        <v>0</v>
      </c>
      <c r="AA284" s="795">
        <f t="shared" ca="1" si="338"/>
        <v>0</v>
      </c>
      <c r="AB284" s="769">
        <f t="shared" ca="1" si="339"/>
        <v>0</v>
      </c>
      <c r="AC284" s="769">
        <f t="shared" ca="1" si="340"/>
        <v>0</v>
      </c>
      <c r="AD284" s="769">
        <f t="shared" ca="1" si="341"/>
        <v>0</v>
      </c>
      <c r="AE284" s="794">
        <f t="shared" ca="1" si="342"/>
        <v>0</v>
      </c>
      <c r="AF284" s="769">
        <f t="shared" ca="1" si="343"/>
        <v>0</v>
      </c>
      <c r="AG284" s="769">
        <f t="shared" ca="1" si="344"/>
        <v>0</v>
      </c>
      <c r="AH284" s="799">
        <f t="shared" ca="1" si="345"/>
        <v>0</v>
      </c>
      <c r="AI284" s="801">
        <f t="shared" ca="1" si="346"/>
        <v>1</v>
      </c>
      <c r="AJ284" s="794">
        <f t="shared" ca="1" si="347"/>
        <v>0</v>
      </c>
      <c r="AK284" s="769">
        <f t="shared" ca="1" si="348"/>
        <v>0</v>
      </c>
      <c r="AL284" s="769">
        <f t="shared" ca="1" si="349"/>
        <v>0</v>
      </c>
      <c r="AM284" s="804">
        <f t="shared" ca="1" si="299"/>
        <v>0</v>
      </c>
      <c r="AN284" s="795">
        <f t="shared" ca="1" si="300"/>
        <v>0</v>
      </c>
      <c r="AO284" s="251"/>
      <c r="AP284" s="770">
        <f t="shared" si="350"/>
        <v>0</v>
      </c>
      <c r="AQ284" s="771">
        <f t="shared" ca="1" si="351"/>
        <v>0</v>
      </c>
      <c r="AR284" s="771">
        <f t="shared" ca="1" si="352"/>
        <v>0</v>
      </c>
      <c r="AS284" s="772">
        <f t="shared" ca="1" si="353"/>
        <v>0</v>
      </c>
      <c r="AT284" s="231"/>
      <c r="AU284" s="770">
        <f>'Main Results - IRR DC Operator'!$F$16</f>
        <v>2</v>
      </c>
      <c r="AV284" s="773">
        <f>'Main Results - IRR DC Operator'!$F$15</f>
        <v>1</v>
      </c>
      <c r="AW284" s="771">
        <f t="shared" ca="1" si="354"/>
        <v>0</v>
      </c>
      <c r="AX284" s="772">
        <f t="shared" si="355"/>
        <v>0</v>
      </c>
      <c r="AY284" s="231"/>
      <c r="AZ284" s="770" cm="1">
        <f t="array" aca="1" ref="AZ284" ca="1">INDIRECT("'Definition of Typical Day'!"&amp; ADDRESS($D284+29*(AZ$16-1),$E284))+$AZ$17</f>
        <v>11</v>
      </c>
      <c r="BA284" s="771" cm="1">
        <f t="array" aca="1" ref="BA284" ca="1">INDIRECT("'Definition of Typical Day'!"&amp; ADDRESS($D284+29*(BA$16-1),$E284))+$BA$17</f>
        <v>11</v>
      </c>
      <c r="BB284" s="772" cm="1">
        <f t="array" aca="1" ref="BB284" ca="1">INDIRECT("'Definition of Typical Day'!"&amp;ADDRESS(BB$16,$E284))</f>
        <v>0</v>
      </c>
      <c r="BC284" s="776" cm="1">
        <f t="array" aca="1" ref="BC284" ca="1">INDIRECT("'Definition of Typical Day'!"&amp; ADDRESS($D284+29*(BC$16-1),$E284))</f>
        <v>0</v>
      </c>
      <c r="BD284" s="777" cm="1">
        <f t="array" aca="1" ref="BD284" ca="1">INDIRECT("'Definition of Typical Day'!"&amp; ADDRESS($D284+29*(BD$16-1),$E284))</f>
        <v>0</v>
      </c>
      <c r="BE284" s="776">
        <f t="shared" si="356"/>
        <v>0</v>
      </c>
      <c r="BF284" s="771">
        <f t="shared" ca="1" si="357"/>
        <v>0</v>
      </c>
      <c r="BG284" s="771">
        <f t="shared" ca="1" si="358"/>
        <v>0</v>
      </c>
      <c r="BH284" s="771">
        <f t="shared" ca="1" si="359"/>
        <v>0</v>
      </c>
      <c r="BI284" s="776">
        <f t="shared" ca="1" si="360"/>
        <v>0</v>
      </c>
      <c r="BJ284" s="776">
        <f t="shared" ca="1" si="361"/>
        <v>0</v>
      </c>
      <c r="BK284" s="776">
        <f t="shared" ca="1" si="362"/>
        <v>0</v>
      </c>
      <c r="BL284" s="776">
        <f t="shared" ca="1" si="363"/>
        <v>0</v>
      </c>
      <c r="BM284" s="135"/>
      <c r="BN284" s="776">
        <f t="shared" ca="1" si="364"/>
        <v>0</v>
      </c>
      <c r="BO284" s="778">
        <f t="shared" ca="1" si="301"/>
        <v>0</v>
      </c>
      <c r="BP284" s="770">
        <f t="shared" ca="1" si="302"/>
        <v>0</v>
      </c>
      <c r="BQ284" s="771">
        <f t="shared" ca="1" si="303"/>
        <v>0</v>
      </c>
      <c r="BR284" s="771">
        <f t="shared" ca="1" si="304"/>
        <v>0</v>
      </c>
      <c r="BS284" s="776">
        <f t="shared" ca="1" si="365"/>
        <v>0</v>
      </c>
      <c r="BT284" s="776">
        <f t="shared" ca="1" si="305"/>
        <v>0</v>
      </c>
      <c r="BU284" s="783">
        <f t="shared" ca="1" si="306"/>
        <v>0</v>
      </c>
      <c r="BV284" s="783">
        <f t="shared" ca="1" si="307"/>
        <v>0</v>
      </c>
      <c r="BW284" s="1019">
        <f t="shared" ca="1" si="366"/>
        <v>0</v>
      </c>
      <c r="BX284" s="771" cm="1">
        <f t="array" aca="1" ref="BX284" ca="1">INDIRECT("'Definition of Typical Day'!"&amp; ADDRESS($D284+29*(BX$16-1),$E284))</f>
        <v>0</v>
      </c>
      <c r="BY284" s="771">
        <f t="shared" ca="1" si="367"/>
        <v>0</v>
      </c>
      <c r="BZ284" s="781">
        <f t="shared" ca="1" si="308"/>
        <v>0</v>
      </c>
      <c r="CA284" s="781">
        <f t="shared" ca="1" si="309"/>
        <v>0</v>
      </c>
      <c r="CB284" s="776">
        <f t="shared" ca="1" si="310"/>
        <v>0</v>
      </c>
      <c r="CC284" s="782">
        <f t="shared" si="311"/>
        <v>11</v>
      </c>
      <c r="CD284" s="782">
        <f t="shared" si="312"/>
        <v>24</v>
      </c>
      <c r="CE284" s="784" cm="1">
        <f t="array" aca="1" ref="CE284" ca="1">INDIRECT("'Definition of Typical Day'!"&amp;ADDRESS(CE$16,$E284))</f>
        <v>11</v>
      </c>
      <c r="CF284" s="232"/>
      <c r="CG284" s="232"/>
      <c r="CH284" s="776">
        <f t="shared" ca="1" si="313"/>
        <v>0</v>
      </c>
      <c r="CI284" s="806">
        <f t="shared" ca="1" si="314"/>
        <v>0</v>
      </c>
      <c r="CJ284" s="770">
        <f t="shared" ca="1" si="315"/>
        <v>0</v>
      </c>
      <c r="CK284" s="771">
        <f t="shared" ca="1" si="316"/>
        <v>0</v>
      </c>
      <c r="CL284" s="771">
        <f t="shared" ca="1" si="317"/>
        <v>0</v>
      </c>
      <c r="CM284" s="772">
        <f t="shared" ca="1" si="318"/>
        <v>0</v>
      </c>
      <c r="CN284" s="135"/>
      <c r="CO284" s="770">
        <f t="shared" ca="1" si="295"/>
        <v>1.05</v>
      </c>
      <c r="CP284" s="771">
        <f t="shared" ca="1" si="319"/>
        <v>0.02</v>
      </c>
      <c r="CQ284" s="771">
        <f t="shared" ca="1" si="320"/>
        <v>-2.5000000000000001E-2</v>
      </c>
      <c r="CR284" s="771">
        <f t="shared" ca="1" si="321"/>
        <v>0.95</v>
      </c>
      <c r="CS284" s="771">
        <f t="shared" ca="1" si="322"/>
        <v>0.03</v>
      </c>
      <c r="CT284" s="772">
        <f t="shared" ca="1" si="323"/>
        <v>0.02</v>
      </c>
      <c r="CU284" s="135"/>
      <c r="CV284" s="135"/>
      <c r="CW284" s="135"/>
      <c r="CX284" s="135"/>
      <c r="CY284" s="135"/>
      <c r="CZ284" s="135"/>
      <c r="DA284" s="135"/>
      <c r="DB284" s="135"/>
      <c r="DC284" s="135"/>
      <c r="DD284" s="135"/>
      <c r="DE284" s="135"/>
      <c r="DF284" s="135"/>
      <c r="DG284" s="135"/>
      <c r="DH284" s="135"/>
      <c r="DI284" s="135"/>
      <c r="DJ284" s="135"/>
      <c r="DK284" s="135"/>
      <c r="DL284" s="135"/>
      <c r="DX284" s="135"/>
      <c r="DY284" s="135"/>
      <c r="DZ284" s="135"/>
      <c r="EA284" s="135"/>
      <c r="EB284" s="135"/>
      <c r="EC284" s="135"/>
      <c r="ED284" s="135"/>
      <c r="EE284" s="135"/>
      <c r="EF284" s="135"/>
      <c r="EG284" s="135"/>
      <c r="EH284" s="135"/>
      <c r="EI284" s="135"/>
      <c r="EJ284" s="135"/>
      <c r="EK284" s="135"/>
      <c r="EL284" s="135"/>
      <c r="EM284" s="135"/>
      <c r="EN284" s="135"/>
      <c r="EO284" s="135"/>
      <c r="EP284" s="135"/>
      <c r="EQ284" s="135"/>
      <c r="ER284" s="135"/>
      <c r="ES284" s="135"/>
      <c r="ET284" s="135"/>
      <c r="EU284" s="135"/>
      <c r="EV284" s="135"/>
      <c r="EW284" s="135"/>
      <c r="EX284" s="135"/>
      <c r="EY284" s="135"/>
      <c r="EZ284" s="135"/>
      <c r="FA284" s="135"/>
      <c r="FB284" s="135"/>
      <c r="FC284" s="135"/>
      <c r="FD284" s="135"/>
      <c r="FE284" s="135"/>
      <c r="FF284" s="135"/>
      <c r="FG284" s="135"/>
    </row>
    <row r="285" spans="1:163" s="57" customFormat="1" ht="11.25" outlineLevel="1">
      <c r="A285" s="765">
        <f t="shared" si="296"/>
        <v>12</v>
      </c>
      <c r="B285" s="715" cm="1">
        <f t="array" aca="1" ref="B285" ca="1">INDIRECT("'Definition of Typical Day'!"&amp;ADDRESS(B$16,$E285))</f>
        <v>12</v>
      </c>
      <c r="C285" s="766">
        <f t="shared" si="297"/>
        <v>1</v>
      </c>
      <c r="D285" s="715">
        <f t="shared" si="297"/>
        <v>35</v>
      </c>
      <c r="E285" s="715">
        <f t="shared" si="298"/>
        <v>16</v>
      </c>
      <c r="F285" s="767" cm="1">
        <f t="array" aca="1" ref="F285" ca="1">INDIRECT("'Definition of Typical Day'!D"&amp;D285)</f>
        <v>1</v>
      </c>
      <c r="G285" s="767" cm="1">
        <f t="array" aca="1" ref="G285" ca="1">INDIRECT("'Definition of Typical Day'!"&amp;ADDRESS(13,E285))</f>
        <v>12</v>
      </c>
      <c r="H285" s="768" cm="1">
        <f t="array" aca="1" ref="H285" ca="1">INDIRECT("'Definition of Typical Day'!"&amp; ADDRESS($D285+28*(H$16-1),$E285))</f>
        <v>0</v>
      </c>
      <c r="I285" s="715" cm="1">
        <f t="array" aca="1" ref="I285" ca="1">INDIRECT("'Definition of Typical Day'!"&amp; ADDRESS($D285+29*(I$16-1),$E285))</f>
        <v>0</v>
      </c>
      <c r="J285" s="715">
        <f t="shared" ca="1" si="324"/>
        <v>0</v>
      </c>
      <c r="K285" s="785">
        <f t="shared" si="325"/>
        <v>28</v>
      </c>
      <c r="L285" s="786" cm="1">
        <f t="array" aca="1" ref="L285" ca="1">INDIRECT("'Definition of Typical Day'!"&amp; ADDRESS($D285+29*(L$16-1),$E285))</f>
        <v>0</v>
      </c>
      <c r="M285" s="768" cm="1">
        <f t="array" aca="1" ref="M285" ca="1">INDIRECT("'Definition of Typical Day'!"&amp; ADDRESS($D285+29*(M$16-1),$E285))</f>
        <v>0</v>
      </c>
      <c r="N285" s="715">
        <f t="shared" si="326"/>
        <v>3</v>
      </c>
      <c r="O285" s="715">
        <f t="shared" ca="1" si="327"/>
        <v>3</v>
      </c>
      <c r="P285" s="715" cm="1">
        <f t="array" aca="1" ref="P285" ca="1">INDIRECT("'Definition of Typical Day'!"&amp; ADDRESS($D285+29*(P$16-1),$E285))</f>
        <v>0</v>
      </c>
      <c r="Q285" s="787">
        <f t="shared" ca="1" si="328"/>
        <v>3</v>
      </c>
      <c r="R285" s="792">
        <f t="shared" ca="1" si="329"/>
        <v>3</v>
      </c>
      <c r="S285" s="769">
        <f t="shared" si="330"/>
        <v>3</v>
      </c>
      <c r="T285" s="769">
        <f t="shared" ca="1" si="331"/>
        <v>-0.5</v>
      </c>
      <c r="U285" s="769">
        <f t="shared" ca="1" si="332"/>
        <v>2.262</v>
      </c>
      <c r="V285" s="769">
        <f t="shared" ca="1" si="333"/>
        <v>0</v>
      </c>
      <c r="W285" s="769">
        <f t="shared" ca="1" si="334"/>
        <v>4.7620000000000005</v>
      </c>
      <c r="X285" s="794">
        <f t="shared" si="335"/>
        <v>3</v>
      </c>
      <c r="Y285" s="769">
        <f t="shared" ca="1" si="336"/>
        <v>0.54772255750516607</v>
      </c>
      <c r="Z285" s="769">
        <f t="shared" ca="1" si="337"/>
        <v>0</v>
      </c>
      <c r="AA285" s="795">
        <f t="shared" ca="1" si="338"/>
        <v>0</v>
      </c>
      <c r="AB285" s="769">
        <f t="shared" ca="1" si="339"/>
        <v>0</v>
      </c>
      <c r="AC285" s="769">
        <f t="shared" ca="1" si="340"/>
        <v>0</v>
      </c>
      <c r="AD285" s="769">
        <f t="shared" ca="1" si="341"/>
        <v>0</v>
      </c>
      <c r="AE285" s="794">
        <f t="shared" ca="1" si="342"/>
        <v>0</v>
      </c>
      <c r="AF285" s="769">
        <f t="shared" ca="1" si="343"/>
        <v>0</v>
      </c>
      <c r="AG285" s="769">
        <f t="shared" ca="1" si="344"/>
        <v>0</v>
      </c>
      <c r="AH285" s="799">
        <f t="shared" ca="1" si="345"/>
        <v>0</v>
      </c>
      <c r="AI285" s="801">
        <f t="shared" ca="1" si="346"/>
        <v>1</v>
      </c>
      <c r="AJ285" s="794">
        <f t="shared" ca="1" si="347"/>
        <v>0</v>
      </c>
      <c r="AK285" s="769">
        <f t="shared" ca="1" si="348"/>
        <v>0</v>
      </c>
      <c r="AL285" s="769">
        <f t="shared" ca="1" si="349"/>
        <v>0</v>
      </c>
      <c r="AM285" s="804">
        <f t="shared" ca="1" si="299"/>
        <v>0</v>
      </c>
      <c r="AN285" s="795">
        <f t="shared" ca="1" si="300"/>
        <v>0</v>
      </c>
      <c r="AO285" s="251"/>
      <c r="AP285" s="770">
        <f t="shared" si="350"/>
        <v>0</v>
      </c>
      <c r="AQ285" s="771">
        <f t="shared" ca="1" si="351"/>
        <v>0</v>
      </c>
      <c r="AR285" s="771">
        <f t="shared" ca="1" si="352"/>
        <v>0</v>
      </c>
      <c r="AS285" s="772">
        <f t="shared" ca="1" si="353"/>
        <v>0</v>
      </c>
      <c r="AT285" s="231"/>
      <c r="AU285" s="770">
        <f>'Main Results - IRR DC Operator'!$F$16</f>
        <v>2</v>
      </c>
      <c r="AV285" s="773">
        <f>'Main Results - IRR DC Operator'!$F$15</f>
        <v>1</v>
      </c>
      <c r="AW285" s="771">
        <f t="shared" ca="1" si="354"/>
        <v>0</v>
      </c>
      <c r="AX285" s="772">
        <f t="shared" si="355"/>
        <v>0</v>
      </c>
      <c r="AY285" s="231"/>
      <c r="AZ285" s="770" cm="1">
        <f t="array" aca="1" ref="AZ285" ca="1">INDIRECT("'Definition of Typical Day'!"&amp; ADDRESS($D285+29*(AZ$16-1),$E285))+$AZ$17</f>
        <v>11</v>
      </c>
      <c r="BA285" s="771" cm="1">
        <f t="array" aca="1" ref="BA285" ca="1">INDIRECT("'Definition of Typical Day'!"&amp; ADDRESS($D285+29*(BA$16-1),$E285))+$BA$17</f>
        <v>11</v>
      </c>
      <c r="BB285" s="772" cm="1">
        <f t="array" aca="1" ref="BB285" ca="1">INDIRECT("'Definition of Typical Day'!"&amp;ADDRESS(BB$16,$E285))</f>
        <v>0</v>
      </c>
      <c r="BC285" s="776" cm="1">
        <f t="array" aca="1" ref="BC285" ca="1">INDIRECT("'Definition of Typical Day'!"&amp; ADDRESS($D285+29*(BC$16-1),$E285))</f>
        <v>0</v>
      </c>
      <c r="BD285" s="777" cm="1">
        <f t="array" aca="1" ref="BD285" ca="1">INDIRECT("'Definition of Typical Day'!"&amp; ADDRESS($D285+29*(BD$16-1),$E285))</f>
        <v>0</v>
      </c>
      <c r="BE285" s="776">
        <f t="shared" si="356"/>
        <v>0</v>
      </c>
      <c r="BF285" s="771">
        <f t="shared" ca="1" si="357"/>
        <v>0</v>
      </c>
      <c r="BG285" s="771">
        <f t="shared" ca="1" si="358"/>
        <v>0</v>
      </c>
      <c r="BH285" s="771">
        <f t="shared" ca="1" si="359"/>
        <v>0</v>
      </c>
      <c r="BI285" s="776">
        <f t="shared" ca="1" si="360"/>
        <v>0</v>
      </c>
      <c r="BJ285" s="776">
        <f t="shared" ca="1" si="361"/>
        <v>0</v>
      </c>
      <c r="BK285" s="776">
        <f t="shared" ca="1" si="362"/>
        <v>0</v>
      </c>
      <c r="BL285" s="776">
        <f t="shared" ca="1" si="363"/>
        <v>0</v>
      </c>
      <c r="BM285" s="135"/>
      <c r="BN285" s="776">
        <f t="shared" ca="1" si="364"/>
        <v>0</v>
      </c>
      <c r="BO285" s="778">
        <f t="shared" ca="1" si="301"/>
        <v>0</v>
      </c>
      <c r="BP285" s="770">
        <f t="shared" ca="1" si="302"/>
        <v>0</v>
      </c>
      <c r="BQ285" s="771">
        <f t="shared" ca="1" si="303"/>
        <v>0</v>
      </c>
      <c r="BR285" s="771">
        <f t="shared" ca="1" si="304"/>
        <v>0</v>
      </c>
      <c r="BS285" s="776">
        <f t="shared" ca="1" si="365"/>
        <v>0</v>
      </c>
      <c r="BT285" s="776">
        <f t="shared" ca="1" si="305"/>
        <v>0</v>
      </c>
      <c r="BU285" s="783">
        <f t="shared" ca="1" si="306"/>
        <v>0</v>
      </c>
      <c r="BV285" s="783">
        <f t="shared" ca="1" si="307"/>
        <v>0</v>
      </c>
      <c r="BW285" s="1019">
        <f t="shared" ca="1" si="366"/>
        <v>0</v>
      </c>
      <c r="BX285" s="771" cm="1">
        <f t="array" aca="1" ref="BX285" ca="1">INDIRECT("'Definition of Typical Day'!"&amp; ADDRESS($D285+29*(BX$16-1),$E285))</f>
        <v>0</v>
      </c>
      <c r="BY285" s="771">
        <f t="shared" ca="1" si="367"/>
        <v>0</v>
      </c>
      <c r="BZ285" s="781">
        <f t="shared" ca="1" si="308"/>
        <v>0</v>
      </c>
      <c r="CA285" s="781">
        <f t="shared" ca="1" si="309"/>
        <v>0</v>
      </c>
      <c r="CB285" s="776">
        <f t="shared" ca="1" si="310"/>
        <v>0</v>
      </c>
      <c r="CC285" s="782">
        <f t="shared" si="311"/>
        <v>12</v>
      </c>
      <c r="CD285" s="782">
        <f t="shared" si="312"/>
        <v>1</v>
      </c>
      <c r="CE285" s="784" cm="1">
        <f t="array" aca="1" ref="CE285" ca="1">INDIRECT("'Definition of Typical Day'!"&amp;ADDRESS(CE$16,$E285))</f>
        <v>12</v>
      </c>
      <c r="CF285" s="232"/>
      <c r="CG285" s="232"/>
      <c r="CH285" s="776">
        <f t="shared" ca="1" si="313"/>
        <v>0</v>
      </c>
      <c r="CI285" s="806">
        <f t="shared" ca="1" si="314"/>
        <v>0</v>
      </c>
      <c r="CJ285" s="770">
        <f t="shared" ca="1" si="315"/>
        <v>0</v>
      </c>
      <c r="CK285" s="771">
        <f t="shared" ca="1" si="316"/>
        <v>0</v>
      </c>
      <c r="CL285" s="771">
        <f t="shared" ca="1" si="317"/>
        <v>0</v>
      </c>
      <c r="CM285" s="772">
        <f t="shared" ca="1" si="318"/>
        <v>0</v>
      </c>
      <c r="CN285" s="135"/>
      <c r="CO285" s="770">
        <f t="shared" ca="1" si="295"/>
        <v>1.05</v>
      </c>
      <c r="CP285" s="771">
        <f t="shared" ca="1" si="319"/>
        <v>0.02</v>
      </c>
      <c r="CQ285" s="771">
        <f t="shared" ca="1" si="320"/>
        <v>-2.5000000000000001E-2</v>
      </c>
      <c r="CR285" s="771">
        <f t="shared" ca="1" si="321"/>
        <v>0.95</v>
      </c>
      <c r="CS285" s="771">
        <f t="shared" ca="1" si="322"/>
        <v>0.03</v>
      </c>
      <c r="CT285" s="772">
        <f t="shared" ca="1" si="323"/>
        <v>0.02</v>
      </c>
      <c r="CU285" s="135"/>
      <c r="CV285" s="135"/>
      <c r="CW285" s="135"/>
      <c r="CX285" s="135"/>
      <c r="CY285" s="135"/>
      <c r="CZ285" s="135"/>
      <c r="DA285" s="135"/>
      <c r="DB285" s="135"/>
      <c r="DC285" s="135"/>
      <c r="DD285" s="135"/>
      <c r="DE285" s="135"/>
      <c r="DF285" s="135"/>
      <c r="DG285" s="135"/>
      <c r="DH285" s="135"/>
      <c r="DI285" s="135"/>
      <c r="DJ285" s="135"/>
      <c r="DK285" s="135"/>
      <c r="DL285" s="135"/>
      <c r="DX285" s="135"/>
      <c r="DY285" s="135"/>
      <c r="DZ285" s="135"/>
      <c r="EA285" s="135"/>
      <c r="EB285" s="135"/>
      <c r="EC285" s="135"/>
      <c r="ED285" s="135"/>
      <c r="EE285" s="135"/>
      <c r="EF285" s="135"/>
      <c r="EG285" s="135"/>
      <c r="EH285" s="135"/>
      <c r="EI285" s="135"/>
      <c r="EJ285" s="135"/>
      <c r="EK285" s="135"/>
      <c r="EL285" s="135"/>
      <c r="EM285" s="135"/>
      <c r="EN285" s="135"/>
      <c r="EO285" s="135"/>
      <c r="EP285" s="135"/>
      <c r="EQ285" s="135"/>
      <c r="ER285" s="135"/>
      <c r="ES285" s="135"/>
      <c r="ET285" s="135"/>
      <c r="EU285" s="135"/>
      <c r="EV285" s="135"/>
      <c r="EW285" s="135"/>
      <c r="EX285" s="135"/>
      <c r="EY285" s="135"/>
      <c r="EZ285" s="135"/>
      <c r="FA285" s="135"/>
      <c r="FB285" s="135"/>
      <c r="FC285" s="135"/>
      <c r="FD285" s="135"/>
      <c r="FE285" s="135"/>
      <c r="FF285" s="135"/>
      <c r="FG285" s="135"/>
    </row>
    <row r="286" spans="1:163" s="57" customFormat="1" ht="11.25" outlineLevel="1">
      <c r="A286" s="765">
        <f t="shared" si="296"/>
        <v>12</v>
      </c>
      <c r="B286" s="715" cm="1">
        <f t="array" aca="1" ref="B286" ca="1">INDIRECT("'Definition of Typical Day'!"&amp;ADDRESS(B$16,$E286))</f>
        <v>12</v>
      </c>
      <c r="C286" s="766">
        <f t="shared" si="297"/>
        <v>2</v>
      </c>
      <c r="D286" s="715">
        <f t="shared" si="297"/>
        <v>36</v>
      </c>
      <c r="E286" s="715">
        <f t="shared" si="298"/>
        <v>16</v>
      </c>
      <c r="F286" s="767" cm="1">
        <f t="array" aca="1" ref="F286" ca="1">INDIRECT("'Definition of Typical Day'!D"&amp;D286)</f>
        <v>2</v>
      </c>
      <c r="G286" s="767" cm="1">
        <f t="array" aca="1" ref="G286" ca="1">INDIRECT("'Definition of Typical Day'!"&amp;ADDRESS(13,E286))</f>
        <v>12</v>
      </c>
      <c r="H286" s="768" cm="1">
        <f t="array" aca="1" ref="H286" ca="1">INDIRECT("'Definition of Typical Day'!"&amp; ADDRESS($D286+28*(H$16-1),$E286))</f>
        <v>0</v>
      </c>
      <c r="I286" s="715" cm="1">
        <f t="array" aca="1" ref="I286" ca="1">INDIRECT("'Definition of Typical Day'!"&amp; ADDRESS($D286+29*(I$16-1),$E286))</f>
        <v>0</v>
      </c>
      <c r="J286" s="715">
        <f t="shared" ca="1" si="324"/>
        <v>0</v>
      </c>
      <c r="K286" s="785">
        <f t="shared" si="325"/>
        <v>28</v>
      </c>
      <c r="L286" s="786" cm="1">
        <f t="array" aca="1" ref="L286" ca="1">INDIRECT("'Definition of Typical Day'!"&amp; ADDRESS($D286+29*(L$16-1),$E286))</f>
        <v>0</v>
      </c>
      <c r="M286" s="768" cm="1">
        <f t="array" aca="1" ref="M286" ca="1">INDIRECT("'Definition of Typical Day'!"&amp; ADDRESS($D286+29*(M$16-1),$E286))</f>
        <v>0</v>
      </c>
      <c r="N286" s="715">
        <f t="shared" si="326"/>
        <v>3</v>
      </c>
      <c r="O286" s="715">
        <f t="shared" ca="1" si="327"/>
        <v>3</v>
      </c>
      <c r="P286" s="715" cm="1">
        <f t="array" aca="1" ref="P286" ca="1">INDIRECT("'Definition of Typical Day'!"&amp; ADDRESS($D286+29*(P$16-1),$E286))</f>
        <v>0</v>
      </c>
      <c r="Q286" s="787">
        <f t="shared" ca="1" si="328"/>
        <v>3</v>
      </c>
      <c r="R286" s="792">
        <f t="shared" ca="1" si="329"/>
        <v>3</v>
      </c>
      <c r="S286" s="769">
        <f t="shared" si="330"/>
        <v>3</v>
      </c>
      <c r="T286" s="769">
        <f t="shared" ca="1" si="331"/>
        <v>-0.5</v>
      </c>
      <c r="U286" s="769">
        <f t="shared" ca="1" si="332"/>
        <v>2.262</v>
      </c>
      <c r="V286" s="769">
        <f t="shared" ca="1" si="333"/>
        <v>0</v>
      </c>
      <c r="W286" s="769">
        <f t="shared" ca="1" si="334"/>
        <v>4.7620000000000005</v>
      </c>
      <c r="X286" s="794">
        <f t="shared" si="335"/>
        <v>3</v>
      </c>
      <c r="Y286" s="769">
        <f t="shared" ca="1" si="336"/>
        <v>0.54772255750516607</v>
      </c>
      <c r="Z286" s="769">
        <f t="shared" ca="1" si="337"/>
        <v>0</v>
      </c>
      <c r="AA286" s="795">
        <f t="shared" ca="1" si="338"/>
        <v>0</v>
      </c>
      <c r="AB286" s="769">
        <f t="shared" ca="1" si="339"/>
        <v>0</v>
      </c>
      <c r="AC286" s="769">
        <f t="shared" ca="1" si="340"/>
        <v>0</v>
      </c>
      <c r="AD286" s="769">
        <f t="shared" ca="1" si="341"/>
        <v>0</v>
      </c>
      <c r="AE286" s="794">
        <f t="shared" ca="1" si="342"/>
        <v>0</v>
      </c>
      <c r="AF286" s="769">
        <f t="shared" ca="1" si="343"/>
        <v>0</v>
      </c>
      <c r="AG286" s="769">
        <f t="shared" ca="1" si="344"/>
        <v>0</v>
      </c>
      <c r="AH286" s="799">
        <f t="shared" ca="1" si="345"/>
        <v>0</v>
      </c>
      <c r="AI286" s="801">
        <f t="shared" ca="1" si="346"/>
        <v>1</v>
      </c>
      <c r="AJ286" s="794">
        <f t="shared" ca="1" si="347"/>
        <v>0</v>
      </c>
      <c r="AK286" s="769">
        <f t="shared" ca="1" si="348"/>
        <v>0</v>
      </c>
      <c r="AL286" s="769">
        <f t="shared" ca="1" si="349"/>
        <v>0</v>
      </c>
      <c r="AM286" s="804">
        <f t="shared" ca="1" si="299"/>
        <v>0</v>
      </c>
      <c r="AN286" s="795">
        <f t="shared" ca="1" si="300"/>
        <v>0</v>
      </c>
      <c r="AO286" s="251"/>
      <c r="AP286" s="770">
        <f t="shared" si="350"/>
        <v>0</v>
      </c>
      <c r="AQ286" s="771">
        <f t="shared" ca="1" si="351"/>
        <v>0</v>
      </c>
      <c r="AR286" s="771">
        <f t="shared" ca="1" si="352"/>
        <v>0</v>
      </c>
      <c r="AS286" s="772">
        <f t="shared" ca="1" si="353"/>
        <v>0</v>
      </c>
      <c r="AT286" s="231"/>
      <c r="AU286" s="770">
        <f>'Main Results - IRR DC Operator'!$F$16</f>
        <v>2</v>
      </c>
      <c r="AV286" s="773">
        <f>'Main Results - IRR DC Operator'!$F$15</f>
        <v>1</v>
      </c>
      <c r="AW286" s="771">
        <f t="shared" ca="1" si="354"/>
        <v>0</v>
      </c>
      <c r="AX286" s="772">
        <f t="shared" si="355"/>
        <v>0</v>
      </c>
      <c r="AY286" s="231"/>
      <c r="AZ286" s="770" cm="1">
        <f t="array" aca="1" ref="AZ286" ca="1">INDIRECT("'Definition of Typical Day'!"&amp; ADDRESS($D286+29*(AZ$16-1),$E286))+$AZ$17</f>
        <v>11</v>
      </c>
      <c r="BA286" s="771" cm="1">
        <f t="array" aca="1" ref="BA286" ca="1">INDIRECT("'Definition of Typical Day'!"&amp; ADDRESS($D286+29*(BA$16-1),$E286))+$BA$17</f>
        <v>11</v>
      </c>
      <c r="BB286" s="772" cm="1">
        <f t="array" aca="1" ref="BB286" ca="1">INDIRECT("'Definition of Typical Day'!"&amp;ADDRESS(BB$16,$E286))</f>
        <v>0</v>
      </c>
      <c r="BC286" s="776" cm="1">
        <f t="array" aca="1" ref="BC286" ca="1">INDIRECT("'Definition of Typical Day'!"&amp; ADDRESS($D286+29*(BC$16-1),$E286))</f>
        <v>0</v>
      </c>
      <c r="BD286" s="777" cm="1">
        <f t="array" aca="1" ref="BD286" ca="1">INDIRECT("'Definition of Typical Day'!"&amp; ADDRESS($D286+29*(BD$16-1),$E286))</f>
        <v>0</v>
      </c>
      <c r="BE286" s="776">
        <f t="shared" si="356"/>
        <v>0</v>
      </c>
      <c r="BF286" s="771">
        <f t="shared" ca="1" si="357"/>
        <v>0</v>
      </c>
      <c r="BG286" s="771">
        <f t="shared" ca="1" si="358"/>
        <v>0</v>
      </c>
      <c r="BH286" s="771">
        <f t="shared" ca="1" si="359"/>
        <v>0</v>
      </c>
      <c r="BI286" s="776">
        <f t="shared" ca="1" si="360"/>
        <v>0</v>
      </c>
      <c r="BJ286" s="776">
        <f t="shared" ca="1" si="361"/>
        <v>0</v>
      </c>
      <c r="BK286" s="776">
        <f t="shared" ca="1" si="362"/>
        <v>0</v>
      </c>
      <c r="BL286" s="776">
        <f t="shared" ca="1" si="363"/>
        <v>0</v>
      </c>
      <c r="BM286" s="135"/>
      <c r="BN286" s="776">
        <f t="shared" ca="1" si="364"/>
        <v>0</v>
      </c>
      <c r="BO286" s="778">
        <f t="shared" ca="1" si="301"/>
        <v>0</v>
      </c>
      <c r="BP286" s="770">
        <f t="shared" ca="1" si="302"/>
        <v>0</v>
      </c>
      <c r="BQ286" s="771">
        <f t="shared" ca="1" si="303"/>
        <v>0</v>
      </c>
      <c r="BR286" s="771">
        <f t="shared" ca="1" si="304"/>
        <v>0</v>
      </c>
      <c r="BS286" s="776">
        <f t="shared" ca="1" si="365"/>
        <v>0</v>
      </c>
      <c r="BT286" s="776">
        <f t="shared" ca="1" si="305"/>
        <v>0</v>
      </c>
      <c r="BU286" s="783">
        <f t="shared" ca="1" si="306"/>
        <v>0</v>
      </c>
      <c r="BV286" s="783">
        <f t="shared" ca="1" si="307"/>
        <v>0</v>
      </c>
      <c r="BW286" s="1019">
        <f t="shared" ca="1" si="366"/>
        <v>0</v>
      </c>
      <c r="BX286" s="771" cm="1">
        <f t="array" aca="1" ref="BX286" ca="1">INDIRECT("'Definition of Typical Day'!"&amp; ADDRESS($D286+29*(BX$16-1),$E286))</f>
        <v>0</v>
      </c>
      <c r="BY286" s="771">
        <f t="shared" ca="1" si="367"/>
        <v>0</v>
      </c>
      <c r="BZ286" s="781">
        <f t="shared" ca="1" si="308"/>
        <v>0</v>
      </c>
      <c r="CA286" s="781">
        <f t="shared" ca="1" si="309"/>
        <v>0</v>
      </c>
      <c r="CB286" s="776">
        <f t="shared" ca="1" si="310"/>
        <v>0</v>
      </c>
      <c r="CC286" s="782">
        <f t="shared" si="311"/>
        <v>12</v>
      </c>
      <c r="CD286" s="782">
        <f t="shared" si="312"/>
        <v>2</v>
      </c>
      <c r="CE286" s="784" cm="1">
        <f t="array" aca="1" ref="CE286" ca="1">INDIRECT("'Definition of Typical Day'!"&amp;ADDRESS(CE$16,$E286))</f>
        <v>12</v>
      </c>
      <c r="CF286" s="232"/>
      <c r="CG286" s="232"/>
      <c r="CH286" s="776">
        <f t="shared" ca="1" si="313"/>
        <v>0</v>
      </c>
      <c r="CI286" s="806">
        <f t="shared" ca="1" si="314"/>
        <v>0</v>
      </c>
      <c r="CJ286" s="770">
        <f t="shared" ca="1" si="315"/>
        <v>0</v>
      </c>
      <c r="CK286" s="771">
        <f t="shared" ca="1" si="316"/>
        <v>0</v>
      </c>
      <c r="CL286" s="771">
        <f t="shared" ca="1" si="317"/>
        <v>0</v>
      </c>
      <c r="CM286" s="772">
        <f t="shared" ca="1" si="318"/>
        <v>0</v>
      </c>
      <c r="CN286" s="135"/>
      <c r="CO286" s="770">
        <f t="shared" ca="1" si="295"/>
        <v>1.05</v>
      </c>
      <c r="CP286" s="771">
        <f t="shared" ca="1" si="319"/>
        <v>0.02</v>
      </c>
      <c r="CQ286" s="771">
        <f t="shared" ca="1" si="320"/>
        <v>-2.5000000000000001E-2</v>
      </c>
      <c r="CR286" s="771">
        <f t="shared" ca="1" si="321"/>
        <v>0.95</v>
      </c>
      <c r="CS286" s="771">
        <f t="shared" ca="1" si="322"/>
        <v>0.03</v>
      </c>
      <c r="CT286" s="772">
        <f t="shared" ca="1" si="323"/>
        <v>0.02</v>
      </c>
      <c r="CU286" s="135"/>
      <c r="CV286" s="135"/>
      <c r="CW286" s="135"/>
      <c r="CX286" s="135"/>
      <c r="CY286" s="135"/>
      <c r="CZ286" s="135"/>
      <c r="DA286" s="135"/>
      <c r="DB286" s="135"/>
      <c r="DC286" s="135"/>
      <c r="DD286" s="135"/>
      <c r="DE286" s="135"/>
      <c r="DF286" s="135"/>
      <c r="DG286" s="135"/>
      <c r="DH286" s="135"/>
      <c r="DI286" s="135"/>
      <c r="DJ286" s="135"/>
      <c r="DK286" s="135"/>
      <c r="DL286" s="135"/>
      <c r="DX286" s="135"/>
      <c r="DY286" s="135"/>
      <c r="DZ286" s="135"/>
      <c r="EA286" s="135"/>
      <c r="EB286" s="135"/>
      <c r="EC286" s="135"/>
      <c r="ED286" s="135"/>
      <c r="EE286" s="135"/>
      <c r="EF286" s="135"/>
      <c r="EG286" s="135"/>
      <c r="EH286" s="135"/>
      <c r="EI286" s="135"/>
      <c r="EJ286" s="135"/>
      <c r="EK286" s="135"/>
      <c r="EL286" s="135"/>
      <c r="EM286" s="135"/>
      <c r="EN286" s="135"/>
      <c r="EO286" s="135"/>
      <c r="EP286" s="135"/>
      <c r="EQ286" s="135"/>
      <c r="ER286" s="135"/>
      <c r="ES286" s="135"/>
      <c r="ET286" s="135"/>
      <c r="EU286" s="135"/>
      <c r="EV286" s="135"/>
      <c r="EW286" s="135"/>
      <c r="EX286" s="135"/>
      <c r="EY286" s="135"/>
      <c r="EZ286" s="135"/>
      <c r="FA286" s="135"/>
      <c r="FB286" s="135"/>
      <c r="FC286" s="135"/>
      <c r="FD286" s="135"/>
      <c r="FE286" s="135"/>
      <c r="FF286" s="135"/>
      <c r="FG286" s="135"/>
    </row>
    <row r="287" spans="1:163" s="57" customFormat="1" ht="11.25" outlineLevel="1">
      <c r="A287" s="765">
        <f t="shared" si="296"/>
        <v>12</v>
      </c>
      <c r="B287" s="715" cm="1">
        <f t="array" aca="1" ref="B287" ca="1">INDIRECT("'Definition of Typical Day'!"&amp;ADDRESS(B$16,$E287))</f>
        <v>12</v>
      </c>
      <c r="C287" s="766">
        <f t="shared" si="297"/>
        <v>3</v>
      </c>
      <c r="D287" s="715">
        <f t="shared" si="297"/>
        <v>37</v>
      </c>
      <c r="E287" s="715">
        <f t="shared" si="298"/>
        <v>16</v>
      </c>
      <c r="F287" s="767" cm="1">
        <f t="array" aca="1" ref="F287" ca="1">INDIRECT("'Definition of Typical Day'!D"&amp;D287)</f>
        <v>3</v>
      </c>
      <c r="G287" s="767" cm="1">
        <f t="array" aca="1" ref="G287" ca="1">INDIRECT("'Definition of Typical Day'!"&amp;ADDRESS(13,E287))</f>
        <v>12</v>
      </c>
      <c r="H287" s="768" cm="1">
        <f t="array" aca="1" ref="H287" ca="1">INDIRECT("'Definition of Typical Day'!"&amp; ADDRESS($D287+28*(H$16-1),$E287))</f>
        <v>0</v>
      </c>
      <c r="I287" s="715" cm="1">
        <f t="array" aca="1" ref="I287" ca="1">INDIRECT("'Definition of Typical Day'!"&amp; ADDRESS($D287+29*(I$16-1),$E287))</f>
        <v>0</v>
      </c>
      <c r="J287" s="715">
        <f t="shared" ca="1" si="324"/>
        <v>0</v>
      </c>
      <c r="K287" s="785">
        <f t="shared" si="325"/>
        <v>28</v>
      </c>
      <c r="L287" s="786" cm="1">
        <f t="array" aca="1" ref="L287" ca="1">INDIRECT("'Definition of Typical Day'!"&amp; ADDRESS($D287+29*(L$16-1),$E287))</f>
        <v>0</v>
      </c>
      <c r="M287" s="768" cm="1">
        <f t="array" aca="1" ref="M287" ca="1">INDIRECT("'Definition of Typical Day'!"&amp; ADDRESS($D287+29*(M$16-1),$E287))</f>
        <v>0</v>
      </c>
      <c r="N287" s="715">
        <f t="shared" si="326"/>
        <v>3</v>
      </c>
      <c r="O287" s="715">
        <f t="shared" ca="1" si="327"/>
        <v>3</v>
      </c>
      <c r="P287" s="715" cm="1">
        <f t="array" aca="1" ref="P287" ca="1">INDIRECT("'Definition of Typical Day'!"&amp; ADDRESS($D287+29*(P$16-1),$E287))</f>
        <v>0</v>
      </c>
      <c r="Q287" s="787">
        <f t="shared" ca="1" si="328"/>
        <v>3</v>
      </c>
      <c r="R287" s="792">
        <f t="shared" ca="1" si="329"/>
        <v>3</v>
      </c>
      <c r="S287" s="769">
        <f t="shared" si="330"/>
        <v>3</v>
      </c>
      <c r="T287" s="769">
        <f t="shared" ca="1" si="331"/>
        <v>-0.5</v>
      </c>
      <c r="U287" s="769">
        <f t="shared" ca="1" si="332"/>
        <v>2.262</v>
      </c>
      <c r="V287" s="769">
        <f t="shared" ca="1" si="333"/>
        <v>0</v>
      </c>
      <c r="W287" s="769">
        <f t="shared" ca="1" si="334"/>
        <v>4.7620000000000005</v>
      </c>
      <c r="X287" s="794">
        <f t="shared" si="335"/>
        <v>3</v>
      </c>
      <c r="Y287" s="769">
        <f t="shared" ca="1" si="336"/>
        <v>0.54772255750516607</v>
      </c>
      <c r="Z287" s="769">
        <f t="shared" ca="1" si="337"/>
        <v>0</v>
      </c>
      <c r="AA287" s="795">
        <f t="shared" ca="1" si="338"/>
        <v>0</v>
      </c>
      <c r="AB287" s="769">
        <f t="shared" ca="1" si="339"/>
        <v>0</v>
      </c>
      <c r="AC287" s="769">
        <f t="shared" ca="1" si="340"/>
        <v>0</v>
      </c>
      <c r="AD287" s="769">
        <f t="shared" ca="1" si="341"/>
        <v>0</v>
      </c>
      <c r="AE287" s="794">
        <f t="shared" ca="1" si="342"/>
        <v>0</v>
      </c>
      <c r="AF287" s="769">
        <f t="shared" ca="1" si="343"/>
        <v>0</v>
      </c>
      <c r="AG287" s="769">
        <f t="shared" ca="1" si="344"/>
        <v>0</v>
      </c>
      <c r="AH287" s="799">
        <f t="shared" ca="1" si="345"/>
        <v>0</v>
      </c>
      <c r="AI287" s="801">
        <f t="shared" ca="1" si="346"/>
        <v>1</v>
      </c>
      <c r="AJ287" s="794">
        <f t="shared" ca="1" si="347"/>
        <v>0</v>
      </c>
      <c r="AK287" s="769">
        <f t="shared" ca="1" si="348"/>
        <v>0</v>
      </c>
      <c r="AL287" s="769">
        <f t="shared" ca="1" si="349"/>
        <v>0</v>
      </c>
      <c r="AM287" s="804">
        <f t="shared" ca="1" si="299"/>
        <v>0</v>
      </c>
      <c r="AN287" s="795">
        <f t="shared" ca="1" si="300"/>
        <v>0</v>
      </c>
      <c r="AO287" s="251"/>
      <c r="AP287" s="770">
        <f t="shared" si="350"/>
        <v>0</v>
      </c>
      <c r="AQ287" s="771">
        <f t="shared" ca="1" si="351"/>
        <v>0</v>
      </c>
      <c r="AR287" s="771">
        <f t="shared" ca="1" si="352"/>
        <v>0</v>
      </c>
      <c r="AS287" s="772">
        <f t="shared" ca="1" si="353"/>
        <v>0</v>
      </c>
      <c r="AT287" s="231"/>
      <c r="AU287" s="770">
        <f>'Main Results - IRR DC Operator'!$F$16</f>
        <v>2</v>
      </c>
      <c r="AV287" s="773">
        <f>'Main Results - IRR DC Operator'!$F$15</f>
        <v>1</v>
      </c>
      <c r="AW287" s="771">
        <f t="shared" ca="1" si="354"/>
        <v>0</v>
      </c>
      <c r="AX287" s="772">
        <f t="shared" si="355"/>
        <v>0</v>
      </c>
      <c r="AY287" s="231"/>
      <c r="AZ287" s="770" cm="1">
        <f t="array" aca="1" ref="AZ287" ca="1">INDIRECT("'Definition of Typical Day'!"&amp; ADDRESS($D287+29*(AZ$16-1),$E287))+$AZ$17</f>
        <v>11</v>
      </c>
      <c r="BA287" s="771" cm="1">
        <f t="array" aca="1" ref="BA287" ca="1">INDIRECT("'Definition of Typical Day'!"&amp; ADDRESS($D287+29*(BA$16-1),$E287))+$BA$17</f>
        <v>11</v>
      </c>
      <c r="BB287" s="772" cm="1">
        <f t="array" aca="1" ref="BB287" ca="1">INDIRECT("'Definition of Typical Day'!"&amp;ADDRESS(BB$16,$E287))</f>
        <v>0</v>
      </c>
      <c r="BC287" s="776" cm="1">
        <f t="array" aca="1" ref="BC287" ca="1">INDIRECT("'Definition of Typical Day'!"&amp; ADDRESS($D287+29*(BC$16-1),$E287))</f>
        <v>0</v>
      </c>
      <c r="BD287" s="777" cm="1">
        <f t="array" aca="1" ref="BD287" ca="1">INDIRECT("'Definition of Typical Day'!"&amp; ADDRESS($D287+29*(BD$16-1),$E287))</f>
        <v>0</v>
      </c>
      <c r="BE287" s="776">
        <f t="shared" si="356"/>
        <v>0</v>
      </c>
      <c r="BF287" s="771">
        <f t="shared" ca="1" si="357"/>
        <v>0</v>
      </c>
      <c r="BG287" s="771">
        <f t="shared" ca="1" si="358"/>
        <v>0</v>
      </c>
      <c r="BH287" s="771">
        <f t="shared" ca="1" si="359"/>
        <v>0</v>
      </c>
      <c r="BI287" s="776">
        <f t="shared" ca="1" si="360"/>
        <v>0</v>
      </c>
      <c r="BJ287" s="776">
        <f t="shared" ca="1" si="361"/>
        <v>0</v>
      </c>
      <c r="BK287" s="776">
        <f t="shared" ca="1" si="362"/>
        <v>0</v>
      </c>
      <c r="BL287" s="776">
        <f t="shared" ca="1" si="363"/>
        <v>0</v>
      </c>
      <c r="BM287" s="135"/>
      <c r="BN287" s="776">
        <f t="shared" ca="1" si="364"/>
        <v>0</v>
      </c>
      <c r="BO287" s="778">
        <f t="shared" ca="1" si="301"/>
        <v>0</v>
      </c>
      <c r="BP287" s="770">
        <f t="shared" ca="1" si="302"/>
        <v>0</v>
      </c>
      <c r="BQ287" s="771">
        <f t="shared" ca="1" si="303"/>
        <v>0</v>
      </c>
      <c r="BR287" s="771">
        <f t="shared" ca="1" si="304"/>
        <v>0</v>
      </c>
      <c r="BS287" s="776">
        <f t="shared" ca="1" si="365"/>
        <v>0</v>
      </c>
      <c r="BT287" s="776">
        <f t="shared" ca="1" si="305"/>
        <v>0</v>
      </c>
      <c r="BU287" s="783">
        <f t="shared" ca="1" si="306"/>
        <v>0</v>
      </c>
      <c r="BV287" s="783">
        <f t="shared" ca="1" si="307"/>
        <v>0</v>
      </c>
      <c r="BW287" s="1019">
        <f t="shared" ca="1" si="366"/>
        <v>0</v>
      </c>
      <c r="BX287" s="771" cm="1">
        <f t="array" aca="1" ref="BX287" ca="1">INDIRECT("'Definition of Typical Day'!"&amp; ADDRESS($D287+29*(BX$16-1),$E287))</f>
        <v>0</v>
      </c>
      <c r="BY287" s="771">
        <f t="shared" ca="1" si="367"/>
        <v>0</v>
      </c>
      <c r="BZ287" s="781">
        <f t="shared" ca="1" si="308"/>
        <v>0</v>
      </c>
      <c r="CA287" s="781">
        <f t="shared" ca="1" si="309"/>
        <v>0</v>
      </c>
      <c r="CB287" s="776">
        <f t="shared" ca="1" si="310"/>
        <v>0</v>
      </c>
      <c r="CC287" s="782">
        <f t="shared" si="311"/>
        <v>12</v>
      </c>
      <c r="CD287" s="782">
        <f t="shared" si="312"/>
        <v>3</v>
      </c>
      <c r="CE287" s="784" cm="1">
        <f t="array" aca="1" ref="CE287" ca="1">INDIRECT("'Definition of Typical Day'!"&amp;ADDRESS(CE$16,$E287))</f>
        <v>12</v>
      </c>
      <c r="CF287" s="232"/>
      <c r="CG287" s="232"/>
      <c r="CH287" s="776">
        <f t="shared" ca="1" si="313"/>
        <v>0</v>
      </c>
      <c r="CI287" s="806">
        <f t="shared" ca="1" si="314"/>
        <v>0</v>
      </c>
      <c r="CJ287" s="770">
        <f t="shared" ca="1" si="315"/>
        <v>0</v>
      </c>
      <c r="CK287" s="771">
        <f t="shared" ca="1" si="316"/>
        <v>0</v>
      </c>
      <c r="CL287" s="771">
        <f t="shared" ca="1" si="317"/>
        <v>0</v>
      </c>
      <c r="CM287" s="772">
        <f t="shared" ca="1" si="318"/>
        <v>0</v>
      </c>
      <c r="CN287" s="135"/>
      <c r="CO287" s="770">
        <f t="shared" ref="CO287:CO350" ca="1" si="368">IF(BU287&gt;BX287,3%,105%)</f>
        <v>1.05</v>
      </c>
      <c r="CP287" s="771">
        <f t="shared" ca="1" si="319"/>
        <v>0.02</v>
      </c>
      <c r="CQ287" s="771">
        <f t="shared" ca="1" si="320"/>
        <v>-2.5000000000000001E-2</v>
      </c>
      <c r="CR287" s="771">
        <f t="shared" ca="1" si="321"/>
        <v>0.95</v>
      </c>
      <c r="CS287" s="771">
        <f t="shared" ca="1" si="322"/>
        <v>0.03</v>
      </c>
      <c r="CT287" s="772">
        <f t="shared" ca="1" si="323"/>
        <v>0.02</v>
      </c>
      <c r="CU287" s="135"/>
      <c r="CV287" s="135"/>
      <c r="CW287" s="135"/>
      <c r="CX287" s="135"/>
      <c r="CY287" s="135"/>
      <c r="CZ287" s="135"/>
      <c r="DA287" s="135"/>
      <c r="DB287" s="135"/>
      <c r="DC287" s="135"/>
      <c r="DD287" s="135"/>
      <c r="DE287" s="135"/>
      <c r="DF287" s="135"/>
      <c r="DG287" s="135"/>
      <c r="DH287" s="135"/>
      <c r="DI287" s="135"/>
      <c r="DJ287" s="135"/>
      <c r="DK287" s="135"/>
      <c r="DL287" s="135"/>
      <c r="DX287" s="135"/>
      <c r="DY287" s="135"/>
      <c r="DZ287" s="135"/>
      <c r="EA287" s="135"/>
      <c r="EB287" s="135"/>
      <c r="EC287" s="135"/>
      <c r="ED287" s="135"/>
      <c r="EE287" s="135"/>
      <c r="EF287" s="135"/>
      <c r="EG287" s="135"/>
      <c r="EH287" s="135"/>
      <c r="EI287" s="135"/>
      <c r="EJ287" s="135"/>
      <c r="EK287" s="135"/>
      <c r="EL287" s="135"/>
      <c r="EM287" s="135"/>
      <c r="EN287" s="135"/>
      <c r="EO287" s="135"/>
      <c r="EP287" s="135"/>
      <c r="EQ287" s="135"/>
      <c r="ER287" s="135"/>
      <c r="ES287" s="135"/>
      <c r="ET287" s="135"/>
      <c r="EU287" s="135"/>
      <c r="EV287" s="135"/>
      <c r="EW287" s="135"/>
      <c r="EX287" s="135"/>
      <c r="EY287" s="135"/>
      <c r="EZ287" s="135"/>
      <c r="FA287" s="135"/>
      <c r="FB287" s="135"/>
      <c r="FC287" s="135"/>
      <c r="FD287" s="135"/>
      <c r="FE287" s="135"/>
      <c r="FF287" s="135"/>
      <c r="FG287" s="135"/>
    </row>
    <row r="288" spans="1:163" s="57" customFormat="1" ht="11.25" outlineLevel="1">
      <c r="A288" s="765">
        <f t="shared" si="296"/>
        <v>12</v>
      </c>
      <c r="B288" s="715" cm="1">
        <f t="array" aca="1" ref="B288" ca="1">INDIRECT("'Definition of Typical Day'!"&amp;ADDRESS(B$16,$E288))</f>
        <v>12</v>
      </c>
      <c r="C288" s="766">
        <f t="shared" si="297"/>
        <v>4</v>
      </c>
      <c r="D288" s="715">
        <f t="shared" si="297"/>
        <v>38</v>
      </c>
      <c r="E288" s="715">
        <f t="shared" si="298"/>
        <v>16</v>
      </c>
      <c r="F288" s="767" cm="1">
        <f t="array" aca="1" ref="F288" ca="1">INDIRECT("'Definition of Typical Day'!D"&amp;D288)</f>
        <v>4</v>
      </c>
      <c r="G288" s="767" cm="1">
        <f t="array" aca="1" ref="G288" ca="1">INDIRECT("'Definition of Typical Day'!"&amp;ADDRESS(13,E288))</f>
        <v>12</v>
      </c>
      <c r="H288" s="768" cm="1">
        <f t="array" aca="1" ref="H288" ca="1">INDIRECT("'Definition of Typical Day'!"&amp; ADDRESS($D288+28*(H$16-1),$E288))</f>
        <v>0</v>
      </c>
      <c r="I288" s="715" cm="1">
        <f t="array" aca="1" ref="I288" ca="1">INDIRECT("'Definition of Typical Day'!"&amp; ADDRESS($D288+29*(I$16-1),$E288))</f>
        <v>0</v>
      </c>
      <c r="J288" s="715">
        <f t="shared" ca="1" si="324"/>
        <v>0</v>
      </c>
      <c r="K288" s="785">
        <f t="shared" si="325"/>
        <v>28</v>
      </c>
      <c r="L288" s="786" cm="1">
        <f t="array" aca="1" ref="L288" ca="1">INDIRECT("'Definition of Typical Day'!"&amp; ADDRESS($D288+29*(L$16-1),$E288))</f>
        <v>0</v>
      </c>
      <c r="M288" s="768" cm="1">
        <f t="array" aca="1" ref="M288" ca="1">INDIRECT("'Definition of Typical Day'!"&amp; ADDRESS($D288+29*(M$16-1),$E288))</f>
        <v>0</v>
      </c>
      <c r="N288" s="715">
        <f t="shared" si="326"/>
        <v>3</v>
      </c>
      <c r="O288" s="715">
        <f t="shared" ca="1" si="327"/>
        <v>3</v>
      </c>
      <c r="P288" s="715" cm="1">
        <f t="array" aca="1" ref="P288" ca="1">INDIRECT("'Definition of Typical Day'!"&amp; ADDRESS($D288+29*(P$16-1),$E288))</f>
        <v>0</v>
      </c>
      <c r="Q288" s="787">
        <f t="shared" ca="1" si="328"/>
        <v>3</v>
      </c>
      <c r="R288" s="792">
        <f t="shared" ca="1" si="329"/>
        <v>3</v>
      </c>
      <c r="S288" s="769">
        <f t="shared" si="330"/>
        <v>3</v>
      </c>
      <c r="T288" s="769">
        <f t="shared" ca="1" si="331"/>
        <v>-0.5</v>
      </c>
      <c r="U288" s="769">
        <f t="shared" ca="1" si="332"/>
        <v>2.262</v>
      </c>
      <c r="V288" s="769">
        <f t="shared" ca="1" si="333"/>
        <v>0</v>
      </c>
      <c r="W288" s="769">
        <f t="shared" ca="1" si="334"/>
        <v>4.7620000000000005</v>
      </c>
      <c r="X288" s="794">
        <f t="shared" si="335"/>
        <v>3</v>
      </c>
      <c r="Y288" s="769">
        <f t="shared" ca="1" si="336"/>
        <v>0.54772255750516607</v>
      </c>
      <c r="Z288" s="769">
        <f t="shared" ca="1" si="337"/>
        <v>0</v>
      </c>
      <c r="AA288" s="795">
        <f t="shared" ca="1" si="338"/>
        <v>0</v>
      </c>
      <c r="AB288" s="769">
        <f t="shared" ca="1" si="339"/>
        <v>0</v>
      </c>
      <c r="AC288" s="769">
        <f t="shared" ca="1" si="340"/>
        <v>0</v>
      </c>
      <c r="AD288" s="769">
        <f t="shared" ca="1" si="341"/>
        <v>0</v>
      </c>
      <c r="AE288" s="794">
        <f t="shared" ca="1" si="342"/>
        <v>0</v>
      </c>
      <c r="AF288" s="769">
        <f t="shared" ca="1" si="343"/>
        <v>0</v>
      </c>
      <c r="AG288" s="769">
        <f t="shared" ca="1" si="344"/>
        <v>0</v>
      </c>
      <c r="AH288" s="799">
        <f t="shared" ca="1" si="345"/>
        <v>0</v>
      </c>
      <c r="AI288" s="801">
        <f t="shared" ca="1" si="346"/>
        <v>1</v>
      </c>
      <c r="AJ288" s="794">
        <f t="shared" ca="1" si="347"/>
        <v>0</v>
      </c>
      <c r="AK288" s="769">
        <f t="shared" ca="1" si="348"/>
        <v>0</v>
      </c>
      <c r="AL288" s="769">
        <f t="shared" ca="1" si="349"/>
        <v>0</v>
      </c>
      <c r="AM288" s="804">
        <f t="shared" ca="1" si="299"/>
        <v>0</v>
      </c>
      <c r="AN288" s="795">
        <f t="shared" ca="1" si="300"/>
        <v>0</v>
      </c>
      <c r="AO288" s="251"/>
      <c r="AP288" s="770">
        <f t="shared" si="350"/>
        <v>0</v>
      </c>
      <c r="AQ288" s="771">
        <f t="shared" ca="1" si="351"/>
        <v>0</v>
      </c>
      <c r="AR288" s="771">
        <f t="shared" ca="1" si="352"/>
        <v>0</v>
      </c>
      <c r="AS288" s="772">
        <f t="shared" ca="1" si="353"/>
        <v>0</v>
      </c>
      <c r="AT288" s="231"/>
      <c r="AU288" s="770">
        <f>'Main Results - IRR DC Operator'!$F$16</f>
        <v>2</v>
      </c>
      <c r="AV288" s="773">
        <f>'Main Results - IRR DC Operator'!$F$15</f>
        <v>1</v>
      </c>
      <c r="AW288" s="771">
        <f t="shared" ca="1" si="354"/>
        <v>0</v>
      </c>
      <c r="AX288" s="772">
        <f t="shared" si="355"/>
        <v>0</v>
      </c>
      <c r="AY288" s="231"/>
      <c r="AZ288" s="770" cm="1">
        <f t="array" aca="1" ref="AZ288" ca="1">INDIRECT("'Definition of Typical Day'!"&amp; ADDRESS($D288+29*(AZ$16-1),$E288))+$AZ$17</f>
        <v>11</v>
      </c>
      <c r="BA288" s="771" cm="1">
        <f t="array" aca="1" ref="BA288" ca="1">INDIRECT("'Definition of Typical Day'!"&amp; ADDRESS($D288+29*(BA$16-1),$E288))+$BA$17</f>
        <v>11</v>
      </c>
      <c r="BB288" s="772" cm="1">
        <f t="array" aca="1" ref="BB288" ca="1">INDIRECT("'Definition of Typical Day'!"&amp;ADDRESS(BB$16,$E288))</f>
        <v>0</v>
      </c>
      <c r="BC288" s="776" cm="1">
        <f t="array" aca="1" ref="BC288" ca="1">INDIRECT("'Definition of Typical Day'!"&amp; ADDRESS($D288+29*(BC$16-1),$E288))</f>
        <v>0</v>
      </c>
      <c r="BD288" s="777" cm="1">
        <f t="array" aca="1" ref="BD288" ca="1">INDIRECT("'Definition of Typical Day'!"&amp; ADDRESS($D288+29*(BD$16-1),$E288))</f>
        <v>0</v>
      </c>
      <c r="BE288" s="776">
        <f t="shared" si="356"/>
        <v>0</v>
      </c>
      <c r="BF288" s="771">
        <f t="shared" ca="1" si="357"/>
        <v>0</v>
      </c>
      <c r="BG288" s="771">
        <f t="shared" ca="1" si="358"/>
        <v>0</v>
      </c>
      <c r="BH288" s="771">
        <f t="shared" ca="1" si="359"/>
        <v>0</v>
      </c>
      <c r="BI288" s="776">
        <f t="shared" ca="1" si="360"/>
        <v>0</v>
      </c>
      <c r="BJ288" s="776">
        <f t="shared" ca="1" si="361"/>
        <v>0</v>
      </c>
      <c r="BK288" s="776">
        <f t="shared" ca="1" si="362"/>
        <v>0</v>
      </c>
      <c r="BL288" s="776">
        <f t="shared" ca="1" si="363"/>
        <v>0</v>
      </c>
      <c r="BM288" s="135"/>
      <c r="BN288" s="776">
        <f t="shared" ca="1" si="364"/>
        <v>0</v>
      </c>
      <c r="BO288" s="778">
        <f t="shared" ca="1" si="301"/>
        <v>0</v>
      </c>
      <c r="BP288" s="770">
        <f t="shared" ca="1" si="302"/>
        <v>0</v>
      </c>
      <c r="BQ288" s="771">
        <f t="shared" ca="1" si="303"/>
        <v>0</v>
      </c>
      <c r="BR288" s="771">
        <f t="shared" ca="1" si="304"/>
        <v>0</v>
      </c>
      <c r="BS288" s="776">
        <f t="shared" ca="1" si="365"/>
        <v>0</v>
      </c>
      <c r="BT288" s="776">
        <f t="shared" ca="1" si="305"/>
        <v>0</v>
      </c>
      <c r="BU288" s="783">
        <f t="shared" ca="1" si="306"/>
        <v>0</v>
      </c>
      <c r="BV288" s="783">
        <f t="shared" ca="1" si="307"/>
        <v>0</v>
      </c>
      <c r="BW288" s="1019">
        <f t="shared" ca="1" si="366"/>
        <v>0</v>
      </c>
      <c r="BX288" s="771" cm="1">
        <f t="array" aca="1" ref="BX288" ca="1">INDIRECT("'Definition of Typical Day'!"&amp; ADDRESS($D288+29*(BX$16-1),$E288))</f>
        <v>0</v>
      </c>
      <c r="BY288" s="771">
        <f t="shared" ca="1" si="367"/>
        <v>0</v>
      </c>
      <c r="BZ288" s="781">
        <f t="shared" ca="1" si="308"/>
        <v>0</v>
      </c>
      <c r="CA288" s="781">
        <f t="shared" ca="1" si="309"/>
        <v>0</v>
      </c>
      <c r="CB288" s="776">
        <f t="shared" ca="1" si="310"/>
        <v>0</v>
      </c>
      <c r="CC288" s="782">
        <f t="shared" si="311"/>
        <v>12</v>
      </c>
      <c r="CD288" s="782">
        <f t="shared" si="312"/>
        <v>4</v>
      </c>
      <c r="CE288" s="784" cm="1">
        <f t="array" aca="1" ref="CE288" ca="1">INDIRECT("'Definition of Typical Day'!"&amp;ADDRESS(CE$16,$E288))</f>
        <v>12</v>
      </c>
      <c r="CF288" s="232"/>
      <c r="CG288" s="232"/>
      <c r="CH288" s="776">
        <f t="shared" ca="1" si="313"/>
        <v>0</v>
      </c>
      <c r="CI288" s="806">
        <f t="shared" ca="1" si="314"/>
        <v>0</v>
      </c>
      <c r="CJ288" s="770">
        <f t="shared" ca="1" si="315"/>
        <v>0</v>
      </c>
      <c r="CK288" s="771">
        <f t="shared" ca="1" si="316"/>
        <v>0</v>
      </c>
      <c r="CL288" s="771">
        <f t="shared" ca="1" si="317"/>
        <v>0</v>
      </c>
      <c r="CM288" s="772">
        <f t="shared" ca="1" si="318"/>
        <v>0</v>
      </c>
      <c r="CN288" s="135"/>
      <c r="CO288" s="770">
        <f t="shared" ca="1" si="368"/>
        <v>1.05</v>
      </c>
      <c r="CP288" s="771">
        <f t="shared" ca="1" si="319"/>
        <v>0.02</v>
      </c>
      <c r="CQ288" s="771">
        <f t="shared" ca="1" si="320"/>
        <v>-2.5000000000000001E-2</v>
      </c>
      <c r="CR288" s="771">
        <f t="shared" ca="1" si="321"/>
        <v>0.95</v>
      </c>
      <c r="CS288" s="771">
        <f t="shared" ca="1" si="322"/>
        <v>0.03</v>
      </c>
      <c r="CT288" s="772">
        <f t="shared" ca="1" si="323"/>
        <v>0.02</v>
      </c>
      <c r="CU288" s="135"/>
      <c r="CV288" s="135"/>
      <c r="CW288" s="135"/>
      <c r="CX288" s="135"/>
      <c r="CY288" s="135"/>
      <c r="CZ288" s="135"/>
      <c r="DA288" s="135"/>
      <c r="DB288" s="135"/>
      <c r="DC288" s="135"/>
      <c r="DD288" s="135"/>
      <c r="DE288" s="135"/>
      <c r="DF288" s="135"/>
      <c r="DG288" s="135"/>
      <c r="DH288" s="135"/>
      <c r="DI288" s="135"/>
      <c r="DJ288" s="135"/>
      <c r="DK288" s="135"/>
      <c r="DL288" s="135"/>
      <c r="DX288" s="135"/>
      <c r="DY288" s="135"/>
      <c r="DZ288" s="135"/>
      <c r="EA288" s="135"/>
      <c r="EB288" s="135"/>
      <c r="EC288" s="135"/>
      <c r="ED288" s="135"/>
      <c r="EE288" s="135"/>
      <c r="EF288" s="135"/>
      <c r="EG288" s="135"/>
      <c r="EH288" s="135"/>
      <c r="EI288" s="135"/>
      <c r="EJ288" s="135"/>
      <c r="EK288" s="135"/>
      <c r="EL288" s="135"/>
      <c r="EM288" s="135"/>
      <c r="EN288" s="135"/>
      <c r="EO288" s="135"/>
      <c r="EP288" s="135"/>
      <c r="EQ288" s="135"/>
      <c r="ER288" s="135"/>
      <c r="ES288" s="135"/>
      <c r="ET288" s="135"/>
      <c r="EU288" s="135"/>
      <c r="EV288" s="135"/>
      <c r="EW288" s="135"/>
      <c r="EX288" s="135"/>
      <c r="EY288" s="135"/>
      <c r="EZ288" s="135"/>
      <c r="FA288" s="135"/>
      <c r="FB288" s="135"/>
      <c r="FC288" s="135"/>
      <c r="FD288" s="135"/>
      <c r="FE288" s="135"/>
      <c r="FF288" s="135"/>
      <c r="FG288" s="135"/>
    </row>
    <row r="289" spans="1:163" s="57" customFormat="1" ht="11.25" outlineLevel="1">
      <c r="A289" s="765">
        <f t="shared" si="296"/>
        <v>12</v>
      </c>
      <c r="B289" s="715" cm="1">
        <f t="array" aca="1" ref="B289" ca="1">INDIRECT("'Definition of Typical Day'!"&amp;ADDRESS(B$16,$E289))</f>
        <v>12</v>
      </c>
      <c r="C289" s="766">
        <f t="shared" si="297"/>
        <v>5</v>
      </c>
      <c r="D289" s="715">
        <f t="shared" si="297"/>
        <v>39</v>
      </c>
      <c r="E289" s="715">
        <f t="shared" si="298"/>
        <v>16</v>
      </c>
      <c r="F289" s="767" cm="1">
        <f t="array" aca="1" ref="F289" ca="1">INDIRECT("'Definition of Typical Day'!D"&amp;D289)</f>
        <v>5</v>
      </c>
      <c r="G289" s="767" cm="1">
        <f t="array" aca="1" ref="G289" ca="1">INDIRECT("'Definition of Typical Day'!"&amp;ADDRESS(13,E289))</f>
        <v>12</v>
      </c>
      <c r="H289" s="768" cm="1">
        <f t="array" aca="1" ref="H289" ca="1">INDIRECT("'Definition of Typical Day'!"&amp; ADDRESS($D289+28*(H$16-1),$E289))</f>
        <v>0</v>
      </c>
      <c r="I289" s="715" cm="1">
        <f t="array" aca="1" ref="I289" ca="1">INDIRECT("'Definition of Typical Day'!"&amp; ADDRESS($D289+29*(I$16-1),$E289))</f>
        <v>0</v>
      </c>
      <c r="J289" s="715">
        <f t="shared" ca="1" si="324"/>
        <v>0</v>
      </c>
      <c r="K289" s="785">
        <f t="shared" si="325"/>
        <v>28</v>
      </c>
      <c r="L289" s="786" cm="1">
        <f t="array" aca="1" ref="L289" ca="1">INDIRECT("'Definition of Typical Day'!"&amp; ADDRESS($D289+29*(L$16-1),$E289))</f>
        <v>0</v>
      </c>
      <c r="M289" s="768" cm="1">
        <f t="array" aca="1" ref="M289" ca="1">INDIRECT("'Definition of Typical Day'!"&amp; ADDRESS($D289+29*(M$16-1),$E289))</f>
        <v>0</v>
      </c>
      <c r="N289" s="715">
        <f t="shared" si="326"/>
        <v>3</v>
      </c>
      <c r="O289" s="715">
        <f t="shared" ca="1" si="327"/>
        <v>3</v>
      </c>
      <c r="P289" s="715" cm="1">
        <f t="array" aca="1" ref="P289" ca="1">INDIRECT("'Definition of Typical Day'!"&amp; ADDRESS($D289+29*(P$16-1),$E289))</f>
        <v>0</v>
      </c>
      <c r="Q289" s="787">
        <f t="shared" ca="1" si="328"/>
        <v>3</v>
      </c>
      <c r="R289" s="792">
        <f t="shared" ca="1" si="329"/>
        <v>3</v>
      </c>
      <c r="S289" s="769">
        <f t="shared" si="330"/>
        <v>3</v>
      </c>
      <c r="T289" s="769">
        <f t="shared" ca="1" si="331"/>
        <v>-0.5</v>
      </c>
      <c r="U289" s="769">
        <f t="shared" ca="1" si="332"/>
        <v>2.262</v>
      </c>
      <c r="V289" s="769">
        <f t="shared" ca="1" si="333"/>
        <v>0</v>
      </c>
      <c r="W289" s="769">
        <f t="shared" ca="1" si="334"/>
        <v>4.7620000000000005</v>
      </c>
      <c r="X289" s="794">
        <f t="shared" si="335"/>
        <v>3</v>
      </c>
      <c r="Y289" s="769">
        <f t="shared" ca="1" si="336"/>
        <v>0.54772255750516607</v>
      </c>
      <c r="Z289" s="769">
        <f t="shared" ca="1" si="337"/>
        <v>0</v>
      </c>
      <c r="AA289" s="795">
        <f t="shared" ca="1" si="338"/>
        <v>0</v>
      </c>
      <c r="AB289" s="769">
        <f t="shared" ca="1" si="339"/>
        <v>0</v>
      </c>
      <c r="AC289" s="769">
        <f t="shared" ca="1" si="340"/>
        <v>0</v>
      </c>
      <c r="AD289" s="769">
        <f t="shared" ca="1" si="341"/>
        <v>0</v>
      </c>
      <c r="AE289" s="794">
        <f t="shared" ca="1" si="342"/>
        <v>0</v>
      </c>
      <c r="AF289" s="769">
        <f t="shared" ca="1" si="343"/>
        <v>0</v>
      </c>
      <c r="AG289" s="769">
        <f t="shared" ca="1" si="344"/>
        <v>0</v>
      </c>
      <c r="AH289" s="799">
        <f t="shared" ca="1" si="345"/>
        <v>0</v>
      </c>
      <c r="AI289" s="801">
        <f t="shared" ca="1" si="346"/>
        <v>1</v>
      </c>
      <c r="AJ289" s="794">
        <f t="shared" ca="1" si="347"/>
        <v>0</v>
      </c>
      <c r="AK289" s="769">
        <f t="shared" ca="1" si="348"/>
        <v>0</v>
      </c>
      <c r="AL289" s="769">
        <f t="shared" ca="1" si="349"/>
        <v>0</v>
      </c>
      <c r="AM289" s="804">
        <f t="shared" ca="1" si="299"/>
        <v>0</v>
      </c>
      <c r="AN289" s="795">
        <f t="shared" ca="1" si="300"/>
        <v>0</v>
      </c>
      <c r="AO289" s="251"/>
      <c r="AP289" s="770">
        <f t="shared" si="350"/>
        <v>0</v>
      </c>
      <c r="AQ289" s="771">
        <f t="shared" ca="1" si="351"/>
        <v>0</v>
      </c>
      <c r="AR289" s="771">
        <f t="shared" ca="1" si="352"/>
        <v>0</v>
      </c>
      <c r="AS289" s="772">
        <f t="shared" ca="1" si="353"/>
        <v>0</v>
      </c>
      <c r="AT289" s="231"/>
      <c r="AU289" s="770">
        <f>'Main Results - IRR DC Operator'!$F$16</f>
        <v>2</v>
      </c>
      <c r="AV289" s="773">
        <f>'Main Results - IRR DC Operator'!$F$15</f>
        <v>1</v>
      </c>
      <c r="AW289" s="771">
        <f t="shared" ca="1" si="354"/>
        <v>0</v>
      </c>
      <c r="AX289" s="772">
        <f t="shared" si="355"/>
        <v>0</v>
      </c>
      <c r="AY289" s="231"/>
      <c r="AZ289" s="770" cm="1">
        <f t="array" aca="1" ref="AZ289" ca="1">INDIRECT("'Definition of Typical Day'!"&amp; ADDRESS($D289+29*(AZ$16-1),$E289))+$AZ$17</f>
        <v>11</v>
      </c>
      <c r="BA289" s="771" cm="1">
        <f t="array" aca="1" ref="BA289" ca="1">INDIRECT("'Definition of Typical Day'!"&amp; ADDRESS($D289+29*(BA$16-1),$E289))+$BA$17</f>
        <v>11</v>
      </c>
      <c r="BB289" s="772" cm="1">
        <f t="array" aca="1" ref="BB289" ca="1">INDIRECT("'Definition of Typical Day'!"&amp;ADDRESS(BB$16,$E289))</f>
        <v>0</v>
      </c>
      <c r="BC289" s="776" cm="1">
        <f t="array" aca="1" ref="BC289" ca="1">INDIRECT("'Definition of Typical Day'!"&amp; ADDRESS($D289+29*(BC$16-1),$E289))</f>
        <v>0</v>
      </c>
      <c r="BD289" s="777" cm="1">
        <f t="array" aca="1" ref="BD289" ca="1">INDIRECT("'Definition of Typical Day'!"&amp; ADDRESS($D289+29*(BD$16-1),$E289))</f>
        <v>0</v>
      </c>
      <c r="BE289" s="776">
        <f t="shared" si="356"/>
        <v>0</v>
      </c>
      <c r="BF289" s="771">
        <f t="shared" ca="1" si="357"/>
        <v>0</v>
      </c>
      <c r="BG289" s="771">
        <f t="shared" ca="1" si="358"/>
        <v>0</v>
      </c>
      <c r="BH289" s="771">
        <f t="shared" ca="1" si="359"/>
        <v>0</v>
      </c>
      <c r="BI289" s="776">
        <f t="shared" ca="1" si="360"/>
        <v>0</v>
      </c>
      <c r="BJ289" s="776">
        <f t="shared" ca="1" si="361"/>
        <v>0</v>
      </c>
      <c r="BK289" s="776">
        <f t="shared" ca="1" si="362"/>
        <v>0</v>
      </c>
      <c r="BL289" s="776">
        <f t="shared" ca="1" si="363"/>
        <v>0</v>
      </c>
      <c r="BM289" s="135"/>
      <c r="BN289" s="776">
        <f t="shared" ca="1" si="364"/>
        <v>0</v>
      </c>
      <c r="BO289" s="778">
        <f t="shared" ca="1" si="301"/>
        <v>0</v>
      </c>
      <c r="BP289" s="770">
        <f t="shared" ca="1" si="302"/>
        <v>0</v>
      </c>
      <c r="BQ289" s="771">
        <f t="shared" ca="1" si="303"/>
        <v>0</v>
      </c>
      <c r="BR289" s="771">
        <f t="shared" ca="1" si="304"/>
        <v>0</v>
      </c>
      <c r="BS289" s="776">
        <f t="shared" ca="1" si="365"/>
        <v>0</v>
      </c>
      <c r="BT289" s="776">
        <f t="shared" ca="1" si="305"/>
        <v>0</v>
      </c>
      <c r="BU289" s="783">
        <f t="shared" ca="1" si="306"/>
        <v>0</v>
      </c>
      <c r="BV289" s="783">
        <f t="shared" ca="1" si="307"/>
        <v>0</v>
      </c>
      <c r="BW289" s="1019">
        <f t="shared" ca="1" si="366"/>
        <v>0</v>
      </c>
      <c r="BX289" s="771" cm="1">
        <f t="array" aca="1" ref="BX289" ca="1">INDIRECT("'Definition of Typical Day'!"&amp; ADDRESS($D289+29*(BX$16-1),$E289))</f>
        <v>0</v>
      </c>
      <c r="BY289" s="771">
        <f t="shared" ca="1" si="367"/>
        <v>0</v>
      </c>
      <c r="BZ289" s="781">
        <f t="shared" ca="1" si="308"/>
        <v>0</v>
      </c>
      <c r="CA289" s="781">
        <f t="shared" ca="1" si="309"/>
        <v>0</v>
      </c>
      <c r="CB289" s="776">
        <f t="shared" ca="1" si="310"/>
        <v>0</v>
      </c>
      <c r="CC289" s="782">
        <f t="shared" si="311"/>
        <v>12</v>
      </c>
      <c r="CD289" s="782">
        <f t="shared" si="312"/>
        <v>5</v>
      </c>
      <c r="CE289" s="784" cm="1">
        <f t="array" aca="1" ref="CE289" ca="1">INDIRECT("'Definition of Typical Day'!"&amp;ADDRESS(CE$16,$E289))</f>
        <v>12</v>
      </c>
      <c r="CF289" s="232"/>
      <c r="CG289" s="232"/>
      <c r="CH289" s="776">
        <f t="shared" ca="1" si="313"/>
        <v>0</v>
      </c>
      <c r="CI289" s="806">
        <f t="shared" ca="1" si="314"/>
        <v>0</v>
      </c>
      <c r="CJ289" s="770">
        <f t="shared" ca="1" si="315"/>
        <v>0</v>
      </c>
      <c r="CK289" s="771">
        <f t="shared" ca="1" si="316"/>
        <v>0</v>
      </c>
      <c r="CL289" s="771">
        <f t="shared" ca="1" si="317"/>
        <v>0</v>
      </c>
      <c r="CM289" s="772">
        <f t="shared" ca="1" si="318"/>
        <v>0</v>
      </c>
      <c r="CN289" s="135"/>
      <c r="CO289" s="770">
        <f t="shared" ca="1" si="368"/>
        <v>1.05</v>
      </c>
      <c r="CP289" s="771">
        <f t="shared" ca="1" si="319"/>
        <v>0.02</v>
      </c>
      <c r="CQ289" s="771">
        <f t="shared" ca="1" si="320"/>
        <v>-2.5000000000000001E-2</v>
      </c>
      <c r="CR289" s="771">
        <f t="shared" ca="1" si="321"/>
        <v>0.95</v>
      </c>
      <c r="CS289" s="771">
        <f t="shared" ca="1" si="322"/>
        <v>0.03</v>
      </c>
      <c r="CT289" s="772">
        <f t="shared" ca="1" si="323"/>
        <v>0.02</v>
      </c>
      <c r="CU289" s="135"/>
      <c r="CV289" s="135"/>
      <c r="CW289" s="135"/>
      <c r="CX289" s="135"/>
      <c r="CY289" s="135"/>
      <c r="CZ289" s="135"/>
      <c r="DA289" s="135"/>
      <c r="DB289" s="135"/>
      <c r="DC289" s="135"/>
      <c r="DD289" s="135"/>
      <c r="DE289" s="135"/>
      <c r="DF289" s="135"/>
      <c r="DG289" s="135"/>
      <c r="DH289" s="135"/>
      <c r="DI289" s="135"/>
      <c r="DJ289" s="135"/>
      <c r="DK289" s="135"/>
      <c r="DL289" s="135"/>
      <c r="DX289" s="135"/>
      <c r="DY289" s="135"/>
      <c r="DZ289" s="135"/>
      <c r="EA289" s="135"/>
      <c r="EB289" s="135"/>
      <c r="EC289" s="135"/>
      <c r="ED289" s="135"/>
      <c r="EE289" s="135"/>
      <c r="EF289" s="135"/>
      <c r="EG289" s="135"/>
      <c r="EH289" s="135"/>
      <c r="EI289" s="135"/>
      <c r="EJ289" s="135"/>
      <c r="EK289" s="135"/>
      <c r="EL289" s="135"/>
      <c r="EM289" s="135"/>
      <c r="EN289" s="135"/>
      <c r="EO289" s="135"/>
      <c r="EP289" s="135"/>
      <c r="EQ289" s="135"/>
      <c r="ER289" s="135"/>
      <c r="ES289" s="135"/>
      <c r="ET289" s="135"/>
      <c r="EU289" s="135"/>
      <c r="EV289" s="135"/>
      <c r="EW289" s="135"/>
      <c r="EX289" s="135"/>
      <c r="EY289" s="135"/>
      <c r="EZ289" s="135"/>
      <c r="FA289" s="135"/>
      <c r="FB289" s="135"/>
      <c r="FC289" s="135"/>
      <c r="FD289" s="135"/>
      <c r="FE289" s="135"/>
      <c r="FF289" s="135"/>
      <c r="FG289" s="135"/>
    </row>
    <row r="290" spans="1:163" s="57" customFormat="1" ht="11.25" outlineLevel="1">
      <c r="A290" s="765">
        <f t="shared" si="296"/>
        <v>12</v>
      </c>
      <c r="B290" s="715" cm="1">
        <f t="array" aca="1" ref="B290" ca="1">INDIRECT("'Definition of Typical Day'!"&amp;ADDRESS(B$16,$E290))</f>
        <v>12</v>
      </c>
      <c r="C290" s="766">
        <f t="shared" si="297"/>
        <v>6</v>
      </c>
      <c r="D290" s="715">
        <f t="shared" si="297"/>
        <v>40</v>
      </c>
      <c r="E290" s="715">
        <f t="shared" si="298"/>
        <v>16</v>
      </c>
      <c r="F290" s="767" cm="1">
        <f t="array" aca="1" ref="F290" ca="1">INDIRECT("'Definition of Typical Day'!D"&amp;D290)</f>
        <v>6</v>
      </c>
      <c r="G290" s="767" cm="1">
        <f t="array" aca="1" ref="G290" ca="1">INDIRECT("'Definition of Typical Day'!"&amp;ADDRESS(13,E290))</f>
        <v>12</v>
      </c>
      <c r="H290" s="768" cm="1">
        <f t="array" aca="1" ref="H290" ca="1">INDIRECT("'Definition of Typical Day'!"&amp; ADDRESS($D290+28*(H$16-1),$E290))</f>
        <v>0</v>
      </c>
      <c r="I290" s="715" cm="1">
        <f t="array" aca="1" ref="I290" ca="1">INDIRECT("'Definition of Typical Day'!"&amp; ADDRESS($D290+29*(I$16-1),$E290))</f>
        <v>0</v>
      </c>
      <c r="J290" s="715">
        <f t="shared" ca="1" si="324"/>
        <v>0</v>
      </c>
      <c r="K290" s="785">
        <f t="shared" si="325"/>
        <v>28</v>
      </c>
      <c r="L290" s="786" cm="1">
        <f t="array" aca="1" ref="L290" ca="1">INDIRECT("'Definition of Typical Day'!"&amp; ADDRESS($D290+29*(L$16-1),$E290))</f>
        <v>0</v>
      </c>
      <c r="M290" s="768" cm="1">
        <f t="array" aca="1" ref="M290" ca="1">INDIRECT("'Definition of Typical Day'!"&amp; ADDRESS($D290+29*(M$16-1),$E290))</f>
        <v>0</v>
      </c>
      <c r="N290" s="715">
        <f t="shared" si="326"/>
        <v>3</v>
      </c>
      <c r="O290" s="715">
        <f t="shared" ca="1" si="327"/>
        <v>3</v>
      </c>
      <c r="P290" s="715" cm="1">
        <f t="array" aca="1" ref="P290" ca="1">INDIRECT("'Definition of Typical Day'!"&amp; ADDRESS($D290+29*(P$16-1),$E290))</f>
        <v>0</v>
      </c>
      <c r="Q290" s="787">
        <f t="shared" ca="1" si="328"/>
        <v>3</v>
      </c>
      <c r="R290" s="792">
        <f t="shared" ca="1" si="329"/>
        <v>3</v>
      </c>
      <c r="S290" s="769">
        <f t="shared" si="330"/>
        <v>3</v>
      </c>
      <c r="T290" s="769">
        <f t="shared" ca="1" si="331"/>
        <v>-0.5</v>
      </c>
      <c r="U290" s="769">
        <f t="shared" ca="1" si="332"/>
        <v>2.262</v>
      </c>
      <c r="V290" s="769">
        <f t="shared" ca="1" si="333"/>
        <v>0</v>
      </c>
      <c r="W290" s="769">
        <f t="shared" ca="1" si="334"/>
        <v>4.7620000000000005</v>
      </c>
      <c r="X290" s="794">
        <f t="shared" si="335"/>
        <v>3</v>
      </c>
      <c r="Y290" s="769">
        <f t="shared" ca="1" si="336"/>
        <v>0.54772255750516607</v>
      </c>
      <c r="Z290" s="769">
        <f t="shared" ca="1" si="337"/>
        <v>0</v>
      </c>
      <c r="AA290" s="795">
        <f t="shared" ca="1" si="338"/>
        <v>0</v>
      </c>
      <c r="AB290" s="769">
        <f t="shared" ca="1" si="339"/>
        <v>0</v>
      </c>
      <c r="AC290" s="769">
        <f t="shared" ca="1" si="340"/>
        <v>0</v>
      </c>
      <c r="AD290" s="769">
        <f t="shared" ca="1" si="341"/>
        <v>0</v>
      </c>
      <c r="AE290" s="794">
        <f t="shared" ca="1" si="342"/>
        <v>0</v>
      </c>
      <c r="AF290" s="769">
        <f t="shared" ca="1" si="343"/>
        <v>0</v>
      </c>
      <c r="AG290" s="769">
        <f t="shared" ca="1" si="344"/>
        <v>0</v>
      </c>
      <c r="AH290" s="799">
        <f t="shared" ca="1" si="345"/>
        <v>0</v>
      </c>
      <c r="AI290" s="801">
        <f t="shared" ca="1" si="346"/>
        <v>1</v>
      </c>
      <c r="AJ290" s="794">
        <f t="shared" ca="1" si="347"/>
        <v>0</v>
      </c>
      <c r="AK290" s="769">
        <f t="shared" ca="1" si="348"/>
        <v>0</v>
      </c>
      <c r="AL290" s="769">
        <f t="shared" ca="1" si="349"/>
        <v>0</v>
      </c>
      <c r="AM290" s="804">
        <f t="shared" ca="1" si="299"/>
        <v>0</v>
      </c>
      <c r="AN290" s="795">
        <f t="shared" ca="1" si="300"/>
        <v>0</v>
      </c>
      <c r="AO290" s="251"/>
      <c r="AP290" s="770">
        <f t="shared" si="350"/>
        <v>0</v>
      </c>
      <c r="AQ290" s="771">
        <f t="shared" ca="1" si="351"/>
        <v>0</v>
      </c>
      <c r="AR290" s="771">
        <f t="shared" ca="1" si="352"/>
        <v>0</v>
      </c>
      <c r="AS290" s="772">
        <f t="shared" ca="1" si="353"/>
        <v>0</v>
      </c>
      <c r="AT290" s="231"/>
      <c r="AU290" s="770">
        <f>'Main Results - IRR DC Operator'!$F$16</f>
        <v>2</v>
      </c>
      <c r="AV290" s="773">
        <f>'Main Results - IRR DC Operator'!$F$15</f>
        <v>1</v>
      </c>
      <c r="AW290" s="771">
        <f t="shared" ca="1" si="354"/>
        <v>0</v>
      </c>
      <c r="AX290" s="772">
        <f t="shared" si="355"/>
        <v>0</v>
      </c>
      <c r="AY290" s="231"/>
      <c r="AZ290" s="770" cm="1">
        <f t="array" aca="1" ref="AZ290" ca="1">INDIRECT("'Definition of Typical Day'!"&amp; ADDRESS($D290+29*(AZ$16-1),$E290))+$AZ$17</f>
        <v>11</v>
      </c>
      <c r="BA290" s="771" cm="1">
        <f t="array" aca="1" ref="BA290" ca="1">INDIRECT("'Definition of Typical Day'!"&amp; ADDRESS($D290+29*(BA$16-1),$E290))+$BA$17</f>
        <v>11</v>
      </c>
      <c r="BB290" s="772" cm="1">
        <f t="array" aca="1" ref="BB290" ca="1">INDIRECT("'Definition of Typical Day'!"&amp;ADDRESS(BB$16,$E290))</f>
        <v>0</v>
      </c>
      <c r="BC290" s="776" cm="1">
        <f t="array" aca="1" ref="BC290" ca="1">INDIRECT("'Definition of Typical Day'!"&amp; ADDRESS($D290+29*(BC$16-1),$E290))</f>
        <v>0</v>
      </c>
      <c r="BD290" s="777" cm="1">
        <f t="array" aca="1" ref="BD290" ca="1">INDIRECT("'Definition of Typical Day'!"&amp; ADDRESS($D290+29*(BD$16-1),$E290))</f>
        <v>0</v>
      </c>
      <c r="BE290" s="776">
        <f t="shared" si="356"/>
        <v>0</v>
      </c>
      <c r="BF290" s="771">
        <f t="shared" ca="1" si="357"/>
        <v>0</v>
      </c>
      <c r="BG290" s="771">
        <f t="shared" ca="1" si="358"/>
        <v>0</v>
      </c>
      <c r="BH290" s="771">
        <f t="shared" ca="1" si="359"/>
        <v>0</v>
      </c>
      <c r="BI290" s="776">
        <f t="shared" ca="1" si="360"/>
        <v>0</v>
      </c>
      <c r="BJ290" s="776">
        <f t="shared" ca="1" si="361"/>
        <v>0</v>
      </c>
      <c r="BK290" s="776">
        <f t="shared" ca="1" si="362"/>
        <v>0</v>
      </c>
      <c r="BL290" s="776">
        <f t="shared" ca="1" si="363"/>
        <v>0</v>
      </c>
      <c r="BM290" s="135"/>
      <c r="BN290" s="776">
        <f t="shared" ca="1" si="364"/>
        <v>0</v>
      </c>
      <c r="BO290" s="778">
        <f t="shared" ca="1" si="301"/>
        <v>0</v>
      </c>
      <c r="BP290" s="770">
        <f t="shared" ca="1" si="302"/>
        <v>0</v>
      </c>
      <c r="BQ290" s="771">
        <f t="shared" ca="1" si="303"/>
        <v>0</v>
      </c>
      <c r="BR290" s="771">
        <f t="shared" ca="1" si="304"/>
        <v>0</v>
      </c>
      <c r="BS290" s="776">
        <f t="shared" ca="1" si="365"/>
        <v>0</v>
      </c>
      <c r="BT290" s="776">
        <f t="shared" ca="1" si="305"/>
        <v>0</v>
      </c>
      <c r="BU290" s="783">
        <f t="shared" ca="1" si="306"/>
        <v>0</v>
      </c>
      <c r="BV290" s="783">
        <f t="shared" ca="1" si="307"/>
        <v>0</v>
      </c>
      <c r="BW290" s="1019">
        <f t="shared" ca="1" si="366"/>
        <v>0</v>
      </c>
      <c r="BX290" s="771" cm="1">
        <f t="array" aca="1" ref="BX290" ca="1">INDIRECT("'Definition of Typical Day'!"&amp; ADDRESS($D290+29*(BX$16-1),$E290))</f>
        <v>0</v>
      </c>
      <c r="BY290" s="771">
        <f t="shared" ca="1" si="367"/>
        <v>0</v>
      </c>
      <c r="BZ290" s="781">
        <f t="shared" ca="1" si="308"/>
        <v>0</v>
      </c>
      <c r="CA290" s="781">
        <f t="shared" ca="1" si="309"/>
        <v>0</v>
      </c>
      <c r="CB290" s="776">
        <f t="shared" ca="1" si="310"/>
        <v>0</v>
      </c>
      <c r="CC290" s="782">
        <f t="shared" si="311"/>
        <v>12</v>
      </c>
      <c r="CD290" s="782">
        <f t="shared" si="312"/>
        <v>6</v>
      </c>
      <c r="CE290" s="784" cm="1">
        <f t="array" aca="1" ref="CE290" ca="1">INDIRECT("'Definition of Typical Day'!"&amp;ADDRESS(CE$16,$E290))</f>
        <v>12</v>
      </c>
      <c r="CF290" s="232"/>
      <c r="CG290" s="232"/>
      <c r="CH290" s="776">
        <f t="shared" ca="1" si="313"/>
        <v>0</v>
      </c>
      <c r="CI290" s="806">
        <f t="shared" ca="1" si="314"/>
        <v>0</v>
      </c>
      <c r="CJ290" s="770">
        <f t="shared" ca="1" si="315"/>
        <v>0</v>
      </c>
      <c r="CK290" s="771">
        <f t="shared" ca="1" si="316"/>
        <v>0</v>
      </c>
      <c r="CL290" s="771">
        <f t="shared" ca="1" si="317"/>
        <v>0</v>
      </c>
      <c r="CM290" s="772">
        <f t="shared" ca="1" si="318"/>
        <v>0</v>
      </c>
      <c r="CN290" s="135"/>
      <c r="CO290" s="770">
        <f t="shared" ca="1" si="368"/>
        <v>1.05</v>
      </c>
      <c r="CP290" s="771">
        <f t="shared" ca="1" si="319"/>
        <v>0.02</v>
      </c>
      <c r="CQ290" s="771">
        <f t="shared" ca="1" si="320"/>
        <v>-2.5000000000000001E-2</v>
      </c>
      <c r="CR290" s="771">
        <f t="shared" ca="1" si="321"/>
        <v>0.95</v>
      </c>
      <c r="CS290" s="771">
        <f t="shared" ca="1" si="322"/>
        <v>0.03</v>
      </c>
      <c r="CT290" s="772">
        <f t="shared" ca="1" si="323"/>
        <v>0.02</v>
      </c>
      <c r="CU290" s="135"/>
      <c r="CV290" s="135"/>
      <c r="CW290" s="135"/>
      <c r="CX290" s="135"/>
      <c r="CY290" s="135"/>
      <c r="CZ290" s="135"/>
      <c r="DA290" s="135"/>
      <c r="DB290" s="135"/>
      <c r="DC290" s="135"/>
      <c r="DD290" s="135"/>
      <c r="DE290" s="135"/>
      <c r="DF290" s="135"/>
      <c r="DG290" s="135"/>
      <c r="DH290" s="135"/>
      <c r="DI290" s="135"/>
      <c r="DJ290" s="135"/>
      <c r="DK290" s="135"/>
      <c r="DL290" s="135"/>
      <c r="DX290" s="135"/>
      <c r="DY290" s="135"/>
      <c r="DZ290" s="135"/>
      <c r="EA290" s="135"/>
      <c r="EB290" s="135"/>
      <c r="EC290" s="135"/>
      <c r="ED290" s="135"/>
      <c r="EE290" s="135"/>
      <c r="EF290" s="135"/>
      <c r="EG290" s="135"/>
      <c r="EH290" s="135"/>
      <c r="EI290" s="135"/>
      <c r="EJ290" s="135"/>
      <c r="EK290" s="135"/>
      <c r="EL290" s="135"/>
      <c r="EM290" s="135"/>
      <c r="EN290" s="135"/>
      <c r="EO290" s="135"/>
      <c r="EP290" s="135"/>
      <c r="EQ290" s="135"/>
      <c r="ER290" s="135"/>
      <c r="ES290" s="135"/>
      <c r="ET290" s="135"/>
      <c r="EU290" s="135"/>
      <c r="EV290" s="135"/>
      <c r="EW290" s="135"/>
      <c r="EX290" s="135"/>
      <c r="EY290" s="135"/>
      <c r="EZ290" s="135"/>
      <c r="FA290" s="135"/>
      <c r="FB290" s="135"/>
      <c r="FC290" s="135"/>
      <c r="FD290" s="135"/>
      <c r="FE290" s="135"/>
      <c r="FF290" s="135"/>
      <c r="FG290" s="135"/>
    </row>
    <row r="291" spans="1:163" s="57" customFormat="1" ht="11.25" outlineLevel="1">
      <c r="A291" s="765">
        <f t="shared" si="296"/>
        <v>12</v>
      </c>
      <c r="B291" s="715" cm="1">
        <f t="array" aca="1" ref="B291" ca="1">INDIRECT("'Definition of Typical Day'!"&amp;ADDRESS(B$16,$E291))</f>
        <v>12</v>
      </c>
      <c r="C291" s="766">
        <f t="shared" si="297"/>
        <v>7</v>
      </c>
      <c r="D291" s="715">
        <f t="shared" si="297"/>
        <v>41</v>
      </c>
      <c r="E291" s="715">
        <f t="shared" si="298"/>
        <v>16</v>
      </c>
      <c r="F291" s="767" cm="1">
        <f t="array" aca="1" ref="F291" ca="1">INDIRECT("'Definition of Typical Day'!D"&amp;D291)</f>
        <v>7</v>
      </c>
      <c r="G291" s="767" cm="1">
        <f t="array" aca="1" ref="G291" ca="1">INDIRECT("'Definition of Typical Day'!"&amp;ADDRESS(13,E291))</f>
        <v>12</v>
      </c>
      <c r="H291" s="768" cm="1">
        <f t="array" aca="1" ref="H291" ca="1">INDIRECT("'Definition of Typical Day'!"&amp; ADDRESS($D291+28*(H$16-1),$E291))</f>
        <v>0</v>
      </c>
      <c r="I291" s="715" cm="1">
        <f t="array" aca="1" ref="I291" ca="1">INDIRECT("'Definition of Typical Day'!"&amp; ADDRESS($D291+29*(I$16-1),$E291))</f>
        <v>0</v>
      </c>
      <c r="J291" s="715">
        <f t="shared" ca="1" si="324"/>
        <v>0</v>
      </c>
      <c r="K291" s="785">
        <f t="shared" si="325"/>
        <v>28</v>
      </c>
      <c r="L291" s="786" cm="1">
        <f t="array" aca="1" ref="L291" ca="1">INDIRECT("'Definition of Typical Day'!"&amp; ADDRESS($D291+29*(L$16-1),$E291))</f>
        <v>0</v>
      </c>
      <c r="M291" s="768" cm="1">
        <f t="array" aca="1" ref="M291" ca="1">INDIRECT("'Definition of Typical Day'!"&amp; ADDRESS($D291+29*(M$16-1),$E291))</f>
        <v>0</v>
      </c>
      <c r="N291" s="715">
        <f t="shared" si="326"/>
        <v>3</v>
      </c>
      <c r="O291" s="715">
        <f t="shared" ca="1" si="327"/>
        <v>3</v>
      </c>
      <c r="P291" s="715" cm="1">
        <f t="array" aca="1" ref="P291" ca="1">INDIRECT("'Definition of Typical Day'!"&amp; ADDRESS($D291+29*(P$16-1),$E291))</f>
        <v>0</v>
      </c>
      <c r="Q291" s="787">
        <f t="shared" ca="1" si="328"/>
        <v>3</v>
      </c>
      <c r="R291" s="792">
        <f t="shared" ca="1" si="329"/>
        <v>3</v>
      </c>
      <c r="S291" s="769">
        <f t="shared" si="330"/>
        <v>3</v>
      </c>
      <c r="T291" s="769">
        <f t="shared" ca="1" si="331"/>
        <v>-0.5</v>
      </c>
      <c r="U291" s="769">
        <f t="shared" ca="1" si="332"/>
        <v>2.262</v>
      </c>
      <c r="V291" s="769">
        <f t="shared" ca="1" si="333"/>
        <v>0</v>
      </c>
      <c r="W291" s="769">
        <f t="shared" ca="1" si="334"/>
        <v>4.7620000000000005</v>
      </c>
      <c r="X291" s="794">
        <f t="shared" si="335"/>
        <v>3</v>
      </c>
      <c r="Y291" s="769">
        <f t="shared" ca="1" si="336"/>
        <v>0.54772255750516607</v>
      </c>
      <c r="Z291" s="769">
        <f t="shared" ca="1" si="337"/>
        <v>0</v>
      </c>
      <c r="AA291" s="795">
        <f t="shared" ca="1" si="338"/>
        <v>0</v>
      </c>
      <c r="AB291" s="769">
        <f t="shared" ca="1" si="339"/>
        <v>0</v>
      </c>
      <c r="AC291" s="769">
        <f t="shared" ca="1" si="340"/>
        <v>0</v>
      </c>
      <c r="AD291" s="769">
        <f t="shared" ca="1" si="341"/>
        <v>0</v>
      </c>
      <c r="AE291" s="794">
        <f t="shared" ca="1" si="342"/>
        <v>0</v>
      </c>
      <c r="AF291" s="769">
        <f t="shared" ca="1" si="343"/>
        <v>0</v>
      </c>
      <c r="AG291" s="769">
        <f t="shared" ca="1" si="344"/>
        <v>0</v>
      </c>
      <c r="AH291" s="799">
        <f t="shared" ca="1" si="345"/>
        <v>0</v>
      </c>
      <c r="AI291" s="801">
        <f t="shared" ca="1" si="346"/>
        <v>1</v>
      </c>
      <c r="AJ291" s="794">
        <f t="shared" ca="1" si="347"/>
        <v>0</v>
      </c>
      <c r="AK291" s="769">
        <f t="shared" ca="1" si="348"/>
        <v>0</v>
      </c>
      <c r="AL291" s="769">
        <f t="shared" ca="1" si="349"/>
        <v>0</v>
      </c>
      <c r="AM291" s="804">
        <f t="shared" ca="1" si="299"/>
        <v>0</v>
      </c>
      <c r="AN291" s="795">
        <f t="shared" ca="1" si="300"/>
        <v>0</v>
      </c>
      <c r="AO291" s="251"/>
      <c r="AP291" s="770">
        <f t="shared" si="350"/>
        <v>0</v>
      </c>
      <c r="AQ291" s="771">
        <f t="shared" ca="1" si="351"/>
        <v>0</v>
      </c>
      <c r="AR291" s="771">
        <f t="shared" ca="1" si="352"/>
        <v>0</v>
      </c>
      <c r="AS291" s="772">
        <f t="shared" ca="1" si="353"/>
        <v>0</v>
      </c>
      <c r="AT291" s="231"/>
      <c r="AU291" s="770">
        <f>'Main Results - IRR DC Operator'!$F$16</f>
        <v>2</v>
      </c>
      <c r="AV291" s="773">
        <f>'Main Results - IRR DC Operator'!$F$15</f>
        <v>1</v>
      </c>
      <c r="AW291" s="771">
        <f t="shared" ca="1" si="354"/>
        <v>0</v>
      </c>
      <c r="AX291" s="772">
        <f t="shared" si="355"/>
        <v>0</v>
      </c>
      <c r="AY291" s="231"/>
      <c r="AZ291" s="770" cm="1">
        <f t="array" aca="1" ref="AZ291" ca="1">INDIRECT("'Definition of Typical Day'!"&amp; ADDRESS($D291+29*(AZ$16-1),$E291))+$AZ$17</f>
        <v>11</v>
      </c>
      <c r="BA291" s="771" cm="1">
        <f t="array" aca="1" ref="BA291" ca="1">INDIRECT("'Definition of Typical Day'!"&amp; ADDRESS($D291+29*(BA$16-1),$E291))+$BA$17</f>
        <v>11</v>
      </c>
      <c r="BB291" s="772" cm="1">
        <f t="array" aca="1" ref="BB291" ca="1">INDIRECT("'Definition of Typical Day'!"&amp;ADDRESS(BB$16,$E291))</f>
        <v>0</v>
      </c>
      <c r="BC291" s="776" cm="1">
        <f t="array" aca="1" ref="BC291" ca="1">INDIRECT("'Definition of Typical Day'!"&amp; ADDRESS($D291+29*(BC$16-1),$E291))</f>
        <v>0</v>
      </c>
      <c r="BD291" s="777" cm="1">
        <f t="array" aca="1" ref="BD291" ca="1">INDIRECT("'Definition of Typical Day'!"&amp; ADDRESS($D291+29*(BD$16-1),$E291))</f>
        <v>0</v>
      </c>
      <c r="BE291" s="776">
        <f t="shared" si="356"/>
        <v>0</v>
      </c>
      <c r="BF291" s="771">
        <f t="shared" ca="1" si="357"/>
        <v>0</v>
      </c>
      <c r="BG291" s="771">
        <f t="shared" ca="1" si="358"/>
        <v>0</v>
      </c>
      <c r="BH291" s="771">
        <f t="shared" ca="1" si="359"/>
        <v>0</v>
      </c>
      <c r="BI291" s="776">
        <f t="shared" ca="1" si="360"/>
        <v>0</v>
      </c>
      <c r="BJ291" s="776">
        <f t="shared" ca="1" si="361"/>
        <v>0</v>
      </c>
      <c r="BK291" s="776">
        <f t="shared" ca="1" si="362"/>
        <v>0</v>
      </c>
      <c r="BL291" s="776">
        <f t="shared" ca="1" si="363"/>
        <v>0</v>
      </c>
      <c r="BM291" s="135"/>
      <c r="BN291" s="776">
        <f t="shared" ca="1" si="364"/>
        <v>0</v>
      </c>
      <c r="BO291" s="778">
        <f t="shared" ca="1" si="301"/>
        <v>0</v>
      </c>
      <c r="BP291" s="770">
        <f t="shared" ca="1" si="302"/>
        <v>0</v>
      </c>
      <c r="BQ291" s="771">
        <f t="shared" ca="1" si="303"/>
        <v>0</v>
      </c>
      <c r="BR291" s="771">
        <f t="shared" ca="1" si="304"/>
        <v>0</v>
      </c>
      <c r="BS291" s="776">
        <f t="shared" ca="1" si="365"/>
        <v>0</v>
      </c>
      <c r="BT291" s="776">
        <f t="shared" ca="1" si="305"/>
        <v>0</v>
      </c>
      <c r="BU291" s="783">
        <f t="shared" ca="1" si="306"/>
        <v>0</v>
      </c>
      <c r="BV291" s="783">
        <f t="shared" ca="1" si="307"/>
        <v>0</v>
      </c>
      <c r="BW291" s="1019">
        <f t="shared" ca="1" si="366"/>
        <v>0</v>
      </c>
      <c r="BX291" s="771" cm="1">
        <f t="array" aca="1" ref="BX291" ca="1">INDIRECT("'Definition of Typical Day'!"&amp; ADDRESS($D291+29*(BX$16-1),$E291))</f>
        <v>0</v>
      </c>
      <c r="BY291" s="771">
        <f t="shared" ca="1" si="367"/>
        <v>0</v>
      </c>
      <c r="BZ291" s="781">
        <f t="shared" ca="1" si="308"/>
        <v>0</v>
      </c>
      <c r="CA291" s="781">
        <f t="shared" ca="1" si="309"/>
        <v>0</v>
      </c>
      <c r="CB291" s="776">
        <f t="shared" ca="1" si="310"/>
        <v>0</v>
      </c>
      <c r="CC291" s="782">
        <f t="shared" si="311"/>
        <v>12</v>
      </c>
      <c r="CD291" s="782">
        <f t="shared" si="312"/>
        <v>7</v>
      </c>
      <c r="CE291" s="784" cm="1">
        <f t="array" aca="1" ref="CE291" ca="1">INDIRECT("'Definition of Typical Day'!"&amp;ADDRESS(CE$16,$E291))</f>
        <v>12</v>
      </c>
      <c r="CF291" s="232"/>
      <c r="CG291" s="232"/>
      <c r="CH291" s="776">
        <f t="shared" ca="1" si="313"/>
        <v>0</v>
      </c>
      <c r="CI291" s="806">
        <f t="shared" ca="1" si="314"/>
        <v>0</v>
      </c>
      <c r="CJ291" s="770">
        <f t="shared" ca="1" si="315"/>
        <v>0</v>
      </c>
      <c r="CK291" s="771">
        <f t="shared" ca="1" si="316"/>
        <v>0</v>
      </c>
      <c r="CL291" s="771">
        <f t="shared" ca="1" si="317"/>
        <v>0</v>
      </c>
      <c r="CM291" s="772">
        <f t="shared" ca="1" si="318"/>
        <v>0</v>
      </c>
      <c r="CN291" s="135"/>
      <c r="CO291" s="770">
        <f t="shared" ca="1" si="368"/>
        <v>1.05</v>
      </c>
      <c r="CP291" s="771">
        <f t="shared" ca="1" si="319"/>
        <v>0.02</v>
      </c>
      <c r="CQ291" s="771">
        <f t="shared" ca="1" si="320"/>
        <v>-2.5000000000000001E-2</v>
      </c>
      <c r="CR291" s="771">
        <f t="shared" ca="1" si="321"/>
        <v>0.95</v>
      </c>
      <c r="CS291" s="771">
        <f t="shared" ca="1" si="322"/>
        <v>0.03</v>
      </c>
      <c r="CT291" s="772">
        <f t="shared" ca="1" si="323"/>
        <v>0.02</v>
      </c>
      <c r="CU291" s="135"/>
      <c r="CV291" s="135"/>
      <c r="CW291" s="135"/>
      <c r="CX291" s="135"/>
      <c r="CY291" s="135"/>
      <c r="CZ291" s="135"/>
      <c r="DA291" s="135"/>
      <c r="DB291" s="135"/>
      <c r="DC291" s="135"/>
      <c r="DD291" s="135"/>
      <c r="DE291" s="135"/>
      <c r="DF291" s="135"/>
      <c r="DG291" s="135"/>
      <c r="DH291" s="135"/>
      <c r="DI291" s="135"/>
      <c r="DJ291" s="135"/>
      <c r="DK291" s="135"/>
      <c r="DL291" s="135"/>
      <c r="DX291" s="135"/>
      <c r="DY291" s="135"/>
      <c r="DZ291" s="135"/>
      <c r="EA291" s="135"/>
      <c r="EB291" s="135"/>
      <c r="EC291" s="135"/>
      <c r="ED291" s="135"/>
      <c r="EE291" s="135"/>
      <c r="EF291" s="135"/>
      <c r="EG291" s="135"/>
      <c r="EH291" s="135"/>
      <c r="EI291" s="135"/>
      <c r="EJ291" s="135"/>
      <c r="EK291" s="135"/>
      <c r="EL291" s="135"/>
      <c r="EM291" s="135"/>
      <c r="EN291" s="135"/>
      <c r="EO291" s="135"/>
      <c r="EP291" s="135"/>
      <c r="EQ291" s="135"/>
      <c r="ER291" s="135"/>
      <c r="ES291" s="135"/>
      <c r="ET291" s="135"/>
      <c r="EU291" s="135"/>
      <c r="EV291" s="135"/>
      <c r="EW291" s="135"/>
      <c r="EX291" s="135"/>
      <c r="EY291" s="135"/>
      <c r="EZ291" s="135"/>
      <c r="FA291" s="135"/>
      <c r="FB291" s="135"/>
      <c r="FC291" s="135"/>
      <c r="FD291" s="135"/>
      <c r="FE291" s="135"/>
      <c r="FF291" s="135"/>
      <c r="FG291" s="135"/>
    </row>
    <row r="292" spans="1:163" s="57" customFormat="1" ht="11.25" outlineLevel="1">
      <c r="A292" s="765">
        <f t="shared" si="296"/>
        <v>12</v>
      </c>
      <c r="B292" s="715" cm="1">
        <f t="array" aca="1" ref="B292" ca="1">INDIRECT("'Definition of Typical Day'!"&amp;ADDRESS(B$16,$E292))</f>
        <v>12</v>
      </c>
      <c r="C292" s="766">
        <f t="shared" si="297"/>
        <v>8</v>
      </c>
      <c r="D292" s="715">
        <f t="shared" si="297"/>
        <v>42</v>
      </c>
      <c r="E292" s="715">
        <f t="shared" si="298"/>
        <v>16</v>
      </c>
      <c r="F292" s="767" cm="1">
        <f t="array" aca="1" ref="F292" ca="1">INDIRECT("'Definition of Typical Day'!D"&amp;D292)</f>
        <v>8</v>
      </c>
      <c r="G292" s="767" cm="1">
        <f t="array" aca="1" ref="G292" ca="1">INDIRECT("'Definition of Typical Day'!"&amp;ADDRESS(13,E292))</f>
        <v>12</v>
      </c>
      <c r="H292" s="768" cm="1">
        <f t="array" aca="1" ref="H292" ca="1">INDIRECT("'Definition of Typical Day'!"&amp; ADDRESS($D292+28*(H$16-1),$E292))</f>
        <v>0</v>
      </c>
      <c r="I292" s="715" cm="1">
        <f t="array" aca="1" ref="I292" ca="1">INDIRECT("'Definition of Typical Day'!"&amp; ADDRESS($D292+29*(I$16-1),$E292))</f>
        <v>0</v>
      </c>
      <c r="J292" s="715">
        <f t="shared" ca="1" si="324"/>
        <v>0</v>
      </c>
      <c r="K292" s="785">
        <f t="shared" si="325"/>
        <v>28</v>
      </c>
      <c r="L292" s="786" cm="1">
        <f t="array" aca="1" ref="L292" ca="1">INDIRECT("'Definition of Typical Day'!"&amp; ADDRESS($D292+29*(L$16-1),$E292))</f>
        <v>0</v>
      </c>
      <c r="M292" s="768" cm="1">
        <f t="array" aca="1" ref="M292" ca="1">INDIRECT("'Definition of Typical Day'!"&amp; ADDRESS($D292+29*(M$16-1),$E292))</f>
        <v>0</v>
      </c>
      <c r="N292" s="715">
        <f t="shared" si="326"/>
        <v>3</v>
      </c>
      <c r="O292" s="715">
        <f t="shared" ca="1" si="327"/>
        <v>3</v>
      </c>
      <c r="P292" s="715" cm="1">
        <f t="array" aca="1" ref="P292" ca="1">INDIRECT("'Definition of Typical Day'!"&amp; ADDRESS($D292+29*(P$16-1),$E292))</f>
        <v>0</v>
      </c>
      <c r="Q292" s="787">
        <f t="shared" ca="1" si="328"/>
        <v>3</v>
      </c>
      <c r="R292" s="792">
        <f t="shared" ca="1" si="329"/>
        <v>3</v>
      </c>
      <c r="S292" s="769">
        <f t="shared" si="330"/>
        <v>3</v>
      </c>
      <c r="T292" s="769">
        <f t="shared" ca="1" si="331"/>
        <v>-0.5</v>
      </c>
      <c r="U292" s="769">
        <f t="shared" ca="1" si="332"/>
        <v>2.262</v>
      </c>
      <c r="V292" s="769">
        <f t="shared" ca="1" si="333"/>
        <v>0</v>
      </c>
      <c r="W292" s="769">
        <f t="shared" ca="1" si="334"/>
        <v>4.7620000000000005</v>
      </c>
      <c r="X292" s="794">
        <f t="shared" si="335"/>
        <v>3</v>
      </c>
      <c r="Y292" s="769">
        <f t="shared" ca="1" si="336"/>
        <v>0.54772255750516607</v>
      </c>
      <c r="Z292" s="769">
        <f t="shared" ca="1" si="337"/>
        <v>0</v>
      </c>
      <c r="AA292" s="795">
        <f t="shared" ca="1" si="338"/>
        <v>0</v>
      </c>
      <c r="AB292" s="769">
        <f t="shared" ca="1" si="339"/>
        <v>0</v>
      </c>
      <c r="AC292" s="769">
        <f t="shared" ca="1" si="340"/>
        <v>0</v>
      </c>
      <c r="AD292" s="769">
        <f t="shared" ca="1" si="341"/>
        <v>0</v>
      </c>
      <c r="AE292" s="794">
        <f t="shared" ca="1" si="342"/>
        <v>0</v>
      </c>
      <c r="AF292" s="769">
        <f t="shared" ca="1" si="343"/>
        <v>0</v>
      </c>
      <c r="AG292" s="769">
        <f t="shared" ca="1" si="344"/>
        <v>0</v>
      </c>
      <c r="AH292" s="799">
        <f t="shared" ca="1" si="345"/>
        <v>0</v>
      </c>
      <c r="AI292" s="801">
        <f t="shared" ca="1" si="346"/>
        <v>1</v>
      </c>
      <c r="AJ292" s="794">
        <f t="shared" ca="1" si="347"/>
        <v>0</v>
      </c>
      <c r="AK292" s="769">
        <f t="shared" ca="1" si="348"/>
        <v>0</v>
      </c>
      <c r="AL292" s="769">
        <f t="shared" ca="1" si="349"/>
        <v>0</v>
      </c>
      <c r="AM292" s="804">
        <f t="shared" ca="1" si="299"/>
        <v>0</v>
      </c>
      <c r="AN292" s="795">
        <f t="shared" ca="1" si="300"/>
        <v>0</v>
      </c>
      <c r="AO292" s="251"/>
      <c r="AP292" s="770">
        <f t="shared" si="350"/>
        <v>0</v>
      </c>
      <c r="AQ292" s="771">
        <f t="shared" ca="1" si="351"/>
        <v>0</v>
      </c>
      <c r="AR292" s="771">
        <f t="shared" ca="1" si="352"/>
        <v>0</v>
      </c>
      <c r="AS292" s="772">
        <f t="shared" ca="1" si="353"/>
        <v>0</v>
      </c>
      <c r="AT292" s="231"/>
      <c r="AU292" s="770">
        <f>'Main Results - IRR DC Operator'!$F$16</f>
        <v>2</v>
      </c>
      <c r="AV292" s="773">
        <f>'Main Results - IRR DC Operator'!$F$15</f>
        <v>1</v>
      </c>
      <c r="AW292" s="771">
        <f t="shared" ca="1" si="354"/>
        <v>0</v>
      </c>
      <c r="AX292" s="772">
        <f t="shared" si="355"/>
        <v>0</v>
      </c>
      <c r="AY292" s="231"/>
      <c r="AZ292" s="770" cm="1">
        <f t="array" aca="1" ref="AZ292" ca="1">INDIRECT("'Definition of Typical Day'!"&amp; ADDRESS($D292+29*(AZ$16-1),$E292))+$AZ$17</f>
        <v>11</v>
      </c>
      <c r="BA292" s="771" cm="1">
        <f t="array" aca="1" ref="BA292" ca="1">INDIRECT("'Definition of Typical Day'!"&amp; ADDRESS($D292+29*(BA$16-1),$E292))+$BA$17</f>
        <v>11</v>
      </c>
      <c r="BB292" s="772" cm="1">
        <f t="array" aca="1" ref="BB292" ca="1">INDIRECT("'Definition of Typical Day'!"&amp;ADDRESS(BB$16,$E292))</f>
        <v>0</v>
      </c>
      <c r="BC292" s="776" cm="1">
        <f t="array" aca="1" ref="BC292" ca="1">INDIRECT("'Definition of Typical Day'!"&amp; ADDRESS($D292+29*(BC$16-1),$E292))</f>
        <v>0</v>
      </c>
      <c r="BD292" s="777" cm="1">
        <f t="array" aca="1" ref="BD292" ca="1">INDIRECT("'Definition of Typical Day'!"&amp; ADDRESS($D292+29*(BD$16-1),$E292))</f>
        <v>0</v>
      </c>
      <c r="BE292" s="776">
        <f t="shared" si="356"/>
        <v>0</v>
      </c>
      <c r="BF292" s="771">
        <f t="shared" ca="1" si="357"/>
        <v>0</v>
      </c>
      <c r="BG292" s="771">
        <f t="shared" ca="1" si="358"/>
        <v>0</v>
      </c>
      <c r="BH292" s="771">
        <f t="shared" ca="1" si="359"/>
        <v>0</v>
      </c>
      <c r="BI292" s="776">
        <f t="shared" ca="1" si="360"/>
        <v>0</v>
      </c>
      <c r="BJ292" s="776">
        <f t="shared" ca="1" si="361"/>
        <v>0</v>
      </c>
      <c r="BK292" s="776">
        <f t="shared" ca="1" si="362"/>
        <v>0</v>
      </c>
      <c r="BL292" s="776">
        <f t="shared" ca="1" si="363"/>
        <v>0</v>
      </c>
      <c r="BM292" s="135"/>
      <c r="BN292" s="776">
        <f t="shared" ca="1" si="364"/>
        <v>0</v>
      </c>
      <c r="BO292" s="778">
        <f t="shared" ca="1" si="301"/>
        <v>0</v>
      </c>
      <c r="BP292" s="770">
        <f t="shared" ca="1" si="302"/>
        <v>0</v>
      </c>
      <c r="BQ292" s="771">
        <f t="shared" ca="1" si="303"/>
        <v>0</v>
      </c>
      <c r="BR292" s="771">
        <f t="shared" ca="1" si="304"/>
        <v>0</v>
      </c>
      <c r="BS292" s="776">
        <f t="shared" ca="1" si="365"/>
        <v>0</v>
      </c>
      <c r="BT292" s="776">
        <f t="shared" ca="1" si="305"/>
        <v>0</v>
      </c>
      <c r="BU292" s="783">
        <f t="shared" ca="1" si="306"/>
        <v>0</v>
      </c>
      <c r="BV292" s="783">
        <f t="shared" ca="1" si="307"/>
        <v>0</v>
      </c>
      <c r="BW292" s="1019">
        <f t="shared" ca="1" si="366"/>
        <v>0</v>
      </c>
      <c r="BX292" s="771" cm="1">
        <f t="array" aca="1" ref="BX292" ca="1">INDIRECT("'Definition of Typical Day'!"&amp; ADDRESS($D292+29*(BX$16-1),$E292))</f>
        <v>0</v>
      </c>
      <c r="BY292" s="771">
        <f t="shared" ca="1" si="367"/>
        <v>0</v>
      </c>
      <c r="BZ292" s="781">
        <f t="shared" ca="1" si="308"/>
        <v>0</v>
      </c>
      <c r="CA292" s="781">
        <f t="shared" ca="1" si="309"/>
        <v>0</v>
      </c>
      <c r="CB292" s="776">
        <f t="shared" ca="1" si="310"/>
        <v>0</v>
      </c>
      <c r="CC292" s="782">
        <f t="shared" si="311"/>
        <v>12</v>
      </c>
      <c r="CD292" s="782">
        <f t="shared" si="312"/>
        <v>8</v>
      </c>
      <c r="CE292" s="784" cm="1">
        <f t="array" aca="1" ref="CE292" ca="1">INDIRECT("'Definition of Typical Day'!"&amp;ADDRESS(CE$16,$E292))</f>
        <v>12</v>
      </c>
      <c r="CF292" s="232"/>
      <c r="CG292" s="232"/>
      <c r="CH292" s="776">
        <f t="shared" ca="1" si="313"/>
        <v>0</v>
      </c>
      <c r="CI292" s="806">
        <f t="shared" ca="1" si="314"/>
        <v>0</v>
      </c>
      <c r="CJ292" s="770">
        <f t="shared" ca="1" si="315"/>
        <v>0</v>
      </c>
      <c r="CK292" s="771">
        <f t="shared" ca="1" si="316"/>
        <v>0</v>
      </c>
      <c r="CL292" s="771">
        <f t="shared" ca="1" si="317"/>
        <v>0</v>
      </c>
      <c r="CM292" s="772">
        <f t="shared" ca="1" si="318"/>
        <v>0</v>
      </c>
      <c r="CN292" s="135"/>
      <c r="CO292" s="770">
        <f t="shared" ca="1" si="368"/>
        <v>1.05</v>
      </c>
      <c r="CP292" s="771">
        <f t="shared" ca="1" si="319"/>
        <v>0.02</v>
      </c>
      <c r="CQ292" s="771">
        <f t="shared" ca="1" si="320"/>
        <v>-2.5000000000000001E-2</v>
      </c>
      <c r="CR292" s="771">
        <f t="shared" ca="1" si="321"/>
        <v>0.95</v>
      </c>
      <c r="CS292" s="771">
        <f t="shared" ca="1" si="322"/>
        <v>0.03</v>
      </c>
      <c r="CT292" s="772">
        <f t="shared" ca="1" si="323"/>
        <v>0.02</v>
      </c>
      <c r="CU292" s="135"/>
      <c r="CV292" s="135"/>
      <c r="CW292" s="135"/>
      <c r="CX292" s="135"/>
      <c r="CY292" s="135"/>
      <c r="CZ292" s="135"/>
      <c r="DA292" s="135"/>
      <c r="DB292" s="135"/>
      <c r="DC292" s="135"/>
      <c r="DD292" s="135"/>
      <c r="DE292" s="135"/>
      <c r="DF292" s="135"/>
      <c r="DG292" s="135"/>
      <c r="DH292" s="135"/>
      <c r="DI292" s="135"/>
      <c r="DJ292" s="135"/>
      <c r="DK292" s="135"/>
      <c r="DL292" s="135"/>
      <c r="DX292" s="135"/>
      <c r="DY292" s="135"/>
      <c r="DZ292" s="135"/>
      <c r="EA292" s="135"/>
      <c r="EB292" s="135"/>
      <c r="EC292" s="135"/>
      <c r="ED292" s="135"/>
      <c r="EE292" s="135"/>
      <c r="EF292" s="135"/>
      <c r="EG292" s="135"/>
      <c r="EH292" s="135"/>
      <c r="EI292" s="135"/>
      <c r="EJ292" s="135"/>
      <c r="EK292" s="135"/>
      <c r="EL292" s="135"/>
      <c r="EM292" s="135"/>
      <c r="EN292" s="135"/>
      <c r="EO292" s="135"/>
      <c r="EP292" s="135"/>
      <c r="EQ292" s="135"/>
      <c r="ER292" s="135"/>
      <c r="ES292" s="135"/>
      <c r="ET292" s="135"/>
      <c r="EU292" s="135"/>
      <c r="EV292" s="135"/>
      <c r="EW292" s="135"/>
      <c r="EX292" s="135"/>
      <c r="EY292" s="135"/>
      <c r="EZ292" s="135"/>
      <c r="FA292" s="135"/>
      <c r="FB292" s="135"/>
      <c r="FC292" s="135"/>
      <c r="FD292" s="135"/>
      <c r="FE292" s="135"/>
      <c r="FF292" s="135"/>
      <c r="FG292" s="135"/>
    </row>
    <row r="293" spans="1:163" s="57" customFormat="1" ht="11.25" outlineLevel="1">
      <c r="A293" s="765">
        <f t="shared" si="296"/>
        <v>12</v>
      </c>
      <c r="B293" s="715" cm="1">
        <f t="array" aca="1" ref="B293" ca="1">INDIRECT("'Definition of Typical Day'!"&amp;ADDRESS(B$16,$E293))</f>
        <v>12</v>
      </c>
      <c r="C293" s="766">
        <f t="shared" si="297"/>
        <v>9</v>
      </c>
      <c r="D293" s="715">
        <f t="shared" si="297"/>
        <v>43</v>
      </c>
      <c r="E293" s="715">
        <f t="shared" si="298"/>
        <v>16</v>
      </c>
      <c r="F293" s="767" cm="1">
        <f t="array" aca="1" ref="F293" ca="1">INDIRECT("'Definition of Typical Day'!D"&amp;D293)</f>
        <v>9</v>
      </c>
      <c r="G293" s="767" cm="1">
        <f t="array" aca="1" ref="G293" ca="1">INDIRECT("'Definition of Typical Day'!"&amp;ADDRESS(13,E293))</f>
        <v>12</v>
      </c>
      <c r="H293" s="768" cm="1">
        <f t="array" aca="1" ref="H293" ca="1">INDIRECT("'Definition of Typical Day'!"&amp; ADDRESS($D293+28*(H$16-1),$E293))</f>
        <v>0</v>
      </c>
      <c r="I293" s="715" cm="1">
        <f t="array" aca="1" ref="I293" ca="1">INDIRECT("'Definition of Typical Day'!"&amp; ADDRESS($D293+29*(I$16-1),$E293))</f>
        <v>0</v>
      </c>
      <c r="J293" s="715">
        <f t="shared" ca="1" si="324"/>
        <v>0</v>
      </c>
      <c r="K293" s="785">
        <f t="shared" si="325"/>
        <v>28</v>
      </c>
      <c r="L293" s="786" cm="1">
        <f t="array" aca="1" ref="L293" ca="1">INDIRECT("'Definition of Typical Day'!"&amp; ADDRESS($D293+29*(L$16-1),$E293))</f>
        <v>0</v>
      </c>
      <c r="M293" s="768" cm="1">
        <f t="array" aca="1" ref="M293" ca="1">INDIRECT("'Definition of Typical Day'!"&amp; ADDRESS($D293+29*(M$16-1),$E293))</f>
        <v>0</v>
      </c>
      <c r="N293" s="715">
        <f t="shared" si="326"/>
        <v>3</v>
      </c>
      <c r="O293" s="715">
        <f t="shared" ca="1" si="327"/>
        <v>3</v>
      </c>
      <c r="P293" s="715" cm="1">
        <f t="array" aca="1" ref="P293" ca="1">INDIRECT("'Definition of Typical Day'!"&amp; ADDRESS($D293+29*(P$16-1),$E293))</f>
        <v>0</v>
      </c>
      <c r="Q293" s="787">
        <f t="shared" ca="1" si="328"/>
        <v>3</v>
      </c>
      <c r="R293" s="792">
        <f t="shared" ca="1" si="329"/>
        <v>3</v>
      </c>
      <c r="S293" s="769">
        <f t="shared" si="330"/>
        <v>3</v>
      </c>
      <c r="T293" s="769">
        <f t="shared" ca="1" si="331"/>
        <v>-0.5</v>
      </c>
      <c r="U293" s="769">
        <f t="shared" ca="1" si="332"/>
        <v>2.262</v>
      </c>
      <c r="V293" s="769">
        <f t="shared" ca="1" si="333"/>
        <v>0</v>
      </c>
      <c r="W293" s="769">
        <f t="shared" ca="1" si="334"/>
        <v>4.7620000000000005</v>
      </c>
      <c r="X293" s="794">
        <f t="shared" si="335"/>
        <v>3</v>
      </c>
      <c r="Y293" s="769">
        <f t="shared" ca="1" si="336"/>
        <v>0.54772255750516607</v>
      </c>
      <c r="Z293" s="769">
        <f t="shared" ca="1" si="337"/>
        <v>0</v>
      </c>
      <c r="AA293" s="795">
        <f t="shared" ca="1" si="338"/>
        <v>0</v>
      </c>
      <c r="AB293" s="769">
        <f t="shared" ca="1" si="339"/>
        <v>0</v>
      </c>
      <c r="AC293" s="769">
        <f t="shared" ca="1" si="340"/>
        <v>0</v>
      </c>
      <c r="AD293" s="769">
        <f t="shared" ca="1" si="341"/>
        <v>0</v>
      </c>
      <c r="AE293" s="794">
        <f t="shared" ca="1" si="342"/>
        <v>0</v>
      </c>
      <c r="AF293" s="769">
        <f t="shared" ca="1" si="343"/>
        <v>0</v>
      </c>
      <c r="AG293" s="769">
        <f t="shared" ca="1" si="344"/>
        <v>0</v>
      </c>
      <c r="AH293" s="799">
        <f t="shared" ca="1" si="345"/>
        <v>0</v>
      </c>
      <c r="AI293" s="801">
        <f t="shared" ca="1" si="346"/>
        <v>1</v>
      </c>
      <c r="AJ293" s="794">
        <f t="shared" ca="1" si="347"/>
        <v>0</v>
      </c>
      <c r="AK293" s="769">
        <f t="shared" ca="1" si="348"/>
        <v>0</v>
      </c>
      <c r="AL293" s="769">
        <f t="shared" ca="1" si="349"/>
        <v>0</v>
      </c>
      <c r="AM293" s="804">
        <f t="shared" ca="1" si="299"/>
        <v>0</v>
      </c>
      <c r="AN293" s="795">
        <f t="shared" ca="1" si="300"/>
        <v>0</v>
      </c>
      <c r="AO293" s="251"/>
      <c r="AP293" s="770">
        <f t="shared" si="350"/>
        <v>0</v>
      </c>
      <c r="AQ293" s="771">
        <f t="shared" ca="1" si="351"/>
        <v>0</v>
      </c>
      <c r="AR293" s="771">
        <f t="shared" ca="1" si="352"/>
        <v>0</v>
      </c>
      <c r="AS293" s="772">
        <f t="shared" ca="1" si="353"/>
        <v>0</v>
      </c>
      <c r="AT293" s="231"/>
      <c r="AU293" s="770">
        <f>'Main Results - IRR DC Operator'!$F$16</f>
        <v>2</v>
      </c>
      <c r="AV293" s="773">
        <f>'Main Results - IRR DC Operator'!$F$15</f>
        <v>1</v>
      </c>
      <c r="AW293" s="771">
        <f t="shared" ca="1" si="354"/>
        <v>0</v>
      </c>
      <c r="AX293" s="772">
        <f t="shared" si="355"/>
        <v>0</v>
      </c>
      <c r="AY293" s="231"/>
      <c r="AZ293" s="770" cm="1">
        <f t="array" aca="1" ref="AZ293" ca="1">INDIRECT("'Definition of Typical Day'!"&amp; ADDRESS($D293+29*(AZ$16-1),$E293))+$AZ$17</f>
        <v>11</v>
      </c>
      <c r="BA293" s="771" cm="1">
        <f t="array" aca="1" ref="BA293" ca="1">INDIRECT("'Definition of Typical Day'!"&amp; ADDRESS($D293+29*(BA$16-1),$E293))+$BA$17</f>
        <v>11</v>
      </c>
      <c r="BB293" s="772" cm="1">
        <f t="array" aca="1" ref="BB293" ca="1">INDIRECT("'Definition of Typical Day'!"&amp;ADDRESS(BB$16,$E293))</f>
        <v>0</v>
      </c>
      <c r="BC293" s="776" cm="1">
        <f t="array" aca="1" ref="BC293" ca="1">INDIRECT("'Definition of Typical Day'!"&amp; ADDRESS($D293+29*(BC$16-1),$E293))</f>
        <v>0</v>
      </c>
      <c r="BD293" s="777" cm="1">
        <f t="array" aca="1" ref="BD293" ca="1">INDIRECT("'Definition of Typical Day'!"&amp; ADDRESS($D293+29*(BD$16-1),$E293))</f>
        <v>0</v>
      </c>
      <c r="BE293" s="776">
        <f t="shared" si="356"/>
        <v>0</v>
      </c>
      <c r="BF293" s="771">
        <f t="shared" ca="1" si="357"/>
        <v>0</v>
      </c>
      <c r="BG293" s="771">
        <f t="shared" ca="1" si="358"/>
        <v>0</v>
      </c>
      <c r="BH293" s="771">
        <f t="shared" ca="1" si="359"/>
        <v>0</v>
      </c>
      <c r="BI293" s="776">
        <f t="shared" ca="1" si="360"/>
        <v>0</v>
      </c>
      <c r="BJ293" s="776">
        <f t="shared" ca="1" si="361"/>
        <v>0</v>
      </c>
      <c r="BK293" s="776">
        <f t="shared" ca="1" si="362"/>
        <v>0</v>
      </c>
      <c r="BL293" s="776">
        <f t="shared" ca="1" si="363"/>
        <v>0</v>
      </c>
      <c r="BM293" s="135"/>
      <c r="BN293" s="776">
        <f t="shared" ca="1" si="364"/>
        <v>0</v>
      </c>
      <c r="BO293" s="778">
        <f t="shared" ca="1" si="301"/>
        <v>0</v>
      </c>
      <c r="BP293" s="770">
        <f t="shared" ca="1" si="302"/>
        <v>0</v>
      </c>
      <c r="BQ293" s="771">
        <f t="shared" ca="1" si="303"/>
        <v>0</v>
      </c>
      <c r="BR293" s="771">
        <f t="shared" ca="1" si="304"/>
        <v>0</v>
      </c>
      <c r="BS293" s="776">
        <f t="shared" ca="1" si="365"/>
        <v>0</v>
      </c>
      <c r="BT293" s="776">
        <f t="shared" ca="1" si="305"/>
        <v>0</v>
      </c>
      <c r="BU293" s="783">
        <f t="shared" ca="1" si="306"/>
        <v>0</v>
      </c>
      <c r="BV293" s="783">
        <f t="shared" ca="1" si="307"/>
        <v>0</v>
      </c>
      <c r="BW293" s="1019">
        <f t="shared" ca="1" si="366"/>
        <v>0</v>
      </c>
      <c r="BX293" s="771" cm="1">
        <f t="array" aca="1" ref="BX293" ca="1">INDIRECT("'Definition of Typical Day'!"&amp; ADDRESS($D293+29*(BX$16-1),$E293))</f>
        <v>0</v>
      </c>
      <c r="BY293" s="771">
        <f t="shared" ca="1" si="367"/>
        <v>0</v>
      </c>
      <c r="BZ293" s="781">
        <f t="shared" ca="1" si="308"/>
        <v>0</v>
      </c>
      <c r="CA293" s="781">
        <f t="shared" ca="1" si="309"/>
        <v>0</v>
      </c>
      <c r="CB293" s="776">
        <f t="shared" ca="1" si="310"/>
        <v>0</v>
      </c>
      <c r="CC293" s="782">
        <f t="shared" si="311"/>
        <v>12</v>
      </c>
      <c r="CD293" s="782">
        <f t="shared" si="312"/>
        <v>9</v>
      </c>
      <c r="CE293" s="784" cm="1">
        <f t="array" aca="1" ref="CE293" ca="1">INDIRECT("'Definition of Typical Day'!"&amp;ADDRESS(CE$16,$E293))</f>
        <v>12</v>
      </c>
      <c r="CF293" s="232"/>
      <c r="CG293" s="232"/>
      <c r="CH293" s="776">
        <f t="shared" ca="1" si="313"/>
        <v>0</v>
      </c>
      <c r="CI293" s="806">
        <f t="shared" ca="1" si="314"/>
        <v>0</v>
      </c>
      <c r="CJ293" s="770">
        <f t="shared" ca="1" si="315"/>
        <v>0</v>
      </c>
      <c r="CK293" s="771">
        <f t="shared" ca="1" si="316"/>
        <v>0</v>
      </c>
      <c r="CL293" s="771">
        <f t="shared" ca="1" si="317"/>
        <v>0</v>
      </c>
      <c r="CM293" s="772">
        <f t="shared" ca="1" si="318"/>
        <v>0</v>
      </c>
      <c r="CN293" s="135"/>
      <c r="CO293" s="770">
        <f t="shared" ca="1" si="368"/>
        <v>1.05</v>
      </c>
      <c r="CP293" s="771">
        <f t="shared" ca="1" si="319"/>
        <v>0.02</v>
      </c>
      <c r="CQ293" s="771">
        <f t="shared" ca="1" si="320"/>
        <v>-2.5000000000000001E-2</v>
      </c>
      <c r="CR293" s="771">
        <f t="shared" ca="1" si="321"/>
        <v>0.95</v>
      </c>
      <c r="CS293" s="771">
        <f t="shared" ca="1" si="322"/>
        <v>0.03</v>
      </c>
      <c r="CT293" s="772">
        <f t="shared" ca="1" si="323"/>
        <v>0.02</v>
      </c>
      <c r="CU293" s="135"/>
      <c r="CV293" s="135"/>
      <c r="CW293" s="135"/>
      <c r="CX293" s="135"/>
      <c r="CY293" s="135"/>
      <c r="CZ293" s="135"/>
      <c r="DA293" s="135"/>
      <c r="DB293" s="135"/>
      <c r="DC293" s="135"/>
      <c r="DD293" s="135"/>
      <c r="DE293" s="135"/>
      <c r="DF293" s="135"/>
      <c r="DG293" s="135"/>
      <c r="DH293" s="135"/>
      <c r="DI293" s="135"/>
      <c r="DJ293" s="135"/>
      <c r="DK293" s="135"/>
      <c r="DL293" s="135"/>
      <c r="DX293" s="135"/>
      <c r="DY293" s="135"/>
      <c r="DZ293" s="135"/>
      <c r="EA293" s="135"/>
      <c r="EB293" s="135"/>
      <c r="EC293" s="135"/>
      <c r="ED293" s="135"/>
      <c r="EE293" s="135"/>
      <c r="EF293" s="135"/>
      <c r="EG293" s="135"/>
      <c r="EH293" s="135"/>
      <c r="EI293" s="135"/>
      <c r="EJ293" s="135"/>
      <c r="EK293" s="135"/>
      <c r="EL293" s="135"/>
      <c r="EM293" s="135"/>
      <c r="EN293" s="135"/>
      <c r="EO293" s="135"/>
      <c r="EP293" s="135"/>
      <c r="EQ293" s="135"/>
      <c r="ER293" s="135"/>
      <c r="ES293" s="135"/>
      <c r="ET293" s="135"/>
      <c r="EU293" s="135"/>
      <c r="EV293" s="135"/>
      <c r="EW293" s="135"/>
      <c r="EX293" s="135"/>
      <c r="EY293" s="135"/>
      <c r="EZ293" s="135"/>
      <c r="FA293" s="135"/>
      <c r="FB293" s="135"/>
      <c r="FC293" s="135"/>
      <c r="FD293" s="135"/>
      <c r="FE293" s="135"/>
      <c r="FF293" s="135"/>
      <c r="FG293" s="135"/>
    </row>
    <row r="294" spans="1:163" s="57" customFormat="1" ht="11.25" outlineLevel="1">
      <c r="A294" s="765">
        <f t="shared" si="296"/>
        <v>12</v>
      </c>
      <c r="B294" s="715" cm="1">
        <f t="array" aca="1" ref="B294" ca="1">INDIRECT("'Definition of Typical Day'!"&amp;ADDRESS(B$16,$E294))</f>
        <v>12</v>
      </c>
      <c r="C294" s="766">
        <f t="shared" si="297"/>
        <v>10</v>
      </c>
      <c r="D294" s="715">
        <f t="shared" si="297"/>
        <v>44</v>
      </c>
      <c r="E294" s="715">
        <f t="shared" si="298"/>
        <v>16</v>
      </c>
      <c r="F294" s="767" cm="1">
        <f t="array" aca="1" ref="F294" ca="1">INDIRECT("'Definition of Typical Day'!D"&amp;D294)</f>
        <v>10</v>
      </c>
      <c r="G294" s="767" cm="1">
        <f t="array" aca="1" ref="G294" ca="1">INDIRECT("'Definition of Typical Day'!"&amp;ADDRESS(13,E294))</f>
        <v>12</v>
      </c>
      <c r="H294" s="768" cm="1">
        <f t="array" aca="1" ref="H294" ca="1">INDIRECT("'Definition of Typical Day'!"&amp; ADDRESS($D294+28*(H$16-1),$E294))</f>
        <v>0</v>
      </c>
      <c r="I294" s="715" cm="1">
        <f t="array" aca="1" ref="I294" ca="1">INDIRECT("'Definition of Typical Day'!"&amp; ADDRESS($D294+29*(I$16-1),$E294))</f>
        <v>0</v>
      </c>
      <c r="J294" s="715">
        <f t="shared" ca="1" si="324"/>
        <v>0</v>
      </c>
      <c r="K294" s="785">
        <f t="shared" si="325"/>
        <v>28</v>
      </c>
      <c r="L294" s="786" cm="1">
        <f t="array" aca="1" ref="L294" ca="1">INDIRECT("'Definition of Typical Day'!"&amp; ADDRESS($D294+29*(L$16-1),$E294))</f>
        <v>0</v>
      </c>
      <c r="M294" s="768" cm="1">
        <f t="array" aca="1" ref="M294" ca="1">INDIRECT("'Definition of Typical Day'!"&amp; ADDRESS($D294+29*(M$16-1),$E294))</f>
        <v>0</v>
      </c>
      <c r="N294" s="715">
        <f t="shared" si="326"/>
        <v>3</v>
      </c>
      <c r="O294" s="715">
        <f t="shared" ca="1" si="327"/>
        <v>3</v>
      </c>
      <c r="P294" s="715" cm="1">
        <f t="array" aca="1" ref="P294" ca="1">INDIRECT("'Definition of Typical Day'!"&amp; ADDRESS($D294+29*(P$16-1),$E294))</f>
        <v>0</v>
      </c>
      <c r="Q294" s="787">
        <f t="shared" ca="1" si="328"/>
        <v>3</v>
      </c>
      <c r="R294" s="792">
        <f t="shared" ca="1" si="329"/>
        <v>3</v>
      </c>
      <c r="S294" s="769">
        <f t="shared" si="330"/>
        <v>3</v>
      </c>
      <c r="T294" s="769">
        <f t="shared" ca="1" si="331"/>
        <v>-0.5</v>
      </c>
      <c r="U294" s="769">
        <f t="shared" ca="1" si="332"/>
        <v>2.262</v>
      </c>
      <c r="V294" s="769">
        <f t="shared" ca="1" si="333"/>
        <v>0</v>
      </c>
      <c r="W294" s="769">
        <f t="shared" ca="1" si="334"/>
        <v>4.7620000000000005</v>
      </c>
      <c r="X294" s="794">
        <f t="shared" si="335"/>
        <v>3</v>
      </c>
      <c r="Y294" s="769">
        <f t="shared" ca="1" si="336"/>
        <v>0.54772255750516607</v>
      </c>
      <c r="Z294" s="769">
        <f t="shared" ca="1" si="337"/>
        <v>0</v>
      </c>
      <c r="AA294" s="795">
        <f t="shared" ca="1" si="338"/>
        <v>0</v>
      </c>
      <c r="AB294" s="769">
        <f t="shared" ca="1" si="339"/>
        <v>0</v>
      </c>
      <c r="AC294" s="769">
        <f t="shared" ca="1" si="340"/>
        <v>0</v>
      </c>
      <c r="AD294" s="769">
        <f t="shared" ca="1" si="341"/>
        <v>0</v>
      </c>
      <c r="AE294" s="794">
        <f t="shared" ca="1" si="342"/>
        <v>0</v>
      </c>
      <c r="AF294" s="769">
        <f t="shared" ca="1" si="343"/>
        <v>0</v>
      </c>
      <c r="AG294" s="769">
        <f t="shared" ca="1" si="344"/>
        <v>0</v>
      </c>
      <c r="AH294" s="799">
        <f t="shared" ca="1" si="345"/>
        <v>0</v>
      </c>
      <c r="AI294" s="801">
        <f t="shared" ca="1" si="346"/>
        <v>1</v>
      </c>
      <c r="AJ294" s="794">
        <f t="shared" ca="1" si="347"/>
        <v>0</v>
      </c>
      <c r="AK294" s="769">
        <f t="shared" ca="1" si="348"/>
        <v>0</v>
      </c>
      <c r="AL294" s="769">
        <f t="shared" ca="1" si="349"/>
        <v>0</v>
      </c>
      <c r="AM294" s="804">
        <f t="shared" ca="1" si="299"/>
        <v>0</v>
      </c>
      <c r="AN294" s="795">
        <f t="shared" ca="1" si="300"/>
        <v>0</v>
      </c>
      <c r="AO294" s="251"/>
      <c r="AP294" s="770">
        <f t="shared" si="350"/>
        <v>0</v>
      </c>
      <c r="AQ294" s="771">
        <f t="shared" ca="1" si="351"/>
        <v>0</v>
      </c>
      <c r="AR294" s="771">
        <f t="shared" ca="1" si="352"/>
        <v>0</v>
      </c>
      <c r="AS294" s="772">
        <f t="shared" ca="1" si="353"/>
        <v>0</v>
      </c>
      <c r="AT294" s="231"/>
      <c r="AU294" s="770">
        <f>'Main Results - IRR DC Operator'!$F$16</f>
        <v>2</v>
      </c>
      <c r="AV294" s="773">
        <f>'Main Results - IRR DC Operator'!$F$15</f>
        <v>1</v>
      </c>
      <c r="AW294" s="771">
        <f t="shared" ca="1" si="354"/>
        <v>0</v>
      </c>
      <c r="AX294" s="772">
        <f t="shared" si="355"/>
        <v>0</v>
      </c>
      <c r="AY294" s="231"/>
      <c r="AZ294" s="770" cm="1">
        <f t="array" aca="1" ref="AZ294" ca="1">INDIRECT("'Definition of Typical Day'!"&amp; ADDRESS($D294+29*(AZ$16-1),$E294))+$AZ$17</f>
        <v>11</v>
      </c>
      <c r="BA294" s="771" cm="1">
        <f t="array" aca="1" ref="BA294" ca="1">INDIRECT("'Definition of Typical Day'!"&amp; ADDRESS($D294+29*(BA$16-1),$E294))+$BA$17</f>
        <v>11</v>
      </c>
      <c r="BB294" s="772" cm="1">
        <f t="array" aca="1" ref="BB294" ca="1">INDIRECT("'Definition of Typical Day'!"&amp;ADDRESS(BB$16,$E294))</f>
        <v>0</v>
      </c>
      <c r="BC294" s="776" cm="1">
        <f t="array" aca="1" ref="BC294" ca="1">INDIRECT("'Definition of Typical Day'!"&amp; ADDRESS($D294+29*(BC$16-1),$E294))</f>
        <v>0</v>
      </c>
      <c r="BD294" s="777" cm="1">
        <f t="array" aca="1" ref="BD294" ca="1">INDIRECT("'Definition of Typical Day'!"&amp; ADDRESS($D294+29*(BD$16-1),$E294))</f>
        <v>0</v>
      </c>
      <c r="BE294" s="776">
        <f t="shared" si="356"/>
        <v>0</v>
      </c>
      <c r="BF294" s="771">
        <f t="shared" ca="1" si="357"/>
        <v>0</v>
      </c>
      <c r="BG294" s="771">
        <f t="shared" ca="1" si="358"/>
        <v>0</v>
      </c>
      <c r="BH294" s="771">
        <f t="shared" ca="1" si="359"/>
        <v>0</v>
      </c>
      <c r="BI294" s="776">
        <f t="shared" ca="1" si="360"/>
        <v>0</v>
      </c>
      <c r="BJ294" s="776">
        <f t="shared" ca="1" si="361"/>
        <v>0</v>
      </c>
      <c r="BK294" s="776">
        <f t="shared" ca="1" si="362"/>
        <v>0</v>
      </c>
      <c r="BL294" s="776">
        <f t="shared" ca="1" si="363"/>
        <v>0</v>
      </c>
      <c r="BM294" s="135"/>
      <c r="BN294" s="776">
        <f t="shared" ca="1" si="364"/>
        <v>0</v>
      </c>
      <c r="BO294" s="778">
        <f t="shared" ca="1" si="301"/>
        <v>0</v>
      </c>
      <c r="BP294" s="770">
        <f t="shared" ca="1" si="302"/>
        <v>0</v>
      </c>
      <c r="BQ294" s="771">
        <f t="shared" ca="1" si="303"/>
        <v>0</v>
      </c>
      <c r="BR294" s="771">
        <f t="shared" ca="1" si="304"/>
        <v>0</v>
      </c>
      <c r="BS294" s="776">
        <f t="shared" ca="1" si="365"/>
        <v>0</v>
      </c>
      <c r="BT294" s="776">
        <f t="shared" ca="1" si="305"/>
        <v>0</v>
      </c>
      <c r="BU294" s="783">
        <f t="shared" ca="1" si="306"/>
        <v>0</v>
      </c>
      <c r="BV294" s="783">
        <f t="shared" ca="1" si="307"/>
        <v>0</v>
      </c>
      <c r="BW294" s="1019">
        <f t="shared" ca="1" si="366"/>
        <v>0</v>
      </c>
      <c r="BX294" s="771" cm="1">
        <f t="array" aca="1" ref="BX294" ca="1">INDIRECT("'Definition of Typical Day'!"&amp; ADDRESS($D294+29*(BX$16-1),$E294))</f>
        <v>0</v>
      </c>
      <c r="BY294" s="771">
        <f t="shared" ca="1" si="367"/>
        <v>0</v>
      </c>
      <c r="BZ294" s="781">
        <f t="shared" ca="1" si="308"/>
        <v>0</v>
      </c>
      <c r="CA294" s="781">
        <f t="shared" ca="1" si="309"/>
        <v>0</v>
      </c>
      <c r="CB294" s="776">
        <f t="shared" ca="1" si="310"/>
        <v>0</v>
      </c>
      <c r="CC294" s="782">
        <f t="shared" si="311"/>
        <v>12</v>
      </c>
      <c r="CD294" s="782">
        <f t="shared" si="312"/>
        <v>10</v>
      </c>
      <c r="CE294" s="784" cm="1">
        <f t="array" aca="1" ref="CE294" ca="1">INDIRECT("'Definition of Typical Day'!"&amp;ADDRESS(CE$16,$E294))</f>
        <v>12</v>
      </c>
      <c r="CF294" s="232"/>
      <c r="CG294" s="232"/>
      <c r="CH294" s="776">
        <f t="shared" ca="1" si="313"/>
        <v>0</v>
      </c>
      <c r="CI294" s="806">
        <f t="shared" ca="1" si="314"/>
        <v>0</v>
      </c>
      <c r="CJ294" s="770">
        <f t="shared" ca="1" si="315"/>
        <v>0</v>
      </c>
      <c r="CK294" s="771">
        <f t="shared" ca="1" si="316"/>
        <v>0</v>
      </c>
      <c r="CL294" s="771">
        <f t="shared" ca="1" si="317"/>
        <v>0</v>
      </c>
      <c r="CM294" s="772">
        <f t="shared" ca="1" si="318"/>
        <v>0</v>
      </c>
      <c r="CN294" s="135"/>
      <c r="CO294" s="770">
        <f t="shared" ca="1" si="368"/>
        <v>1.05</v>
      </c>
      <c r="CP294" s="771">
        <f t="shared" ca="1" si="319"/>
        <v>0.02</v>
      </c>
      <c r="CQ294" s="771">
        <f t="shared" ca="1" si="320"/>
        <v>-2.5000000000000001E-2</v>
      </c>
      <c r="CR294" s="771">
        <f t="shared" ca="1" si="321"/>
        <v>0.95</v>
      </c>
      <c r="CS294" s="771">
        <f t="shared" ca="1" si="322"/>
        <v>0.03</v>
      </c>
      <c r="CT294" s="772">
        <f t="shared" ca="1" si="323"/>
        <v>0.02</v>
      </c>
      <c r="CU294" s="135"/>
      <c r="CV294" s="135"/>
      <c r="CW294" s="135"/>
      <c r="CX294" s="135"/>
      <c r="CY294" s="135"/>
      <c r="CZ294" s="135"/>
      <c r="DA294" s="135"/>
      <c r="DB294" s="135"/>
      <c r="DC294" s="135"/>
      <c r="DD294" s="135"/>
      <c r="DE294" s="135"/>
      <c r="DF294" s="135"/>
      <c r="DG294" s="135"/>
      <c r="DH294" s="135"/>
      <c r="DI294" s="135"/>
      <c r="DJ294" s="135"/>
      <c r="DK294" s="135"/>
      <c r="DL294" s="135"/>
      <c r="DX294" s="135"/>
      <c r="DY294" s="135"/>
      <c r="DZ294" s="135"/>
      <c r="EA294" s="135"/>
      <c r="EB294" s="135"/>
      <c r="EC294" s="135"/>
      <c r="ED294" s="135"/>
      <c r="EE294" s="135"/>
      <c r="EF294" s="135"/>
      <c r="EG294" s="135"/>
      <c r="EH294" s="135"/>
      <c r="EI294" s="135"/>
      <c r="EJ294" s="135"/>
      <c r="EK294" s="135"/>
      <c r="EL294" s="135"/>
      <c r="EM294" s="135"/>
      <c r="EN294" s="135"/>
      <c r="EO294" s="135"/>
      <c r="EP294" s="135"/>
      <c r="EQ294" s="135"/>
      <c r="ER294" s="135"/>
      <c r="ES294" s="135"/>
      <c r="ET294" s="135"/>
      <c r="EU294" s="135"/>
      <c r="EV294" s="135"/>
      <c r="EW294" s="135"/>
      <c r="EX294" s="135"/>
      <c r="EY294" s="135"/>
      <c r="EZ294" s="135"/>
      <c r="FA294" s="135"/>
      <c r="FB294" s="135"/>
      <c r="FC294" s="135"/>
      <c r="FD294" s="135"/>
      <c r="FE294" s="135"/>
      <c r="FF294" s="135"/>
      <c r="FG294" s="135"/>
    </row>
    <row r="295" spans="1:163" s="57" customFormat="1" ht="11.25" outlineLevel="1">
      <c r="A295" s="765">
        <f t="shared" si="296"/>
        <v>12</v>
      </c>
      <c r="B295" s="715" cm="1">
        <f t="array" aca="1" ref="B295" ca="1">INDIRECT("'Definition of Typical Day'!"&amp;ADDRESS(B$16,$E295))</f>
        <v>12</v>
      </c>
      <c r="C295" s="766">
        <f t="shared" si="297"/>
        <v>11</v>
      </c>
      <c r="D295" s="715">
        <f t="shared" si="297"/>
        <v>45</v>
      </c>
      <c r="E295" s="715">
        <f t="shared" si="298"/>
        <v>16</v>
      </c>
      <c r="F295" s="767" cm="1">
        <f t="array" aca="1" ref="F295" ca="1">INDIRECT("'Definition of Typical Day'!D"&amp;D295)</f>
        <v>11</v>
      </c>
      <c r="G295" s="767" cm="1">
        <f t="array" aca="1" ref="G295" ca="1">INDIRECT("'Definition of Typical Day'!"&amp;ADDRESS(13,E295))</f>
        <v>12</v>
      </c>
      <c r="H295" s="768" cm="1">
        <f t="array" aca="1" ref="H295" ca="1">INDIRECT("'Definition of Typical Day'!"&amp; ADDRESS($D295+28*(H$16-1),$E295))</f>
        <v>0</v>
      </c>
      <c r="I295" s="715" cm="1">
        <f t="array" aca="1" ref="I295" ca="1">INDIRECT("'Definition of Typical Day'!"&amp; ADDRESS($D295+29*(I$16-1),$E295))</f>
        <v>0</v>
      </c>
      <c r="J295" s="715">
        <f t="shared" ca="1" si="324"/>
        <v>0</v>
      </c>
      <c r="K295" s="785">
        <f t="shared" si="325"/>
        <v>28</v>
      </c>
      <c r="L295" s="786" cm="1">
        <f t="array" aca="1" ref="L295" ca="1">INDIRECT("'Definition of Typical Day'!"&amp; ADDRESS($D295+29*(L$16-1),$E295))</f>
        <v>0</v>
      </c>
      <c r="M295" s="768" cm="1">
        <f t="array" aca="1" ref="M295" ca="1">INDIRECT("'Definition of Typical Day'!"&amp; ADDRESS($D295+29*(M$16-1),$E295))</f>
        <v>0</v>
      </c>
      <c r="N295" s="715">
        <f t="shared" si="326"/>
        <v>3</v>
      </c>
      <c r="O295" s="715">
        <f t="shared" ca="1" si="327"/>
        <v>3</v>
      </c>
      <c r="P295" s="715" cm="1">
        <f t="array" aca="1" ref="P295" ca="1">INDIRECT("'Definition of Typical Day'!"&amp; ADDRESS($D295+29*(P$16-1),$E295))</f>
        <v>0</v>
      </c>
      <c r="Q295" s="787">
        <f t="shared" ca="1" si="328"/>
        <v>3</v>
      </c>
      <c r="R295" s="792">
        <f t="shared" ca="1" si="329"/>
        <v>3</v>
      </c>
      <c r="S295" s="769">
        <f t="shared" si="330"/>
        <v>3</v>
      </c>
      <c r="T295" s="769">
        <f t="shared" ca="1" si="331"/>
        <v>-0.5</v>
      </c>
      <c r="U295" s="769">
        <f t="shared" ca="1" si="332"/>
        <v>2.262</v>
      </c>
      <c r="V295" s="769">
        <f t="shared" ca="1" si="333"/>
        <v>0</v>
      </c>
      <c r="W295" s="769">
        <f t="shared" ca="1" si="334"/>
        <v>4.7620000000000005</v>
      </c>
      <c r="X295" s="794">
        <f t="shared" si="335"/>
        <v>3</v>
      </c>
      <c r="Y295" s="769">
        <f t="shared" ca="1" si="336"/>
        <v>0.54772255750516607</v>
      </c>
      <c r="Z295" s="769">
        <f t="shared" ca="1" si="337"/>
        <v>0</v>
      </c>
      <c r="AA295" s="795">
        <f t="shared" ca="1" si="338"/>
        <v>0</v>
      </c>
      <c r="AB295" s="769">
        <f t="shared" ca="1" si="339"/>
        <v>0</v>
      </c>
      <c r="AC295" s="769">
        <f t="shared" ca="1" si="340"/>
        <v>0</v>
      </c>
      <c r="AD295" s="769">
        <f t="shared" ca="1" si="341"/>
        <v>0</v>
      </c>
      <c r="AE295" s="794">
        <f t="shared" ca="1" si="342"/>
        <v>0</v>
      </c>
      <c r="AF295" s="769">
        <f t="shared" ca="1" si="343"/>
        <v>0</v>
      </c>
      <c r="AG295" s="769">
        <f t="shared" ca="1" si="344"/>
        <v>0</v>
      </c>
      <c r="AH295" s="799">
        <f t="shared" ca="1" si="345"/>
        <v>0</v>
      </c>
      <c r="AI295" s="801">
        <f t="shared" ca="1" si="346"/>
        <v>1</v>
      </c>
      <c r="AJ295" s="794">
        <f t="shared" ca="1" si="347"/>
        <v>0</v>
      </c>
      <c r="AK295" s="769">
        <f t="shared" ca="1" si="348"/>
        <v>0</v>
      </c>
      <c r="AL295" s="769">
        <f t="shared" ca="1" si="349"/>
        <v>0</v>
      </c>
      <c r="AM295" s="804">
        <f t="shared" ca="1" si="299"/>
        <v>0</v>
      </c>
      <c r="AN295" s="795">
        <f t="shared" ca="1" si="300"/>
        <v>0</v>
      </c>
      <c r="AO295" s="251"/>
      <c r="AP295" s="770">
        <f t="shared" si="350"/>
        <v>0</v>
      </c>
      <c r="AQ295" s="771">
        <f t="shared" ca="1" si="351"/>
        <v>0</v>
      </c>
      <c r="AR295" s="771">
        <f t="shared" ca="1" si="352"/>
        <v>0</v>
      </c>
      <c r="AS295" s="772">
        <f t="shared" ca="1" si="353"/>
        <v>0</v>
      </c>
      <c r="AT295" s="231"/>
      <c r="AU295" s="770">
        <f>'Main Results - IRR DC Operator'!$F$16</f>
        <v>2</v>
      </c>
      <c r="AV295" s="773">
        <f>'Main Results - IRR DC Operator'!$F$15</f>
        <v>1</v>
      </c>
      <c r="AW295" s="771">
        <f t="shared" ca="1" si="354"/>
        <v>0</v>
      </c>
      <c r="AX295" s="772">
        <f t="shared" si="355"/>
        <v>0</v>
      </c>
      <c r="AY295" s="231"/>
      <c r="AZ295" s="770" cm="1">
        <f t="array" aca="1" ref="AZ295" ca="1">INDIRECT("'Definition of Typical Day'!"&amp; ADDRESS($D295+29*(AZ$16-1),$E295))+$AZ$17</f>
        <v>11</v>
      </c>
      <c r="BA295" s="771" cm="1">
        <f t="array" aca="1" ref="BA295" ca="1">INDIRECT("'Definition of Typical Day'!"&amp; ADDRESS($D295+29*(BA$16-1),$E295))+$BA$17</f>
        <v>11</v>
      </c>
      <c r="BB295" s="772" cm="1">
        <f t="array" aca="1" ref="BB295" ca="1">INDIRECT("'Definition of Typical Day'!"&amp;ADDRESS(BB$16,$E295))</f>
        <v>0</v>
      </c>
      <c r="BC295" s="776" cm="1">
        <f t="array" aca="1" ref="BC295" ca="1">INDIRECT("'Definition of Typical Day'!"&amp; ADDRESS($D295+29*(BC$16-1),$E295))</f>
        <v>0</v>
      </c>
      <c r="BD295" s="777" cm="1">
        <f t="array" aca="1" ref="BD295" ca="1">INDIRECT("'Definition of Typical Day'!"&amp; ADDRESS($D295+29*(BD$16-1),$E295))</f>
        <v>0</v>
      </c>
      <c r="BE295" s="776">
        <f t="shared" si="356"/>
        <v>0</v>
      </c>
      <c r="BF295" s="771">
        <f t="shared" ca="1" si="357"/>
        <v>0</v>
      </c>
      <c r="BG295" s="771">
        <f t="shared" ca="1" si="358"/>
        <v>0</v>
      </c>
      <c r="BH295" s="771">
        <f t="shared" ca="1" si="359"/>
        <v>0</v>
      </c>
      <c r="BI295" s="776">
        <f t="shared" ca="1" si="360"/>
        <v>0</v>
      </c>
      <c r="BJ295" s="776">
        <f t="shared" ca="1" si="361"/>
        <v>0</v>
      </c>
      <c r="BK295" s="776">
        <f t="shared" ca="1" si="362"/>
        <v>0</v>
      </c>
      <c r="BL295" s="776">
        <f t="shared" ca="1" si="363"/>
        <v>0</v>
      </c>
      <c r="BM295" s="135"/>
      <c r="BN295" s="776">
        <f t="shared" ca="1" si="364"/>
        <v>0</v>
      </c>
      <c r="BO295" s="778">
        <f t="shared" ca="1" si="301"/>
        <v>0</v>
      </c>
      <c r="BP295" s="770">
        <f t="shared" ca="1" si="302"/>
        <v>0</v>
      </c>
      <c r="BQ295" s="771">
        <f t="shared" ca="1" si="303"/>
        <v>0</v>
      </c>
      <c r="BR295" s="771">
        <f t="shared" ca="1" si="304"/>
        <v>0</v>
      </c>
      <c r="BS295" s="776">
        <f t="shared" ca="1" si="365"/>
        <v>0</v>
      </c>
      <c r="BT295" s="776">
        <f t="shared" ca="1" si="305"/>
        <v>0</v>
      </c>
      <c r="BU295" s="783">
        <f t="shared" ca="1" si="306"/>
        <v>0</v>
      </c>
      <c r="BV295" s="783">
        <f t="shared" ca="1" si="307"/>
        <v>0</v>
      </c>
      <c r="BW295" s="1019">
        <f t="shared" ca="1" si="366"/>
        <v>0</v>
      </c>
      <c r="BX295" s="771" cm="1">
        <f t="array" aca="1" ref="BX295" ca="1">INDIRECT("'Definition of Typical Day'!"&amp; ADDRESS($D295+29*(BX$16-1),$E295))</f>
        <v>0</v>
      </c>
      <c r="BY295" s="771">
        <f t="shared" ca="1" si="367"/>
        <v>0</v>
      </c>
      <c r="BZ295" s="781">
        <f t="shared" ca="1" si="308"/>
        <v>0</v>
      </c>
      <c r="CA295" s="781">
        <f t="shared" ca="1" si="309"/>
        <v>0</v>
      </c>
      <c r="CB295" s="776">
        <f t="shared" ca="1" si="310"/>
        <v>0</v>
      </c>
      <c r="CC295" s="782">
        <f t="shared" si="311"/>
        <v>12</v>
      </c>
      <c r="CD295" s="782">
        <f t="shared" si="312"/>
        <v>11</v>
      </c>
      <c r="CE295" s="784" cm="1">
        <f t="array" aca="1" ref="CE295" ca="1">INDIRECT("'Definition of Typical Day'!"&amp;ADDRESS(CE$16,$E295))</f>
        <v>12</v>
      </c>
      <c r="CF295" s="232"/>
      <c r="CG295" s="232"/>
      <c r="CH295" s="776">
        <f t="shared" ca="1" si="313"/>
        <v>0</v>
      </c>
      <c r="CI295" s="806">
        <f t="shared" ca="1" si="314"/>
        <v>0</v>
      </c>
      <c r="CJ295" s="770">
        <f t="shared" ca="1" si="315"/>
        <v>0</v>
      </c>
      <c r="CK295" s="771">
        <f t="shared" ca="1" si="316"/>
        <v>0</v>
      </c>
      <c r="CL295" s="771">
        <f t="shared" ca="1" si="317"/>
        <v>0</v>
      </c>
      <c r="CM295" s="772">
        <f t="shared" ca="1" si="318"/>
        <v>0</v>
      </c>
      <c r="CN295" s="135"/>
      <c r="CO295" s="770">
        <f t="shared" ca="1" si="368"/>
        <v>1.05</v>
      </c>
      <c r="CP295" s="771">
        <f t="shared" ca="1" si="319"/>
        <v>0.02</v>
      </c>
      <c r="CQ295" s="771">
        <f t="shared" ca="1" si="320"/>
        <v>-2.5000000000000001E-2</v>
      </c>
      <c r="CR295" s="771">
        <f t="shared" ca="1" si="321"/>
        <v>0.95</v>
      </c>
      <c r="CS295" s="771">
        <f t="shared" ca="1" si="322"/>
        <v>0.03</v>
      </c>
      <c r="CT295" s="772">
        <f t="shared" ca="1" si="323"/>
        <v>0.02</v>
      </c>
      <c r="CU295" s="135"/>
      <c r="CV295" s="135"/>
      <c r="CW295" s="135"/>
      <c r="CX295" s="135"/>
      <c r="CY295" s="135"/>
      <c r="CZ295" s="135"/>
      <c r="DA295" s="135"/>
      <c r="DB295" s="135"/>
      <c r="DC295" s="135"/>
      <c r="DD295" s="135"/>
      <c r="DE295" s="135"/>
      <c r="DF295" s="135"/>
      <c r="DG295" s="135"/>
      <c r="DH295" s="135"/>
      <c r="DI295" s="135"/>
      <c r="DJ295" s="135"/>
      <c r="DK295" s="135"/>
      <c r="DL295" s="135"/>
      <c r="DX295" s="135"/>
      <c r="DY295" s="135"/>
      <c r="DZ295" s="135"/>
      <c r="EA295" s="135"/>
      <c r="EB295" s="135"/>
      <c r="EC295" s="135"/>
      <c r="ED295" s="135"/>
      <c r="EE295" s="135"/>
      <c r="EF295" s="135"/>
      <c r="EG295" s="135"/>
      <c r="EH295" s="135"/>
      <c r="EI295" s="135"/>
      <c r="EJ295" s="135"/>
      <c r="EK295" s="135"/>
      <c r="EL295" s="135"/>
      <c r="EM295" s="135"/>
      <c r="EN295" s="135"/>
      <c r="EO295" s="135"/>
      <c r="EP295" s="135"/>
      <c r="EQ295" s="135"/>
      <c r="ER295" s="135"/>
      <c r="ES295" s="135"/>
      <c r="ET295" s="135"/>
      <c r="EU295" s="135"/>
      <c r="EV295" s="135"/>
      <c r="EW295" s="135"/>
      <c r="EX295" s="135"/>
      <c r="EY295" s="135"/>
      <c r="EZ295" s="135"/>
      <c r="FA295" s="135"/>
      <c r="FB295" s="135"/>
      <c r="FC295" s="135"/>
      <c r="FD295" s="135"/>
      <c r="FE295" s="135"/>
      <c r="FF295" s="135"/>
      <c r="FG295" s="135"/>
    </row>
    <row r="296" spans="1:163" s="57" customFormat="1" ht="11.25" outlineLevel="1">
      <c r="A296" s="765">
        <f t="shared" si="296"/>
        <v>12</v>
      </c>
      <c r="B296" s="715" cm="1">
        <f t="array" aca="1" ref="B296" ca="1">INDIRECT("'Definition of Typical Day'!"&amp;ADDRESS(B$16,$E296))</f>
        <v>12</v>
      </c>
      <c r="C296" s="766">
        <f t="shared" si="297"/>
        <v>12</v>
      </c>
      <c r="D296" s="715">
        <f t="shared" si="297"/>
        <v>46</v>
      </c>
      <c r="E296" s="715">
        <f t="shared" si="298"/>
        <v>16</v>
      </c>
      <c r="F296" s="767" cm="1">
        <f t="array" aca="1" ref="F296" ca="1">INDIRECT("'Definition of Typical Day'!D"&amp;D296)</f>
        <v>12</v>
      </c>
      <c r="G296" s="767" cm="1">
        <f t="array" aca="1" ref="G296" ca="1">INDIRECT("'Definition of Typical Day'!"&amp;ADDRESS(13,E296))</f>
        <v>12</v>
      </c>
      <c r="H296" s="768" cm="1">
        <f t="array" aca="1" ref="H296" ca="1">INDIRECT("'Definition of Typical Day'!"&amp; ADDRESS($D296+28*(H$16-1),$E296))</f>
        <v>0</v>
      </c>
      <c r="I296" s="715" cm="1">
        <f t="array" aca="1" ref="I296" ca="1">INDIRECT("'Definition of Typical Day'!"&amp; ADDRESS($D296+29*(I$16-1),$E296))</f>
        <v>0</v>
      </c>
      <c r="J296" s="715">
        <f t="shared" ca="1" si="324"/>
        <v>0</v>
      </c>
      <c r="K296" s="785">
        <f t="shared" si="325"/>
        <v>28</v>
      </c>
      <c r="L296" s="786" cm="1">
        <f t="array" aca="1" ref="L296" ca="1">INDIRECT("'Definition of Typical Day'!"&amp; ADDRESS($D296+29*(L$16-1),$E296))</f>
        <v>0</v>
      </c>
      <c r="M296" s="768" cm="1">
        <f t="array" aca="1" ref="M296" ca="1">INDIRECT("'Definition of Typical Day'!"&amp; ADDRESS($D296+29*(M$16-1),$E296))</f>
        <v>0</v>
      </c>
      <c r="N296" s="715">
        <f t="shared" si="326"/>
        <v>3</v>
      </c>
      <c r="O296" s="715">
        <f t="shared" ca="1" si="327"/>
        <v>3</v>
      </c>
      <c r="P296" s="715" cm="1">
        <f t="array" aca="1" ref="P296" ca="1">INDIRECT("'Definition of Typical Day'!"&amp; ADDRESS($D296+29*(P$16-1),$E296))</f>
        <v>0</v>
      </c>
      <c r="Q296" s="787">
        <f t="shared" ca="1" si="328"/>
        <v>3</v>
      </c>
      <c r="R296" s="792">
        <f t="shared" ca="1" si="329"/>
        <v>3</v>
      </c>
      <c r="S296" s="769">
        <f t="shared" si="330"/>
        <v>3</v>
      </c>
      <c r="T296" s="769">
        <f t="shared" ca="1" si="331"/>
        <v>-0.5</v>
      </c>
      <c r="U296" s="769">
        <f t="shared" ca="1" si="332"/>
        <v>2.262</v>
      </c>
      <c r="V296" s="769">
        <f t="shared" ca="1" si="333"/>
        <v>0</v>
      </c>
      <c r="W296" s="769">
        <f t="shared" ca="1" si="334"/>
        <v>4.7620000000000005</v>
      </c>
      <c r="X296" s="794">
        <f t="shared" si="335"/>
        <v>3</v>
      </c>
      <c r="Y296" s="769">
        <f t="shared" ca="1" si="336"/>
        <v>0.54772255750516607</v>
      </c>
      <c r="Z296" s="769">
        <f t="shared" ca="1" si="337"/>
        <v>0</v>
      </c>
      <c r="AA296" s="795">
        <f t="shared" ca="1" si="338"/>
        <v>0</v>
      </c>
      <c r="AB296" s="769">
        <f t="shared" ca="1" si="339"/>
        <v>0</v>
      </c>
      <c r="AC296" s="769">
        <f t="shared" ca="1" si="340"/>
        <v>0</v>
      </c>
      <c r="AD296" s="769">
        <f t="shared" ca="1" si="341"/>
        <v>0</v>
      </c>
      <c r="AE296" s="794">
        <f t="shared" ca="1" si="342"/>
        <v>0</v>
      </c>
      <c r="AF296" s="769">
        <f t="shared" ca="1" si="343"/>
        <v>0</v>
      </c>
      <c r="AG296" s="769">
        <f t="shared" ca="1" si="344"/>
        <v>0</v>
      </c>
      <c r="AH296" s="799">
        <f t="shared" ca="1" si="345"/>
        <v>0</v>
      </c>
      <c r="AI296" s="801">
        <f t="shared" ca="1" si="346"/>
        <v>1</v>
      </c>
      <c r="AJ296" s="794">
        <f t="shared" ca="1" si="347"/>
        <v>0</v>
      </c>
      <c r="AK296" s="769">
        <f t="shared" ca="1" si="348"/>
        <v>0</v>
      </c>
      <c r="AL296" s="769">
        <f t="shared" ca="1" si="349"/>
        <v>0</v>
      </c>
      <c r="AM296" s="804">
        <f t="shared" ca="1" si="299"/>
        <v>0</v>
      </c>
      <c r="AN296" s="795">
        <f t="shared" ca="1" si="300"/>
        <v>0</v>
      </c>
      <c r="AO296" s="251"/>
      <c r="AP296" s="770">
        <f t="shared" si="350"/>
        <v>0</v>
      </c>
      <c r="AQ296" s="771">
        <f t="shared" ca="1" si="351"/>
        <v>0</v>
      </c>
      <c r="AR296" s="771">
        <f t="shared" ca="1" si="352"/>
        <v>0</v>
      </c>
      <c r="AS296" s="772">
        <f t="shared" ca="1" si="353"/>
        <v>0</v>
      </c>
      <c r="AT296" s="231"/>
      <c r="AU296" s="770">
        <f>'Main Results - IRR DC Operator'!$F$16</f>
        <v>2</v>
      </c>
      <c r="AV296" s="773">
        <f>'Main Results - IRR DC Operator'!$F$15</f>
        <v>1</v>
      </c>
      <c r="AW296" s="771">
        <f t="shared" ca="1" si="354"/>
        <v>0</v>
      </c>
      <c r="AX296" s="772">
        <f t="shared" si="355"/>
        <v>0</v>
      </c>
      <c r="AY296" s="231"/>
      <c r="AZ296" s="770" cm="1">
        <f t="array" aca="1" ref="AZ296" ca="1">INDIRECT("'Definition of Typical Day'!"&amp; ADDRESS($D296+29*(AZ$16-1),$E296))+$AZ$17</f>
        <v>11</v>
      </c>
      <c r="BA296" s="771" cm="1">
        <f t="array" aca="1" ref="BA296" ca="1">INDIRECT("'Definition of Typical Day'!"&amp; ADDRESS($D296+29*(BA$16-1),$E296))+$BA$17</f>
        <v>11</v>
      </c>
      <c r="BB296" s="772" cm="1">
        <f t="array" aca="1" ref="BB296" ca="1">INDIRECT("'Definition of Typical Day'!"&amp;ADDRESS(BB$16,$E296))</f>
        <v>0</v>
      </c>
      <c r="BC296" s="776" cm="1">
        <f t="array" aca="1" ref="BC296" ca="1">INDIRECT("'Definition of Typical Day'!"&amp; ADDRESS($D296+29*(BC$16-1),$E296))</f>
        <v>0</v>
      </c>
      <c r="BD296" s="777" cm="1">
        <f t="array" aca="1" ref="BD296" ca="1">INDIRECT("'Definition of Typical Day'!"&amp; ADDRESS($D296+29*(BD$16-1),$E296))</f>
        <v>0</v>
      </c>
      <c r="BE296" s="776">
        <f t="shared" si="356"/>
        <v>0</v>
      </c>
      <c r="BF296" s="771">
        <f t="shared" ca="1" si="357"/>
        <v>0</v>
      </c>
      <c r="BG296" s="771">
        <f t="shared" ca="1" si="358"/>
        <v>0</v>
      </c>
      <c r="BH296" s="771">
        <f t="shared" ca="1" si="359"/>
        <v>0</v>
      </c>
      <c r="BI296" s="776">
        <f t="shared" ca="1" si="360"/>
        <v>0</v>
      </c>
      <c r="BJ296" s="776">
        <f t="shared" ca="1" si="361"/>
        <v>0</v>
      </c>
      <c r="BK296" s="776">
        <f t="shared" ca="1" si="362"/>
        <v>0</v>
      </c>
      <c r="BL296" s="776">
        <f t="shared" ca="1" si="363"/>
        <v>0</v>
      </c>
      <c r="BM296" s="135"/>
      <c r="BN296" s="776">
        <f t="shared" ca="1" si="364"/>
        <v>0</v>
      </c>
      <c r="BO296" s="778">
        <f t="shared" ca="1" si="301"/>
        <v>0</v>
      </c>
      <c r="BP296" s="770">
        <f t="shared" ca="1" si="302"/>
        <v>0</v>
      </c>
      <c r="BQ296" s="771">
        <f t="shared" ca="1" si="303"/>
        <v>0</v>
      </c>
      <c r="BR296" s="771">
        <f t="shared" ca="1" si="304"/>
        <v>0</v>
      </c>
      <c r="BS296" s="776">
        <f t="shared" ca="1" si="365"/>
        <v>0</v>
      </c>
      <c r="BT296" s="776">
        <f t="shared" ca="1" si="305"/>
        <v>0</v>
      </c>
      <c r="BU296" s="783">
        <f t="shared" ca="1" si="306"/>
        <v>0</v>
      </c>
      <c r="BV296" s="783">
        <f t="shared" ca="1" si="307"/>
        <v>0</v>
      </c>
      <c r="BW296" s="1019">
        <f t="shared" ca="1" si="366"/>
        <v>0</v>
      </c>
      <c r="BX296" s="771" cm="1">
        <f t="array" aca="1" ref="BX296" ca="1">INDIRECT("'Definition of Typical Day'!"&amp; ADDRESS($D296+29*(BX$16-1),$E296))</f>
        <v>0</v>
      </c>
      <c r="BY296" s="771">
        <f t="shared" ca="1" si="367"/>
        <v>0</v>
      </c>
      <c r="BZ296" s="781">
        <f t="shared" ca="1" si="308"/>
        <v>0</v>
      </c>
      <c r="CA296" s="781">
        <f t="shared" ca="1" si="309"/>
        <v>0</v>
      </c>
      <c r="CB296" s="776">
        <f t="shared" ca="1" si="310"/>
        <v>0</v>
      </c>
      <c r="CC296" s="782">
        <f t="shared" si="311"/>
        <v>12</v>
      </c>
      <c r="CD296" s="782">
        <f t="shared" si="312"/>
        <v>12</v>
      </c>
      <c r="CE296" s="784" cm="1">
        <f t="array" aca="1" ref="CE296" ca="1">INDIRECT("'Definition of Typical Day'!"&amp;ADDRESS(CE$16,$E296))</f>
        <v>12</v>
      </c>
      <c r="CF296" s="232"/>
      <c r="CG296" s="232"/>
      <c r="CH296" s="776">
        <f t="shared" ca="1" si="313"/>
        <v>0</v>
      </c>
      <c r="CI296" s="806">
        <f t="shared" ca="1" si="314"/>
        <v>0</v>
      </c>
      <c r="CJ296" s="770">
        <f t="shared" ca="1" si="315"/>
        <v>0</v>
      </c>
      <c r="CK296" s="771">
        <f t="shared" ca="1" si="316"/>
        <v>0</v>
      </c>
      <c r="CL296" s="771">
        <f t="shared" ca="1" si="317"/>
        <v>0</v>
      </c>
      <c r="CM296" s="772">
        <f t="shared" ca="1" si="318"/>
        <v>0</v>
      </c>
      <c r="CN296" s="135"/>
      <c r="CO296" s="770">
        <f t="shared" ca="1" si="368"/>
        <v>1.05</v>
      </c>
      <c r="CP296" s="771">
        <f t="shared" ca="1" si="319"/>
        <v>0.02</v>
      </c>
      <c r="CQ296" s="771">
        <f t="shared" ca="1" si="320"/>
        <v>-2.5000000000000001E-2</v>
      </c>
      <c r="CR296" s="771">
        <f t="shared" ca="1" si="321"/>
        <v>0.95</v>
      </c>
      <c r="CS296" s="771">
        <f t="shared" ca="1" si="322"/>
        <v>0.03</v>
      </c>
      <c r="CT296" s="772">
        <f t="shared" ca="1" si="323"/>
        <v>0.02</v>
      </c>
      <c r="CU296" s="135"/>
      <c r="CV296" s="135"/>
      <c r="CW296" s="135"/>
      <c r="CX296" s="135"/>
      <c r="CY296" s="135"/>
      <c r="CZ296" s="135"/>
      <c r="DA296" s="135"/>
      <c r="DB296" s="135"/>
      <c r="DC296" s="135"/>
      <c r="DD296" s="135"/>
      <c r="DE296" s="135"/>
      <c r="DF296" s="135"/>
      <c r="DG296" s="135"/>
      <c r="DH296" s="135"/>
      <c r="DI296" s="135"/>
      <c r="DJ296" s="135"/>
      <c r="DK296" s="135"/>
      <c r="DL296" s="135"/>
      <c r="DX296" s="135"/>
      <c r="DY296" s="135"/>
      <c r="DZ296" s="135"/>
      <c r="EA296" s="135"/>
      <c r="EB296" s="135"/>
      <c r="EC296" s="135"/>
      <c r="ED296" s="135"/>
      <c r="EE296" s="135"/>
      <c r="EF296" s="135"/>
      <c r="EG296" s="135"/>
      <c r="EH296" s="135"/>
      <c r="EI296" s="135"/>
      <c r="EJ296" s="135"/>
      <c r="EK296" s="135"/>
      <c r="EL296" s="135"/>
      <c r="EM296" s="135"/>
      <c r="EN296" s="135"/>
      <c r="EO296" s="135"/>
      <c r="EP296" s="135"/>
      <c r="EQ296" s="135"/>
      <c r="ER296" s="135"/>
      <c r="ES296" s="135"/>
      <c r="ET296" s="135"/>
      <c r="EU296" s="135"/>
      <c r="EV296" s="135"/>
      <c r="EW296" s="135"/>
      <c r="EX296" s="135"/>
      <c r="EY296" s="135"/>
      <c r="EZ296" s="135"/>
      <c r="FA296" s="135"/>
      <c r="FB296" s="135"/>
      <c r="FC296" s="135"/>
      <c r="FD296" s="135"/>
      <c r="FE296" s="135"/>
      <c r="FF296" s="135"/>
      <c r="FG296" s="135"/>
    </row>
    <row r="297" spans="1:163" s="57" customFormat="1" ht="11.25" outlineLevel="1">
      <c r="A297" s="765">
        <f t="shared" si="296"/>
        <v>12</v>
      </c>
      <c r="B297" s="715" cm="1">
        <f t="array" aca="1" ref="B297" ca="1">INDIRECT("'Definition of Typical Day'!"&amp;ADDRESS(B$16,$E297))</f>
        <v>12</v>
      </c>
      <c r="C297" s="766">
        <f t="shared" si="297"/>
        <v>13</v>
      </c>
      <c r="D297" s="715">
        <f t="shared" si="297"/>
        <v>47</v>
      </c>
      <c r="E297" s="715">
        <f t="shared" si="298"/>
        <v>16</v>
      </c>
      <c r="F297" s="767" cm="1">
        <f t="array" aca="1" ref="F297" ca="1">INDIRECT("'Definition of Typical Day'!D"&amp;D297)</f>
        <v>13</v>
      </c>
      <c r="G297" s="767" cm="1">
        <f t="array" aca="1" ref="G297" ca="1">INDIRECT("'Definition of Typical Day'!"&amp;ADDRESS(13,E297))</f>
        <v>12</v>
      </c>
      <c r="H297" s="768" cm="1">
        <f t="array" aca="1" ref="H297" ca="1">INDIRECT("'Definition of Typical Day'!"&amp; ADDRESS($D297+28*(H$16-1),$E297))</f>
        <v>0</v>
      </c>
      <c r="I297" s="715" cm="1">
        <f t="array" aca="1" ref="I297" ca="1">INDIRECT("'Definition of Typical Day'!"&amp; ADDRESS($D297+29*(I$16-1),$E297))</f>
        <v>0</v>
      </c>
      <c r="J297" s="715">
        <f t="shared" ca="1" si="324"/>
        <v>0</v>
      </c>
      <c r="K297" s="785">
        <f t="shared" si="325"/>
        <v>28</v>
      </c>
      <c r="L297" s="786" cm="1">
        <f t="array" aca="1" ref="L297" ca="1">INDIRECT("'Definition of Typical Day'!"&amp; ADDRESS($D297+29*(L$16-1),$E297))</f>
        <v>0</v>
      </c>
      <c r="M297" s="768" cm="1">
        <f t="array" aca="1" ref="M297" ca="1">INDIRECT("'Definition of Typical Day'!"&amp; ADDRESS($D297+29*(M$16-1),$E297))</f>
        <v>0</v>
      </c>
      <c r="N297" s="715">
        <f t="shared" si="326"/>
        <v>3</v>
      </c>
      <c r="O297" s="715">
        <f t="shared" ca="1" si="327"/>
        <v>3</v>
      </c>
      <c r="P297" s="715" cm="1">
        <f t="array" aca="1" ref="P297" ca="1">INDIRECT("'Definition of Typical Day'!"&amp; ADDRESS($D297+29*(P$16-1),$E297))</f>
        <v>0</v>
      </c>
      <c r="Q297" s="787">
        <f t="shared" ca="1" si="328"/>
        <v>3</v>
      </c>
      <c r="R297" s="792">
        <f t="shared" ca="1" si="329"/>
        <v>3</v>
      </c>
      <c r="S297" s="769">
        <f t="shared" si="330"/>
        <v>3</v>
      </c>
      <c r="T297" s="769">
        <f t="shared" ca="1" si="331"/>
        <v>-0.5</v>
      </c>
      <c r="U297" s="769">
        <f t="shared" ca="1" si="332"/>
        <v>2.262</v>
      </c>
      <c r="V297" s="769">
        <f t="shared" ca="1" si="333"/>
        <v>0</v>
      </c>
      <c r="W297" s="769">
        <f t="shared" ca="1" si="334"/>
        <v>4.7620000000000005</v>
      </c>
      <c r="X297" s="794">
        <f t="shared" si="335"/>
        <v>3</v>
      </c>
      <c r="Y297" s="769">
        <f t="shared" ca="1" si="336"/>
        <v>0.54772255750516607</v>
      </c>
      <c r="Z297" s="769">
        <f t="shared" ca="1" si="337"/>
        <v>0</v>
      </c>
      <c r="AA297" s="795">
        <f t="shared" ca="1" si="338"/>
        <v>0</v>
      </c>
      <c r="AB297" s="769">
        <f t="shared" ca="1" si="339"/>
        <v>0</v>
      </c>
      <c r="AC297" s="769">
        <f t="shared" ca="1" si="340"/>
        <v>0</v>
      </c>
      <c r="AD297" s="769">
        <f t="shared" ca="1" si="341"/>
        <v>0</v>
      </c>
      <c r="AE297" s="794">
        <f t="shared" ca="1" si="342"/>
        <v>0</v>
      </c>
      <c r="AF297" s="769">
        <f t="shared" ca="1" si="343"/>
        <v>0</v>
      </c>
      <c r="AG297" s="769">
        <f t="shared" ca="1" si="344"/>
        <v>0</v>
      </c>
      <c r="AH297" s="799">
        <f t="shared" ca="1" si="345"/>
        <v>0</v>
      </c>
      <c r="AI297" s="801">
        <f t="shared" ca="1" si="346"/>
        <v>1</v>
      </c>
      <c r="AJ297" s="794">
        <f t="shared" ca="1" si="347"/>
        <v>0</v>
      </c>
      <c r="AK297" s="769">
        <f t="shared" ca="1" si="348"/>
        <v>0</v>
      </c>
      <c r="AL297" s="769">
        <f t="shared" ca="1" si="349"/>
        <v>0</v>
      </c>
      <c r="AM297" s="804">
        <f t="shared" ca="1" si="299"/>
        <v>0</v>
      </c>
      <c r="AN297" s="795">
        <f t="shared" ca="1" si="300"/>
        <v>0</v>
      </c>
      <c r="AO297" s="251"/>
      <c r="AP297" s="770">
        <f t="shared" si="350"/>
        <v>0</v>
      </c>
      <c r="AQ297" s="771">
        <f t="shared" ca="1" si="351"/>
        <v>0</v>
      </c>
      <c r="AR297" s="771">
        <f t="shared" ca="1" si="352"/>
        <v>0</v>
      </c>
      <c r="AS297" s="772">
        <f t="shared" ca="1" si="353"/>
        <v>0</v>
      </c>
      <c r="AT297" s="231"/>
      <c r="AU297" s="770">
        <f>'Main Results - IRR DC Operator'!$F$16</f>
        <v>2</v>
      </c>
      <c r="AV297" s="773">
        <f>'Main Results - IRR DC Operator'!$F$15</f>
        <v>1</v>
      </c>
      <c r="AW297" s="771">
        <f t="shared" ca="1" si="354"/>
        <v>0</v>
      </c>
      <c r="AX297" s="772">
        <f t="shared" si="355"/>
        <v>0</v>
      </c>
      <c r="AY297" s="231"/>
      <c r="AZ297" s="770" cm="1">
        <f t="array" aca="1" ref="AZ297" ca="1">INDIRECT("'Definition of Typical Day'!"&amp; ADDRESS($D297+29*(AZ$16-1),$E297))+$AZ$17</f>
        <v>11</v>
      </c>
      <c r="BA297" s="771" cm="1">
        <f t="array" aca="1" ref="BA297" ca="1">INDIRECT("'Definition of Typical Day'!"&amp; ADDRESS($D297+29*(BA$16-1),$E297))+$BA$17</f>
        <v>11</v>
      </c>
      <c r="BB297" s="772" cm="1">
        <f t="array" aca="1" ref="BB297" ca="1">INDIRECT("'Definition of Typical Day'!"&amp;ADDRESS(BB$16,$E297))</f>
        <v>0</v>
      </c>
      <c r="BC297" s="776" cm="1">
        <f t="array" aca="1" ref="BC297" ca="1">INDIRECT("'Definition of Typical Day'!"&amp; ADDRESS($D297+29*(BC$16-1),$E297))</f>
        <v>0</v>
      </c>
      <c r="BD297" s="777" cm="1">
        <f t="array" aca="1" ref="BD297" ca="1">INDIRECT("'Definition of Typical Day'!"&amp; ADDRESS($D297+29*(BD$16-1),$E297))</f>
        <v>0</v>
      </c>
      <c r="BE297" s="776">
        <f t="shared" si="356"/>
        <v>0</v>
      </c>
      <c r="BF297" s="771">
        <f t="shared" ca="1" si="357"/>
        <v>0</v>
      </c>
      <c r="BG297" s="771">
        <f t="shared" ca="1" si="358"/>
        <v>0</v>
      </c>
      <c r="BH297" s="771">
        <f t="shared" ca="1" si="359"/>
        <v>0</v>
      </c>
      <c r="BI297" s="776">
        <f t="shared" ca="1" si="360"/>
        <v>0</v>
      </c>
      <c r="BJ297" s="776">
        <f t="shared" ca="1" si="361"/>
        <v>0</v>
      </c>
      <c r="BK297" s="776">
        <f t="shared" ca="1" si="362"/>
        <v>0</v>
      </c>
      <c r="BL297" s="776">
        <f t="shared" ca="1" si="363"/>
        <v>0</v>
      </c>
      <c r="BM297" s="135"/>
      <c r="BN297" s="776">
        <f t="shared" ca="1" si="364"/>
        <v>0</v>
      </c>
      <c r="BO297" s="778">
        <f t="shared" ca="1" si="301"/>
        <v>0</v>
      </c>
      <c r="BP297" s="770">
        <f t="shared" ca="1" si="302"/>
        <v>0</v>
      </c>
      <c r="BQ297" s="771">
        <f t="shared" ca="1" si="303"/>
        <v>0</v>
      </c>
      <c r="BR297" s="771">
        <f t="shared" ca="1" si="304"/>
        <v>0</v>
      </c>
      <c r="BS297" s="776">
        <f t="shared" ca="1" si="365"/>
        <v>0</v>
      </c>
      <c r="BT297" s="776">
        <f t="shared" ca="1" si="305"/>
        <v>0</v>
      </c>
      <c r="BU297" s="783">
        <f t="shared" ca="1" si="306"/>
        <v>0</v>
      </c>
      <c r="BV297" s="783">
        <f t="shared" ca="1" si="307"/>
        <v>0</v>
      </c>
      <c r="BW297" s="1019">
        <f t="shared" ca="1" si="366"/>
        <v>0</v>
      </c>
      <c r="BX297" s="771" cm="1">
        <f t="array" aca="1" ref="BX297" ca="1">INDIRECT("'Definition of Typical Day'!"&amp; ADDRESS($D297+29*(BX$16-1),$E297))</f>
        <v>0</v>
      </c>
      <c r="BY297" s="771">
        <f t="shared" ca="1" si="367"/>
        <v>0</v>
      </c>
      <c r="BZ297" s="781">
        <f t="shared" ca="1" si="308"/>
        <v>0</v>
      </c>
      <c r="CA297" s="781">
        <f t="shared" ca="1" si="309"/>
        <v>0</v>
      </c>
      <c r="CB297" s="776">
        <f t="shared" ca="1" si="310"/>
        <v>0</v>
      </c>
      <c r="CC297" s="782">
        <f t="shared" si="311"/>
        <v>12</v>
      </c>
      <c r="CD297" s="782">
        <f t="shared" si="312"/>
        <v>13</v>
      </c>
      <c r="CE297" s="784" cm="1">
        <f t="array" aca="1" ref="CE297" ca="1">INDIRECT("'Definition of Typical Day'!"&amp;ADDRESS(CE$16,$E297))</f>
        <v>12</v>
      </c>
      <c r="CF297" s="232"/>
      <c r="CG297" s="232"/>
      <c r="CH297" s="776">
        <f t="shared" ca="1" si="313"/>
        <v>0</v>
      </c>
      <c r="CI297" s="806">
        <f t="shared" ca="1" si="314"/>
        <v>0</v>
      </c>
      <c r="CJ297" s="770">
        <f t="shared" ca="1" si="315"/>
        <v>0</v>
      </c>
      <c r="CK297" s="771">
        <f t="shared" ca="1" si="316"/>
        <v>0</v>
      </c>
      <c r="CL297" s="771">
        <f t="shared" ca="1" si="317"/>
        <v>0</v>
      </c>
      <c r="CM297" s="772">
        <f t="shared" ca="1" si="318"/>
        <v>0</v>
      </c>
      <c r="CN297" s="135"/>
      <c r="CO297" s="770">
        <f t="shared" ca="1" si="368"/>
        <v>1.05</v>
      </c>
      <c r="CP297" s="771">
        <f t="shared" ca="1" si="319"/>
        <v>0.02</v>
      </c>
      <c r="CQ297" s="771">
        <f t="shared" ca="1" si="320"/>
        <v>-2.5000000000000001E-2</v>
      </c>
      <c r="CR297" s="771">
        <f t="shared" ca="1" si="321"/>
        <v>0.95</v>
      </c>
      <c r="CS297" s="771">
        <f t="shared" ca="1" si="322"/>
        <v>0.03</v>
      </c>
      <c r="CT297" s="772">
        <f t="shared" ca="1" si="323"/>
        <v>0.02</v>
      </c>
      <c r="CU297" s="135"/>
      <c r="CV297" s="135"/>
      <c r="CW297" s="135"/>
      <c r="CX297" s="135"/>
      <c r="CY297" s="135"/>
      <c r="CZ297" s="135"/>
      <c r="DA297" s="135"/>
      <c r="DB297" s="135"/>
      <c r="DC297" s="135"/>
      <c r="DD297" s="135"/>
      <c r="DE297" s="135"/>
      <c r="DF297" s="135"/>
      <c r="DG297" s="135"/>
      <c r="DH297" s="135"/>
      <c r="DI297" s="135"/>
      <c r="DJ297" s="135"/>
      <c r="DK297" s="135"/>
      <c r="DL297" s="135"/>
      <c r="DX297" s="135"/>
      <c r="DY297" s="135"/>
      <c r="DZ297" s="135"/>
      <c r="EA297" s="135"/>
      <c r="EB297" s="135"/>
      <c r="EC297" s="135"/>
      <c r="ED297" s="135"/>
      <c r="EE297" s="135"/>
      <c r="EF297" s="135"/>
      <c r="EG297" s="135"/>
      <c r="EH297" s="135"/>
      <c r="EI297" s="135"/>
      <c r="EJ297" s="135"/>
      <c r="EK297" s="135"/>
      <c r="EL297" s="135"/>
      <c r="EM297" s="135"/>
      <c r="EN297" s="135"/>
      <c r="EO297" s="135"/>
      <c r="EP297" s="135"/>
      <c r="EQ297" s="135"/>
      <c r="ER297" s="135"/>
      <c r="ES297" s="135"/>
      <c r="ET297" s="135"/>
      <c r="EU297" s="135"/>
      <c r="EV297" s="135"/>
      <c r="EW297" s="135"/>
      <c r="EX297" s="135"/>
      <c r="EY297" s="135"/>
      <c r="EZ297" s="135"/>
      <c r="FA297" s="135"/>
      <c r="FB297" s="135"/>
      <c r="FC297" s="135"/>
      <c r="FD297" s="135"/>
      <c r="FE297" s="135"/>
      <c r="FF297" s="135"/>
      <c r="FG297" s="135"/>
    </row>
    <row r="298" spans="1:163" s="57" customFormat="1" ht="11.25" outlineLevel="1">
      <c r="A298" s="765">
        <f t="shared" si="296"/>
        <v>12</v>
      </c>
      <c r="B298" s="715" cm="1">
        <f t="array" aca="1" ref="B298" ca="1">INDIRECT("'Definition of Typical Day'!"&amp;ADDRESS(B$16,$E298))</f>
        <v>12</v>
      </c>
      <c r="C298" s="766">
        <f t="shared" si="297"/>
        <v>14</v>
      </c>
      <c r="D298" s="715">
        <f t="shared" si="297"/>
        <v>48</v>
      </c>
      <c r="E298" s="715">
        <f t="shared" si="298"/>
        <v>16</v>
      </c>
      <c r="F298" s="767" cm="1">
        <f t="array" aca="1" ref="F298" ca="1">INDIRECT("'Definition of Typical Day'!D"&amp;D298)</f>
        <v>14</v>
      </c>
      <c r="G298" s="767" cm="1">
        <f t="array" aca="1" ref="G298" ca="1">INDIRECT("'Definition of Typical Day'!"&amp;ADDRESS(13,E298))</f>
        <v>12</v>
      </c>
      <c r="H298" s="768" cm="1">
        <f t="array" aca="1" ref="H298" ca="1">INDIRECT("'Definition of Typical Day'!"&amp; ADDRESS($D298+28*(H$16-1),$E298))</f>
        <v>0</v>
      </c>
      <c r="I298" s="715" cm="1">
        <f t="array" aca="1" ref="I298" ca="1">INDIRECT("'Definition of Typical Day'!"&amp; ADDRESS($D298+29*(I$16-1),$E298))</f>
        <v>0</v>
      </c>
      <c r="J298" s="715">
        <f t="shared" ca="1" si="324"/>
        <v>0</v>
      </c>
      <c r="K298" s="785">
        <f t="shared" si="325"/>
        <v>28</v>
      </c>
      <c r="L298" s="786" cm="1">
        <f t="array" aca="1" ref="L298" ca="1">INDIRECT("'Definition of Typical Day'!"&amp; ADDRESS($D298+29*(L$16-1),$E298))</f>
        <v>0</v>
      </c>
      <c r="M298" s="768" cm="1">
        <f t="array" aca="1" ref="M298" ca="1">INDIRECT("'Definition of Typical Day'!"&amp; ADDRESS($D298+29*(M$16-1),$E298))</f>
        <v>0</v>
      </c>
      <c r="N298" s="715">
        <f t="shared" si="326"/>
        <v>3</v>
      </c>
      <c r="O298" s="715">
        <f t="shared" ca="1" si="327"/>
        <v>3</v>
      </c>
      <c r="P298" s="715" cm="1">
        <f t="array" aca="1" ref="P298" ca="1">INDIRECT("'Definition of Typical Day'!"&amp; ADDRESS($D298+29*(P$16-1),$E298))</f>
        <v>0</v>
      </c>
      <c r="Q298" s="787">
        <f t="shared" ca="1" si="328"/>
        <v>3</v>
      </c>
      <c r="R298" s="792">
        <f t="shared" ca="1" si="329"/>
        <v>3</v>
      </c>
      <c r="S298" s="769">
        <f t="shared" si="330"/>
        <v>3</v>
      </c>
      <c r="T298" s="769">
        <f t="shared" ca="1" si="331"/>
        <v>-0.5</v>
      </c>
      <c r="U298" s="769">
        <f t="shared" ca="1" si="332"/>
        <v>2.262</v>
      </c>
      <c r="V298" s="769">
        <f t="shared" ca="1" si="333"/>
        <v>0</v>
      </c>
      <c r="W298" s="769">
        <f t="shared" ca="1" si="334"/>
        <v>4.7620000000000005</v>
      </c>
      <c r="X298" s="794">
        <f t="shared" si="335"/>
        <v>3</v>
      </c>
      <c r="Y298" s="769">
        <f t="shared" ca="1" si="336"/>
        <v>0.54772255750516607</v>
      </c>
      <c r="Z298" s="769">
        <f t="shared" ca="1" si="337"/>
        <v>0</v>
      </c>
      <c r="AA298" s="795">
        <f t="shared" ca="1" si="338"/>
        <v>0</v>
      </c>
      <c r="AB298" s="769">
        <f t="shared" ca="1" si="339"/>
        <v>0</v>
      </c>
      <c r="AC298" s="769">
        <f t="shared" ca="1" si="340"/>
        <v>0</v>
      </c>
      <c r="AD298" s="769">
        <f t="shared" ca="1" si="341"/>
        <v>0</v>
      </c>
      <c r="AE298" s="794">
        <f t="shared" ca="1" si="342"/>
        <v>0</v>
      </c>
      <c r="AF298" s="769">
        <f t="shared" ca="1" si="343"/>
        <v>0</v>
      </c>
      <c r="AG298" s="769">
        <f t="shared" ca="1" si="344"/>
        <v>0</v>
      </c>
      <c r="AH298" s="799">
        <f t="shared" ca="1" si="345"/>
        <v>0</v>
      </c>
      <c r="AI298" s="801">
        <f t="shared" ca="1" si="346"/>
        <v>1</v>
      </c>
      <c r="AJ298" s="794">
        <f t="shared" ca="1" si="347"/>
        <v>0</v>
      </c>
      <c r="AK298" s="769">
        <f t="shared" ca="1" si="348"/>
        <v>0</v>
      </c>
      <c r="AL298" s="769">
        <f t="shared" ca="1" si="349"/>
        <v>0</v>
      </c>
      <c r="AM298" s="804">
        <f t="shared" ca="1" si="299"/>
        <v>0</v>
      </c>
      <c r="AN298" s="795">
        <f t="shared" ca="1" si="300"/>
        <v>0</v>
      </c>
      <c r="AO298" s="251"/>
      <c r="AP298" s="770">
        <f t="shared" si="350"/>
        <v>0</v>
      </c>
      <c r="AQ298" s="771">
        <f t="shared" ca="1" si="351"/>
        <v>0</v>
      </c>
      <c r="AR298" s="771">
        <f t="shared" ca="1" si="352"/>
        <v>0</v>
      </c>
      <c r="AS298" s="772">
        <f t="shared" ca="1" si="353"/>
        <v>0</v>
      </c>
      <c r="AT298" s="231"/>
      <c r="AU298" s="770">
        <f>'Main Results - IRR DC Operator'!$F$16</f>
        <v>2</v>
      </c>
      <c r="AV298" s="773">
        <f>'Main Results - IRR DC Operator'!$F$15</f>
        <v>1</v>
      </c>
      <c r="AW298" s="771">
        <f t="shared" ca="1" si="354"/>
        <v>0</v>
      </c>
      <c r="AX298" s="772">
        <f t="shared" si="355"/>
        <v>0</v>
      </c>
      <c r="AY298" s="231"/>
      <c r="AZ298" s="770" cm="1">
        <f t="array" aca="1" ref="AZ298" ca="1">INDIRECT("'Definition of Typical Day'!"&amp; ADDRESS($D298+29*(AZ$16-1),$E298))+$AZ$17</f>
        <v>11</v>
      </c>
      <c r="BA298" s="771" cm="1">
        <f t="array" aca="1" ref="BA298" ca="1">INDIRECT("'Definition of Typical Day'!"&amp; ADDRESS($D298+29*(BA$16-1),$E298))+$BA$17</f>
        <v>11</v>
      </c>
      <c r="BB298" s="772" cm="1">
        <f t="array" aca="1" ref="BB298" ca="1">INDIRECT("'Definition of Typical Day'!"&amp;ADDRESS(BB$16,$E298))</f>
        <v>0</v>
      </c>
      <c r="BC298" s="776" cm="1">
        <f t="array" aca="1" ref="BC298" ca="1">INDIRECT("'Definition of Typical Day'!"&amp; ADDRESS($D298+29*(BC$16-1),$E298))</f>
        <v>0</v>
      </c>
      <c r="BD298" s="777" cm="1">
        <f t="array" aca="1" ref="BD298" ca="1">INDIRECT("'Definition of Typical Day'!"&amp; ADDRESS($D298+29*(BD$16-1),$E298))</f>
        <v>0</v>
      </c>
      <c r="BE298" s="776">
        <f t="shared" si="356"/>
        <v>0</v>
      </c>
      <c r="BF298" s="771">
        <f t="shared" ca="1" si="357"/>
        <v>0</v>
      </c>
      <c r="BG298" s="771">
        <f t="shared" ca="1" si="358"/>
        <v>0</v>
      </c>
      <c r="BH298" s="771">
        <f t="shared" ca="1" si="359"/>
        <v>0</v>
      </c>
      <c r="BI298" s="776">
        <f t="shared" ca="1" si="360"/>
        <v>0</v>
      </c>
      <c r="BJ298" s="776">
        <f t="shared" ca="1" si="361"/>
        <v>0</v>
      </c>
      <c r="BK298" s="776">
        <f t="shared" ca="1" si="362"/>
        <v>0</v>
      </c>
      <c r="BL298" s="776">
        <f t="shared" ca="1" si="363"/>
        <v>0</v>
      </c>
      <c r="BM298" s="135"/>
      <c r="BN298" s="776">
        <f t="shared" ca="1" si="364"/>
        <v>0</v>
      </c>
      <c r="BO298" s="778">
        <f t="shared" ca="1" si="301"/>
        <v>0</v>
      </c>
      <c r="BP298" s="770">
        <f t="shared" ca="1" si="302"/>
        <v>0</v>
      </c>
      <c r="BQ298" s="771">
        <f t="shared" ca="1" si="303"/>
        <v>0</v>
      </c>
      <c r="BR298" s="771">
        <f t="shared" ca="1" si="304"/>
        <v>0</v>
      </c>
      <c r="BS298" s="776">
        <f t="shared" ca="1" si="365"/>
        <v>0</v>
      </c>
      <c r="BT298" s="776">
        <f t="shared" ca="1" si="305"/>
        <v>0</v>
      </c>
      <c r="BU298" s="783">
        <f t="shared" ca="1" si="306"/>
        <v>0</v>
      </c>
      <c r="BV298" s="783">
        <f t="shared" ca="1" si="307"/>
        <v>0</v>
      </c>
      <c r="BW298" s="1019">
        <f t="shared" ca="1" si="366"/>
        <v>0</v>
      </c>
      <c r="BX298" s="771" cm="1">
        <f t="array" aca="1" ref="BX298" ca="1">INDIRECT("'Definition of Typical Day'!"&amp; ADDRESS($D298+29*(BX$16-1),$E298))</f>
        <v>0</v>
      </c>
      <c r="BY298" s="771">
        <f t="shared" ca="1" si="367"/>
        <v>0</v>
      </c>
      <c r="BZ298" s="781">
        <f t="shared" ca="1" si="308"/>
        <v>0</v>
      </c>
      <c r="CA298" s="781">
        <f t="shared" ca="1" si="309"/>
        <v>0</v>
      </c>
      <c r="CB298" s="776">
        <f t="shared" ca="1" si="310"/>
        <v>0</v>
      </c>
      <c r="CC298" s="782">
        <f t="shared" si="311"/>
        <v>12</v>
      </c>
      <c r="CD298" s="782">
        <f t="shared" si="312"/>
        <v>14</v>
      </c>
      <c r="CE298" s="784" cm="1">
        <f t="array" aca="1" ref="CE298" ca="1">INDIRECT("'Definition of Typical Day'!"&amp;ADDRESS(CE$16,$E298))</f>
        <v>12</v>
      </c>
      <c r="CF298" s="232"/>
      <c r="CG298" s="232"/>
      <c r="CH298" s="776">
        <f t="shared" ca="1" si="313"/>
        <v>0</v>
      </c>
      <c r="CI298" s="806">
        <f t="shared" ca="1" si="314"/>
        <v>0</v>
      </c>
      <c r="CJ298" s="770">
        <f t="shared" ca="1" si="315"/>
        <v>0</v>
      </c>
      <c r="CK298" s="771">
        <f t="shared" ca="1" si="316"/>
        <v>0</v>
      </c>
      <c r="CL298" s="771">
        <f t="shared" ca="1" si="317"/>
        <v>0</v>
      </c>
      <c r="CM298" s="772">
        <f t="shared" ca="1" si="318"/>
        <v>0</v>
      </c>
      <c r="CN298" s="135"/>
      <c r="CO298" s="770">
        <f t="shared" ca="1" si="368"/>
        <v>1.05</v>
      </c>
      <c r="CP298" s="771">
        <f t="shared" ca="1" si="319"/>
        <v>0.02</v>
      </c>
      <c r="CQ298" s="771">
        <f t="shared" ca="1" si="320"/>
        <v>-2.5000000000000001E-2</v>
      </c>
      <c r="CR298" s="771">
        <f t="shared" ca="1" si="321"/>
        <v>0.95</v>
      </c>
      <c r="CS298" s="771">
        <f t="shared" ca="1" si="322"/>
        <v>0.03</v>
      </c>
      <c r="CT298" s="772">
        <f t="shared" ca="1" si="323"/>
        <v>0.02</v>
      </c>
      <c r="CU298" s="135"/>
      <c r="CV298" s="135"/>
      <c r="CW298" s="135"/>
      <c r="CX298" s="135"/>
      <c r="CY298" s="135"/>
      <c r="CZ298" s="135"/>
      <c r="DA298" s="135"/>
      <c r="DB298" s="135"/>
      <c r="DC298" s="135"/>
      <c r="DD298" s="135"/>
      <c r="DE298" s="135"/>
      <c r="DF298" s="135"/>
      <c r="DG298" s="135"/>
      <c r="DH298" s="135"/>
      <c r="DI298" s="135"/>
      <c r="DJ298" s="135"/>
      <c r="DK298" s="135"/>
      <c r="DL298" s="135"/>
      <c r="DX298" s="135"/>
      <c r="DY298" s="135"/>
      <c r="DZ298" s="135"/>
      <c r="EA298" s="135"/>
      <c r="EB298" s="135"/>
      <c r="EC298" s="135"/>
      <c r="ED298" s="135"/>
      <c r="EE298" s="135"/>
      <c r="EF298" s="135"/>
      <c r="EG298" s="135"/>
      <c r="EH298" s="135"/>
      <c r="EI298" s="135"/>
      <c r="EJ298" s="135"/>
      <c r="EK298" s="135"/>
      <c r="EL298" s="135"/>
      <c r="EM298" s="135"/>
      <c r="EN298" s="135"/>
      <c r="EO298" s="135"/>
      <c r="EP298" s="135"/>
      <c r="EQ298" s="135"/>
      <c r="ER298" s="135"/>
      <c r="ES298" s="135"/>
      <c r="ET298" s="135"/>
      <c r="EU298" s="135"/>
      <c r="EV298" s="135"/>
      <c r="EW298" s="135"/>
      <c r="EX298" s="135"/>
      <c r="EY298" s="135"/>
      <c r="EZ298" s="135"/>
      <c r="FA298" s="135"/>
      <c r="FB298" s="135"/>
      <c r="FC298" s="135"/>
      <c r="FD298" s="135"/>
      <c r="FE298" s="135"/>
      <c r="FF298" s="135"/>
      <c r="FG298" s="135"/>
    </row>
    <row r="299" spans="1:163" s="57" customFormat="1" ht="11.25" outlineLevel="1">
      <c r="A299" s="765">
        <f t="shared" si="296"/>
        <v>12</v>
      </c>
      <c r="B299" s="715" cm="1">
        <f t="array" aca="1" ref="B299" ca="1">INDIRECT("'Definition of Typical Day'!"&amp;ADDRESS(B$16,$E299))</f>
        <v>12</v>
      </c>
      <c r="C299" s="766">
        <f t="shared" si="297"/>
        <v>15</v>
      </c>
      <c r="D299" s="715">
        <f t="shared" si="297"/>
        <v>49</v>
      </c>
      <c r="E299" s="715">
        <f t="shared" si="298"/>
        <v>16</v>
      </c>
      <c r="F299" s="767" cm="1">
        <f t="array" aca="1" ref="F299" ca="1">INDIRECT("'Definition of Typical Day'!D"&amp;D299)</f>
        <v>15</v>
      </c>
      <c r="G299" s="767" cm="1">
        <f t="array" aca="1" ref="G299" ca="1">INDIRECT("'Definition of Typical Day'!"&amp;ADDRESS(13,E299))</f>
        <v>12</v>
      </c>
      <c r="H299" s="768" cm="1">
        <f t="array" aca="1" ref="H299" ca="1">INDIRECT("'Definition of Typical Day'!"&amp; ADDRESS($D299+28*(H$16-1),$E299))</f>
        <v>0</v>
      </c>
      <c r="I299" s="715" cm="1">
        <f t="array" aca="1" ref="I299" ca="1">INDIRECT("'Definition of Typical Day'!"&amp; ADDRESS($D299+29*(I$16-1),$E299))</f>
        <v>0</v>
      </c>
      <c r="J299" s="715">
        <f t="shared" ca="1" si="324"/>
        <v>0</v>
      </c>
      <c r="K299" s="785">
        <f t="shared" si="325"/>
        <v>28</v>
      </c>
      <c r="L299" s="786" cm="1">
        <f t="array" aca="1" ref="L299" ca="1">INDIRECT("'Definition of Typical Day'!"&amp; ADDRESS($D299+29*(L$16-1),$E299))</f>
        <v>0</v>
      </c>
      <c r="M299" s="768" cm="1">
        <f t="array" aca="1" ref="M299" ca="1">INDIRECT("'Definition of Typical Day'!"&amp; ADDRESS($D299+29*(M$16-1),$E299))</f>
        <v>0</v>
      </c>
      <c r="N299" s="715">
        <f t="shared" si="326"/>
        <v>3</v>
      </c>
      <c r="O299" s="715">
        <f t="shared" ca="1" si="327"/>
        <v>3</v>
      </c>
      <c r="P299" s="715" cm="1">
        <f t="array" aca="1" ref="P299" ca="1">INDIRECT("'Definition of Typical Day'!"&amp; ADDRESS($D299+29*(P$16-1),$E299))</f>
        <v>0</v>
      </c>
      <c r="Q299" s="787">
        <f t="shared" ca="1" si="328"/>
        <v>3</v>
      </c>
      <c r="R299" s="792">
        <f t="shared" ca="1" si="329"/>
        <v>3</v>
      </c>
      <c r="S299" s="769">
        <f t="shared" si="330"/>
        <v>3</v>
      </c>
      <c r="T299" s="769">
        <f t="shared" ca="1" si="331"/>
        <v>-0.5</v>
      </c>
      <c r="U299" s="769">
        <f t="shared" ca="1" si="332"/>
        <v>2.262</v>
      </c>
      <c r="V299" s="769">
        <f t="shared" ca="1" si="333"/>
        <v>0</v>
      </c>
      <c r="W299" s="769">
        <f t="shared" ca="1" si="334"/>
        <v>4.7620000000000005</v>
      </c>
      <c r="X299" s="794">
        <f t="shared" si="335"/>
        <v>3</v>
      </c>
      <c r="Y299" s="769">
        <f t="shared" ca="1" si="336"/>
        <v>0.54772255750516607</v>
      </c>
      <c r="Z299" s="769">
        <f t="shared" ca="1" si="337"/>
        <v>0</v>
      </c>
      <c r="AA299" s="795">
        <f t="shared" ca="1" si="338"/>
        <v>0</v>
      </c>
      <c r="AB299" s="769">
        <f t="shared" ca="1" si="339"/>
        <v>0</v>
      </c>
      <c r="AC299" s="769">
        <f t="shared" ca="1" si="340"/>
        <v>0</v>
      </c>
      <c r="AD299" s="769">
        <f t="shared" ca="1" si="341"/>
        <v>0</v>
      </c>
      <c r="AE299" s="794">
        <f t="shared" ca="1" si="342"/>
        <v>0</v>
      </c>
      <c r="AF299" s="769">
        <f t="shared" ca="1" si="343"/>
        <v>0</v>
      </c>
      <c r="AG299" s="769">
        <f t="shared" ca="1" si="344"/>
        <v>0</v>
      </c>
      <c r="AH299" s="799">
        <f t="shared" ca="1" si="345"/>
        <v>0</v>
      </c>
      <c r="AI299" s="801">
        <f t="shared" ca="1" si="346"/>
        <v>1</v>
      </c>
      <c r="AJ299" s="794">
        <f t="shared" ca="1" si="347"/>
        <v>0</v>
      </c>
      <c r="AK299" s="769">
        <f t="shared" ca="1" si="348"/>
        <v>0</v>
      </c>
      <c r="AL299" s="769">
        <f t="shared" ca="1" si="349"/>
        <v>0</v>
      </c>
      <c r="AM299" s="804">
        <f t="shared" ca="1" si="299"/>
        <v>0</v>
      </c>
      <c r="AN299" s="795">
        <f t="shared" ca="1" si="300"/>
        <v>0</v>
      </c>
      <c r="AO299" s="251"/>
      <c r="AP299" s="770">
        <f t="shared" si="350"/>
        <v>0</v>
      </c>
      <c r="AQ299" s="771">
        <f t="shared" ca="1" si="351"/>
        <v>0</v>
      </c>
      <c r="AR299" s="771">
        <f t="shared" ca="1" si="352"/>
        <v>0</v>
      </c>
      <c r="AS299" s="772">
        <f t="shared" ca="1" si="353"/>
        <v>0</v>
      </c>
      <c r="AT299" s="231"/>
      <c r="AU299" s="770">
        <f>'Main Results - IRR DC Operator'!$F$16</f>
        <v>2</v>
      </c>
      <c r="AV299" s="773">
        <f>'Main Results - IRR DC Operator'!$F$15</f>
        <v>1</v>
      </c>
      <c r="AW299" s="771">
        <f t="shared" ca="1" si="354"/>
        <v>0</v>
      </c>
      <c r="AX299" s="772">
        <f t="shared" si="355"/>
        <v>0</v>
      </c>
      <c r="AY299" s="231"/>
      <c r="AZ299" s="770" cm="1">
        <f t="array" aca="1" ref="AZ299" ca="1">INDIRECT("'Definition of Typical Day'!"&amp; ADDRESS($D299+29*(AZ$16-1),$E299))+$AZ$17</f>
        <v>11</v>
      </c>
      <c r="BA299" s="771" cm="1">
        <f t="array" aca="1" ref="BA299" ca="1">INDIRECT("'Definition of Typical Day'!"&amp; ADDRESS($D299+29*(BA$16-1),$E299))+$BA$17</f>
        <v>11</v>
      </c>
      <c r="BB299" s="772" cm="1">
        <f t="array" aca="1" ref="BB299" ca="1">INDIRECT("'Definition of Typical Day'!"&amp;ADDRESS(BB$16,$E299))</f>
        <v>0</v>
      </c>
      <c r="BC299" s="776" cm="1">
        <f t="array" aca="1" ref="BC299" ca="1">INDIRECT("'Definition of Typical Day'!"&amp; ADDRESS($D299+29*(BC$16-1),$E299))</f>
        <v>0</v>
      </c>
      <c r="BD299" s="777" cm="1">
        <f t="array" aca="1" ref="BD299" ca="1">INDIRECT("'Definition of Typical Day'!"&amp; ADDRESS($D299+29*(BD$16-1),$E299))</f>
        <v>0</v>
      </c>
      <c r="BE299" s="776">
        <f t="shared" si="356"/>
        <v>0</v>
      </c>
      <c r="BF299" s="771">
        <f t="shared" ca="1" si="357"/>
        <v>0</v>
      </c>
      <c r="BG299" s="771">
        <f t="shared" ca="1" si="358"/>
        <v>0</v>
      </c>
      <c r="BH299" s="771">
        <f t="shared" ca="1" si="359"/>
        <v>0</v>
      </c>
      <c r="BI299" s="776">
        <f t="shared" ca="1" si="360"/>
        <v>0</v>
      </c>
      <c r="BJ299" s="776">
        <f t="shared" ca="1" si="361"/>
        <v>0</v>
      </c>
      <c r="BK299" s="776">
        <f t="shared" ca="1" si="362"/>
        <v>0</v>
      </c>
      <c r="BL299" s="776">
        <f t="shared" ca="1" si="363"/>
        <v>0</v>
      </c>
      <c r="BM299" s="135"/>
      <c r="BN299" s="776">
        <f t="shared" ca="1" si="364"/>
        <v>0</v>
      </c>
      <c r="BO299" s="778">
        <f t="shared" ca="1" si="301"/>
        <v>0</v>
      </c>
      <c r="BP299" s="770">
        <f t="shared" ca="1" si="302"/>
        <v>0</v>
      </c>
      <c r="BQ299" s="771">
        <f t="shared" ca="1" si="303"/>
        <v>0</v>
      </c>
      <c r="BR299" s="771">
        <f t="shared" ca="1" si="304"/>
        <v>0</v>
      </c>
      <c r="BS299" s="776">
        <f t="shared" ca="1" si="365"/>
        <v>0</v>
      </c>
      <c r="BT299" s="776">
        <f t="shared" ca="1" si="305"/>
        <v>0</v>
      </c>
      <c r="BU299" s="783">
        <f t="shared" ca="1" si="306"/>
        <v>0</v>
      </c>
      <c r="BV299" s="783">
        <f t="shared" ca="1" si="307"/>
        <v>0</v>
      </c>
      <c r="BW299" s="1019">
        <f t="shared" ca="1" si="366"/>
        <v>0</v>
      </c>
      <c r="BX299" s="771" cm="1">
        <f t="array" aca="1" ref="BX299" ca="1">INDIRECT("'Definition of Typical Day'!"&amp; ADDRESS($D299+29*(BX$16-1),$E299))</f>
        <v>0</v>
      </c>
      <c r="BY299" s="771">
        <f t="shared" ca="1" si="367"/>
        <v>0</v>
      </c>
      <c r="BZ299" s="781">
        <f t="shared" ca="1" si="308"/>
        <v>0</v>
      </c>
      <c r="CA299" s="781">
        <f t="shared" ca="1" si="309"/>
        <v>0</v>
      </c>
      <c r="CB299" s="776">
        <f t="shared" ca="1" si="310"/>
        <v>0</v>
      </c>
      <c r="CC299" s="782">
        <f t="shared" si="311"/>
        <v>12</v>
      </c>
      <c r="CD299" s="782">
        <f t="shared" si="312"/>
        <v>15</v>
      </c>
      <c r="CE299" s="784" cm="1">
        <f t="array" aca="1" ref="CE299" ca="1">INDIRECT("'Definition of Typical Day'!"&amp;ADDRESS(CE$16,$E299))</f>
        <v>12</v>
      </c>
      <c r="CF299" s="232"/>
      <c r="CG299" s="232"/>
      <c r="CH299" s="776">
        <f t="shared" ca="1" si="313"/>
        <v>0</v>
      </c>
      <c r="CI299" s="806">
        <f t="shared" ca="1" si="314"/>
        <v>0</v>
      </c>
      <c r="CJ299" s="770">
        <f t="shared" ca="1" si="315"/>
        <v>0</v>
      </c>
      <c r="CK299" s="771">
        <f t="shared" ca="1" si="316"/>
        <v>0</v>
      </c>
      <c r="CL299" s="771">
        <f t="shared" ca="1" si="317"/>
        <v>0</v>
      </c>
      <c r="CM299" s="772">
        <f t="shared" ca="1" si="318"/>
        <v>0</v>
      </c>
      <c r="CN299" s="135"/>
      <c r="CO299" s="770">
        <f t="shared" ca="1" si="368"/>
        <v>1.05</v>
      </c>
      <c r="CP299" s="771">
        <f t="shared" ca="1" si="319"/>
        <v>0.02</v>
      </c>
      <c r="CQ299" s="771">
        <f t="shared" ca="1" si="320"/>
        <v>-2.5000000000000001E-2</v>
      </c>
      <c r="CR299" s="771">
        <f t="shared" ca="1" si="321"/>
        <v>0.95</v>
      </c>
      <c r="CS299" s="771">
        <f t="shared" ca="1" si="322"/>
        <v>0.03</v>
      </c>
      <c r="CT299" s="772">
        <f t="shared" ca="1" si="323"/>
        <v>0.02</v>
      </c>
      <c r="CU299" s="135"/>
      <c r="CV299" s="135"/>
      <c r="CW299" s="135"/>
      <c r="CX299" s="135"/>
      <c r="CY299" s="135"/>
      <c r="CZ299" s="135"/>
      <c r="DA299" s="135"/>
      <c r="DB299" s="135"/>
      <c r="DC299" s="135"/>
      <c r="DD299" s="135"/>
      <c r="DE299" s="135"/>
      <c r="DF299" s="135"/>
      <c r="DG299" s="135"/>
      <c r="DH299" s="135"/>
      <c r="DI299" s="135"/>
      <c r="DJ299" s="135"/>
      <c r="DK299" s="135"/>
      <c r="DL299" s="135"/>
      <c r="DX299" s="135"/>
      <c r="DY299" s="135"/>
      <c r="DZ299" s="135"/>
      <c r="EA299" s="135"/>
      <c r="EB299" s="135"/>
      <c r="EC299" s="135"/>
      <c r="ED299" s="135"/>
      <c r="EE299" s="135"/>
      <c r="EF299" s="135"/>
      <c r="EG299" s="135"/>
      <c r="EH299" s="135"/>
      <c r="EI299" s="135"/>
      <c r="EJ299" s="135"/>
      <c r="EK299" s="135"/>
      <c r="EL299" s="135"/>
      <c r="EM299" s="135"/>
      <c r="EN299" s="135"/>
      <c r="EO299" s="135"/>
      <c r="EP299" s="135"/>
      <c r="EQ299" s="135"/>
      <c r="ER299" s="135"/>
      <c r="ES299" s="135"/>
      <c r="ET299" s="135"/>
      <c r="EU299" s="135"/>
      <c r="EV299" s="135"/>
      <c r="EW299" s="135"/>
      <c r="EX299" s="135"/>
      <c r="EY299" s="135"/>
      <c r="EZ299" s="135"/>
      <c r="FA299" s="135"/>
      <c r="FB299" s="135"/>
      <c r="FC299" s="135"/>
      <c r="FD299" s="135"/>
      <c r="FE299" s="135"/>
      <c r="FF299" s="135"/>
      <c r="FG299" s="135"/>
    </row>
    <row r="300" spans="1:163" s="57" customFormat="1" ht="11.25" outlineLevel="1">
      <c r="A300" s="765">
        <f t="shared" si="296"/>
        <v>12</v>
      </c>
      <c r="B300" s="715" cm="1">
        <f t="array" aca="1" ref="B300" ca="1">INDIRECT("'Definition of Typical Day'!"&amp;ADDRESS(B$16,$E300))</f>
        <v>12</v>
      </c>
      <c r="C300" s="766">
        <f t="shared" si="297"/>
        <v>16</v>
      </c>
      <c r="D300" s="715">
        <f t="shared" si="297"/>
        <v>50</v>
      </c>
      <c r="E300" s="715">
        <f t="shared" si="298"/>
        <v>16</v>
      </c>
      <c r="F300" s="767" cm="1">
        <f t="array" aca="1" ref="F300" ca="1">INDIRECT("'Definition of Typical Day'!D"&amp;D300)</f>
        <v>16</v>
      </c>
      <c r="G300" s="767" cm="1">
        <f t="array" aca="1" ref="G300" ca="1">INDIRECT("'Definition of Typical Day'!"&amp;ADDRESS(13,E300))</f>
        <v>12</v>
      </c>
      <c r="H300" s="768" cm="1">
        <f t="array" aca="1" ref="H300" ca="1">INDIRECT("'Definition of Typical Day'!"&amp; ADDRESS($D300+28*(H$16-1),$E300))</f>
        <v>0</v>
      </c>
      <c r="I300" s="715" cm="1">
        <f t="array" aca="1" ref="I300" ca="1">INDIRECT("'Definition of Typical Day'!"&amp; ADDRESS($D300+29*(I$16-1),$E300))</f>
        <v>0</v>
      </c>
      <c r="J300" s="715">
        <f t="shared" ca="1" si="324"/>
        <v>0</v>
      </c>
      <c r="K300" s="785">
        <f t="shared" si="325"/>
        <v>28</v>
      </c>
      <c r="L300" s="786" cm="1">
        <f t="array" aca="1" ref="L300" ca="1">INDIRECT("'Definition of Typical Day'!"&amp; ADDRESS($D300+29*(L$16-1),$E300))</f>
        <v>0</v>
      </c>
      <c r="M300" s="768" cm="1">
        <f t="array" aca="1" ref="M300" ca="1">INDIRECT("'Definition of Typical Day'!"&amp; ADDRESS($D300+29*(M$16-1),$E300))</f>
        <v>0</v>
      </c>
      <c r="N300" s="715">
        <f t="shared" si="326"/>
        <v>3</v>
      </c>
      <c r="O300" s="715">
        <f t="shared" ca="1" si="327"/>
        <v>3</v>
      </c>
      <c r="P300" s="715" cm="1">
        <f t="array" aca="1" ref="P300" ca="1">INDIRECT("'Definition of Typical Day'!"&amp; ADDRESS($D300+29*(P$16-1),$E300))</f>
        <v>0</v>
      </c>
      <c r="Q300" s="787">
        <f t="shared" ca="1" si="328"/>
        <v>3</v>
      </c>
      <c r="R300" s="792">
        <f t="shared" ca="1" si="329"/>
        <v>3</v>
      </c>
      <c r="S300" s="769">
        <f t="shared" si="330"/>
        <v>3</v>
      </c>
      <c r="T300" s="769">
        <f t="shared" ca="1" si="331"/>
        <v>-0.5</v>
      </c>
      <c r="U300" s="769">
        <f t="shared" ca="1" si="332"/>
        <v>2.262</v>
      </c>
      <c r="V300" s="769">
        <f t="shared" ca="1" si="333"/>
        <v>0</v>
      </c>
      <c r="W300" s="769">
        <f t="shared" ca="1" si="334"/>
        <v>4.7620000000000005</v>
      </c>
      <c r="X300" s="794">
        <f t="shared" si="335"/>
        <v>3</v>
      </c>
      <c r="Y300" s="769">
        <f t="shared" ca="1" si="336"/>
        <v>0.54772255750516607</v>
      </c>
      <c r="Z300" s="769">
        <f t="shared" ca="1" si="337"/>
        <v>0</v>
      </c>
      <c r="AA300" s="795">
        <f t="shared" ca="1" si="338"/>
        <v>0</v>
      </c>
      <c r="AB300" s="769">
        <f t="shared" ca="1" si="339"/>
        <v>0</v>
      </c>
      <c r="AC300" s="769">
        <f t="shared" ca="1" si="340"/>
        <v>0</v>
      </c>
      <c r="AD300" s="769">
        <f t="shared" ca="1" si="341"/>
        <v>0</v>
      </c>
      <c r="AE300" s="794">
        <f t="shared" ca="1" si="342"/>
        <v>0</v>
      </c>
      <c r="AF300" s="769">
        <f t="shared" ca="1" si="343"/>
        <v>0</v>
      </c>
      <c r="AG300" s="769">
        <f t="shared" ca="1" si="344"/>
        <v>0</v>
      </c>
      <c r="AH300" s="799">
        <f t="shared" ca="1" si="345"/>
        <v>0</v>
      </c>
      <c r="AI300" s="801">
        <f t="shared" ca="1" si="346"/>
        <v>1</v>
      </c>
      <c r="AJ300" s="794">
        <f t="shared" ca="1" si="347"/>
        <v>0</v>
      </c>
      <c r="AK300" s="769">
        <f t="shared" ca="1" si="348"/>
        <v>0</v>
      </c>
      <c r="AL300" s="769">
        <f t="shared" ca="1" si="349"/>
        <v>0</v>
      </c>
      <c r="AM300" s="804">
        <f t="shared" ca="1" si="299"/>
        <v>0</v>
      </c>
      <c r="AN300" s="795">
        <f t="shared" ca="1" si="300"/>
        <v>0</v>
      </c>
      <c r="AO300" s="251"/>
      <c r="AP300" s="770">
        <f t="shared" si="350"/>
        <v>0</v>
      </c>
      <c r="AQ300" s="771">
        <f t="shared" ca="1" si="351"/>
        <v>0</v>
      </c>
      <c r="AR300" s="771">
        <f t="shared" ca="1" si="352"/>
        <v>0</v>
      </c>
      <c r="AS300" s="772">
        <f t="shared" ca="1" si="353"/>
        <v>0</v>
      </c>
      <c r="AT300" s="231"/>
      <c r="AU300" s="770">
        <f>'Main Results - IRR DC Operator'!$F$16</f>
        <v>2</v>
      </c>
      <c r="AV300" s="773">
        <f>'Main Results - IRR DC Operator'!$F$15</f>
        <v>1</v>
      </c>
      <c r="AW300" s="771">
        <f t="shared" ca="1" si="354"/>
        <v>0</v>
      </c>
      <c r="AX300" s="772">
        <f t="shared" si="355"/>
        <v>0</v>
      </c>
      <c r="AY300" s="231"/>
      <c r="AZ300" s="770" cm="1">
        <f t="array" aca="1" ref="AZ300" ca="1">INDIRECT("'Definition of Typical Day'!"&amp; ADDRESS($D300+29*(AZ$16-1),$E300))+$AZ$17</f>
        <v>11</v>
      </c>
      <c r="BA300" s="771" cm="1">
        <f t="array" aca="1" ref="BA300" ca="1">INDIRECT("'Definition of Typical Day'!"&amp; ADDRESS($D300+29*(BA$16-1),$E300))+$BA$17</f>
        <v>11</v>
      </c>
      <c r="BB300" s="772" cm="1">
        <f t="array" aca="1" ref="BB300" ca="1">INDIRECT("'Definition of Typical Day'!"&amp;ADDRESS(BB$16,$E300))</f>
        <v>0</v>
      </c>
      <c r="BC300" s="776" cm="1">
        <f t="array" aca="1" ref="BC300" ca="1">INDIRECT("'Definition of Typical Day'!"&amp; ADDRESS($D300+29*(BC$16-1),$E300))</f>
        <v>0</v>
      </c>
      <c r="BD300" s="777" cm="1">
        <f t="array" aca="1" ref="BD300" ca="1">INDIRECT("'Definition of Typical Day'!"&amp; ADDRESS($D300+29*(BD$16-1),$E300))</f>
        <v>0</v>
      </c>
      <c r="BE300" s="776">
        <f t="shared" si="356"/>
        <v>0</v>
      </c>
      <c r="BF300" s="771">
        <f t="shared" ca="1" si="357"/>
        <v>0</v>
      </c>
      <c r="BG300" s="771">
        <f t="shared" ca="1" si="358"/>
        <v>0</v>
      </c>
      <c r="BH300" s="771">
        <f t="shared" ca="1" si="359"/>
        <v>0</v>
      </c>
      <c r="BI300" s="776">
        <f t="shared" ca="1" si="360"/>
        <v>0</v>
      </c>
      <c r="BJ300" s="776">
        <f t="shared" ca="1" si="361"/>
        <v>0</v>
      </c>
      <c r="BK300" s="776">
        <f t="shared" ca="1" si="362"/>
        <v>0</v>
      </c>
      <c r="BL300" s="776">
        <f t="shared" ca="1" si="363"/>
        <v>0</v>
      </c>
      <c r="BM300" s="135"/>
      <c r="BN300" s="776">
        <f t="shared" ca="1" si="364"/>
        <v>0</v>
      </c>
      <c r="BO300" s="778">
        <f t="shared" ca="1" si="301"/>
        <v>0</v>
      </c>
      <c r="BP300" s="770">
        <f t="shared" ca="1" si="302"/>
        <v>0</v>
      </c>
      <c r="BQ300" s="771">
        <f t="shared" ca="1" si="303"/>
        <v>0</v>
      </c>
      <c r="BR300" s="771">
        <f t="shared" ca="1" si="304"/>
        <v>0</v>
      </c>
      <c r="BS300" s="776">
        <f t="shared" ca="1" si="365"/>
        <v>0</v>
      </c>
      <c r="BT300" s="776">
        <f t="shared" ca="1" si="305"/>
        <v>0</v>
      </c>
      <c r="BU300" s="783">
        <f t="shared" ca="1" si="306"/>
        <v>0</v>
      </c>
      <c r="BV300" s="783">
        <f t="shared" ca="1" si="307"/>
        <v>0</v>
      </c>
      <c r="BW300" s="1019">
        <f t="shared" ca="1" si="366"/>
        <v>0</v>
      </c>
      <c r="BX300" s="771" cm="1">
        <f t="array" aca="1" ref="BX300" ca="1">INDIRECT("'Definition of Typical Day'!"&amp; ADDRESS($D300+29*(BX$16-1),$E300))</f>
        <v>0</v>
      </c>
      <c r="BY300" s="771">
        <f t="shared" ca="1" si="367"/>
        <v>0</v>
      </c>
      <c r="BZ300" s="781">
        <f t="shared" ca="1" si="308"/>
        <v>0</v>
      </c>
      <c r="CA300" s="781">
        <f t="shared" ca="1" si="309"/>
        <v>0</v>
      </c>
      <c r="CB300" s="776">
        <f t="shared" ca="1" si="310"/>
        <v>0</v>
      </c>
      <c r="CC300" s="782">
        <f t="shared" si="311"/>
        <v>12</v>
      </c>
      <c r="CD300" s="782">
        <f t="shared" si="312"/>
        <v>16</v>
      </c>
      <c r="CE300" s="784" cm="1">
        <f t="array" aca="1" ref="CE300" ca="1">INDIRECT("'Definition of Typical Day'!"&amp;ADDRESS(CE$16,$E300))</f>
        <v>12</v>
      </c>
      <c r="CF300" s="232"/>
      <c r="CG300" s="232"/>
      <c r="CH300" s="776">
        <f t="shared" ca="1" si="313"/>
        <v>0</v>
      </c>
      <c r="CI300" s="806">
        <f t="shared" ca="1" si="314"/>
        <v>0</v>
      </c>
      <c r="CJ300" s="770">
        <f t="shared" ca="1" si="315"/>
        <v>0</v>
      </c>
      <c r="CK300" s="771">
        <f t="shared" ca="1" si="316"/>
        <v>0</v>
      </c>
      <c r="CL300" s="771">
        <f t="shared" ca="1" si="317"/>
        <v>0</v>
      </c>
      <c r="CM300" s="772">
        <f t="shared" ca="1" si="318"/>
        <v>0</v>
      </c>
      <c r="CN300" s="135"/>
      <c r="CO300" s="770">
        <f t="shared" ca="1" si="368"/>
        <v>1.05</v>
      </c>
      <c r="CP300" s="771">
        <f t="shared" ca="1" si="319"/>
        <v>0.02</v>
      </c>
      <c r="CQ300" s="771">
        <f t="shared" ca="1" si="320"/>
        <v>-2.5000000000000001E-2</v>
      </c>
      <c r="CR300" s="771">
        <f t="shared" ca="1" si="321"/>
        <v>0.95</v>
      </c>
      <c r="CS300" s="771">
        <f t="shared" ca="1" si="322"/>
        <v>0.03</v>
      </c>
      <c r="CT300" s="772">
        <f t="shared" ca="1" si="323"/>
        <v>0.02</v>
      </c>
      <c r="CU300" s="135"/>
      <c r="CV300" s="135"/>
      <c r="CW300" s="135"/>
      <c r="CX300" s="135"/>
      <c r="CY300" s="135"/>
      <c r="CZ300" s="135"/>
      <c r="DA300" s="135"/>
      <c r="DB300" s="135"/>
      <c r="DC300" s="135"/>
      <c r="DD300" s="135"/>
      <c r="DE300" s="135"/>
      <c r="DF300" s="135"/>
      <c r="DG300" s="135"/>
      <c r="DH300" s="135"/>
      <c r="DI300" s="135"/>
      <c r="DJ300" s="135"/>
      <c r="DK300" s="135"/>
      <c r="DL300" s="135"/>
      <c r="DX300" s="135"/>
      <c r="DY300" s="135"/>
      <c r="DZ300" s="135"/>
      <c r="EA300" s="135"/>
      <c r="EB300" s="135"/>
      <c r="EC300" s="135"/>
      <c r="ED300" s="135"/>
      <c r="EE300" s="135"/>
      <c r="EF300" s="135"/>
      <c r="EG300" s="135"/>
      <c r="EH300" s="135"/>
      <c r="EI300" s="135"/>
      <c r="EJ300" s="135"/>
      <c r="EK300" s="135"/>
      <c r="EL300" s="135"/>
      <c r="EM300" s="135"/>
      <c r="EN300" s="135"/>
      <c r="EO300" s="135"/>
      <c r="EP300" s="135"/>
      <c r="EQ300" s="135"/>
      <c r="ER300" s="135"/>
      <c r="ES300" s="135"/>
      <c r="ET300" s="135"/>
      <c r="EU300" s="135"/>
      <c r="EV300" s="135"/>
      <c r="EW300" s="135"/>
      <c r="EX300" s="135"/>
      <c r="EY300" s="135"/>
      <c r="EZ300" s="135"/>
      <c r="FA300" s="135"/>
      <c r="FB300" s="135"/>
      <c r="FC300" s="135"/>
      <c r="FD300" s="135"/>
      <c r="FE300" s="135"/>
      <c r="FF300" s="135"/>
      <c r="FG300" s="135"/>
    </row>
    <row r="301" spans="1:163" s="57" customFormat="1" ht="11.25" outlineLevel="1">
      <c r="A301" s="765">
        <f t="shared" si="296"/>
        <v>12</v>
      </c>
      <c r="B301" s="715" cm="1">
        <f t="array" aca="1" ref="B301" ca="1">INDIRECT("'Definition of Typical Day'!"&amp;ADDRESS(B$16,$E301))</f>
        <v>12</v>
      </c>
      <c r="C301" s="766">
        <f t="shared" si="297"/>
        <v>17</v>
      </c>
      <c r="D301" s="715">
        <f t="shared" si="297"/>
        <v>51</v>
      </c>
      <c r="E301" s="715">
        <f t="shared" si="298"/>
        <v>16</v>
      </c>
      <c r="F301" s="767" cm="1">
        <f t="array" aca="1" ref="F301" ca="1">INDIRECT("'Definition of Typical Day'!D"&amp;D301)</f>
        <v>17</v>
      </c>
      <c r="G301" s="767" cm="1">
        <f t="array" aca="1" ref="G301" ca="1">INDIRECT("'Definition of Typical Day'!"&amp;ADDRESS(13,E301))</f>
        <v>12</v>
      </c>
      <c r="H301" s="768" cm="1">
        <f t="array" aca="1" ref="H301" ca="1">INDIRECT("'Definition of Typical Day'!"&amp; ADDRESS($D301+28*(H$16-1),$E301))</f>
        <v>0</v>
      </c>
      <c r="I301" s="715" cm="1">
        <f t="array" aca="1" ref="I301" ca="1">INDIRECT("'Definition of Typical Day'!"&amp; ADDRESS($D301+29*(I$16-1),$E301))</f>
        <v>0</v>
      </c>
      <c r="J301" s="715">
        <f t="shared" ca="1" si="324"/>
        <v>0</v>
      </c>
      <c r="K301" s="785">
        <f t="shared" si="325"/>
        <v>28</v>
      </c>
      <c r="L301" s="786" cm="1">
        <f t="array" aca="1" ref="L301" ca="1">INDIRECT("'Definition of Typical Day'!"&amp; ADDRESS($D301+29*(L$16-1),$E301))</f>
        <v>0</v>
      </c>
      <c r="M301" s="768" cm="1">
        <f t="array" aca="1" ref="M301" ca="1">INDIRECT("'Definition of Typical Day'!"&amp; ADDRESS($D301+29*(M$16-1),$E301))</f>
        <v>0</v>
      </c>
      <c r="N301" s="715">
        <f t="shared" si="326"/>
        <v>3</v>
      </c>
      <c r="O301" s="715">
        <f t="shared" ca="1" si="327"/>
        <v>3</v>
      </c>
      <c r="P301" s="715" cm="1">
        <f t="array" aca="1" ref="P301" ca="1">INDIRECT("'Definition of Typical Day'!"&amp; ADDRESS($D301+29*(P$16-1),$E301))</f>
        <v>0</v>
      </c>
      <c r="Q301" s="787">
        <f t="shared" ca="1" si="328"/>
        <v>3</v>
      </c>
      <c r="R301" s="792">
        <f t="shared" ca="1" si="329"/>
        <v>3</v>
      </c>
      <c r="S301" s="769">
        <f t="shared" si="330"/>
        <v>3</v>
      </c>
      <c r="T301" s="769">
        <f t="shared" ca="1" si="331"/>
        <v>-0.5</v>
      </c>
      <c r="U301" s="769">
        <f t="shared" ca="1" si="332"/>
        <v>2.262</v>
      </c>
      <c r="V301" s="769">
        <f t="shared" ca="1" si="333"/>
        <v>0</v>
      </c>
      <c r="W301" s="769">
        <f t="shared" ca="1" si="334"/>
        <v>4.7620000000000005</v>
      </c>
      <c r="X301" s="794">
        <f t="shared" si="335"/>
        <v>3</v>
      </c>
      <c r="Y301" s="769">
        <f t="shared" ca="1" si="336"/>
        <v>0.54772255750516607</v>
      </c>
      <c r="Z301" s="769">
        <f t="shared" ca="1" si="337"/>
        <v>0</v>
      </c>
      <c r="AA301" s="795">
        <f t="shared" ca="1" si="338"/>
        <v>0</v>
      </c>
      <c r="AB301" s="769">
        <f t="shared" ca="1" si="339"/>
        <v>0</v>
      </c>
      <c r="AC301" s="769">
        <f t="shared" ca="1" si="340"/>
        <v>0</v>
      </c>
      <c r="AD301" s="769">
        <f t="shared" ca="1" si="341"/>
        <v>0</v>
      </c>
      <c r="AE301" s="794">
        <f t="shared" ca="1" si="342"/>
        <v>0</v>
      </c>
      <c r="AF301" s="769">
        <f t="shared" ca="1" si="343"/>
        <v>0</v>
      </c>
      <c r="AG301" s="769">
        <f t="shared" ca="1" si="344"/>
        <v>0</v>
      </c>
      <c r="AH301" s="799">
        <f t="shared" ca="1" si="345"/>
        <v>0</v>
      </c>
      <c r="AI301" s="801">
        <f t="shared" ca="1" si="346"/>
        <v>1</v>
      </c>
      <c r="AJ301" s="794">
        <f t="shared" ca="1" si="347"/>
        <v>0</v>
      </c>
      <c r="AK301" s="769">
        <f t="shared" ca="1" si="348"/>
        <v>0</v>
      </c>
      <c r="AL301" s="769">
        <f t="shared" ca="1" si="349"/>
        <v>0</v>
      </c>
      <c r="AM301" s="804">
        <f t="shared" ca="1" si="299"/>
        <v>0</v>
      </c>
      <c r="AN301" s="795">
        <f t="shared" ca="1" si="300"/>
        <v>0</v>
      </c>
      <c r="AO301" s="251"/>
      <c r="AP301" s="770">
        <f t="shared" si="350"/>
        <v>0</v>
      </c>
      <c r="AQ301" s="771">
        <f t="shared" ca="1" si="351"/>
        <v>0</v>
      </c>
      <c r="AR301" s="771">
        <f t="shared" ca="1" si="352"/>
        <v>0</v>
      </c>
      <c r="AS301" s="772">
        <f t="shared" ca="1" si="353"/>
        <v>0</v>
      </c>
      <c r="AT301" s="231"/>
      <c r="AU301" s="770">
        <f>'Main Results - IRR DC Operator'!$F$16</f>
        <v>2</v>
      </c>
      <c r="AV301" s="773">
        <f>'Main Results - IRR DC Operator'!$F$15</f>
        <v>1</v>
      </c>
      <c r="AW301" s="771">
        <f t="shared" ca="1" si="354"/>
        <v>0</v>
      </c>
      <c r="AX301" s="772">
        <f t="shared" si="355"/>
        <v>0</v>
      </c>
      <c r="AY301" s="231"/>
      <c r="AZ301" s="770" cm="1">
        <f t="array" aca="1" ref="AZ301" ca="1">INDIRECT("'Definition of Typical Day'!"&amp; ADDRESS($D301+29*(AZ$16-1),$E301))+$AZ$17</f>
        <v>11</v>
      </c>
      <c r="BA301" s="771" cm="1">
        <f t="array" aca="1" ref="BA301" ca="1">INDIRECT("'Definition of Typical Day'!"&amp; ADDRESS($D301+29*(BA$16-1),$E301))+$BA$17</f>
        <v>11</v>
      </c>
      <c r="BB301" s="772" cm="1">
        <f t="array" aca="1" ref="BB301" ca="1">INDIRECT("'Definition of Typical Day'!"&amp;ADDRESS(BB$16,$E301))</f>
        <v>0</v>
      </c>
      <c r="BC301" s="776" cm="1">
        <f t="array" aca="1" ref="BC301" ca="1">INDIRECT("'Definition of Typical Day'!"&amp; ADDRESS($D301+29*(BC$16-1),$E301))</f>
        <v>0</v>
      </c>
      <c r="BD301" s="777" cm="1">
        <f t="array" aca="1" ref="BD301" ca="1">INDIRECT("'Definition of Typical Day'!"&amp; ADDRESS($D301+29*(BD$16-1),$E301))</f>
        <v>0</v>
      </c>
      <c r="BE301" s="776">
        <f t="shared" si="356"/>
        <v>0</v>
      </c>
      <c r="BF301" s="771">
        <f t="shared" ca="1" si="357"/>
        <v>0</v>
      </c>
      <c r="BG301" s="771">
        <f t="shared" ca="1" si="358"/>
        <v>0</v>
      </c>
      <c r="BH301" s="771">
        <f t="shared" ca="1" si="359"/>
        <v>0</v>
      </c>
      <c r="BI301" s="776">
        <f t="shared" ca="1" si="360"/>
        <v>0</v>
      </c>
      <c r="BJ301" s="776">
        <f t="shared" ca="1" si="361"/>
        <v>0</v>
      </c>
      <c r="BK301" s="776">
        <f t="shared" ca="1" si="362"/>
        <v>0</v>
      </c>
      <c r="BL301" s="776">
        <f t="shared" ca="1" si="363"/>
        <v>0</v>
      </c>
      <c r="BM301" s="135"/>
      <c r="BN301" s="776">
        <f t="shared" ca="1" si="364"/>
        <v>0</v>
      </c>
      <c r="BO301" s="778">
        <f t="shared" ca="1" si="301"/>
        <v>0</v>
      </c>
      <c r="BP301" s="770">
        <f t="shared" ca="1" si="302"/>
        <v>0</v>
      </c>
      <c r="BQ301" s="771">
        <f t="shared" ca="1" si="303"/>
        <v>0</v>
      </c>
      <c r="BR301" s="771">
        <f t="shared" ca="1" si="304"/>
        <v>0</v>
      </c>
      <c r="BS301" s="776">
        <f t="shared" ca="1" si="365"/>
        <v>0</v>
      </c>
      <c r="BT301" s="776">
        <f t="shared" ca="1" si="305"/>
        <v>0</v>
      </c>
      <c r="BU301" s="783">
        <f t="shared" ca="1" si="306"/>
        <v>0</v>
      </c>
      <c r="BV301" s="783">
        <f t="shared" ca="1" si="307"/>
        <v>0</v>
      </c>
      <c r="BW301" s="1019">
        <f t="shared" ca="1" si="366"/>
        <v>0</v>
      </c>
      <c r="BX301" s="771" cm="1">
        <f t="array" aca="1" ref="BX301" ca="1">INDIRECT("'Definition of Typical Day'!"&amp; ADDRESS($D301+29*(BX$16-1),$E301))</f>
        <v>0</v>
      </c>
      <c r="BY301" s="771">
        <f t="shared" ca="1" si="367"/>
        <v>0</v>
      </c>
      <c r="BZ301" s="781">
        <f t="shared" ca="1" si="308"/>
        <v>0</v>
      </c>
      <c r="CA301" s="781">
        <f t="shared" ca="1" si="309"/>
        <v>0</v>
      </c>
      <c r="CB301" s="776">
        <f t="shared" ca="1" si="310"/>
        <v>0</v>
      </c>
      <c r="CC301" s="782">
        <f t="shared" si="311"/>
        <v>12</v>
      </c>
      <c r="CD301" s="782">
        <f t="shared" si="312"/>
        <v>17</v>
      </c>
      <c r="CE301" s="784" cm="1">
        <f t="array" aca="1" ref="CE301" ca="1">INDIRECT("'Definition of Typical Day'!"&amp;ADDRESS(CE$16,$E301))</f>
        <v>12</v>
      </c>
      <c r="CF301" s="232"/>
      <c r="CG301" s="232"/>
      <c r="CH301" s="776">
        <f t="shared" ca="1" si="313"/>
        <v>0</v>
      </c>
      <c r="CI301" s="806">
        <f t="shared" ca="1" si="314"/>
        <v>0</v>
      </c>
      <c r="CJ301" s="770">
        <f t="shared" ca="1" si="315"/>
        <v>0</v>
      </c>
      <c r="CK301" s="771">
        <f t="shared" ca="1" si="316"/>
        <v>0</v>
      </c>
      <c r="CL301" s="771">
        <f t="shared" ca="1" si="317"/>
        <v>0</v>
      </c>
      <c r="CM301" s="772">
        <f t="shared" ca="1" si="318"/>
        <v>0</v>
      </c>
      <c r="CN301" s="135"/>
      <c r="CO301" s="770">
        <f t="shared" ca="1" si="368"/>
        <v>1.05</v>
      </c>
      <c r="CP301" s="771">
        <f t="shared" ca="1" si="319"/>
        <v>0.02</v>
      </c>
      <c r="CQ301" s="771">
        <f t="shared" ca="1" si="320"/>
        <v>-2.5000000000000001E-2</v>
      </c>
      <c r="CR301" s="771">
        <f t="shared" ca="1" si="321"/>
        <v>0.95</v>
      </c>
      <c r="CS301" s="771">
        <f t="shared" ca="1" si="322"/>
        <v>0.03</v>
      </c>
      <c r="CT301" s="772">
        <f t="shared" ca="1" si="323"/>
        <v>0.02</v>
      </c>
      <c r="CU301" s="135"/>
      <c r="CV301" s="135"/>
      <c r="CW301" s="135"/>
      <c r="CX301" s="135"/>
      <c r="CY301" s="135"/>
      <c r="CZ301" s="135"/>
      <c r="DA301" s="135"/>
      <c r="DB301" s="135"/>
      <c r="DC301" s="135"/>
      <c r="DD301" s="135"/>
      <c r="DE301" s="135"/>
      <c r="DF301" s="135"/>
      <c r="DG301" s="135"/>
      <c r="DH301" s="135"/>
      <c r="DI301" s="135"/>
      <c r="DJ301" s="135"/>
      <c r="DK301" s="135"/>
      <c r="DL301" s="135"/>
      <c r="DX301" s="135"/>
      <c r="DY301" s="135"/>
      <c r="DZ301" s="135"/>
      <c r="EA301" s="135"/>
      <c r="EB301" s="135"/>
      <c r="EC301" s="135"/>
      <c r="ED301" s="135"/>
      <c r="EE301" s="135"/>
      <c r="EF301" s="135"/>
      <c r="EG301" s="135"/>
      <c r="EH301" s="135"/>
      <c r="EI301" s="135"/>
      <c r="EJ301" s="135"/>
      <c r="EK301" s="135"/>
      <c r="EL301" s="135"/>
      <c r="EM301" s="135"/>
      <c r="EN301" s="135"/>
      <c r="EO301" s="135"/>
      <c r="EP301" s="135"/>
      <c r="EQ301" s="135"/>
      <c r="ER301" s="135"/>
      <c r="ES301" s="135"/>
      <c r="ET301" s="135"/>
      <c r="EU301" s="135"/>
      <c r="EV301" s="135"/>
      <c r="EW301" s="135"/>
      <c r="EX301" s="135"/>
      <c r="EY301" s="135"/>
      <c r="EZ301" s="135"/>
      <c r="FA301" s="135"/>
      <c r="FB301" s="135"/>
      <c r="FC301" s="135"/>
      <c r="FD301" s="135"/>
      <c r="FE301" s="135"/>
      <c r="FF301" s="135"/>
      <c r="FG301" s="135"/>
    </row>
    <row r="302" spans="1:163" s="57" customFormat="1" ht="11.25" outlineLevel="1">
      <c r="A302" s="765">
        <f t="shared" ref="A302:A365" si="369">A278+1</f>
        <v>12</v>
      </c>
      <c r="B302" s="715" cm="1">
        <f t="array" aca="1" ref="B302" ca="1">INDIRECT("'Definition of Typical Day'!"&amp;ADDRESS(B$16,$E302))</f>
        <v>12</v>
      </c>
      <c r="C302" s="766">
        <f t="shared" ref="C302:D365" si="370">C278</f>
        <v>18</v>
      </c>
      <c r="D302" s="715">
        <f t="shared" si="370"/>
        <v>52</v>
      </c>
      <c r="E302" s="715">
        <f t="shared" si="298"/>
        <v>16</v>
      </c>
      <c r="F302" s="767" cm="1">
        <f t="array" aca="1" ref="F302" ca="1">INDIRECT("'Definition of Typical Day'!D"&amp;D302)</f>
        <v>18</v>
      </c>
      <c r="G302" s="767" cm="1">
        <f t="array" aca="1" ref="G302" ca="1">INDIRECT("'Definition of Typical Day'!"&amp;ADDRESS(13,E302))</f>
        <v>12</v>
      </c>
      <c r="H302" s="768" cm="1">
        <f t="array" aca="1" ref="H302" ca="1">INDIRECT("'Definition of Typical Day'!"&amp; ADDRESS($D302+28*(H$16-1),$E302))</f>
        <v>0</v>
      </c>
      <c r="I302" s="715" cm="1">
        <f t="array" aca="1" ref="I302" ca="1">INDIRECT("'Definition of Typical Day'!"&amp; ADDRESS($D302+29*(I$16-1),$E302))</f>
        <v>0</v>
      </c>
      <c r="J302" s="715">
        <f t="shared" ca="1" si="324"/>
        <v>0</v>
      </c>
      <c r="K302" s="785">
        <f t="shared" si="325"/>
        <v>28</v>
      </c>
      <c r="L302" s="786" cm="1">
        <f t="array" aca="1" ref="L302" ca="1">INDIRECT("'Definition of Typical Day'!"&amp; ADDRESS($D302+29*(L$16-1),$E302))</f>
        <v>0</v>
      </c>
      <c r="M302" s="768" cm="1">
        <f t="array" aca="1" ref="M302" ca="1">INDIRECT("'Definition of Typical Day'!"&amp; ADDRESS($D302+29*(M$16-1),$E302))</f>
        <v>0</v>
      </c>
      <c r="N302" s="715">
        <f t="shared" si="326"/>
        <v>3</v>
      </c>
      <c r="O302" s="715">
        <f t="shared" ca="1" si="327"/>
        <v>3</v>
      </c>
      <c r="P302" s="715" cm="1">
        <f t="array" aca="1" ref="P302" ca="1">INDIRECT("'Definition of Typical Day'!"&amp; ADDRESS($D302+29*(P$16-1),$E302))</f>
        <v>0</v>
      </c>
      <c r="Q302" s="787">
        <f t="shared" ca="1" si="328"/>
        <v>3</v>
      </c>
      <c r="R302" s="792">
        <f t="shared" ca="1" si="329"/>
        <v>3</v>
      </c>
      <c r="S302" s="769">
        <f t="shared" si="330"/>
        <v>3</v>
      </c>
      <c r="T302" s="769">
        <f t="shared" ca="1" si="331"/>
        <v>-0.5</v>
      </c>
      <c r="U302" s="769">
        <f t="shared" ca="1" si="332"/>
        <v>2.262</v>
      </c>
      <c r="V302" s="769">
        <f t="shared" ca="1" si="333"/>
        <v>0</v>
      </c>
      <c r="W302" s="769">
        <f t="shared" ca="1" si="334"/>
        <v>4.7620000000000005</v>
      </c>
      <c r="X302" s="794">
        <f t="shared" si="335"/>
        <v>3</v>
      </c>
      <c r="Y302" s="769">
        <f t="shared" ca="1" si="336"/>
        <v>0.54772255750516607</v>
      </c>
      <c r="Z302" s="769">
        <f t="shared" ca="1" si="337"/>
        <v>0</v>
      </c>
      <c r="AA302" s="795">
        <f t="shared" ca="1" si="338"/>
        <v>0</v>
      </c>
      <c r="AB302" s="769">
        <f t="shared" ca="1" si="339"/>
        <v>0</v>
      </c>
      <c r="AC302" s="769">
        <f t="shared" ca="1" si="340"/>
        <v>0</v>
      </c>
      <c r="AD302" s="769">
        <f t="shared" ca="1" si="341"/>
        <v>0</v>
      </c>
      <c r="AE302" s="794">
        <f t="shared" ca="1" si="342"/>
        <v>0</v>
      </c>
      <c r="AF302" s="769">
        <f t="shared" ca="1" si="343"/>
        <v>0</v>
      </c>
      <c r="AG302" s="769">
        <f t="shared" ca="1" si="344"/>
        <v>0</v>
      </c>
      <c r="AH302" s="799">
        <f t="shared" ca="1" si="345"/>
        <v>0</v>
      </c>
      <c r="AI302" s="801">
        <f t="shared" ca="1" si="346"/>
        <v>1</v>
      </c>
      <c r="AJ302" s="794">
        <f t="shared" ca="1" si="347"/>
        <v>0</v>
      </c>
      <c r="AK302" s="769">
        <f t="shared" ca="1" si="348"/>
        <v>0</v>
      </c>
      <c r="AL302" s="769">
        <f t="shared" ca="1" si="349"/>
        <v>0</v>
      </c>
      <c r="AM302" s="804">
        <f t="shared" ca="1" si="299"/>
        <v>0</v>
      </c>
      <c r="AN302" s="795">
        <f t="shared" ca="1" si="300"/>
        <v>0</v>
      </c>
      <c r="AO302" s="251"/>
      <c r="AP302" s="770">
        <f t="shared" si="350"/>
        <v>0</v>
      </c>
      <c r="AQ302" s="771">
        <f t="shared" ca="1" si="351"/>
        <v>0</v>
      </c>
      <c r="AR302" s="771">
        <f t="shared" ca="1" si="352"/>
        <v>0</v>
      </c>
      <c r="AS302" s="772">
        <f t="shared" ca="1" si="353"/>
        <v>0</v>
      </c>
      <c r="AT302" s="231"/>
      <c r="AU302" s="770">
        <f>'Main Results - IRR DC Operator'!$F$16</f>
        <v>2</v>
      </c>
      <c r="AV302" s="773">
        <f>'Main Results - IRR DC Operator'!$F$15</f>
        <v>1</v>
      </c>
      <c r="AW302" s="771">
        <f t="shared" ca="1" si="354"/>
        <v>0</v>
      </c>
      <c r="AX302" s="772">
        <f t="shared" si="355"/>
        <v>0</v>
      </c>
      <c r="AY302" s="231"/>
      <c r="AZ302" s="770" cm="1">
        <f t="array" aca="1" ref="AZ302" ca="1">INDIRECT("'Definition of Typical Day'!"&amp; ADDRESS($D302+29*(AZ$16-1),$E302))+$AZ$17</f>
        <v>11</v>
      </c>
      <c r="BA302" s="771" cm="1">
        <f t="array" aca="1" ref="BA302" ca="1">INDIRECT("'Definition of Typical Day'!"&amp; ADDRESS($D302+29*(BA$16-1),$E302))+$BA$17</f>
        <v>11</v>
      </c>
      <c r="BB302" s="772" cm="1">
        <f t="array" aca="1" ref="BB302" ca="1">INDIRECT("'Definition of Typical Day'!"&amp;ADDRESS(BB$16,$E302))</f>
        <v>0</v>
      </c>
      <c r="BC302" s="776" cm="1">
        <f t="array" aca="1" ref="BC302" ca="1">INDIRECT("'Definition of Typical Day'!"&amp; ADDRESS($D302+29*(BC$16-1),$E302))</f>
        <v>0</v>
      </c>
      <c r="BD302" s="777" cm="1">
        <f t="array" aca="1" ref="BD302" ca="1">INDIRECT("'Definition of Typical Day'!"&amp; ADDRESS($D302+29*(BD$16-1),$E302))</f>
        <v>0</v>
      </c>
      <c r="BE302" s="776">
        <f t="shared" si="356"/>
        <v>0</v>
      </c>
      <c r="BF302" s="771">
        <f t="shared" ca="1" si="357"/>
        <v>0</v>
      </c>
      <c r="BG302" s="771">
        <f t="shared" ca="1" si="358"/>
        <v>0</v>
      </c>
      <c r="BH302" s="771">
        <f t="shared" ca="1" si="359"/>
        <v>0</v>
      </c>
      <c r="BI302" s="776">
        <f t="shared" ca="1" si="360"/>
        <v>0</v>
      </c>
      <c r="BJ302" s="776">
        <f t="shared" ca="1" si="361"/>
        <v>0</v>
      </c>
      <c r="BK302" s="776">
        <f t="shared" ca="1" si="362"/>
        <v>0</v>
      </c>
      <c r="BL302" s="776">
        <f t="shared" ca="1" si="363"/>
        <v>0</v>
      </c>
      <c r="BM302" s="135"/>
      <c r="BN302" s="776">
        <f t="shared" ca="1" si="364"/>
        <v>0</v>
      </c>
      <c r="BO302" s="778">
        <f t="shared" ca="1" si="301"/>
        <v>0</v>
      </c>
      <c r="BP302" s="770">
        <f t="shared" ca="1" si="302"/>
        <v>0</v>
      </c>
      <c r="BQ302" s="771">
        <f t="shared" ca="1" si="303"/>
        <v>0</v>
      </c>
      <c r="BR302" s="771">
        <f t="shared" ca="1" si="304"/>
        <v>0</v>
      </c>
      <c r="BS302" s="776">
        <f t="shared" ca="1" si="365"/>
        <v>0</v>
      </c>
      <c r="BT302" s="776">
        <f t="shared" ca="1" si="305"/>
        <v>0</v>
      </c>
      <c r="BU302" s="783">
        <f t="shared" ca="1" si="306"/>
        <v>0</v>
      </c>
      <c r="BV302" s="783">
        <f t="shared" ca="1" si="307"/>
        <v>0</v>
      </c>
      <c r="BW302" s="1019">
        <f t="shared" ca="1" si="366"/>
        <v>0</v>
      </c>
      <c r="BX302" s="771" cm="1">
        <f t="array" aca="1" ref="BX302" ca="1">INDIRECT("'Definition of Typical Day'!"&amp; ADDRESS($D302+29*(BX$16-1),$E302))</f>
        <v>0</v>
      </c>
      <c r="BY302" s="771">
        <f t="shared" ca="1" si="367"/>
        <v>0</v>
      </c>
      <c r="BZ302" s="781">
        <f t="shared" ca="1" si="308"/>
        <v>0</v>
      </c>
      <c r="CA302" s="781">
        <f t="shared" ca="1" si="309"/>
        <v>0</v>
      </c>
      <c r="CB302" s="776">
        <f t="shared" ca="1" si="310"/>
        <v>0</v>
      </c>
      <c r="CC302" s="782">
        <f t="shared" si="311"/>
        <v>12</v>
      </c>
      <c r="CD302" s="782">
        <f t="shared" si="312"/>
        <v>18</v>
      </c>
      <c r="CE302" s="784" cm="1">
        <f t="array" aca="1" ref="CE302" ca="1">INDIRECT("'Definition of Typical Day'!"&amp;ADDRESS(CE$16,$E302))</f>
        <v>12</v>
      </c>
      <c r="CF302" s="232"/>
      <c r="CG302" s="232"/>
      <c r="CH302" s="776">
        <f t="shared" ca="1" si="313"/>
        <v>0</v>
      </c>
      <c r="CI302" s="806">
        <f t="shared" ca="1" si="314"/>
        <v>0</v>
      </c>
      <c r="CJ302" s="770">
        <f t="shared" ca="1" si="315"/>
        <v>0</v>
      </c>
      <c r="CK302" s="771">
        <f t="shared" ca="1" si="316"/>
        <v>0</v>
      </c>
      <c r="CL302" s="771">
        <f t="shared" ca="1" si="317"/>
        <v>0</v>
      </c>
      <c r="CM302" s="772">
        <f t="shared" ca="1" si="318"/>
        <v>0</v>
      </c>
      <c r="CN302" s="135"/>
      <c r="CO302" s="770">
        <f t="shared" ca="1" si="368"/>
        <v>1.05</v>
      </c>
      <c r="CP302" s="771">
        <f t="shared" ca="1" si="319"/>
        <v>0.02</v>
      </c>
      <c r="CQ302" s="771">
        <f t="shared" ca="1" si="320"/>
        <v>-2.5000000000000001E-2</v>
      </c>
      <c r="CR302" s="771">
        <f t="shared" ca="1" si="321"/>
        <v>0.95</v>
      </c>
      <c r="CS302" s="771">
        <f t="shared" ca="1" si="322"/>
        <v>0.03</v>
      </c>
      <c r="CT302" s="772">
        <f t="shared" ca="1" si="323"/>
        <v>0.02</v>
      </c>
      <c r="CU302" s="135"/>
      <c r="CV302" s="135"/>
      <c r="CW302" s="135"/>
      <c r="CX302" s="135"/>
      <c r="CY302" s="135"/>
      <c r="CZ302" s="135"/>
      <c r="DA302" s="135"/>
      <c r="DB302" s="135"/>
      <c r="DC302" s="135"/>
      <c r="DD302" s="135"/>
      <c r="DE302" s="135"/>
      <c r="DF302" s="135"/>
      <c r="DG302" s="135"/>
      <c r="DH302" s="135"/>
      <c r="DI302" s="135"/>
      <c r="DJ302" s="135"/>
      <c r="DK302" s="135"/>
      <c r="DL302" s="135"/>
      <c r="DX302" s="135"/>
      <c r="DY302" s="135"/>
      <c r="DZ302" s="135"/>
      <c r="EA302" s="135"/>
      <c r="EB302" s="135"/>
      <c r="EC302" s="135"/>
      <c r="ED302" s="135"/>
      <c r="EE302" s="135"/>
      <c r="EF302" s="135"/>
      <c r="EG302" s="135"/>
      <c r="EH302" s="135"/>
      <c r="EI302" s="135"/>
      <c r="EJ302" s="135"/>
      <c r="EK302" s="135"/>
      <c r="EL302" s="135"/>
      <c r="EM302" s="135"/>
      <c r="EN302" s="135"/>
      <c r="EO302" s="135"/>
      <c r="EP302" s="135"/>
      <c r="EQ302" s="135"/>
      <c r="ER302" s="135"/>
      <c r="ES302" s="135"/>
      <c r="ET302" s="135"/>
      <c r="EU302" s="135"/>
      <c r="EV302" s="135"/>
      <c r="EW302" s="135"/>
      <c r="EX302" s="135"/>
      <c r="EY302" s="135"/>
      <c r="EZ302" s="135"/>
      <c r="FA302" s="135"/>
      <c r="FB302" s="135"/>
      <c r="FC302" s="135"/>
      <c r="FD302" s="135"/>
      <c r="FE302" s="135"/>
      <c r="FF302" s="135"/>
      <c r="FG302" s="135"/>
    </row>
    <row r="303" spans="1:163" s="57" customFormat="1" ht="11.25" outlineLevel="1">
      <c r="A303" s="765">
        <f t="shared" si="369"/>
        <v>12</v>
      </c>
      <c r="B303" s="715" cm="1">
        <f t="array" aca="1" ref="B303" ca="1">INDIRECT("'Definition of Typical Day'!"&amp;ADDRESS(B$16,$E303))</f>
        <v>12</v>
      </c>
      <c r="C303" s="766">
        <f t="shared" si="370"/>
        <v>19</v>
      </c>
      <c r="D303" s="715">
        <f t="shared" si="370"/>
        <v>53</v>
      </c>
      <c r="E303" s="715">
        <f t="shared" si="298"/>
        <v>16</v>
      </c>
      <c r="F303" s="767" cm="1">
        <f t="array" aca="1" ref="F303" ca="1">INDIRECT("'Definition of Typical Day'!D"&amp;D303)</f>
        <v>19</v>
      </c>
      <c r="G303" s="767" cm="1">
        <f t="array" aca="1" ref="G303" ca="1">INDIRECT("'Definition of Typical Day'!"&amp;ADDRESS(13,E303))</f>
        <v>12</v>
      </c>
      <c r="H303" s="768" cm="1">
        <f t="array" aca="1" ref="H303" ca="1">INDIRECT("'Definition of Typical Day'!"&amp; ADDRESS($D303+28*(H$16-1),$E303))</f>
        <v>0</v>
      </c>
      <c r="I303" s="715" cm="1">
        <f t="array" aca="1" ref="I303" ca="1">INDIRECT("'Definition of Typical Day'!"&amp; ADDRESS($D303+29*(I$16-1),$E303))</f>
        <v>0</v>
      </c>
      <c r="J303" s="715">
        <f t="shared" ca="1" si="324"/>
        <v>0</v>
      </c>
      <c r="K303" s="785">
        <f t="shared" si="325"/>
        <v>28</v>
      </c>
      <c r="L303" s="786" cm="1">
        <f t="array" aca="1" ref="L303" ca="1">INDIRECT("'Definition of Typical Day'!"&amp; ADDRESS($D303+29*(L$16-1),$E303))</f>
        <v>0</v>
      </c>
      <c r="M303" s="768" cm="1">
        <f t="array" aca="1" ref="M303" ca="1">INDIRECT("'Definition of Typical Day'!"&amp; ADDRESS($D303+29*(M$16-1),$E303))</f>
        <v>0</v>
      </c>
      <c r="N303" s="715">
        <f t="shared" si="326"/>
        <v>3</v>
      </c>
      <c r="O303" s="715">
        <f t="shared" ca="1" si="327"/>
        <v>3</v>
      </c>
      <c r="P303" s="715" cm="1">
        <f t="array" aca="1" ref="P303" ca="1">INDIRECT("'Definition of Typical Day'!"&amp; ADDRESS($D303+29*(P$16-1),$E303))</f>
        <v>0</v>
      </c>
      <c r="Q303" s="787">
        <f t="shared" ca="1" si="328"/>
        <v>3</v>
      </c>
      <c r="R303" s="792">
        <f t="shared" ca="1" si="329"/>
        <v>3</v>
      </c>
      <c r="S303" s="769">
        <f t="shared" si="330"/>
        <v>3</v>
      </c>
      <c r="T303" s="769">
        <f t="shared" ca="1" si="331"/>
        <v>-0.5</v>
      </c>
      <c r="U303" s="769">
        <f t="shared" ca="1" si="332"/>
        <v>2.262</v>
      </c>
      <c r="V303" s="769">
        <f t="shared" ca="1" si="333"/>
        <v>0</v>
      </c>
      <c r="W303" s="769">
        <f t="shared" ca="1" si="334"/>
        <v>4.7620000000000005</v>
      </c>
      <c r="X303" s="794">
        <f t="shared" si="335"/>
        <v>3</v>
      </c>
      <c r="Y303" s="769">
        <f t="shared" ca="1" si="336"/>
        <v>0.54772255750516607</v>
      </c>
      <c r="Z303" s="769">
        <f t="shared" ca="1" si="337"/>
        <v>0</v>
      </c>
      <c r="AA303" s="795">
        <f t="shared" ca="1" si="338"/>
        <v>0</v>
      </c>
      <c r="AB303" s="769">
        <f t="shared" ca="1" si="339"/>
        <v>0</v>
      </c>
      <c r="AC303" s="769">
        <f t="shared" ca="1" si="340"/>
        <v>0</v>
      </c>
      <c r="AD303" s="769">
        <f t="shared" ca="1" si="341"/>
        <v>0</v>
      </c>
      <c r="AE303" s="794">
        <f t="shared" ca="1" si="342"/>
        <v>0</v>
      </c>
      <c r="AF303" s="769">
        <f t="shared" ca="1" si="343"/>
        <v>0</v>
      </c>
      <c r="AG303" s="769">
        <f t="shared" ca="1" si="344"/>
        <v>0</v>
      </c>
      <c r="AH303" s="799">
        <f t="shared" ca="1" si="345"/>
        <v>0</v>
      </c>
      <c r="AI303" s="801">
        <f t="shared" ca="1" si="346"/>
        <v>1</v>
      </c>
      <c r="AJ303" s="794">
        <f t="shared" ca="1" si="347"/>
        <v>0</v>
      </c>
      <c r="AK303" s="769">
        <f t="shared" ca="1" si="348"/>
        <v>0</v>
      </c>
      <c r="AL303" s="769">
        <f t="shared" ca="1" si="349"/>
        <v>0</v>
      </c>
      <c r="AM303" s="804">
        <f t="shared" ca="1" si="299"/>
        <v>0</v>
      </c>
      <c r="AN303" s="795">
        <f t="shared" ca="1" si="300"/>
        <v>0</v>
      </c>
      <c r="AO303" s="251"/>
      <c r="AP303" s="770">
        <f t="shared" si="350"/>
        <v>0</v>
      </c>
      <c r="AQ303" s="771">
        <f t="shared" ca="1" si="351"/>
        <v>0</v>
      </c>
      <c r="AR303" s="771">
        <f t="shared" ca="1" si="352"/>
        <v>0</v>
      </c>
      <c r="AS303" s="772">
        <f t="shared" ca="1" si="353"/>
        <v>0</v>
      </c>
      <c r="AT303" s="231"/>
      <c r="AU303" s="770">
        <f>'Main Results - IRR DC Operator'!$F$16</f>
        <v>2</v>
      </c>
      <c r="AV303" s="773">
        <f>'Main Results - IRR DC Operator'!$F$15</f>
        <v>1</v>
      </c>
      <c r="AW303" s="771">
        <f t="shared" ca="1" si="354"/>
        <v>0</v>
      </c>
      <c r="AX303" s="772">
        <f t="shared" si="355"/>
        <v>0</v>
      </c>
      <c r="AY303" s="231"/>
      <c r="AZ303" s="770" cm="1">
        <f t="array" aca="1" ref="AZ303" ca="1">INDIRECT("'Definition of Typical Day'!"&amp; ADDRESS($D303+29*(AZ$16-1),$E303))+$AZ$17</f>
        <v>11</v>
      </c>
      <c r="BA303" s="771" cm="1">
        <f t="array" aca="1" ref="BA303" ca="1">INDIRECT("'Definition of Typical Day'!"&amp; ADDRESS($D303+29*(BA$16-1),$E303))+$BA$17</f>
        <v>11</v>
      </c>
      <c r="BB303" s="772" cm="1">
        <f t="array" aca="1" ref="BB303" ca="1">INDIRECT("'Definition of Typical Day'!"&amp;ADDRESS(BB$16,$E303))</f>
        <v>0</v>
      </c>
      <c r="BC303" s="776" cm="1">
        <f t="array" aca="1" ref="BC303" ca="1">INDIRECT("'Definition of Typical Day'!"&amp; ADDRESS($D303+29*(BC$16-1),$E303))</f>
        <v>0</v>
      </c>
      <c r="BD303" s="777" cm="1">
        <f t="array" aca="1" ref="BD303" ca="1">INDIRECT("'Definition of Typical Day'!"&amp; ADDRESS($D303+29*(BD$16-1),$E303))</f>
        <v>0</v>
      </c>
      <c r="BE303" s="776">
        <f t="shared" si="356"/>
        <v>0</v>
      </c>
      <c r="BF303" s="771">
        <f t="shared" ca="1" si="357"/>
        <v>0</v>
      </c>
      <c r="BG303" s="771">
        <f t="shared" ca="1" si="358"/>
        <v>0</v>
      </c>
      <c r="BH303" s="771">
        <f t="shared" ca="1" si="359"/>
        <v>0</v>
      </c>
      <c r="BI303" s="776">
        <f t="shared" ca="1" si="360"/>
        <v>0</v>
      </c>
      <c r="BJ303" s="776">
        <f t="shared" ca="1" si="361"/>
        <v>0</v>
      </c>
      <c r="BK303" s="776">
        <f t="shared" ca="1" si="362"/>
        <v>0</v>
      </c>
      <c r="BL303" s="776">
        <f t="shared" ca="1" si="363"/>
        <v>0</v>
      </c>
      <c r="BM303" s="135"/>
      <c r="BN303" s="776">
        <f t="shared" ca="1" si="364"/>
        <v>0</v>
      </c>
      <c r="BO303" s="778">
        <f t="shared" ca="1" si="301"/>
        <v>0</v>
      </c>
      <c r="BP303" s="770">
        <f t="shared" ca="1" si="302"/>
        <v>0</v>
      </c>
      <c r="BQ303" s="771">
        <f t="shared" ca="1" si="303"/>
        <v>0</v>
      </c>
      <c r="BR303" s="771">
        <f t="shared" ca="1" si="304"/>
        <v>0</v>
      </c>
      <c r="BS303" s="776">
        <f t="shared" ca="1" si="365"/>
        <v>0</v>
      </c>
      <c r="BT303" s="776">
        <f t="shared" ca="1" si="305"/>
        <v>0</v>
      </c>
      <c r="BU303" s="783">
        <f t="shared" ca="1" si="306"/>
        <v>0</v>
      </c>
      <c r="BV303" s="783">
        <f t="shared" ca="1" si="307"/>
        <v>0</v>
      </c>
      <c r="BW303" s="1019">
        <f t="shared" ca="1" si="366"/>
        <v>0</v>
      </c>
      <c r="BX303" s="771" cm="1">
        <f t="array" aca="1" ref="BX303" ca="1">INDIRECT("'Definition of Typical Day'!"&amp; ADDRESS($D303+29*(BX$16-1),$E303))</f>
        <v>0</v>
      </c>
      <c r="BY303" s="771">
        <f t="shared" ca="1" si="367"/>
        <v>0</v>
      </c>
      <c r="BZ303" s="781">
        <f t="shared" ca="1" si="308"/>
        <v>0</v>
      </c>
      <c r="CA303" s="781">
        <f t="shared" ca="1" si="309"/>
        <v>0</v>
      </c>
      <c r="CB303" s="776">
        <f t="shared" ca="1" si="310"/>
        <v>0</v>
      </c>
      <c r="CC303" s="782">
        <f t="shared" si="311"/>
        <v>12</v>
      </c>
      <c r="CD303" s="782">
        <f t="shared" si="312"/>
        <v>19</v>
      </c>
      <c r="CE303" s="784" cm="1">
        <f t="array" aca="1" ref="CE303" ca="1">INDIRECT("'Definition of Typical Day'!"&amp;ADDRESS(CE$16,$E303))</f>
        <v>12</v>
      </c>
      <c r="CF303" s="232"/>
      <c r="CG303" s="232"/>
      <c r="CH303" s="776">
        <f t="shared" ca="1" si="313"/>
        <v>0</v>
      </c>
      <c r="CI303" s="806">
        <f t="shared" ca="1" si="314"/>
        <v>0</v>
      </c>
      <c r="CJ303" s="770">
        <f t="shared" ca="1" si="315"/>
        <v>0</v>
      </c>
      <c r="CK303" s="771">
        <f t="shared" ca="1" si="316"/>
        <v>0</v>
      </c>
      <c r="CL303" s="771">
        <f t="shared" ca="1" si="317"/>
        <v>0</v>
      </c>
      <c r="CM303" s="772">
        <f t="shared" ca="1" si="318"/>
        <v>0</v>
      </c>
      <c r="CN303" s="135"/>
      <c r="CO303" s="770">
        <f t="shared" ca="1" si="368"/>
        <v>1.05</v>
      </c>
      <c r="CP303" s="771">
        <f t="shared" ca="1" si="319"/>
        <v>0.02</v>
      </c>
      <c r="CQ303" s="771">
        <f t="shared" ca="1" si="320"/>
        <v>-2.5000000000000001E-2</v>
      </c>
      <c r="CR303" s="771">
        <f t="shared" ca="1" si="321"/>
        <v>0.95</v>
      </c>
      <c r="CS303" s="771">
        <f t="shared" ca="1" si="322"/>
        <v>0.03</v>
      </c>
      <c r="CT303" s="772">
        <f t="shared" ca="1" si="323"/>
        <v>0.02</v>
      </c>
      <c r="CU303" s="135"/>
      <c r="CV303" s="135"/>
      <c r="CW303" s="135"/>
      <c r="CX303" s="135"/>
      <c r="CY303" s="135"/>
      <c r="CZ303" s="135"/>
      <c r="DA303" s="135"/>
      <c r="DB303" s="135"/>
      <c r="DC303" s="135"/>
      <c r="DD303" s="135"/>
      <c r="DE303" s="135"/>
      <c r="DF303" s="135"/>
      <c r="DG303" s="135"/>
      <c r="DH303" s="135"/>
      <c r="DI303" s="135"/>
      <c r="DJ303" s="135"/>
      <c r="DK303" s="135"/>
      <c r="DL303" s="135"/>
      <c r="DX303" s="135"/>
      <c r="DY303" s="135"/>
      <c r="DZ303" s="135"/>
      <c r="EA303" s="135"/>
      <c r="EB303" s="135"/>
      <c r="EC303" s="135"/>
      <c r="ED303" s="135"/>
      <c r="EE303" s="135"/>
      <c r="EF303" s="135"/>
      <c r="EG303" s="135"/>
      <c r="EH303" s="135"/>
      <c r="EI303" s="135"/>
      <c r="EJ303" s="135"/>
      <c r="EK303" s="135"/>
      <c r="EL303" s="135"/>
      <c r="EM303" s="135"/>
      <c r="EN303" s="135"/>
      <c r="EO303" s="135"/>
      <c r="EP303" s="135"/>
      <c r="EQ303" s="135"/>
      <c r="ER303" s="135"/>
      <c r="ES303" s="135"/>
      <c r="ET303" s="135"/>
      <c r="EU303" s="135"/>
      <c r="EV303" s="135"/>
      <c r="EW303" s="135"/>
      <c r="EX303" s="135"/>
      <c r="EY303" s="135"/>
      <c r="EZ303" s="135"/>
      <c r="FA303" s="135"/>
      <c r="FB303" s="135"/>
      <c r="FC303" s="135"/>
      <c r="FD303" s="135"/>
      <c r="FE303" s="135"/>
      <c r="FF303" s="135"/>
      <c r="FG303" s="135"/>
    </row>
    <row r="304" spans="1:163" s="57" customFormat="1" ht="11.25" outlineLevel="1">
      <c r="A304" s="765">
        <f t="shared" si="369"/>
        <v>12</v>
      </c>
      <c r="B304" s="715" cm="1">
        <f t="array" aca="1" ref="B304" ca="1">INDIRECT("'Definition of Typical Day'!"&amp;ADDRESS(B$16,$E304))</f>
        <v>12</v>
      </c>
      <c r="C304" s="766">
        <f t="shared" si="370"/>
        <v>20</v>
      </c>
      <c r="D304" s="715">
        <f t="shared" si="370"/>
        <v>54</v>
      </c>
      <c r="E304" s="715">
        <f t="shared" si="298"/>
        <v>16</v>
      </c>
      <c r="F304" s="767" cm="1">
        <f t="array" aca="1" ref="F304" ca="1">INDIRECT("'Definition of Typical Day'!D"&amp;D304)</f>
        <v>20</v>
      </c>
      <c r="G304" s="767" cm="1">
        <f t="array" aca="1" ref="G304" ca="1">INDIRECT("'Definition of Typical Day'!"&amp;ADDRESS(13,E304))</f>
        <v>12</v>
      </c>
      <c r="H304" s="768" cm="1">
        <f t="array" aca="1" ref="H304" ca="1">INDIRECT("'Definition of Typical Day'!"&amp; ADDRESS($D304+28*(H$16-1),$E304))</f>
        <v>0</v>
      </c>
      <c r="I304" s="715" cm="1">
        <f t="array" aca="1" ref="I304" ca="1">INDIRECT("'Definition of Typical Day'!"&amp; ADDRESS($D304+29*(I$16-1),$E304))</f>
        <v>0</v>
      </c>
      <c r="J304" s="715">
        <f t="shared" ca="1" si="324"/>
        <v>0</v>
      </c>
      <c r="K304" s="785">
        <f t="shared" si="325"/>
        <v>28</v>
      </c>
      <c r="L304" s="786" cm="1">
        <f t="array" aca="1" ref="L304" ca="1">INDIRECT("'Definition of Typical Day'!"&amp; ADDRESS($D304+29*(L$16-1),$E304))</f>
        <v>0</v>
      </c>
      <c r="M304" s="768" cm="1">
        <f t="array" aca="1" ref="M304" ca="1">INDIRECT("'Definition of Typical Day'!"&amp; ADDRESS($D304+29*(M$16-1),$E304))</f>
        <v>0</v>
      </c>
      <c r="N304" s="715">
        <f t="shared" si="326"/>
        <v>3</v>
      </c>
      <c r="O304" s="715">
        <f t="shared" ca="1" si="327"/>
        <v>3</v>
      </c>
      <c r="P304" s="715" cm="1">
        <f t="array" aca="1" ref="P304" ca="1">INDIRECT("'Definition of Typical Day'!"&amp; ADDRESS($D304+29*(P$16-1),$E304))</f>
        <v>0</v>
      </c>
      <c r="Q304" s="787">
        <f t="shared" ca="1" si="328"/>
        <v>3</v>
      </c>
      <c r="R304" s="792">
        <f t="shared" ca="1" si="329"/>
        <v>3</v>
      </c>
      <c r="S304" s="769">
        <f t="shared" si="330"/>
        <v>3</v>
      </c>
      <c r="T304" s="769">
        <f t="shared" ca="1" si="331"/>
        <v>-0.5</v>
      </c>
      <c r="U304" s="769">
        <f t="shared" ca="1" si="332"/>
        <v>2.262</v>
      </c>
      <c r="V304" s="769">
        <f t="shared" ca="1" si="333"/>
        <v>0</v>
      </c>
      <c r="W304" s="769">
        <f t="shared" ca="1" si="334"/>
        <v>4.7620000000000005</v>
      </c>
      <c r="X304" s="794">
        <f t="shared" si="335"/>
        <v>3</v>
      </c>
      <c r="Y304" s="769">
        <f t="shared" ca="1" si="336"/>
        <v>0.54772255750516607</v>
      </c>
      <c r="Z304" s="769">
        <f t="shared" ca="1" si="337"/>
        <v>0</v>
      </c>
      <c r="AA304" s="795">
        <f t="shared" ca="1" si="338"/>
        <v>0</v>
      </c>
      <c r="AB304" s="769">
        <f t="shared" ca="1" si="339"/>
        <v>0</v>
      </c>
      <c r="AC304" s="769">
        <f t="shared" ca="1" si="340"/>
        <v>0</v>
      </c>
      <c r="AD304" s="769">
        <f t="shared" ca="1" si="341"/>
        <v>0</v>
      </c>
      <c r="AE304" s="794">
        <f t="shared" ca="1" si="342"/>
        <v>0</v>
      </c>
      <c r="AF304" s="769">
        <f t="shared" ca="1" si="343"/>
        <v>0</v>
      </c>
      <c r="AG304" s="769">
        <f t="shared" ca="1" si="344"/>
        <v>0</v>
      </c>
      <c r="AH304" s="799">
        <f t="shared" ca="1" si="345"/>
        <v>0</v>
      </c>
      <c r="AI304" s="801">
        <f t="shared" ca="1" si="346"/>
        <v>1</v>
      </c>
      <c r="AJ304" s="794">
        <f t="shared" ca="1" si="347"/>
        <v>0</v>
      </c>
      <c r="AK304" s="769">
        <f t="shared" ca="1" si="348"/>
        <v>0</v>
      </c>
      <c r="AL304" s="769">
        <f t="shared" ca="1" si="349"/>
        <v>0</v>
      </c>
      <c r="AM304" s="804">
        <f t="shared" ca="1" si="299"/>
        <v>0</v>
      </c>
      <c r="AN304" s="795">
        <f t="shared" ca="1" si="300"/>
        <v>0</v>
      </c>
      <c r="AO304" s="251"/>
      <c r="AP304" s="770">
        <f t="shared" si="350"/>
        <v>0</v>
      </c>
      <c r="AQ304" s="771">
        <f t="shared" ca="1" si="351"/>
        <v>0</v>
      </c>
      <c r="AR304" s="771">
        <f t="shared" ca="1" si="352"/>
        <v>0</v>
      </c>
      <c r="AS304" s="772">
        <f t="shared" ca="1" si="353"/>
        <v>0</v>
      </c>
      <c r="AT304" s="231"/>
      <c r="AU304" s="770">
        <f>'Main Results - IRR DC Operator'!$F$16</f>
        <v>2</v>
      </c>
      <c r="AV304" s="773">
        <f>'Main Results - IRR DC Operator'!$F$15</f>
        <v>1</v>
      </c>
      <c r="AW304" s="771">
        <f t="shared" ca="1" si="354"/>
        <v>0</v>
      </c>
      <c r="AX304" s="772">
        <f t="shared" si="355"/>
        <v>0</v>
      </c>
      <c r="AY304" s="231"/>
      <c r="AZ304" s="770" cm="1">
        <f t="array" aca="1" ref="AZ304" ca="1">INDIRECT("'Definition of Typical Day'!"&amp; ADDRESS($D304+29*(AZ$16-1),$E304))+$AZ$17</f>
        <v>11</v>
      </c>
      <c r="BA304" s="771" cm="1">
        <f t="array" aca="1" ref="BA304" ca="1">INDIRECT("'Definition of Typical Day'!"&amp; ADDRESS($D304+29*(BA$16-1),$E304))+$BA$17</f>
        <v>11</v>
      </c>
      <c r="BB304" s="772" cm="1">
        <f t="array" aca="1" ref="BB304" ca="1">INDIRECT("'Definition of Typical Day'!"&amp;ADDRESS(BB$16,$E304))</f>
        <v>0</v>
      </c>
      <c r="BC304" s="776" cm="1">
        <f t="array" aca="1" ref="BC304" ca="1">INDIRECT("'Definition of Typical Day'!"&amp; ADDRESS($D304+29*(BC$16-1),$E304))</f>
        <v>0</v>
      </c>
      <c r="BD304" s="777" cm="1">
        <f t="array" aca="1" ref="BD304" ca="1">INDIRECT("'Definition of Typical Day'!"&amp; ADDRESS($D304+29*(BD$16-1),$E304))</f>
        <v>0</v>
      </c>
      <c r="BE304" s="776">
        <f t="shared" si="356"/>
        <v>0</v>
      </c>
      <c r="BF304" s="771">
        <f t="shared" ca="1" si="357"/>
        <v>0</v>
      </c>
      <c r="BG304" s="771">
        <f t="shared" ca="1" si="358"/>
        <v>0</v>
      </c>
      <c r="BH304" s="771">
        <f t="shared" ca="1" si="359"/>
        <v>0</v>
      </c>
      <c r="BI304" s="776">
        <f t="shared" ca="1" si="360"/>
        <v>0</v>
      </c>
      <c r="BJ304" s="776">
        <f t="shared" ca="1" si="361"/>
        <v>0</v>
      </c>
      <c r="BK304" s="776">
        <f t="shared" ca="1" si="362"/>
        <v>0</v>
      </c>
      <c r="BL304" s="776">
        <f t="shared" ca="1" si="363"/>
        <v>0</v>
      </c>
      <c r="BM304" s="135"/>
      <c r="BN304" s="776">
        <f t="shared" ca="1" si="364"/>
        <v>0</v>
      </c>
      <c r="BO304" s="778">
        <f t="shared" ca="1" si="301"/>
        <v>0</v>
      </c>
      <c r="BP304" s="770">
        <f t="shared" ca="1" si="302"/>
        <v>0</v>
      </c>
      <c r="BQ304" s="771">
        <f t="shared" ca="1" si="303"/>
        <v>0</v>
      </c>
      <c r="BR304" s="771">
        <f t="shared" ca="1" si="304"/>
        <v>0</v>
      </c>
      <c r="BS304" s="776">
        <f t="shared" ca="1" si="365"/>
        <v>0</v>
      </c>
      <c r="BT304" s="776">
        <f t="shared" ca="1" si="305"/>
        <v>0</v>
      </c>
      <c r="BU304" s="783">
        <f t="shared" ca="1" si="306"/>
        <v>0</v>
      </c>
      <c r="BV304" s="783">
        <f t="shared" ca="1" si="307"/>
        <v>0</v>
      </c>
      <c r="BW304" s="1019">
        <f t="shared" ca="1" si="366"/>
        <v>0</v>
      </c>
      <c r="BX304" s="771" cm="1">
        <f t="array" aca="1" ref="BX304" ca="1">INDIRECT("'Definition of Typical Day'!"&amp; ADDRESS($D304+29*(BX$16-1),$E304))</f>
        <v>0</v>
      </c>
      <c r="BY304" s="771">
        <f t="shared" ca="1" si="367"/>
        <v>0</v>
      </c>
      <c r="BZ304" s="781">
        <f t="shared" ca="1" si="308"/>
        <v>0</v>
      </c>
      <c r="CA304" s="781">
        <f t="shared" ca="1" si="309"/>
        <v>0</v>
      </c>
      <c r="CB304" s="776">
        <f t="shared" ca="1" si="310"/>
        <v>0</v>
      </c>
      <c r="CC304" s="782">
        <f t="shared" si="311"/>
        <v>12</v>
      </c>
      <c r="CD304" s="782">
        <f t="shared" si="312"/>
        <v>20</v>
      </c>
      <c r="CE304" s="784" cm="1">
        <f t="array" aca="1" ref="CE304" ca="1">INDIRECT("'Definition of Typical Day'!"&amp;ADDRESS(CE$16,$E304))</f>
        <v>12</v>
      </c>
      <c r="CF304" s="232"/>
      <c r="CG304" s="232"/>
      <c r="CH304" s="776">
        <f t="shared" ca="1" si="313"/>
        <v>0</v>
      </c>
      <c r="CI304" s="806">
        <f t="shared" ca="1" si="314"/>
        <v>0</v>
      </c>
      <c r="CJ304" s="770">
        <f t="shared" ca="1" si="315"/>
        <v>0</v>
      </c>
      <c r="CK304" s="771">
        <f t="shared" ca="1" si="316"/>
        <v>0</v>
      </c>
      <c r="CL304" s="771">
        <f t="shared" ca="1" si="317"/>
        <v>0</v>
      </c>
      <c r="CM304" s="772">
        <f t="shared" ca="1" si="318"/>
        <v>0</v>
      </c>
      <c r="CN304" s="135"/>
      <c r="CO304" s="770">
        <f t="shared" ca="1" si="368"/>
        <v>1.05</v>
      </c>
      <c r="CP304" s="771">
        <f t="shared" ca="1" si="319"/>
        <v>0.02</v>
      </c>
      <c r="CQ304" s="771">
        <f t="shared" ca="1" si="320"/>
        <v>-2.5000000000000001E-2</v>
      </c>
      <c r="CR304" s="771">
        <f t="shared" ca="1" si="321"/>
        <v>0.95</v>
      </c>
      <c r="CS304" s="771">
        <f t="shared" ca="1" si="322"/>
        <v>0.03</v>
      </c>
      <c r="CT304" s="772">
        <f t="shared" ca="1" si="323"/>
        <v>0.02</v>
      </c>
      <c r="CU304" s="135"/>
      <c r="CV304" s="135"/>
      <c r="CW304" s="135"/>
      <c r="CX304" s="135"/>
      <c r="CY304" s="135"/>
      <c r="CZ304" s="135"/>
      <c r="DA304" s="135"/>
      <c r="DB304" s="135"/>
      <c r="DC304" s="135"/>
      <c r="DD304" s="135"/>
      <c r="DE304" s="135"/>
      <c r="DF304" s="135"/>
      <c r="DG304" s="135"/>
      <c r="DH304" s="135"/>
      <c r="DI304" s="135"/>
      <c r="DJ304" s="135"/>
      <c r="DK304" s="135"/>
      <c r="DL304" s="135"/>
      <c r="DX304" s="135"/>
      <c r="DY304" s="135"/>
      <c r="DZ304" s="135"/>
      <c r="EA304" s="135"/>
      <c r="EB304" s="135"/>
      <c r="EC304" s="135"/>
      <c r="ED304" s="135"/>
      <c r="EE304" s="135"/>
      <c r="EF304" s="135"/>
      <c r="EG304" s="135"/>
      <c r="EH304" s="135"/>
      <c r="EI304" s="135"/>
      <c r="EJ304" s="135"/>
      <c r="EK304" s="135"/>
      <c r="EL304" s="135"/>
      <c r="EM304" s="135"/>
      <c r="EN304" s="135"/>
      <c r="EO304" s="135"/>
      <c r="EP304" s="135"/>
      <c r="EQ304" s="135"/>
      <c r="ER304" s="135"/>
      <c r="ES304" s="135"/>
      <c r="ET304" s="135"/>
      <c r="EU304" s="135"/>
      <c r="EV304" s="135"/>
      <c r="EW304" s="135"/>
      <c r="EX304" s="135"/>
      <c r="EY304" s="135"/>
      <c r="EZ304" s="135"/>
      <c r="FA304" s="135"/>
      <c r="FB304" s="135"/>
      <c r="FC304" s="135"/>
      <c r="FD304" s="135"/>
      <c r="FE304" s="135"/>
      <c r="FF304" s="135"/>
      <c r="FG304" s="135"/>
    </row>
    <row r="305" spans="1:163" s="57" customFormat="1" ht="11.25" outlineLevel="1">
      <c r="A305" s="765">
        <f t="shared" si="369"/>
        <v>12</v>
      </c>
      <c r="B305" s="715" cm="1">
        <f t="array" aca="1" ref="B305" ca="1">INDIRECT("'Definition of Typical Day'!"&amp;ADDRESS(B$16,$E305))</f>
        <v>12</v>
      </c>
      <c r="C305" s="766">
        <f t="shared" si="370"/>
        <v>21</v>
      </c>
      <c r="D305" s="715">
        <f t="shared" si="370"/>
        <v>55</v>
      </c>
      <c r="E305" s="715">
        <f t="shared" si="298"/>
        <v>16</v>
      </c>
      <c r="F305" s="767" cm="1">
        <f t="array" aca="1" ref="F305" ca="1">INDIRECT("'Definition of Typical Day'!D"&amp;D305)</f>
        <v>21</v>
      </c>
      <c r="G305" s="767" cm="1">
        <f t="array" aca="1" ref="G305" ca="1">INDIRECT("'Definition of Typical Day'!"&amp;ADDRESS(13,E305))</f>
        <v>12</v>
      </c>
      <c r="H305" s="768" cm="1">
        <f t="array" aca="1" ref="H305" ca="1">INDIRECT("'Definition of Typical Day'!"&amp; ADDRESS($D305+28*(H$16-1),$E305))</f>
        <v>0</v>
      </c>
      <c r="I305" s="715" cm="1">
        <f t="array" aca="1" ref="I305" ca="1">INDIRECT("'Definition of Typical Day'!"&amp; ADDRESS($D305+29*(I$16-1),$E305))</f>
        <v>0</v>
      </c>
      <c r="J305" s="715">
        <f t="shared" ca="1" si="324"/>
        <v>0</v>
      </c>
      <c r="K305" s="785">
        <f t="shared" si="325"/>
        <v>28</v>
      </c>
      <c r="L305" s="786" cm="1">
        <f t="array" aca="1" ref="L305" ca="1">INDIRECT("'Definition of Typical Day'!"&amp; ADDRESS($D305+29*(L$16-1),$E305))</f>
        <v>0</v>
      </c>
      <c r="M305" s="768" cm="1">
        <f t="array" aca="1" ref="M305" ca="1">INDIRECT("'Definition of Typical Day'!"&amp; ADDRESS($D305+29*(M$16-1),$E305))</f>
        <v>0</v>
      </c>
      <c r="N305" s="715">
        <f t="shared" si="326"/>
        <v>3</v>
      </c>
      <c r="O305" s="715">
        <f t="shared" ca="1" si="327"/>
        <v>3</v>
      </c>
      <c r="P305" s="715" cm="1">
        <f t="array" aca="1" ref="P305" ca="1">INDIRECT("'Definition of Typical Day'!"&amp; ADDRESS($D305+29*(P$16-1),$E305))</f>
        <v>0</v>
      </c>
      <c r="Q305" s="787">
        <f t="shared" ca="1" si="328"/>
        <v>3</v>
      </c>
      <c r="R305" s="792">
        <f t="shared" ca="1" si="329"/>
        <v>3</v>
      </c>
      <c r="S305" s="769">
        <f t="shared" si="330"/>
        <v>3</v>
      </c>
      <c r="T305" s="769">
        <f t="shared" ca="1" si="331"/>
        <v>-0.5</v>
      </c>
      <c r="U305" s="769">
        <f t="shared" ca="1" si="332"/>
        <v>2.262</v>
      </c>
      <c r="V305" s="769">
        <f t="shared" ca="1" si="333"/>
        <v>0</v>
      </c>
      <c r="W305" s="769">
        <f t="shared" ca="1" si="334"/>
        <v>4.7620000000000005</v>
      </c>
      <c r="X305" s="794">
        <f t="shared" si="335"/>
        <v>3</v>
      </c>
      <c r="Y305" s="769">
        <f t="shared" ca="1" si="336"/>
        <v>0.54772255750516607</v>
      </c>
      <c r="Z305" s="769">
        <f t="shared" ca="1" si="337"/>
        <v>0</v>
      </c>
      <c r="AA305" s="795">
        <f t="shared" ca="1" si="338"/>
        <v>0</v>
      </c>
      <c r="AB305" s="769">
        <f t="shared" ca="1" si="339"/>
        <v>0</v>
      </c>
      <c r="AC305" s="769">
        <f t="shared" ca="1" si="340"/>
        <v>0</v>
      </c>
      <c r="AD305" s="769">
        <f t="shared" ca="1" si="341"/>
        <v>0</v>
      </c>
      <c r="AE305" s="794">
        <f t="shared" ca="1" si="342"/>
        <v>0</v>
      </c>
      <c r="AF305" s="769">
        <f t="shared" ca="1" si="343"/>
        <v>0</v>
      </c>
      <c r="AG305" s="769">
        <f t="shared" ca="1" si="344"/>
        <v>0</v>
      </c>
      <c r="AH305" s="799">
        <f t="shared" ca="1" si="345"/>
        <v>0</v>
      </c>
      <c r="AI305" s="801">
        <f t="shared" ca="1" si="346"/>
        <v>1</v>
      </c>
      <c r="AJ305" s="794">
        <f t="shared" ca="1" si="347"/>
        <v>0</v>
      </c>
      <c r="AK305" s="769">
        <f t="shared" ca="1" si="348"/>
        <v>0</v>
      </c>
      <c r="AL305" s="769">
        <f t="shared" ca="1" si="349"/>
        <v>0</v>
      </c>
      <c r="AM305" s="804">
        <f t="shared" ca="1" si="299"/>
        <v>0</v>
      </c>
      <c r="AN305" s="795">
        <f t="shared" ca="1" si="300"/>
        <v>0</v>
      </c>
      <c r="AO305" s="251"/>
      <c r="AP305" s="770">
        <f t="shared" si="350"/>
        <v>0</v>
      </c>
      <c r="AQ305" s="771">
        <f t="shared" ca="1" si="351"/>
        <v>0</v>
      </c>
      <c r="AR305" s="771">
        <f t="shared" ca="1" si="352"/>
        <v>0</v>
      </c>
      <c r="AS305" s="772">
        <f t="shared" ca="1" si="353"/>
        <v>0</v>
      </c>
      <c r="AT305" s="231"/>
      <c r="AU305" s="770">
        <f>'Main Results - IRR DC Operator'!$F$16</f>
        <v>2</v>
      </c>
      <c r="AV305" s="773">
        <f>'Main Results - IRR DC Operator'!$F$15</f>
        <v>1</v>
      </c>
      <c r="AW305" s="771">
        <f t="shared" ca="1" si="354"/>
        <v>0</v>
      </c>
      <c r="AX305" s="772">
        <f t="shared" si="355"/>
        <v>0</v>
      </c>
      <c r="AY305" s="231"/>
      <c r="AZ305" s="770" cm="1">
        <f t="array" aca="1" ref="AZ305" ca="1">INDIRECT("'Definition of Typical Day'!"&amp; ADDRESS($D305+29*(AZ$16-1),$E305))+$AZ$17</f>
        <v>11</v>
      </c>
      <c r="BA305" s="771" cm="1">
        <f t="array" aca="1" ref="BA305" ca="1">INDIRECT("'Definition of Typical Day'!"&amp; ADDRESS($D305+29*(BA$16-1),$E305))+$BA$17</f>
        <v>11</v>
      </c>
      <c r="BB305" s="772" cm="1">
        <f t="array" aca="1" ref="BB305" ca="1">INDIRECT("'Definition of Typical Day'!"&amp;ADDRESS(BB$16,$E305))</f>
        <v>0</v>
      </c>
      <c r="BC305" s="776" cm="1">
        <f t="array" aca="1" ref="BC305" ca="1">INDIRECT("'Definition of Typical Day'!"&amp; ADDRESS($D305+29*(BC$16-1),$E305))</f>
        <v>0</v>
      </c>
      <c r="BD305" s="777" cm="1">
        <f t="array" aca="1" ref="BD305" ca="1">INDIRECT("'Definition of Typical Day'!"&amp; ADDRESS($D305+29*(BD$16-1),$E305))</f>
        <v>0</v>
      </c>
      <c r="BE305" s="776">
        <f t="shared" si="356"/>
        <v>0</v>
      </c>
      <c r="BF305" s="771">
        <f t="shared" ca="1" si="357"/>
        <v>0</v>
      </c>
      <c r="BG305" s="771">
        <f t="shared" ca="1" si="358"/>
        <v>0</v>
      </c>
      <c r="BH305" s="771">
        <f t="shared" ca="1" si="359"/>
        <v>0</v>
      </c>
      <c r="BI305" s="776">
        <f t="shared" ca="1" si="360"/>
        <v>0</v>
      </c>
      <c r="BJ305" s="776">
        <f t="shared" ca="1" si="361"/>
        <v>0</v>
      </c>
      <c r="BK305" s="776">
        <f t="shared" ca="1" si="362"/>
        <v>0</v>
      </c>
      <c r="BL305" s="776">
        <f t="shared" ca="1" si="363"/>
        <v>0</v>
      </c>
      <c r="BM305" s="135"/>
      <c r="BN305" s="776">
        <f t="shared" ca="1" si="364"/>
        <v>0</v>
      </c>
      <c r="BO305" s="778">
        <f t="shared" ca="1" si="301"/>
        <v>0</v>
      </c>
      <c r="BP305" s="770">
        <f t="shared" ca="1" si="302"/>
        <v>0</v>
      </c>
      <c r="BQ305" s="771">
        <f t="shared" ca="1" si="303"/>
        <v>0</v>
      </c>
      <c r="BR305" s="771">
        <f t="shared" ca="1" si="304"/>
        <v>0</v>
      </c>
      <c r="BS305" s="776">
        <f t="shared" ca="1" si="365"/>
        <v>0</v>
      </c>
      <c r="BT305" s="776">
        <f t="shared" ca="1" si="305"/>
        <v>0</v>
      </c>
      <c r="BU305" s="783">
        <f t="shared" ca="1" si="306"/>
        <v>0</v>
      </c>
      <c r="BV305" s="783">
        <f t="shared" ca="1" si="307"/>
        <v>0</v>
      </c>
      <c r="BW305" s="1019">
        <f t="shared" ca="1" si="366"/>
        <v>0</v>
      </c>
      <c r="BX305" s="771" cm="1">
        <f t="array" aca="1" ref="BX305" ca="1">INDIRECT("'Definition of Typical Day'!"&amp; ADDRESS($D305+29*(BX$16-1),$E305))</f>
        <v>0</v>
      </c>
      <c r="BY305" s="771">
        <f t="shared" ca="1" si="367"/>
        <v>0</v>
      </c>
      <c r="BZ305" s="781">
        <f t="shared" ca="1" si="308"/>
        <v>0</v>
      </c>
      <c r="CA305" s="781">
        <f t="shared" ca="1" si="309"/>
        <v>0</v>
      </c>
      <c r="CB305" s="776">
        <f t="shared" ca="1" si="310"/>
        <v>0</v>
      </c>
      <c r="CC305" s="782">
        <f t="shared" si="311"/>
        <v>12</v>
      </c>
      <c r="CD305" s="782">
        <f t="shared" si="312"/>
        <v>21</v>
      </c>
      <c r="CE305" s="784" cm="1">
        <f t="array" aca="1" ref="CE305" ca="1">INDIRECT("'Definition of Typical Day'!"&amp;ADDRESS(CE$16,$E305))</f>
        <v>12</v>
      </c>
      <c r="CF305" s="232"/>
      <c r="CG305" s="232"/>
      <c r="CH305" s="776">
        <f t="shared" ca="1" si="313"/>
        <v>0</v>
      </c>
      <c r="CI305" s="806">
        <f t="shared" ca="1" si="314"/>
        <v>0</v>
      </c>
      <c r="CJ305" s="770">
        <f t="shared" ca="1" si="315"/>
        <v>0</v>
      </c>
      <c r="CK305" s="771">
        <f t="shared" ca="1" si="316"/>
        <v>0</v>
      </c>
      <c r="CL305" s="771">
        <f t="shared" ca="1" si="317"/>
        <v>0</v>
      </c>
      <c r="CM305" s="772">
        <f t="shared" ca="1" si="318"/>
        <v>0</v>
      </c>
      <c r="CN305" s="135"/>
      <c r="CO305" s="770">
        <f t="shared" ca="1" si="368"/>
        <v>1.05</v>
      </c>
      <c r="CP305" s="771">
        <f t="shared" ca="1" si="319"/>
        <v>0.02</v>
      </c>
      <c r="CQ305" s="771">
        <f t="shared" ca="1" si="320"/>
        <v>-2.5000000000000001E-2</v>
      </c>
      <c r="CR305" s="771">
        <f t="shared" ca="1" si="321"/>
        <v>0.95</v>
      </c>
      <c r="CS305" s="771">
        <f t="shared" ca="1" si="322"/>
        <v>0.03</v>
      </c>
      <c r="CT305" s="772">
        <f t="shared" ca="1" si="323"/>
        <v>0.02</v>
      </c>
      <c r="CU305" s="135"/>
      <c r="CV305" s="135"/>
      <c r="CW305" s="135"/>
      <c r="CX305" s="135"/>
      <c r="CY305" s="135"/>
      <c r="CZ305" s="135"/>
      <c r="DA305" s="135"/>
      <c r="DB305" s="135"/>
      <c r="DC305" s="135"/>
      <c r="DD305" s="135"/>
      <c r="DE305" s="135"/>
      <c r="DF305" s="135"/>
      <c r="DG305" s="135"/>
      <c r="DH305" s="135"/>
      <c r="DI305" s="135"/>
      <c r="DJ305" s="135"/>
      <c r="DK305" s="135"/>
      <c r="DL305" s="135"/>
      <c r="DX305" s="135"/>
      <c r="DY305" s="135"/>
      <c r="DZ305" s="135"/>
      <c r="EA305" s="135"/>
      <c r="EB305" s="135"/>
      <c r="EC305" s="135"/>
      <c r="ED305" s="135"/>
      <c r="EE305" s="135"/>
      <c r="EF305" s="135"/>
      <c r="EG305" s="135"/>
      <c r="EH305" s="135"/>
      <c r="EI305" s="135"/>
      <c r="EJ305" s="135"/>
      <c r="EK305" s="135"/>
      <c r="EL305" s="135"/>
      <c r="EM305" s="135"/>
      <c r="EN305" s="135"/>
      <c r="EO305" s="135"/>
      <c r="EP305" s="135"/>
      <c r="EQ305" s="135"/>
      <c r="ER305" s="135"/>
      <c r="ES305" s="135"/>
      <c r="ET305" s="135"/>
      <c r="EU305" s="135"/>
      <c r="EV305" s="135"/>
      <c r="EW305" s="135"/>
      <c r="EX305" s="135"/>
      <c r="EY305" s="135"/>
      <c r="EZ305" s="135"/>
      <c r="FA305" s="135"/>
      <c r="FB305" s="135"/>
      <c r="FC305" s="135"/>
      <c r="FD305" s="135"/>
      <c r="FE305" s="135"/>
      <c r="FF305" s="135"/>
      <c r="FG305" s="135"/>
    </row>
    <row r="306" spans="1:163" s="57" customFormat="1" ht="11.25" outlineLevel="1">
      <c r="A306" s="765">
        <f t="shared" si="369"/>
        <v>12</v>
      </c>
      <c r="B306" s="715" cm="1">
        <f t="array" aca="1" ref="B306" ca="1">INDIRECT("'Definition of Typical Day'!"&amp;ADDRESS(B$16,$E306))</f>
        <v>12</v>
      </c>
      <c r="C306" s="766">
        <f t="shared" si="370"/>
        <v>22</v>
      </c>
      <c r="D306" s="715">
        <f t="shared" si="370"/>
        <v>56</v>
      </c>
      <c r="E306" s="715">
        <f t="shared" si="298"/>
        <v>16</v>
      </c>
      <c r="F306" s="767" cm="1">
        <f t="array" aca="1" ref="F306" ca="1">INDIRECT("'Definition of Typical Day'!D"&amp;D306)</f>
        <v>22</v>
      </c>
      <c r="G306" s="767" cm="1">
        <f t="array" aca="1" ref="G306" ca="1">INDIRECT("'Definition of Typical Day'!"&amp;ADDRESS(13,E306))</f>
        <v>12</v>
      </c>
      <c r="H306" s="768" cm="1">
        <f t="array" aca="1" ref="H306" ca="1">INDIRECT("'Definition of Typical Day'!"&amp; ADDRESS($D306+28*(H$16-1),$E306))</f>
        <v>0</v>
      </c>
      <c r="I306" s="715" cm="1">
        <f t="array" aca="1" ref="I306" ca="1">INDIRECT("'Definition of Typical Day'!"&amp; ADDRESS($D306+29*(I$16-1),$E306))</f>
        <v>0</v>
      </c>
      <c r="J306" s="715">
        <f t="shared" ca="1" si="324"/>
        <v>0</v>
      </c>
      <c r="K306" s="785">
        <f t="shared" si="325"/>
        <v>28</v>
      </c>
      <c r="L306" s="786" cm="1">
        <f t="array" aca="1" ref="L306" ca="1">INDIRECT("'Definition of Typical Day'!"&amp; ADDRESS($D306+29*(L$16-1),$E306))</f>
        <v>0</v>
      </c>
      <c r="M306" s="768" cm="1">
        <f t="array" aca="1" ref="M306" ca="1">INDIRECT("'Definition of Typical Day'!"&amp; ADDRESS($D306+29*(M$16-1),$E306))</f>
        <v>0</v>
      </c>
      <c r="N306" s="715">
        <f t="shared" si="326"/>
        <v>3</v>
      </c>
      <c r="O306" s="715">
        <f t="shared" ca="1" si="327"/>
        <v>3</v>
      </c>
      <c r="P306" s="715" cm="1">
        <f t="array" aca="1" ref="P306" ca="1">INDIRECT("'Definition of Typical Day'!"&amp; ADDRESS($D306+29*(P$16-1),$E306))</f>
        <v>0</v>
      </c>
      <c r="Q306" s="787">
        <f t="shared" ca="1" si="328"/>
        <v>3</v>
      </c>
      <c r="R306" s="792">
        <f t="shared" ca="1" si="329"/>
        <v>3</v>
      </c>
      <c r="S306" s="769">
        <f t="shared" si="330"/>
        <v>3</v>
      </c>
      <c r="T306" s="769">
        <f t="shared" ca="1" si="331"/>
        <v>-0.5</v>
      </c>
      <c r="U306" s="769">
        <f t="shared" ca="1" si="332"/>
        <v>2.262</v>
      </c>
      <c r="V306" s="769">
        <f t="shared" ca="1" si="333"/>
        <v>0</v>
      </c>
      <c r="W306" s="769">
        <f t="shared" ca="1" si="334"/>
        <v>4.7620000000000005</v>
      </c>
      <c r="X306" s="794">
        <f t="shared" si="335"/>
        <v>3</v>
      </c>
      <c r="Y306" s="769">
        <f t="shared" ca="1" si="336"/>
        <v>0.54772255750516607</v>
      </c>
      <c r="Z306" s="769">
        <f t="shared" ca="1" si="337"/>
        <v>0</v>
      </c>
      <c r="AA306" s="795">
        <f t="shared" ca="1" si="338"/>
        <v>0</v>
      </c>
      <c r="AB306" s="769">
        <f t="shared" ca="1" si="339"/>
        <v>0</v>
      </c>
      <c r="AC306" s="769">
        <f t="shared" ca="1" si="340"/>
        <v>0</v>
      </c>
      <c r="AD306" s="769">
        <f t="shared" ca="1" si="341"/>
        <v>0</v>
      </c>
      <c r="AE306" s="794">
        <f t="shared" ca="1" si="342"/>
        <v>0</v>
      </c>
      <c r="AF306" s="769">
        <f t="shared" ca="1" si="343"/>
        <v>0</v>
      </c>
      <c r="AG306" s="769">
        <f t="shared" ca="1" si="344"/>
        <v>0</v>
      </c>
      <c r="AH306" s="799">
        <f t="shared" ca="1" si="345"/>
        <v>0</v>
      </c>
      <c r="AI306" s="801">
        <f t="shared" ca="1" si="346"/>
        <v>1</v>
      </c>
      <c r="AJ306" s="794">
        <f t="shared" ca="1" si="347"/>
        <v>0</v>
      </c>
      <c r="AK306" s="769">
        <f t="shared" ca="1" si="348"/>
        <v>0</v>
      </c>
      <c r="AL306" s="769">
        <f t="shared" ca="1" si="349"/>
        <v>0</v>
      </c>
      <c r="AM306" s="804">
        <f t="shared" ca="1" si="299"/>
        <v>0</v>
      </c>
      <c r="AN306" s="795">
        <f t="shared" ca="1" si="300"/>
        <v>0</v>
      </c>
      <c r="AO306" s="251"/>
      <c r="AP306" s="770">
        <f t="shared" si="350"/>
        <v>0</v>
      </c>
      <c r="AQ306" s="771">
        <f t="shared" ca="1" si="351"/>
        <v>0</v>
      </c>
      <c r="AR306" s="771">
        <f t="shared" ca="1" si="352"/>
        <v>0</v>
      </c>
      <c r="AS306" s="772">
        <f t="shared" ca="1" si="353"/>
        <v>0</v>
      </c>
      <c r="AT306" s="231"/>
      <c r="AU306" s="770">
        <f>'Main Results - IRR DC Operator'!$F$16</f>
        <v>2</v>
      </c>
      <c r="AV306" s="773">
        <f>'Main Results - IRR DC Operator'!$F$15</f>
        <v>1</v>
      </c>
      <c r="AW306" s="771">
        <f t="shared" ca="1" si="354"/>
        <v>0</v>
      </c>
      <c r="AX306" s="772">
        <f t="shared" si="355"/>
        <v>0</v>
      </c>
      <c r="AY306" s="231"/>
      <c r="AZ306" s="770" cm="1">
        <f t="array" aca="1" ref="AZ306" ca="1">INDIRECT("'Definition of Typical Day'!"&amp; ADDRESS($D306+29*(AZ$16-1),$E306))+$AZ$17</f>
        <v>11</v>
      </c>
      <c r="BA306" s="771" cm="1">
        <f t="array" aca="1" ref="BA306" ca="1">INDIRECT("'Definition of Typical Day'!"&amp; ADDRESS($D306+29*(BA$16-1),$E306))+$BA$17</f>
        <v>11</v>
      </c>
      <c r="BB306" s="772" cm="1">
        <f t="array" aca="1" ref="BB306" ca="1">INDIRECT("'Definition of Typical Day'!"&amp;ADDRESS(BB$16,$E306))</f>
        <v>0</v>
      </c>
      <c r="BC306" s="776" cm="1">
        <f t="array" aca="1" ref="BC306" ca="1">INDIRECT("'Definition of Typical Day'!"&amp; ADDRESS($D306+29*(BC$16-1),$E306))</f>
        <v>0</v>
      </c>
      <c r="BD306" s="777" cm="1">
        <f t="array" aca="1" ref="BD306" ca="1">INDIRECT("'Definition of Typical Day'!"&amp; ADDRESS($D306+29*(BD$16-1),$E306))</f>
        <v>0</v>
      </c>
      <c r="BE306" s="776">
        <f t="shared" si="356"/>
        <v>0</v>
      </c>
      <c r="BF306" s="771">
        <f t="shared" ca="1" si="357"/>
        <v>0</v>
      </c>
      <c r="BG306" s="771">
        <f t="shared" ca="1" si="358"/>
        <v>0</v>
      </c>
      <c r="BH306" s="771">
        <f t="shared" ca="1" si="359"/>
        <v>0</v>
      </c>
      <c r="BI306" s="776">
        <f t="shared" ca="1" si="360"/>
        <v>0</v>
      </c>
      <c r="BJ306" s="776">
        <f t="shared" ca="1" si="361"/>
        <v>0</v>
      </c>
      <c r="BK306" s="776">
        <f t="shared" ca="1" si="362"/>
        <v>0</v>
      </c>
      <c r="BL306" s="776">
        <f t="shared" ca="1" si="363"/>
        <v>0</v>
      </c>
      <c r="BM306" s="135"/>
      <c r="BN306" s="776">
        <f t="shared" ca="1" si="364"/>
        <v>0</v>
      </c>
      <c r="BO306" s="778">
        <f t="shared" ca="1" si="301"/>
        <v>0</v>
      </c>
      <c r="BP306" s="770">
        <f t="shared" ca="1" si="302"/>
        <v>0</v>
      </c>
      <c r="BQ306" s="771">
        <f t="shared" ca="1" si="303"/>
        <v>0</v>
      </c>
      <c r="BR306" s="771">
        <f t="shared" ca="1" si="304"/>
        <v>0</v>
      </c>
      <c r="BS306" s="776">
        <f t="shared" ca="1" si="365"/>
        <v>0</v>
      </c>
      <c r="BT306" s="776">
        <f t="shared" ca="1" si="305"/>
        <v>0</v>
      </c>
      <c r="BU306" s="783">
        <f t="shared" ca="1" si="306"/>
        <v>0</v>
      </c>
      <c r="BV306" s="783">
        <f t="shared" ca="1" si="307"/>
        <v>0</v>
      </c>
      <c r="BW306" s="1019">
        <f t="shared" ca="1" si="366"/>
        <v>0</v>
      </c>
      <c r="BX306" s="771" cm="1">
        <f t="array" aca="1" ref="BX306" ca="1">INDIRECT("'Definition of Typical Day'!"&amp; ADDRESS($D306+29*(BX$16-1),$E306))</f>
        <v>0</v>
      </c>
      <c r="BY306" s="771">
        <f t="shared" ca="1" si="367"/>
        <v>0</v>
      </c>
      <c r="BZ306" s="781">
        <f t="shared" ca="1" si="308"/>
        <v>0</v>
      </c>
      <c r="CA306" s="781">
        <f t="shared" ca="1" si="309"/>
        <v>0</v>
      </c>
      <c r="CB306" s="776">
        <f t="shared" ca="1" si="310"/>
        <v>0</v>
      </c>
      <c r="CC306" s="782">
        <f t="shared" si="311"/>
        <v>12</v>
      </c>
      <c r="CD306" s="782">
        <f t="shared" si="312"/>
        <v>22</v>
      </c>
      <c r="CE306" s="784" cm="1">
        <f t="array" aca="1" ref="CE306" ca="1">INDIRECT("'Definition of Typical Day'!"&amp;ADDRESS(CE$16,$E306))</f>
        <v>12</v>
      </c>
      <c r="CF306" s="232"/>
      <c r="CG306" s="232"/>
      <c r="CH306" s="776">
        <f t="shared" ca="1" si="313"/>
        <v>0</v>
      </c>
      <c r="CI306" s="806">
        <f t="shared" ca="1" si="314"/>
        <v>0</v>
      </c>
      <c r="CJ306" s="770">
        <f t="shared" ca="1" si="315"/>
        <v>0</v>
      </c>
      <c r="CK306" s="771">
        <f t="shared" ca="1" si="316"/>
        <v>0</v>
      </c>
      <c r="CL306" s="771">
        <f t="shared" ca="1" si="317"/>
        <v>0</v>
      </c>
      <c r="CM306" s="772">
        <f t="shared" ca="1" si="318"/>
        <v>0</v>
      </c>
      <c r="CN306" s="135"/>
      <c r="CO306" s="770">
        <f t="shared" ca="1" si="368"/>
        <v>1.05</v>
      </c>
      <c r="CP306" s="771">
        <f t="shared" ca="1" si="319"/>
        <v>0.02</v>
      </c>
      <c r="CQ306" s="771">
        <f t="shared" ca="1" si="320"/>
        <v>-2.5000000000000001E-2</v>
      </c>
      <c r="CR306" s="771">
        <f t="shared" ca="1" si="321"/>
        <v>0.95</v>
      </c>
      <c r="CS306" s="771">
        <f t="shared" ca="1" si="322"/>
        <v>0.03</v>
      </c>
      <c r="CT306" s="772">
        <f t="shared" ca="1" si="323"/>
        <v>0.02</v>
      </c>
      <c r="CU306" s="135"/>
      <c r="CV306" s="135"/>
      <c r="CW306" s="135"/>
      <c r="CX306" s="135"/>
      <c r="CY306" s="135"/>
      <c r="CZ306" s="135"/>
      <c r="DA306" s="135"/>
      <c r="DB306" s="135"/>
      <c r="DC306" s="135"/>
      <c r="DD306" s="135"/>
      <c r="DE306" s="135"/>
      <c r="DF306" s="135"/>
      <c r="DG306" s="135"/>
      <c r="DH306" s="135"/>
      <c r="DI306" s="135"/>
      <c r="DJ306" s="135"/>
      <c r="DK306" s="135"/>
      <c r="DL306" s="135"/>
      <c r="DX306" s="135"/>
      <c r="DY306" s="135"/>
      <c r="DZ306" s="135"/>
      <c r="EA306" s="135"/>
      <c r="EB306" s="135"/>
      <c r="EC306" s="135"/>
      <c r="ED306" s="135"/>
      <c r="EE306" s="135"/>
      <c r="EF306" s="135"/>
      <c r="EG306" s="135"/>
      <c r="EH306" s="135"/>
      <c r="EI306" s="135"/>
      <c r="EJ306" s="135"/>
      <c r="EK306" s="135"/>
      <c r="EL306" s="135"/>
      <c r="EM306" s="135"/>
      <c r="EN306" s="135"/>
      <c r="EO306" s="135"/>
      <c r="EP306" s="135"/>
      <c r="EQ306" s="135"/>
      <c r="ER306" s="135"/>
      <c r="ES306" s="135"/>
      <c r="ET306" s="135"/>
      <c r="EU306" s="135"/>
      <c r="EV306" s="135"/>
      <c r="EW306" s="135"/>
      <c r="EX306" s="135"/>
      <c r="EY306" s="135"/>
      <c r="EZ306" s="135"/>
      <c r="FA306" s="135"/>
      <c r="FB306" s="135"/>
      <c r="FC306" s="135"/>
      <c r="FD306" s="135"/>
      <c r="FE306" s="135"/>
      <c r="FF306" s="135"/>
      <c r="FG306" s="135"/>
    </row>
    <row r="307" spans="1:163" s="57" customFormat="1" ht="11.25" outlineLevel="1">
      <c r="A307" s="765">
        <f t="shared" si="369"/>
        <v>12</v>
      </c>
      <c r="B307" s="715" cm="1">
        <f t="array" aca="1" ref="B307" ca="1">INDIRECT("'Definition of Typical Day'!"&amp;ADDRESS(B$16,$E307))</f>
        <v>12</v>
      </c>
      <c r="C307" s="766">
        <f t="shared" si="370"/>
        <v>23</v>
      </c>
      <c r="D307" s="715">
        <f t="shared" si="370"/>
        <v>57</v>
      </c>
      <c r="E307" s="715">
        <f t="shared" si="298"/>
        <v>16</v>
      </c>
      <c r="F307" s="767" cm="1">
        <f t="array" aca="1" ref="F307" ca="1">INDIRECT("'Definition of Typical Day'!D"&amp;D307)</f>
        <v>23</v>
      </c>
      <c r="G307" s="767" cm="1">
        <f t="array" aca="1" ref="G307" ca="1">INDIRECT("'Definition of Typical Day'!"&amp;ADDRESS(13,E307))</f>
        <v>12</v>
      </c>
      <c r="H307" s="768" cm="1">
        <f t="array" aca="1" ref="H307" ca="1">INDIRECT("'Definition of Typical Day'!"&amp; ADDRESS($D307+28*(H$16-1),$E307))</f>
        <v>0</v>
      </c>
      <c r="I307" s="715" cm="1">
        <f t="array" aca="1" ref="I307" ca="1">INDIRECT("'Definition of Typical Day'!"&amp; ADDRESS($D307+29*(I$16-1),$E307))</f>
        <v>0</v>
      </c>
      <c r="J307" s="715">
        <f t="shared" ca="1" si="324"/>
        <v>0</v>
      </c>
      <c r="K307" s="785">
        <f t="shared" si="325"/>
        <v>28</v>
      </c>
      <c r="L307" s="786" cm="1">
        <f t="array" aca="1" ref="L307" ca="1">INDIRECT("'Definition of Typical Day'!"&amp; ADDRESS($D307+29*(L$16-1),$E307))</f>
        <v>0</v>
      </c>
      <c r="M307" s="768" cm="1">
        <f t="array" aca="1" ref="M307" ca="1">INDIRECT("'Definition of Typical Day'!"&amp; ADDRESS($D307+29*(M$16-1),$E307))</f>
        <v>0</v>
      </c>
      <c r="N307" s="715">
        <f t="shared" si="326"/>
        <v>3</v>
      </c>
      <c r="O307" s="715">
        <f t="shared" ca="1" si="327"/>
        <v>3</v>
      </c>
      <c r="P307" s="715" cm="1">
        <f t="array" aca="1" ref="P307" ca="1">INDIRECT("'Definition of Typical Day'!"&amp; ADDRESS($D307+29*(P$16-1),$E307))</f>
        <v>0</v>
      </c>
      <c r="Q307" s="787">
        <f t="shared" ca="1" si="328"/>
        <v>3</v>
      </c>
      <c r="R307" s="792">
        <f t="shared" ca="1" si="329"/>
        <v>3</v>
      </c>
      <c r="S307" s="769">
        <f t="shared" si="330"/>
        <v>3</v>
      </c>
      <c r="T307" s="769">
        <f t="shared" ca="1" si="331"/>
        <v>-0.5</v>
      </c>
      <c r="U307" s="769">
        <f t="shared" ca="1" si="332"/>
        <v>2.262</v>
      </c>
      <c r="V307" s="769">
        <f t="shared" ca="1" si="333"/>
        <v>0</v>
      </c>
      <c r="W307" s="769">
        <f t="shared" ca="1" si="334"/>
        <v>4.7620000000000005</v>
      </c>
      <c r="X307" s="794">
        <f t="shared" si="335"/>
        <v>3</v>
      </c>
      <c r="Y307" s="769">
        <f t="shared" ca="1" si="336"/>
        <v>0.54772255750516607</v>
      </c>
      <c r="Z307" s="769">
        <f t="shared" ca="1" si="337"/>
        <v>0</v>
      </c>
      <c r="AA307" s="795">
        <f t="shared" ca="1" si="338"/>
        <v>0</v>
      </c>
      <c r="AB307" s="769">
        <f t="shared" ca="1" si="339"/>
        <v>0</v>
      </c>
      <c r="AC307" s="769">
        <f t="shared" ca="1" si="340"/>
        <v>0</v>
      </c>
      <c r="AD307" s="769">
        <f t="shared" ca="1" si="341"/>
        <v>0</v>
      </c>
      <c r="AE307" s="794">
        <f t="shared" ca="1" si="342"/>
        <v>0</v>
      </c>
      <c r="AF307" s="769">
        <f t="shared" ca="1" si="343"/>
        <v>0</v>
      </c>
      <c r="AG307" s="769">
        <f t="shared" ca="1" si="344"/>
        <v>0</v>
      </c>
      <c r="AH307" s="799">
        <f t="shared" ca="1" si="345"/>
        <v>0</v>
      </c>
      <c r="AI307" s="801">
        <f t="shared" ca="1" si="346"/>
        <v>1</v>
      </c>
      <c r="AJ307" s="794">
        <f t="shared" ca="1" si="347"/>
        <v>0</v>
      </c>
      <c r="AK307" s="769">
        <f t="shared" ca="1" si="348"/>
        <v>0</v>
      </c>
      <c r="AL307" s="769">
        <f t="shared" ca="1" si="349"/>
        <v>0</v>
      </c>
      <c r="AM307" s="804">
        <f t="shared" ca="1" si="299"/>
        <v>0</v>
      </c>
      <c r="AN307" s="795">
        <f t="shared" ca="1" si="300"/>
        <v>0</v>
      </c>
      <c r="AO307" s="251"/>
      <c r="AP307" s="770">
        <f t="shared" si="350"/>
        <v>0</v>
      </c>
      <c r="AQ307" s="771">
        <f t="shared" ca="1" si="351"/>
        <v>0</v>
      </c>
      <c r="AR307" s="771">
        <f t="shared" ca="1" si="352"/>
        <v>0</v>
      </c>
      <c r="AS307" s="772">
        <f t="shared" ca="1" si="353"/>
        <v>0</v>
      </c>
      <c r="AT307" s="231"/>
      <c r="AU307" s="770">
        <f>'Main Results - IRR DC Operator'!$F$16</f>
        <v>2</v>
      </c>
      <c r="AV307" s="773">
        <f>'Main Results - IRR DC Operator'!$F$15</f>
        <v>1</v>
      </c>
      <c r="AW307" s="771">
        <f t="shared" ca="1" si="354"/>
        <v>0</v>
      </c>
      <c r="AX307" s="772">
        <f t="shared" si="355"/>
        <v>0</v>
      </c>
      <c r="AY307" s="231"/>
      <c r="AZ307" s="770" cm="1">
        <f t="array" aca="1" ref="AZ307" ca="1">INDIRECT("'Definition of Typical Day'!"&amp; ADDRESS($D307+29*(AZ$16-1),$E307))+$AZ$17</f>
        <v>11</v>
      </c>
      <c r="BA307" s="771" cm="1">
        <f t="array" aca="1" ref="BA307" ca="1">INDIRECT("'Definition of Typical Day'!"&amp; ADDRESS($D307+29*(BA$16-1),$E307))+$BA$17</f>
        <v>11</v>
      </c>
      <c r="BB307" s="772" cm="1">
        <f t="array" aca="1" ref="BB307" ca="1">INDIRECT("'Definition of Typical Day'!"&amp;ADDRESS(BB$16,$E307))</f>
        <v>0</v>
      </c>
      <c r="BC307" s="776" cm="1">
        <f t="array" aca="1" ref="BC307" ca="1">INDIRECT("'Definition of Typical Day'!"&amp; ADDRESS($D307+29*(BC$16-1),$E307))</f>
        <v>0</v>
      </c>
      <c r="BD307" s="777" cm="1">
        <f t="array" aca="1" ref="BD307" ca="1">INDIRECT("'Definition of Typical Day'!"&amp; ADDRESS($D307+29*(BD$16-1),$E307))</f>
        <v>0</v>
      </c>
      <c r="BE307" s="776">
        <f t="shared" si="356"/>
        <v>0</v>
      </c>
      <c r="BF307" s="771">
        <f t="shared" ca="1" si="357"/>
        <v>0</v>
      </c>
      <c r="BG307" s="771">
        <f t="shared" ca="1" si="358"/>
        <v>0</v>
      </c>
      <c r="BH307" s="771">
        <f t="shared" ca="1" si="359"/>
        <v>0</v>
      </c>
      <c r="BI307" s="776">
        <f t="shared" ca="1" si="360"/>
        <v>0</v>
      </c>
      <c r="BJ307" s="776">
        <f t="shared" ca="1" si="361"/>
        <v>0</v>
      </c>
      <c r="BK307" s="776">
        <f t="shared" ca="1" si="362"/>
        <v>0</v>
      </c>
      <c r="BL307" s="776">
        <f t="shared" ca="1" si="363"/>
        <v>0</v>
      </c>
      <c r="BM307" s="135"/>
      <c r="BN307" s="776">
        <f t="shared" ca="1" si="364"/>
        <v>0</v>
      </c>
      <c r="BO307" s="778">
        <f t="shared" ca="1" si="301"/>
        <v>0</v>
      </c>
      <c r="BP307" s="770">
        <f t="shared" ca="1" si="302"/>
        <v>0</v>
      </c>
      <c r="BQ307" s="771">
        <f t="shared" ca="1" si="303"/>
        <v>0</v>
      </c>
      <c r="BR307" s="771">
        <f t="shared" ca="1" si="304"/>
        <v>0</v>
      </c>
      <c r="BS307" s="776">
        <f t="shared" ca="1" si="365"/>
        <v>0</v>
      </c>
      <c r="BT307" s="776">
        <f t="shared" ca="1" si="305"/>
        <v>0</v>
      </c>
      <c r="BU307" s="783">
        <f t="shared" ca="1" si="306"/>
        <v>0</v>
      </c>
      <c r="BV307" s="783">
        <f t="shared" ca="1" si="307"/>
        <v>0</v>
      </c>
      <c r="BW307" s="1019">
        <f t="shared" ca="1" si="366"/>
        <v>0</v>
      </c>
      <c r="BX307" s="771" cm="1">
        <f t="array" aca="1" ref="BX307" ca="1">INDIRECT("'Definition of Typical Day'!"&amp; ADDRESS($D307+29*(BX$16-1),$E307))</f>
        <v>0</v>
      </c>
      <c r="BY307" s="771">
        <f t="shared" ca="1" si="367"/>
        <v>0</v>
      </c>
      <c r="BZ307" s="781">
        <f t="shared" ca="1" si="308"/>
        <v>0</v>
      </c>
      <c r="CA307" s="781">
        <f t="shared" ca="1" si="309"/>
        <v>0</v>
      </c>
      <c r="CB307" s="776">
        <f t="shared" ca="1" si="310"/>
        <v>0</v>
      </c>
      <c r="CC307" s="782">
        <f t="shared" si="311"/>
        <v>12</v>
      </c>
      <c r="CD307" s="782">
        <f t="shared" si="312"/>
        <v>23</v>
      </c>
      <c r="CE307" s="784" cm="1">
        <f t="array" aca="1" ref="CE307" ca="1">INDIRECT("'Definition of Typical Day'!"&amp;ADDRESS(CE$16,$E307))</f>
        <v>12</v>
      </c>
      <c r="CF307" s="232"/>
      <c r="CG307" s="232"/>
      <c r="CH307" s="776">
        <f t="shared" ca="1" si="313"/>
        <v>0</v>
      </c>
      <c r="CI307" s="806">
        <f t="shared" ca="1" si="314"/>
        <v>0</v>
      </c>
      <c r="CJ307" s="770">
        <f t="shared" ca="1" si="315"/>
        <v>0</v>
      </c>
      <c r="CK307" s="771">
        <f t="shared" ca="1" si="316"/>
        <v>0</v>
      </c>
      <c r="CL307" s="771">
        <f t="shared" ca="1" si="317"/>
        <v>0</v>
      </c>
      <c r="CM307" s="772">
        <f t="shared" ca="1" si="318"/>
        <v>0</v>
      </c>
      <c r="CN307" s="135"/>
      <c r="CO307" s="770">
        <f t="shared" ca="1" si="368"/>
        <v>1.05</v>
      </c>
      <c r="CP307" s="771">
        <f t="shared" ca="1" si="319"/>
        <v>0.02</v>
      </c>
      <c r="CQ307" s="771">
        <f t="shared" ca="1" si="320"/>
        <v>-2.5000000000000001E-2</v>
      </c>
      <c r="CR307" s="771">
        <f t="shared" ca="1" si="321"/>
        <v>0.95</v>
      </c>
      <c r="CS307" s="771">
        <f t="shared" ca="1" si="322"/>
        <v>0.03</v>
      </c>
      <c r="CT307" s="772">
        <f t="shared" ca="1" si="323"/>
        <v>0.02</v>
      </c>
      <c r="CU307" s="135"/>
      <c r="CV307" s="135"/>
      <c r="CW307" s="135"/>
      <c r="CX307" s="135"/>
      <c r="CY307" s="135"/>
      <c r="CZ307" s="135"/>
      <c r="DA307" s="135"/>
      <c r="DB307" s="135"/>
      <c r="DC307" s="135"/>
      <c r="DD307" s="135"/>
      <c r="DE307" s="135"/>
      <c r="DF307" s="135"/>
      <c r="DG307" s="135"/>
      <c r="DH307" s="135"/>
      <c r="DI307" s="135"/>
      <c r="DJ307" s="135"/>
      <c r="DK307" s="135"/>
      <c r="DL307" s="135"/>
      <c r="DX307" s="135"/>
      <c r="DY307" s="135"/>
      <c r="DZ307" s="135"/>
      <c r="EA307" s="135"/>
      <c r="EB307" s="135"/>
      <c r="EC307" s="135"/>
      <c r="ED307" s="135"/>
      <c r="EE307" s="135"/>
      <c r="EF307" s="135"/>
      <c r="EG307" s="135"/>
      <c r="EH307" s="135"/>
      <c r="EI307" s="135"/>
      <c r="EJ307" s="135"/>
      <c r="EK307" s="135"/>
      <c r="EL307" s="135"/>
      <c r="EM307" s="135"/>
      <c r="EN307" s="135"/>
      <c r="EO307" s="135"/>
      <c r="EP307" s="135"/>
      <c r="EQ307" s="135"/>
      <c r="ER307" s="135"/>
      <c r="ES307" s="135"/>
      <c r="ET307" s="135"/>
      <c r="EU307" s="135"/>
      <c r="EV307" s="135"/>
      <c r="EW307" s="135"/>
      <c r="EX307" s="135"/>
      <c r="EY307" s="135"/>
      <c r="EZ307" s="135"/>
      <c r="FA307" s="135"/>
      <c r="FB307" s="135"/>
      <c r="FC307" s="135"/>
      <c r="FD307" s="135"/>
      <c r="FE307" s="135"/>
      <c r="FF307" s="135"/>
      <c r="FG307" s="135"/>
    </row>
    <row r="308" spans="1:163" s="57" customFormat="1" ht="11.25" outlineLevel="1">
      <c r="A308" s="765">
        <f t="shared" si="369"/>
        <v>12</v>
      </c>
      <c r="B308" s="715" cm="1">
        <f t="array" aca="1" ref="B308" ca="1">INDIRECT("'Definition of Typical Day'!"&amp;ADDRESS(B$16,$E308))</f>
        <v>12</v>
      </c>
      <c r="C308" s="766">
        <f t="shared" si="370"/>
        <v>24</v>
      </c>
      <c r="D308" s="715">
        <f t="shared" si="370"/>
        <v>58</v>
      </c>
      <c r="E308" s="715">
        <f t="shared" si="298"/>
        <v>16</v>
      </c>
      <c r="F308" s="767" cm="1">
        <f t="array" aca="1" ref="F308" ca="1">INDIRECT("'Definition of Typical Day'!D"&amp;D308)</f>
        <v>24</v>
      </c>
      <c r="G308" s="767" cm="1">
        <f t="array" aca="1" ref="G308" ca="1">INDIRECT("'Definition of Typical Day'!"&amp;ADDRESS(13,E308))</f>
        <v>12</v>
      </c>
      <c r="H308" s="768" cm="1">
        <f t="array" aca="1" ref="H308" ca="1">INDIRECT("'Definition of Typical Day'!"&amp; ADDRESS($D308+28*(H$16-1),$E308))</f>
        <v>0</v>
      </c>
      <c r="I308" s="715" cm="1">
        <f t="array" aca="1" ref="I308" ca="1">INDIRECT("'Definition of Typical Day'!"&amp; ADDRESS($D308+29*(I$16-1),$E308))</f>
        <v>0</v>
      </c>
      <c r="J308" s="715">
        <f t="shared" ca="1" si="324"/>
        <v>0</v>
      </c>
      <c r="K308" s="785">
        <f t="shared" si="325"/>
        <v>28</v>
      </c>
      <c r="L308" s="786" cm="1">
        <f t="array" aca="1" ref="L308" ca="1">INDIRECT("'Definition of Typical Day'!"&amp; ADDRESS($D308+29*(L$16-1),$E308))</f>
        <v>0</v>
      </c>
      <c r="M308" s="768" cm="1">
        <f t="array" aca="1" ref="M308" ca="1">INDIRECT("'Definition of Typical Day'!"&amp; ADDRESS($D308+29*(M$16-1),$E308))</f>
        <v>0</v>
      </c>
      <c r="N308" s="715">
        <f t="shared" si="326"/>
        <v>3</v>
      </c>
      <c r="O308" s="715">
        <f t="shared" ca="1" si="327"/>
        <v>3</v>
      </c>
      <c r="P308" s="715" cm="1">
        <f t="array" aca="1" ref="P308" ca="1">INDIRECT("'Definition of Typical Day'!"&amp; ADDRESS($D308+29*(P$16-1),$E308))</f>
        <v>0</v>
      </c>
      <c r="Q308" s="787">
        <f t="shared" ca="1" si="328"/>
        <v>3</v>
      </c>
      <c r="R308" s="792">
        <f t="shared" ca="1" si="329"/>
        <v>3</v>
      </c>
      <c r="S308" s="769">
        <f t="shared" si="330"/>
        <v>3</v>
      </c>
      <c r="T308" s="769">
        <f t="shared" ca="1" si="331"/>
        <v>-0.5</v>
      </c>
      <c r="U308" s="769">
        <f t="shared" ca="1" si="332"/>
        <v>2.262</v>
      </c>
      <c r="V308" s="769">
        <f t="shared" ca="1" si="333"/>
        <v>0</v>
      </c>
      <c r="W308" s="769">
        <f t="shared" ca="1" si="334"/>
        <v>4.7620000000000005</v>
      </c>
      <c r="X308" s="794">
        <f t="shared" si="335"/>
        <v>3</v>
      </c>
      <c r="Y308" s="769">
        <f t="shared" ca="1" si="336"/>
        <v>0.54772255750516607</v>
      </c>
      <c r="Z308" s="769">
        <f t="shared" ca="1" si="337"/>
        <v>0</v>
      </c>
      <c r="AA308" s="795">
        <f t="shared" ca="1" si="338"/>
        <v>0</v>
      </c>
      <c r="AB308" s="769">
        <f t="shared" ca="1" si="339"/>
        <v>0</v>
      </c>
      <c r="AC308" s="769">
        <f t="shared" ca="1" si="340"/>
        <v>0</v>
      </c>
      <c r="AD308" s="769">
        <f t="shared" ca="1" si="341"/>
        <v>0</v>
      </c>
      <c r="AE308" s="794">
        <f t="shared" ca="1" si="342"/>
        <v>0</v>
      </c>
      <c r="AF308" s="769">
        <f t="shared" ca="1" si="343"/>
        <v>0</v>
      </c>
      <c r="AG308" s="769">
        <f t="shared" ca="1" si="344"/>
        <v>0</v>
      </c>
      <c r="AH308" s="799">
        <f t="shared" ca="1" si="345"/>
        <v>0</v>
      </c>
      <c r="AI308" s="801">
        <f t="shared" ca="1" si="346"/>
        <v>1</v>
      </c>
      <c r="AJ308" s="794">
        <f t="shared" ca="1" si="347"/>
        <v>0</v>
      </c>
      <c r="AK308" s="769">
        <f t="shared" ca="1" si="348"/>
        <v>0</v>
      </c>
      <c r="AL308" s="769">
        <f t="shared" ca="1" si="349"/>
        <v>0</v>
      </c>
      <c r="AM308" s="804">
        <f t="shared" ca="1" si="299"/>
        <v>0</v>
      </c>
      <c r="AN308" s="795">
        <f t="shared" ca="1" si="300"/>
        <v>0</v>
      </c>
      <c r="AO308" s="251"/>
      <c r="AP308" s="770">
        <f t="shared" si="350"/>
        <v>0</v>
      </c>
      <c r="AQ308" s="771">
        <f t="shared" ca="1" si="351"/>
        <v>0</v>
      </c>
      <c r="AR308" s="771">
        <f t="shared" ca="1" si="352"/>
        <v>0</v>
      </c>
      <c r="AS308" s="772">
        <f t="shared" ca="1" si="353"/>
        <v>0</v>
      </c>
      <c r="AT308" s="231"/>
      <c r="AU308" s="770">
        <f>'Main Results - IRR DC Operator'!$F$16</f>
        <v>2</v>
      </c>
      <c r="AV308" s="773">
        <f>'Main Results - IRR DC Operator'!$F$15</f>
        <v>1</v>
      </c>
      <c r="AW308" s="771">
        <f t="shared" ca="1" si="354"/>
        <v>0</v>
      </c>
      <c r="AX308" s="772">
        <f t="shared" si="355"/>
        <v>0</v>
      </c>
      <c r="AY308" s="231"/>
      <c r="AZ308" s="770" cm="1">
        <f t="array" aca="1" ref="AZ308" ca="1">INDIRECT("'Definition of Typical Day'!"&amp; ADDRESS($D308+29*(AZ$16-1),$E308))+$AZ$17</f>
        <v>11</v>
      </c>
      <c r="BA308" s="771" cm="1">
        <f t="array" aca="1" ref="BA308" ca="1">INDIRECT("'Definition of Typical Day'!"&amp; ADDRESS($D308+29*(BA$16-1),$E308))+$BA$17</f>
        <v>11</v>
      </c>
      <c r="BB308" s="772" cm="1">
        <f t="array" aca="1" ref="BB308" ca="1">INDIRECT("'Definition of Typical Day'!"&amp;ADDRESS(BB$16,$E308))</f>
        <v>0</v>
      </c>
      <c r="BC308" s="776" cm="1">
        <f t="array" aca="1" ref="BC308" ca="1">INDIRECT("'Definition of Typical Day'!"&amp; ADDRESS($D308+29*(BC$16-1),$E308))</f>
        <v>0</v>
      </c>
      <c r="BD308" s="777" cm="1">
        <f t="array" aca="1" ref="BD308" ca="1">INDIRECT("'Definition of Typical Day'!"&amp; ADDRESS($D308+29*(BD$16-1),$E308))</f>
        <v>0</v>
      </c>
      <c r="BE308" s="776">
        <f t="shared" si="356"/>
        <v>0</v>
      </c>
      <c r="BF308" s="771">
        <f t="shared" ca="1" si="357"/>
        <v>0</v>
      </c>
      <c r="BG308" s="771">
        <f t="shared" ca="1" si="358"/>
        <v>0</v>
      </c>
      <c r="BH308" s="771">
        <f t="shared" ca="1" si="359"/>
        <v>0</v>
      </c>
      <c r="BI308" s="776">
        <f t="shared" ca="1" si="360"/>
        <v>0</v>
      </c>
      <c r="BJ308" s="776">
        <f t="shared" ca="1" si="361"/>
        <v>0</v>
      </c>
      <c r="BK308" s="776">
        <f t="shared" ca="1" si="362"/>
        <v>0</v>
      </c>
      <c r="BL308" s="776">
        <f t="shared" ca="1" si="363"/>
        <v>0</v>
      </c>
      <c r="BM308" s="135"/>
      <c r="BN308" s="776">
        <f t="shared" ca="1" si="364"/>
        <v>0</v>
      </c>
      <c r="BO308" s="778">
        <f t="shared" ca="1" si="301"/>
        <v>0</v>
      </c>
      <c r="BP308" s="770">
        <f t="shared" ca="1" si="302"/>
        <v>0</v>
      </c>
      <c r="BQ308" s="771">
        <f t="shared" ca="1" si="303"/>
        <v>0</v>
      </c>
      <c r="BR308" s="771">
        <f t="shared" ca="1" si="304"/>
        <v>0</v>
      </c>
      <c r="BS308" s="776">
        <f t="shared" ca="1" si="365"/>
        <v>0</v>
      </c>
      <c r="BT308" s="776">
        <f t="shared" ca="1" si="305"/>
        <v>0</v>
      </c>
      <c r="BU308" s="783">
        <f t="shared" ca="1" si="306"/>
        <v>0</v>
      </c>
      <c r="BV308" s="783">
        <f t="shared" ca="1" si="307"/>
        <v>0</v>
      </c>
      <c r="BW308" s="1019">
        <f t="shared" ca="1" si="366"/>
        <v>0</v>
      </c>
      <c r="BX308" s="771" cm="1">
        <f t="array" aca="1" ref="BX308" ca="1">INDIRECT("'Definition of Typical Day'!"&amp; ADDRESS($D308+29*(BX$16-1),$E308))</f>
        <v>0</v>
      </c>
      <c r="BY308" s="771">
        <f t="shared" ca="1" si="367"/>
        <v>0</v>
      </c>
      <c r="BZ308" s="781">
        <f t="shared" ca="1" si="308"/>
        <v>0</v>
      </c>
      <c r="CA308" s="781">
        <f t="shared" ca="1" si="309"/>
        <v>0</v>
      </c>
      <c r="CB308" s="776">
        <f t="shared" ca="1" si="310"/>
        <v>0</v>
      </c>
      <c r="CC308" s="782">
        <f t="shared" si="311"/>
        <v>12</v>
      </c>
      <c r="CD308" s="782">
        <f t="shared" si="312"/>
        <v>24</v>
      </c>
      <c r="CE308" s="784" cm="1">
        <f t="array" aca="1" ref="CE308" ca="1">INDIRECT("'Definition of Typical Day'!"&amp;ADDRESS(CE$16,$E308))</f>
        <v>12</v>
      </c>
      <c r="CF308" s="232"/>
      <c r="CG308" s="232"/>
      <c r="CH308" s="776">
        <f t="shared" ca="1" si="313"/>
        <v>0</v>
      </c>
      <c r="CI308" s="806">
        <f t="shared" ca="1" si="314"/>
        <v>0</v>
      </c>
      <c r="CJ308" s="770">
        <f t="shared" ca="1" si="315"/>
        <v>0</v>
      </c>
      <c r="CK308" s="771">
        <f t="shared" ca="1" si="316"/>
        <v>0</v>
      </c>
      <c r="CL308" s="771">
        <f t="shared" ca="1" si="317"/>
        <v>0</v>
      </c>
      <c r="CM308" s="772">
        <f t="shared" ca="1" si="318"/>
        <v>0</v>
      </c>
      <c r="CN308" s="135"/>
      <c r="CO308" s="770">
        <f t="shared" ca="1" si="368"/>
        <v>1.05</v>
      </c>
      <c r="CP308" s="771">
        <f t="shared" ca="1" si="319"/>
        <v>0.02</v>
      </c>
      <c r="CQ308" s="771">
        <f t="shared" ca="1" si="320"/>
        <v>-2.5000000000000001E-2</v>
      </c>
      <c r="CR308" s="771">
        <f t="shared" ca="1" si="321"/>
        <v>0.95</v>
      </c>
      <c r="CS308" s="771">
        <f t="shared" ca="1" si="322"/>
        <v>0.03</v>
      </c>
      <c r="CT308" s="772">
        <f t="shared" ca="1" si="323"/>
        <v>0.02</v>
      </c>
      <c r="CU308" s="135"/>
      <c r="CV308" s="135"/>
      <c r="CW308" s="135"/>
      <c r="CX308" s="135"/>
      <c r="CY308" s="135"/>
      <c r="CZ308" s="135"/>
      <c r="DA308" s="135"/>
      <c r="DB308" s="135"/>
      <c r="DC308" s="135"/>
      <c r="DD308" s="135"/>
      <c r="DE308" s="135"/>
      <c r="DF308" s="135"/>
      <c r="DG308" s="135"/>
      <c r="DH308" s="135"/>
      <c r="DI308" s="135"/>
      <c r="DJ308" s="135"/>
      <c r="DK308" s="135"/>
      <c r="DL308" s="135"/>
      <c r="DX308" s="135"/>
      <c r="DY308" s="135"/>
      <c r="DZ308" s="135"/>
      <c r="EA308" s="135"/>
      <c r="EB308" s="135"/>
      <c r="EC308" s="135"/>
      <c r="ED308" s="135"/>
      <c r="EE308" s="135"/>
      <c r="EF308" s="135"/>
      <c r="EG308" s="135"/>
      <c r="EH308" s="135"/>
      <c r="EI308" s="135"/>
      <c r="EJ308" s="135"/>
      <c r="EK308" s="135"/>
      <c r="EL308" s="135"/>
      <c r="EM308" s="135"/>
      <c r="EN308" s="135"/>
      <c r="EO308" s="135"/>
      <c r="EP308" s="135"/>
      <c r="EQ308" s="135"/>
      <c r="ER308" s="135"/>
      <c r="ES308" s="135"/>
      <c r="ET308" s="135"/>
      <c r="EU308" s="135"/>
      <c r="EV308" s="135"/>
      <c r="EW308" s="135"/>
      <c r="EX308" s="135"/>
      <c r="EY308" s="135"/>
      <c r="EZ308" s="135"/>
      <c r="FA308" s="135"/>
      <c r="FB308" s="135"/>
      <c r="FC308" s="135"/>
      <c r="FD308" s="135"/>
      <c r="FE308" s="135"/>
      <c r="FF308" s="135"/>
      <c r="FG308" s="135"/>
    </row>
    <row r="309" spans="1:163" s="57" customFormat="1" ht="11.25" outlineLevel="1">
      <c r="A309" s="765">
        <f t="shared" si="369"/>
        <v>13</v>
      </c>
      <c r="B309" s="715" cm="1">
        <f t="array" aca="1" ref="B309" ca="1">INDIRECT("'Definition of Typical Day'!"&amp;ADDRESS(B$16,$E309))</f>
        <v>13</v>
      </c>
      <c r="C309" s="766">
        <f t="shared" si="370"/>
        <v>1</v>
      </c>
      <c r="D309" s="715">
        <f t="shared" si="370"/>
        <v>35</v>
      </c>
      <c r="E309" s="715">
        <f t="shared" si="298"/>
        <v>17</v>
      </c>
      <c r="F309" s="767" cm="1">
        <f t="array" aca="1" ref="F309" ca="1">INDIRECT("'Definition of Typical Day'!D"&amp;D309)</f>
        <v>1</v>
      </c>
      <c r="G309" s="767" cm="1">
        <f t="array" aca="1" ref="G309" ca="1">INDIRECT("'Definition of Typical Day'!"&amp;ADDRESS(13,E309))</f>
        <v>13</v>
      </c>
      <c r="H309" s="768" cm="1">
        <f t="array" aca="1" ref="H309" ca="1">INDIRECT("'Definition of Typical Day'!"&amp; ADDRESS($D309+28*(H$16-1),$E309))</f>
        <v>0</v>
      </c>
      <c r="I309" s="715" cm="1">
        <f t="array" aca="1" ref="I309" ca="1">INDIRECT("'Definition of Typical Day'!"&amp; ADDRESS($D309+29*(I$16-1),$E309))</f>
        <v>0</v>
      </c>
      <c r="J309" s="715">
        <f t="shared" ca="1" si="324"/>
        <v>0</v>
      </c>
      <c r="K309" s="785">
        <f t="shared" si="325"/>
        <v>28</v>
      </c>
      <c r="L309" s="786" cm="1">
        <f t="array" aca="1" ref="L309" ca="1">INDIRECT("'Definition of Typical Day'!"&amp; ADDRESS($D309+29*(L$16-1),$E309))</f>
        <v>0</v>
      </c>
      <c r="M309" s="768" cm="1">
        <f t="array" aca="1" ref="M309" ca="1">INDIRECT("'Definition of Typical Day'!"&amp; ADDRESS($D309+29*(M$16-1),$E309))</f>
        <v>0</v>
      </c>
      <c r="N309" s="715">
        <f t="shared" si="326"/>
        <v>3</v>
      </c>
      <c r="O309" s="715">
        <f t="shared" ca="1" si="327"/>
        <v>3</v>
      </c>
      <c r="P309" s="715" cm="1">
        <f t="array" aca="1" ref="P309" ca="1">INDIRECT("'Definition of Typical Day'!"&amp; ADDRESS($D309+29*(P$16-1),$E309))</f>
        <v>0</v>
      </c>
      <c r="Q309" s="787">
        <f t="shared" ca="1" si="328"/>
        <v>3</v>
      </c>
      <c r="R309" s="792">
        <f t="shared" ca="1" si="329"/>
        <v>3</v>
      </c>
      <c r="S309" s="769">
        <f t="shared" si="330"/>
        <v>3</v>
      </c>
      <c r="T309" s="769">
        <f t="shared" ca="1" si="331"/>
        <v>-0.5</v>
      </c>
      <c r="U309" s="769">
        <f t="shared" ca="1" si="332"/>
        <v>2.262</v>
      </c>
      <c r="V309" s="769">
        <f t="shared" ca="1" si="333"/>
        <v>0</v>
      </c>
      <c r="W309" s="769">
        <f t="shared" ca="1" si="334"/>
        <v>4.7620000000000005</v>
      </c>
      <c r="X309" s="794">
        <f t="shared" si="335"/>
        <v>3</v>
      </c>
      <c r="Y309" s="769">
        <f t="shared" ca="1" si="336"/>
        <v>0.54772255750516607</v>
      </c>
      <c r="Z309" s="769">
        <f t="shared" ca="1" si="337"/>
        <v>0</v>
      </c>
      <c r="AA309" s="795">
        <f t="shared" ca="1" si="338"/>
        <v>0</v>
      </c>
      <c r="AB309" s="769">
        <f t="shared" ca="1" si="339"/>
        <v>0</v>
      </c>
      <c r="AC309" s="769">
        <f t="shared" ca="1" si="340"/>
        <v>0</v>
      </c>
      <c r="AD309" s="769">
        <f t="shared" ca="1" si="341"/>
        <v>0</v>
      </c>
      <c r="AE309" s="794">
        <f t="shared" ca="1" si="342"/>
        <v>0</v>
      </c>
      <c r="AF309" s="769">
        <f t="shared" ca="1" si="343"/>
        <v>0</v>
      </c>
      <c r="AG309" s="769">
        <f t="shared" ca="1" si="344"/>
        <v>0</v>
      </c>
      <c r="AH309" s="799">
        <f t="shared" ca="1" si="345"/>
        <v>0</v>
      </c>
      <c r="AI309" s="801">
        <f t="shared" ca="1" si="346"/>
        <v>1</v>
      </c>
      <c r="AJ309" s="794">
        <f t="shared" ca="1" si="347"/>
        <v>0</v>
      </c>
      <c r="AK309" s="769">
        <f t="shared" ca="1" si="348"/>
        <v>0</v>
      </c>
      <c r="AL309" s="769">
        <f t="shared" ca="1" si="349"/>
        <v>0</v>
      </c>
      <c r="AM309" s="804">
        <f t="shared" ca="1" si="299"/>
        <v>0</v>
      </c>
      <c r="AN309" s="795">
        <f t="shared" ca="1" si="300"/>
        <v>0</v>
      </c>
      <c r="AO309" s="251"/>
      <c r="AP309" s="770">
        <f t="shared" si="350"/>
        <v>0</v>
      </c>
      <c r="AQ309" s="771">
        <f t="shared" ca="1" si="351"/>
        <v>0</v>
      </c>
      <c r="AR309" s="771">
        <f t="shared" ca="1" si="352"/>
        <v>0</v>
      </c>
      <c r="AS309" s="772">
        <f t="shared" ca="1" si="353"/>
        <v>0</v>
      </c>
      <c r="AT309" s="231"/>
      <c r="AU309" s="770">
        <f>'Main Results - IRR DC Operator'!$F$16</f>
        <v>2</v>
      </c>
      <c r="AV309" s="773">
        <f>'Main Results - IRR DC Operator'!$F$15</f>
        <v>1</v>
      </c>
      <c r="AW309" s="771">
        <f t="shared" ca="1" si="354"/>
        <v>0</v>
      </c>
      <c r="AX309" s="772">
        <f t="shared" si="355"/>
        <v>0</v>
      </c>
      <c r="AY309" s="231"/>
      <c r="AZ309" s="770" cm="1">
        <f t="array" aca="1" ref="AZ309" ca="1">INDIRECT("'Definition of Typical Day'!"&amp; ADDRESS($D309+29*(AZ$16-1),$E309))+$AZ$17</f>
        <v>11</v>
      </c>
      <c r="BA309" s="771" cm="1">
        <f t="array" aca="1" ref="BA309" ca="1">INDIRECT("'Definition of Typical Day'!"&amp; ADDRESS($D309+29*(BA$16-1),$E309))+$BA$17</f>
        <v>11</v>
      </c>
      <c r="BB309" s="772" cm="1">
        <f t="array" aca="1" ref="BB309" ca="1">INDIRECT("'Definition of Typical Day'!"&amp;ADDRESS(BB$16,$E309))</f>
        <v>0</v>
      </c>
      <c r="BC309" s="776" cm="1">
        <f t="array" aca="1" ref="BC309" ca="1">INDIRECT("'Definition of Typical Day'!"&amp; ADDRESS($D309+29*(BC$16-1),$E309))</f>
        <v>0</v>
      </c>
      <c r="BD309" s="777" cm="1">
        <f t="array" aca="1" ref="BD309" ca="1">INDIRECT("'Definition of Typical Day'!"&amp; ADDRESS($D309+29*(BD$16-1),$E309))</f>
        <v>0</v>
      </c>
      <c r="BE309" s="776">
        <f t="shared" si="356"/>
        <v>0</v>
      </c>
      <c r="BF309" s="771">
        <f t="shared" ca="1" si="357"/>
        <v>0</v>
      </c>
      <c r="BG309" s="771">
        <f t="shared" ca="1" si="358"/>
        <v>0</v>
      </c>
      <c r="BH309" s="771">
        <f t="shared" ca="1" si="359"/>
        <v>0</v>
      </c>
      <c r="BI309" s="776">
        <f t="shared" ca="1" si="360"/>
        <v>0</v>
      </c>
      <c r="BJ309" s="776">
        <f t="shared" ca="1" si="361"/>
        <v>0</v>
      </c>
      <c r="BK309" s="776">
        <f t="shared" ca="1" si="362"/>
        <v>0</v>
      </c>
      <c r="BL309" s="776">
        <f t="shared" ca="1" si="363"/>
        <v>0</v>
      </c>
      <c r="BM309" s="135"/>
      <c r="BN309" s="776">
        <f t="shared" ca="1" si="364"/>
        <v>0</v>
      </c>
      <c r="BO309" s="778">
        <f t="shared" ca="1" si="301"/>
        <v>0</v>
      </c>
      <c r="BP309" s="770">
        <f t="shared" ca="1" si="302"/>
        <v>0</v>
      </c>
      <c r="BQ309" s="771">
        <f t="shared" ca="1" si="303"/>
        <v>0</v>
      </c>
      <c r="BR309" s="771">
        <f t="shared" ca="1" si="304"/>
        <v>0</v>
      </c>
      <c r="BS309" s="776">
        <f t="shared" ca="1" si="365"/>
        <v>0</v>
      </c>
      <c r="BT309" s="776">
        <f t="shared" ca="1" si="305"/>
        <v>0</v>
      </c>
      <c r="BU309" s="783">
        <f t="shared" ca="1" si="306"/>
        <v>0</v>
      </c>
      <c r="BV309" s="783">
        <f t="shared" ca="1" si="307"/>
        <v>0</v>
      </c>
      <c r="BW309" s="1019">
        <f t="shared" ca="1" si="366"/>
        <v>0</v>
      </c>
      <c r="BX309" s="771" cm="1">
        <f t="array" aca="1" ref="BX309" ca="1">INDIRECT("'Definition of Typical Day'!"&amp; ADDRESS($D309+29*(BX$16-1),$E309))</f>
        <v>0</v>
      </c>
      <c r="BY309" s="771">
        <f t="shared" ca="1" si="367"/>
        <v>0</v>
      </c>
      <c r="BZ309" s="781">
        <f t="shared" ca="1" si="308"/>
        <v>0</v>
      </c>
      <c r="CA309" s="781">
        <f t="shared" ca="1" si="309"/>
        <v>0</v>
      </c>
      <c r="CB309" s="776">
        <f t="shared" ca="1" si="310"/>
        <v>0</v>
      </c>
      <c r="CC309" s="782">
        <f t="shared" si="311"/>
        <v>13</v>
      </c>
      <c r="CD309" s="782">
        <f t="shared" si="312"/>
        <v>1</v>
      </c>
      <c r="CE309" s="784" cm="1">
        <f t="array" aca="1" ref="CE309" ca="1">INDIRECT("'Definition of Typical Day'!"&amp;ADDRESS(CE$16,$E309))</f>
        <v>13</v>
      </c>
      <c r="CF309" s="232"/>
      <c r="CG309" s="232"/>
      <c r="CH309" s="776">
        <f t="shared" ca="1" si="313"/>
        <v>0</v>
      </c>
      <c r="CI309" s="806">
        <f t="shared" ca="1" si="314"/>
        <v>0</v>
      </c>
      <c r="CJ309" s="770">
        <f t="shared" ca="1" si="315"/>
        <v>0</v>
      </c>
      <c r="CK309" s="771">
        <f t="shared" ca="1" si="316"/>
        <v>0</v>
      </c>
      <c r="CL309" s="771">
        <f t="shared" ca="1" si="317"/>
        <v>0</v>
      </c>
      <c r="CM309" s="772">
        <f t="shared" ca="1" si="318"/>
        <v>0</v>
      </c>
      <c r="CN309" s="135"/>
      <c r="CO309" s="770">
        <f t="shared" ca="1" si="368"/>
        <v>1.05</v>
      </c>
      <c r="CP309" s="771">
        <f t="shared" ca="1" si="319"/>
        <v>0.02</v>
      </c>
      <c r="CQ309" s="771">
        <f t="shared" ca="1" si="320"/>
        <v>-2.5000000000000001E-2</v>
      </c>
      <c r="CR309" s="771">
        <f t="shared" ca="1" si="321"/>
        <v>0.95</v>
      </c>
      <c r="CS309" s="771">
        <f t="shared" ca="1" si="322"/>
        <v>0.03</v>
      </c>
      <c r="CT309" s="772">
        <f t="shared" ca="1" si="323"/>
        <v>0.02</v>
      </c>
      <c r="CU309" s="135"/>
      <c r="CV309" s="135"/>
      <c r="CW309" s="135"/>
      <c r="CX309" s="135"/>
      <c r="CY309" s="135"/>
      <c r="CZ309" s="135"/>
      <c r="DA309" s="135"/>
      <c r="DB309" s="135"/>
      <c r="DC309" s="135"/>
      <c r="DD309" s="135"/>
      <c r="DE309" s="135"/>
      <c r="DF309" s="135"/>
      <c r="DG309" s="135"/>
      <c r="DH309" s="135"/>
      <c r="DI309" s="135"/>
      <c r="DJ309" s="135"/>
      <c r="DK309" s="135"/>
      <c r="DL309" s="135"/>
      <c r="DX309" s="135"/>
      <c r="DY309" s="135"/>
      <c r="DZ309" s="135"/>
      <c r="EA309" s="135"/>
      <c r="EB309" s="135"/>
      <c r="EC309" s="135"/>
      <c r="ED309" s="135"/>
      <c r="EE309" s="135"/>
      <c r="EF309" s="135"/>
      <c r="EG309" s="135"/>
      <c r="EH309" s="135"/>
      <c r="EI309" s="135"/>
      <c r="EJ309" s="135"/>
      <c r="EK309" s="135"/>
      <c r="EL309" s="135"/>
      <c r="EM309" s="135"/>
      <c r="EN309" s="135"/>
      <c r="EO309" s="135"/>
      <c r="EP309" s="135"/>
      <c r="EQ309" s="135"/>
      <c r="ER309" s="135"/>
      <c r="ES309" s="135"/>
      <c r="ET309" s="135"/>
      <c r="EU309" s="135"/>
      <c r="EV309" s="135"/>
      <c r="EW309" s="135"/>
      <c r="EX309" s="135"/>
      <c r="EY309" s="135"/>
      <c r="EZ309" s="135"/>
      <c r="FA309" s="135"/>
      <c r="FB309" s="135"/>
      <c r="FC309" s="135"/>
      <c r="FD309" s="135"/>
      <c r="FE309" s="135"/>
      <c r="FF309" s="135"/>
      <c r="FG309" s="135"/>
    </row>
    <row r="310" spans="1:163" s="57" customFormat="1" ht="11.25" outlineLevel="1">
      <c r="A310" s="765">
        <f t="shared" si="369"/>
        <v>13</v>
      </c>
      <c r="B310" s="715" cm="1">
        <f t="array" aca="1" ref="B310" ca="1">INDIRECT("'Definition of Typical Day'!"&amp;ADDRESS(B$16,$E310))</f>
        <v>13</v>
      </c>
      <c r="C310" s="766">
        <f t="shared" si="370"/>
        <v>2</v>
      </c>
      <c r="D310" s="715">
        <f t="shared" si="370"/>
        <v>36</v>
      </c>
      <c r="E310" s="715">
        <f t="shared" si="298"/>
        <v>17</v>
      </c>
      <c r="F310" s="767" cm="1">
        <f t="array" aca="1" ref="F310" ca="1">INDIRECT("'Definition of Typical Day'!D"&amp;D310)</f>
        <v>2</v>
      </c>
      <c r="G310" s="767" cm="1">
        <f t="array" aca="1" ref="G310" ca="1">INDIRECT("'Definition of Typical Day'!"&amp;ADDRESS(13,E310))</f>
        <v>13</v>
      </c>
      <c r="H310" s="768" cm="1">
        <f t="array" aca="1" ref="H310" ca="1">INDIRECT("'Definition of Typical Day'!"&amp; ADDRESS($D310+28*(H$16-1),$E310))</f>
        <v>0</v>
      </c>
      <c r="I310" s="715" cm="1">
        <f t="array" aca="1" ref="I310" ca="1">INDIRECT("'Definition of Typical Day'!"&amp; ADDRESS($D310+29*(I$16-1),$E310))</f>
        <v>0</v>
      </c>
      <c r="J310" s="715">
        <f t="shared" ca="1" si="324"/>
        <v>0</v>
      </c>
      <c r="K310" s="785">
        <f t="shared" si="325"/>
        <v>28</v>
      </c>
      <c r="L310" s="786" cm="1">
        <f t="array" aca="1" ref="L310" ca="1">INDIRECT("'Definition of Typical Day'!"&amp; ADDRESS($D310+29*(L$16-1),$E310))</f>
        <v>0</v>
      </c>
      <c r="M310" s="768" cm="1">
        <f t="array" aca="1" ref="M310" ca="1">INDIRECT("'Definition of Typical Day'!"&amp; ADDRESS($D310+29*(M$16-1),$E310))</f>
        <v>0</v>
      </c>
      <c r="N310" s="715">
        <f t="shared" si="326"/>
        <v>3</v>
      </c>
      <c r="O310" s="715">
        <f t="shared" ca="1" si="327"/>
        <v>3</v>
      </c>
      <c r="P310" s="715" cm="1">
        <f t="array" aca="1" ref="P310" ca="1">INDIRECT("'Definition of Typical Day'!"&amp; ADDRESS($D310+29*(P$16-1),$E310))</f>
        <v>0</v>
      </c>
      <c r="Q310" s="787">
        <f t="shared" ca="1" si="328"/>
        <v>3</v>
      </c>
      <c r="R310" s="792">
        <f t="shared" ca="1" si="329"/>
        <v>3</v>
      </c>
      <c r="S310" s="769">
        <f t="shared" si="330"/>
        <v>3</v>
      </c>
      <c r="T310" s="769">
        <f t="shared" ca="1" si="331"/>
        <v>-0.5</v>
      </c>
      <c r="U310" s="769">
        <f t="shared" ca="1" si="332"/>
        <v>2.262</v>
      </c>
      <c r="V310" s="769">
        <f t="shared" ca="1" si="333"/>
        <v>0</v>
      </c>
      <c r="W310" s="769">
        <f t="shared" ca="1" si="334"/>
        <v>4.7620000000000005</v>
      </c>
      <c r="X310" s="794">
        <f t="shared" si="335"/>
        <v>3</v>
      </c>
      <c r="Y310" s="769">
        <f t="shared" ca="1" si="336"/>
        <v>0.54772255750516607</v>
      </c>
      <c r="Z310" s="769">
        <f t="shared" ca="1" si="337"/>
        <v>0</v>
      </c>
      <c r="AA310" s="795">
        <f t="shared" ca="1" si="338"/>
        <v>0</v>
      </c>
      <c r="AB310" s="769">
        <f t="shared" ca="1" si="339"/>
        <v>0</v>
      </c>
      <c r="AC310" s="769">
        <f t="shared" ca="1" si="340"/>
        <v>0</v>
      </c>
      <c r="AD310" s="769">
        <f t="shared" ca="1" si="341"/>
        <v>0</v>
      </c>
      <c r="AE310" s="794">
        <f t="shared" ca="1" si="342"/>
        <v>0</v>
      </c>
      <c r="AF310" s="769">
        <f t="shared" ca="1" si="343"/>
        <v>0</v>
      </c>
      <c r="AG310" s="769">
        <f t="shared" ca="1" si="344"/>
        <v>0</v>
      </c>
      <c r="AH310" s="799">
        <f t="shared" ca="1" si="345"/>
        <v>0</v>
      </c>
      <c r="AI310" s="801">
        <f t="shared" ca="1" si="346"/>
        <v>1</v>
      </c>
      <c r="AJ310" s="794">
        <f t="shared" ca="1" si="347"/>
        <v>0</v>
      </c>
      <c r="AK310" s="769">
        <f t="shared" ca="1" si="348"/>
        <v>0</v>
      </c>
      <c r="AL310" s="769">
        <f t="shared" ca="1" si="349"/>
        <v>0</v>
      </c>
      <c r="AM310" s="804">
        <f t="shared" ca="1" si="299"/>
        <v>0</v>
      </c>
      <c r="AN310" s="795">
        <f t="shared" ca="1" si="300"/>
        <v>0</v>
      </c>
      <c r="AO310" s="251"/>
      <c r="AP310" s="770">
        <f t="shared" si="350"/>
        <v>0</v>
      </c>
      <c r="AQ310" s="771">
        <f t="shared" ca="1" si="351"/>
        <v>0</v>
      </c>
      <c r="AR310" s="771">
        <f t="shared" ca="1" si="352"/>
        <v>0</v>
      </c>
      <c r="AS310" s="772">
        <f t="shared" ca="1" si="353"/>
        <v>0</v>
      </c>
      <c r="AT310" s="231"/>
      <c r="AU310" s="770">
        <f>'Main Results - IRR DC Operator'!$F$16</f>
        <v>2</v>
      </c>
      <c r="AV310" s="773">
        <f>'Main Results - IRR DC Operator'!$F$15</f>
        <v>1</v>
      </c>
      <c r="AW310" s="771">
        <f t="shared" ca="1" si="354"/>
        <v>0</v>
      </c>
      <c r="AX310" s="772">
        <f t="shared" si="355"/>
        <v>0</v>
      </c>
      <c r="AY310" s="231"/>
      <c r="AZ310" s="770" cm="1">
        <f t="array" aca="1" ref="AZ310" ca="1">INDIRECT("'Definition of Typical Day'!"&amp; ADDRESS($D310+29*(AZ$16-1),$E310))+$AZ$17</f>
        <v>11</v>
      </c>
      <c r="BA310" s="771" cm="1">
        <f t="array" aca="1" ref="BA310" ca="1">INDIRECT("'Definition of Typical Day'!"&amp; ADDRESS($D310+29*(BA$16-1),$E310))+$BA$17</f>
        <v>11</v>
      </c>
      <c r="BB310" s="772" cm="1">
        <f t="array" aca="1" ref="BB310" ca="1">INDIRECT("'Definition of Typical Day'!"&amp;ADDRESS(BB$16,$E310))</f>
        <v>0</v>
      </c>
      <c r="BC310" s="776" cm="1">
        <f t="array" aca="1" ref="BC310" ca="1">INDIRECT("'Definition of Typical Day'!"&amp; ADDRESS($D310+29*(BC$16-1),$E310))</f>
        <v>0</v>
      </c>
      <c r="BD310" s="777" cm="1">
        <f t="array" aca="1" ref="BD310" ca="1">INDIRECT("'Definition of Typical Day'!"&amp; ADDRESS($D310+29*(BD$16-1),$E310))</f>
        <v>0</v>
      </c>
      <c r="BE310" s="776">
        <f t="shared" si="356"/>
        <v>0</v>
      </c>
      <c r="BF310" s="771">
        <f t="shared" ca="1" si="357"/>
        <v>0</v>
      </c>
      <c r="BG310" s="771">
        <f t="shared" ca="1" si="358"/>
        <v>0</v>
      </c>
      <c r="BH310" s="771">
        <f t="shared" ca="1" si="359"/>
        <v>0</v>
      </c>
      <c r="BI310" s="776">
        <f t="shared" ca="1" si="360"/>
        <v>0</v>
      </c>
      <c r="BJ310" s="776">
        <f t="shared" ca="1" si="361"/>
        <v>0</v>
      </c>
      <c r="BK310" s="776">
        <f t="shared" ca="1" si="362"/>
        <v>0</v>
      </c>
      <c r="BL310" s="776">
        <f t="shared" ca="1" si="363"/>
        <v>0</v>
      </c>
      <c r="BM310" s="135"/>
      <c r="BN310" s="776">
        <f t="shared" ca="1" si="364"/>
        <v>0</v>
      </c>
      <c r="BO310" s="778">
        <f t="shared" ca="1" si="301"/>
        <v>0</v>
      </c>
      <c r="BP310" s="770">
        <f t="shared" ca="1" si="302"/>
        <v>0</v>
      </c>
      <c r="BQ310" s="771">
        <f t="shared" ca="1" si="303"/>
        <v>0</v>
      </c>
      <c r="BR310" s="771">
        <f t="shared" ca="1" si="304"/>
        <v>0</v>
      </c>
      <c r="BS310" s="776">
        <f t="shared" ca="1" si="365"/>
        <v>0</v>
      </c>
      <c r="BT310" s="776">
        <f t="shared" ca="1" si="305"/>
        <v>0</v>
      </c>
      <c r="BU310" s="783">
        <f t="shared" ca="1" si="306"/>
        <v>0</v>
      </c>
      <c r="BV310" s="783">
        <f t="shared" ca="1" si="307"/>
        <v>0</v>
      </c>
      <c r="BW310" s="1019">
        <f t="shared" ca="1" si="366"/>
        <v>0</v>
      </c>
      <c r="BX310" s="771" cm="1">
        <f t="array" aca="1" ref="BX310" ca="1">INDIRECT("'Definition of Typical Day'!"&amp; ADDRESS($D310+29*(BX$16-1),$E310))</f>
        <v>0</v>
      </c>
      <c r="BY310" s="771">
        <f t="shared" ca="1" si="367"/>
        <v>0</v>
      </c>
      <c r="BZ310" s="781">
        <f t="shared" ca="1" si="308"/>
        <v>0</v>
      </c>
      <c r="CA310" s="781">
        <f t="shared" ca="1" si="309"/>
        <v>0</v>
      </c>
      <c r="CB310" s="776">
        <f t="shared" ca="1" si="310"/>
        <v>0</v>
      </c>
      <c r="CC310" s="782">
        <f t="shared" si="311"/>
        <v>13</v>
      </c>
      <c r="CD310" s="782">
        <f t="shared" si="312"/>
        <v>2</v>
      </c>
      <c r="CE310" s="784" cm="1">
        <f t="array" aca="1" ref="CE310" ca="1">INDIRECT("'Definition of Typical Day'!"&amp;ADDRESS(CE$16,$E310))</f>
        <v>13</v>
      </c>
      <c r="CF310" s="232"/>
      <c r="CG310" s="232"/>
      <c r="CH310" s="776">
        <f t="shared" ca="1" si="313"/>
        <v>0</v>
      </c>
      <c r="CI310" s="806">
        <f t="shared" ca="1" si="314"/>
        <v>0</v>
      </c>
      <c r="CJ310" s="770">
        <f t="shared" ca="1" si="315"/>
        <v>0</v>
      </c>
      <c r="CK310" s="771">
        <f t="shared" ca="1" si="316"/>
        <v>0</v>
      </c>
      <c r="CL310" s="771">
        <f t="shared" ca="1" si="317"/>
        <v>0</v>
      </c>
      <c r="CM310" s="772">
        <f t="shared" ca="1" si="318"/>
        <v>0</v>
      </c>
      <c r="CN310" s="135"/>
      <c r="CO310" s="770">
        <f t="shared" ca="1" si="368"/>
        <v>1.05</v>
      </c>
      <c r="CP310" s="771">
        <f t="shared" ca="1" si="319"/>
        <v>0.02</v>
      </c>
      <c r="CQ310" s="771">
        <f t="shared" ca="1" si="320"/>
        <v>-2.5000000000000001E-2</v>
      </c>
      <c r="CR310" s="771">
        <f t="shared" ca="1" si="321"/>
        <v>0.95</v>
      </c>
      <c r="CS310" s="771">
        <f t="shared" ca="1" si="322"/>
        <v>0.03</v>
      </c>
      <c r="CT310" s="772">
        <f t="shared" ca="1" si="323"/>
        <v>0.02</v>
      </c>
      <c r="CU310" s="135"/>
      <c r="CV310" s="135"/>
      <c r="CW310" s="135"/>
      <c r="CX310" s="135"/>
      <c r="CY310" s="135"/>
      <c r="CZ310" s="135"/>
      <c r="DA310" s="135"/>
      <c r="DB310" s="135"/>
      <c r="DC310" s="135"/>
      <c r="DD310" s="135"/>
      <c r="DE310" s="135"/>
      <c r="DF310" s="135"/>
      <c r="DG310" s="135"/>
      <c r="DH310" s="135"/>
      <c r="DI310" s="135"/>
      <c r="DJ310" s="135"/>
      <c r="DK310" s="135"/>
      <c r="DL310" s="135"/>
      <c r="DX310" s="135"/>
      <c r="DY310" s="135"/>
      <c r="DZ310" s="135"/>
      <c r="EA310" s="135"/>
      <c r="EB310" s="135"/>
      <c r="EC310" s="135"/>
      <c r="ED310" s="135"/>
      <c r="EE310" s="135"/>
      <c r="EF310" s="135"/>
      <c r="EG310" s="135"/>
      <c r="EH310" s="135"/>
      <c r="EI310" s="135"/>
      <c r="EJ310" s="135"/>
      <c r="EK310" s="135"/>
      <c r="EL310" s="135"/>
      <c r="EM310" s="135"/>
      <c r="EN310" s="135"/>
      <c r="EO310" s="135"/>
      <c r="EP310" s="135"/>
      <c r="EQ310" s="135"/>
      <c r="ER310" s="135"/>
      <c r="ES310" s="135"/>
      <c r="ET310" s="135"/>
      <c r="EU310" s="135"/>
      <c r="EV310" s="135"/>
      <c r="EW310" s="135"/>
      <c r="EX310" s="135"/>
      <c r="EY310" s="135"/>
      <c r="EZ310" s="135"/>
      <c r="FA310" s="135"/>
      <c r="FB310" s="135"/>
      <c r="FC310" s="135"/>
      <c r="FD310" s="135"/>
      <c r="FE310" s="135"/>
      <c r="FF310" s="135"/>
      <c r="FG310" s="135"/>
    </row>
    <row r="311" spans="1:163" s="57" customFormat="1" ht="11.25" outlineLevel="1">
      <c r="A311" s="765">
        <f t="shared" si="369"/>
        <v>13</v>
      </c>
      <c r="B311" s="715" cm="1">
        <f t="array" aca="1" ref="B311" ca="1">INDIRECT("'Definition of Typical Day'!"&amp;ADDRESS(B$16,$E311))</f>
        <v>13</v>
      </c>
      <c r="C311" s="766">
        <f t="shared" si="370"/>
        <v>3</v>
      </c>
      <c r="D311" s="715">
        <f t="shared" si="370"/>
        <v>37</v>
      </c>
      <c r="E311" s="715">
        <f t="shared" si="298"/>
        <v>17</v>
      </c>
      <c r="F311" s="767" cm="1">
        <f t="array" aca="1" ref="F311" ca="1">INDIRECT("'Definition of Typical Day'!D"&amp;D311)</f>
        <v>3</v>
      </c>
      <c r="G311" s="767" cm="1">
        <f t="array" aca="1" ref="G311" ca="1">INDIRECT("'Definition of Typical Day'!"&amp;ADDRESS(13,E311))</f>
        <v>13</v>
      </c>
      <c r="H311" s="768" cm="1">
        <f t="array" aca="1" ref="H311" ca="1">INDIRECT("'Definition of Typical Day'!"&amp; ADDRESS($D311+28*(H$16-1),$E311))</f>
        <v>0</v>
      </c>
      <c r="I311" s="715" cm="1">
        <f t="array" aca="1" ref="I311" ca="1">INDIRECT("'Definition of Typical Day'!"&amp; ADDRESS($D311+29*(I$16-1),$E311))</f>
        <v>0</v>
      </c>
      <c r="J311" s="715">
        <f t="shared" ca="1" si="324"/>
        <v>0</v>
      </c>
      <c r="K311" s="785">
        <f t="shared" si="325"/>
        <v>28</v>
      </c>
      <c r="L311" s="786" cm="1">
        <f t="array" aca="1" ref="L311" ca="1">INDIRECT("'Definition of Typical Day'!"&amp; ADDRESS($D311+29*(L$16-1),$E311))</f>
        <v>0</v>
      </c>
      <c r="M311" s="768" cm="1">
        <f t="array" aca="1" ref="M311" ca="1">INDIRECT("'Definition of Typical Day'!"&amp; ADDRESS($D311+29*(M$16-1),$E311))</f>
        <v>0</v>
      </c>
      <c r="N311" s="715">
        <f t="shared" si="326"/>
        <v>3</v>
      </c>
      <c r="O311" s="715">
        <f t="shared" ca="1" si="327"/>
        <v>3</v>
      </c>
      <c r="P311" s="715" cm="1">
        <f t="array" aca="1" ref="P311" ca="1">INDIRECT("'Definition of Typical Day'!"&amp; ADDRESS($D311+29*(P$16-1),$E311))</f>
        <v>0</v>
      </c>
      <c r="Q311" s="787">
        <f t="shared" ca="1" si="328"/>
        <v>3</v>
      </c>
      <c r="R311" s="792">
        <f t="shared" ca="1" si="329"/>
        <v>3</v>
      </c>
      <c r="S311" s="769">
        <f t="shared" si="330"/>
        <v>3</v>
      </c>
      <c r="T311" s="769">
        <f t="shared" ca="1" si="331"/>
        <v>-0.5</v>
      </c>
      <c r="U311" s="769">
        <f t="shared" ca="1" si="332"/>
        <v>2.262</v>
      </c>
      <c r="V311" s="769">
        <f t="shared" ca="1" si="333"/>
        <v>0</v>
      </c>
      <c r="W311" s="769">
        <f t="shared" ca="1" si="334"/>
        <v>4.7620000000000005</v>
      </c>
      <c r="X311" s="794">
        <f t="shared" si="335"/>
        <v>3</v>
      </c>
      <c r="Y311" s="769">
        <f t="shared" ca="1" si="336"/>
        <v>0.54772255750516607</v>
      </c>
      <c r="Z311" s="769">
        <f t="shared" ca="1" si="337"/>
        <v>0</v>
      </c>
      <c r="AA311" s="795">
        <f t="shared" ca="1" si="338"/>
        <v>0</v>
      </c>
      <c r="AB311" s="769">
        <f t="shared" ca="1" si="339"/>
        <v>0</v>
      </c>
      <c r="AC311" s="769">
        <f t="shared" ca="1" si="340"/>
        <v>0</v>
      </c>
      <c r="AD311" s="769">
        <f t="shared" ca="1" si="341"/>
        <v>0</v>
      </c>
      <c r="AE311" s="794">
        <f t="shared" ca="1" si="342"/>
        <v>0</v>
      </c>
      <c r="AF311" s="769">
        <f t="shared" ca="1" si="343"/>
        <v>0</v>
      </c>
      <c r="AG311" s="769">
        <f t="shared" ca="1" si="344"/>
        <v>0</v>
      </c>
      <c r="AH311" s="799">
        <f t="shared" ca="1" si="345"/>
        <v>0</v>
      </c>
      <c r="AI311" s="801">
        <f t="shared" ca="1" si="346"/>
        <v>1</v>
      </c>
      <c r="AJ311" s="794">
        <f t="shared" ca="1" si="347"/>
        <v>0</v>
      </c>
      <c r="AK311" s="769">
        <f t="shared" ca="1" si="348"/>
        <v>0</v>
      </c>
      <c r="AL311" s="769">
        <f t="shared" ca="1" si="349"/>
        <v>0</v>
      </c>
      <c r="AM311" s="804">
        <f t="shared" ca="1" si="299"/>
        <v>0</v>
      </c>
      <c r="AN311" s="795">
        <f t="shared" ca="1" si="300"/>
        <v>0</v>
      </c>
      <c r="AO311" s="251"/>
      <c r="AP311" s="770">
        <f t="shared" si="350"/>
        <v>0</v>
      </c>
      <c r="AQ311" s="771">
        <f t="shared" ca="1" si="351"/>
        <v>0</v>
      </c>
      <c r="AR311" s="771">
        <f t="shared" ca="1" si="352"/>
        <v>0</v>
      </c>
      <c r="AS311" s="772">
        <f t="shared" ca="1" si="353"/>
        <v>0</v>
      </c>
      <c r="AT311" s="231"/>
      <c r="AU311" s="770">
        <f>'Main Results - IRR DC Operator'!$F$16</f>
        <v>2</v>
      </c>
      <c r="AV311" s="773">
        <f>'Main Results - IRR DC Operator'!$F$15</f>
        <v>1</v>
      </c>
      <c r="AW311" s="771">
        <f t="shared" ca="1" si="354"/>
        <v>0</v>
      </c>
      <c r="AX311" s="772">
        <f t="shared" si="355"/>
        <v>0</v>
      </c>
      <c r="AY311" s="231"/>
      <c r="AZ311" s="770" cm="1">
        <f t="array" aca="1" ref="AZ311" ca="1">INDIRECT("'Definition of Typical Day'!"&amp; ADDRESS($D311+29*(AZ$16-1),$E311))+$AZ$17</f>
        <v>11</v>
      </c>
      <c r="BA311" s="771" cm="1">
        <f t="array" aca="1" ref="BA311" ca="1">INDIRECT("'Definition of Typical Day'!"&amp; ADDRESS($D311+29*(BA$16-1),$E311))+$BA$17</f>
        <v>11</v>
      </c>
      <c r="BB311" s="772" cm="1">
        <f t="array" aca="1" ref="BB311" ca="1">INDIRECT("'Definition of Typical Day'!"&amp;ADDRESS(BB$16,$E311))</f>
        <v>0</v>
      </c>
      <c r="BC311" s="776" cm="1">
        <f t="array" aca="1" ref="BC311" ca="1">INDIRECT("'Definition of Typical Day'!"&amp; ADDRESS($D311+29*(BC$16-1),$E311))</f>
        <v>0</v>
      </c>
      <c r="BD311" s="777" cm="1">
        <f t="array" aca="1" ref="BD311" ca="1">INDIRECT("'Definition of Typical Day'!"&amp; ADDRESS($D311+29*(BD$16-1),$E311))</f>
        <v>0</v>
      </c>
      <c r="BE311" s="776">
        <f t="shared" si="356"/>
        <v>0</v>
      </c>
      <c r="BF311" s="771">
        <f t="shared" ca="1" si="357"/>
        <v>0</v>
      </c>
      <c r="BG311" s="771">
        <f t="shared" ca="1" si="358"/>
        <v>0</v>
      </c>
      <c r="BH311" s="771">
        <f t="shared" ca="1" si="359"/>
        <v>0</v>
      </c>
      <c r="BI311" s="776">
        <f t="shared" ca="1" si="360"/>
        <v>0</v>
      </c>
      <c r="BJ311" s="776">
        <f t="shared" ca="1" si="361"/>
        <v>0</v>
      </c>
      <c r="BK311" s="776">
        <f t="shared" ca="1" si="362"/>
        <v>0</v>
      </c>
      <c r="BL311" s="776">
        <f t="shared" ca="1" si="363"/>
        <v>0</v>
      </c>
      <c r="BM311" s="135"/>
      <c r="BN311" s="776">
        <f t="shared" ca="1" si="364"/>
        <v>0</v>
      </c>
      <c r="BO311" s="778">
        <f t="shared" ca="1" si="301"/>
        <v>0</v>
      </c>
      <c r="BP311" s="770">
        <f t="shared" ca="1" si="302"/>
        <v>0</v>
      </c>
      <c r="BQ311" s="771">
        <f t="shared" ca="1" si="303"/>
        <v>0</v>
      </c>
      <c r="BR311" s="771">
        <f t="shared" ca="1" si="304"/>
        <v>0</v>
      </c>
      <c r="BS311" s="776">
        <f t="shared" ca="1" si="365"/>
        <v>0</v>
      </c>
      <c r="BT311" s="776">
        <f t="shared" ca="1" si="305"/>
        <v>0</v>
      </c>
      <c r="BU311" s="783">
        <f t="shared" ca="1" si="306"/>
        <v>0</v>
      </c>
      <c r="BV311" s="783">
        <f t="shared" ca="1" si="307"/>
        <v>0</v>
      </c>
      <c r="BW311" s="1019">
        <f t="shared" ca="1" si="366"/>
        <v>0</v>
      </c>
      <c r="BX311" s="771" cm="1">
        <f t="array" aca="1" ref="BX311" ca="1">INDIRECT("'Definition of Typical Day'!"&amp; ADDRESS($D311+29*(BX$16-1),$E311))</f>
        <v>0</v>
      </c>
      <c r="BY311" s="771">
        <f t="shared" ca="1" si="367"/>
        <v>0</v>
      </c>
      <c r="BZ311" s="781">
        <f t="shared" ca="1" si="308"/>
        <v>0</v>
      </c>
      <c r="CA311" s="781">
        <f t="shared" ca="1" si="309"/>
        <v>0</v>
      </c>
      <c r="CB311" s="776">
        <f t="shared" ca="1" si="310"/>
        <v>0</v>
      </c>
      <c r="CC311" s="782">
        <f t="shared" si="311"/>
        <v>13</v>
      </c>
      <c r="CD311" s="782">
        <f t="shared" si="312"/>
        <v>3</v>
      </c>
      <c r="CE311" s="784" cm="1">
        <f t="array" aca="1" ref="CE311" ca="1">INDIRECT("'Definition of Typical Day'!"&amp;ADDRESS(CE$16,$E311))</f>
        <v>13</v>
      </c>
      <c r="CF311" s="232"/>
      <c r="CG311" s="232"/>
      <c r="CH311" s="776">
        <f t="shared" ca="1" si="313"/>
        <v>0</v>
      </c>
      <c r="CI311" s="806">
        <f t="shared" ca="1" si="314"/>
        <v>0</v>
      </c>
      <c r="CJ311" s="770">
        <f t="shared" ca="1" si="315"/>
        <v>0</v>
      </c>
      <c r="CK311" s="771">
        <f t="shared" ca="1" si="316"/>
        <v>0</v>
      </c>
      <c r="CL311" s="771">
        <f t="shared" ca="1" si="317"/>
        <v>0</v>
      </c>
      <c r="CM311" s="772">
        <f t="shared" ca="1" si="318"/>
        <v>0</v>
      </c>
      <c r="CN311" s="135"/>
      <c r="CO311" s="770">
        <f t="shared" ca="1" si="368"/>
        <v>1.05</v>
      </c>
      <c r="CP311" s="771">
        <f t="shared" ca="1" si="319"/>
        <v>0.02</v>
      </c>
      <c r="CQ311" s="771">
        <f t="shared" ca="1" si="320"/>
        <v>-2.5000000000000001E-2</v>
      </c>
      <c r="CR311" s="771">
        <f t="shared" ca="1" si="321"/>
        <v>0.95</v>
      </c>
      <c r="CS311" s="771">
        <f t="shared" ca="1" si="322"/>
        <v>0.03</v>
      </c>
      <c r="CT311" s="772">
        <f t="shared" ca="1" si="323"/>
        <v>0.02</v>
      </c>
      <c r="CU311" s="135"/>
      <c r="CV311" s="135"/>
      <c r="CW311" s="135"/>
      <c r="CX311" s="135"/>
      <c r="CY311" s="135"/>
      <c r="CZ311" s="135"/>
      <c r="DA311" s="135"/>
      <c r="DB311" s="135"/>
      <c r="DC311" s="135"/>
      <c r="DD311" s="135"/>
      <c r="DE311" s="135"/>
      <c r="DF311" s="135"/>
      <c r="DG311" s="135"/>
      <c r="DH311" s="135"/>
      <c r="DI311" s="135"/>
      <c r="DJ311" s="135"/>
      <c r="DK311" s="135"/>
      <c r="DL311" s="135"/>
      <c r="DX311" s="135"/>
      <c r="DY311" s="135"/>
      <c r="DZ311" s="135"/>
      <c r="EA311" s="135"/>
      <c r="EB311" s="135"/>
      <c r="EC311" s="135"/>
      <c r="ED311" s="135"/>
      <c r="EE311" s="135"/>
      <c r="EF311" s="135"/>
      <c r="EG311" s="135"/>
      <c r="EH311" s="135"/>
      <c r="EI311" s="135"/>
      <c r="EJ311" s="135"/>
      <c r="EK311" s="135"/>
      <c r="EL311" s="135"/>
      <c r="EM311" s="135"/>
      <c r="EN311" s="135"/>
      <c r="EO311" s="135"/>
      <c r="EP311" s="135"/>
      <c r="EQ311" s="135"/>
      <c r="ER311" s="135"/>
      <c r="ES311" s="135"/>
      <c r="ET311" s="135"/>
      <c r="EU311" s="135"/>
      <c r="EV311" s="135"/>
      <c r="EW311" s="135"/>
      <c r="EX311" s="135"/>
      <c r="EY311" s="135"/>
      <c r="EZ311" s="135"/>
      <c r="FA311" s="135"/>
      <c r="FB311" s="135"/>
      <c r="FC311" s="135"/>
      <c r="FD311" s="135"/>
      <c r="FE311" s="135"/>
      <c r="FF311" s="135"/>
      <c r="FG311" s="135"/>
    </row>
    <row r="312" spans="1:163" s="57" customFormat="1" ht="11.25" outlineLevel="1">
      <c r="A312" s="765">
        <f t="shared" si="369"/>
        <v>13</v>
      </c>
      <c r="B312" s="715" cm="1">
        <f t="array" aca="1" ref="B312" ca="1">INDIRECT("'Definition of Typical Day'!"&amp;ADDRESS(B$16,$E312))</f>
        <v>13</v>
      </c>
      <c r="C312" s="766">
        <f t="shared" si="370"/>
        <v>4</v>
      </c>
      <c r="D312" s="715">
        <f t="shared" si="370"/>
        <v>38</v>
      </c>
      <c r="E312" s="715">
        <f t="shared" si="298"/>
        <v>17</v>
      </c>
      <c r="F312" s="767" cm="1">
        <f t="array" aca="1" ref="F312" ca="1">INDIRECT("'Definition of Typical Day'!D"&amp;D312)</f>
        <v>4</v>
      </c>
      <c r="G312" s="767" cm="1">
        <f t="array" aca="1" ref="G312" ca="1">INDIRECT("'Definition of Typical Day'!"&amp;ADDRESS(13,E312))</f>
        <v>13</v>
      </c>
      <c r="H312" s="768" cm="1">
        <f t="array" aca="1" ref="H312" ca="1">INDIRECT("'Definition of Typical Day'!"&amp; ADDRESS($D312+28*(H$16-1),$E312))</f>
        <v>0</v>
      </c>
      <c r="I312" s="715" cm="1">
        <f t="array" aca="1" ref="I312" ca="1">INDIRECT("'Definition of Typical Day'!"&amp; ADDRESS($D312+29*(I$16-1),$E312))</f>
        <v>0</v>
      </c>
      <c r="J312" s="715">
        <f t="shared" ca="1" si="324"/>
        <v>0</v>
      </c>
      <c r="K312" s="785">
        <f t="shared" si="325"/>
        <v>28</v>
      </c>
      <c r="L312" s="786" cm="1">
        <f t="array" aca="1" ref="L312" ca="1">INDIRECT("'Definition of Typical Day'!"&amp; ADDRESS($D312+29*(L$16-1),$E312))</f>
        <v>0</v>
      </c>
      <c r="M312" s="768" cm="1">
        <f t="array" aca="1" ref="M312" ca="1">INDIRECT("'Definition of Typical Day'!"&amp; ADDRESS($D312+29*(M$16-1),$E312))</f>
        <v>0</v>
      </c>
      <c r="N312" s="715">
        <f t="shared" si="326"/>
        <v>3</v>
      </c>
      <c r="O312" s="715">
        <f t="shared" ca="1" si="327"/>
        <v>3</v>
      </c>
      <c r="P312" s="715" cm="1">
        <f t="array" aca="1" ref="P312" ca="1">INDIRECT("'Definition of Typical Day'!"&amp; ADDRESS($D312+29*(P$16-1),$E312))</f>
        <v>0</v>
      </c>
      <c r="Q312" s="787">
        <f t="shared" ca="1" si="328"/>
        <v>3</v>
      </c>
      <c r="R312" s="792">
        <f t="shared" ca="1" si="329"/>
        <v>3</v>
      </c>
      <c r="S312" s="769">
        <f t="shared" si="330"/>
        <v>3</v>
      </c>
      <c r="T312" s="769">
        <f t="shared" ca="1" si="331"/>
        <v>-0.5</v>
      </c>
      <c r="U312" s="769">
        <f t="shared" ca="1" si="332"/>
        <v>2.262</v>
      </c>
      <c r="V312" s="769">
        <f t="shared" ca="1" si="333"/>
        <v>0</v>
      </c>
      <c r="W312" s="769">
        <f t="shared" ca="1" si="334"/>
        <v>4.7620000000000005</v>
      </c>
      <c r="X312" s="794">
        <f t="shared" si="335"/>
        <v>3</v>
      </c>
      <c r="Y312" s="769">
        <f t="shared" ca="1" si="336"/>
        <v>0.54772255750516607</v>
      </c>
      <c r="Z312" s="769">
        <f t="shared" ca="1" si="337"/>
        <v>0</v>
      </c>
      <c r="AA312" s="795">
        <f t="shared" ca="1" si="338"/>
        <v>0</v>
      </c>
      <c r="AB312" s="769">
        <f t="shared" ca="1" si="339"/>
        <v>0</v>
      </c>
      <c r="AC312" s="769">
        <f t="shared" ca="1" si="340"/>
        <v>0</v>
      </c>
      <c r="AD312" s="769">
        <f t="shared" ca="1" si="341"/>
        <v>0</v>
      </c>
      <c r="AE312" s="794">
        <f t="shared" ca="1" si="342"/>
        <v>0</v>
      </c>
      <c r="AF312" s="769">
        <f t="shared" ca="1" si="343"/>
        <v>0</v>
      </c>
      <c r="AG312" s="769">
        <f t="shared" ca="1" si="344"/>
        <v>0</v>
      </c>
      <c r="AH312" s="799">
        <f t="shared" ca="1" si="345"/>
        <v>0</v>
      </c>
      <c r="AI312" s="801">
        <f t="shared" ca="1" si="346"/>
        <v>1</v>
      </c>
      <c r="AJ312" s="794">
        <f t="shared" ca="1" si="347"/>
        <v>0</v>
      </c>
      <c r="AK312" s="769">
        <f t="shared" ca="1" si="348"/>
        <v>0</v>
      </c>
      <c r="AL312" s="769">
        <f t="shared" ca="1" si="349"/>
        <v>0</v>
      </c>
      <c r="AM312" s="804">
        <f t="shared" ca="1" si="299"/>
        <v>0</v>
      </c>
      <c r="AN312" s="795">
        <f t="shared" ca="1" si="300"/>
        <v>0</v>
      </c>
      <c r="AO312" s="251"/>
      <c r="AP312" s="770">
        <f t="shared" si="350"/>
        <v>0</v>
      </c>
      <c r="AQ312" s="771">
        <f t="shared" ca="1" si="351"/>
        <v>0</v>
      </c>
      <c r="AR312" s="771">
        <f t="shared" ca="1" si="352"/>
        <v>0</v>
      </c>
      <c r="AS312" s="772">
        <f t="shared" ca="1" si="353"/>
        <v>0</v>
      </c>
      <c r="AT312" s="231"/>
      <c r="AU312" s="770">
        <f>'Main Results - IRR DC Operator'!$F$16</f>
        <v>2</v>
      </c>
      <c r="AV312" s="773">
        <f>'Main Results - IRR DC Operator'!$F$15</f>
        <v>1</v>
      </c>
      <c r="AW312" s="771">
        <f t="shared" ca="1" si="354"/>
        <v>0</v>
      </c>
      <c r="AX312" s="772">
        <f t="shared" si="355"/>
        <v>0</v>
      </c>
      <c r="AY312" s="231"/>
      <c r="AZ312" s="770" cm="1">
        <f t="array" aca="1" ref="AZ312" ca="1">INDIRECT("'Definition of Typical Day'!"&amp; ADDRESS($D312+29*(AZ$16-1),$E312))+$AZ$17</f>
        <v>11</v>
      </c>
      <c r="BA312" s="771" cm="1">
        <f t="array" aca="1" ref="BA312" ca="1">INDIRECT("'Definition of Typical Day'!"&amp; ADDRESS($D312+29*(BA$16-1),$E312))+$BA$17</f>
        <v>11</v>
      </c>
      <c r="BB312" s="772" cm="1">
        <f t="array" aca="1" ref="BB312" ca="1">INDIRECT("'Definition of Typical Day'!"&amp;ADDRESS(BB$16,$E312))</f>
        <v>0</v>
      </c>
      <c r="BC312" s="776" cm="1">
        <f t="array" aca="1" ref="BC312" ca="1">INDIRECT("'Definition of Typical Day'!"&amp; ADDRESS($D312+29*(BC$16-1),$E312))</f>
        <v>0</v>
      </c>
      <c r="BD312" s="777" cm="1">
        <f t="array" aca="1" ref="BD312" ca="1">INDIRECT("'Definition of Typical Day'!"&amp; ADDRESS($D312+29*(BD$16-1),$E312))</f>
        <v>0</v>
      </c>
      <c r="BE312" s="776">
        <f t="shared" si="356"/>
        <v>0</v>
      </c>
      <c r="BF312" s="771">
        <f t="shared" ca="1" si="357"/>
        <v>0</v>
      </c>
      <c r="BG312" s="771">
        <f t="shared" ca="1" si="358"/>
        <v>0</v>
      </c>
      <c r="BH312" s="771">
        <f t="shared" ca="1" si="359"/>
        <v>0</v>
      </c>
      <c r="BI312" s="776">
        <f t="shared" ca="1" si="360"/>
        <v>0</v>
      </c>
      <c r="BJ312" s="776">
        <f t="shared" ca="1" si="361"/>
        <v>0</v>
      </c>
      <c r="BK312" s="776">
        <f t="shared" ca="1" si="362"/>
        <v>0</v>
      </c>
      <c r="BL312" s="776">
        <f t="shared" ca="1" si="363"/>
        <v>0</v>
      </c>
      <c r="BM312" s="135"/>
      <c r="BN312" s="776">
        <f t="shared" ca="1" si="364"/>
        <v>0</v>
      </c>
      <c r="BO312" s="778">
        <f t="shared" ca="1" si="301"/>
        <v>0</v>
      </c>
      <c r="BP312" s="770">
        <f t="shared" ca="1" si="302"/>
        <v>0</v>
      </c>
      <c r="BQ312" s="771">
        <f t="shared" ca="1" si="303"/>
        <v>0</v>
      </c>
      <c r="BR312" s="771">
        <f t="shared" ca="1" si="304"/>
        <v>0</v>
      </c>
      <c r="BS312" s="776">
        <f t="shared" ca="1" si="365"/>
        <v>0</v>
      </c>
      <c r="BT312" s="776">
        <f t="shared" ca="1" si="305"/>
        <v>0</v>
      </c>
      <c r="BU312" s="783">
        <f t="shared" ca="1" si="306"/>
        <v>0</v>
      </c>
      <c r="BV312" s="783">
        <f t="shared" ca="1" si="307"/>
        <v>0</v>
      </c>
      <c r="BW312" s="1019">
        <f t="shared" ca="1" si="366"/>
        <v>0</v>
      </c>
      <c r="BX312" s="771" cm="1">
        <f t="array" aca="1" ref="BX312" ca="1">INDIRECT("'Definition of Typical Day'!"&amp; ADDRESS($D312+29*(BX$16-1),$E312))</f>
        <v>0</v>
      </c>
      <c r="BY312" s="771">
        <f t="shared" ca="1" si="367"/>
        <v>0</v>
      </c>
      <c r="BZ312" s="781">
        <f t="shared" ca="1" si="308"/>
        <v>0</v>
      </c>
      <c r="CA312" s="781">
        <f t="shared" ca="1" si="309"/>
        <v>0</v>
      </c>
      <c r="CB312" s="776">
        <f t="shared" ca="1" si="310"/>
        <v>0</v>
      </c>
      <c r="CC312" s="782">
        <f t="shared" si="311"/>
        <v>13</v>
      </c>
      <c r="CD312" s="782">
        <f t="shared" si="312"/>
        <v>4</v>
      </c>
      <c r="CE312" s="784" cm="1">
        <f t="array" aca="1" ref="CE312" ca="1">INDIRECT("'Definition of Typical Day'!"&amp;ADDRESS(CE$16,$E312))</f>
        <v>13</v>
      </c>
      <c r="CF312" s="232"/>
      <c r="CG312" s="232"/>
      <c r="CH312" s="776">
        <f t="shared" ca="1" si="313"/>
        <v>0</v>
      </c>
      <c r="CI312" s="806">
        <f t="shared" ca="1" si="314"/>
        <v>0</v>
      </c>
      <c r="CJ312" s="770">
        <f t="shared" ca="1" si="315"/>
        <v>0</v>
      </c>
      <c r="CK312" s="771">
        <f t="shared" ca="1" si="316"/>
        <v>0</v>
      </c>
      <c r="CL312" s="771">
        <f t="shared" ca="1" si="317"/>
        <v>0</v>
      </c>
      <c r="CM312" s="772">
        <f t="shared" ca="1" si="318"/>
        <v>0</v>
      </c>
      <c r="CN312" s="135"/>
      <c r="CO312" s="770">
        <f t="shared" ca="1" si="368"/>
        <v>1.05</v>
      </c>
      <c r="CP312" s="771">
        <f t="shared" ca="1" si="319"/>
        <v>0.02</v>
      </c>
      <c r="CQ312" s="771">
        <f t="shared" ca="1" si="320"/>
        <v>-2.5000000000000001E-2</v>
      </c>
      <c r="CR312" s="771">
        <f t="shared" ca="1" si="321"/>
        <v>0.95</v>
      </c>
      <c r="CS312" s="771">
        <f t="shared" ca="1" si="322"/>
        <v>0.03</v>
      </c>
      <c r="CT312" s="772">
        <f t="shared" ca="1" si="323"/>
        <v>0.02</v>
      </c>
      <c r="CU312" s="135"/>
      <c r="CV312" s="135"/>
      <c r="CW312" s="135"/>
      <c r="CX312" s="135"/>
      <c r="CY312" s="135"/>
      <c r="CZ312" s="135"/>
      <c r="DA312" s="135"/>
      <c r="DB312" s="135"/>
      <c r="DC312" s="135"/>
      <c r="DD312" s="135"/>
      <c r="DE312" s="135"/>
      <c r="DF312" s="135"/>
      <c r="DG312" s="135"/>
      <c r="DH312" s="135"/>
      <c r="DI312" s="135"/>
      <c r="DJ312" s="135"/>
      <c r="DK312" s="135"/>
      <c r="DL312" s="135"/>
      <c r="DX312" s="135"/>
      <c r="DY312" s="135"/>
      <c r="DZ312" s="135"/>
      <c r="EA312" s="135"/>
      <c r="EB312" s="135"/>
      <c r="EC312" s="135"/>
      <c r="ED312" s="135"/>
      <c r="EE312" s="135"/>
      <c r="EF312" s="135"/>
      <c r="EG312" s="135"/>
      <c r="EH312" s="135"/>
      <c r="EI312" s="135"/>
      <c r="EJ312" s="135"/>
      <c r="EK312" s="135"/>
      <c r="EL312" s="135"/>
      <c r="EM312" s="135"/>
      <c r="EN312" s="135"/>
      <c r="EO312" s="135"/>
      <c r="EP312" s="135"/>
      <c r="EQ312" s="135"/>
      <c r="ER312" s="135"/>
      <c r="ES312" s="135"/>
      <c r="ET312" s="135"/>
      <c r="EU312" s="135"/>
      <c r="EV312" s="135"/>
      <c r="EW312" s="135"/>
      <c r="EX312" s="135"/>
      <c r="EY312" s="135"/>
      <c r="EZ312" s="135"/>
      <c r="FA312" s="135"/>
      <c r="FB312" s="135"/>
      <c r="FC312" s="135"/>
      <c r="FD312" s="135"/>
      <c r="FE312" s="135"/>
      <c r="FF312" s="135"/>
      <c r="FG312" s="135"/>
    </row>
    <row r="313" spans="1:163" s="57" customFormat="1" ht="11.25" outlineLevel="1">
      <c r="A313" s="765">
        <f t="shared" si="369"/>
        <v>13</v>
      </c>
      <c r="B313" s="715" cm="1">
        <f t="array" aca="1" ref="B313" ca="1">INDIRECT("'Definition of Typical Day'!"&amp;ADDRESS(B$16,$E313))</f>
        <v>13</v>
      </c>
      <c r="C313" s="766">
        <f t="shared" si="370"/>
        <v>5</v>
      </c>
      <c r="D313" s="715">
        <f t="shared" si="370"/>
        <v>39</v>
      </c>
      <c r="E313" s="715">
        <f t="shared" si="298"/>
        <v>17</v>
      </c>
      <c r="F313" s="767" cm="1">
        <f t="array" aca="1" ref="F313" ca="1">INDIRECT("'Definition of Typical Day'!D"&amp;D313)</f>
        <v>5</v>
      </c>
      <c r="G313" s="767" cm="1">
        <f t="array" aca="1" ref="G313" ca="1">INDIRECT("'Definition of Typical Day'!"&amp;ADDRESS(13,E313))</f>
        <v>13</v>
      </c>
      <c r="H313" s="768" cm="1">
        <f t="array" aca="1" ref="H313" ca="1">INDIRECT("'Definition of Typical Day'!"&amp; ADDRESS($D313+28*(H$16-1),$E313))</f>
        <v>0</v>
      </c>
      <c r="I313" s="715" cm="1">
        <f t="array" aca="1" ref="I313" ca="1">INDIRECT("'Definition of Typical Day'!"&amp; ADDRESS($D313+29*(I$16-1),$E313))</f>
        <v>0</v>
      </c>
      <c r="J313" s="715">
        <f t="shared" ca="1" si="324"/>
        <v>0</v>
      </c>
      <c r="K313" s="785">
        <f t="shared" si="325"/>
        <v>28</v>
      </c>
      <c r="L313" s="786" cm="1">
        <f t="array" aca="1" ref="L313" ca="1">INDIRECT("'Definition of Typical Day'!"&amp; ADDRESS($D313+29*(L$16-1),$E313))</f>
        <v>0</v>
      </c>
      <c r="M313" s="768" cm="1">
        <f t="array" aca="1" ref="M313" ca="1">INDIRECT("'Definition of Typical Day'!"&amp; ADDRESS($D313+29*(M$16-1),$E313))</f>
        <v>0</v>
      </c>
      <c r="N313" s="715">
        <f t="shared" si="326"/>
        <v>3</v>
      </c>
      <c r="O313" s="715">
        <f t="shared" ca="1" si="327"/>
        <v>3</v>
      </c>
      <c r="P313" s="715" cm="1">
        <f t="array" aca="1" ref="P313" ca="1">INDIRECT("'Definition of Typical Day'!"&amp; ADDRESS($D313+29*(P$16-1),$E313))</f>
        <v>0</v>
      </c>
      <c r="Q313" s="787">
        <f t="shared" ca="1" si="328"/>
        <v>3</v>
      </c>
      <c r="R313" s="792">
        <f t="shared" ca="1" si="329"/>
        <v>3</v>
      </c>
      <c r="S313" s="769">
        <f t="shared" si="330"/>
        <v>3</v>
      </c>
      <c r="T313" s="769">
        <f t="shared" ca="1" si="331"/>
        <v>-0.5</v>
      </c>
      <c r="U313" s="769">
        <f t="shared" ca="1" si="332"/>
        <v>2.262</v>
      </c>
      <c r="V313" s="769">
        <f t="shared" ca="1" si="333"/>
        <v>0</v>
      </c>
      <c r="W313" s="769">
        <f t="shared" ca="1" si="334"/>
        <v>4.7620000000000005</v>
      </c>
      <c r="X313" s="794">
        <f t="shared" si="335"/>
        <v>3</v>
      </c>
      <c r="Y313" s="769">
        <f t="shared" ca="1" si="336"/>
        <v>0.54772255750516607</v>
      </c>
      <c r="Z313" s="769">
        <f t="shared" ca="1" si="337"/>
        <v>0</v>
      </c>
      <c r="AA313" s="795">
        <f t="shared" ca="1" si="338"/>
        <v>0</v>
      </c>
      <c r="AB313" s="769">
        <f t="shared" ca="1" si="339"/>
        <v>0</v>
      </c>
      <c r="AC313" s="769">
        <f t="shared" ca="1" si="340"/>
        <v>0</v>
      </c>
      <c r="AD313" s="769">
        <f t="shared" ca="1" si="341"/>
        <v>0</v>
      </c>
      <c r="AE313" s="794">
        <f t="shared" ca="1" si="342"/>
        <v>0</v>
      </c>
      <c r="AF313" s="769">
        <f t="shared" ca="1" si="343"/>
        <v>0</v>
      </c>
      <c r="AG313" s="769">
        <f t="shared" ca="1" si="344"/>
        <v>0</v>
      </c>
      <c r="AH313" s="799">
        <f t="shared" ca="1" si="345"/>
        <v>0</v>
      </c>
      <c r="AI313" s="801">
        <f t="shared" ca="1" si="346"/>
        <v>1</v>
      </c>
      <c r="AJ313" s="794">
        <f t="shared" ca="1" si="347"/>
        <v>0</v>
      </c>
      <c r="AK313" s="769">
        <f t="shared" ca="1" si="348"/>
        <v>0</v>
      </c>
      <c r="AL313" s="769">
        <f t="shared" ca="1" si="349"/>
        <v>0</v>
      </c>
      <c r="AM313" s="804">
        <f t="shared" ca="1" si="299"/>
        <v>0</v>
      </c>
      <c r="AN313" s="795">
        <f t="shared" ca="1" si="300"/>
        <v>0</v>
      </c>
      <c r="AO313" s="251"/>
      <c r="AP313" s="770">
        <f t="shared" si="350"/>
        <v>0</v>
      </c>
      <c r="AQ313" s="771">
        <f t="shared" ca="1" si="351"/>
        <v>0</v>
      </c>
      <c r="AR313" s="771">
        <f t="shared" ca="1" si="352"/>
        <v>0</v>
      </c>
      <c r="AS313" s="772">
        <f t="shared" ca="1" si="353"/>
        <v>0</v>
      </c>
      <c r="AT313" s="231"/>
      <c r="AU313" s="770">
        <f>'Main Results - IRR DC Operator'!$F$16</f>
        <v>2</v>
      </c>
      <c r="AV313" s="773">
        <f>'Main Results - IRR DC Operator'!$F$15</f>
        <v>1</v>
      </c>
      <c r="AW313" s="771">
        <f t="shared" ca="1" si="354"/>
        <v>0</v>
      </c>
      <c r="AX313" s="772">
        <f t="shared" si="355"/>
        <v>0</v>
      </c>
      <c r="AY313" s="231"/>
      <c r="AZ313" s="770" cm="1">
        <f t="array" aca="1" ref="AZ313" ca="1">INDIRECT("'Definition of Typical Day'!"&amp; ADDRESS($D313+29*(AZ$16-1),$E313))+$AZ$17</f>
        <v>11</v>
      </c>
      <c r="BA313" s="771" cm="1">
        <f t="array" aca="1" ref="BA313" ca="1">INDIRECT("'Definition of Typical Day'!"&amp; ADDRESS($D313+29*(BA$16-1),$E313))+$BA$17</f>
        <v>11</v>
      </c>
      <c r="BB313" s="772" cm="1">
        <f t="array" aca="1" ref="BB313" ca="1">INDIRECT("'Definition of Typical Day'!"&amp;ADDRESS(BB$16,$E313))</f>
        <v>0</v>
      </c>
      <c r="BC313" s="776" cm="1">
        <f t="array" aca="1" ref="BC313" ca="1">INDIRECT("'Definition of Typical Day'!"&amp; ADDRESS($D313+29*(BC$16-1),$E313))</f>
        <v>0</v>
      </c>
      <c r="BD313" s="777" cm="1">
        <f t="array" aca="1" ref="BD313" ca="1">INDIRECT("'Definition of Typical Day'!"&amp; ADDRESS($D313+29*(BD$16-1),$E313))</f>
        <v>0</v>
      </c>
      <c r="BE313" s="776">
        <f t="shared" si="356"/>
        <v>0</v>
      </c>
      <c r="BF313" s="771">
        <f t="shared" ca="1" si="357"/>
        <v>0</v>
      </c>
      <c r="BG313" s="771">
        <f t="shared" ca="1" si="358"/>
        <v>0</v>
      </c>
      <c r="BH313" s="771">
        <f t="shared" ca="1" si="359"/>
        <v>0</v>
      </c>
      <c r="BI313" s="776">
        <f t="shared" ca="1" si="360"/>
        <v>0</v>
      </c>
      <c r="BJ313" s="776">
        <f t="shared" ca="1" si="361"/>
        <v>0</v>
      </c>
      <c r="BK313" s="776">
        <f t="shared" ca="1" si="362"/>
        <v>0</v>
      </c>
      <c r="BL313" s="776">
        <f t="shared" ca="1" si="363"/>
        <v>0</v>
      </c>
      <c r="BM313" s="135"/>
      <c r="BN313" s="776">
        <f t="shared" ca="1" si="364"/>
        <v>0</v>
      </c>
      <c r="BO313" s="778">
        <f t="shared" ca="1" si="301"/>
        <v>0</v>
      </c>
      <c r="BP313" s="770">
        <f t="shared" ca="1" si="302"/>
        <v>0</v>
      </c>
      <c r="BQ313" s="771">
        <f t="shared" ca="1" si="303"/>
        <v>0</v>
      </c>
      <c r="BR313" s="771">
        <f t="shared" ca="1" si="304"/>
        <v>0</v>
      </c>
      <c r="BS313" s="776">
        <f t="shared" ca="1" si="365"/>
        <v>0</v>
      </c>
      <c r="BT313" s="776">
        <f t="shared" ca="1" si="305"/>
        <v>0</v>
      </c>
      <c r="BU313" s="783">
        <f t="shared" ca="1" si="306"/>
        <v>0</v>
      </c>
      <c r="BV313" s="783">
        <f t="shared" ca="1" si="307"/>
        <v>0</v>
      </c>
      <c r="BW313" s="1019">
        <f t="shared" ca="1" si="366"/>
        <v>0</v>
      </c>
      <c r="BX313" s="771" cm="1">
        <f t="array" aca="1" ref="BX313" ca="1">INDIRECT("'Definition of Typical Day'!"&amp; ADDRESS($D313+29*(BX$16-1),$E313))</f>
        <v>0</v>
      </c>
      <c r="BY313" s="771">
        <f t="shared" ca="1" si="367"/>
        <v>0</v>
      </c>
      <c r="BZ313" s="781">
        <f t="shared" ca="1" si="308"/>
        <v>0</v>
      </c>
      <c r="CA313" s="781">
        <f t="shared" ca="1" si="309"/>
        <v>0</v>
      </c>
      <c r="CB313" s="776">
        <f t="shared" ca="1" si="310"/>
        <v>0</v>
      </c>
      <c r="CC313" s="782">
        <f t="shared" si="311"/>
        <v>13</v>
      </c>
      <c r="CD313" s="782">
        <f t="shared" si="312"/>
        <v>5</v>
      </c>
      <c r="CE313" s="784" cm="1">
        <f t="array" aca="1" ref="CE313" ca="1">INDIRECT("'Definition of Typical Day'!"&amp;ADDRESS(CE$16,$E313))</f>
        <v>13</v>
      </c>
      <c r="CF313" s="232"/>
      <c r="CG313" s="232"/>
      <c r="CH313" s="776">
        <f t="shared" ca="1" si="313"/>
        <v>0</v>
      </c>
      <c r="CI313" s="806">
        <f t="shared" ca="1" si="314"/>
        <v>0</v>
      </c>
      <c r="CJ313" s="770">
        <f t="shared" ca="1" si="315"/>
        <v>0</v>
      </c>
      <c r="CK313" s="771">
        <f t="shared" ca="1" si="316"/>
        <v>0</v>
      </c>
      <c r="CL313" s="771">
        <f t="shared" ca="1" si="317"/>
        <v>0</v>
      </c>
      <c r="CM313" s="772">
        <f t="shared" ca="1" si="318"/>
        <v>0</v>
      </c>
      <c r="CN313" s="135"/>
      <c r="CO313" s="770">
        <f t="shared" ca="1" si="368"/>
        <v>1.05</v>
      </c>
      <c r="CP313" s="771">
        <f t="shared" ca="1" si="319"/>
        <v>0.02</v>
      </c>
      <c r="CQ313" s="771">
        <f t="shared" ca="1" si="320"/>
        <v>-2.5000000000000001E-2</v>
      </c>
      <c r="CR313" s="771">
        <f t="shared" ca="1" si="321"/>
        <v>0.95</v>
      </c>
      <c r="CS313" s="771">
        <f t="shared" ca="1" si="322"/>
        <v>0.03</v>
      </c>
      <c r="CT313" s="772">
        <f t="shared" ca="1" si="323"/>
        <v>0.02</v>
      </c>
      <c r="CU313" s="135"/>
      <c r="CV313" s="135"/>
      <c r="CW313" s="135"/>
      <c r="CX313" s="135"/>
      <c r="CY313" s="135"/>
      <c r="CZ313" s="135"/>
      <c r="DA313" s="135"/>
      <c r="DB313" s="135"/>
      <c r="DC313" s="135"/>
      <c r="DD313" s="135"/>
      <c r="DE313" s="135"/>
      <c r="DF313" s="135"/>
      <c r="DG313" s="135"/>
      <c r="DH313" s="135"/>
      <c r="DI313" s="135"/>
      <c r="DJ313" s="135"/>
      <c r="DK313" s="135"/>
      <c r="DL313" s="135"/>
      <c r="DX313" s="135"/>
      <c r="DY313" s="135"/>
      <c r="DZ313" s="135"/>
      <c r="EA313" s="135"/>
      <c r="EB313" s="135"/>
      <c r="EC313" s="135"/>
      <c r="ED313" s="135"/>
      <c r="EE313" s="135"/>
      <c r="EF313" s="135"/>
      <c r="EG313" s="135"/>
      <c r="EH313" s="135"/>
      <c r="EI313" s="135"/>
      <c r="EJ313" s="135"/>
      <c r="EK313" s="135"/>
      <c r="EL313" s="135"/>
      <c r="EM313" s="135"/>
      <c r="EN313" s="135"/>
      <c r="EO313" s="135"/>
      <c r="EP313" s="135"/>
      <c r="EQ313" s="135"/>
      <c r="ER313" s="135"/>
      <c r="ES313" s="135"/>
      <c r="ET313" s="135"/>
      <c r="EU313" s="135"/>
      <c r="EV313" s="135"/>
      <c r="EW313" s="135"/>
      <c r="EX313" s="135"/>
      <c r="EY313" s="135"/>
      <c r="EZ313" s="135"/>
      <c r="FA313" s="135"/>
      <c r="FB313" s="135"/>
      <c r="FC313" s="135"/>
      <c r="FD313" s="135"/>
      <c r="FE313" s="135"/>
      <c r="FF313" s="135"/>
      <c r="FG313" s="135"/>
    </row>
    <row r="314" spans="1:163" s="57" customFormat="1" ht="11.25" outlineLevel="1">
      <c r="A314" s="765">
        <f t="shared" si="369"/>
        <v>13</v>
      </c>
      <c r="B314" s="715" cm="1">
        <f t="array" aca="1" ref="B314" ca="1">INDIRECT("'Definition of Typical Day'!"&amp;ADDRESS(B$16,$E314))</f>
        <v>13</v>
      </c>
      <c r="C314" s="766">
        <f t="shared" si="370"/>
        <v>6</v>
      </c>
      <c r="D314" s="715">
        <f t="shared" si="370"/>
        <v>40</v>
      </c>
      <c r="E314" s="715">
        <f t="shared" si="298"/>
        <v>17</v>
      </c>
      <c r="F314" s="767" cm="1">
        <f t="array" aca="1" ref="F314" ca="1">INDIRECT("'Definition of Typical Day'!D"&amp;D314)</f>
        <v>6</v>
      </c>
      <c r="G314" s="767" cm="1">
        <f t="array" aca="1" ref="G314" ca="1">INDIRECT("'Definition of Typical Day'!"&amp;ADDRESS(13,E314))</f>
        <v>13</v>
      </c>
      <c r="H314" s="768" cm="1">
        <f t="array" aca="1" ref="H314" ca="1">INDIRECT("'Definition of Typical Day'!"&amp; ADDRESS($D314+28*(H$16-1),$E314))</f>
        <v>0</v>
      </c>
      <c r="I314" s="715" cm="1">
        <f t="array" aca="1" ref="I314" ca="1">INDIRECT("'Definition of Typical Day'!"&amp; ADDRESS($D314+29*(I$16-1),$E314))</f>
        <v>0</v>
      </c>
      <c r="J314" s="715">
        <f t="shared" ca="1" si="324"/>
        <v>0</v>
      </c>
      <c r="K314" s="785">
        <f t="shared" si="325"/>
        <v>28</v>
      </c>
      <c r="L314" s="786" cm="1">
        <f t="array" aca="1" ref="L314" ca="1">INDIRECT("'Definition of Typical Day'!"&amp; ADDRESS($D314+29*(L$16-1),$E314))</f>
        <v>0</v>
      </c>
      <c r="M314" s="768" cm="1">
        <f t="array" aca="1" ref="M314" ca="1">INDIRECT("'Definition of Typical Day'!"&amp; ADDRESS($D314+29*(M$16-1),$E314))</f>
        <v>0</v>
      </c>
      <c r="N314" s="715">
        <f t="shared" si="326"/>
        <v>3</v>
      </c>
      <c r="O314" s="715">
        <f t="shared" ca="1" si="327"/>
        <v>3</v>
      </c>
      <c r="P314" s="715" cm="1">
        <f t="array" aca="1" ref="P314" ca="1">INDIRECT("'Definition of Typical Day'!"&amp; ADDRESS($D314+29*(P$16-1),$E314))</f>
        <v>0</v>
      </c>
      <c r="Q314" s="787">
        <f t="shared" ca="1" si="328"/>
        <v>3</v>
      </c>
      <c r="R314" s="792">
        <f t="shared" ca="1" si="329"/>
        <v>3</v>
      </c>
      <c r="S314" s="769">
        <f t="shared" si="330"/>
        <v>3</v>
      </c>
      <c r="T314" s="769">
        <f t="shared" ca="1" si="331"/>
        <v>-0.5</v>
      </c>
      <c r="U314" s="769">
        <f t="shared" ca="1" si="332"/>
        <v>2.262</v>
      </c>
      <c r="V314" s="769">
        <f t="shared" ca="1" si="333"/>
        <v>0</v>
      </c>
      <c r="W314" s="769">
        <f t="shared" ca="1" si="334"/>
        <v>4.7620000000000005</v>
      </c>
      <c r="X314" s="794">
        <f t="shared" si="335"/>
        <v>3</v>
      </c>
      <c r="Y314" s="769">
        <f t="shared" ca="1" si="336"/>
        <v>0.54772255750516607</v>
      </c>
      <c r="Z314" s="769">
        <f t="shared" ca="1" si="337"/>
        <v>0</v>
      </c>
      <c r="AA314" s="795">
        <f t="shared" ca="1" si="338"/>
        <v>0</v>
      </c>
      <c r="AB314" s="769">
        <f t="shared" ca="1" si="339"/>
        <v>0</v>
      </c>
      <c r="AC314" s="769">
        <f t="shared" ca="1" si="340"/>
        <v>0</v>
      </c>
      <c r="AD314" s="769">
        <f t="shared" ca="1" si="341"/>
        <v>0</v>
      </c>
      <c r="AE314" s="794">
        <f t="shared" ca="1" si="342"/>
        <v>0</v>
      </c>
      <c r="AF314" s="769">
        <f t="shared" ca="1" si="343"/>
        <v>0</v>
      </c>
      <c r="AG314" s="769">
        <f t="shared" ca="1" si="344"/>
        <v>0</v>
      </c>
      <c r="AH314" s="799">
        <f t="shared" ca="1" si="345"/>
        <v>0</v>
      </c>
      <c r="AI314" s="801">
        <f t="shared" ca="1" si="346"/>
        <v>1</v>
      </c>
      <c r="AJ314" s="794">
        <f t="shared" ca="1" si="347"/>
        <v>0</v>
      </c>
      <c r="AK314" s="769">
        <f t="shared" ca="1" si="348"/>
        <v>0</v>
      </c>
      <c r="AL314" s="769">
        <f t="shared" ca="1" si="349"/>
        <v>0</v>
      </c>
      <c r="AM314" s="804">
        <f t="shared" ca="1" si="299"/>
        <v>0</v>
      </c>
      <c r="AN314" s="795">
        <f t="shared" ca="1" si="300"/>
        <v>0</v>
      </c>
      <c r="AO314" s="251"/>
      <c r="AP314" s="770">
        <f t="shared" si="350"/>
        <v>0</v>
      </c>
      <c r="AQ314" s="771">
        <f t="shared" ca="1" si="351"/>
        <v>0</v>
      </c>
      <c r="AR314" s="771">
        <f t="shared" ca="1" si="352"/>
        <v>0</v>
      </c>
      <c r="AS314" s="772">
        <f t="shared" ca="1" si="353"/>
        <v>0</v>
      </c>
      <c r="AT314" s="231"/>
      <c r="AU314" s="770">
        <f>'Main Results - IRR DC Operator'!$F$16</f>
        <v>2</v>
      </c>
      <c r="AV314" s="773">
        <f>'Main Results - IRR DC Operator'!$F$15</f>
        <v>1</v>
      </c>
      <c r="AW314" s="771">
        <f t="shared" ca="1" si="354"/>
        <v>0</v>
      </c>
      <c r="AX314" s="772">
        <f t="shared" si="355"/>
        <v>0</v>
      </c>
      <c r="AY314" s="231"/>
      <c r="AZ314" s="770" cm="1">
        <f t="array" aca="1" ref="AZ314" ca="1">INDIRECT("'Definition of Typical Day'!"&amp; ADDRESS($D314+29*(AZ$16-1),$E314))+$AZ$17</f>
        <v>11</v>
      </c>
      <c r="BA314" s="771" cm="1">
        <f t="array" aca="1" ref="BA314" ca="1">INDIRECT("'Definition of Typical Day'!"&amp; ADDRESS($D314+29*(BA$16-1),$E314))+$BA$17</f>
        <v>11</v>
      </c>
      <c r="BB314" s="772" cm="1">
        <f t="array" aca="1" ref="BB314" ca="1">INDIRECT("'Definition of Typical Day'!"&amp;ADDRESS(BB$16,$E314))</f>
        <v>0</v>
      </c>
      <c r="BC314" s="776" cm="1">
        <f t="array" aca="1" ref="BC314" ca="1">INDIRECT("'Definition of Typical Day'!"&amp; ADDRESS($D314+29*(BC$16-1),$E314))</f>
        <v>0</v>
      </c>
      <c r="BD314" s="777" cm="1">
        <f t="array" aca="1" ref="BD314" ca="1">INDIRECT("'Definition of Typical Day'!"&amp; ADDRESS($D314+29*(BD$16-1),$E314))</f>
        <v>0</v>
      </c>
      <c r="BE314" s="776">
        <f t="shared" si="356"/>
        <v>0</v>
      </c>
      <c r="BF314" s="771">
        <f t="shared" ca="1" si="357"/>
        <v>0</v>
      </c>
      <c r="BG314" s="771">
        <f t="shared" ca="1" si="358"/>
        <v>0</v>
      </c>
      <c r="BH314" s="771">
        <f t="shared" ca="1" si="359"/>
        <v>0</v>
      </c>
      <c r="BI314" s="776">
        <f t="shared" ca="1" si="360"/>
        <v>0</v>
      </c>
      <c r="BJ314" s="776">
        <f t="shared" ca="1" si="361"/>
        <v>0</v>
      </c>
      <c r="BK314" s="776">
        <f t="shared" ca="1" si="362"/>
        <v>0</v>
      </c>
      <c r="BL314" s="776">
        <f t="shared" ca="1" si="363"/>
        <v>0</v>
      </c>
      <c r="BM314" s="135"/>
      <c r="BN314" s="776">
        <f t="shared" ca="1" si="364"/>
        <v>0</v>
      </c>
      <c r="BO314" s="778">
        <f t="shared" ca="1" si="301"/>
        <v>0</v>
      </c>
      <c r="BP314" s="770">
        <f t="shared" ca="1" si="302"/>
        <v>0</v>
      </c>
      <c r="BQ314" s="771">
        <f t="shared" ca="1" si="303"/>
        <v>0</v>
      </c>
      <c r="BR314" s="771">
        <f t="shared" ca="1" si="304"/>
        <v>0</v>
      </c>
      <c r="BS314" s="776">
        <f t="shared" ca="1" si="365"/>
        <v>0</v>
      </c>
      <c r="BT314" s="776">
        <f t="shared" ca="1" si="305"/>
        <v>0</v>
      </c>
      <c r="BU314" s="783">
        <f t="shared" ca="1" si="306"/>
        <v>0</v>
      </c>
      <c r="BV314" s="783">
        <f t="shared" ca="1" si="307"/>
        <v>0</v>
      </c>
      <c r="BW314" s="1019">
        <f t="shared" ca="1" si="366"/>
        <v>0</v>
      </c>
      <c r="BX314" s="771" cm="1">
        <f t="array" aca="1" ref="BX314" ca="1">INDIRECT("'Definition of Typical Day'!"&amp; ADDRESS($D314+29*(BX$16-1),$E314))</f>
        <v>0</v>
      </c>
      <c r="BY314" s="771">
        <f t="shared" ca="1" si="367"/>
        <v>0</v>
      </c>
      <c r="BZ314" s="781">
        <f t="shared" ca="1" si="308"/>
        <v>0</v>
      </c>
      <c r="CA314" s="781">
        <f t="shared" ca="1" si="309"/>
        <v>0</v>
      </c>
      <c r="CB314" s="776">
        <f t="shared" ca="1" si="310"/>
        <v>0</v>
      </c>
      <c r="CC314" s="782">
        <f t="shared" si="311"/>
        <v>13</v>
      </c>
      <c r="CD314" s="782">
        <f t="shared" si="312"/>
        <v>6</v>
      </c>
      <c r="CE314" s="784" cm="1">
        <f t="array" aca="1" ref="CE314" ca="1">INDIRECT("'Definition of Typical Day'!"&amp;ADDRESS(CE$16,$E314))</f>
        <v>13</v>
      </c>
      <c r="CF314" s="232"/>
      <c r="CG314" s="232"/>
      <c r="CH314" s="776">
        <f t="shared" ca="1" si="313"/>
        <v>0</v>
      </c>
      <c r="CI314" s="806">
        <f t="shared" ca="1" si="314"/>
        <v>0</v>
      </c>
      <c r="CJ314" s="770">
        <f t="shared" ca="1" si="315"/>
        <v>0</v>
      </c>
      <c r="CK314" s="771">
        <f t="shared" ca="1" si="316"/>
        <v>0</v>
      </c>
      <c r="CL314" s="771">
        <f t="shared" ca="1" si="317"/>
        <v>0</v>
      </c>
      <c r="CM314" s="772">
        <f t="shared" ca="1" si="318"/>
        <v>0</v>
      </c>
      <c r="CN314" s="135"/>
      <c r="CO314" s="770">
        <f t="shared" ca="1" si="368"/>
        <v>1.05</v>
      </c>
      <c r="CP314" s="771">
        <f t="shared" ca="1" si="319"/>
        <v>0.02</v>
      </c>
      <c r="CQ314" s="771">
        <f t="shared" ca="1" si="320"/>
        <v>-2.5000000000000001E-2</v>
      </c>
      <c r="CR314" s="771">
        <f t="shared" ca="1" si="321"/>
        <v>0.95</v>
      </c>
      <c r="CS314" s="771">
        <f t="shared" ca="1" si="322"/>
        <v>0.03</v>
      </c>
      <c r="CT314" s="772">
        <f t="shared" ca="1" si="323"/>
        <v>0.02</v>
      </c>
      <c r="CU314" s="135"/>
      <c r="CV314" s="135"/>
      <c r="CW314" s="135"/>
      <c r="CX314" s="135"/>
      <c r="CY314" s="135"/>
      <c r="CZ314" s="135"/>
      <c r="DA314" s="135"/>
      <c r="DB314" s="135"/>
      <c r="DC314" s="135"/>
      <c r="DD314" s="135"/>
      <c r="DE314" s="135"/>
      <c r="DF314" s="135"/>
      <c r="DG314" s="135"/>
      <c r="DH314" s="135"/>
      <c r="DI314" s="135"/>
      <c r="DJ314" s="135"/>
      <c r="DK314" s="135"/>
      <c r="DL314" s="135"/>
      <c r="DX314" s="135"/>
      <c r="DY314" s="135"/>
      <c r="DZ314" s="135"/>
      <c r="EA314" s="135"/>
      <c r="EB314" s="135"/>
      <c r="EC314" s="135"/>
      <c r="ED314" s="135"/>
      <c r="EE314" s="135"/>
      <c r="EF314" s="135"/>
      <c r="EG314" s="135"/>
      <c r="EH314" s="135"/>
      <c r="EI314" s="135"/>
      <c r="EJ314" s="135"/>
      <c r="EK314" s="135"/>
      <c r="EL314" s="135"/>
      <c r="EM314" s="135"/>
      <c r="EN314" s="135"/>
      <c r="EO314" s="135"/>
      <c r="EP314" s="135"/>
      <c r="EQ314" s="135"/>
      <c r="ER314" s="135"/>
      <c r="ES314" s="135"/>
      <c r="ET314" s="135"/>
      <c r="EU314" s="135"/>
      <c r="EV314" s="135"/>
      <c r="EW314" s="135"/>
      <c r="EX314" s="135"/>
      <c r="EY314" s="135"/>
      <c r="EZ314" s="135"/>
      <c r="FA314" s="135"/>
      <c r="FB314" s="135"/>
      <c r="FC314" s="135"/>
      <c r="FD314" s="135"/>
      <c r="FE314" s="135"/>
      <c r="FF314" s="135"/>
      <c r="FG314" s="135"/>
    </row>
    <row r="315" spans="1:163" s="57" customFormat="1" ht="11.25" outlineLevel="1">
      <c r="A315" s="765">
        <f t="shared" si="369"/>
        <v>13</v>
      </c>
      <c r="B315" s="715" cm="1">
        <f t="array" aca="1" ref="B315" ca="1">INDIRECT("'Definition of Typical Day'!"&amp;ADDRESS(B$16,$E315))</f>
        <v>13</v>
      </c>
      <c r="C315" s="766">
        <f t="shared" si="370"/>
        <v>7</v>
      </c>
      <c r="D315" s="715">
        <f t="shared" si="370"/>
        <v>41</v>
      </c>
      <c r="E315" s="715">
        <f t="shared" si="298"/>
        <v>17</v>
      </c>
      <c r="F315" s="767" cm="1">
        <f t="array" aca="1" ref="F315" ca="1">INDIRECT("'Definition of Typical Day'!D"&amp;D315)</f>
        <v>7</v>
      </c>
      <c r="G315" s="767" cm="1">
        <f t="array" aca="1" ref="G315" ca="1">INDIRECT("'Definition of Typical Day'!"&amp;ADDRESS(13,E315))</f>
        <v>13</v>
      </c>
      <c r="H315" s="768" cm="1">
        <f t="array" aca="1" ref="H315" ca="1">INDIRECT("'Definition of Typical Day'!"&amp; ADDRESS($D315+28*(H$16-1),$E315))</f>
        <v>0</v>
      </c>
      <c r="I315" s="715" cm="1">
        <f t="array" aca="1" ref="I315" ca="1">INDIRECT("'Definition of Typical Day'!"&amp; ADDRESS($D315+29*(I$16-1),$E315))</f>
        <v>0</v>
      </c>
      <c r="J315" s="715">
        <f t="shared" ca="1" si="324"/>
        <v>0</v>
      </c>
      <c r="K315" s="785">
        <f t="shared" si="325"/>
        <v>28</v>
      </c>
      <c r="L315" s="786" cm="1">
        <f t="array" aca="1" ref="L315" ca="1">INDIRECT("'Definition of Typical Day'!"&amp; ADDRESS($D315+29*(L$16-1),$E315))</f>
        <v>0</v>
      </c>
      <c r="M315" s="768" cm="1">
        <f t="array" aca="1" ref="M315" ca="1">INDIRECT("'Definition of Typical Day'!"&amp; ADDRESS($D315+29*(M$16-1),$E315))</f>
        <v>0</v>
      </c>
      <c r="N315" s="715">
        <f t="shared" si="326"/>
        <v>3</v>
      </c>
      <c r="O315" s="715">
        <f t="shared" ca="1" si="327"/>
        <v>3</v>
      </c>
      <c r="P315" s="715" cm="1">
        <f t="array" aca="1" ref="P315" ca="1">INDIRECT("'Definition of Typical Day'!"&amp; ADDRESS($D315+29*(P$16-1),$E315))</f>
        <v>0</v>
      </c>
      <c r="Q315" s="787">
        <f t="shared" ca="1" si="328"/>
        <v>3</v>
      </c>
      <c r="R315" s="792">
        <f t="shared" ca="1" si="329"/>
        <v>3</v>
      </c>
      <c r="S315" s="769">
        <f t="shared" si="330"/>
        <v>3</v>
      </c>
      <c r="T315" s="769">
        <f t="shared" ca="1" si="331"/>
        <v>-0.5</v>
      </c>
      <c r="U315" s="769">
        <f t="shared" ca="1" si="332"/>
        <v>2.262</v>
      </c>
      <c r="V315" s="769">
        <f t="shared" ca="1" si="333"/>
        <v>0</v>
      </c>
      <c r="W315" s="769">
        <f t="shared" ca="1" si="334"/>
        <v>4.7620000000000005</v>
      </c>
      <c r="X315" s="794">
        <f t="shared" si="335"/>
        <v>3</v>
      </c>
      <c r="Y315" s="769">
        <f t="shared" ca="1" si="336"/>
        <v>0.54772255750516607</v>
      </c>
      <c r="Z315" s="769">
        <f t="shared" ca="1" si="337"/>
        <v>0</v>
      </c>
      <c r="AA315" s="795">
        <f t="shared" ca="1" si="338"/>
        <v>0</v>
      </c>
      <c r="AB315" s="769">
        <f t="shared" ca="1" si="339"/>
        <v>0</v>
      </c>
      <c r="AC315" s="769">
        <f t="shared" ca="1" si="340"/>
        <v>0</v>
      </c>
      <c r="AD315" s="769">
        <f t="shared" ca="1" si="341"/>
        <v>0</v>
      </c>
      <c r="AE315" s="794">
        <f t="shared" ca="1" si="342"/>
        <v>0</v>
      </c>
      <c r="AF315" s="769">
        <f t="shared" ca="1" si="343"/>
        <v>0</v>
      </c>
      <c r="AG315" s="769">
        <f t="shared" ca="1" si="344"/>
        <v>0</v>
      </c>
      <c r="AH315" s="799">
        <f t="shared" ca="1" si="345"/>
        <v>0</v>
      </c>
      <c r="AI315" s="801">
        <f t="shared" ca="1" si="346"/>
        <v>1</v>
      </c>
      <c r="AJ315" s="794">
        <f t="shared" ca="1" si="347"/>
        <v>0</v>
      </c>
      <c r="AK315" s="769">
        <f t="shared" ca="1" si="348"/>
        <v>0</v>
      </c>
      <c r="AL315" s="769">
        <f t="shared" ca="1" si="349"/>
        <v>0</v>
      </c>
      <c r="AM315" s="804">
        <f t="shared" ca="1" si="299"/>
        <v>0</v>
      </c>
      <c r="AN315" s="795">
        <f t="shared" ca="1" si="300"/>
        <v>0</v>
      </c>
      <c r="AO315" s="251"/>
      <c r="AP315" s="770">
        <f t="shared" si="350"/>
        <v>0</v>
      </c>
      <c r="AQ315" s="771">
        <f t="shared" ca="1" si="351"/>
        <v>0</v>
      </c>
      <c r="AR315" s="771">
        <f t="shared" ca="1" si="352"/>
        <v>0</v>
      </c>
      <c r="AS315" s="772">
        <f t="shared" ca="1" si="353"/>
        <v>0</v>
      </c>
      <c r="AT315" s="231"/>
      <c r="AU315" s="770">
        <f>'Main Results - IRR DC Operator'!$F$16</f>
        <v>2</v>
      </c>
      <c r="AV315" s="773">
        <f>'Main Results - IRR DC Operator'!$F$15</f>
        <v>1</v>
      </c>
      <c r="AW315" s="771">
        <f t="shared" ca="1" si="354"/>
        <v>0</v>
      </c>
      <c r="AX315" s="772">
        <f t="shared" si="355"/>
        <v>0</v>
      </c>
      <c r="AY315" s="231"/>
      <c r="AZ315" s="770" cm="1">
        <f t="array" aca="1" ref="AZ315" ca="1">INDIRECT("'Definition of Typical Day'!"&amp; ADDRESS($D315+29*(AZ$16-1),$E315))+$AZ$17</f>
        <v>11</v>
      </c>
      <c r="BA315" s="771" cm="1">
        <f t="array" aca="1" ref="BA315" ca="1">INDIRECT("'Definition of Typical Day'!"&amp; ADDRESS($D315+29*(BA$16-1),$E315))+$BA$17</f>
        <v>11</v>
      </c>
      <c r="BB315" s="772" cm="1">
        <f t="array" aca="1" ref="BB315" ca="1">INDIRECT("'Definition of Typical Day'!"&amp;ADDRESS(BB$16,$E315))</f>
        <v>0</v>
      </c>
      <c r="BC315" s="776" cm="1">
        <f t="array" aca="1" ref="BC315" ca="1">INDIRECT("'Definition of Typical Day'!"&amp; ADDRESS($D315+29*(BC$16-1),$E315))</f>
        <v>0</v>
      </c>
      <c r="BD315" s="777" cm="1">
        <f t="array" aca="1" ref="BD315" ca="1">INDIRECT("'Definition of Typical Day'!"&amp; ADDRESS($D315+29*(BD$16-1),$E315))</f>
        <v>0</v>
      </c>
      <c r="BE315" s="776">
        <f t="shared" si="356"/>
        <v>0</v>
      </c>
      <c r="BF315" s="771">
        <f t="shared" ca="1" si="357"/>
        <v>0</v>
      </c>
      <c r="BG315" s="771">
        <f t="shared" ca="1" si="358"/>
        <v>0</v>
      </c>
      <c r="BH315" s="771">
        <f t="shared" ca="1" si="359"/>
        <v>0</v>
      </c>
      <c r="BI315" s="776">
        <f t="shared" ca="1" si="360"/>
        <v>0</v>
      </c>
      <c r="BJ315" s="776">
        <f t="shared" ca="1" si="361"/>
        <v>0</v>
      </c>
      <c r="BK315" s="776">
        <f t="shared" ca="1" si="362"/>
        <v>0</v>
      </c>
      <c r="BL315" s="776">
        <f t="shared" ca="1" si="363"/>
        <v>0</v>
      </c>
      <c r="BM315" s="135"/>
      <c r="BN315" s="776">
        <f t="shared" ca="1" si="364"/>
        <v>0</v>
      </c>
      <c r="BO315" s="778">
        <f t="shared" ca="1" si="301"/>
        <v>0</v>
      </c>
      <c r="BP315" s="770">
        <f t="shared" ca="1" si="302"/>
        <v>0</v>
      </c>
      <c r="BQ315" s="771">
        <f t="shared" ca="1" si="303"/>
        <v>0</v>
      </c>
      <c r="BR315" s="771">
        <f t="shared" ca="1" si="304"/>
        <v>0</v>
      </c>
      <c r="BS315" s="776">
        <f t="shared" ca="1" si="365"/>
        <v>0</v>
      </c>
      <c r="BT315" s="776">
        <f t="shared" ca="1" si="305"/>
        <v>0</v>
      </c>
      <c r="BU315" s="783">
        <f t="shared" ca="1" si="306"/>
        <v>0</v>
      </c>
      <c r="BV315" s="783">
        <f t="shared" ca="1" si="307"/>
        <v>0</v>
      </c>
      <c r="BW315" s="1019">
        <f t="shared" ca="1" si="366"/>
        <v>0</v>
      </c>
      <c r="BX315" s="771" cm="1">
        <f t="array" aca="1" ref="BX315" ca="1">INDIRECT("'Definition of Typical Day'!"&amp; ADDRESS($D315+29*(BX$16-1),$E315))</f>
        <v>0</v>
      </c>
      <c r="BY315" s="771">
        <f t="shared" ca="1" si="367"/>
        <v>0</v>
      </c>
      <c r="BZ315" s="781">
        <f t="shared" ca="1" si="308"/>
        <v>0</v>
      </c>
      <c r="CA315" s="781">
        <f t="shared" ca="1" si="309"/>
        <v>0</v>
      </c>
      <c r="CB315" s="776">
        <f t="shared" ca="1" si="310"/>
        <v>0</v>
      </c>
      <c r="CC315" s="782">
        <f t="shared" si="311"/>
        <v>13</v>
      </c>
      <c r="CD315" s="782">
        <f t="shared" si="312"/>
        <v>7</v>
      </c>
      <c r="CE315" s="784" cm="1">
        <f t="array" aca="1" ref="CE315" ca="1">INDIRECT("'Definition of Typical Day'!"&amp;ADDRESS(CE$16,$E315))</f>
        <v>13</v>
      </c>
      <c r="CF315" s="232"/>
      <c r="CG315" s="232"/>
      <c r="CH315" s="776">
        <f t="shared" ca="1" si="313"/>
        <v>0</v>
      </c>
      <c r="CI315" s="806">
        <f t="shared" ca="1" si="314"/>
        <v>0</v>
      </c>
      <c r="CJ315" s="770">
        <f t="shared" ca="1" si="315"/>
        <v>0</v>
      </c>
      <c r="CK315" s="771">
        <f t="shared" ca="1" si="316"/>
        <v>0</v>
      </c>
      <c r="CL315" s="771">
        <f t="shared" ca="1" si="317"/>
        <v>0</v>
      </c>
      <c r="CM315" s="772">
        <f t="shared" ca="1" si="318"/>
        <v>0</v>
      </c>
      <c r="CN315" s="135"/>
      <c r="CO315" s="770">
        <f t="shared" ca="1" si="368"/>
        <v>1.05</v>
      </c>
      <c r="CP315" s="771">
        <f t="shared" ca="1" si="319"/>
        <v>0.02</v>
      </c>
      <c r="CQ315" s="771">
        <f t="shared" ca="1" si="320"/>
        <v>-2.5000000000000001E-2</v>
      </c>
      <c r="CR315" s="771">
        <f t="shared" ca="1" si="321"/>
        <v>0.95</v>
      </c>
      <c r="CS315" s="771">
        <f t="shared" ca="1" si="322"/>
        <v>0.03</v>
      </c>
      <c r="CT315" s="772">
        <f t="shared" ca="1" si="323"/>
        <v>0.02</v>
      </c>
      <c r="CU315" s="135"/>
      <c r="CV315" s="135"/>
      <c r="CW315" s="135"/>
      <c r="CX315" s="135"/>
      <c r="CY315" s="135"/>
      <c r="CZ315" s="135"/>
      <c r="DA315" s="135"/>
      <c r="DB315" s="135"/>
      <c r="DC315" s="135"/>
      <c r="DD315" s="135"/>
      <c r="DE315" s="135"/>
      <c r="DF315" s="135"/>
      <c r="DG315" s="135"/>
      <c r="DH315" s="135"/>
      <c r="DI315" s="135"/>
      <c r="DJ315" s="135"/>
      <c r="DK315" s="135"/>
      <c r="DL315" s="135"/>
      <c r="DX315" s="135"/>
      <c r="DY315" s="135"/>
      <c r="DZ315" s="135"/>
      <c r="EA315" s="135"/>
      <c r="EB315" s="135"/>
      <c r="EC315" s="135"/>
      <c r="ED315" s="135"/>
      <c r="EE315" s="135"/>
      <c r="EF315" s="135"/>
      <c r="EG315" s="135"/>
      <c r="EH315" s="135"/>
      <c r="EI315" s="135"/>
      <c r="EJ315" s="135"/>
      <c r="EK315" s="135"/>
      <c r="EL315" s="135"/>
      <c r="EM315" s="135"/>
      <c r="EN315" s="135"/>
      <c r="EO315" s="135"/>
      <c r="EP315" s="135"/>
      <c r="EQ315" s="135"/>
      <c r="ER315" s="135"/>
      <c r="ES315" s="135"/>
      <c r="ET315" s="135"/>
      <c r="EU315" s="135"/>
      <c r="EV315" s="135"/>
      <c r="EW315" s="135"/>
      <c r="EX315" s="135"/>
      <c r="EY315" s="135"/>
      <c r="EZ315" s="135"/>
      <c r="FA315" s="135"/>
      <c r="FB315" s="135"/>
      <c r="FC315" s="135"/>
      <c r="FD315" s="135"/>
      <c r="FE315" s="135"/>
      <c r="FF315" s="135"/>
      <c r="FG315" s="135"/>
    </row>
    <row r="316" spans="1:163" s="57" customFormat="1" ht="11.25" outlineLevel="1">
      <c r="A316" s="765">
        <f t="shared" si="369"/>
        <v>13</v>
      </c>
      <c r="B316" s="715" cm="1">
        <f t="array" aca="1" ref="B316" ca="1">INDIRECT("'Definition of Typical Day'!"&amp;ADDRESS(B$16,$E316))</f>
        <v>13</v>
      </c>
      <c r="C316" s="766">
        <f t="shared" si="370"/>
        <v>8</v>
      </c>
      <c r="D316" s="715">
        <f t="shared" si="370"/>
        <v>42</v>
      </c>
      <c r="E316" s="715">
        <f t="shared" si="298"/>
        <v>17</v>
      </c>
      <c r="F316" s="767" cm="1">
        <f t="array" aca="1" ref="F316" ca="1">INDIRECT("'Definition of Typical Day'!D"&amp;D316)</f>
        <v>8</v>
      </c>
      <c r="G316" s="767" cm="1">
        <f t="array" aca="1" ref="G316" ca="1">INDIRECT("'Definition of Typical Day'!"&amp;ADDRESS(13,E316))</f>
        <v>13</v>
      </c>
      <c r="H316" s="768" cm="1">
        <f t="array" aca="1" ref="H316" ca="1">INDIRECT("'Definition of Typical Day'!"&amp; ADDRESS($D316+28*(H$16-1),$E316))</f>
        <v>0</v>
      </c>
      <c r="I316" s="715" cm="1">
        <f t="array" aca="1" ref="I316" ca="1">INDIRECT("'Definition of Typical Day'!"&amp; ADDRESS($D316+29*(I$16-1),$E316))</f>
        <v>0</v>
      </c>
      <c r="J316" s="715">
        <f t="shared" ca="1" si="324"/>
        <v>0</v>
      </c>
      <c r="K316" s="785">
        <f t="shared" si="325"/>
        <v>28</v>
      </c>
      <c r="L316" s="786" cm="1">
        <f t="array" aca="1" ref="L316" ca="1">INDIRECT("'Definition of Typical Day'!"&amp; ADDRESS($D316+29*(L$16-1),$E316))</f>
        <v>0</v>
      </c>
      <c r="M316" s="768" cm="1">
        <f t="array" aca="1" ref="M316" ca="1">INDIRECT("'Definition of Typical Day'!"&amp; ADDRESS($D316+29*(M$16-1),$E316))</f>
        <v>0</v>
      </c>
      <c r="N316" s="715">
        <f t="shared" si="326"/>
        <v>3</v>
      </c>
      <c r="O316" s="715">
        <f t="shared" ca="1" si="327"/>
        <v>3</v>
      </c>
      <c r="P316" s="715" cm="1">
        <f t="array" aca="1" ref="P316" ca="1">INDIRECT("'Definition of Typical Day'!"&amp; ADDRESS($D316+29*(P$16-1),$E316))</f>
        <v>0</v>
      </c>
      <c r="Q316" s="787">
        <f t="shared" ca="1" si="328"/>
        <v>3</v>
      </c>
      <c r="R316" s="792">
        <f t="shared" ca="1" si="329"/>
        <v>3</v>
      </c>
      <c r="S316" s="769">
        <f t="shared" si="330"/>
        <v>3</v>
      </c>
      <c r="T316" s="769">
        <f t="shared" ca="1" si="331"/>
        <v>-0.5</v>
      </c>
      <c r="U316" s="769">
        <f t="shared" ca="1" si="332"/>
        <v>2.262</v>
      </c>
      <c r="V316" s="769">
        <f t="shared" ca="1" si="333"/>
        <v>0</v>
      </c>
      <c r="W316" s="769">
        <f t="shared" ca="1" si="334"/>
        <v>4.7620000000000005</v>
      </c>
      <c r="X316" s="794">
        <f t="shared" si="335"/>
        <v>3</v>
      </c>
      <c r="Y316" s="769">
        <f t="shared" ca="1" si="336"/>
        <v>0.54772255750516607</v>
      </c>
      <c r="Z316" s="769">
        <f t="shared" ca="1" si="337"/>
        <v>0</v>
      </c>
      <c r="AA316" s="795">
        <f t="shared" ca="1" si="338"/>
        <v>0</v>
      </c>
      <c r="AB316" s="769">
        <f t="shared" ca="1" si="339"/>
        <v>0</v>
      </c>
      <c r="AC316" s="769">
        <f t="shared" ca="1" si="340"/>
        <v>0</v>
      </c>
      <c r="AD316" s="769">
        <f t="shared" ca="1" si="341"/>
        <v>0</v>
      </c>
      <c r="AE316" s="794">
        <f t="shared" ca="1" si="342"/>
        <v>0</v>
      </c>
      <c r="AF316" s="769">
        <f t="shared" ca="1" si="343"/>
        <v>0</v>
      </c>
      <c r="AG316" s="769">
        <f t="shared" ca="1" si="344"/>
        <v>0</v>
      </c>
      <c r="AH316" s="799">
        <f t="shared" ca="1" si="345"/>
        <v>0</v>
      </c>
      <c r="AI316" s="801">
        <f t="shared" ca="1" si="346"/>
        <v>1</v>
      </c>
      <c r="AJ316" s="794">
        <f t="shared" ca="1" si="347"/>
        <v>0</v>
      </c>
      <c r="AK316" s="769">
        <f t="shared" ca="1" si="348"/>
        <v>0</v>
      </c>
      <c r="AL316" s="769">
        <f t="shared" ca="1" si="349"/>
        <v>0</v>
      </c>
      <c r="AM316" s="804">
        <f t="shared" ca="1" si="299"/>
        <v>0</v>
      </c>
      <c r="AN316" s="795">
        <f t="shared" ca="1" si="300"/>
        <v>0</v>
      </c>
      <c r="AO316" s="251"/>
      <c r="AP316" s="770">
        <f t="shared" si="350"/>
        <v>0</v>
      </c>
      <c r="AQ316" s="771">
        <f t="shared" ca="1" si="351"/>
        <v>0</v>
      </c>
      <c r="AR316" s="771">
        <f t="shared" ca="1" si="352"/>
        <v>0</v>
      </c>
      <c r="AS316" s="772">
        <f t="shared" ca="1" si="353"/>
        <v>0</v>
      </c>
      <c r="AT316" s="231"/>
      <c r="AU316" s="770">
        <f>'Main Results - IRR DC Operator'!$F$16</f>
        <v>2</v>
      </c>
      <c r="AV316" s="773">
        <f>'Main Results - IRR DC Operator'!$F$15</f>
        <v>1</v>
      </c>
      <c r="AW316" s="771">
        <f t="shared" ca="1" si="354"/>
        <v>0</v>
      </c>
      <c r="AX316" s="772">
        <f t="shared" si="355"/>
        <v>0</v>
      </c>
      <c r="AY316" s="231"/>
      <c r="AZ316" s="770" cm="1">
        <f t="array" aca="1" ref="AZ316" ca="1">INDIRECT("'Definition of Typical Day'!"&amp; ADDRESS($D316+29*(AZ$16-1),$E316))+$AZ$17</f>
        <v>11</v>
      </c>
      <c r="BA316" s="771" cm="1">
        <f t="array" aca="1" ref="BA316" ca="1">INDIRECT("'Definition of Typical Day'!"&amp; ADDRESS($D316+29*(BA$16-1),$E316))+$BA$17</f>
        <v>11</v>
      </c>
      <c r="BB316" s="772" cm="1">
        <f t="array" aca="1" ref="BB316" ca="1">INDIRECT("'Definition of Typical Day'!"&amp;ADDRESS(BB$16,$E316))</f>
        <v>0</v>
      </c>
      <c r="BC316" s="776" cm="1">
        <f t="array" aca="1" ref="BC316" ca="1">INDIRECT("'Definition of Typical Day'!"&amp; ADDRESS($D316+29*(BC$16-1),$E316))</f>
        <v>0</v>
      </c>
      <c r="BD316" s="777" cm="1">
        <f t="array" aca="1" ref="BD316" ca="1">INDIRECT("'Definition of Typical Day'!"&amp; ADDRESS($D316+29*(BD$16-1),$E316))</f>
        <v>0</v>
      </c>
      <c r="BE316" s="776">
        <f t="shared" si="356"/>
        <v>0</v>
      </c>
      <c r="BF316" s="771">
        <f t="shared" ca="1" si="357"/>
        <v>0</v>
      </c>
      <c r="BG316" s="771">
        <f t="shared" ca="1" si="358"/>
        <v>0</v>
      </c>
      <c r="BH316" s="771">
        <f t="shared" ca="1" si="359"/>
        <v>0</v>
      </c>
      <c r="BI316" s="776">
        <f t="shared" ca="1" si="360"/>
        <v>0</v>
      </c>
      <c r="BJ316" s="776">
        <f t="shared" ca="1" si="361"/>
        <v>0</v>
      </c>
      <c r="BK316" s="776">
        <f t="shared" ca="1" si="362"/>
        <v>0</v>
      </c>
      <c r="BL316" s="776">
        <f t="shared" ca="1" si="363"/>
        <v>0</v>
      </c>
      <c r="BM316" s="135"/>
      <c r="BN316" s="776">
        <f t="shared" ca="1" si="364"/>
        <v>0</v>
      </c>
      <c r="BO316" s="778">
        <f t="shared" ca="1" si="301"/>
        <v>0</v>
      </c>
      <c r="BP316" s="770">
        <f t="shared" ca="1" si="302"/>
        <v>0</v>
      </c>
      <c r="BQ316" s="771">
        <f t="shared" ca="1" si="303"/>
        <v>0</v>
      </c>
      <c r="BR316" s="771">
        <f t="shared" ca="1" si="304"/>
        <v>0</v>
      </c>
      <c r="BS316" s="776">
        <f t="shared" ca="1" si="365"/>
        <v>0</v>
      </c>
      <c r="BT316" s="776">
        <f t="shared" ca="1" si="305"/>
        <v>0</v>
      </c>
      <c r="BU316" s="783">
        <f t="shared" ca="1" si="306"/>
        <v>0</v>
      </c>
      <c r="BV316" s="783">
        <f t="shared" ca="1" si="307"/>
        <v>0</v>
      </c>
      <c r="BW316" s="1019">
        <f t="shared" ca="1" si="366"/>
        <v>0</v>
      </c>
      <c r="BX316" s="771" cm="1">
        <f t="array" aca="1" ref="BX316" ca="1">INDIRECT("'Definition of Typical Day'!"&amp; ADDRESS($D316+29*(BX$16-1),$E316))</f>
        <v>0</v>
      </c>
      <c r="BY316" s="771">
        <f t="shared" ca="1" si="367"/>
        <v>0</v>
      </c>
      <c r="BZ316" s="781">
        <f t="shared" ca="1" si="308"/>
        <v>0</v>
      </c>
      <c r="CA316" s="781">
        <f t="shared" ca="1" si="309"/>
        <v>0</v>
      </c>
      <c r="CB316" s="776">
        <f t="shared" ca="1" si="310"/>
        <v>0</v>
      </c>
      <c r="CC316" s="782">
        <f t="shared" si="311"/>
        <v>13</v>
      </c>
      <c r="CD316" s="782">
        <f t="shared" si="312"/>
        <v>8</v>
      </c>
      <c r="CE316" s="784" cm="1">
        <f t="array" aca="1" ref="CE316" ca="1">INDIRECT("'Definition of Typical Day'!"&amp;ADDRESS(CE$16,$E316))</f>
        <v>13</v>
      </c>
      <c r="CF316" s="232"/>
      <c r="CG316" s="232"/>
      <c r="CH316" s="776">
        <f t="shared" ca="1" si="313"/>
        <v>0</v>
      </c>
      <c r="CI316" s="806">
        <f t="shared" ca="1" si="314"/>
        <v>0</v>
      </c>
      <c r="CJ316" s="770">
        <f t="shared" ca="1" si="315"/>
        <v>0</v>
      </c>
      <c r="CK316" s="771">
        <f t="shared" ca="1" si="316"/>
        <v>0</v>
      </c>
      <c r="CL316" s="771">
        <f t="shared" ca="1" si="317"/>
        <v>0</v>
      </c>
      <c r="CM316" s="772">
        <f t="shared" ca="1" si="318"/>
        <v>0</v>
      </c>
      <c r="CN316" s="135"/>
      <c r="CO316" s="770">
        <f t="shared" ca="1" si="368"/>
        <v>1.05</v>
      </c>
      <c r="CP316" s="771">
        <f t="shared" ca="1" si="319"/>
        <v>0.02</v>
      </c>
      <c r="CQ316" s="771">
        <f t="shared" ca="1" si="320"/>
        <v>-2.5000000000000001E-2</v>
      </c>
      <c r="CR316" s="771">
        <f t="shared" ca="1" si="321"/>
        <v>0.95</v>
      </c>
      <c r="CS316" s="771">
        <f t="shared" ca="1" si="322"/>
        <v>0.03</v>
      </c>
      <c r="CT316" s="772">
        <f t="shared" ca="1" si="323"/>
        <v>0.02</v>
      </c>
      <c r="CU316" s="135"/>
      <c r="CV316" s="135"/>
      <c r="CW316" s="135"/>
      <c r="CX316" s="135"/>
      <c r="CY316" s="135"/>
      <c r="CZ316" s="135"/>
      <c r="DA316" s="135"/>
      <c r="DB316" s="135"/>
      <c r="DC316" s="135"/>
      <c r="DD316" s="135"/>
      <c r="DE316" s="135"/>
      <c r="DF316" s="135"/>
      <c r="DG316" s="135"/>
      <c r="DH316" s="135"/>
      <c r="DI316" s="135"/>
      <c r="DJ316" s="135"/>
      <c r="DK316" s="135"/>
      <c r="DL316" s="135"/>
      <c r="DX316" s="135"/>
      <c r="DY316" s="135"/>
      <c r="DZ316" s="135"/>
      <c r="EA316" s="135"/>
      <c r="EB316" s="135"/>
      <c r="EC316" s="135"/>
      <c r="ED316" s="135"/>
      <c r="EE316" s="135"/>
      <c r="EF316" s="135"/>
      <c r="EG316" s="135"/>
      <c r="EH316" s="135"/>
      <c r="EI316" s="135"/>
      <c r="EJ316" s="135"/>
      <c r="EK316" s="135"/>
      <c r="EL316" s="135"/>
      <c r="EM316" s="135"/>
      <c r="EN316" s="135"/>
      <c r="EO316" s="135"/>
      <c r="EP316" s="135"/>
      <c r="EQ316" s="135"/>
      <c r="ER316" s="135"/>
      <c r="ES316" s="135"/>
      <c r="ET316" s="135"/>
      <c r="EU316" s="135"/>
      <c r="EV316" s="135"/>
      <c r="EW316" s="135"/>
      <c r="EX316" s="135"/>
      <c r="EY316" s="135"/>
      <c r="EZ316" s="135"/>
      <c r="FA316" s="135"/>
      <c r="FB316" s="135"/>
      <c r="FC316" s="135"/>
      <c r="FD316" s="135"/>
      <c r="FE316" s="135"/>
      <c r="FF316" s="135"/>
      <c r="FG316" s="135"/>
    </row>
    <row r="317" spans="1:163" s="57" customFormat="1" ht="11.25" outlineLevel="1">
      <c r="A317" s="765">
        <f t="shared" si="369"/>
        <v>13</v>
      </c>
      <c r="B317" s="715" cm="1">
        <f t="array" aca="1" ref="B317" ca="1">INDIRECT("'Definition of Typical Day'!"&amp;ADDRESS(B$16,$E317))</f>
        <v>13</v>
      </c>
      <c r="C317" s="766">
        <f t="shared" si="370"/>
        <v>9</v>
      </c>
      <c r="D317" s="715">
        <f t="shared" si="370"/>
        <v>43</v>
      </c>
      <c r="E317" s="715">
        <f t="shared" si="298"/>
        <v>17</v>
      </c>
      <c r="F317" s="767" cm="1">
        <f t="array" aca="1" ref="F317" ca="1">INDIRECT("'Definition of Typical Day'!D"&amp;D317)</f>
        <v>9</v>
      </c>
      <c r="G317" s="767" cm="1">
        <f t="array" aca="1" ref="G317" ca="1">INDIRECT("'Definition of Typical Day'!"&amp;ADDRESS(13,E317))</f>
        <v>13</v>
      </c>
      <c r="H317" s="768" cm="1">
        <f t="array" aca="1" ref="H317" ca="1">INDIRECT("'Definition of Typical Day'!"&amp; ADDRESS($D317+28*(H$16-1),$E317))</f>
        <v>0</v>
      </c>
      <c r="I317" s="715" cm="1">
        <f t="array" aca="1" ref="I317" ca="1">INDIRECT("'Definition of Typical Day'!"&amp; ADDRESS($D317+29*(I$16-1),$E317))</f>
        <v>0</v>
      </c>
      <c r="J317" s="715">
        <f t="shared" ca="1" si="324"/>
        <v>0</v>
      </c>
      <c r="K317" s="785">
        <f t="shared" si="325"/>
        <v>28</v>
      </c>
      <c r="L317" s="786" cm="1">
        <f t="array" aca="1" ref="L317" ca="1">INDIRECT("'Definition of Typical Day'!"&amp; ADDRESS($D317+29*(L$16-1),$E317))</f>
        <v>0</v>
      </c>
      <c r="M317" s="768" cm="1">
        <f t="array" aca="1" ref="M317" ca="1">INDIRECT("'Definition of Typical Day'!"&amp; ADDRESS($D317+29*(M$16-1),$E317))</f>
        <v>0</v>
      </c>
      <c r="N317" s="715">
        <f t="shared" si="326"/>
        <v>3</v>
      </c>
      <c r="O317" s="715">
        <f t="shared" ca="1" si="327"/>
        <v>3</v>
      </c>
      <c r="P317" s="715" cm="1">
        <f t="array" aca="1" ref="P317" ca="1">INDIRECT("'Definition of Typical Day'!"&amp; ADDRESS($D317+29*(P$16-1),$E317))</f>
        <v>0</v>
      </c>
      <c r="Q317" s="787">
        <f t="shared" ca="1" si="328"/>
        <v>3</v>
      </c>
      <c r="R317" s="792">
        <f t="shared" ca="1" si="329"/>
        <v>3</v>
      </c>
      <c r="S317" s="769">
        <f t="shared" si="330"/>
        <v>3</v>
      </c>
      <c r="T317" s="769">
        <f t="shared" ca="1" si="331"/>
        <v>-0.5</v>
      </c>
      <c r="U317" s="769">
        <f t="shared" ca="1" si="332"/>
        <v>2.262</v>
      </c>
      <c r="V317" s="769">
        <f t="shared" ca="1" si="333"/>
        <v>0</v>
      </c>
      <c r="W317" s="769">
        <f t="shared" ca="1" si="334"/>
        <v>4.7620000000000005</v>
      </c>
      <c r="X317" s="794">
        <f t="shared" si="335"/>
        <v>3</v>
      </c>
      <c r="Y317" s="769">
        <f t="shared" ca="1" si="336"/>
        <v>0.54772255750516607</v>
      </c>
      <c r="Z317" s="769">
        <f t="shared" ca="1" si="337"/>
        <v>0</v>
      </c>
      <c r="AA317" s="795">
        <f t="shared" ca="1" si="338"/>
        <v>0</v>
      </c>
      <c r="AB317" s="769">
        <f t="shared" ca="1" si="339"/>
        <v>0</v>
      </c>
      <c r="AC317" s="769">
        <f t="shared" ca="1" si="340"/>
        <v>0</v>
      </c>
      <c r="AD317" s="769">
        <f t="shared" ca="1" si="341"/>
        <v>0</v>
      </c>
      <c r="AE317" s="794">
        <f t="shared" ca="1" si="342"/>
        <v>0</v>
      </c>
      <c r="AF317" s="769">
        <f t="shared" ca="1" si="343"/>
        <v>0</v>
      </c>
      <c r="AG317" s="769">
        <f t="shared" ca="1" si="344"/>
        <v>0</v>
      </c>
      <c r="AH317" s="799">
        <f t="shared" ca="1" si="345"/>
        <v>0</v>
      </c>
      <c r="AI317" s="801">
        <f t="shared" ca="1" si="346"/>
        <v>1</v>
      </c>
      <c r="AJ317" s="794">
        <f t="shared" ca="1" si="347"/>
        <v>0</v>
      </c>
      <c r="AK317" s="769">
        <f t="shared" ca="1" si="348"/>
        <v>0</v>
      </c>
      <c r="AL317" s="769">
        <f t="shared" ca="1" si="349"/>
        <v>0</v>
      </c>
      <c r="AM317" s="804">
        <f t="shared" ca="1" si="299"/>
        <v>0</v>
      </c>
      <c r="AN317" s="795">
        <f t="shared" ca="1" si="300"/>
        <v>0</v>
      </c>
      <c r="AO317" s="251"/>
      <c r="AP317" s="770">
        <f t="shared" si="350"/>
        <v>0</v>
      </c>
      <c r="AQ317" s="771">
        <f t="shared" ca="1" si="351"/>
        <v>0</v>
      </c>
      <c r="AR317" s="771">
        <f t="shared" ca="1" si="352"/>
        <v>0</v>
      </c>
      <c r="AS317" s="772">
        <f t="shared" ca="1" si="353"/>
        <v>0</v>
      </c>
      <c r="AT317" s="231"/>
      <c r="AU317" s="770">
        <f>'Main Results - IRR DC Operator'!$F$16</f>
        <v>2</v>
      </c>
      <c r="AV317" s="773">
        <f>'Main Results - IRR DC Operator'!$F$15</f>
        <v>1</v>
      </c>
      <c r="AW317" s="771">
        <f t="shared" ca="1" si="354"/>
        <v>0</v>
      </c>
      <c r="AX317" s="772">
        <f t="shared" si="355"/>
        <v>0</v>
      </c>
      <c r="AY317" s="231"/>
      <c r="AZ317" s="770" cm="1">
        <f t="array" aca="1" ref="AZ317" ca="1">INDIRECT("'Definition of Typical Day'!"&amp; ADDRESS($D317+29*(AZ$16-1),$E317))+$AZ$17</f>
        <v>11</v>
      </c>
      <c r="BA317" s="771" cm="1">
        <f t="array" aca="1" ref="BA317" ca="1">INDIRECT("'Definition of Typical Day'!"&amp; ADDRESS($D317+29*(BA$16-1),$E317))+$BA$17</f>
        <v>11</v>
      </c>
      <c r="BB317" s="772" cm="1">
        <f t="array" aca="1" ref="BB317" ca="1">INDIRECT("'Definition of Typical Day'!"&amp;ADDRESS(BB$16,$E317))</f>
        <v>0</v>
      </c>
      <c r="BC317" s="776" cm="1">
        <f t="array" aca="1" ref="BC317" ca="1">INDIRECT("'Definition of Typical Day'!"&amp; ADDRESS($D317+29*(BC$16-1),$E317))</f>
        <v>0</v>
      </c>
      <c r="BD317" s="777" cm="1">
        <f t="array" aca="1" ref="BD317" ca="1">INDIRECT("'Definition of Typical Day'!"&amp; ADDRESS($D317+29*(BD$16-1),$E317))</f>
        <v>0</v>
      </c>
      <c r="BE317" s="776">
        <f t="shared" si="356"/>
        <v>0</v>
      </c>
      <c r="BF317" s="771">
        <f t="shared" ca="1" si="357"/>
        <v>0</v>
      </c>
      <c r="BG317" s="771">
        <f t="shared" ca="1" si="358"/>
        <v>0</v>
      </c>
      <c r="BH317" s="771">
        <f t="shared" ca="1" si="359"/>
        <v>0</v>
      </c>
      <c r="BI317" s="776">
        <f t="shared" ca="1" si="360"/>
        <v>0</v>
      </c>
      <c r="BJ317" s="776">
        <f t="shared" ca="1" si="361"/>
        <v>0</v>
      </c>
      <c r="BK317" s="776">
        <f t="shared" ca="1" si="362"/>
        <v>0</v>
      </c>
      <c r="BL317" s="776">
        <f t="shared" ca="1" si="363"/>
        <v>0</v>
      </c>
      <c r="BM317" s="135"/>
      <c r="BN317" s="776">
        <f t="shared" ca="1" si="364"/>
        <v>0</v>
      </c>
      <c r="BO317" s="778">
        <f t="shared" ca="1" si="301"/>
        <v>0</v>
      </c>
      <c r="BP317" s="770">
        <f t="shared" ca="1" si="302"/>
        <v>0</v>
      </c>
      <c r="BQ317" s="771">
        <f t="shared" ca="1" si="303"/>
        <v>0</v>
      </c>
      <c r="BR317" s="771">
        <f t="shared" ca="1" si="304"/>
        <v>0</v>
      </c>
      <c r="BS317" s="776">
        <f t="shared" ca="1" si="365"/>
        <v>0</v>
      </c>
      <c r="BT317" s="776">
        <f t="shared" ca="1" si="305"/>
        <v>0</v>
      </c>
      <c r="BU317" s="783">
        <f t="shared" ca="1" si="306"/>
        <v>0</v>
      </c>
      <c r="BV317" s="783">
        <f t="shared" ca="1" si="307"/>
        <v>0</v>
      </c>
      <c r="BW317" s="1019">
        <f t="shared" ca="1" si="366"/>
        <v>0</v>
      </c>
      <c r="BX317" s="771" cm="1">
        <f t="array" aca="1" ref="BX317" ca="1">INDIRECT("'Definition of Typical Day'!"&amp; ADDRESS($D317+29*(BX$16-1),$E317))</f>
        <v>0</v>
      </c>
      <c r="BY317" s="771">
        <f t="shared" ca="1" si="367"/>
        <v>0</v>
      </c>
      <c r="BZ317" s="781">
        <f t="shared" ca="1" si="308"/>
        <v>0</v>
      </c>
      <c r="CA317" s="781">
        <f t="shared" ca="1" si="309"/>
        <v>0</v>
      </c>
      <c r="CB317" s="776">
        <f t="shared" ca="1" si="310"/>
        <v>0</v>
      </c>
      <c r="CC317" s="782">
        <f t="shared" si="311"/>
        <v>13</v>
      </c>
      <c r="CD317" s="782">
        <f t="shared" si="312"/>
        <v>9</v>
      </c>
      <c r="CE317" s="784" cm="1">
        <f t="array" aca="1" ref="CE317" ca="1">INDIRECT("'Definition of Typical Day'!"&amp;ADDRESS(CE$16,$E317))</f>
        <v>13</v>
      </c>
      <c r="CF317" s="232"/>
      <c r="CG317" s="232"/>
      <c r="CH317" s="776">
        <f t="shared" ca="1" si="313"/>
        <v>0</v>
      </c>
      <c r="CI317" s="806">
        <f t="shared" ca="1" si="314"/>
        <v>0</v>
      </c>
      <c r="CJ317" s="770">
        <f t="shared" ca="1" si="315"/>
        <v>0</v>
      </c>
      <c r="CK317" s="771">
        <f t="shared" ca="1" si="316"/>
        <v>0</v>
      </c>
      <c r="CL317" s="771">
        <f t="shared" ca="1" si="317"/>
        <v>0</v>
      </c>
      <c r="CM317" s="772">
        <f t="shared" ca="1" si="318"/>
        <v>0</v>
      </c>
      <c r="CN317" s="135"/>
      <c r="CO317" s="770">
        <f t="shared" ca="1" si="368"/>
        <v>1.05</v>
      </c>
      <c r="CP317" s="771">
        <f t="shared" ca="1" si="319"/>
        <v>0.02</v>
      </c>
      <c r="CQ317" s="771">
        <f t="shared" ca="1" si="320"/>
        <v>-2.5000000000000001E-2</v>
      </c>
      <c r="CR317" s="771">
        <f t="shared" ca="1" si="321"/>
        <v>0.95</v>
      </c>
      <c r="CS317" s="771">
        <f t="shared" ca="1" si="322"/>
        <v>0.03</v>
      </c>
      <c r="CT317" s="772">
        <f t="shared" ca="1" si="323"/>
        <v>0.02</v>
      </c>
      <c r="CU317" s="135"/>
      <c r="CV317" s="135"/>
      <c r="CW317" s="135"/>
      <c r="CX317" s="135"/>
      <c r="CY317" s="135"/>
      <c r="CZ317" s="135"/>
      <c r="DA317" s="135"/>
      <c r="DB317" s="135"/>
      <c r="DC317" s="135"/>
      <c r="DD317" s="135"/>
      <c r="DE317" s="135"/>
      <c r="DF317" s="135"/>
      <c r="DG317" s="135"/>
      <c r="DH317" s="135"/>
      <c r="DI317" s="135"/>
      <c r="DJ317" s="135"/>
      <c r="DK317" s="135"/>
      <c r="DL317" s="135"/>
      <c r="DX317" s="135"/>
      <c r="DY317" s="135"/>
      <c r="DZ317" s="135"/>
      <c r="EA317" s="135"/>
      <c r="EB317" s="135"/>
      <c r="EC317" s="135"/>
      <c r="ED317" s="135"/>
      <c r="EE317" s="135"/>
      <c r="EF317" s="135"/>
      <c r="EG317" s="135"/>
      <c r="EH317" s="135"/>
      <c r="EI317" s="135"/>
      <c r="EJ317" s="135"/>
      <c r="EK317" s="135"/>
      <c r="EL317" s="135"/>
      <c r="EM317" s="135"/>
      <c r="EN317" s="135"/>
      <c r="EO317" s="135"/>
      <c r="EP317" s="135"/>
      <c r="EQ317" s="135"/>
      <c r="ER317" s="135"/>
      <c r="ES317" s="135"/>
      <c r="ET317" s="135"/>
      <c r="EU317" s="135"/>
      <c r="EV317" s="135"/>
      <c r="EW317" s="135"/>
      <c r="EX317" s="135"/>
      <c r="EY317" s="135"/>
      <c r="EZ317" s="135"/>
      <c r="FA317" s="135"/>
      <c r="FB317" s="135"/>
      <c r="FC317" s="135"/>
      <c r="FD317" s="135"/>
      <c r="FE317" s="135"/>
      <c r="FF317" s="135"/>
      <c r="FG317" s="135"/>
    </row>
    <row r="318" spans="1:163" s="57" customFormat="1" ht="11.25" outlineLevel="1">
      <c r="A318" s="765">
        <f t="shared" si="369"/>
        <v>13</v>
      </c>
      <c r="B318" s="715" cm="1">
        <f t="array" aca="1" ref="B318" ca="1">INDIRECT("'Definition of Typical Day'!"&amp;ADDRESS(B$16,$E318))</f>
        <v>13</v>
      </c>
      <c r="C318" s="766">
        <f t="shared" si="370"/>
        <v>10</v>
      </c>
      <c r="D318" s="715">
        <f t="shared" si="370"/>
        <v>44</v>
      </c>
      <c r="E318" s="715">
        <f t="shared" si="298"/>
        <v>17</v>
      </c>
      <c r="F318" s="767" cm="1">
        <f t="array" aca="1" ref="F318" ca="1">INDIRECT("'Definition of Typical Day'!D"&amp;D318)</f>
        <v>10</v>
      </c>
      <c r="G318" s="767" cm="1">
        <f t="array" aca="1" ref="G318" ca="1">INDIRECT("'Definition of Typical Day'!"&amp;ADDRESS(13,E318))</f>
        <v>13</v>
      </c>
      <c r="H318" s="768" cm="1">
        <f t="array" aca="1" ref="H318" ca="1">INDIRECT("'Definition of Typical Day'!"&amp; ADDRESS($D318+28*(H$16-1),$E318))</f>
        <v>0</v>
      </c>
      <c r="I318" s="715" cm="1">
        <f t="array" aca="1" ref="I318" ca="1">INDIRECT("'Definition of Typical Day'!"&amp; ADDRESS($D318+29*(I$16-1),$E318))</f>
        <v>0</v>
      </c>
      <c r="J318" s="715">
        <f t="shared" ca="1" si="324"/>
        <v>0</v>
      </c>
      <c r="K318" s="785">
        <f t="shared" si="325"/>
        <v>28</v>
      </c>
      <c r="L318" s="786" cm="1">
        <f t="array" aca="1" ref="L318" ca="1">INDIRECT("'Definition of Typical Day'!"&amp; ADDRESS($D318+29*(L$16-1),$E318))</f>
        <v>0</v>
      </c>
      <c r="M318" s="768" cm="1">
        <f t="array" aca="1" ref="M318" ca="1">INDIRECT("'Definition of Typical Day'!"&amp; ADDRESS($D318+29*(M$16-1),$E318))</f>
        <v>0</v>
      </c>
      <c r="N318" s="715">
        <f t="shared" si="326"/>
        <v>3</v>
      </c>
      <c r="O318" s="715">
        <f t="shared" ca="1" si="327"/>
        <v>3</v>
      </c>
      <c r="P318" s="715" cm="1">
        <f t="array" aca="1" ref="P318" ca="1">INDIRECT("'Definition of Typical Day'!"&amp; ADDRESS($D318+29*(P$16-1),$E318))</f>
        <v>0</v>
      </c>
      <c r="Q318" s="787">
        <f t="shared" ca="1" si="328"/>
        <v>3</v>
      </c>
      <c r="R318" s="792">
        <f t="shared" ca="1" si="329"/>
        <v>3</v>
      </c>
      <c r="S318" s="769">
        <f t="shared" si="330"/>
        <v>3</v>
      </c>
      <c r="T318" s="769">
        <f t="shared" ca="1" si="331"/>
        <v>-0.5</v>
      </c>
      <c r="U318" s="769">
        <f t="shared" ca="1" si="332"/>
        <v>2.262</v>
      </c>
      <c r="V318" s="769">
        <f t="shared" ca="1" si="333"/>
        <v>0</v>
      </c>
      <c r="W318" s="769">
        <f t="shared" ca="1" si="334"/>
        <v>4.7620000000000005</v>
      </c>
      <c r="X318" s="794">
        <f t="shared" si="335"/>
        <v>3</v>
      </c>
      <c r="Y318" s="769">
        <f t="shared" ca="1" si="336"/>
        <v>0.54772255750516607</v>
      </c>
      <c r="Z318" s="769">
        <f t="shared" ca="1" si="337"/>
        <v>0</v>
      </c>
      <c r="AA318" s="795">
        <f t="shared" ca="1" si="338"/>
        <v>0</v>
      </c>
      <c r="AB318" s="769">
        <f t="shared" ca="1" si="339"/>
        <v>0</v>
      </c>
      <c r="AC318" s="769">
        <f t="shared" ca="1" si="340"/>
        <v>0</v>
      </c>
      <c r="AD318" s="769">
        <f t="shared" ca="1" si="341"/>
        <v>0</v>
      </c>
      <c r="AE318" s="794">
        <f t="shared" ca="1" si="342"/>
        <v>0</v>
      </c>
      <c r="AF318" s="769">
        <f t="shared" ca="1" si="343"/>
        <v>0</v>
      </c>
      <c r="AG318" s="769">
        <f t="shared" ca="1" si="344"/>
        <v>0</v>
      </c>
      <c r="AH318" s="799">
        <f t="shared" ca="1" si="345"/>
        <v>0</v>
      </c>
      <c r="AI318" s="801">
        <f t="shared" ca="1" si="346"/>
        <v>1</v>
      </c>
      <c r="AJ318" s="794">
        <f t="shared" ca="1" si="347"/>
        <v>0</v>
      </c>
      <c r="AK318" s="769">
        <f t="shared" ca="1" si="348"/>
        <v>0</v>
      </c>
      <c r="AL318" s="769">
        <f t="shared" ca="1" si="349"/>
        <v>0</v>
      </c>
      <c r="AM318" s="804">
        <f t="shared" ca="1" si="299"/>
        <v>0</v>
      </c>
      <c r="AN318" s="795">
        <f t="shared" ca="1" si="300"/>
        <v>0</v>
      </c>
      <c r="AO318" s="251"/>
      <c r="AP318" s="770">
        <f t="shared" si="350"/>
        <v>0</v>
      </c>
      <c r="AQ318" s="771">
        <f t="shared" ca="1" si="351"/>
        <v>0</v>
      </c>
      <c r="AR318" s="771">
        <f t="shared" ca="1" si="352"/>
        <v>0</v>
      </c>
      <c r="AS318" s="772">
        <f t="shared" ca="1" si="353"/>
        <v>0</v>
      </c>
      <c r="AT318" s="231"/>
      <c r="AU318" s="770">
        <f>'Main Results - IRR DC Operator'!$F$16</f>
        <v>2</v>
      </c>
      <c r="AV318" s="773">
        <f>'Main Results - IRR DC Operator'!$F$15</f>
        <v>1</v>
      </c>
      <c r="AW318" s="771">
        <f t="shared" ca="1" si="354"/>
        <v>0</v>
      </c>
      <c r="AX318" s="772">
        <f t="shared" si="355"/>
        <v>0</v>
      </c>
      <c r="AY318" s="231"/>
      <c r="AZ318" s="770" cm="1">
        <f t="array" aca="1" ref="AZ318" ca="1">INDIRECT("'Definition of Typical Day'!"&amp; ADDRESS($D318+29*(AZ$16-1),$E318))+$AZ$17</f>
        <v>11</v>
      </c>
      <c r="BA318" s="771" cm="1">
        <f t="array" aca="1" ref="BA318" ca="1">INDIRECT("'Definition of Typical Day'!"&amp; ADDRESS($D318+29*(BA$16-1),$E318))+$BA$17</f>
        <v>11</v>
      </c>
      <c r="BB318" s="772" cm="1">
        <f t="array" aca="1" ref="BB318" ca="1">INDIRECT("'Definition of Typical Day'!"&amp;ADDRESS(BB$16,$E318))</f>
        <v>0</v>
      </c>
      <c r="BC318" s="776" cm="1">
        <f t="array" aca="1" ref="BC318" ca="1">INDIRECT("'Definition of Typical Day'!"&amp; ADDRESS($D318+29*(BC$16-1),$E318))</f>
        <v>0</v>
      </c>
      <c r="BD318" s="777" cm="1">
        <f t="array" aca="1" ref="BD318" ca="1">INDIRECT("'Definition of Typical Day'!"&amp; ADDRESS($D318+29*(BD$16-1),$E318))</f>
        <v>0</v>
      </c>
      <c r="BE318" s="776">
        <f t="shared" si="356"/>
        <v>0</v>
      </c>
      <c r="BF318" s="771">
        <f t="shared" ca="1" si="357"/>
        <v>0</v>
      </c>
      <c r="BG318" s="771">
        <f t="shared" ca="1" si="358"/>
        <v>0</v>
      </c>
      <c r="BH318" s="771">
        <f t="shared" ca="1" si="359"/>
        <v>0</v>
      </c>
      <c r="BI318" s="776">
        <f t="shared" ca="1" si="360"/>
        <v>0</v>
      </c>
      <c r="BJ318" s="776">
        <f t="shared" ca="1" si="361"/>
        <v>0</v>
      </c>
      <c r="BK318" s="776">
        <f t="shared" ca="1" si="362"/>
        <v>0</v>
      </c>
      <c r="BL318" s="776">
        <f t="shared" ca="1" si="363"/>
        <v>0</v>
      </c>
      <c r="BM318" s="135"/>
      <c r="BN318" s="776">
        <f t="shared" ca="1" si="364"/>
        <v>0</v>
      </c>
      <c r="BO318" s="778">
        <f t="shared" ca="1" si="301"/>
        <v>0</v>
      </c>
      <c r="BP318" s="770">
        <f t="shared" ca="1" si="302"/>
        <v>0</v>
      </c>
      <c r="BQ318" s="771">
        <f t="shared" ca="1" si="303"/>
        <v>0</v>
      </c>
      <c r="BR318" s="771">
        <f t="shared" ca="1" si="304"/>
        <v>0</v>
      </c>
      <c r="BS318" s="776">
        <f t="shared" ca="1" si="365"/>
        <v>0</v>
      </c>
      <c r="BT318" s="776">
        <f t="shared" ca="1" si="305"/>
        <v>0</v>
      </c>
      <c r="BU318" s="783">
        <f t="shared" ca="1" si="306"/>
        <v>0</v>
      </c>
      <c r="BV318" s="783">
        <f t="shared" ca="1" si="307"/>
        <v>0</v>
      </c>
      <c r="BW318" s="1019">
        <f t="shared" ca="1" si="366"/>
        <v>0</v>
      </c>
      <c r="BX318" s="771" cm="1">
        <f t="array" aca="1" ref="BX318" ca="1">INDIRECT("'Definition of Typical Day'!"&amp; ADDRESS($D318+29*(BX$16-1),$E318))</f>
        <v>0</v>
      </c>
      <c r="BY318" s="771">
        <f t="shared" ca="1" si="367"/>
        <v>0</v>
      </c>
      <c r="BZ318" s="781">
        <f t="shared" ca="1" si="308"/>
        <v>0</v>
      </c>
      <c r="CA318" s="781">
        <f t="shared" ca="1" si="309"/>
        <v>0</v>
      </c>
      <c r="CB318" s="776">
        <f t="shared" ca="1" si="310"/>
        <v>0</v>
      </c>
      <c r="CC318" s="782">
        <f t="shared" si="311"/>
        <v>13</v>
      </c>
      <c r="CD318" s="782">
        <f t="shared" si="312"/>
        <v>10</v>
      </c>
      <c r="CE318" s="784" cm="1">
        <f t="array" aca="1" ref="CE318" ca="1">INDIRECT("'Definition of Typical Day'!"&amp;ADDRESS(CE$16,$E318))</f>
        <v>13</v>
      </c>
      <c r="CF318" s="232"/>
      <c r="CG318" s="232"/>
      <c r="CH318" s="776">
        <f t="shared" ca="1" si="313"/>
        <v>0</v>
      </c>
      <c r="CI318" s="806">
        <f t="shared" ca="1" si="314"/>
        <v>0</v>
      </c>
      <c r="CJ318" s="770">
        <f t="shared" ca="1" si="315"/>
        <v>0</v>
      </c>
      <c r="CK318" s="771">
        <f t="shared" ca="1" si="316"/>
        <v>0</v>
      </c>
      <c r="CL318" s="771">
        <f t="shared" ca="1" si="317"/>
        <v>0</v>
      </c>
      <c r="CM318" s="772">
        <f t="shared" ca="1" si="318"/>
        <v>0</v>
      </c>
      <c r="CN318" s="135"/>
      <c r="CO318" s="770">
        <f t="shared" ca="1" si="368"/>
        <v>1.05</v>
      </c>
      <c r="CP318" s="771">
        <f t="shared" ca="1" si="319"/>
        <v>0.02</v>
      </c>
      <c r="CQ318" s="771">
        <f t="shared" ca="1" si="320"/>
        <v>-2.5000000000000001E-2</v>
      </c>
      <c r="CR318" s="771">
        <f t="shared" ca="1" si="321"/>
        <v>0.95</v>
      </c>
      <c r="CS318" s="771">
        <f t="shared" ca="1" si="322"/>
        <v>0.03</v>
      </c>
      <c r="CT318" s="772">
        <f t="shared" ca="1" si="323"/>
        <v>0.02</v>
      </c>
      <c r="CU318" s="135"/>
      <c r="CV318" s="135"/>
      <c r="CW318" s="135"/>
      <c r="CX318" s="135"/>
      <c r="CY318" s="135"/>
      <c r="CZ318" s="135"/>
      <c r="DA318" s="135"/>
      <c r="DB318" s="135"/>
      <c r="DC318" s="135"/>
      <c r="DD318" s="135"/>
      <c r="DE318" s="135"/>
      <c r="DF318" s="135"/>
      <c r="DG318" s="135"/>
      <c r="DH318" s="135"/>
      <c r="DI318" s="135"/>
      <c r="DJ318" s="135"/>
      <c r="DK318" s="135"/>
      <c r="DL318" s="135"/>
      <c r="DX318" s="135"/>
      <c r="DY318" s="135"/>
      <c r="DZ318" s="135"/>
      <c r="EA318" s="135"/>
      <c r="EB318" s="135"/>
      <c r="EC318" s="135"/>
      <c r="ED318" s="135"/>
      <c r="EE318" s="135"/>
      <c r="EF318" s="135"/>
      <c r="EG318" s="135"/>
      <c r="EH318" s="135"/>
      <c r="EI318" s="135"/>
      <c r="EJ318" s="135"/>
      <c r="EK318" s="135"/>
      <c r="EL318" s="135"/>
      <c r="EM318" s="135"/>
      <c r="EN318" s="135"/>
      <c r="EO318" s="135"/>
      <c r="EP318" s="135"/>
      <c r="EQ318" s="135"/>
      <c r="ER318" s="135"/>
      <c r="ES318" s="135"/>
      <c r="ET318" s="135"/>
      <c r="EU318" s="135"/>
      <c r="EV318" s="135"/>
      <c r="EW318" s="135"/>
      <c r="EX318" s="135"/>
      <c r="EY318" s="135"/>
      <c r="EZ318" s="135"/>
      <c r="FA318" s="135"/>
      <c r="FB318" s="135"/>
      <c r="FC318" s="135"/>
      <c r="FD318" s="135"/>
      <c r="FE318" s="135"/>
      <c r="FF318" s="135"/>
      <c r="FG318" s="135"/>
    </row>
    <row r="319" spans="1:163" s="57" customFormat="1" ht="11.25" outlineLevel="1">
      <c r="A319" s="765">
        <f t="shared" si="369"/>
        <v>13</v>
      </c>
      <c r="B319" s="715" cm="1">
        <f t="array" aca="1" ref="B319" ca="1">INDIRECT("'Definition of Typical Day'!"&amp;ADDRESS(B$16,$E319))</f>
        <v>13</v>
      </c>
      <c r="C319" s="766">
        <f t="shared" si="370"/>
        <v>11</v>
      </c>
      <c r="D319" s="715">
        <f t="shared" si="370"/>
        <v>45</v>
      </c>
      <c r="E319" s="715">
        <f t="shared" si="298"/>
        <v>17</v>
      </c>
      <c r="F319" s="767" cm="1">
        <f t="array" aca="1" ref="F319" ca="1">INDIRECT("'Definition of Typical Day'!D"&amp;D319)</f>
        <v>11</v>
      </c>
      <c r="G319" s="767" cm="1">
        <f t="array" aca="1" ref="G319" ca="1">INDIRECT("'Definition of Typical Day'!"&amp;ADDRESS(13,E319))</f>
        <v>13</v>
      </c>
      <c r="H319" s="768" cm="1">
        <f t="array" aca="1" ref="H319" ca="1">INDIRECT("'Definition of Typical Day'!"&amp; ADDRESS($D319+28*(H$16-1),$E319))</f>
        <v>0</v>
      </c>
      <c r="I319" s="715" cm="1">
        <f t="array" aca="1" ref="I319" ca="1">INDIRECT("'Definition of Typical Day'!"&amp; ADDRESS($D319+29*(I$16-1),$E319))</f>
        <v>0</v>
      </c>
      <c r="J319" s="715">
        <f t="shared" ca="1" si="324"/>
        <v>0</v>
      </c>
      <c r="K319" s="785">
        <f t="shared" si="325"/>
        <v>28</v>
      </c>
      <c r="L319" s="786" cm="1">
        <f t="array" aca="1" ref="L319" ca="1">INDIRECT("'Definition of Typical Day'!"&amp; ADDRESS($D319+29*(L$16-1),$E319))</f>
        <v>0</v>
      </c>
      <c r="M319" s="768" cm="1">
        <f t="array" aca="1" ref="M319" ca="1">INDIRECT("'Definition of Typical Day'!"&amp; ADDRESS($D319+29*(M$16-1),$E319))</f>
        <v>0</v>
      </c>
      <c r="N319" s="715">
        <f t="shared" si="326"/>
        <v>3</v>
      </c>
      <c r="O319" s="715">
        <f t="shared" ca="1" si="327"/>
        <v>3</v>
      </c>
      <c r="P319" s="715" cm="1">
        <f t="array" aca="1" ref="P319" ca="1">INDIRECT("'Definition of Typical Day'!"&amp; ADDRESS($D319+29*(P$16-1),$E319))</f>
        <v>0</v>
      </c>
      <c r="Q319" s="787">
        <f t="shared" ca="1" si="328"/>
        <v>3</v>
      </c>
      <c r="R319" s="792">
        <f t="shared" ca="1" si="329"/>
        <v>3</v>
      </c>
      <c r="S319" s="769">
        <f t="shared" si="330"/>
        <v>3</v>
      </c>
      <c r="T319" s="769">
        <f t="shared" ca="1" si="331"/>
        <v>-0.5</v>
      </c>
      <c r="U319" s="769">
        <f t="shared" ca="1" si="332"/>
        <v>2.262</v>
      </c>
      <c r="V319" s="769">
        <f t="shared" ca="1" si="333"/>
        <v>0</v>
      </c>
      <c r="W319" s="769">
        <f t="shared" ca="1" si="334"/>
        <v>4.7620000000000005</v>
      </c>
      <c r="X319" s="794">
        <f t="shared" si="335"/>
        <v>3</v>
      </c>
      <c r="Y319" s="769">
        <f t="shared" ca="1" si="336"/>
        <v>0.54772255750516607</v>
      </c>
      <c r="Z319" s="769">
        <f t="shared" ca="1" si="337"/>
        <v>0</v>
      </c>
      <c r="AA319" s="795">
        <f t="shared" ca="1" si="338"/>
        <v>0</v>
      </c>
      <c r="AB319" s="769">
        <f t="shared" ca="1" si="339"/>
        <v>0</v>
      </c>
      <c r="AC319" s="769">
        <f t="shared" ca="1" si="340"/>
        <v>0</v>
      </c>
      <c r="AD319" s="769">
        <f t="shared" ca="1" si="341"/>
        <v>0</v>
      </c>
      <c r="AE319" s="794">
        <f t="shared" ca="1" si="342"/>
        <v>0</v>
      </c>
      <c r="AF319" s="769">
        <f t="shared" ca="1" si="343"/>
        <v>0</v>
      </c>
      <c r="AG319" s="769">
        <f t="shared" ca="1" si="344"/>
        <v>0</v>
      </c>
      <c r="AH319" s="799">
        <f t="shared" ca="1" si="345"/>
        <v>0</v>
      </c>
      <c r="AI319" s="801">
        <f t="shared" ca="1" si="346"/>
        <v>1</v>
      </c>
      <c r="AJ319" s="794">
        <f t="shared" ca="1" si="347"/>
        <v>0</v>
      </c>
      <c r="AK319" s="769">
        <f t="shared" ca="1" si="348"/>
        <v>0</v>
      </c>
      <c r="AL319" s="769">
        <f t="shared" ca="1" si="349"/>
        <v>0</v>
      </c>
      <c r="AM319" s="804">
        <f t="shared" ca="1" si="299"/>
        <v>0</v>
      </c>
      <c r="AN319" s="795">
        <f t="shared" ca="1" si="300"/>
        <v>0</v>
      </c>
      <c r="AO319" s="251"/>
      <c r="AP319" s="770">
        <f t="shared" si="350"/>
        <v>0</v>
      </c>
      <c r="AQ319" s="771">
        <f t="shared" ca="1" si="351"/>
        <v>0</v>
      </c>
      <c r="AR319" s="771">
        <f t="shared" ca="1" si="352"/>
        <v>0</v>
      </c>
      <c r="AS319" s="772">
        <f t="shared" ca="1" si="353"/>
        <v>0</v>
      </c>
      <c r="AT319" s="231"/>
      <c r="AU319" s="770">
        <f>'Main Results - IRR DC Operator'!$F$16</f>
        <v>2</v>
      </c>
      <c r="AV319" s="773">
        <f>'Main Results - IRR DC Operator'!$F$15</f>
        <v>1</v>
      </c>
      <c r="AW319" s="771">
        <f t="shared" ca="1" si="354"/>
        <v>0</v>
      </c>
      <c r="AX319" s="772">
        <f t="shared" si="355"/>
        <v>0</v>
      </c>
      <c r="AY319" s="231"/>
      <c r="AZ319" s="770" cm="1">
        <f t="array" aca="1" ref="AZ319" ca="1">INDIRECT("'Definition of Typical Day'!"&amp; ADDRESS($D319+29*(AZ$16-1),$E319))+$AZ$17</f>
        <v>11</v>
      </c>
      <c r="BA319" s="771" cm="1">
        <f t="array" aca="1" ref="BA319" ca="1">INDIRECT("'Definition of Typical Day'!"&amp; ADDRESS($D319+29*(BA$16-1),$E319))+$BA$17</f>
        <v>11</v>
      </c>
      <c r="BB319" s="772" cm="1">
        <f t="array" aca="1" ref="BB319" ca="1">INDIRECT("'Definition of Typical Day'!"&amp;ADDRESS(BB$16,$E319))</f>
        <v>0</v>
      </c>
      <c r="BC319" s="776" cm="1">
        <f t="array" aca="1" ref="BC319" ca="1">INDIRECT("'Definition of Typical Day'!"&amp; ADDRESS($D319+29*(BC$16-1),$E319))</f>
        <v>0</v>
      </c>
      <c r="BD319" s="777" cm="1">
        <f t="array" aca="1" ref="BD319" ca="1">INDIRECT("'Definition of Typical Day'!"&amp; ADDRESS($D319+29*(BD$16-1),$E319))</f>
        <v>0</v>
      </c>
      <c r="BE319" s="776">
        <f t="shared" si="356"/>
        <v>0</v>
      </c>
      <c r="BF319" s="771">
        <f t="shared" ca="1" si="357"/>
        <v>0</v>
      </c>
      <c r="BG319" s="771">
        <f t="shared" ca="1" si="358"/>
        <v>0</v>
      </c>
      <c r="BH319" s="771">
        <f t="shared" ca="1" si="359"/>
        <v>0</v>
      </c>
      <c r="BI319" s="776">
        <f t="shared" ca="1" si="360"/>
        <v>0</v>
      </c>
      <c r="BJ319" s="776">
        <f t="shared" ca="1" si="361"/>
        <v>0</v>
      </c>
      <c r="BK319" s="776">
        <f t="shared" ca="1" si="362"/>
        <v>0</v>
      </c>
      <c r="BL319" s="776">
        <f t="shared" ca="1" si="363"/>
        <v>0</v>
      </c>
      <c r="BM319" s="135"/>
      <c r="BN319" s="776">
        <f t="shared" ca="1" si="364"/>
        <v>0</v>
      </c>
      <c r="BO319" s="778">
        <f t="shared" ca="1" si="301"/>
        <v>0</v>
      </c>
      <c r="BP319" s="770">
        <f t="shared" ca="1" si="302"/>
        <v>0</v>
      </c>
      <c r="BQ319" s="771">
        <f t="shared" ca="1" si="303"/>
        <v>0</v>
      </c>
      <c r="BR319" s="771">
        <f t="shared" ca="1" si="304"/>
        <v>0</v>
      </c>
      <c r="BS319" s="776">
        <f t="shared" ca="1" si="365"/>
        <v>0</v>
      </c>
      <c r="BT319" s="776">
        <f t="shared" ca="1" si="305"/>
        <v>0</v>
      </c>
      <c r="BU319" s="783">
        <f t="shared" ca="1" si="306"/>
        <v>0</v>
      </c>
      <c r="BV319" s="783">
        <f t="shared" ca="1" si="307"/>
        <v>0</v>
      </c>
      <c r="BW319" s="1019">
        <f t="shared" ca="1" si="366"/>
        <v>0</v>
      </c>
      <c r="BX319" s="771" cm="1">
        <f t="array" aca="1" ref="BX319" ca="1">INDIRECT("'Definition of Typical Day'!"&amp; ADDRESS($D319+29*(BX$16-1),$E319))</f>
        <v>0</v>
      </c>
      <c r="BY319" s="771">
        <f t="shared" ca="1" si="367"/>
        <v>0</v>
      </c>
      <c r="BZ319" s="781">
        <f t="shared" ca="1" si="308"/>
        <v>0</v>
      </c>
      <c r="CA319" s="781">
        <f t="shared" ca="1" si="309"/>
        <v>0</v>
      </c>
      <c r="CB319" s="776">
        <f t="shared" ca="1" si="310"/>
        <v>0</v>
      </c>
      <c r="CC319" s="782">
        <f t="shared" si="311"/>
        <v>13</v>
      </c>
      <c r="CD319" s="782">
        <f t="shared" si="312"/>
        <v>11</v>
      </c>
      <c r="CE319" s="784" cm="1">
        <f t="array" aca="1" ref="CE319" ca="1">INDIRECT("'Definition of Typical Day'!"&amp;ADDRESS(CE$16,$E319))</f>
        <v>13</v>
      </c>
      <c r="CF319" s="232"/>
      <c r="CG319" s="232"/>
      <c r="CH319" s="776">
        <f t="shared" ca="1" si="313"/>
        <v>0</v>
      </c>
      <c r="CI319" s="806">
        <f t="shared" ca="1" si="314"/>
        <v>0</v>
      </c>
      <c r="CJ319" s="770">
        <f t="shared" ca="1" si="315"/>
        <v>0</v>
      </c>
      <c r="CK319" s="771">
        <f t="shared" ca="1" si="316"/>
        <v>0</v>
      </c>
      <c r="CL319" s="771">
        <f t="shared" ca="1" si="317"/>
        <v>0</v>
      </c>
      <c r="CM319" s="772">
        <f t="shared" ca="1" si="318"/>
        <v>0</v>
      </c>
      <c r="CN319" s="135"/>
      <c r="CO319" s="770">
        <f t="shared" ca="1" si="368"/>
        <v>1.05</v>
      </c>
      <c r="CP319" s="771">
        <f t="shared" ca="1" si="319"/>
        <v>0.02</v>
      </c>
      <c r="CQ319" s="771">
        <f t="shared" ca="1" si="320"/>
        <v>-2.5000000000000001E-2</v>
      </c>
      <c r="CR319" s="771">
        <f t="shared" ca="1" si="321"/>
        <v>0.95</v>
      </c>
      <c r="CS319" s="771">
        <f t="shared" ca="1" si="322"/>
        <v>0.03</v>
      </c>
      <c r="CT319" s="772">
        <f t="shared" ca="1" si="323"/>
        <v>0.02</v>
      </c>
      <c r="CU319" s="135"/>
      <c r="CV319" s="135"/>
      <c r="CW319" s="135"/>
      <c r="CX319" s="135"/>
      <c r="CY319" s="135"/>
      <c r="CZ319" s="135"/>
      <c r="DA319" s="135"/>
      <c r="DB319" s="135"/>
      <c r="DC319" s="135"/>
      <c r="DD319" s="135"/>
      <c r="DE319" s="135"/>
      <c r="DF319" s="135"/>
      <c r="DG319" s="135"/>
      <c r="DH319" s="135"/>
      <c r="DI319" s="135"/>
      <c r="DJ319" s="135"/>
      <c r="DK319" s="135"/>
      <c r="DL319" s="135"/>
      <c r="DX319" s="135"/>
      <c r="DY319" s="135"/>
      <c r="DZ319" s="135"/>
      <c r="EA319" s="135"/>
      <c r="EB319" s="135"/>
      <c r="EC319" s="135"/>
      <c r="ED319" s="135"/>
      <c r="EE319" s="135"/>
      <c r="EF319" s="135"/>
      <c r="EG319" s="135"/>
      <c r="EH319" s="135"/>
      <c r="EI319" s="135"/>
      <c r="EJ319" s="135"/>
      <c r="EK319" s="135"/>
      <c r="EL319" s="135"/>
      <c r="EM319" s="135"/>
      <c r="EN319" s="135"/>
      <c r="EO319" s="135"/>
      <c r="EP319" s="135"/>
      <c r="EQ319" s="135"/>
      <c r="ER319" s="135"/>
      <c r="ES319" s="135"/>
      <c r="ET319" s="135"/>
      <c r="EU319" s="135"/>
      <c r="EV319" s="135"/>
      <c r="EW319" s="135"/>
      <c r="EX319" s="135"/>
      <c r="EY319" s="135"/>
      <c r="EZ319" s="135"/>
      <c r="FA319" s="135"/>
      <c r="FB319" s="135"/>
      <c r="FC319" s="135"/>
      <c r="FD319" s="135"/>
      <c r="FE319" s="135"/>
      <c r="FF319" s="135"/>
      <c r="FG319" s="135"/>
    </row>
    <row r="320" spans="1:163" s="57" customFormat="1" ht="11.25" outlineLevel="1">
      <c r="A320" s="765">
        <f t="shared" si="369"/>
        <v>13</v>
      </c>
      <c r="B320" s="715" cm="1">
        <f t="array" aca="1" ref="B320" ca="1">INDIRECT("'Definition of Typical Day'!"&amp;ADDRESS(B$16,$E320))</f>
        <v>13</v>
      </c>
      <c r="C320" s="766">
        <f t="shared" si="370"/>
        <v>12</v>
      </c>
      <c r="D320" s="715">
        <f t="shared" si="370"/>
        <v>46</v>
      </c>
      <c r="E320" s="715">
        <f t="shared" si="298"/>
        <v>17</v>
      </c>
      <c r="F320" s="767" cm="1">
        <f t="array" aca="1" ref="F320" ca="1">INDIRECT("'Definition of Typical Day'!D"&amp;D320)</f>
        <v>12</v>
      </c>
      <c r="G320" s="767" cm="1">
        <f t="array" aca="1" ref="G320" ca="1">INDIRECT("'Definition of Typical Day'!"&amp;ADDRESS(13,E320))</f>
        <v>13</v>
      </c>
      <c r="H320" s="768" cm="1">
        <f t="array" aca="1" ref="H320" ca="1">INDIRECT("'Definition of Typical Day'!"&amp; ADDRESS($D320+28*(H$16-1),$E320))</f>
        <v>0</v>
      </c>
      <c r="I320" s="715" cm="1">
        <f t="array" aca="1" ref="I320" ca="1">INDIRECT("'Definition of Typical Day'!"&amp; ADDRESS($D320+29*(I$16-1),$E320))</f>
        <v>0</v>
      </c>
      <c r="J320" s="715">
        <f t="shared" ca="1" si="324"/>
        <v>0</v>
      </c>
      <c r="K320" s="785">
        <f t="shared" si="325"/>
        <v>28</v>
      </c>
      <c r="L320" s="786" cm="1">
        <f t="array" aca="1" ref="L320" ca="1">INDIRECT("'Definition of Typical Day'!"&amp; ADDRESS($D320+29*(L$16-1),$E320))</f>
        <v>0</v>
      </c>
      <c r="M320" s="768" cm="1">
        <f t="array" aca="1" ref="M320" ca="1">INDIRECT("'Definition of Typical Day'!"&amp; ADDRESS($D320+29*(M$16-1),$E320))</f>
        <v>0</v>
      </c>
      <c r="N320" s="715">
        <f t="shared" si="326"/>
        <v>3</v>
      </c>
      <c r="O320" s="715">
        <f t="shared" ca="1" si="327"/>
        <v>3</v>
      </c>
      <c r="P320" s="715" cm="1">
        <f t="array" aca="1" ref="P320" ca="1">INDIRECT("'Definition of Typical Day'!"&amp; ADDRESS($D320+29*(P$16-1),$E320))</f>
        <v>0</v>
      </c>
      <c r="Q320" s="787">
        <f t="shared" ca="1" si="328"/>
        <v>3</v>
      </c>
      <c r="R320" s="792">
        <f t="shared" ca="1" si="329"/>
        <v>3</v>
      </c>
      <c r="S320" s="769">
        <f t="shared" si="330"/>
        <v>3</v>
      </c>
      <c r="T320" s="769">
        <f t="shared" ca="1" si="331"/>
        <v>-0.5</v>
      </c>
      <c r="U320" s="769">
        <f t="shared" ca="1" si="332"/>
        <v>2.262</v>
      </c>
      <c r="V320" s="769">
        <f t="shared" ca="1" si="333"/>
        <v>0</v>
      </c>
      <c r="W320" s="769">
        <f t="shared" ca="1" si="334"/>
        <v>4.7620000000000005</v>
      </c>
      <c r="X320" s="794">
        <f t="shared" si="335"/>
        <v>3</v>
      </c>
      <c r="Y320" s="769">
        <f t="shared" ca="1" si="336"/>
        <v>0.54772255750516607</v>
      </c>
      <c r="Z320" s="769">
        <f t="shared" ca="1" si="337"/>
        <v>0</v>
      </c>
      <c r="AA320" s="795">
        <f t="shared" ca="1" si="338"/>
        <v>0</v>
      </c>
      <c r="AB320" s="769">
        <f t="shared" ca="1" si="339"/>
        <v>0</v>
      </c>
      <c r="AC320" s="769">
        <f t="shared" ca="1" si="340"/>
        <v>0</v>
      </c>
      <c r="AD320" s="769">
        <f t="shared" ca="1" si="341"/>
        <v>0</v>
      </c>
      <c r="AE320" s="794">
        <f t="shared" ca="1" si="342"/>
        <v>0</v>
      </c>
      <c r="AF320" s="769">
        <f t="shared" ca="1" si="343"/>
        <v>0</v>
      </c>
      <c r="AG320" s="769">
        <f t="shared" ca="1" si="344"/>
        <v>0</v>
      </c>
      <c r="AH320" s="799">
        <f t="shared" ca="1" si="345"/>
        <v>0</v>
      </c>
      <c r="AI320" s="801">
        <f t="shared" ca="1" si="346"/>
        <v>1</v>
      </c>
      <c r="AJ320" s="794">
        <f t="shared" ca="1" si="347"/>
        <v>0</v>
      </c>
      <c r="AK320" s="769">
        <f t="shared" ca="1" si="348"/>
        <v>0</v>
      </c>
      <c r="AL320" s="769">
        <f t="shared" ca="1" si="349"/>
        <v>0</v>
      </c>
      <c r="AM320" s="804">
        <f t="shared" ca="1" si="299"/>
        <v>0</v>
      </c>
      <c r="AN320" s="795">
        <f t="shared" ca="1" si="300"/>
        <v>0</v>
      </c>
      <c r="AO320" s="251"/>
      <c r="AP320" s="770">
        <f t="shared" si="350"/>
        <v>0</v>
      </c>
      <c r="AQ320" s="771">
        <f t="shared" ca="1" si="351"/>
        <v>0</v>
      </c>
      <c r="AR320" s="771">
        <f t="shared" ca="1" si="352"/>
        <v>0</v>
      </c>
      <c r="AS320" s="772">
        <f t="shared" ca="1" si="353"/>
        <v>0</v>
      </c>
      <c r="AT320" s="231"/>
      <c r="AU320" s="770">
        <f>'Main Results - IRR DC Operator'!$F$16</f>
        <v>2</v>
      </c>
      <c r="AV320" s="773">
        <f>'Main Results - IRR DC Operator'!$F$15</f>
        <v>1</v>
      </c>
      <c r="AW320" s="771">
        <f t="shared" ca="1" si="354"/>
        <v>0</v>
      </c>
      <c r="AX320" s="772">
        <f t="shared" si="355"/>
        <v>0</v>
      </c>
      <c r="AY320" s="231"/>
      <c r="AZ320" s="770" cm="1">
        <f t="array" aca="1" ref="AZ320" ca="1">INDIRECT("'Definition of Typical Day'!"&amp; ADDRESS($D320+29*(AZ$16-1),$E320))+$AZ$17</f>
        <v>11</v>
      </c>
      <c r="BA320" s="771" cm="1">
        <f t="array" aca="1" ref="BA320" ca="1">INDIRECT("'Definition of Typical Day'!"&amp; ADDRESS($D320+29*(BA$16-1),$E320))+$BA$17</f>
        <v>11</v>
      </c>
      <c r="BB320" s="772" cm="1">
        <f t="array" aca="1" ref="BB320" ca="1">INDIRECT("'Definition of Typical Day'!"&amp;ADDRESS(BB$16,$E320))</f>
        <v>0</v>
      </c>
      <c r="BC320" s="776" cm="1">
        <f t="array" aca="1" ref="BC320" ca="1">INDIRECT("'Definition of Typical Day'!"&amp; ADDRESS($D320+29*(BC$16-1),$E320))</f>
        <v>0</v>
      </c>
      <c r="BD320" s="777" cm="1">
        <f t="array" aca="1" ref="BD320" ca="1">INDIRECT("'Definition of Typical Day'!"&amp; ADDRESS($D320+29*(BD$16-1),$E320))</f>
        <v>0</v>
      </c>
      <c r="BE320" s="776">
        <f t="shared" si="356"/>
        <v>0</v>
      </c>
      <c r="BF320" s="771">
        <f t="shared" ca="1" si="357"/>
        <v>0</v>
      </c>
      <c r="BG320" s="771">
        <f t="shared" ca="1" si="358"/>
        <v>0</v>
      </c>
      <c r="BH320" s="771">
        <f t="shared" ca="1" si="359"/>
        <v>0</v>
      </c>
      <c r="BI320" s="776">
        <f t="shared" ca="1" si="360"/>
        <v>0</v>
      </c>
      <c r="BJ320" s="776">
        <f t="shared" ca="1" si="361"/>
        <v>0</v>
      </c>
      <c r="BK320" s="776">
        <f t="shared" ca="1" si="362"/>
        <v>0</v>
      </c>
      <c r="BL320" s="776">
        <f t="shared" ca="1" si="363"/>
        <v>0</v>
      </c>
      <c r="BM320" s="135"/>
      <c r="BN320" s="776">
        <f t="shared" ca="1" si="364"/>
        <v>0</v>
      </c>
      <c r="BO320" s="778">
        <f t="shared" ca="1" si="301"/>
        <v>0</v>
      </c>
      <c r="BP320" s="770">
        <f t="shared" ca="1" si="302"/>
        <v>0</v>
      </c>
      <c r="BQ320" s="771">
        <f t="shared" ca="1" si="303"/>
        <v>0</v>
      </c>
      <c r="BR320" s="771">
        <f t="shared" ca="1" si="304"/>
        <v>0</v>
      </c>
      <c r="BS320" s="776">
        <f t="shared" ca="1" si="365"/>
        <v>0</v>
      </c>
      <c r="BT320" s="776">
        <f t="shared" ca="1" si="305"/>
        <v>0</v>
      </c>
      <c r="BU320" s="783">
        <f t="shared" ca="1" si="306"/>
        <v>0</v>
      </c>
      <c r="BV320" s="783">
        <f t="shared" ca="1" si="307"/>
        <v>0</v>
      </c>
      <c r="BW320" s="1019">
        <f t="shared" ca="1" si="366"/>
        <v>0</v>
      </c>
      <c r="BX320" s="771" cm="1">
        <f t="array" aca="1" ref="BX320" ca="1">INDIRECT("'Definition of Typical Day'!"&amp; ADDRESS($D320+29*(BX$16-1),$E320))</f>
        <v>0</v>
      </c>
      <c r="BY320" s="771">
        <f t="shared" ca="1" si="367"/>
        <v>0</v>
      </c>
      <c r="BZ320" s="781">
        <f t="shared" ca="1" si="308"/>
        <v>0</v>
      </c>
      <c r="CA320" s="781">
        <f t="shared" ca="1" si="309"/>
        <v>0</v>
      </c>
      <c r="CB320" s="776">
        <f t="shared" ca="1" si="310"/>
        <v>0</v>
      </c>
      <c r="CC320" s="782">
        <f t="shared" si="311"/>
        <v>13</v>
      </c>
      <c r="CD320" s="782">
        <f t="shared" si="312"/>
        <v>12</v>
      </c>
      <c r="CE320" s="784" cm="1">
        <f t="array" aca="1" ref="CE320" ca="1">INDIRECT("'Definition of Typical Day'!"&amp;ADDRESS(CE$16,$E320))</f>
        <v>13</v>
      </c>
      <c r="CF320" s="232"/>
      <c r="CG320" s="232"/>
      <c r="CH320" s="776">
        <f t="shared" ca="1" si="313"/>
        <v>0</v>
      </c>
      <c r="CI320" s="806">
        <f t="shared" ca="1" si="314"/>
        <v>0</v>
      </c>
      <c r="CJ320" s="770">
        <f t="shared" ca="1" si="315"/>
        <v>0</v>
      </c>
      <c r="CK320" s="771">
        <f t="shared" ca="1" si="316"/>
        <v>0</v>
      </c>
      <c r="CL320" s="771">
        <f t="shared" ca="1" si="317"/>
        <v>0</v>
      </c>
      <c r="CM320" s="772">
        <f t="shared" ca="1" si="318"/>
        <v>0</v>
      </c>
      <c r="CN320" s="135"/>
      <c r="CO320" s="770">
        <f t="shared" ca="1" si="368"/>
        <v>1.05</v>
      </c>
      <c r="CP320" s="771">
        <f t="shared" ca="1" si="319"/>
        <v>0.02</v>
      </c>
      <c r="CQ320" s="771">
        <f t="shared" ca="1" si="320"/>
        <v>-2.5000000000000001E-2</v>
      </c>
      <c r="CR320" s="771">
        <f t="shared" ca="1" si="321"/>
        <v>0.95</v>
      </c>
      <c r="CS320" s="771">
        <f t="shared" ca="1" si="322"/>
        <v>0.03</v>
      </c>
      <c r="CT320" s="772">
        <f t="shared" ca="1" si="323"/>
        <v>0.02</v>
      </c>
      <c r="CU320" s="135"/>
      <c r="CV320" s="135"/>
      <c r="CW320" s="135"/>
      <c r="CX320" s="135"/>
      <c r="CY320" s="135"/>
      <c r="CZ320" s="135"/>
      <c r="DA320" s="135"/>
      <c r="DB320" s="135"/>
      <c r="DC320" s="135"/>
      <c r="DD320" s="135"/>
      <c r="DE320" s="135"/>
      <c r="DF320" s="135"/>
      <c r="DG320" s="135"/>
      <c r="DH320" s="135"/>
      <c r="DI320" s="135"/>
      <c r="DJ320" s="135"/>
      <c r="DK320" s="135"/>
      <c r="DL320" s="135"/>
      <c r="DX320" s="135"/>
      <c r="DY320" s="135"/>
      <c r="DZ320" s="135"/>
      <c r="EA320" s="135"/>
      <c r="EB320" s="135"/>
      <c r="EC320" s="135"/>
      <c r="ED320" s="135"/>
      <c r="EE320" s="135"/>
      <c r="EF320" s="135"/>
      <c r="EG320" s="135"/>
      <c r="EH320" s="135"/>
      <c r="EI320" s="135"/>
      <c r="EJ320" s="135"/>
      <c r="EK320" s="135"/>
      <c r="EL320" s="135"/>
      <c r="EM320" s="135"/>
      <c r="EN320" s="135"/>
      <c r="EO320" s="135"/>
      <c r="EP320" s="135"/>
      <c r="EQ320" s="135"/>
      <c r="ER320" s="135"/>
      <c r="ES320" s="135"/>
      <c r="ET320" s="135"/>
      <c r="EU320" s="135"/>
      <c r="EV320" s="135"/>
      <c r="EW320" s="135"/>
      <c r="EX320" s="135"/>
      <c r="EY320" s="135"/>
      <c r="EZ320" s="135"/>
      <c r="FA320" s="135"/>
      <c r="FB320" s="135"/>
      <c r="FC320" s="135"/>
      <c r="FD320" s="135"/>
      <c r="FE320" s="135"/>
      <c r="FF320" s="135"/>
      <c r="FG320" s="135"/>
    </row>
    <row r="321" spans="1:163" s="57" customFormat="1" ht="11.25" outlineLevel="1">
      <c r="A321" s="765">
        <f t="shared" si="369"/>
        <v>13</v>
      </c>
      <c r="B321" s="715" cm="1">
        <f t="array" aca="1" ref="B321" ca="1">INDIRECT("'Definition of Typical Day'!"&amp;ADDRESS(B$16,$E321))</f>
        <v>13</v>
      </c>
      <c r="C321" s="766">
        <f t="shared" si="370"/>
        <v>13</v>
      </c>
      <c r="D321" s="715">
        <f t="shared" si="370"/>
        <v>47</v>
      </c>
      <c r="E321" s="715">
        <f t="shared" si="298"/>
        <v>17</v>
      </c>
      <c r="F321" s="767" cm="1">
        <f t="array" aca="1" ref="F321" ca="1">INDIRECT("'Definition of Typical Day'!D"&amp;D321)</f>
        <v>13</v>
      </c>
      <c r="G321" s="767" cm="1">
        <f t="array" aca="1" ref="G321" ca="1">INDIRECT("'Definition of Typical Day'!"&amp;ADDRESS(13,E321))</f>
        <v>13</v>
      </c>
      <c r="H321" s="768" cm="1">
        <f t="array" aca="1" ref="H321" ca="1">INDIRECT("'Definition of Typical Day'!"&amp; ADDRESS($D321+28*(H$16-1),$E321))</f>
        <v>0</v>
      </c>
      <c r="I321" s="715" cm="1">
        <f t="array" aca="1" ref="I321" ca="1">INDIRECT("'Definition of Typical Day'!"&amp; ADDRESS($D321+29*(I$16-1),$E321))</f>
        <v>0</v>
      </c>
      <c r="J321" s="715">
        <f t="shared" ca="1" si="324"/>
        <v>0</v>
      </c>
      <c r="K321" s="785">
        <f t="shared" si="325"/>
        <v>28</v>
      </c>
      <c r="L321" s="786" cm="1">
        <f t="array" aca="1" ref="L321" ca="1">INDIRECT("'Definition of Typical Day'!"&amp; ADDRESS($D321+29*(L$16-1),$E321))</f>
        <v>0</v>
      </c>
      <c r="M321" s="768" cm="1">
        <f t="array" aca="1" ref="M321" ca="1">INDIRECT("'Definition of Typical Day'!"&amp; ADDRESS($D321+29*(M$16-1),$E321))</f>
        <v>0</v>
      </c>
      <c r="N321" s="715">
        <f t="shared" si="326"/>
        <v>3</v>
      </c>
      <c r="O321" s="715">
        <f t="shared" ca="1" si="327"/>
        <v>3</v>
      </c>
      <c r="P321" s="715" cm="1">
        <f t="array" aca="1" ref="P321" ca="1">INDIRECT("'Definition of Typical Day'!"&amp; ADDRESS($D321+29*(P$16-1),$E321))</f>
        <v>0</v>
      </c>
      <c r="Q321" s="787">
        <f t="shared" ca="1" si="328"/>
        <v>3</v>
      </c>
      <c r="R321" s="792">
        <f t="shared" ca="1" si="329"/>
        <v>3</v>
      </c>
      <c r="S321" s="769">
        <f t="shared" si="330"/>
        <v>3</v>
      </c>
      <c r="T321" s="769">
        <f t="shared" ca="1" si="331"/>
        <v>-0.5</v>
      </c>
      <c r="U321" s="769">
        <f t="shared" ca="1" si="332"/>
        <v>2.262</v>
      </c>
      <c r="V321" s="769">
        <f t="shared" ca="1" si="333"/>
        <v>0</v>
      </c>
      <c r="W321" s="769">
        <f t="shared" ca="1" si="334"/>
        <v>4.7620000000000005</v>
      </c>
      <c r="X321" s="794">
        <f t="shared" si="335"/>
        <v>3</v>
      </c>
      <c r="Y321" s="769">
        <f t="shared" ca="1" si="336"/>
        <v>0.54772255750516607</v>
      </c>
      <c r="Z321" s="769">
        <f t="shared" ca="1" si="337"/>
        <v>0</v>
      </c>
      <c r="AA321" s="795">
        <f t="shared" ca="1" si="338"/>
        <v>0</v>
      </c>
      <c r="AB321" s="769">
        <f t="shared" ca="1" si="339"/>
        <v>0</v>
      </c>
      <c r="AC321" s="769">
        <f t="shared" ca="1" si="340"/>
        <v>0</v>
      </c>
      <c r="AD321" s="769">
        <f t="shared" ca="1" si="341"/>
        <v>0</v>
      </c>
      <c r="AE321" s="794">
        <f t="shared" ca="1" si="342"/>
        <v>0</v>
      </c>
      <c r="AF321" s="769">
        <f t="shared" ca="1" si="343"/>
        <v>0</v>
      </c>
      <c r="AG321" s="769">
        <f t="shared" ca="1" si="344"/>
        <v>0</v>
      </c>
      <c r="AH321" s="799">
        <f t="shared" ca="1" si="345"/>
        <v>0</v>
      </c>
      <c r="AI321" s="801">
        <f t="shared" ca="1" si="346"/>
        <v>1</v>
      </c>
      <c r="AJ321" s="794">
        <f t="shared" ca="1" si="347"/>
        <v>0</v>
      </c>
      <c r="AK321" s="769">
        <f t="shared" ca="1" si="348"/>
        <v>0</v>
      </c>
      <c r="AL321" s="769">
        <f t="shared" ca="1" si="349"/>
        <v>0</v>
      </c>
      <c r="AM321" s="804">
        <f t="shared" ca="1" si="299"/>
        <v>0</v>
      </c>
      <c r="AN321" s="795">
        <f t="shared" ca="1" si="300"/>
        <v>0</v>
      </c>
      <c r="AO321" s="251"/>
      <c r="AP321" s="770">
        <f t="shared" si="350"/>
        <v>0</v>
      </c>
      <c r="AQ321" s="771">
        <f t="shared" ca="1" si="351"/>
        <v>0</v>
      </c>
      <c r="AR321" s="771">
        <f t="shared" ca="1" si="352"/>
        <v>0</v>
      </c>
      <c r="AS321" s="772">
        <f t="shared" ca="1" si="353"/>
        <v>0</v>
      </c>
      <c r="AT321" s="231"/>
      <c r="AU321" s="770">
        <f>'Main Results - IRR DC Operator'!$F$16</f>
        <v>2</v>
      </c>
      <c r="AV321" s="773">
        <f>'Main Results - IRR DC Operator'!$F$15</f>
        <v>1</v>
      </c>
      <c r="AW321" s="771">
        <f t="shared" ca="1" si="354"/>
        <v>0</v>
      </c>
      <c r="AX321" s="772">
        <f t="shared" si="355"/>
        <v>0</v>
      </c>
      <c r="AY321" s="231"/>
      <c r="AZ321" s="770" cm="1">
        <f t="array" aca="1" ref="AZ321" ca="1">INDIRECT("'Definition of Typical Day'!"&amp; ADDRESS($D321+29*(AZ$16-1),$E321))+$AZ$17</f>
        <v>11</v>
      </c>
      <c r="BA321" s="771" cm="1">
        <f t="array" aca="1" ref="BA321" ca="1">INDIRECT("'Definition of Typical Day'!"&amp; ADDRESS($D321+29*(BA$16-1),$E321))+$BA$17</f>
        <v>11</v>
      </c>
      <c r="BB321" s="772" cm="1">
        <f t="array" aca="1" ref="BB321" ca="1">INDIRECT("'Definition of Typical Day'!"&amp;ADDRESS(BB$16,$E321))</f>
        <v>0</v>
      </c>
      <c r="BC321" s="776" cm="1">
        <f t="array" aca="1" ref="BC321" ca="1">INDIRECT("'Definition of Typical Day'!"&amp; ADDRESS($D321+29*(BC$16-1),$E321))</f>
        <v>0</v>
      </c>
      <c r="BD321" s="777" cm="1">
        <f t="array" aca="1" ref="BD321" ca="1">INDIRECT("'Definition of Typical Day'!"&amp; ADDRESS($D321+29*(BD$16-1),$E321))</f>
        <v>0</v>
      </c>
      <c r="BE321" s="776">
        <f t="shared" si="356"/>
        <v>0</v>
      </c>
      <c r="BF321" s="771">
        <f t="shared" ca="1" si="357"/>
        <v>0</v>
      </c>
      <c r="BG321" s="771">
        <f t="shared" ca="1" si="358"/>
        <v>0</v>
      </c>
      <c r="BH321" s="771">
        <f t="shared" ca="1" si="359"/>
        <v>0</v>
      </c>
      <c r="BI321" s="776">
        <f t="shared" ca="1" si="360"/>
        <v>0</v>
      </c>
      <c r="BJ321" s="776">
        <f t="shared" ca="1" si="361"/>
        <v>0</v>
      </c>
      <c r="BK321" s="776">
        <f t="shared" ca="1" si="362"/>
        <v>0</v>
      </c>
      <c r="BL321" s="776">
        <f t="shared" ca="1" si="363"/>
        <v>0</v>
      </c>
      <c r="BM321" s="135"/>
      <c r="BN321" s="776">
        <f t="shared" ca="1" si="364"/>
        <v>0</v>
      </c>
      <c r="BO321" s="778">
        <f t="shared" ca="1" si="301"/>
        <v>0</v>
      </c>
      <c r="BP321" s="770">
        <f t="shared" ca="1" si="302"/>
        <v>0</v>
      </c>
      <c r="BQ321" s="771">
        <f t="shared" ca="1" si="303"/>
        <v>0</v>
      </c>
      <c r="BR321" s="771">
        <f t="shared" ca="1" si="304"/>
        <v>0</v>
      </c>
      <c r="BS321" s="776">
        <f t="shared" ca="1" si="365"/>
        <v>0</v>
      </c>
      <c r="BT321" s="776">
        <f t="shared" ca="1" si="305"/>
        <v>0</v>
      </c>
      <c r="BU321" s="783">
        <f t="shared" ca="1" si="306"/>
        <v>0</v>
      </c>
      <c r="BV321" s="783">
        <f t="shared" ca="1" si="307"/>
        <v>0</v>
      </c>
      <c r="BW321" s="1019">
        <f t="shared" ca="1" si="366"/>
        <v>0</v>
      </c>
      <c r="BX321" s="771" cm="1">
        <f t="array" aca="1" ref="BX321" ca="1">INDIRECT("'Definition of Typical Day'!"&amp; ADDRESS($D321+29*(BX$16-1),$E321))</f>
        <v>0</v>
      </c>
      <c r="BY321" s="771">
        <f t="shared" ca="1" si="367"/>
        <v>0</v>
      </c>
      <c r="BZ321" s="781">
        <f t="shared" ca="1" si="308"/>
        <v>0</v>
      </c>
      <c r="CA321" s="781">
        <f t="shared" ca="1" si="309"/>
        <v>0</v>
      </c>
      <c r="CB321" s="776">
        <f t="shared" ca="1" si="310"/>
        <v>0</v>
      </c>
      <c r="CC321" s="782">
        <f t="shared" si="311"/>
        <v>13</v>
      </c>
      <c r="CD321" s="782">
        <f t="shared" si="312"/>
        <v>13</v>
      </c>
      <c r="CE321" s="784" cm="1">
        <f t="array" aca="1" ref="CE321" ca="1">INDIRECT("'Definition of Typical Day'!"&amp;ADDRESS(CE$16,$E321))</f>
        <v>13</v>
      </c>
      <c r="CF321" s="232"/>
      <c r="CG321" s="232"/>
      <c r="CH321" s="776">
        <f t="shared" ca="1" si="313"/>
        <v>0</v>
      </c>
      <c r="CI321" s="806">
        <f t="shared" ca="1" si="314"/>
        <v>0</v>
      </c>
      <c r="CJ321" s="770">
        <f t="shared" ca="1" si="315"/>
        <v>0</v>
      </c>
      <c r="CK321" s="771">
        <f t="shared" ca="1" si="316"/>
        <v>0</v>
      </c>
      <c r="CL321" s="771">
        <f t="shared" ca="1" si="317"/>
        <v>0</v>
      </c>
      <c r="CM321" s="772">
        <f t="shared" ca="1" si="318"/>
        <v>0</v>
      </c>
      <c r="CN321" s="135"/>
      <c r="CO321" s="770">
        <f t="shared" ca="1" si="368"/>
        <v>1.05</v>
      </c>
      <c r="CP321" s="771">
        <f t="shared" ca="1" si="319"/>
        <v>0.02</v>
      </c>
      <c r="CQ321" s="771">
        <f t="shared" ca="1" si="320"/>
        <v>-2.5000000000000001E-2</v>
      </c>
      <c r="CR321" s="771">
        <f t="shared" ca="1" si="321"/>
        <v>0.95</v>
      </c>
      <c r="CS321" s="771">
        <f t="shared" ca="1" si="322"/>
        <v>0.03</v>
      </c>
      <c r="CT321" s="772">
        <f t="shared" ca="1" si="323"/>
        <v>0.02</v>
      </c>
      <c r="CU321" s="135"/>
      <c r="CV321" s="135"/>
      <c r="CW321" s="135"/>
      <c r="CX321" s="135"/>
      <c r="CY321" s="135"/>
      <c r="CZ321" s="135"/>
      <c r="DA321" s="135"/>
      <c r="DB321" s="135"/>
      <c r="DC321" s="135"/>
      <c r="DD321" s="135"/>
      <c r="DE321" s="135"/>
      <c r="DF321" s="135"/>
      <c r="DG321" s="135"/>
      <c r="DH321" s="135"/>
      <c r="DI321" s="135"/>
      <c r="DJ321" s="135"/>
      <c r="DK321" s="135"/>
      <c r="DL321" s="135"/>
      <c r="DX321" s="135"/>
      <c r="DY321" s="135"/>
      <c r="DZ321" s="135"/>
      <c r="EA321" s="135"/>
      <c r="EB321" s="135"/>
      <c r="EC321" s="135"/>
      <c r="ED321" s="135"/>
      <c r="EE321" s="135"/>
      <c r="EF321" s="135"/>
      <c r="EG321" s="135"/>
      <c r="EH321" s="135"/>
      <c r="EI321" s="135"/>
      <c r="EJ321" s="135"/>
      <c r="EK321" s="135"/>
      <c r="EL321" s="135"/>
      <c r="EM321" s="135"/>
      <c r="EN321" s="135"/>
      <c r="EO321" s="135"/>
      <c r="EP321" s="135"/>
      <c r="EQ321" s="135"/>
      <c r="ER321" s="135"/>
      <c r="ES321" s="135"/>
      <c r="ET321" s="135"/>
      <c r="EU321" s="135"/>
      <c r="EV321" s="135"/>
      <c r="EW321" s="135"/>
      <c r="EX321" s="135"/>
      <c r="EY321" s="135"/>
      <c r="EZ321" s="135"/>
      <c r="FA321" s="135"/>
      <c r="FB321" s="135"/>
      <c r="FC321" s="135"/>
      <c r="FD321" s="135"/>
      <c r="FE321" s="135"/>
      <c r="FF321" s="135"/>
      <c r="FG321" s="135"/>
    </row>
    <row r="322" spans="1:163" s="57" customFormat="1" ht="11.25" outlineLevel="1">
      <c r="A322" s="765">
        <f t="shared" si="369"/>
        <v>13</v>
      </c>
      <c r="B322" s="715" cm="1">
        <f t="array" aca="1" ref="B322" ca="1">INDIRECT("'Definition of Typical Day'!"&amp;ADDRESS(B$16,$E322))</f>
        <v>13</v>
      </c>
      <c r="C322" s="766">
        <f t="shared" si="370"/>
        <v>14</v>
      </c>
      <c r="D322" s="715">
        <f t="shared" si="370"/>
        <v>48</v>
      </c>
      <c r="E322" s="715">
        <f t="shared" si="298"/>
        <v>17</v>
      </c>
      <c r="F322" s="767" cm="1">
        <f t="array" aca="1" ref="F322" ca="1">INDIRECT("'Definition of Typical Day'!D"&amp;D322)</f>
        <v>14</v>
      </c>
      <c r="G322" s="767" cm="1">
        <f t="array" aca="1" ref="G322" ca="1">INDIRECT("'Definition of Typical Day'!"&amp;ADDRESS(13,E322))</f>
        <v>13</v>
      </c>
      <c r="H322" s="768" cm="1">
        <f t="array" aca="1" ref="H322" ca="1">INDIRECT("'Definition of Typical Day'!"&amp; ADDRESS($D322+28*(H$16-1),$E322))</f>
        <v>0</v>
      </c>
      <c r="I322" s="715" cm="1">
        <f t="array" aca="1" ref="I322" ca="1">INDIRECT("'Definition of Typical Day'!"&amp; ADDRESS($D322+29*(I$16-1),$E322))</f>
        <v>0</v>
      </c>
      <c r="J322" s="715">
        <f t="shared" ca="1" si="324"/>
        <v>0</v>
      </c>
      <c r="K322" s="785">
        <f t="shared" si="325"/>
        <v>28</v>
      </c>
      <c r="L322" s="786" cm="1">
        <f t="array" aca="1" ref="L322" ca="1">INDIRECT("'Definition of Typical Day'!"&amp; ADDRESS($D322+29*(L$16-1),$E322))</f>
        <v>0</v>
      </c>
      <c r="M322" s="768" cm="1">
        <f t="array" aca="1" ref="M322" ca="1">INDIRECT("'Definition of Typical Day'!"&amp; ADDRESS($D322+29*(M$16-1),$E322))</f>
        <v>0</v>
      </c>
      <c r="N322" s="715">
        <f t="shared" si="326"/>
        <v>3</v>
      </c>
      <c r="O322" s="715">
        <f t="shared" ca="1" si="327"/>
        <v>3</v>
      </c>
      <c r="P322" s="715" cm="1">
        <f t="array" aca="1" ref="P322" ca="1">INDIRECT("'Definition of Typical Day'!"&amp; ADDRESS($D322+29*(P$16-1),$E322))</f>
        <v>0</v>
      </c>
      <c r="Q322" s="787">
        <f t="shared" ca="1" si="328"/>
        <v>3</v>
      </c>
      <c r="R322" s="792">
        <f t="shared" ca="1" si="329"/>
        <v>3</v>
      </c>
      <c r="S322" s="769">
        <f t="shared" si="330"/>
        <v>3</v>
      </c>
      <c r="T322" s="769">
        <f t="shared" ca="1" si="331"/>
        <v>-0.5</v>
      </c>
      <c r="U322" s="769">
        <f t="shared" ca="1" si="332"/>
        <v>2.262</v>
      </c>
      <c r="V322" s="769">
        <f t="shared" ca="1" si="333"/>
        <v>0</v>
      </c>
      <c r="W322" s="769">
        <f t="shared" ca="1" si="334"/>
        <v>4.7620000000000005</v>
      </c>
      <c r="X322" s="794">
        <f t="shared" si="335"/>
        <v>3</v>
      </c>
      <c r="Y322" s="769">
        <f t="shared" ca="1" si="336"/>
        <v>0.54772255750516607</v>
      </c>
      <c r="Z322" s="769">
        <f t="shared" ca="1" si="337"/>
        <v>0</v>
      </c>
      <c r="AA322" s="795">
        <f t="shared" ca="1" si="338"/>
        <v>0</v>
      </c>
      <c r="AB322" s="769">
        <f t="shared" ca="1" si="339"/>
        <v>0</v>
      </c>
      <c r="AC322" s="769">
        <f t="shared" ca="1" si="340"/>
        <v>0</v>
      </c>
      <c r="AD322" s="769">
        <f t="shared" ca="1" si="341"/>
        <v>0</v>
      </c>
      <c r="AE322" s="794">
        <f t="shared" ca="1" si="342"/>
        <v>0</v>
      </c>
      <c r="AF322" s="769">
        <f t="shared" ca="1" si="343"/>
        <v>0</v>
      </c>
      <c r="AG322" s="769">
        <f t="shared" ca="1" si="344"/>
        <v>0</v>
      </c>
      <c r="AH322" s="799">
        <f t="shared" ca="1" si="345"/>
        <v>0</v>
      </c>
      <c r="AI322" s="801">
        <f t="shared" ca="1" si="346"/>
        <v>1</v>
      </c>
      <c r="AJ322" s="794">
        <f t="shared" ca="1" si="347"/>
        <v>0</v>
      </c>
      <c r="AK322" s="769">
        <f t="shared" ca="1" si="348"/>
        <v>0</v>
      </c>
      <c r="AL322" s="769">
        <f t="shared" ca="1" si="349"/>
        <v>0</v>
      </c>
      <c r="AM322" s="804">
        <f t="shared" ca="1" si="299"/>
        <v>0</v>
      </c>
      <c r="AN322" s="795">
        <f t="shared" ca="1" si="300"/>
        <v>0</v>
      </c>
      <c r="AO322" s="251"/>
      <c r="AP322" s="770">
        <f t="shared" si="350"/>
        <v>0</v>
      </c>
      <c r="AQ322" s="771">
        <f t="shared" ca="1" si="351"/>
        <v>0</v>
      </c>
      <c r="AR322" s="771">
        <f t="shared" ca="1" si="352"/>
        <v>0</v>
      </c>
      <c r="AS322" s="772">
        <f t="shared" ca="1" si="353"/>
        <v>0</v>
      </c>
      <c r="AT322" s="231"/>
      <c r="AU322" s="770">
        <f>'Main Results - IRR DC Operator'!$F$16</f>
        <v>2</v>
      </c>
      <c r="AV322" s="773">
        <f>'Main Results - IRR DC Operator'!$F$15</f>
        <v>1</v>
      </c>
      <c r="AW322" s="771">
        <f t="shared" ca="1" si="354"/>
        <v>0</v>
      </c>
      <c r="AX322" s="772">
        <f t="shared" si="355"/>
        <v>0</v>
      </c>
      <c r="AY322" s="231"/>
      <c r="AZ322" s="770" cm="1">
        <f t="array" aca="1" ref="AZ322" ca="1">INDIRECT("'Definition of Typical Day'!"&amp; ADDRESS($D322+29*(AZ$16-1),$E322))+$AZ$17</f>
        <v>11</v>
      </c>
      <c r="BA322" s="771" cm="1">
        <f t="array" aca="1" ref="BA322" ca="1">INDIRECT("'Definition of Typical Day'!"&amp; ADDRESS($D322+29*(BA$16-1),$E322))+$BA$17</f>
        <v>11</v>
      </c>
      <c r="BB322" s="772" cm="1">
        <f t="array" aca="1" ref="BB322" ca="1">INDIRECT("'Definition of Typical Day'!"&amp;ADDRESS(BB$16,$E322))</f>
        <v>0</v>
      </c>
      <c r="BC322" s="776" cm="1">
        <f t="array" aca="1" ref="BC322" ca="1">INDIRECT("'Definition of Typical Day'!"&amp; ADDRESS($D322+29*(BC$16-1),$E322))</f>
        <v>0</v>
      </c>
      <c r="BD322" s="777" cm="1">
        <f t="array" aca="1" ref="BD322" ca="1">INDIRECT("'Definition of Typical Day'!"&amp; ADDRESS($D322+29*(BD$16-1),$E322))</f>
        <v>0</v>
      </c>
      <c r="BE322" s="776">
        <f t="shared" si="356"/>
        <v>0</v>
      </c>
      <c r="BF322" s="771">
        <f t="shared" ca="1" si="357"/>
        <v>0</v>
      </c>
      <c r="BG322" s="771">
        <f t="shared" ca="1" si="358"/>
        <v>0</v>
      </c>
      <c r="BH322" s="771">
        <f t="shared" ca="1" si="359"/>
        <v>0</v>
      </c>
      <c r="BI322" s="776">
        <f t="shared" ca="1" si="360"/>
        <v>0</v>
      </c>
      <c r="BJ322" s="776">
        <f t="shared" ca="1" si="361"/>
        <v>0</v>
      </c>
      <c r="BK322" s="776">
        <f t="shared" ca="1" si="362"/>
        <v>0</v>
      </c>
      <c r="BL322" s="776">
        <f t="shared" ca="1" si="363"/>
        <v>0</v>
      </c>
      <c r="BM322" s="135"/>
      <c r="BN322" s="776">
        <f t="shared" ca="1" si="364"/>
        <v>0</v>
      </c>
      <c r="BO322" s="778">
        <f t="shared" ca="1" si="301"/>
        <v>0</v>
      </c>
      <c r="BP322" s="770">
        <f t="shared" ca="1" si="302"/>
        <v>0</v>
      </c>
      <c r="BQ322" s="771">
        <f t="shared" ca="1" si="303"/>
        <v>0</v>
      </c>
      <c r="BR322" s="771">
        <f t="shared" ca="1" si="304"/>
        <v>0</v>
      </c>
      <c r="BS322" s="776">
        <f t="shared" ca="1" si="365"/>
        <v>0</v>
      </c>
      <c r="BT322" s="776">
        <f t="shared" ca="1" si="305"/>
        <v>0</v>
      </c>
      <c r="BU322" s="783">
        <f t="shared" ca="1" si="306"/>
        <v>0</v>
      </c>
      <c r="BV322" s="783">
        <f t="shared" ca="1" si="307"/>
        <v>0</v>
      </c>
      <c r="BW322" s="1019">
        <f t="shared" ca="1" si="366"/>
        <v>0</v>
      </c>
      <c r="BX322" s="771" cm="1">
        <f t="array" aca="1" ref="BX322" ca="1">INDIRECT("'Definition of Typical Day'!"&amp; ADDRESS($D322+29*(BX$16-1),$E322))</f>
        <v>0</v>
      </c>
      <c r="BY322" s="771">
        <f t="shared" ca="1" si="367"/>
        <v>0</v>
      </c>
      <c r="BZ322" s="781">
        <f t="shared" ca="1" si="308"/>
        <v>0</v>
      </c>
      <c r="CA322" s="781">
        <f t="shared" ca="1" si="309"/>
        <v>0</v>
      </c>
      <c r="CB322" s="776">
        <f t="shared" ca="1" si="310"/>
        <v>0</v>
      </c>
      <c r="CC322" s="782">
        <f t="shared" si="311"/>
        <v>13</v>
      </c>
      <c r="CD322" s="782">
        <f t="shared" si="312"/>
        <v>14</v>
      </c>
      <c r="CE322" s="784" cm="1">
        <f t="array" aca="1" ref="CE322" ca="1">INDIRECT("'Definition of Typical Day'!"&amp;ADDRESS(CE$16,$E322))</f>
        <v>13</v>
      </c>
      <c r="CF322" s="232"/>
      <c r="CG322" s="232"/>
      <c r="CH322" s="776">
        <f t="shared" ca="1" si="313"/>
        <v>0</v>
      </c>
      <c r="CI322" s="806">
        <f t="shared" ca="1" si="314"/>
        <v>0</v>
      </c>
      <c r="CJ322" s="770">
        <f t="shared" ca="1" si="315"/>
        <v>0</v>
      </c>
      <c r="CK322" s="771">
        <f t="shared" ca="1" si="316"/>
        <v>0</v>
      </c>
      <c r="CL322" s="771">
        <f t="shared" ca="1" si="317"/>
        <v>0</v>
      </c>
      <c r="CM322" s="772">
        <f t="shared" ca="1" si="318"/>
        <v>0</v>
      </c>
      <c r="CN322" s="135"/>
      <c r="CO322" s="770">
        <f t="shared" ca="1" si="368"/>
        <v>1.05</v>
      </c>
      <c r="CP322" s="771">
        <f t="shared" ca="1" si="319"/>
        <v>0.02</v>
      </c>
      <c r="CQ322" s="771">
        <f t="shared" ca="1" si="320"/>
        <v>-2.5000000000000001E-2</v>
      </c>
      <c r="CR322" s="771">
        <f t="shared" ca="1" si="321"/>
        <v>0.95</v>
      </c>
      <c r="CS322" s="771">
        <f t="shared" ca="1" si="322"/>
        <v>0.03</v>
      </c>
      <c r="CT322" s="772">
        <f t="shared" ca="1" si="323"/>
        <v>0.02</v>
      </c>
      <c r="CU322" s="135"/>
      <c r="CV322" s="135"/>
      <c r="CW322" s="135"/>
      <c r="CX322" s="135"/>
      <c r="CY322" s="135"/>
      <c r="CZ322" s="135"/>
      <c r="DA322" s="135"/>
      <c r="DB322" s="135"/>
      <c r="DC322" s="135"/>
      <c r="DD322" s="135"/>
      <c r="DE322" s="135"/>
      <c r="DF322" s="135"/>
      <c r="DG322" s="135"/>
      <c r="DH322" s="135"/>
      <c r="DI322" s="135"/>
      <c r="DJ322" s="135"/>
      <c r="DK322" s="135"/>
      <c r="DL322" s="135"/>
      <c r="DX322" s="135"/>
      <c r="DY322" s="135"/>
      <c r="DZ322" s="135"/>
      <c r="EA322" s="135"/>
      <c r="EB322" s="135"/>
      <c r="EC322" s="135"/>
      <c r="ED322" s="135"/>
      <c r="EE322" s="135"/>
      <c r="EF322" s="135"/>
      <c r="EG322" s="135"/>
      <c r="EH322" s="135"/>
      <c r="EI322" s="135"/>
      <c r="EJ322" s="135"/>
      <c r="EK322" s="135"/>
      <c r="EL322" s="135"/>
      <c r="EM322" s="135"/>
      <c r="EN322" s="135"/>
      <c r="EO322" s="135"/>
      <c r="EP322" s="135"/>
      <c r="EQ322" s="135"/>
      <c r="ER322" s="135"/>
      <c r="ES322" s="135"/>
      <c r="ET322" s="135"/>
      <c r="EU322" s="135"/>
      <c r="EV322" s="135"/>
      <c r="EW322" s="135"/>
      <c r="EX322" s="135"/>
      <c r="EY322" s="135"/>
      <c r="EZ322" s="135"/>
      <c r="FA322" s="135"/>
      <c r="FB322" s="135"/>
      <c r="FC322" s="135"/>
      <c r="FD322" s="135"/>
      <c r="FE322" s="135"/>
      <c r="FF322" s="135"/>
      <c r="FG322" s="135"/>
    </row>
    <row r="323" spans="1:163" s="57" customFormat="1" ht="11.25" outlineLevel="1">
      <c r="A323" s="765">
        <f t="shared" si="369"/>
        <v>13</v>
      </c>
      <c r="B323" s="715" cm="1">
        <f t="array" aca="1" ref="B323" ca="1">INDIRECT("'Definition of Typical Day'!"&amp;ADDRESS(B$16,$E323))</f>
        <v>13</v>
      </c>
      <c r="C323" s="766">
        <f t="shared" si="370"/>
        <v>15</v>
      </c>
      <c r="D323" s="715">
        <f t="shared" si="370"/>
        <v>49</v>
      </c>
      <c r="E323" s="715">
        <f t="shared" si="298"/>
        <v>17</v>
      </c>
      <c r="F323" s="767" cm="1">
        <f t="array" aca="1" ref="F323" ca="1">INDIRECT("'Definition of Typical Day'!D"&amp;D323)</f>
        <v>15</v>
      </c>
      <c r="G323" s="767" cm="1">
        <f t="array" aca="1" ref="G323" ca="1">INDIRECT("'Definition of Typical Day'!"&amp;ADDRESS(13,E323))</f>
        <v>13</v>
      </c>
      <c r="H323" s="768" cm="1">
        <f t="array" aca="1" ref="H323" ca="1">INDIRECT("'Definition of Typical Day'!"&amp; ADDRESS($D323+28*(H$16-1),$E323))</f>
        <v>0</v>
      </c>
      <c r="I323" s="715" cm="1">
        <f t="array" aca="1" ref="I323" ca="1">INDIRECT("'Definition of Typical Day'!"&amp; ADDRESS($D323+29*(I$16-1),$E323))</f>
        <v>0</v>
      </c>
      <c r="J323" s="715">
        <f t="shared" ca="1" si="324"/>
        <v>0</v>
      </c>
      <c r="K323" s="785">
        <f t="shared" si="325"/>
        <v>28</v>
      </c>
      <c r="L323" s="786" cm="1">
        <f t="array" aca="1" ref="L323" ca="1">INDIRECT("'Definition of Typical Day'!"&amp; ADDRESS($D323+29*(L$16-1),$E323))</f>
        <v>0</v>
      </c>
      <c r="M323" s="768" cm="1">
        <f t="array" aca="1" ref="M323" ca="1">INDIRECT("'Definition of Typical Day'!"&amp; ADDRESS($D323+29*(M$16-1),$E323))</f>
        <v>0</v>
      </c>
      <c r="N323" s="715">
        <f t="shared" si="326"/>
        <v>3</v>
      </c>
      <c r="O323" s="715">
        <f t="shared" ca="1" si="327"/>
        <v>3</v>
      </c>
      <c r="P323" s="715" cm="1">
        <f t="array" aca="1" ref="P323" ca="1">INDIRECT("'Definition of Typical Day'!"&amp; ADDRESS($D323+29*(P$16-1),$E323))</f>
        <v>0</v>
      </c>
      <c r="Q323" s="787">
        <f t="shared" ca="1" si="328"/>
        <v>3</v>
      </c>
      <c r="R323" s="792">
        <f t="shared" ca="1" si="329"/>
        <v>3</v>
      </c>
      <c r="S323" s="769">
        <f t="shared" si="330"/>
        <v>3</v>
      </c>
      <c r="T323" s="769">
        <f t="shared" ca="1" si="331"/>
        <v>-0.5</v>
      </c>
      <c r="U323" s="769">
        <f t="shared" ca="1" si="332"/>
        <v>2.262</v>
      </c>
      <c r="V323" s="769">
        <f t="shared" ca="1" si="333"/>
        <v>0</v>
      </c>
      <c r="W323" s="769">
        <f t="shared" ca="1" si="334"/>
        <v>4.7620000000000005</v>
      </c>
      <c r="X323" s="794">
        <f t="shared" si="335"/>
        <v>3</v>
      </c>
      <c r="Y323" s="769">
        <f t="shared" ca="1" si="336"/>
        <v>0.54772255750516607</v>
      </c>
      <c r="Z323" s="769">
        <f t="shared" ca="1" si="337"/>
        <v>0</v>
      </c>
      <c r="AA323" s="795">
        <f t="shared" ca="1" si="338"/>
        <v>0</v>
      </c>
      <c r="AB323" s="769">
        <f t="shared" ca="1" si="339"/>
        <v>0</v>
      </c>
      <c r="AC323" s="769">
        <f t="shared" ca="1" si="340"/>
        <v>0</v>
      </c>
      <c r="AD323" s="769">
        <f t="shared" ca="1" si="341"/>
        <v>0</v>
      </c>
      <c r="AE323" s="794">
        <f t="shared" ca="1" si="342"/>
        <v>0</v>
      </c>
      <c r="AF323" s="769">
        <f t="shared" ca="1" si="343"/>
        <v>0</v>
      </c>
      <c r="AG323" s="769">
        <f t="shared" ca="1" si="344"/>
        <v>0</v>
      </c>
      <c r="AH323" s="799">
        <f t="shared" ca="1" si="345"/>
        <v>0</v>
      </c>
      <c r="AI323" s="801">
        <f t="shared" ca="1" si="346"/>
        <v>1</v>
      </c>
      <c r="AJ323" s="794">
        <f t="shared" ca="1" si="347"/>
        <v>0</v>
      </c>
      <c r="AK323" s="769">
        <f t="shared" ca="1" si="348"/>
        <v>0</v>
      </c>
      <c r="AL323" s="769">
        <f t="shared" ca="1" si="349"/>
        <v>0</v>
      </c>
      <c r="AM323" s="804">
        <f t="shared" ca="1" si="299"/>
        <v>0</v>
      </c>
      <c r="AN323" s="795">
        <f t="shared" ca="1" si="300"/>
        <v>0</v>
      </c>
      <c r="AO323" s="251"/>
      <c r="AP323" s="770">
        <f t="shared" si="350"/>
        <v>0</v>
      </c>
      <c r="AQ323" s="771">
        <f t="shared" ca="1" si="351"/>
        <v>0</v>
      </c>
      <c r="AR323" s="771">
        <f t="shared" ca="1" si="352"/>
        <v>0</v>
      </c>
      <c r="AS323" s="772">
        <f t="shared" ca="1" si="353"/>
        <v>0</v>
      </c>
      <c r="AT323" s="231"/>
      <c r="AU323" s="770">
        <f>'Main Results - IRR DC Operator'!$F$16</f>
        <v>2</v>
      </c>
      <c r="AV323" s="773">
        <f>'Main Results - IRR DC Operator'!$F$15</f>
        <v>1</v>
      </c>
      <c r="AW323" s="771">
        <f t="shared" ca="1" si="354"/>
        <v>0</v>
      </c>
      <c r="AX323" s="772">
        <f t="shared" si="355"/>
        <v>0</v>
      </c>
      <c r="AY323" s="231"/>
      <c r="AZ323" s="770" cm="1">
        <f t="array" aca="1" ref="AZ323" ca="1">INDIRECT("'Definition of Typical Day'!"&amp; ADDRESS($D323+29*(AZ$16-1),$E323))+$AZ$17</f>
        <v>11</v>
      </c>
      <c r="BA323" s="771" cm="1">
        <f t="array" aca="1" ref="BA323" ca="1">INDIRECT("'Definition of Typical Day'!"&amp; ADDRESS($D323+29*(BA$16-1),$E323))+$BA$17</f>
        <v>11</v>
      </c>
      <c r="BB323" s="772" cm="1">
        <f t="array" aca="1" ref="BB323" ca="1">INDIRECT("'Definition of Typical Day'!"&amp;ADDRESS(BB$16,$E323))</f>
        <v>0</v>
      </c>
      <c r="BC323" s="776" cm="1">
        <f t="array" aca="1" ref="BC323" ca="1">INDIRECT("'Definition of Typical Day'!"&amp; ADDRESS($D323+29*(BC$16-1),$E323))</f>
        <v>0</v>
      </c>
      <c r="BD323" s="777" cm="1">
        <f t="array" aca="1" ref="BD323" ca="1">INDIRECT("'Definition of Typical Day'!"&amp; ADDRESS($D323+29*(BD$16-1),$E323))</f>
        <v>0</v>
      </c>
      <c r="BE323" s="776">
        <f t="shared" si="356"/>
        <v>0</v>
      </c>
      <c r="BF323" s="771">
        <f t="shared" ca="1" si="357"/>
        <v>0</v>
      </c>
      <c r="BG323" s="771">
        <f t="shared" ca="1" si="358"/>
        <v>0</v>
      </c>
      <c r="BH323" s="771">
        <f t="shared" ca="1" si="359"/>
        <v>0</v>
      </c>
      <c r="BI323" s="776">
        <f t="shared" ca="1" si="360"/>
        <v>0</v>
      </c>
      <c r="BJ323" s="776">
        <f t="shared" ca="1" si="361"/>
        <v>0</v>
      </c>
      <c r="BK323" s="776">
        <f t="shared" ca="1" si="362"/>
        <v>0</v>
      </c>
      <c r="BL323" s="776">
        <f t="shared" ca="1" si="363"/>
        <v>0</v>
      </c>
      <c r="BM323" s="135"/>
      <c r="BN323" s="776">
        <f t="shared" ca="1" si="364"/>
        <v>0</v>
      </c>
      <c r="BO323" s="778">
        <f t="shared" ca="1" si="301"/>
        <v>0</v>
      </c>
      <c r="BP323" s="770">
        <f t="shared" ca="1" si="302"/>
        <v>0</v>
      </c>
      <c r="BQ323" s="771">
        <f t="shared" ca="1" si="303"/>
        <v>0</v>
      </c>
      <c r="BR323" s="771">
        <f t="shared" ca="1" si="304"/>
        <v>0</v>
      </c>
      <c r="BS323" s="776">
        <f t="shared" ca="1" si="365"/>
        <v>0</v>
      </c>
      <c r="BT323" s="776">
        <f t="shared" ca="1" si="305"/>
        <v>0</v>
      </c>
      <c r="BU323" s="783">
        <f t="shared" ca="1" si="306"/>
        <v>0</v>
      </c>
      <c r="BV323" s="783">
        <f t="shared" ca="1" si="307"/>
        <v>0</v>
      </c>
      <c r="BW323" s="1019">
        <f t="shared" ca="1" si="366"/>
        <v>0</v>
      </c>
      <c r="BX323" s="771" cm="1">
        <f t="array" aca="1" ref="BX323" ca="1">INDIRECT("'Definition of Typical Day'!"&amp; ADDRESS($D323+29*(BX$16-1),$E323))</f>
        <v>0</v>
      </c>
      <c r="BY323" s="771">
        <f t="shared" ca="1" si="367"/>
        <v>0</v>
      </c>
      <c r="BZ323" s="781">
        <f t="shared" ca="1" si="308"/>
        <v>0</v>
      </c>
      <c r="CA323" s="781">
        <f t="shared" ca="1" si="309"/>
        <v>0</v>
      </c>
      <c r="CB323" s="776">
        <f t="shared" ca="1" si="310"/>
        <v>0</v>
      </c>
      <c r="CC323" s="782">
        <f t="shared" si="311"/>
        <v>13</v>
      </c>
      <c r="CD323" s="782">
        <f t="shared" si="312"/>
        <v>15</v>
      </c>
      <c r="CE323" s="784" cm="1">
        <f t="array" aca="1" ref="CE323" ca="1">INDIRECT("'Definition of Typical Day'!"&amp;ADDRESS(CE$16,$E323))</f>
        <v>13</v>
      </c>
      <c r="CF323" s="232"/>
      <c r="CG323" s="232"/>
      <c r="CH323" s="776">
        <f t="shared" ca="1" si="313"/>
        <v>0</v>
      </c>
      <c r="CI323" s="806">
        <f t="shared" ca="1" si="314"/>
        <v>0</v>
      </c>
      <c r="CJ323" s="770">
        <f t="shared" ca="1" si="315"/>
        <v>0</v>
      </c>
      <c r="CK323" s="771">
        <f t="shared" ca="1" si="316"/>
        <v>0</v>
      </c>
      <c r="CL323" s="771">
        <f t="shared" ca="1" si="317"/>
        <v>0</v>
      </c>
      <c r="CM323" s="772">
        <f t="shared" ca="1" si="318"/>
        <v>0</v>
      </c>
      <c r="CN323" s="135"/>
      <c r="CO323" s="770">
        <f t="shared" ca="1" si="368"/>
        <v>1.05</v>
      </c>
      <c r="CP323" s="771">
        <f t="shared" ca="1" si="319"/>
        <v>0.02</v>
      </c>
      <c r="CQ323" s="771">
        <f t="shared" ca="1" si="320"/>
        <v>-2.5000000000000001E-2</v>
      </c>
      <c r="CR323" s="771">
        <f t="shared" ca="1" si="321"/>
        <v>0.95</v>
      </c>
      <c r="CS323" s="771">
        <f t="shared" ca="1" si="322"/>
        <v>0.03</v>
      </c>
      <c r="CT323" s="772">
        <f t="shared" ca="1" si="323"/>
        <v>0.02</v>
      </c>
      <c r="CU323" s="135"/>
      <c r="CV323" s="135"/>
      <c r="CW323" s="135"/>
      <c r="CX323" s="135"/>
      <c r="CY323" s="135"/>
      <c r="CZ323" s="135"/>
      <c r="DA323" s="135"/>
      <c r="DB323" s="135"/>
      <c r="DC323" s="135"/>
      <c r="DD323" s="135"/>
      <c r="DE323" s="135"/>
      <c r="DF323" s="135"/>
      <c r="DG323" s="135"/>
      <c r="DH323" s="135"/>
      <c r="DI323" s="135"/>
      <c r="DJ323" s="135"/>
      <c r="DK323" s="135"/>
      <c r="DL323" s="135"/>
      <c r="DX323" s="135"/>
      <c r="DY323" s="135"/>
      <c r="DZ323" s="135"/>
      <c r="EA323" s="135"/>
      <c r="EB323" s="135"/>
      <c r="EC323" s="135"/>
      <c r="ED323" s="135"/>
      <c r="EE323" s="135"/>
      <c r="EF323" s="135"/>
      <c r="EG323" s="135"/>
      <c r="EH323" s="135"/>
      <c r="EI323" s="135"/>
      <c r="EJ323" s="135"/>
      <c r="EK323" s="135"/>
      <c r="EL323" s="135"/>
      <c r="EM323" s="135"/>
      <c r="EN323" s="135"/>
      <c r="EO323" s="135"/>
      <c r="EP323" s="135"/>
      <c r="EQ323" s="135"/>
      <c r="ER323" s="135"/>
      <c r="ES323" s="135"/>
      <c r="ET323" s="135"/>
      <c r="EU323" s="135"/>
      <c r="EV323" s="135"/>
      <c r="EW323" s="135"/>
      <c r="EX323" s="135"/>
      <c r="EY323" s="135"/>
      <c r="EZ323" s="135"/>
      <c r="FA323" s="135"/>
      <c r="FB323" s="135"/>
      <c r="FC323" s="135"/>
      <c r="FD323" s="135"/>
      <c r="FE323" s="135"/>
      <c r="FF323" s="135"/>
      <c r="FG323" s="135"/>
    </row>
    <row r="324" spans="1:163" s="57" customFormat="1" ht="11.25" outlineLevel="1">
      <c r="A324" s="765">
        <f t="shared" si="369"/>
        <v>13</v>
      </c>
      <c r="B324" s="715" cm="1">
        <f t="array" aca="1" ref="B324" ca="1">INDIRECT("'Definition of Typical Day'!"&amp;ADDRESS(B$16,$E324))</f>
        <v>13</v>
      </c>
      <c r="C324" s="766">
        <f t="shared" si="370"/>
        <v>16</v>
      </c>
      <c r="D324" s="715">
        <f t="shared" si="370"/>
        <v>50</v>
      </c>
      <c r="E324" s="715">
        <f t="shared" si="298"/>
        <v>17</v>
      </c>
      <c r="F324" s="767" cm="1">
        <f t="array" aca="1" ref="F324" ca="1">INDIRECT("'Definition of Typical Day'!D"&amp;D324)</f>
        <v>16</v>
      </c>
      <c r="G324" s="767" cm="1">
        <f t="array" aca="1" ref="G324" ca="1">INDIRECT("'Definition of Typical Day'!"&amp;ADDRESS(13,E324))</f>
        <v>13</v>
      </c>
      <c r="H324" s="768" cm="1">
        <f t="array" aca="1" ref="H324" ca="1">INDIRECT("'Definition of Typical Day'!"&amp; ADDRESS($D324+28*(H$16-1),$E324))</f>
        <v>0</v>
      </c>
      <c r="I324" s="715" cm="1">
        <f t="array" aca="1" ref="I324" ca="1">INDIRECT("'Definition of Typical Day'!"&amp; ADDRESS($D324+29*(I$16-1),$E324))</f>
        <v>0</v>
      </c>
      <c r="J324" s="715">
        <f t="shared" ca="1" si="324"/>
        <v>0</v>
      </c>
      <c r="K324" s="785">
        <f t="shared" si="325"/>
        <v>28</v>
      </c>
      <c r="L324" s="786" cm="1">
        <f t="array" aca="1" ref="L324" ca="1">INDIRECT("'Definition of Typical Day'!"&amp; ADDRESS($D324+29*(L$16-1),$E324))</f>
        <v>0</v>
      </c>
      <c r="M324" s="768" cm="1">
        <f t="array" aca="1" ref="M324" ca="1">INDIRECT("'Definition of Typical Day'!"&amp; ADDRESS($D324+29*(M$16-1),$E324))</f>
        <v>0</v>
      </c>
      <c r="N324" s="715">
        <f t="shared" si="326"/>
        <v>3</v>
      </c>
      <c r="O324" s="715">
        <f t="shared" ca="1" si="327"/>
        <v>3</v>
      </c>
      <c r="P324" s="715" cm="1">
        <f t="array" aca="1" ref="P324" ca="1">INDIRECT("'Definition of Typical Day'!"&amp; ADDRESS($D324+29*(P$16-1),$E324))</f>
        <v>0</v>
      </c>
      <c r="Q324" s="787">
        <f t="shared" ca="1" si="328"/>
        <v>3</v>
      </c>
      <c r="R324" s="792">
        <f t="shared" ca="1" si="329"/>
        <v>3</v>
      </c>
      <c r="S324" s="769">
        <f t="shared" si="330"/>
        <v>3</v>
      </c>
      <c r="T324" s="769">
        <f t="shared" ca="1" si="331"/>
        <v>-0.5</v>
      </c>
      <c r="U324" s="769">
        <f t="shared" ca="1" si="332"/>
        <v>2.262</v>
      </c>
      <c r="V324" s="769">
        <f t="shared" ca="1" si="333"/>
        <v>0</v>
      </c>
      <c r="W324" s="769">
        <f t="shared" ca="1" si="334"/>
        <v>4.7620000000000005</v>
      </c>
      <c r="X324" s="794">
        <f t="shared" si="335"/>
        <v>3</v>
      </c>
      <c r="Y324" s="769">
        <f t="shared" ca="1" si="336"/>
        <v>0.54772255750516607</v>
      </c>
      <c r="Z324" s="769">
        <f t="shared" ca="1" si="337"/>
        <v>0</v>
      </c>
      <c r="AA324" s="795">
        <f t="shared" ca="1" si="338"/>
        <v>0</v>
      </c>
      <c r="AB324" s="769">
        <f t="shared" ca="1" si="339"/>
        <v>0</v>
      </c>
      <c r="AC324" s="769">
        <f t="shared" ca="1" si="340"/>
        <v>0</v>
      </c>
      <c r="AD324" s="769">
        <f t="shared" ca="1" si="341"/>
        <v>0</v>
      </c>
      <c r="AE324" s="794">
        <f t="shared" ca="1" si="342"/>
        <v>0</v>
      </c>
      <c r="AF324" s="769">
        <f t="shared" ca="1" si="343"/>
        <v>0</v>
      </c>
      <c r="AG324" s="769">
        <f t="shared" ca="1" si="344"/>
        <v>0</v>
      </c>
      <c r="AH324" s="799">
        <f t="shared" ca="1" si="345"/>
        <v>0</v>
      </c>
      <c r="AI324" s="801">
        <f t="shared" ca="1" si="346"/>
        <v>1</v>
      </c>
      <c r="AJ324" s="794">
        <f t="shared" ca="1" si="347"/>
        <v>0</v>
      </c>
      <c r="AK324" s="769">
        <f t="shared" ca="1" si="348"/>
        <v>0</v>
      </c>
      <c r="AL324" s="769">
        <f t="shared" ca="1" si="349"/>
        <v>0</v>
      </c>
      <c r="AM324" s="804">
        <f t="shared" ca="1" si="299"/>
        <v>0</v>
      </c>
      <c r="AN324" s="795">
        <f t="shared" ca="1" si="300"/>
        <v>0</v>
      </c>
      <c r="AO324" s="251"/>
      <c r="AP324" s="770">
        <f t="shared" si="350"/>
        <v>0</v>
      </c>
      <c r="AQ324" s="771">
        <f t="shared" ca="1" si="351"/>
        <v>0</v>
      </c>
      <c r="AR324" s="771">
        <f t="shared" ca="1" si="352"/>
        <v>0</v>
      </c>
      <c r="AS324" s="772">
        <f t="shared" ca="1" si="353"/>
        <v>0</v>
      </c>
      <c r="AT324" s="231"/>
      <c r="AU324" s="770">
        <f>'Main Results - IRR DC Operator'!$F$16</f>
        <v>2</v>
      </c>
      <c r="AV324" s="773">
        <f>'Main Results - IRR DC Operator'!$F$15</f>
        <v>1</v>
      </c>
      <c r="AW324" s="771">
        <f t="shared" ca="1" si="354"/>
        <v>0</v>
      </c>
      <c r="AX324" s="772">
        <f t="shared" si="355"/>
        <v>0</v>
      </c>
      <c r="AY324" s="231"/>
      <c r="AZ324" s="770" cm="1">
        <f t="array" aca="1" ref="AZ324" ca="1">INDIRECT("'Definition of Typical Day'!"&amp; ADDRESS($D324+29*(AZ$16-1),$E324))+$AZ$17</f>
        <v>11</v>
      </c>
      <c r="BA324" s="771" cm="1">
        <f t="array" aca="1" ref="BA324" ca="1">INDIRECT("'Definition of Typical Day'!"&amp; ADDRESS($D324+29*(BA$16-1),$E324))+$BA$17</f>
        <v>11</v>
      </c>
      <c r="BB324" s="772" cm="1">
        <f t="array" aca="1" ref="BB324" ca="1">INDIRECT("'Definition of Typical Day'!"&amp;ADDRESS(BB$16,$E324))</f>
        <v>0</v>
      </c>
      <c r="BC324" s="776" cm="1">
        <f t="array" aca="1" ref="BC324" ca="1">INDIRECT("'Definition of Typical Day'!"&amp; ADDRESS($D324+29*(BC$16-1),$E324))</f>
        <v>0</v>
      </c>
      <c r="BD324" s="777" cm="1">
        <f t="array" aca="1" ref="BD324" ca="1">INDIRECT("'Definition of Typical Day'!"&amp; ADDRESS($D324+29*(BD$16-1),$E324))</f>
        <v>0</v>
      </c>
      <c r="BE324" s="776">
        <f t="shared" si="356"/>
        <v>0</v>
      </c>
      <c r="BF324" s="771">
        <f t="shared" ca="1" si="357"/>
        <v>0</v>
      </c>
      <c r="BG324" s="771">
        <f t="shared" ca="1" si="358"/>
        <v>0</v>
      </c>
      <c r="BH324" s="771">
        <f t="shared" ca="1" si="359"/>
        <v>0</v>
      </c>
      <c r="BI324" s="776">
        <f t="shared" ca="1" si="360"/>
        <v>0</v>
      </c>
      <c r="BJ324" s="776">
        <f t="shared" ca="1" si="361"/>
        <v>0</v>
      </c>
      <c r="BK324" s="776">
        <f t="shared" ca="1" si="362"/>
        <v>0</v>
      </c>
      <c r="BL324" s="776">
        <f t="shared" ca="1" si="363"/>
        <v>0</v>
      </c>
      <c r="BM324" s="135"/>
      <c r="BN324" s="776">
        <f t="shared" ca="1" si="364"/>
        <v>0</v>
      </c>
      <c r="BO324" s="778">
        <f t="shared" ca="1" si="301"/>
        <v>0</v>
      </c>
      <c r="BP324" s="770">
        <f t="shared" ca="1" si="302"/>
        <v>0</v>
      </c>
      <c r="BQ324" s="771">
        <f t="shared" ca="1" si="303"/>
        <v>0</v>
      </c>
      <c r="BR324" s="771">
        <f t="shared" ca="1" si="304"/>
        <v>0</v>
      </c>
      <c r="BS324" s="776">
        <f t="shared" ca="1" si="365"/>
        <v>0</v>
      </c>
      <c r="BT324" s="776">
        <f t="shared" ca="1" si="305"/>
        <v>0</v>
      </c>
      <c r="BU324" s="783">
        <f t="shared" ca="1" si="306"/>
        <v>0</v>
      </c>
      <c r="BV324" s="783">
        <f t="shared" ca="1" si="307"/>
        <v>0</v>
      </c>
      <c r="BW324" s="1019">
        <f t="shared" ca="1" si="366"/>
        <v>0</v>
      </c>
      <c r="BX324" s="771" cm="1">
        <f t="array" aca="1" ref="BX324" ca="1">INDIRECT("'Definition of Typical Day'!"&amp; ADDRESS($D324+29*(BX$16-1),$E324))</f>
        <v>0</v>
      </c>
      <c r="BY324" s="771">
        <f t="shared" ca="1" si="367"/>
        <v>0</v>
      </c>
      <c r="BZ324" s="781">
        <f t="shared" ca="1" si="308"/>
        <v>0</v>
      </c>
      <c r="CA324" s="781">
        <f t="shared" ca="1" si="309"/>
        <v>0</v>
      </c>
      <c r="CB324" s="776">
        <f t="shared" ca="1" si="310"/>
        <v>0</v>
      </c>
      <c r="CC324" s="782">
        <f t="shared" si="311"/>
        <v>13</v>
      </c>
      <c r="CD324" s="782">
        <f t="shared" si="312"/>
        <v>16</v>
      </c>
      <c r="CE324" s="784" cm="1">
        <f t="array" aca="1" ref="CE324" ca="1">INDIRECT("'Definition of Typical Day'!"&amp;ADDRESS(CE$16,$E324))</f>
        <v>13</v>
      </c>
      <c r="CF324" s="232"/>
      <c r="CG324" s="232"/>
      <c r="CH324" s="776">
        <f t="shared" ca="1" si="313"/>
        <v>0</v>
      </c>
      <c r="CI324" s="806">
        <f t="shared" ca="1" si="314"/>
        <v>0</v>
      </c>
      <c r="CJ324" s="770">
        <f t="shared" ca="1" si="315"/>
        <v>0</v>
      </c>
      <c r="CK324" s="771">
        <f t="shared" ca="1" si="316"/>
        <v>0</v>
      </c>
      <c r="CL324" s="771">
        <f t="shared" ca="1" si="317"/>
        <v>0</v>
      </c>
      <c r="CM324" s="772">
        <f t="shared" ca="1" si="318"/>
        <v>0</v>
      </c>
      <c r="CN324" s="135"/>
      <c r="CO324" s="770">
        <f t="shared" ca="1" si="368"/>
        <v>1.05</v>
      </c>
      <c r="CP324" s="771">
        <f t="shared" ca="1" si="319"/>
        <v>0.02</v>
      </c>
      <c r="CQ324" s="771">
        <f t="shared" ca="1" si="320"/>
        <v>-2.5000000000000001E-2</v>
      </c>
      <c r="CR324" s="771">
        <f t="shared" ca="1" si="321"/>
        <v>0.95</v>
      </c>
      <c r="CS324" s="771">
        <f t="shared" ca="1" si="322"/>
        <v>0.03</v>
      </c>
      <c r="CT324" s="772">
        <f t="shared" ca="1" si="323"/>
        <v>0.02</v>
      </c>
      <c r="CU324" s="135"/>
      <c r="CV324" s="135"/>
      <c r="CW324" s="135"/>
      <c r="CX324" s="135"/>
      <c r="CY324" s="135"/>
      <c r="CZ324" s="135"/>
      <c r="DA324" s="135"/>
      <c r="DB324" s="135"/>
      <c r="DC324" s="135"/>
      <c r="DD324" s="135"/>
      <c r="DE324" s="135"/>
      <c r="DF324" s="135"/>
      <c r="DG324" s="135"/>
      <c r="DH324" s="135"/>
      <c r="DI324" s="135"/>
      <c r="DJ324" s="135"/>
      <c r="DK324" s="135"/>
      <c r="DL324" s="135"/>
      <c r="DX324" s="135"/>
      <c r="DY324" s="135"/>
      <c r="DZ324" s="135"/>
      <c r="EA324" s="135"/>
      <c r="EB324" s="135"/>
      <c r="EC324" s="135"/>
      <c r="ED324" s="135"/>
      <c r="EE324" s="135"/>
      <c r="EF324" s="135"/>
      <c r="EG324" s="135"/>
      <c r="EH324" s="135"/>
      <c r="EI324" s="135"/>
      <c r="EJ324" s="135"/>
      <c r="EK324" s="135"/>
      <c r="EL324" s="135"/>
      <c r="EM324" s="135"/>
      <c r="EN324" s="135"/>
      <c r="EO324" s="135"/>
      <c r="EP324" s="135"/>
      <c r="EQ324" s="135"/>
      <c r="ER324" s="135"/>
      <c r="ES324" s="135"/>
      <c r="ET324" s="135"/>
      <c r="EU324" s="135"/>
      <c r="EV324" s="135"/>
      <c r="EW324" s="135"/>
      <c r="EX324" s="135"/>
      <c r="EY324" s="135"/>
      <c r="EZ324" s="135"/>
      <c r="FA324" s="135"/>
      <c r="FB324" s="135"/>
      <c r="FC324" s="135"/>
      <c r="FD324" s="135"/>
      <c r="FE324" s="135"/>
      <c r="FF324" s="135"/>
      <c r="FG324" s="135"/>
    </row>
    <row r="325" spans="1:163" s="57" customFormat="1" ht="11.25" outlineLevel="1">
      <c r="A325" s="765">
        <f t="shared" si="369"/>
        <v>13</v>
      </c>
      <c r="B325" s="715" cm="1">
        <f t="array" aca="1" ref="B325" ca="1">INDIRECT("'Definition of Typical Day'!"&amp;ADDRESS(B$16,$E325))</f>
        <v>13</v>
      </c>
      <c r="C325" s="766">
        <f t="shared" si="370"/>
        <v>17</v>
      </c>
      <c r="D325" s="715">
        <f t="shared" si="370"/>
        <v>51</v>
      </c>
      <c r="E325" s="715">
        <f t="shared" si="298"/>
        <v>17</v>
      </c>
      <c r="F325" s="767" cm="1">
        <f t="array" aca="1" ref="F325" ca="1">INDIRECT("'Definition of Typical Day'!D"&amp;D325)</f>
        <v>17</v>
      </c>
      <c r="G325" s="767" cm="1">
        <f t="array" aca="1" ref="G325" ca="1">INDIRECT("'Definition of Typical Day'!"&amp;ADDRESS(13,E325))</f>
        <v>13</v>
      </c>
      <c r="H325" s="768" cm="1">
        <f t="array" aca="1" ref="H325" ca="1">INDIRECT("'Definition of Typical Day'!"&amp; ADDRESS($D325+28*(H$16-1),$E325))</f>
        <v>0</v>
      </c>
      <c r="I325" s="715" cm="1">
        <f t="array" aca="1" ref="I325" ca="1">INDIRECT("'Definition of Typical Day'!"&amp; ADDRESS($D325+29*(I$16-1),$E325))</f>
        <v>0</v>
      </c>
      <c r="J325" s="715">
        <f t="shared" ca="1" si="324"/>
        <v>0</v>
      </c>
      <c r="K325" s="785">
        <f t="shared" si="325"/>
        <v>28</v>
      </c>
      <c r="L325" s="786" cm="1">
        <f t="array" aca="1" ref="L325" ca="1">INDIRECT("'Definition of Typical Day'!"&amp; ADDRESS($D325+29*(L$16-1),$E325))</f>
        <v>0</v>
      </c>
      <c r="M325" s="768" cm="1">
        <f t="array" aca="1" ref="M325" ca="1">INDIRECT("'Definition of Typical Day'!"&amp; ADDRESS($D325+29*(M$16-1),$E325))</f>
        <v>0</v>
      </c>
      <c r="N325" s="715">
        <f t="shared" si="326"/>
        <v>3</v>
      </c>
      <c r="O325" s="715">
        <f t="shared" ca="1" si="327"/>
        <v>3</v>
      </c>
      <c r="P325" s="715" cm="1">
        <f t="array" aca="1" ref="P325" ca="1">INDIRECT("'Definition of Typical Day'!"&amp; ADDRESS($D325+29*(P$16-1),$E325))</f>
        <v>0</v>
      </c>
      <c r="Q325" s="787">
        <f t="shared" ca="1" si="328"/>
        <v>3</v>
      </c>
      <c r="R325" s="792">
        <f t="shared" ca="1" si="329"/>
        <v>3</v>
      </c>
      <c r="S325" s="769">
        <f t="shared" si="330"/>
        <v>3</v>
      </c>
      <c r="T325" s="769">
        <f t="shared" ca="1" si="331"/>
        <v>-0.5</v>
      </c>
      <c r="U325" s="769">
        <f t="shared" ca="1" si="332"/>
        <v>2.262</v>
      </c>
      <c r="V325" s="769">
        <f t="shared" ca="1" si="333"/>
        <v>0</v>
      </c>
      <c r="W325" s="769">
        <f t="shared" ca="1" si="334"/>
        <v>4.7620000000000005</v>
      </c>
      <c r="X325" s="794">
        <f t="shared" si="335"/>
        <v>3</v>
      </c>
      <c r="Y325" s="769">
        <f t="shared" ca="1" si="336"/>
        <v>0.54772255750516607</v>
      </c>
      <c r="Z325" s="769">
        <f t="shared" ca="1" si="337"/>
        <v>0</v>
      </c>
      <c r="AA325" s="795">
        <f t="shared" ca="1" si="338"/>
        <v>0</v>
      </c>
      <c r="AB325" s="769">
        <f t="shared" ca="1" si="339"/>
        <v>0</v>
      </c>
      <c r="AC325" s="769">
        <f t="shared" ca="1" si="340"/>
        <v>0</v>
      </c>
      <c r="AD325" s="769">
        <f t="shared" ca="1" si="341"/>
        <v>0</v>
      </c>
      <c r="AE325" s="794">
        <f t="shared" ca="1" si="342"/>
        <v>0</v>
      </c>
      <c r="AF325" s="769">
        <f t="shared" ca="1" si="343"/>
        <v>0</v>
      </c>
      <c r="AG325" s="769">
        <f t="shared" ca="1" si="344"/>
        <v>0</v>
      </c>
      <c r="AH325" s="799">
        <f t="shared" ca="1" si="345"/>
        <v>0</v>
      </c>
      <c r="AI325" s="801">
        <f t="shared" ca="1" si="346"/>
        <v>1</v>
      </c>
      <c r="AJ325" s="794">
        <f t="shared" ca="1" si="347"/>
        <v>0</v>
      </c>
      <c r="AK325" s="769">
        <f t="shared" ca="1" si="348"/>
        <v>0</v>
      </c>
      <c r="AL325" s="769">
        <f t="shared" ca="1" si="349"/>
        <v>0</v>
      </c>
      <c r="AM325" s="804">
        <f t="shared" ca="1" si="299"/>
        <v>0</v>
      </c>
      <c r="AN325" s="795">
        <f t="shared" ca="1" si="300"/>
        <v>0</v>
      </c>
      <c r="AO325" s="251"/>
      <c r="AP325" s="770">
        <f t="shared" si="350"/>
        <v>0</v>
      </c>
      <c r="AQ325" s="771">
        <f t="shared" ca="1" si="351"/>
        <v>0</v>
      </c>
      <c r="AR325" s="771">
        <f t="shared" ca="1" si="352"/>
        <v>0</v>
      </c>
      <c r="AS325" s="772">
        <f t="shared" ca="1" si="353"/>
        <v>0</v>
      </c>
      <c r="AT325" s="231"/>
      <c r="AU325" s="770">
        <f>'Main Results - IRR DC Operator'!$F$16</f>
        <v>2</v>
      </c>
      <c r="AV325" s="773">
        <f>'Main Results - IRR DC Operator'!$F$15</f>
        <v>1</v>
      </c>
      <c r="AW325" s="771">
        <f t="shared" ca="1" si="354"/>
        <v>0</v>
      </c>
      <c r="AX325" s="772">
        <f t="shared" si="355"/>
        <v>0</v>
      </c>
      <c r="AY325" s="231"/>
      <c r="AZ325" s="770" cm="1">
        <f t="array" aca="1" ref="AZ325" ca="1">INDIRECT("'Definition of Typical Day'!"&amp; ADDRESS($D325+29*(AZ$16-1),$E325))+$AZ$17</f>
        <v>11</v>
      </c>
      <c r="BA325" s="771" cm="1">
        <f t="array" aca="1" ref="BA325" ca="1">INDIRECT("'Definition of Typical Day'!"&amp; ADDRESS($D325+29*(BA$16-1),$E325))+$BA$17</f>
        <v>11</v>
      </c>
      <c r="BB325" s="772" cm="1">
        <f t="array" aca="1" ref="BB325" ca="1">INDIRECT("'Definition of Typical Day'!"&amp;ADDRESS(BB$16,$E325))</f>
        <v>0</v>
      </c>
      <c r="BC325" s="776" cm="1">
        <f t="array" aca="1" ref="BC325" ca="1">INDIRECT("'Definition of Typical Day'!"&amp; ADDRESS($D325+29*(BC$16-1),$E325))</f>
        <v>0</v>
      </c>
      <c r="BD325" s="777" cm="1">
        <f t="array" aca="1" ref="BD325" ca="1">INDIRECT("'Definition of Typical Day'!"&amp; ADDRESS($D325+29*(BD$16-1),$E325))</f>
        <v>0</v>
      </c>
      <c r="BE325" s="776">
        <f t="shared" si="356"/>
        <v>0</v>
      </c>
      <c r="BF325" s="771">
        <f t="shared" ca="1" si="357"/>
        <v>0</v>
      </c>
      <c r="BG325" s="771">
        <f t="shared" ca="1" si="358"/>
        <v>0</v>
      </c>
      <c r="BH325" s="771">
        <f t="shared" ca="1" si="359"/>
        <v>0</v>
      </c>
      <c r="BI325" s="776">
        <f t="shared" ca="1" si="360"/>
        <v>0</v>
      </c>
      <c r="BJ325" s="776">
        <f t="shared" ca="1" si="361"/>
        <v>0</v>
      </c>
      <c r="BK325" s="776">
        <f t="shared" ca="1" si="362"/>
        <v>0</v>
      </c>
      <c r="BL325" s="776">
        <f t="shared" ca="1" si="363"/>
        <v>0</v>
      </c>
      <c r="BM325" s="135"/>
      <c r="BN325" s="776">
        <f t="shared" ca="1" si="364"/>
        <v>0</v>
      </c>
      <c r="BO325" s="778">
        <f t="shared" ca="1" si="301"/>
        <v>0</v>
      </c>
      <c r="BP325" s="770">
        <f t="shared" ca="1" si="302"/>
        <v>0</v>
      </c>
      <c r="BQ325" s="771">
        <f t="shared" ca="1" si="303"/>
        <v>0</v>
      </c>
      <c r="BR325" s="771">
        <f t="shared" ca="1" si="304"/>
        <v>0</v>
      </c>
      <c r="BS325" s="776">
        <f t="shared" ca="1" si="365"/>
        <v>0</v>
      </c>
      <c r="BT325" s="776">
        <f t="shared" ca="1" si="305"/>
        <v>0</v>
      </c>
      <c r="BU325" s="783">
        <f t="shared" ca="1" si="306"/>
        <v>0</v>
      </c>
      <c r="BV325" s="783">
        <f t="shared" ca="1" si="307"/>
        <v>0</v>
      </c>
      <c r="BW325" s="1019">
        <f t="shared" ca="1" si="366"/>
        <v>0</v>
      </c>
      <c r="BX325" s="771" cm="1">
        <f t="array" aca="1" ref="BX325" ca="1">INDIRECT("'Definition of Typical Day'!"&amp; ADDRESS($D325+29*(BX$16-1),$E325))</f>
        <v>0</v>
      </c>
      <c r="BY325" s="771">
        <f t="shared" ca="1" si="367"/>
        <v>0</v>
      </c>
      <c r="BZ325" s="781">
        <f t="shared" ca="1" si="308"/>
        <v>0</v>
      </c>
      <c r="CA325" s="781">
        <f t="shared" ca="1" si="309"/>
        <v>0</v>
      </c>
      <c r="CB325" s="776">
        <f t="shared" ca="1" si="310"/>
        <v>0</v>
      </c>
      <c r="CC325" s="782">
        <f t="shared" si="311"/>
        <v>13</v>
      </c>
      <c r="CD325" s="782">
        <f t="shared" si="312"/>
        <v>17</v>
      </c>
      <c r="CE325" s="784" cm="1">
        <f t="array" aca="1" ref="CE325" ca="1">INDIRECT("'Definition of Typical Day'!"&amp;ADDRESS(CE$16,$E325))</f>
        <v>13</v>
      </c>
      <c r="CF325" s="232"/>
      <c r="CG325" s="232"/>
      <c r="CH325" s="776">
        <f t="shared" ca="1" si="313"/>
        <v>0</v>
      </c>
      <c r="CI325" s="806">
        <f t="shared" ca="1" si="314"/>
        <v>0</v>
      </c>
      <c r="CJ325" s="770">
        <f t="shared" ca="1" si="315"/>
        <v>0</v>
      </c>
      <c r="CK325" s="771">
        <f t="shared" ca="1" si="316"/>
        <v>0</v>
      </c>
      <c r="CL325" s="771">
        <f t="shared" ca="1" si="317"/>
        <v>0</v>
      </c>
      <c r="CM325" s="772">
        <f t="shared" ca="1" si="318"/>
        <v>0</v>
      </c>
      <c r="CN325" s="135"/>
      <c r="CO325" s="770">
        <f t="shared" ca="1" si="368"/>
        <v>1.05</v>
      </c>
      <c r="CP325" s="771">
        <f t="shared" ca="1" si="319"/>
        <v>0.02</v>
      </c>
      <c r="CQ325" s="771">
        <f t="shared" ca="1" si="320"/>
        <v>-2.5000000000000001E-2</v>
      </c>
      <c r="CR325" s="771">
        <f t="shared" ca="1" si="321"/>
        <v>0.95</v>
      </c>
      <c r="CS325" s="771">
        <f t="shared" ca="1" si="322"/>
        <v>0.03</v>
      </c>
      <c r="CT325" s="772">
        <f t="shared" ca="1" si="323"/>
        <v>0.02</v>
      </c>
      <c r="CU325" s="135"/>
      <c r="CV325" s="135"/>
      <c r="CW325" s="135"/>
      <c r="CX325" s="135"/>
      <c r="CY325" s="135"/>
      <c r="CZ325" s="135"/>
      <c r="DA325" s="135"/>
      <c r="DB325" s="135"/>
      <c r="DC325" s="135"/>
      <c r="DD325" s="135"/>
      <c r="DE325" s="135"/>
      <c r="DF325" s="135"/>
      <c r="DG325" s="135"/>
      <c r="DH325" s="135"/>
      <c r="DI325" s="135"/>
      <c r="DJ325" s="135"/>
      <c r="DK325" s="135"/>
      <c r="DL325" s="135"/>
      <c r="DX325" s="135"/>
      <c r="DY325" s="135"/>
      <c r="DZ325" s="135"/>
      <c r="EA325" s="135"/>
      <c r="EB325" s="135"/>
      <c r="EC325" s="135"/>
      <c r="ED325" s="135"/>
      <c r="EE325" s="135"/>
      <c r="EF325" s="135"/>
      <c r="EG325" s="135"/>
      <c r="EH325" s="135"/>
      <c r="EI325" s="135"/>
      <c r="EJ325" s="135"/>
      <c r="EK325" s="135"/>
      <c r="EL325" s="135"/>
      <c r="EM325" s="135"/>
      <c r="EN325" s="135"/>
      <c r="EO325" s="135"/>
      <c r="EP325" s="135"/>
      <c r="EQ325" s="135"/>
      <c r="ER325" s="135"/>
      <c r="ES325" s="135"/>
      <c r="ET325" s="135"/>
      <c r="EU325" s="135"/>
      <c r="EV325" s="135"/>
      <c r="EW325" s="135"/>
      <c r="EX325" s="135"/>
      <c r="EY325" s="135"/>
      <c r="EZ325" s="135"/>
      <c r="FA325" s="135"/>
      <c r="FB325" s="135"/>
      <c r="FC325" s="135"/>
      <c r="FD325" s="135"/>
      <c r="FE325" s="135"/>
      <c r="FF325" s="135"/>
      <c r="FG325" s="135"/>
    </row>
    <row r="326" spans="1:163" s="57" customFormat="1" ht="11.25" outlineLevel="1">
      <c r="A326" s="765">
        <f t="shared" si="369"/>
        <v>13</v>
      </c>
      <c r="B326" s="715" cm="1">
        <f t="array" aca="1" ref="B326" ca="1">INDIRECT("'Definition of Typical Day'!"&amp;ADDRESS(B$16,$E326))</f>
        <v>13</v>
      </c>
      <c r="C326" s="766">
        <f t="shared" si="370"/>
        <v>18</v>
      </c>
      <c r="D326" s="715">
        <f t="shared" si="370"/>
        <v>52</v>
      </c>
      <c r="E326" s="715">
        <f t="shared" si="298"/>
        <v>17</v>
      </c>
      <c r="F326" s="767" cm="1">
        <f t="array" aca="1" ref="F326" ca="1">INDIRECT("'Definition of Typical Day'!D"&amp;D326)</f>
        <v>18</v>
      </c>
      <c r="G326" s="767" cm="1">
        <f t="array" aca="1" ref="G326" ca="1">INDIRECT("'Definition of Typical Day'!"&amp;ADDRESS(13,E326))</f>
        <v>13</v>
      </c>
      <c r="H326" s="768" cm="1">
        <f t="array" aca="1" ref="H326" ca="1">INDIRECT("'Definition of Typical Day'!"&amp; ADDRESS($D326+28*(H$16-1),$E326))</f>
        <v>0</v>
      </c>
      <c r="I326" s="715" cm="1">
        <f t="array" aca="1" ref="I326" ca="1">INDIRECT("'Definition of Typical Day'!"&amp; ADDRESS($D326+29*(I$16-1),$E326))</f>
        <v>0</v>
      </c>
      <c r="J326" s="715">
        <f t="shared" ca="1" si="324"/>
        <v>0</v>
      </c>
      <c r="K326" s="785">
        <f t="shared" si="325"/>
        <v>28</v>
      </c>
      <c r="L326" s="786" cm="1">
        <f t="array" aca="1" ref="L326" ca="1">INDIRECT("'Definition of Typical Day'!"&amp; ADDRESS($D326+29*(L$16-1),$E326))</f>
        <v>0</v>
      </c>
      <c r="M326" s="768" cm="1">
        <f t="array" aca="1" ref="M326" ca="1">INDIRECT("'Definition of Typical Day'!"&amp; ADDRESS($D326+29*(M$16-1),$E326))</f>
        <v>0</v>
      </c>
      <c r="N326" s="715">
        <f t="shared" si="326"/>
        <v>3</v>
      </c>
      <c r="O326" s="715">
        <f t="shared" ca="1" si="327"/>
        <v>3</v>
      </c>
      <c r="P326" s="715" cm="1">
        <f t="array" aca="1" ref="P326" ca="1">INDIRECT("'Definition of Typical Day'!"&amp; ADDRESS($D326+29*(P$16-1),$E326))</f>
        <v>0</v>
      </c>
      <c r="Q326" s="787">
        <f t="shared" ca="1" si="328"/>
        <v>3</v>
      </c>
      <c r="R326" s="792">
        <f t="shared" ca="1" si="329"/>
        <v>3</v>
      </c>
      <c r="S326" s="769">
        <f t="shared" si="330"/>
        <v>3</v>
      </c>
      <c r="T326" s="769">
        <f t="shared" ca="1" si="331"/>
        <v>-0.5</v>
      </c>
      <c r="U326" s="769">
        <f t="shared" ca="1" si="332"/>
        <v>2.262</v>
      </c>
      <c r="V326" s="769">
        <f t="shared" ca="1" si="333"/>
        <v>0</v>
      </c>
      <c r="W326" s="769">
        <f t="shared" ca="1" si="334"/>
        <v>4.7620000000000005</v>
      </c>
      <c r="X326" s="794">
        <f t="shared" si="335"/>
        <v>3</v>
      </c>
      <c r="Y326" s="769">
        <f t="shared" ca="1" si="336"/>
        <v>0.54772255750516607</v>
      </c>
      <c r="Z326" s="769">
        <f t="shared" ca="1" si="337"/>
        <v>0</v>
      </c>
      <c r="AA326" s="795">
        <f t="shared" ca="1" si="338"/>
        <v>0</v>
      </c>
      <c r="AB326" s="769">
        <f t="shared" ca="1" si="339"/>
        <v>0</v>
      </c>
      <c r="AC326" s="769">
        <f t="shared" ca="1" si="340"/>
        <v>0</v>
      </c>
      <c r="AD326" s="769">
        <f t="shared" ca="1" si="341"/>
        <v>0</v>
      </c>
      <c r="AE326" s="794">
        <f t="shared" ca="1" si="342"/>
        <v>0</v>
      </c>
      <c r="AF326" s="769">
        <f t="shared" ca="1" si="343"/>
        <v>0</v>
      </c>
      <c r="AG326" s="769">
        <f t="shared" ca="1" si="344"/>
        <v>0</v>
      </c>
      <c r="AH326" s="799">
        <f t="shared" ca="1" si="345"/>
        <v>0</v>
      </c>
      <c r="AI326" s="801">
        <f t="shared" ca="1" si="346"/>
        <v>1</v>
      </c>
      <c r="AJ326" s="794">
        <f t="shared" ca="1" si="347"/>
        <v>0</v>
      </c>
      <c r="AK326" s="769">
        <f t="shared" ca="1" si="348"/>
        <v>0</v>
      </c>
      <c r="AL326" s="769">
        <f t="shared" ca="1" si="349"/>
        <v>0</v>
      </c>
      <c r="AM326" s="804">
        <f t="shared" ca="1" si="299"/>
        <v>0</v>
      </c>
      <c r="AN326" s="795">
        <f t="shared" ca="1" si="300"/>
        <v>0</v>
      </c>
      <c r="AO326" s="251"/>
      <c r="AP326" s="770">
        <f t="shared" si="350"/>
        <v>0</v>
      </c>
      <c r="AQ326" s="771">
        <f t="shared" ca="1" si="351"/>
        <v>0</v>
      </c>
      <c r="AR326" s="771">
        <f t="shared" ca="1" si="352"/>
        <v>0</v>
      </c>
      <c r="AS326" s="772">
        <f t="shared" ca="1" si="353"/>
        <v>0</v>
      </c>
      <c r="AT326" s="231"/>
      <c r="AU326" s="770">
        <f>'Main Results - IRR DC Operator'!$F$16</f>
        <v>2</v>
      </c>
      <c r="AV326" s="773">
        <f>'Main Results - IRR DC Operator'!$F$15</f>
        <v>1</v>
      </c>
      <c r="AW326" s="771">
        <f t="shared" ca="1" si="354"/>
        <v>0</v>
      </c>
      <c r="AX326" s="772">
        <f t="shared" si="355"/>
        <v>0</v>
      </c>
      <c r="AY326" s="231"/>
      <c r="AZ326" s="770" cm="1">
        <f t="array" aca="1" ref="AZ326" ca="1">INDIRECT("'Definition of Typical Day'!"&amp; ADDRESS($D326+29*(AZ$16-1),$E326))+$AZ$17</f>
        <v>11</v>
      </c>
      <c r="BA326" s="771" cm="1">
        <f t="array" aca="1" ref="BA326" ca="1">INDIRECT("'Definition of Typical Day'!"&amp; ADDRESS($D326+29*(BA$16-1),$E326))+$BA$17</f>
        <v>11</v>
      </c>
      <c r="BB326" s="772" cm="1">
        <f t="array" aca="1" ref="BB326" ca="1">INDIRECT("'Definition of Typical Day'!"&amp;ADDRESS(BB$16,$E326))</f>
        <v>0</v>
      </c>
      <c r="BC326" s="776" cm="1">
        <f t="array" aca="1" ref="BC326" ca="1">INDIRECT("'Definition of Typical Day'!"&amp; ADDRESS($D326+29*(BC$16-1),$E326))</f>
        <v>0</v>
      </c>
      <c r="BD326" s="777" cm="1">
        <f t="array" aca="1" ref="BD326" ca="1">INDIRECT("'Definition of Typical Day'!"&amp; ADDRESS($D326+29*(BD$16-1),$E326))</f>
        <v>0</v>
      </c>
      <c r="BE326" s="776">
        <f t="shared" si="356"/>
        <v>0</v>
      </c>
      <c r="BF326" s="771">
        <f t="shared" ca="1" si="357"/>
        <v>0</v>
      </c>
      <c r="BG326" s="771">
        <f t="shared" ca="1" si="358"/>
        <v>0</v>
      </c>
      <c r="BH326" s="771">
        <f t="shared" ca="1" si="359"/>
        <v>0</v>
      </c>
      <c r="BI326" s="776">
        <f t="shared" ca="1" si="360"/>
        <v>0</v>
      </c>
      <c r="BJ326" s="776">
        <f t="shared" ca="1" si="361"/>
        <v>0</v>
      </c>
      <c r="BK326" s="776">
        <f t="shared" ca="1" si="362"/>
        <v>0</v>
      </c>
      <c r="BL326" s="776">
        <f t="shared" ca="1" si="363"/>
        <v>0</v>
      </c>
      <c r="BM326" s="135"/>
      <c r="BN326" s="776">
        <f t="shared" ca="1" si="364"/>
        <v>0</v>
      </c>
      <c r="BO326" s="778">
        <f t="shared" ca="1" si="301"/>
        <v>0</v>
      </c>
      <c r="BP326" s="770">
        <f t="shared" ca="1" si="302"/>
        <v>0</v>
      </c>
      <c r="BQ326" s="771">
        <f t="shared" ca="1" si="303"/>
        <v>0</v>
      </c>
      <c r="BR326" s="771">
        <f t="shared" ca="1" si="304"/>
        <v>0</v>
      </c>
      <c r="BS326" s="776">
        <f t="shared" ca="1" si="365"/>
        <v>0</v>
      </c>
      <c r="BT326" s="776">
        <f t="shared" ca="1" si="305"/>
        <v>0</v>
      </c>
      <c r="BU326" s="783">
        <f t="shared" ca="1" si="306"/>
        <v>0</v>
      </c>
      <c r="BV326" s="783">
        <f t="shared" ca="1" si="307"/>
        <v>0</v>
      </c>
      <c r="BW326" s="1019">
        <f t="shared" ca="1" si="366"/>
        <v>0</v>
      </c>
      <c r="BX326" s="771" cm="1">
        <f t="array" aca="1" ref="BX326" ca="1">INDIRECT("'Definition of Typical Day'!"&amp; ADDRESS($D326+29*(BX$16-1),$E326))</f>
        <v>0</v>
      </c>
      <c r="BY326" s="771">
        <f t="shared" ca="1" si="367"/>
        <v>0</v>
      </c>
      <c r="BZ326" s="781">
        <f t="shared" ca="1" si="308"/>
        <v>0</v>
      </c>
      <c r="CA326" s="781">
        <f t="shared" ca="1" si="309"/>
        <v>0</v>
      </c>
      <c r="CB326" s="776">
        <f t="shared" ca="1" si="310"/>
        <v>0</v>
      </c>
      <c r="CC326" s="782">
        <f t="shared" si="311"/>
        <v>13</v>
      </c>
      <c r="CD326" s="782">
        <f t="shared" si="312"/>
        <v>18</v>
      </c>
      <c r="CE326" s="784" cm="1">
        <f t="array" aca="1" ref="CE326" ca="1">INDIRECT("'Definition of Typical Day'!"&amp;ADDRESS(CE$16,$E326))</f>
        <v>13</v>
      </c>
      <c r="CF326" s="232"/>
      <c r="CG326" s="232"/>
      <c r="CH326" s="776">
        <f t="shared" ca="1" si="313"/>
        <v>0</v>
      </c>
      <c r="CI326" s="806">
        <f t="shared" ca="1" si="314"/>
        <v>0</v>
      </c>
      <c r="CJ326" s="770">
        <f t="shared" ca="1" si="315"/>
        <v>0</v>
      </c>
      <c r="CK326" s="771">
        <f t="shared" ca="1" si="316"/>
        <v>0</v>
      </c>
      <c r="CL326" s="771">
        <f t="shared" ca="1" si="317"/>
        <v>0</v>
      </c>
      <c r="CM326" s="772">
        <f t="shared" ca="1" si="318"/>
        <v>0</v>
      </c>
      <c r="CN326" s="135"/>
      <c r="CO326" s="770">
        <f t="shared" ca="1" si="368"/>
        <v>1.05</v>
      </c>
      <c r="CP326" s="771">
        <f t="shared" ca="1" si="319"/>
        <v>0.02</v>
      </c>
      <c r="CQ326" s="771">
        <f t="shared" ca="1" si="320"/>
        <v>-2.5000000000000001E-2</v>
      </c>
      <c r="CR326" s="771">
        <f t="shared" ca="1" si="321"/>
        <v>0.95</v>
      </c>
      <c r="CS326" s="771">
        <f t="shared" ca="1" si="322"/>
        <v>0.03</v>
      </c>
      <c r="CT326" s="772">
        <f t="shared" ca="1" si="323"/>
        <v>0.02</v>
      </c>
      <c r="CU326" s="135"/>
      <c r="CV326" s="135"/>
      <c r="CW326" s="135"/>
      <c r="CX326" s="135"/>
      <c r="CY326" s="135"/>
      <c r="CZ326" s="135"/>
      <c r="DA326" s="135"/>
      <c r="DB326" s="135"/>
      <c r="DC326" s="135"/>
      <c r="DD326" s="135"/>
      <c r="DE326" s="135"/>
      <c r="DF326" s="135"/>
      <c r="DG326" s="135"/>
      <c r="DH326" s="135"/>
      <c r="DI326" s="135"/>
      <c r="DJ326" s="135"/>
      <c r="DK326" s="135"/>
      <c r="DL326" s="135"/>
      <c r="DX326" s="135"/>
      <c r="DY326" s="135"/>
      <c r="DZ326" s="135"/>
      <c r="EA326" s="135"/>
      <c r="EB326" s="135"/>
      <c r="EC326" s="135"/>
      <c r="ED326" s="135"/>
      <c r="EE326" s="135"/>
      <c r="EF326" s="135"/>
      <c r="EG326" s="135"/>
      <c r="EH326" s="135"/>
      <c r="EI326" s="135"/>
      <c r="EJ326" s="135"/>
      <c r="EK326" s="135"/>
      <c r="EL326" s="135"/>
      <c r="EM326" s="135"/>
      <c r="EN326" s="135"/>
      <c r="EO326" s="135"/>
      <c r="EP326" s="135"/>
      <c r="EQ326" s="135"/>
      <c r="ER326" s="135"/>
      <c r="ES326" s="135"/>
      <c r="ET326" s="135"/>
      <c r="EU326" s="135"/>
      <c r="EV326" s="135"/>
      <c r="EW326" s="135"/>
      <c r="EX326" s="135"/>
      <c r="EY326" s="135"/>
      <c r="EZ326" s="135"/>
      <c r="FA326" s="135"/>
      <c r="FB326" s="135"/>
      <c r="FC326" s="135"/>
      <c r="FD326" s="135"/>
      <c r="FE326" s="135"/>
      <c r="FF326" s="135"/>
      <c r="FG326" s="135"/>
    </row>
    <row r="327" spans="1:163" s="57" customFormat="1" ht="11.25" outlineLevel="1">
      <c r="A327" s="765">
        <f t="shared" si="369"/>
        <v>13</v>
      </c>
      <c r="B327" s="715" cm="1">
        <f t="array" aca="1" ref="B327" ca="1">INDIRECT("'Definition of Typical Day'!"&amp;ADDRESS(B$16,$E327))</f>
        <v>13</v>
      </c>
      <c r="C327" s="766">
        <f t="shared" si="370"/>
        <v>19</v>
      </c>
      <c r="D327" s="715">
        <f t="shared" si="370"/>
        <v>53</v>
      </c>
      <c r="E327" s="715">
        <f t="shared" si="298"/>
        <v>17</v>
      </c>
      <c r="F327" s="767" cm="1">
        <f t="array" aca="1" ref="F327" ca="1">INDIRECT("'Definition of Typical Day'!D"&amp;D327)</f>
        <v>19</v>
      </c>
      <c r="G327" s="767" cm="1">
        <f t="array" aca="1" ref="G327" ca="1">INDIRECT("'Definition of Typical Day'!"&amp;ADDRESS(13,E327))</f>
        <v>13</v>
      </c>
      <c r="H327" s="768" cm="1">
        <f t="array" aca="1" ref="H327" ca="1">INDIRECT("'Definition of Typical Day'!"&amp; ADDRESS($D327+28*(H$16-1),$E327))</f>
        <v>0</v>
      </c>
      <c r="I327" s="715" cm="1">
        <f t="array" aca="1" ref="I327" ca="1">INDIRECT("'Definition of Typical Day'!"&amp; ADDRESS($D327+29*(I$16-1),$E327))</f>
        <v>0</v>
      </c>
      <c r="J327" s="715">
        <f t="shared" ca="1" si="324"/>
        <v>0</v>
      </c>
      <c r="K327" s="785">
        <f t="shared" si="325"/>
        <v>28</v>
      </c>
      <c r="L327" s="786" cm="1">
        <f t="array" aca="1" ref="L327" ca="1">INDIRECT("'Definition of Typical Day'!"&amp; ADDRESS($D327+29*(L$16-1),$E327))</f>
        <v>0</v>
      </c>
      <c r="M327" s="768" cm="1">
        <f t="array" aca="1" ref="M327" ca="1">INDIRECT("'Definition of Typical Day'!"&amp; ADDRESS($D327+29*(M$16-1),$E327))</f>
        <v>0</v>
      </c>
      <c r="N327" s="715">
        <f t="shared" si="326"/>
        <v>3</v>
      </c>
      <c r="O327" s="715">
        <f t="shared" ca="1" si="327"/>
        <v>3</v>
      </c>
      <c r="P327" s="715" cm="1">
        <f t="array" aca="1" ref="P327" ca="1">INDIRECT("'Definition of Typical Day'!"&amp; ADDRESS($D327+29*(P$16-1),$E327))</f>
        <v>0</v>
      </c>
      <c r="Q327" s="787">
        <f t="shared" ca="1" si="328"/>
        <v>3</v>
      </c>
      <c r="R327" s="792">
        <f t="shared" ca="1" si="329"/>
        <v>3</v>
      </c>
      <c r="S327" s="769">
        <f t="shared" si="330"/>
        <v>3</v>
      </c>
      <c r="T327" s="769">
        <f t="shared" ca="1" si="331"/>
        <v>-0.5</v>
      </c>
      <c r="U327" s="769">
        <f t="shared" ca="1" si="332"/>
        <v>2.262</v>
      </c>
      <c r="V327" s="769">
        <f t="shared" ca="1" si="333"/>
        <v>0</v>
      </c>
      <c r="W327" s="769">
        <f t="shared" ca="1" si="334"/>
        <v>4.7620000000000005</v>
      </c>
      <c r="X327" s="794">
        <f t="shared" si="335"/>
        <v>3</v>
      </c>
      <c r="Y327" s="769">
        <f t="shared" ca="1" si="336"/>
        <v>0.54772255750516607</v>
      </c>
      <c r="Z327" s="769">
        <f t="shared" ca="1" si="337"/>
        <v>0</v>
      </c>
      <c r="AA327" s="795">
        <f t="shared" ca="1" si="338"/>
        <v>0</v>
      </c>
      <c r="AB327" s="769">
        <f t="shared" ca="1" si="339"/>
        <v>0</v>
      </c>
      <c r="AC327" s="769">
        <f t="shared" ca="1" si="340"/>
        <v>0</v>
      </c>
      <c r="AD327" s="769">
        <f t="shared" ca="1" si="341"/>
        <v>0</v>
      </c>
      <c r="AE327" s="794">
        <f t="shared" ca="1" si="342"/>
        <v>0</v>
      </c>
      <c r="AF327" s="769">
        <f t="shared" ca="1" si="343"/>
        <v>0</v>
      </c>
      <c r="AG327" s="769">
        <f t="shared" ca="1" si="344"/>
        <v>0</v>
      </c>
      <c r="AH327" s="799">
        <f t="shared" ca="1" si="345"/>
        <v>0</v>
      </c>
      <c r="AI327" s="801">
        <f t="shared" ca="1" si="346"/>
        <v>1</v>
      </c>
      <c r="AJ327" s="794">
        <f t="shared" ca="1" si="347"/>
        <v>0</v>
      </c>
      <c r="AK327" s="769">
        <f t="shared" ca="1" si="348"/>
        <v>0</v>
      </c>
      <c r="AL327" s="769">
        <f t="shared" ca="1" si="349"/>
        <v>0</v>
      </c>
      <c r="AM327" s="804">
        <f t="shared" ca="1" si="299"/>
        <v>0</v>
      </c>
      <c r="AN327" s="795">
        <f t="shared" ca="1" si="300"/>
        <v>0</v>
      </c>
      <c r="AO327" s="251"/>
      <c r="AP327" s="770">
        <f t="shared" si="350"/>
        <v>0</v>
      </c>
      <c r="AQ327" s="771">
        <f t="shared" ca="1" si="351"/>
        <v>0</v>
      </c>
      <c r="AR327" s="771">
        <f t="shared" ca="1" si="352"/>
        <v>0</v>
      </c>
      <c r="AS327" s="772">
        <f t="shared" ca="1" si="353"/>
        <v>0</v>
      </c>
      <c r="AT327" s="231"/>
      <c r="AU327" s="770">
        <f>'Main Results - IRR DC Operator'!$F$16</f>
        <v>2</v>
      </c>
      <c r="AV327" s="773">
        <f>'Main Results - IRR DC Operator'!$F$15</f>
        <v>1</v>
      </c>
      <c r="AW327" s="771">
        <f t="shared" ca="1" si="354"/>
        <v>0</v>
      </c>
      <c r="AX327" s="772">
        <f t="shared" si="355"/>
        <v>0</v>
      </c>
      <c r="AY327" s="231"/>
      <c r="AZ327" s="770" cm="1">
        <f t="array" aca="1" ref="AZ327" ca="1">INDIRECT("'Definition of Typical Day'!"&amp; ADDRESS($D327+29*(AZ$16-1),$E327))+$AZ$17</f>
        <v>11</v>
      </c>
      <c r="BA327" s="771" cm="1">
        <f t="array" aca="1" ref="BA327" ca="1">INDIRECT("'Definition of Typical Day'!"&amp; ADDRESS($D327+29*(BA$16-1),$E327))+$BA$17</f>
        <v>11</v>
      </c>
      <c r="BB327" s="772" cm="1">
        <f t="array" aca="1" ref="BB327" ca="1">INDIRECT("'Definition of Typical Day'!"&amp;ADDRESS(BB$16,$E327))</f>
        <v>0</v>
      </c>
      <c r="BC327" s="776" cm="1">
        <f t="array" aca="1" ref="BC327" ca="1">INDIRECT("'Definition of Typical Day'!"&amp; ADDRESS($D327+29*(BC$16-1),$E327))</f>
        <v>0</v>
      </c>
      <c r="BD327" s="777" cm="1">
        <f t="array" aca="1" ref="BD327" ca="1">INDIRECT("'Definition of Typical Day'!"&amp; ADDRESS($D327+29*(BD$16-1),$E327))</f>
        <v>0</v>
      </c>
      <c r="BE327" s="776">
        <f t="shared" si="356"/>
        <v>0</v>
      </c>
      <c r="BF327" s="771">
        <f t="shared" ca="1" si="357"/>
        <v>0</v>
      </c>
      <c r="BG327" s="771">
        <f t="shared" ca="1" si="358"/>
        <v>0</v>
      </c>
      <c r="BH327" s="771">
        <f t="shared" ca="1" si="359"/>
        <v>0</v>
      </c>
      <c r="BI327" s="776">
        <f t="shared" ca="1" si="360"/>
        <v>0</v>
      </c>
      <c r="BJ327" s="776">
        <f t="shared" ca="1" si="361"/>
        <v>0</v>
      </c>
      <c r="BK327" s="776">
        <f t="shared" ca="1" si="362"/>
        <v>0</v>
      </c>
      <c r="BL327" s="776">
        <f t="shared" ca="1" si="363"/>
        <v>0</v>
      </c>
      <c r="BM327" s="135"/>
      <c r="BN327" s="776">
        <f t="shared" ca="1" si="364"/>
        <v>0</v>
      </c>
      <c r="BO327" s="778">
        <f t="shared" ca="1" si="301"/>
        <v>0</v>
      </c>
      <c r="BP327" s="770">
        <f t="shared" ca="1" si="302"/>
        <v>0</v>
      </c>
      <c r="BQ327" s="771">
        <f t="shared" ca="1" si="303"/>
        <v>0</v>
      </c>
      <c r="BR327" s="771">
        <f t="shared" ca="1" si="304"/>
        <v>0</v>
      </c>
      <c r="BS327" s="776">
        <f t="shared" ca="1" si="365"/>
        <v>0</v>
      </c>
      <c r="BT327" s="776">
        <f t="shared" ca="1" si="305"/>
        <v>0</v>
      </c>
      <c r="BU327" s="783">
        <f t="shared" ca="1" si="306"/>
        <v>0</v>
      </c>
      <c r="BV327" s="783">
        <f t="shared" ca="1" si="307"/>
        <v>0</v>
      </c>
      <c r="BW327" s="1019">
        <f t="shared" ca="1" si="366"/>
        <v>0</v>
      </c>
      <c r="BX327" s="771" cm="1">
        <f t="array" aca="1" ref="BX327" ca="1">INDIRECT("'Definition of Typical Day'!"&amp; ADDRESS($D327+29*(BX$16-1),$E327))</f>
        <v>0</v>
      </c>
      <c r="BY327" s="771">
        <f t="shared" ca="1" si="367"/>
        <v>0</v>
      </c>
      <c r="BZ327" s="781">
        <f t="shared" ca="1" si="308"/>
        <v>0</v>
      </c>
      <c r="CA327" s="781">
        <f t="shared" ca="1" si="309"/>
        <v>0</v>
      </c>
      <c r="CB327" s="776">
        <f t="shared" ca="1" si="310"/>
        <v>0</v>
      </c>
      <c r="CC327" s="782">
        <f t="shared" si="311"/>
        <v>13</v>
      </c>
      <c r="CD327" s="782">
        <f t="shared" si="312"/>
        <v>19</v>
      </c>
      <c r="CE327" s="784" cm="1">
        <f t="array" aca="1" ref="CE327" ca="1">INDIRECT("'Definition of Typical Day'!"&amp;ADDRESS(CE$16,$E327))</f>
        <v>13</v>
      </c>
      <c r="CF327" s="232"/>
      <c r="CG327" s="232"/>
      <c r="CH327" s="776">
        <f t="shared" ca="1" si="313"/>
        <v>0</v>
      </c>
      <c r="CI327" s="806">
        <f t="shared" ca="1" si="314"/>
        <v>0</v>
      </c>
      <c r="CJ327" s="770">
        <f t="shared" ca="1" si="315"/>
        <v>0</v>
      </c>
      <c r="CK327" s="771">
        <f t="shared" ca="1" si="316"/>
        <v>0</v>
      </c>
      <c r="CL327" s="771">
        <f t="shared" ca="1" si="317"/>
        <v>0</v>
      </c>
      <c r="CM327" s="772">
        <f t="shared" ca="1" si="318"/>
        <v>0</v>
      </c>
      <c r="CN327" s="135"/>
      <c r="CO327" s="770">
        <f t="shared" ca="1" si="368"/>
        <v>1.05</v>
      </c>
      <c r="CP327" s="771">
        <f t="shared" ca="1" si="319"/>
        <v>0.02</v>
      </c>
      <c r="CQ327" s="771">
        <f t="shared" ca="1" si="320"/>
        <v>-2.5000000000000001E-2</v>
      </c>
      <c r="CR327" s="771">
        <f t="shared" ca="1" si="321"/>
        <v>0.95</v>
      </c>
      <c r="CS327" s="771">
        <f t="shared" ca="1" si="322"/>
        <v>0.03</v>
      </c>
      <c r="CT327" s="772">
        <f t="shared" ca="1" si="323"/>
        <v>0.02</v>
      </c>
      <c r="CU327" s="135"/>
      <c r="CV327" s="135"/>
      <c r="CW327" s="135"/>
      <c r="CX327" s="135"/>
      <c r="CY327" s="135"/>
      <c r="CZ327" s="135"/>
      <c r="DA327" s="135"/>
      <c r="DB327" s="135"/>
      <c r="DC327" s="135"/>
      <c r="DD327" s="135"/>
      <c r="DE327" s="135"/>
      <c r="DF327" s="135"/>
      <c r="DG327" s="135"/>
      <c r="DH327" s="135"/>
      <c r="DI327" s="135"/>
      <c r="DJ327" s="135"/>
      <c r="DK327" s="135"/>
      <c r="DL327" s="135"/>
      <c r="DX327" s="135"/>
      <c r="DY327" s="135"/>
      <c r="DZ327" s="135"/>
      <c r="EA327" s="135"/>
      <c r="EB327" s="135"/>
      <c r="EC327" s="135"/>
      <c r="ED327" s="135"/>
      <c r="EE327" s="135"/>
      <c r="EF327" s="135"/>
      <c r="EG327" s="135"/>
      <c r="EH327" s="135"/>
      <c r="EI327" s="135"/>
      <c r="EJ327" s="135"/>
      <c r="EK327" s="135"/>
      <c r="EL327" s="135"/>
      <c r="EM327" s="135"/>
      <c r="EN327" s="135"/>
      <c r="EO327" s="135"/>
      <c r="EP327" s="135"/>
      <c r="EQ327" s="135"/>
      <c r="ER327" s="135"/>
      <c r="ES327" s="135"/>
      <c r="ET327" s="135"/>
      <c r="EU327" s="135"/>
      <c r="EV327" s="135"/>
      <c r="EW327" s="135"/>
      <c r="EX327" s="135"/>
      <c r="EY327" s="135"/>
      <c r="EZ327" s="135"/>
      <c r="FA327" s="135"/>
      <c r="FB327" s="135"/>
      <c r="FC327" s="135"/>
      <c r="FD327" s="135"/>
      <c r="FE327" s="135"/>
      <c r="FF327" s="135"/>
      <c r="FG327" s="135"/>
    </row>
    <row r="328" spans="1:163" s="57" customFormat="1" ht="11.25" outlineLevel="1">
      <c r="A328" s="765">
        <f t="shared" si="369"/>
        <v>13</v>
      </c>
      <c r="B328" s="715" cm="1">
        <f t="array" aca="1" ref="B328" ca="1">INDIRECT("'Definition of Typical Day'!"&amp;ADDRESS(B$16,$E328))</f>
        <v>13</v>
      </c>
      <c r="C328" s="766">
        <f t="shared" si="370"/>
        <v>20</v>
      </c>
      <c r="D328" s="715">
        <f t="shared" si="370"/>
        <v>54</v>
      </c>
      <c r="E328" s="715">
        <f t="shared" si="298"/>
        <v>17</v>
      </c>
      <c r="F328" s="767" cm="1">
        <f t="array" aca="1" ref="F328" ca="1">INDIRECT("'Definition of Typical Day'!D"&amp;D328)</f>
        <v>20</v>
      </c>
      <c r="G328" s="767" cm="1">
        <f t="array" aca="1" ref="G328" ca="1">INDIRECT("'Definition of Typical Day'!"&amp;ADDRESS(13,E328))</f>
        <v>13</v>
      </c>
      <c r="H328" s="768" cm="1">
        <f t="array" aca="1" ref="H328" ca="1">INDIRECT("'Definition of Typical Day'!"&amp; ADDRESS($D328+28*(H$16-1),$E328))</f>
        <v>0</v>
      </c>
      <c r="I328" s="715" cm="1">
        <f t="array" aca="1" ref="I328" ca="1">INDIRECT("'Definition of Typical Day'!"&amp; ADDRESS($D328+29*(I$16-1),$E328))</f>
        <v>0</v>
      </c>
      <c r="J328" s="715">
        <f t="shared" ca="1" si="324"/>
        <v>0</v>
      </c>
      <c r="K328" s="785">
        <f t="shared" si="325"/>
        <v>28</v>
      </c>
      <c r="L328" s="786" cm="1">
        <f t="array" aca="1" ref="L328" ca="1">INDIRECT("'Definition of Typical Day'!"&amp; ADDRESS($D328+29*(L$16-1),$E328))</f>
        <v>0</v>
      </c>
      <c r="M328" s="768" cm="1">
        <f t="array" aca="1" ref="M328" ca="1">INDIRECT("'Definition of Typical Day'!"&amp; ADDRESS($D328+29*(M$16-1),$E328))</f>
        <v>0</v>
      </c>
      <c r="N328" s="715">
        <f t="shared" si="326"/>
        <v>3</v>
      </c>
      <c r="O328" s="715">
        <f t="shared" ca="1" si="327"/>
        <v>3</v>
      </c>
      <c r="P328" s="715" cm="1">
        <f t="array" aca="1" ref="P328" ca="1">INDIRECT("'Definition of Typical Day'!"&amp; ADDRESS($D328+29*(P$16-1),$E328))</f>
        <v>0</v>
      </c>
      <c r="Q328" s="787">
        <f t="shared" ca="1" si="328"/>
        <v>3</v>
      </c>
      <c r="R328" s="792">
        <f t="shared" ca="1" si="329"/>
        <v>3</v>
      </c>
      <c r="S328" s="769">
        <f t="shared" si="330"/>
        <v>3</v>
      </c>
      <c r="T328" s="769">
        <f t="shared" ca="1" si="331"/>
        <v>-0.5</v>
      </c>
      <c r="U328" s="769">
        <f t="shared" ca="1" si="332"/>
        <v>2.262</v>
      </c>
      <c r="V328" s="769">
        <f t="shared" ca="1" si="333"/>
        <v>0</v>
      </c>
      <c r="W328" s="769">
        <f t="shared" ca="1" si="334"/>
        <v>4.7620000000000005</v>
      </c>
      <c r="X328" s="794">
        <f t="shared" si="335"/>
        <v>3</v>
      </c>
      <c r="Y328" s="769">
        <f t="shared" ca="1" si="336"/>
        <v>0.54772255750516607</v>
      </c>
      <c r="Z328" s="769">
        <f t="shared" ca="1" si="337"/>
        <v>0</v>
      </c>
      <c r="AA328" s="795">
        <f t="shared" ca="1" si="338"/>
        <v>0</v>
      </c>
      <c r="AB328" s="769">
        <f t="shared" ca="1" si="339"/>
        <v>0</v>
      </c>
      <c r="AC328" s="769">
        <f t="shared" ca="1" si="340"/>
        <v>0</v>
      </c>
      <c r="AD328" s="769">
        <f t="shared" ca="1" si="341"/>
        <v>0</v>
      </c>
      <c r="AE328" s="794">
        <f t="shared" ca="1" si="342"/>
        <v>0</v>
      </c>
      <c r="AF328" s="769">
        <f t="shared" ca="1" si="343"/>
        <v>0</v>
      </c>
      <c r="AG328" s="769">
        <f t="shared" ca="1" si="344"/>
        <v>0</v>
      </c>
      <c r="AH328" s="799">
        <f t="shared" ca="1" si="345"/>
        <v>0</v>
      </c>
      <c r="AI328" s="801">
        <f t="shared" ca="1" si="346"/>
        <v>1</v>
      </c>
      <c r="AJ328" s="794">
        <f t="shared" ca="1" si="347"/>
        <v>0</v>
      </c>
      <c r="AK328" s="769">
        <f t="shared" ca="1" si="348"/>
        <v>0</v>
      </c>
      <c r="AL328" s="769">
        <f t="shared" ca="1" si="349"/>
        <v>0</v>
      </c>
      <c r="AM328" s="804">
        <f t="shared" ca="1" si="299"/>
        <v>0</v>
      </c>
      <c r="AN328" s="795">
        <f t="shared" ca="1" si="300"/>
        <v>0</v>
      </c>
      <c r="AO328" s="251"/>
      <c r="AP328" s="770">
        <f t="shared" si="350"/>
        <v>0</v>
      </c>
      <c r="AQ328" s="771">
        <f t="shared" ca="1" si="351"/>
        <v>0</v>
      </c>
      <c r="AR328" s="771">
        <f t="shared" ca="1" si="352"/>
        <v>0</v>
      </c>
      <c r="AS328" s="772">
        <f t="shared" ca="1" si="353"/>
        <v>0</v>
      </c>
      <c r="AT328" s="231"/>
      <c r="AU328" s="770">
        <f>'Main Results - IRR DC Operator'!$F$16</f>
        <v>2</v>
      </c>
      <c r="AV328" s="773">
        <f>'Main Results - IRR DC Operator'!$F$15</f>
        <v>1</v>
      </c>
      <c r="AW328" s="771">
        <f t="shared" ca="1" si="354"/>
        <v>0</v>
      </c>
      <c r="AX328" s="772">
        <f t="shared" si="355"/>
        <v>0</v>
      </c>
      <c r="AY328" s="231"/>
      <c r="AZ328" s="770" cm="1">
        <f t="array" aca="1" ref="AZ328" ca="1">INDIRECT("'Definition of Typical Day'!"&amp; ADDRESS($D328+29*(AZ$16-1),$E328))+$AZ$17</f>
        <v>11</v>
      </c>
      <c r="BA328" s="771" cm="1">
        <f t="array" aca="1" ref="BA328" ca="1">INDIRECT("'Definition of Typical Day'!"&amp; ADDRESS($D328+29*(BA$16-1),$E328))+$BA$17</f>
        <v>11</v>
      </c>
      <c r="BB328" s="772" cm="1">
        <f t="array" aca="1" ref="BB328" ca="1">INDIRECT("'Definition of Typical Day'!"&amp;ADDRESS(BB$16,$E328))</f>
        <v>0</v>
      </c>
      <c r="BC328" s="776" cm="1">
        <f t="array" aca="1" ref="BC328" ca="1">INDIRECT("'Definition of Typical Day'!"&amp; ADDRESS($D328+29*(BC$16-1),$E328))</f>
        <v>0</v>
      </c>
      <c r="BD328" s="777" cm="1">
        <f t="array" aca="1" ref="BD328" ca="1">INDIRECT("'Definition of Typical Day'!"&amp; ADDRESS($D328+29*(BD$16-1),$E328))</f>
        <v>0</v>
      </c>
      <c r="BE328" s="776">
        <f t="shared" si="356"/>
        <v>0</v>
      </c>
      <c r="BF328" s="771">
        <f t="shared" ca="1" si="357"/>
        <v>0</v>
      </c>
      <c r="BG328" s="771">
        <f t="shared" ca="1" si="358"/>
        <v>0</v>
      </c>
      <c r="BH328" s="771">
        <f t="shared" ca="1" si="359"/>
        <v>0</v>
      </c>
      <c r="BI328" s="776">
        <f t="shared" ca="1" si="360"/>
        <v>0</v>
      </c>
      <c r="BJ328" s="776">
        <f t="shared" ca="1" si="361"/>
        <v>0</v>
      </c>
      <c r="BK328" s="776">
        <f t="shared" ca="1" si="362"/>
        <v>0</v>
      </c>
      <c r="BL328" s="776">
        <f t="shared" ca="1" si="363"/>
        <v>0</v>
      </c>
      <c r="BM328" s="135"/>
      <c r="BN328" s="776">
        <f t="shared" ca="1" si="364"/>
        <v>0</v>
      </c>
      <c r="BO328" s="778">
        <f t="shared" ca="1" si="301"/>
        <v>0</v>
      </c>
      <c r="BP328" s="770">
        <f t="shared" ca="1" si="302"/>
        <v>0</v>
      </c>
      <c r="BQ328" s="771">
        <f t="shared" ca="1" si="303"/>
        <v>0</v>
      </c>
      <c r="BR328" s="771">
        <f t="shared" ca="1" si="304"/>
        <v>0</v>
      </c>
      <c r="BS328" s="776">
        <f t="shared" ca="1" si="365"/>
        <v>0</v>
      </c>
      <c r="BT328" s="776">
        <f t="shared" ca="1" si="305"/>
        <v>0</v>
      </c>
      <c r="BU328" s="783">
        <f t="shared" ca="1" si="306"/>
        <v>0</v>
      </c>
      <c r="BV328" s="783">
        <f t="shared" ca="1" si="307"/>
        <v>0</v>
      </c>
      <c r="BW328" s="1019">
        <f t="shared" ca="1" si="366"/>
        <v>0</v>
      </c>
      <c r="BX328" s="771" cm="1">
        <f t="array" aca="1" ref="BX328" ca="1">INDIRECT("'Definition of Typical Day'!"&amp; ADDRESS($D328+29*(BX$16-1),$E328))</f>
        <v>0</v>
      </c>
      <c r="BY328" s="771">
        <f t="shared" ca="1" si="367"/>
        <v>0</v>
      </c>
      <c r="BZ328" s="781">
        <f t="shared" ca="1" si="308"/>
        <v>0</v>
      </c>
      <c r="CA328" s="781">
        <f t="shared" ca="1" si="309"/>
        <v>0</v>
      </c>
      <c r="CB328" s="776">
        <f t="shared" ca="1" si="310"/>
        <v>0</v>
      </c>
      <c r="CC328" s="782">
        <f t="shared" si="311"/>
        <v>13</v>
      </c>
      <c r="CD328" s="782">
        <f t="shared" si="312"/>
        <v>20</v>
      </c>
      <c r="CE328" s="784" cm="1">
        <f t="array" aca="1" ref="CE328" ca="1">INDIRECT("'Definition of Typical Day'!"&amp;ADDRESS(CE$16,$E328))</f>
        <v>13</v>
      </c>
      <c r="CF328" s="232"/>
      <c r="CG328" s="232"/>
      <c r="CH328" s="776">
        <f t="shared" ca="1" si="313"/>
        <v>0</v>
      </c>
      <c r="CI328" s="806">
        <f t="shared" ca="1" si="314"/>
        <v>0</v>
      </c>
      <c r="CJ328" s="770">
        <f t="shared" ca="1" si="315"/>
        <v>0</v>
      </c>
      <c r="CK328" s="771">
        <f t="shared" ca="1" si="316"/>
        <v>0</v>
      </c>
      <c r="CL328" s="771">
        <f t="shared" ca="1" si="317"/>
        <v>0</v>
      </c>
      <c r="CM328" s="772">
        <f t="shared" ca="1" si="318"/>
        <v>0</v>
      </c>
      <c r="CN328" s="135"/>
      <c r="CO328" s="770">
        <f t="shared" ca="1" si="368"/>
        <v>1.05</v>
      </c>
      <c r="CP328" s="771">
        <f t="shared" ca="1" si="319"/>
        <v>0.02</v>
      </c>
      <c r="CQ328" s="771">
        <f t="shared" ca="1" si="320"/>
        <v>-2.5000000000000001E-2</v>
      </c>
      <c r="CR328" s="771">
        <f t="shared" ca="1" si="321"/>
        <v>0.95</v>
      </c>
      <c r="CS328" s="771">
        <f t="shared" ca="1" si="322"/>
        <v>0.03</v>
      </c>
      <c r="CT328" s="772">
        <f t="shared" ca="1" si="323"/>
        <v>0.02</v>
      </c>
      <c r="CU328" s="135"/>
      <c r="CV328" s="135"/>
      <c r="CW328" s="135"/>
      <c r="CX328" s="135"/>
      <c r="CY328" s="135"/>
      <c r="CZ328" s="135"/>
      <c r="DA328" s="135"/>
      <c r="DB328" s="135"/>
      <c r="DC328" s="135"/>
      <c r="DD328" s="135"/>
      <c r="DE328" s="135"/>
      <c r="DF328" s="135"/>
      <c r="DG328" s="135"/>
      <c r="DH328" s="135"/>
      <c r="DI328" s="135"/>
      <c r="DJ328" s="135"/>
      <c r="DK328" s="135"/>
      <c r="DL328" s="135"/>
      <c r="DX328" s="135"/>
      <c r="DY328" s="135"/>
      <c r="DZ328" s="135"/>
      <c r="EA328" s="135"/>
      <c r="EB328" s="135"/>
      <c r="EC328" s="135"/>
      <c r="ED328" s="135"/>
      <c r="EE328" s="135"/>
      <c r="EF328" s="135"/>
      <c r="EG328" s="135"/>
      <c r="EH328" s="135"/>
      <c r="EI328" s="135"/>
      <c r="EJ328" s="135"/>
      <c r="EK328" s="135"/>
      <c r="EL328" s="135"/>
      <c r="EM328" s="135"/>
      <c r="EN328" s="135"/>
      <c r="EO328" s="135"/>
      <c r="EP328" s="135"/>
      <c r="EQ328" s="135"/>
      <c r="ER328" s="135"/>
      <c r="ES328" s="135"/>
      <c r="ET328" s="135"/>
      <c r="EU328" s="135"/>
      <c r="EV328" s="135"/>
      <c r="EW328" s="135"/>
      <c r="EX328" s="135"/>
      <c r="EY328" s="135"/>
      <c r="EZ328" s="135"/>
      <c r="FA328" s="135"/>
      <c r="FB328" s="135"/>
      <c r="FC328" s="135"/>
      <c r="FD328" s="135"/>
      <c r="FE328" s="135"/>
      <c r="FF328" s="135"/>
      <c r="FG328" s="135"/>
    </row>
    <row r="329" spans="1:163" s="57" customFormat="1" ht="11.25" outlineLevel="1">
      <c r="A329" s="765">
        <f t="shared" si="369"/>
        <v>13</v>
      </c>
      <c r="B329" s="715" cm="1">
        <f t="array" aca="1" ref="B329" ca="1">INDIRECT("'Definition of Typical Day'!"&amp;ADDRESS(B$16,$E329))</f>
        <v>13</v>
      </c>
      <c r="C329" s="766">
        <f t="shared" si="370"/>
        <v>21</v>
      </c>
      <c r="D329" s="715">
        <f t="shared" si="370"/>
        <v>55</v>
      </c>
      <c r="E329" s="715">
        <f t="shared" si="298"/>
        <v>17</v>
      </c>
      <c r="F329" s="767" cm="1">
        <f t="array" aca="1" ref="F329" ca="1">INDIRECT("'Definition of Typical Day'!D"&amp;D329)</f>
        <v>21</v>
      </c>
      <c r="G329" s="767" cm="1">
        <f t="array" aca="1" ref="G329" ca="1">INDIRECT("'Definition of Typical Day'!"&amp;ADDRESS(13,E329))</f>
        <v>13</v>
      </c>
      <c r="H329" s="768" cm="1">
        <f t="array" aca="1" ref="H329" ca="1">INDIRECT("'Definition of Typical Day'!"&amp; ADDRESS($D329+28*(H$16-1),$E329))</f>
        <v>0</v>
      </c>
      <c r="I329" s="715" cm="1">
        <f t="array" aca="1" ref="I329" ca="1">INDIRECT("'Definition of Typical Day'!"&amp; ADDRESS($D329+29*(I$16-1),$E329))</f>
        <v>0</v>
      </c>
      <c r="J329" s="715">
        <f t="shared" ca="1" si="324"/>
        <v>0</v>
      </c>
      <c r="K329" s="785">
        <f t="shared" si="325"/>
        <v>28</v>
      </c>
      <c r="L329" s="786" cm="1">
        <f t="array" aca="1" ref="L329" ca="1">INDIRECT("'Definition of Typical Day'!"&amp; ADDRESS($D329+29*(L$16-1),$E329))</f>
        <v>0</v>
      </c>
      <c r="M329" s="768" cm="1">
        <f t="array" aca="1" ref="M329" ca="1">INDIRECT("'Definition of Typical Day'!"&amp; ADDRESS($D329+29*(M$16-1),$E329))</f>
        <v>0</v>
      </c>
      <c r="N329" s="715">
        <f t="shared" si="326"/>
        <v>3</v>
      </c>
      <c r="O329" s="715">
        <f t="shared" ca="1" si="327"/>
        <v>3</v>
      </c>
      <c r="P329" s="715" cm="1">
        <f t="array" aca="1" ref="P329" ca="1">INDIRECT("'Definition of Typical Day'!"&amp; ADDRESS($D329+29*(P$16-1),$E329))</f>
        <v>0</v>
      </c>
      <c r="Q329" s="787">
        <f t="shared" ca="1" si="328"/>
        <v>3</v>
      </c>
      <c r="R329" s="792">
        <f t="shared" ca="1" si="329"/>
        <v>3</v>
      </c>
      <c r="S329" s="769">
        <f t="shared" si="330"/>
        <v>3</v>
      </c>
      <c r="T329" s="769">
        <f t="shared" ca="1" si="331"/>
        <v>-0.5</v>
      </c>
      <c r="U329" s="769">
        <f t="shared" ca="1" si="332"/>
        <v>2.262</v>
      </c>
      <c r="V329" s="769">
        <f t="shared" ca="1" si="333"/>
        <v>0</v>
      </c>
      <c r="W329" s="769">
        <f t="shared" ca="1" si="334"/>
        <v>4.7620000000000005</v>
      </c>
      <c r="X329" s="794">
        <f t="shared" si="335"/>
        <v>3</v>
      </c>
      <c r="Y329" s="769">
        <f t="shared" ca="1" si="336"/>
        <v>0.54772255750516607</v>
      </c>
      <c r="Z329" s="769">
        <f t="shared" ca="1" si="337"/>
        <v>0</v>
      </c>
      <c r="AA329" s="795">
        <f t="shared" ca="1" si="338"/>
        <v>0</v>
      </c>
      <c r="AB329" s="769">
        <f t="shared" ca="1" si="339"/>
        <v>0</v>
      </c>
      <c r="AC329" s="769">
        <f t="shared" ca="1" si="340"/>
        <v>0</v>
      </c>
      <c r="AD329" s="769">
        <f t="shared" ca="1" si="341"/>
        <v>0</v>
      </c>
      <c r="AE329" s="794">
        <f t="shared" ca="1" si="342"/>
        <v>0</v>
      </c>
      <c r="AF329" s="769">
        <f t="shared" ca="1" si="343"/>
        <v>0</v>
      </c>
      <c r="AG329" s="769">
        <f t="shared" ca="1" si="344"/>
        <v>0</v>
      </c>
      <c r="AH329" s="799">
        <f t="shared" ca="1" si="345"/>
        <v>0</v>
      </c>
      <c r="AI329" s="801">
        <f t="shared" ca="1" si="346"/>
        <v>1</v>
      </c>
      <c r="AJ329" s="794">
        <f t="shared" ca="1" si="347"/>
        <v>0</v>
      </c>
      <c r="AK329" s="769">
        <f t="shared" ca="1" si="348"/>
        <v>0</v>
      </c>
      <c r="AL329" s="769">
        <f t="shared" ca="1" si="349"/>
        <v>0</v>
      </c>
      <c r="AM329" s="804">
        <f t="shared" ca="1" si="299"/>
        <v>0</v>
      </c>
      <c r="AN329" s="795">
        <f t="shared" ca="1" si="300"/>
        <v>0</v>
      </c>
      <c r="AO329" s="251"/>
      <c r="AP329" s="770">
        <f t="shared" si="350"/>
        <v>0</v>
      </c>
      <c r="AQ329" s="771">
        <f t="shared" ca="1" si="351"/>
        <v>0</v>
      </c>
      <c r="AR329" s="771">
        <f t="shared" ca="1" si="352"/>
        <v>0</v>
      </c>
      <c r="AS329" s="772">
        <f t="shared" ca="1" si="353"/>
        <v>0</v>
      </c>
      <c r="AT329" s="231"/>
      <c r="AU329" s="770">
        <f>'Main Results - IRR DC Operator'!$F$16</f>
        <v>2</v>
      </c>
      <c r="AV329" s="773">
        <f>'Main Results - IRR DC Operator'!$F$15</f>
        <v>1</v>
      </c>
      <c r="AW329" s="771">
        <f t="shared" ca="1" si="354"/>
        <v>0</v>
      </c>
      <c r="AX329" s="772">
        <f t="shared" si="355"/>
        <v>0</v>
      </c>
      <c r="AY329" s="231"/>
      <c r="AZ329" s="770" cm="1">
        <f t="array" aca="1" ref="AZ329" ca="1">INDIRECT("'Definition of Typical Day'!"&amp; ADDRESS($D329+29*(AZ$16-1),$E329))+$AZ$17</f>
        <v>11</v>
      </c>
      <c r="BA329" s="771" cm="1">
        <f t="array" aca="1" ref="BA329" ca="1">INDIRECT("'Definition of Typical Day'!"&amp; ADDRESS($D329+29*(BA$16-1),$E329))+$BA$17</f>
        <v>11</v>
      </c>
      <c r="BB329" s="772" cm="1">
        <f t="array" aca="1" ref="BB329" ca="1">INDIRECT("'Definition of Typical Day'!"&amp;ADDRESS(BB$16,$E329))</f>
        <v>0</v>
      </c>
      <c r="BC329" s="776" cm="1">
        <f t="array" aca="1" ref="BC329" ca="1">INDIRECT("'Definition of Typical Day'!"&amp; ADDRESS($D329+29*(BC$16-1),$E329))</f>
        <v>0</v>
      </c>
      <c r="BD329" s="777" cm="1">
        <f t="array" aca="1" ref="BD329" ca="1">INDIRECT("'Definition of Typical Day'!"&amp; ADDRESS($D329+29*(BD$16-1),$E329))</f>
        <v>0</v>
      </c>
      <c r="BE329" s="776">
        <f t="shared" si="356"/>
        <v>0</v>
      </c>
      <c r="BF329" s="771">
        <f t="shared" ca="1" si="357"/>
        <v>0</v>
      </c>
      <c r="BG329" s="771">
        <f t="shared" ca="1" si="358"/>
        <v>0</v>
      </c>
      <c r="BH329" s="771">
        <f t="shared" ca="1" si="359"/>
        <v>0</v>
      </c>
      <c r="BI329" s="776">
        <f t="shared" ca="1" si="360"/>
        <v>0</v>
      </c>
      <c r="BJ329" s="776">
        <f t="shared" ca="1" si="361"/>
        <v>0</v>
      </c>
      <c r="BK329" s="776">
        <f t="shared" ca="1" si="362"/>
        <v>0</v>
      </c>
      <c r="BL329" s="776">
        <f t="shared" ca="1" si="363"/>
        <v>0</v>
      </c>
      <c r="BM329" s="135"/>
      <c r="BN329" s="776">
        <f t="shared" ca="1" si="364"/>
        <v>0</v>
      </c>
      <c r="BO329" s="778">
        <f t="shared" ca="1" si="301"/>
        <v>0</v>
      </c>
      <c r="BP329" s="770">
        <f t="shared" ca="1" si="302"/>
        <v>0</v>
      </c>
      <c r="BQ329" s="771">
        <f t="shared" ca="1" si="303"/>
        <v>0</v>
      </c>
      <c r="BR329" s="771">
        <f t="shared" ca="1" si="304"/>
        <v>0</v>
      </c>
      <c r="BS329" s="776">
        <f t="shared" ca="1" si="365"/>
        <v>0</v>
      </c>
      <c r="BT329" s="776">
        <f t="shared" ca="1" si="305"/>
        <v>0</v>
      </c>
      <c r="BU329" s="783">
        <f t="shared" ca="1" si="306"/>
        <v>0</v>
      </c>
      <c r="BV329" s="783">
        <f t="shared" ca="1" si="307"/>
        <v>0</v>
      </c>
      <c r="BW329" s="1019">
        <f t="shared" ca="1" si="366"/>
        <v>0</v>
      </c>
      <c r="BX329" s="771" cm="1">
        <f t="array" aca="1" ref="BX329" ca="1">INDIRECT("'Definition of Typical Day'!"&amp; ADDRESS($D329+29*(BX$16-1),$E329))</f>
        <v>0</v>
      </c>
      <c r="BY329" s="771">
        <f t="shared" ca="1" si="367"/>
        <v>0</v>
      </c>
      <c r="BZ329" s="781">
        <f t="shared" ca="1" si="308"/>
        <v>0</v>
      </c>
      <c r="CA329" s="781">
        <f t="shared" ca="1" si="309"/>
        <v>0</v>
      </c>
      <c r="CB329" s="776">
        <f t="shared" ca="1" si="310"/>
        <v>0</v>
      </c>
      <c r="CC329" s="782">
        <f t="shared" si="311"/>
        <v>13</v>
      </c>
      <c r="CD329" s="782">
        <f t="shared" si="312"/>
        <v>21</v>
      </c>
      <c r="CE329" s="784" cm="1">
        <f t="array" aca="1" ref="CE329" ca="1">INDIRECT("'Definition of Typical Day'!"&amp;ADDRESS(CE$16,$E329))</f>
        <v>13</v>
      </c>
      <c r="CF329" s="232"/>
      <c r="CG329" s="232"/>
      <c r="CH329" s="776">
        <f t="shared" ca="1" si="313"/>
        <v>0</v>
      </c>
      <c r="CI329" s="806">
        <f t="shared" ca="1" si="314"/>
        <v>0</v>
      </c>
      <c r="CJ329" s="770">
        <f t="shared" ca="1" si="315"/>
        <v>0</v>
      </c>
      <c r="CK329" s="771">
        <f t="shared" ca="1" si="316"/>
        <v>0</v>
      </c>
      <c r="CL329" s="771">
        <f t="shared" ca="1" si="317"/>
        <v>0</v>
      </c>
      <c r="CM329" s="772">
        <f t="shared" ca="1" si="318"/>
        <v>0</v>
      </c>
      <c r="CN329" s="135"/>
      <c r="CO329" s="770">
        <f t="shared" ca="1" si="368"/>
        <v>1.05</v>
      </c>
      <c r="CP329" s="771">
        <f t="shared" ca="1" si="319"/>
        <v>0.02</v>
      </c>
      <c r="CQ329" s="771">
        <f t="shared" ca="1" si="320"/>
        <v>-2.5000000000000001E-2</v>
      </c>
      <c r="CR329" s="771">
        <f t="shared" ca="1" si="321"/>
        <v>0.95</v>
      </c>
      <c r="CS329" s="771">
        <f t="shared" ca="1" si="322"/>
        <v>0.03</v>
      </c>
      <c r="CT329" s="772">
        <f t="shared" ca="1" si="323"/>
        <v>0.02</v>
      </c>
      <c r="CU329" s="135"/>
      <c r="CV329" s="135"/>
      <c r="CW329" s="135"/>
      <c r="CX329" s="135"/>
      <c r="CY329" s="135"/>
      <c r="CZ329" s="135"/>
      <c r="DA329" s="135"/>
      <c r="DB329" s="135"/>
      <c r="DC329" s="135"/>
      <c r="DD329" s="135"/>
      <c r="DE329" s="135"/>
      <c r="DF329" s="135"/>
      <c r="DG329" s="135"/>
      <c r="DH329" s="135"/>
      <c r="DI329" s="135"/>
      <c r="DJ329" s="135"/>
      <c r="DK329" s="135"/>
      <c r="DL329" s="135"/>
      <c r="DX329" s="135"/>
      <c r="DY329" s="135"/>
      <c r="DZ329" s="135"/>
      <c r="EA329" s="135"/>
      <c r="EB329" s="135"/>
      <c r="EC329" s="135"/>
      <c r="ED329" s="135"/>
      <c r="EE329" s="135"/>
      <c r="EF329" s="135"/>
      <c r="EG329" s="135"/>
      <c r="EH329" s="135"/>
      <c r="EI329" s="135"/>
      <c r="EJ329" s="135"/>
      <c r="EK329" s="135"/>
      <c r="EL329" s="135"/>
      <c r="EM329" s="135"/>
      <c r="EN329" s="135"/>
      <c r="EO329" s="135"/>
      <c r="EP329" s="135"/>
      <c r="EQ329" s="135"/>
      <c r="ER329" s="135"/>
      <c r="ES329" s="135"/>
      <c r="ET329" s="135"/>
      <c r="EU329" s="135"/>
      <c r="EV329" s="135"/>
      <c r="EW329" s="135"/>
      <c r="EX329" s="135"/>
      <c r="EY329" s="135"/>
      <c r="EZ329" s="135"/>
      <c r="FA329" s="135"/>
      <c r="FB329" s="135"/>
      <c r="FC329" s="135"/>
      <c r="FD329" s="135"/>
      <c r="FE329" s="135"/>
      <c r="FF329" s="135"/>
      <c r="FG329" s="135"/>
    </row>
    <row r="330" spans="1:163" s="57" customFormat="1" ht="11.25" outlineLevel="1">
      <c r="A330" s="765">
        <f t="shared" si="369"/>
        <v>13</v>
      </c>
      <c r="B330" s="715" cm="1">
        <f t="array" aca="1" ref="B330" ca="1">INDIRECT("'Definition of Typical Day'!"&amp;ADDRESS(B$16,$E330))</f>
        <v>13</v>
      </c>
      <c r="C330" s="766">
        <f t="shared" si="370"/>
        <v>22</v>
      </c>
      <c r="D330" s="715">
        <f t="shared" si="370"/>
        <v>56</v>
      </c>
      <c r="E330" s="715">
        <f t="shared" si="298"/>
        <v>17</v>
      </c>
      <c r="F330" s="767" cm="1">
        <f t="array" aca="1" ref="F330" ca="1">INDIRECT("'Definition of Typical Day'!D"&amp;D330)</f>
        <v>22</v>
      </c>
      <c r="G330" s="767" cm="1">
        <f t="array" aca="1" ref="G330" ca="1">INDIRECT("'Definition of Typical Day'!"&amp;ADDRESS(13,E330))</f>
        <v>13</v>
      </c>
      <c r="H330" s="768" cm="1">
        <f t="array" aca="1" ref="H330" ca="1">INDIRECT("'Definition of Typical Day'!"&amp; ADDRESS($D330+28*(H$16-1),$E330))</f>
        <v>0</v>
      </c>
      <c r="I330" s="715" cm="1">
        <f t="array" aca="1" ref="I330" ca="1">INDIRECT("'Definition of Typical Day'!"&amp; ADDRESS($D330+29*(I$16-1),$E330))</f>
        <v>0</v>
      </c>
      <c r="J330" s="715">
        <f t="shared" ca="1" si="324"/>
        <v>0</v>
      </c>
      <c r="K330" s="785">
        <f t="shared" si="325"/>
        <v>28</v>
      </c>
      <c r="L330" s="786" cm="1">
        <f t="array" aca="1" ref="L330" ca="1">INDIRECT("'Definition of Typical Day'!"&amp; ADDRESS($D330+29*(L$16-1),$E330))</f>
        <v>0</v>
      </c>
      <c r="M330" s="768" cm="1">
        <f t="array" aca="1" ref="M330" ca="1">INDIRECT("'Definition of Typical Day'!"&amp; ADDRESS($D330+29*(M$16-1),$E330))</f>
        <v>0</v>
      </c>
      <c r="N330" s="715">
        <f t="shared" si="326"/>
        <v>3</v>
      </c>
      <c r="O330" s="715">
        <f t="shared" ca="1" si="327"/>
        <v>3</v>
      </c>
      <c r="P330" s="715" cm="1">
        <f t="array" aca="1" ref="P330" ca="1">INDIRECT("'Definition of Typical Day'!"&amp; ADDRESS($D330+29*(P$16-1),$E330))</f>
        <v>0</v>
      </c>
      <c r="Q330" s="787">
        <f t="shared" ca="1" si="328"/>
        <v>3</v>
      </c>
      <c r="R330" s="792">
        <f t="shared" ca="1" si="329"/>
        <v>3</v>
      </c>
      <c r="S330" s="769">
        <f t="shared" si="330"/>
        <v>3</v>
      </c>
      <c r="T330" s="769">
        <f t="shared" ca="1" si="331"/>
        <v>-0.5</v>
      </c>
      <c r="U330" s="769">
        <f t="shared" ca="1" si="332"/>
        <v>2.262</v>
      </c>
      <c r="V330" s="769">
        <f t="shared" ca="1" si="333"/>
        <v>0</v>
      </c>
      <c r="W330" s="769">
        <f t="shared" ca="1" si="334"/>
        <v>4.7620000000000005</v>
      </c>
      <c r="X330" s="794">
        <f t="shared" si="335"/>
        <v>3</v>
      </c>
      <c r="Y330" s="769">
        <f t="shared" ca="1" si="336"/>
        <v>0.54772255750516607</v>
      </c>
      <c r="Z330" s="769">
        <f t="shared" ca="1" si="337"/>
        <v>0</v>
      </c>
      <c r="AA330" s="795">
        <f t="shared" ca="1" si="338"/>
        <v>0</v>
      </c>
      <c r="AB330" s="769">
        <f t="shared" ca="1" si="339"/>
        <v>0</v>
      </c>
      <c r="AC330" s="769">
        <f t="shared" ca="1" si="340"/>
        <v>0</v>
      </c>
      <c r="AD330" s="769">
        <f t="shared" ca="1" si="341"/>
        <v>0</v>
      </c>
      <c r="AE330" s="794">
        <f t="shared" ca="1" si="342"/>
        <v>0</v>
      </c>
      <c r="AF330" s="769">
        <f t="shared" ca="1" si="343"/>
        <v>0</v>
      </c>
      <c r="AG330" s="769">
        <f t="shared" ca="1" si="344"/>
        <v>0</v>
      </c>
      <c r="AH330" s="799">
        <f t="shared" ca="1" si="345"/>
        <v>0</v>
      </c>
      <c r="AI330" s="801">
        <f t="shared" ca="1" si="346"/>
        <v>1</v>
      </c>
      <c r="AJ330" s="794">
        <f t="shared" ca="1" si="347"/>
        <v>0</v>
      </c>
      <c r="AK330" s="769">
        <f t="shared" ca="1" si="348"/>
        <v>0</v>
      </c>
      <c r="AL330" s="769">
        <f t="shared" ca="1" si="349"/>
        <v>0</v>
      </c>
      <c r="AM330" s="804">
        <f t="shared" ca="1" si="299"/>
        <v>0</v>
      </c>
      <c r="AN330" s="795">
        <f t="shared" ca="1" si="300"/>
        <v>0</v>
      </c>
      <c r="AO330" s="251"/>
      <c r="AP330" s="770">
        <f t="shared" si="350"/>
        <v>0</v>
      </c>
      <c r="AQ330" s="771">
        <f t="shared" ca="1" si="351"/>
        <v>0</v>
      </c>
      <c r="AR330" s="771">
        <f t="shared" ca="1" si="352"/>
        <v>0</v>
      </c>
      <c r="AS330" s="772">
        <f t="shared" ca="1" si="353"/>
        <v>0</v>
      </c>
      <c r="AT330" s="231"/>
      <c r="AU330" s="770">
        <f>'Main Results - IRR DC Operator'!$F$16</f>
        <v>2</v>
      </c>
      <c r="AV330" s="773">
        <f>'Main Results - IRR DC Operator'!$F$15</f>
        <v>1</v>
      </c>
      <c r="AW330" s="771">
        <f t="shared" ca="1" si="354"/>
        <v>0</v>
      </c>
      <c r="AX330" s="772">
        <f t="shared" si="355"/>
        <v>0</v>
      </c>
      <c r="AY330" s="231"/>
      <c r="AZ330" s="770" cm="1">
        <f t="array" aca="1" ref="AZ330" ca="1">INDIRECT("'Definition of Typical Day'!"&amp; ADDRESS($D330+29*(AZ$16-1),$E330))+$AZ$17</f>
        <v>11</v>
      </c>
      <c r="BA330" s="771" cm="1">
        <f t="array" aca="1" ref="BA330" ca="1">INDIRECT("'Definition of Typical Day'!"&amp; ADDRESS($D330+29*(BA$16-1),$E330))+$BA$17</f>
        <v>11</v>
      </c>
      <c r="BB330" s="772" cm="1">
        <f t="array" aca="1" ref="BB330" ca="1">INDIRECT("'Definition of Typical Day'!"&amp;ADDRESS(BB$16,$E330))</f>
        <v>0</v>
      </c>
      <c r="BC330" s="776" cm="1">
        <f t="array" aca="1" ref="BC330" ca="1">INDIRECT("'Definition of Typical Day'!"&amp; ADDRESS($D330+29*(BC$16-1),$E330))</f>
        <v>0</v>
      </c>
      <c r="BD330" s="777" cm="1">
        <f t="array" aca="1" ref="BD330" ca="1">INDIRECT("'Definition of Typical Day'!"&amp; ADDRESS($D330+29*(BD$16-1),$E330))</f>
        <v>0</v>
      </c>
      <c r="BE330" s="776">
        <f t="shared" si="356"/>
        <v>0</v>
      </c>
      <c r="BF330" s="771">
        <f t="shared" ca="1" si="357"/>
        <v>0</v>
      </c>
      <c r="BG330" s="771">
        <f t="shared" ca="1" si="358"/>
        <v>0</v>
      </c>
      <c r="BH330" s="771">
        <f t="shared" ca="1" si="359"/>
        <v>0</v>
      </c>
      <c r="BI330" s="776">
        <f t="shared" ca="1" si="360"/>
        <v>0</v>
      </c>
      <c r="BJ330" s="776">
        <f t="shared" ca="1" si="361"/>
        <v>0</v>
      </c>
      <c r="BK330" s="776">
        <f t="shared" ca="1" si="362"/>
        <v>0</v>
      </c>
      <c r="BL330" s="776">
        <f t="shared" ca="1" si="363"/>
        <v>0</v>
      </c>
      <c r="BM330" s="135"/>
      <c r="BN330" s="776">
        <f t="shared" ca="1" si="364"/>
        <v>0</v>
      </c>
      <c r="BO330" s="778">
        <f t="shared" ca="1" si="301"/>
        <v>0</v>
      </c>
      <c r="BP330" s="770">
        <f t="shared" ca="1" si="302"/>
        <v>0</v>
      </c>
      <c r="BQ330" s="771">
        <f t="shared" ca="1" si="303"/>
        <v>0</v>
      </c>
      <c r="BR330" s="771">
        <f t="shared" ca="1" si="304"/>
        <v>0</v>
      </c>
      <c r="BS330" s="776">
        <f t="shared" ca="1" si="365"/>
        <v>0</v>
      </c>
      <c r="BT330" s="776">
        <f t="shared" ca="1" si="305"/>
        <v>0</v>
      </c>
      <c r="BU330" s="783">
        <f t="shared" ca="1" si="306"/>
        <v>0</v>
      </c>
      <c r="BV330" s="783">
        <f t="shared" ca="1" si="307"/>
        <v>0</v>
      </c>
      <c r="BW330" s="1019">
        <f t="shared" ca="1" si="366"/>
        <v>0</v>
      </c>
      <c r="BX330" s="771" cm="1">
        <f t="array" aca="1" ref="BX330" ca="1">INDIRECT("'Definition of Typical Day'!"&amp; ADDRESS($D330+29*(BX$16-1),$E330))</f>
        <v>0</v>
      </c>
      <c r="BY330" s="771">
        <f t="shared" ca="1" si="367"/>
        <v>0</v>
      </c>
      <c r="BZ330" s="781">
        <f t="shared" ca="1" si="308"/>
        <v>0</v>
      </c>
      <c r="CA330" s="781">
        <f t="shared" ca="1" si="309"/>
        <v>0</v>
      </c>
      <c r="CB330" s="776">
        <f t="shared" ca="1" si="310"/>
        <v>0</v>
      </c>
      <c r="CC330" s="782">
        <f t="shared" si="311"/>
        <v>13</v>
      </c>
      <c r="CD330" s="782">
        <f t="shared" si="312"/>
        <v>22</v>
      </c>
      <c r="CE330" s="784" cm="1">
        <f t="array" aca="1" ref="CE330" ca="1">INDIRECT("'Definition of Typical Day'!"&amp;ADDRESS(CE$16,$E330))</f>
        <v>13</v>
      </c>
      <c r="CF330" s="232"/>
      <c r="CG330" s="232"/>
      <c r="CH330" s="776">
        <f t="shared" ca="1" si="313"/>
        <v>0</v>
      </c>
      <c r="CI330" s="806">
        <f t="shared" ca="1" si="314"/>
        <v>0</v>
      </c>
      <c r="CJ330" s="770">
        <f t="shared" ca="1" si="315"/>
        <v>0</v>
      </c>
      <c r="CK330" s="771">
        <f t="shared" ca="1" si="316"/>
        <v>0</v>
      </c>
      <c r="CL330" s="771">
        <f t="shared" ca="1" si="317"/>
        <v>0</v>
      </c>
      <c r="CM330" s="772">
        <f t="shared" ca="1" si="318"/>
        <v>0</v>
      </c>
      <c r="CN330" s="135"/>
      <c r="CO330" s="770">
        <f t="shared" ca="1" si="368"/>
        <v>1.05</v>
      </c>
      <c r="CP330" s="771">
        <f t="shared" ca="1" si="319"/>
        <v>0.02</v>
      </c>
      <c r="CQ330" s="771">
        <f t="shared" ca="1" si="320"/>
        <v>-2.5000000000000001E-2</v>
      </c>
      <c r="CR330" s="771">
        <f t="shared" ca="1" si="321"/>
        <v>0.95</v>
      </c>
      <c r="CS330" s="771">
        <f t="shared" ca="1" si="322"/>
        <v>0.03</v>
      </c>
      <c r="CT330" s="772">
        <f t="shared" ca="1" si="323"/>
        <v>0.02</v>
      </c>
      <c r="CU330" s="135"/>
      <c r="CV330" s="135"/>
      <c r="CW330" s="135"/>
      <c r="CX330" s="135"/>
      <c r="CY330" s="135"/>
      <c r="CZ330" s="135"/>
      <c r="DA330" s="135"/>
      <c r="DB330" s="135"/>
      <c r="DC330" s="135"/>
      <c r="DD330" s="135"/>
      <c r="DE330" s="135"/>
      <c r="DF330" s="135"/>
      <c r="DG330" s="135"/>
      <c r="DH330" s="135"/>
      <c r="DI330" s="135"/>
      <c r="DJ330" s="135"/>
      <c r="DK330" s="135"/>
      <c r="DL330" s="135"/>
      <c r="DX330" s="135"/>
      <c r="DY330" s="135"/>
      <c r="DZ330" s="135"/>
      <c r="EA330" s="135"/>
      <c r="EB330" s="135"/>
      <c r="EC330" s="135"/>
      <c r="ED330" s="135"/>
      <c r="EE330" s="135"/>
      <c r="EF330" s="135"/>
      <c r="EG330" s="135"/>
      <c r="EH330" s="135"/>
      <c r="EI330" s="135"/>
      <c r="EJ330" s="135"/>
      <c r="EK330" s="135"/>
      <c r="EL330" s="135"/>
      <c r="EM330" s="135"/>
      <c r="EN330" s="135"/>
      <c r="EO330" s="135"/>
      <c r="EP330" s="135"/>
      <c r="EQ330" s="135"/>
      <c r="ER330" s="135"/>
      <c r="ES330" s="135"/>
      <c r="ET330" s="135"/>
      <c r="EU330" s="135"/>
      <c r="EV330" s="135"/>
      <c r="EW330" s="135"/>
      <c r="EX330" s="135"/>
      <c r="EY330" s="135"/>
      <c r="EZ330" s="135"/>
      <c r="FA330" s="135"/>
      <c r="FB330" s="135"/>
      <c r="FC330" s="135"/>
      <c r="FD330" s="135"/>
      <c r="FE330" s="135"/>
      <c r="FF330" s="135"/>
      <c r="FG330" s="135"/>
    </row>
    <row r="331" spans="1:163" s="57" customFormat="1" ht="11.25" outlineLevel="1">
      <c r="A331" s="765">
        <f t="shared" si="369"/>
        <v>13</v>
      </c>
      <c r="B331" s="715" cm="1">
        <f t="array" aca="1" ref="B331" ca="1">INDIRECT("'Definition of Typical Day'!"&amp;ADDRESS(B$16,$E331))</f>
        <v>13</v>
      </c>
      <c r="C331" s="766">
        <f t="shared" si="370"/>
        <v>23</v>
      </c>
      <c r="D331" s="715">
        <f t="shared" si="370"/>
        <v>57</v>
      </c>
      <c r="E331" s="715">
        <f t="shared" si="298"/>
        <v>17</v>
      </c>
      <c r="F331" s="767" cm="1">
        <f t="array" aca="1" ref="F331" ca="1">INDIRECT("'Definition of Typical Day'!D"&amp;D331)</f>
        <v>23</v>
      </c>
      <c r="G331" s="767" cm="1">
        <f t="array" aca="1" ref="G331" ca="1">INDIRECT("'Definition of Typical Day'!"&amp;ADDRESS(13,E331))</f>
        <v>13</v>
      </c>
      <c r="H331" s="768" cm="1">
        <f t="array" aca="1" ref="H331" ca="1">INDIRECT("'Definition of Typical Day'!"&amp; ADDRESS($D331+28*(H$16-1),$E331))</f>
        <v>0</v>
      </c>
      <c r="I331" s="715" cm="1">
        <f t="array" aca="1" ref="I331" ca="1">INDIRECT("'Definition of Typical Day'!"&amp; ADDRESS($D331+29*(I$16-1),$E331))</f>
        <v>0</v>
      </c>
      <c r="J331" s="715">
        <f t="shared" ca="1" si="324"/>
        <v>0</v>
      </c>
      <c r="K331" s="785">
        <f t="shared" si="325"/>
        <v>28</v>
      </c>
      <c r="L331" s="786" cm="1">
        <f t="array" aca="1" ref="L331" ca="1">INDIRECT("'Definition of Typical Day'!"&amp; ADDRESS($D331+29*(L$16-1),$E331))</f>
        <v>0</v>
      </c>
      <c r="M331" s="768" cm="1">
        <f t="array" aca="1" ref="M331" ca="1">INDIRECT("'Definition of Typical Day'!"&amp; ADDRESS($D331+29*(M$16-1),$E331))</f>
        <v>0</v>
      </c>
      <c r="N331" s="715">
        <f t="shared" si="326"/>
        <v>3</v>
      </c>
      <c r="O331" s="715">
        <f t="shared" ca="1" si="327"/>
        <v>3</v>
      </c>
      <c r="P331" s="715" cm="1">
        <f t="array" aca="1" ref="P331" ca="1">INDIRECT("'Definition of Typical Day'!"&amp; ADDRESS($D331+29*(P$16-1),$E331))</f>
        <v>0</v>
      </c>
      <c r="Q331" s="787">
        <f t="shared" ca="1" si="328"/>
        <v>3</v>
      </c>
      <c r="R331" s="792">
        <f t="shared" ca="1" si="329"/>
        <v>3</v>
      </c>
      <c r="S331" s="769">
        <f t="shared" si="330"/>
        <v>3</v>
      </c>
      <c r="T331" s="769">
        <f t="shared" ca="1" si="331"/>
        <v>-0.5</v>
      </c>
      <c r="U331" s="769">
        <f t="shared" ca="1" si="332"/>
        <v>2.262</v>
      </c>
      <c r="V331" s="769">
        <f t="shared" ca="1" si="333"/>
        <v>0</v>
      </c>
      <c r="W331" s="769">
        <f t="shared" ca="1" si="334"/>
        <v>4.7620000000000005</v>
      </c>
      <c r="X331" s="794">
        <f t="shared" si="335"/>
        <v>3</v>
      </c>
      <c r="Y331" s="769">
        <f t="shared" ca="1" si="336"/>
        <v>0.54772255750516607</v>
      </c>
      <c r="Z331" s="769">
        <f t="shared" ca="1" si="337"/>
        <v>0</v>
      </c>
      <c r="AA331" s="795">
        <f t="shared" ca="1" si="338"/>
        <v>0</v>
      </c>
      <c r="AB331" s="769">
        <f t="shared" ca="1" si="339"/>
        <v>0</v>
      </c>
      <c r="AC331" s="769">
        <f t="shared" ca="1" si="340"/>
        <v>0</v>
      </c>
      <c r="AD331" s="769">
        <f t="shared" ca="1" si="341"/>
        <v>0</v>
      </c>
      <c r="AE331" s="794">
        <f t="shared" ca="1" si="342"/>
        <v>0</v>
      </c>
      <c r="AF331" s="769">
        <f t="shared" ca="1" si="343"/>
        <v>0</v>
      </c>
      <c r="AG331" s="769">
        <f t="shared" ca="1" si="344"/>
        <v>0</v>
      </c>
      <c r="AH331" s="799">
        <f t="shared" ca="1" si="345"/>
        <v>0</v>
      </c>
      <c r="AI331" s="801">
        <f t="shared" ca="1" si="346"/>
        <v>1</v>
      </c>
      <c r="AJ331" s="794">
        <f t="shared" ca="1" si="347"/>
        <v>0</v>
      </c>
      <c r="AK331" s="769">
        <f t="shared" ca="1" si="348"/>
        <v>0</v>
      </c>
      <c r="AL331" s="769">
        <f t="shared" ca="1" si="349"/>
        <v>0</v>
      </c>
      <c r="AM331" s="804">
        <f t="shared" ca="1" si="299"/>
        <v>0</v>
      </c>
      <c r="AN331" s="795">
        <f t="shared" ca="1" si="300"/>
        <v>0</v>
      </c>
      <c r="AO331" s="251"/>
      <c r="AP331" s="770">
        <f t="shared" si="350"/>
        <v>0</v>
      </c>
      <c r="AQ331" s="771">
        <f t="shared" ca="1" si="351"/>
        <v>0</v>
      </c>
      <c r="AR331" s="771">
        <f t="shared" ca="1" si="352"/>
        <v>0</v>
      </c>
      <c r="AS331" s="772">
        <f t="shared" ca="1" si="353"/>
        <v>0</v>
      </c>
      <c r="AT331" s="231"/>
      <c r="AU331" s="770">
        <f>'Main Results - IRR DC Operator'!$F$16</f>
        <v>2</v>
      </c>
      <c r="AV331" s="773">
        <f>'Main Results - IRR DC Operator'!$F$15</f>
        <v>1</v>
      </c>
      <c r="AW331" s="771">
        <f t="shared" ca="1" si="354"/>
        <v>0</v>
      </c>
      <c r="AX331" s="772">
        <f t="shared" si="355"/>
        <v>0</v>
      </c>
      <c r="AY331" s="231"/>
      <c r="AZ331" s="770" cm="1">
        <f t="array" aca="1" ref="AZ331" ca="1">INDIRECT("'Definition of Typical Day'!"&amp; ADDRESS($D331+29*(AZ$16-1),$E331))+$AZ$17</f>
        <v>11</v>
      </c>
      <c r="BA331" s="771" cm="1">
        <f t="array" aca="1" ref="BA331" ca="1">INDIRECT("'Definition of Typical Day'!"&amp; ADDRESS($D331+29*(BA$16-1),$E331))+$BA$17</f>
        <v>11</v>
      </c>
      <c r="BB331" s="772" cm="1">
        <f t="array" aca="1" ref="BB331" ca="1">INDIRECT("'Definition of Typical Day'!"&amp;ADDRESS(BB$16,$E331))</f>
        <v>0</v>
      </c>
      <c r="BC331" s="776" cm="1">
        <f t="array" aca="1" ref="BC331" ca="1">INDIRECT("'Definition of Typical Day'!"&amp; ADDRESS($D331+29*(BC$16-1),$E331))</f>
        <v>0</v>
      </c>
      <c r="BD331" s="777" cm="1">
        <f t="array" aca="1" ref="BD331" ca="1">INDIRECT("'Definition of Typical Day'!"&amp; ADDRESS($D331+29*(BD$16-1),$E331))</f>
        <v>0</v>
      </c>
      <c r="BE331" s="776">
        <f t="shared" si="356"/>
        <v>0</v>
      </c>
      <c r="BF331" s="771">
        <f t="shared" ca="1" si="357"/>
        <v>0</v>
      </c>
      <c r="BG331" s="771">
        <f t="shared" ca="1" si="358"/>
        <v>0</v>
      </c>
      <c r="BH331" s="771">
        <f t="shared" ca="1" si="359"/>
        <v>0</v>
      </c>
      <c r="BI331" s="776">
        <f t="shared" ca="1" si="360"/>
        <v>0</v>
      </c>
      <c r="BJ331" s="776">
        <f t="shared" ca="1" si="361"/>
        <v>0</v>
      </c>
      <c r="BK331" s="776">
        <f t="shared" ca="1" si="362"/>
        <v>0</v>
      </c>
      <c r="BL331" s="776">
        <f t="shared" ca="1" si="363"/>
        <v>0</v>
      </c>
      <c r="BM331" s="135"/>
      <c r="BN331" s="776">
        <f t="shared" ca="1" si="364"/>
        <v>0</v>
      </c>
      <c r="BO331" s="778">
        <f t="shared" ca="1" si="301"/>
        <v>0</v>
      </c>
      <c r="BP331" s="770">
        <f t="shared" ca="1" si="302"/>
        <v>0</v>
      </c>
      <c r="BQ331" s="771">
        <f t="shared" ca="1" si="303"/>
        <v>0</v>
      </c>
      <c r="BR331" s="771">
        <f t="shared" ca="1" si="304"/>
        <v>0</v>
      </c>
      <c r="BS331" s="776">
        <f t="shared" ca="1" si="365"/>
        <v>0</v>
      </c>
      <c r="BT331" s="776">
        <f t="shared" ca="1" si="305"/>
        <v>0</v>
      </c>
      <c r="BU331" s="783">
        <f t="shared" ca="1" si="306"/>
        <v>0</v>
      </c>
      <c r="BV331" s="783">
        <f t="shared" ca="1" si="307"/>
        <v>0</v>
      </c>
      <c r="BW331" s="1019">
        <f t="shared" ca="1" si="366"/>
        <v>0</v>
      </c>
      <c r="BX331" s="771" cm="1">
        <f t="array" aca="1" ref="BX331" ca="1">INDIRECT("'Definition of Typical Day'!"&amp; ADDRESS($D331+29*(BX$16-1),$E331))</f>
        <v>0</v>
      </c>
      <c r="BY331" s="771">
        <f t="shared" ca="1" si="367"/>
        <v>0</v>
      </c>
      <c r="BZ331" s="781">
        <f t="shared" ca="1" si="308"/>
        <v>0</v>
      </c>
      <c r="CA331" s="781">
        <f t="shared" ca="1" si="309"/>
        <v>0</v>
      </c>
      <c r="CB331" s="776">
        <f t="shared" ca="1" si="310"/>
        <v>0</v>
      </c>
      <c r="CC331" s="782">
        <f t="shared" si="311"/>
        <v>13</v>
      </c>
      <c r="CD331" s="782">
        <f t="shared" si="312"/>
        <v>23</v>
      </c>
      <c r="CE331" s="784" cm="1">
        <f t="array" aca="1" ref="CE331" ca="1">INDIRECT("'Definition of Typical Day'!"&amp;ADDRESS(CE$16,$E331))</f>
        <v>13</v>
      </c>
      <c r="CF331" s="232"/>
      <c r="CG331" s="232"/>
      <c r="CH331" s="776">
        <f t="shared" ca="1" si="313"/>
        <v>0</v>
      </c>
      <c r="CI331" s="806">
        <f t="shared" ca="1" si="314"/>
        <v>0</v>
      </c>
      <c r="CJ331" s="770">
        <f t="shared" ca="1" si="315"/>
        <v>0</v>
      </c>
      <c r="CK331" s="771">
        <f t="shared" ca="1" si="316"/>
        <v>0</v>
      </c>
      <c r="CL331" s="771">
        <f t="shared" ca="1" si="317"/>
        <v>0</v>
      </c>
      <c r="CM331" s="772">
        <f t="shared" ca="1" si="318"/>
        <v>0</v>
      </c>
      <c r="CN331" s="135"/>
      <c r="CO331" s="770">
        <f t="shared" ca="1" si="368"/>
        <v>1.05</v>
      </c>
      <c r="CP331" s="771">
        <f t="shared" ca="1" si="319"/>
        <v>0.02</v>
      </c>
      <c r="CQ331" s="771">
        <f t="shared" ca="1" si="320"/>
        <v>-2.5000000000000001E-2</v>
      </c>
      <c r="CR331" s="771">
        <f t="shared" ca="1" si="321"/>
        <v>0.95</v>
      </c>
      <c r="CS331" s="771">
        <f t="shared" ca="1" si="322"/>
        <v>0.03</v>
      </c>
      <c r="CT331" s="772">
        <f t="shared" ca="1" si="323"/>
        <v>0.02</v>
      </c>
      <c r="CU331" s="135"/>
      <c r="CV331" s="135"/>
      <c r="CW331" s="135"/>
      <c r="CX331" s="135"/>
      <c r="CY331" s="135"/>
      <c r="CZ331" s="135"/>
      <c r="DA331" s="135"/>
      <c r="DB331" s="135"/>
      <c r="DC331" s="135"/>
      <c r="DD331" s="135"/>
      <c r="DE331" s="135"/>
      <c r="DF331" s="135"/>
      <c r="DG331" s="135"/>
      <c r="DH331" s="135"/>
      <c r="DI331" s="135"/>
      <c r="DJ331" s="135"/>
      <c r="DK331" s="135"/>
      <c r="DL331" s="135"/>
      <c r="DX331" s="135"/>
      <c r="DY331" s="135"/>
      <c r="DZ331" s="135"/>
      <c r="EA331" s="135"/>
      <c r="EB331" s="135"/>
      <c r="EC331" s="135"/>
      <c r="ED331" s="135"/>
      <c r="EE331" s="135"/>
      <c r="EF331" s="135"/>
      <c r="EG331" s="135"/>
      <c r="EH331" s="135"/>
      <c r="EI331" s="135"/>
      <c r="EJ331" s="135"/>
      <c r="EK331" s="135"/>
      <c r="EL331" s="135"/>
      <c r="EM331" s="135"/>
      <c r="EN331" s="135"/>
      <c r="EO331" s="135"/>
      <c r="EP331" s="135"/>
      <c r="EQ331" s="135"/>
      <c r="ER331" s="135"/>
      <c r="ES331" s="135"/>
      <c r="ET331" s="135"/>
      <c r="EU331" s="135"/>
      <c r="EV331" s="135"/>
      <c r="EW331" s="135"/>
      <c r="EX331" s="135"/>
      <c r="EY331" s="135"/>
      <c r="EZ331" s="135"/>
      <c r="FA331" s="135"/>
      <c r="FB331" s="135"/>
      <c r="FC331" s="135"/>
      <c r="FD331" s="135"/>
      <c r="FE331" s="135"/>
      <c r="FF331" s="135"/>
      <c r="FG331" s="135"/>
    </row>
    <row r="332" spans="1:163" s="57" customFormat="1" ht="11.25" outlineLevel="1">
      <c r="A332" s="765">
        <f t="shared" si="369"/>
        <v>13</v>
      </c>
      <c r="B332" s="715" cm="1">
        <f t="array" aca="1" ref="B332" ca="1">INDIRECT("'Definition of Typical Day'!"&amp;ADDRESS(B$16,$E332))</f>
        <v>13</v>
      </c>
      <c r="C332" s="766">
        <f t="shared" si="370"/>
        <v>24</v>
      </c>
      <c r="D332" s="715">
        <f t="shared" si="370"/>
        <v>58</v>
      </c>
      <c r="E332" s="715">
        <f t="shared" si="298"/>
        <v>17</v>
      </c>
      <c r="F332" s="767" cm="1">
        <f t="array" aca="1" ref="F332" ca="1">INDIRECT("'Definition of Typical Day'!D"&amp;D332)</f>
        <v>24</v>
      </c>
      <c r="G332" s="767" cm="1">
        <f t="array" aca="1" ref="G332" ca="1">INDIRECT("'Definition of Typical Day'!"&amp;ADDRESS(13,E332))</f>
        <v>13</v>
      </c>
      <c r="H332" s="768" cm="1">
        <f t="array" aca="1" ref="H332" ca="1">INDIRECT("'Definition of Typical Day'!"&amp; ADDRESS($D332+28*(H$16-1),$E332))</f>
        <v>0</v>
      </c>
      <c r="I332" s="715" cm="1">
        <f t="array" aca="1" ref="I332" ca="1">INDIRECT("'Definition of Typical Day'!"&amp; ADDRESS($D332+29*(I$16-1),$E332))</f>
        <v>0</v>
      </c>
      <c r="J332" s="715">
        <f t="shared" ca="1" si="324"/>
        <v>0</v>
      </c>
      <c r="K332" s="785">
        <f t="shared" si="325"/>
        <v>28</v>
      </c>
      <c r="L332" s="786" cm="1">
        <f t="array" aca="1" ref="L332" ca="1">INDIRECT("'Definition of Typical Day'!"&amp; ADDRESS($D332+29*(L$16-1),$E332))</f>
        <v>0</v>
      </c>
      <c r="M332" s="768" cm="1">
        <f t="array" aca="1" ref="M332" ca="1">INDIRECT("'Definition of Typical Day'!"&amp; ADDRESS($D332+29*(M$16-1),$E332))</f>
        <v>0</v>
      </c>
      <c r="N332" s="715">
        <f t="shared" si="326"/>
        <v>3</v>
      </c>
      <c r="O332" s="715">
        <f t="shared" ca="1" si="327"/>
        <v>3</v>
      </c>
      <c r="P332" s="715" cm="1">
        <f t="array" aca="1" ref="P332" ca="1">INDIRECT("'Definition of Typical Day'!"&amp; ADDRESS($D332+29*(P$16-1),$E332))</f>
        <v>0</v>
      </c>
      <c r="Q332" s="787">
        <f t="shared" ca="1" si="328"/>
        <v>3</v>
      </c>
      <c r="R332" s="792">
        <f t="shared" ca="1" si="329"/>
        <v>3</v>
      </c>
      <c r="S332" s="769">
        <f t="shared" si="330"/>
        <v>3</v>
      </c>
      <c r="T332" s="769">
        <f t="shared" ca="1" si="331"/>
        <v>-0.5</v>
      </c>
      <c r="U332" s="769">
        <f t="shared" ca="1" si="332"/>
        <v>2.262</v>
      </c>
      <c r="V332" s="769">
        <f t="shared" ca="1" si="333"/>
        <v>0</v>
      </c>
      <c r="W332" s="769">
        <f t="shared" ca="1" si="334"/>
        <v>4.7620000000000005</v>
      </c>
      <c r="X332" s="794">
        <f t="shared" si="335"/>
        <v>3</v>
      </c>
      <c r="Y332" s="769">
        <f t="shared" ca="1" si="336"/>
        <v>0.54772255750516607</v>
      </c>
      <c r="Z332" s="769">
        <f t="shared" ca="1" si="337"/>
        <v>0</v>
      </c>
      <c r="AA332" s="795">
        <f t="shared" ca="1" si="338"/>
        <v>0</v>
      </c>
      <c r="AB332" s="769">
        <f t="shared" ca="1" si="339"/>
        <v>0</v>
      </c>
      <c r="AC332" s="769">
        <f t="shared" ca="1" si="340"/>
        <v>0</v>
      </c>
      <c r="AD332" s="769">
        <f t="shared" ca="1" si="341"/>
        <v>0</v>
      </c>
      <c r="AE332" s="794">
        <f t="shared" ca="1" si="342"/>
        <v>0</v>
      </c>
      <c r="AF332" s="769">
        <f t="shared" ca="1" si="343"/>
        <v>0</v>
      </c>
      <c r="AG332" s="769">
        <f t="shared" ca="1" si="344"/>
        <v>0</v>
      </c>
      <c r="AH332" s="799">
        <f t="shared" ca="1" si="345"/>
        <v>0</v>
      </c>
      <c r="AI332" s="801">
        <f t="shared" ca="1" si="346"/>
        <v>1</v>
      </c>
      <c r="AJ332" s="794">
        <f t="shared" ca="1" si="347"/>
        <v>0</v>
      </c>
      <c r="AK332" s="769">
        <f t="shared" ca="1" si="348"/>
        <v>0</v>
      </c>
      <c r="AL332" s="769">
        <f t="shared" ca="1" si="349"/>
        <v>0</v>
      </c>
      <c r="AM332" s="804">
        <f t="shared" ca="1" si="299"/>
        <v>0</v>
      </c>
      <c r="AN332" s="795">
        <f t="shared" ca="1" si="300"/>
        <v>0</v>
      </c>
      <c r="AO332" s="251"/>
      <c r="AP332" s="770">
        <f t="shared" si="350"/>
        <v>0</v>
      </c>
      <c r="AQ332" s="771">
        <f t="shared" ca="1" si="351"/>
        <v>0</v>
      </c>
      <c r="AR332" s="771">
        <f t="shared" ca="1" si="352"/>
        <v>0</v>
      </c>
      <c r="AS332" s="772">
        <f t="shared" ca="1" si="353"/>
        <v>0</v>
      </c>
      <c r="AT332" s="231"/>
      <c r="AU332" s="770">
        <f>'Main Results - IRR DC Operator'!$F$16</f>
        <v>2</v>
      </c>
      <c r="AV332" s="773">
        <f>'Main Results - IRR DC Operator'!$F$15</f>
        <v>1</v>
      </c>
      <c r="AW332" s="771">
        <f t="shared" ca="1" si="354"/>
        <v>0</v>
      </c>
      <c r="AX332" s="772">
        <f t="shared" si="355"/>
        <v>0</v>
      </c>
      <c r="AY332" s="231"/>
      <c r="AZ332" s="770" cm="1">
        <f t="array" aca="1" ref="AZ332" ca="1">INDIRECT("'Definition of Typical Day'!"&amp; ADDRESS($D332+29*(AZ$16-1),$E332))+$AZ$17</f>
        <v>11</v>
      </c>
      <c r="BA332" s="771" cm="1">
        <f t="array" aca="1" ref="BA332" ca="1">INDIRECT("'Definition of Typical Day'!"&amp; ADDRESS($D332+29*(BA$16-1),$E332))+$BA$17</f>
        <v>11</v>
      </c>
      <c r="BB332" s="772" cm="1">
        <f t="array" aca="1" ref="BB332" ca="1">INDIRECT("'Definition of Typical Day'!"&amp;ADDRESS(BB$16,$E332))</f>
        <v>0</v>
      </c>
      <c r="BC332" s="776" cm="1">
        <f t="array" aca="1" ref="BC332" ca="1">INDIRECT("'Definition of Typical Day'!"&amp; ADDRESS($D332+29*(BC$16-1),$E332))</f>
        <v>0</v>
      </c>
      <c r="BD332" s="777" cm="1">
        <f t="array" aca="1" ref="BD332" ca="1">INDIRECT("'Definition of Typical Day'!"&amp; ADDRESS($D332+29*(BD$16-1),$E332))</f>
        <v>0</v>
      </c>
      <c r="BE332" s="776">
        <f t="shared" si="356"/>
        <v>0</v>
      </c>
      <c r="BF332" s="771">
        <f t="shared" ca="1" si="357"/>
        <v>0</v>
      </c>
      <c r="BG332" s="771">
        <f t="shared" ca="1" si="358"/>
        <v>0</v>
      </c>
      <c r="BH332" s="771">
        <f t="shared" ca="1" si="359"/>
        <v>0</v>
      </c>
      <c r="BI332" s="776">
        <f t="shared" ca="1" si="360"/>
        <v>0</v>
      </c>
      <c r="BJ332" s="776">
        <f t="shared" ca="1" si="361"/>
        <v>0</v>
      </c>
      <c r="BK332" s="776">
        <f t="shared" ca="1" si="362"/>
        <v>0</v>
      </c>
      <c r="BL332" s="776">
        <f t="shared" ca="1" si="363"/>
        <v>0</v>
      </c>
      <c r="BM332" s="135"/>
      <c r="BN332" s="776">
        <f t="shared" ca="1" si="364"/>
        <v>0</v>
      </c>
      <c r="BO332" s="778">
        <f t="shared" ca="1" si="301"/>
        <v>0</v>
      </c>
      <c r="BP332" s="770">
        <f t="shared" ca="1" si="302"/>
        <v>0</v>
      </c>
      <c r="BQ332" s="771">
        <f t="shared" ca="1" si="303"/>
        <v>0</v>
      </c>
      <c r="BR332" s="771">
        <f t="shared" ca="1" si="304"/>
        <v>0</v>
      </c>
      <c r="BS332" s="776">
        <f t="shared" ca="1" si="365"/>
        <v>0</v>
      </c>
      <c r="BT332" s="776">
        <f t="shared" ca="1" si="305"/>
        <v>0</v>
      </c>
      <c r="BU332" s="783">
        <f t="shared" ca="1" si="306"/>
        <v>0</v>
      </c>
      <c r="BV332" s="783">
        <f t="shared" ca="1" si="307"/>
        <v>0</v>
      </c>
      <c r="BW332" s="1019">
        <f t="shared" ca="1" si="366"/>
        <v>0</v>
      </c>
      <c r="BX332" s="771" cm="1">
        <f t="array" aca="1" ref="BX332" ca="1">INDIRECT("'Definition of Typical Day'!"&amp; ADDRESS($D332+29*(BX$16-1),$E332))</f>
        <v>0</v>
      </c>
      <c r="BY332" s="771">
        <f t="shared" ca="1" si="367"/>
        <v>0</v>
      </c>
      <c r="BZ332" s="781">
        <f t="shared" ca="1" si="308"/>
        <v>0</v>
      </c>
      <c r="CA332" s="781">
        <f t="shared" ca="1" si="309"/>
        <v>0</v>
      </c>
      <c r="CB332" s="776">
        <f t="shared" ca="1" si="310"/>
        <v>0</v>
      </c>
      <c r="CC332" s="782">
        <f t="shared" si="311"/>
        <v>13</v>
      </c>
      <c r="CD332" s="782">
        <f t="shared" si="312"/>
        <v>24</v>
      </c>
      <c r="CE332" s="784" cm="1">
        <f t="array" aca="1" ref="CE332" ca="1">INDIRECT("'Definition of Typical Day'!"&amp;ADDRESS(CE$16,$E332))</f>
        <v>13</v>
      </c>
      <c r="CF332" s="232"/>
      <c r="CG332" s="232"/>
      <c r="CH332" s="776">
        <f t="shared" ca="1" si="313"/>
        <v>0</v>
      </c>
      <c r="CI332" s="806">
        <f t="shared" ca="1" si="314"/>
        <v>0</v>
      </c>
      <c r="CJ332" s="770">
        <f t="shared" ca="1" si="315"/>
        <v>0</v>
      </c>
      <c r="CK332" s="771">
        <f t="shared" ca="1" si="316"/>
        <v>0</v>
      </c>
      <c r="CL332" s="771">
        <f t="shared" ca="1" si="317"/>
        <v>0</v>
      </c>
      <c r="CM332" s="772">
        <f t="shared" ca="1" si="318"/>
        <v>0</v>
      </c>
      <c r="CN332" s="135"/>
      <c r="CO332" s="770">
        <f t="shared" ca="1" si="368"/>
        <v>1.05</v>
      </c>
      <c r="CP332" s="771">
        <f t="shared" ca="1" si="319"/>
        <v>0.02</v>
      </c>
      <c r="CQ332" s="771">
        <f t="shared" ca="1" si="320"/>
        <v>-2.5000000000000001E-2</v>
      </c>
      <c r="CR332" s="771">
        <f t="shared" ca="1" si="321"/>
        <v>0.95</v>
      </c>
      <c r="CS332" s="771">
        <f t="shared" ca="1" si="322"/>
        <v>0.03</v>
      </c>
      <c r="CT332" s="772">
        <f t="shared" ca="1" si="323"/>
        <v>0.02</v>
      </c>
      <c r="CU332" s="135"/>
      <c r="CV332" s="135"/>
      <c r="CW332" s="135"/>
      <c r="CX332" s="135"/>
      <c r="CY332" s="135"/>
      <c r="CZ332" s="135"/>
      <c r="DA332" s="135"/>
      <c r="DB332" s="135"/>
      <c r="DC332" s="135"/>
      <c r="DD332" s="135"/>
      <c r="DE332" s="135"/>
      <c r="DF332" s="135"/>
      <c r="DG332" s="135"/>
      <c r="DH332" s="135"/>
      <c r="DI332" s="135"/>
      <c r="DJ332" s="135"/>
      <c r="DK332" s="135"/>
      <c r="DL332" s="135"/>
      <c r="DX332" s="135"/>
      <c r="DY332" s="135"/>
      <c r="DZ332" s="135"/>
      <c r="EA332" s="135"/>
      <c r="EB332" s="135"/>
      <c r="EC332" s="135"/>
      <c r="ED332" s="135"/>
      <c r="EE332" s="135"/>
      <c r="EF332" s="135"/>
      <c r="EG332" s="135"/>
      <c r="EH332" s="135"/>
      <c r="EI332" s="135"/>
      <c r="EJ332" s="135"/>
      <c r="EK332" s="135"/>
      <c r="EL332" s="135"/>
      <c r="EM332" s="135"/>
      <c r="EN332" s="135"/>
      <c r="EO332" s="135"/>
      <c r="EP332" s="135"/>
      <c r="EQ332" s="135"/>
      <c r="ER332" s="135"/>
      <c r="ES332" s="135"/>
      <c r="ET332" s="135"/>
      <c r="EU332" s="135"/>
      <c r="EV332" s="135"/>
      <c r="EW332" s="135"/>
      <c r="EX332" s="135"/>
      <c r="EY332" s="135"/>
      <c r="EZ332" s="135"/>
      <c r="FA332" s="135"/>
      <c r="FB332" s="135"/>
      <c r="FC332" s="135"/>
      <c r="FD332" s="135"/>
      <c r="FE332" s="135"/>
      <c r="FF332" s="135"/>
      <c r="FG332" s="135"/>
    </row>
    <row r="333" spans="1:163" s="57" customFormat="1" ht="11.25" outlineLevel="1">
      <c r="A333" s="765">
        <f t="shared" si="369"/>
        <v>14</v>
      </c>
      <c r="B333" s="715" cm="1">
        <f t="array" aca="1" ref="B333" ca="1">INDIRECT("'Definition of Typical Day'!"&amp;ADDRESS(B$16,$E333))</f>
        <v>14</v>
      </c>
      <c r="C333" s="766">
        <f t="shared" si="370"/>
        <v>1</v>
      </c>
      <c r="D333" s="715">
        <f t="shared" si="370"/>
        <v>35</v>
      </c>
      <c r="E333" s="715">
        <f t="shared" si="298"/>
        <v>18</v>
      </c>
      <c r="F333" s="767" cm="1">
        <f t="array" aca="1" ref="F333" ca="1">INDIRECT("'Definition of Typical Day'!D"&amp;D333)</f>
        <v>1</v>
      </c>
      <c r="G333" s="767" cm="1">
        <f t="array" aca="1" ref="G333" ca="1">INDIRECT("'Definition of Typical Day'!"&amp;ADDRESS(13,E333))</f>
        <v>14</v>
      </c>
      <c r="H333" s="768" cm="1">
        <f t="array" aca="1" ref="H333" ca="1">INDIRECT("'Definition of Typical Day'!"&amp; ADDRESS($D333+28*(H$16-1),$E333))</f>
        <v>0</v>
      </c>
      <c r="I333" s="715" cm="1">
        <f t="array" aca="1" ref="I333" ca="1">INDIRECT("'Definition of Typical Day'!"&amp; ADDRESS($D333+29*(I$16-1),$E333))</f>
        <v>0</v>
      </c>
      <c r="J333" s="715">
        <f t="shared" ca="1" si="324"/>
        <v>0</v>
      </c>
      <c r="K333" s="785">
        <f t="shared" si="325"/>
        <v>28</v>
      </c>
      <c r="L333" s="786" cm="1">
        <f t="array" aca="1" ref="L333" ca="1">INDIRECT("'Definition of Typical Day'!"&amp; ADDRESS($D333+29*(L$16-1),$E333))</f>
        <v>0</v>
      </c>
      <c r="M333" s="768" cm="1">
        <f t="array" aca="1" ref="M333" ca="1">INDIRECT("'Definition of Typical Day'!"&amp; ADDRESS($D333+29*(M$16-1),$E333))</f>
        <v>0</v>
      </c>
      <c r="N333" s="715">
        <f t="shared" si="326"/>
        <v>3</v>
      </c>
      <c r="O333" s="715">
        <f t="shared" ca="1" si="327"/>
        <v>3</v>
      </c>
      <c r="P333" s="715" cm="1">
        <f t="array" aca="1" ref="P333" ca="1">INDIRECT("'Definition of Typical Day'!"&amp; ADDRESS($D333+29*(P$16-1),$E333))</f>
        <v>0</v>
      </c>
      <c r="Q333" s="787">
        <f t="shared" ca="1" si="328"/>
        <v>3</v>
      </c>
      <c r="R333" s="792">
        <f t="shared" ca="1" si="329"/>
        <v>3</v>
      </c>
      <c r="S333" s="769">
        <f t="shared" si="330"/>
        <v>3</v>
      </c>
      <c r="T333" s="769">
        <f t="shared" ca="1" si="331"/>
        <v>-0.5</v>
      </c>
      <c r="U333" s="769">
        <f t="shared" ca="1" si="332"/>
        <v>2.262</v>
      </c>
      <c r="V333" s="769">
        <f t="shared" ca="1" si="333"/>
        <v>0</v>
      </c>
      <c r="W333" s="769">
        <f t="shared" ca="1" si="334"/>
        <v>4.7620000000000005</v>
      </c>
      <c r="X333" s="794">
        <f t="shared" si="335"/>
        <v>3</v>
      </c>
      <c r="Y333" s="769">
        <f t="shared" ca="1" si="336"/>
        <v>0.54772255750516607</v>
      </c>
      <c r="Z333" s="769">
        <f t="shared" ca="1" si="337"/>
        <v>0</v>
      </c>
      <c r="AA333" s="795">
        <f t="shared" ca="1" si="338"/>
        <v>0</v>
      </c>
      <c r="AB333" s="769">
        <f t="shared" ca="1" si="339"/>
        <v>0</v>
      </c>
      <c r="AC333" s="769">
        <f t="shared" ca="1" si="340"/>
        <v>0</v>
      </c>
      <c r="AD333" s="769">
        <f t="shared" ca="1" si="341"/>
        <v>0</v>
      </c>
      <c r="AE333" s="794">
        <f t="shared" ca="1" si="342"/>
        <v>0</v>
      </c>
      <c r="AF333" s="769">
        <f t="shared" ca="1" si="343"/>
        <v>0</v>
      </c>
      <c r="AG333" s="769">
        <f t="shared" ca="1" si="344"/>
        <v>0</v>
      </c>
      <c r="AH333" s="799">
        <f t="shared" ca="1" si="345"/>
        <v>0</v>
      </c>
      <c r="AI333" s="801">
        <f t="shared" ca="1" si="346"/>
        <v>1</v>
      </c>
      <c r="AJ333" s="794">
        <f t="shared" ca="1" si="347"/>
        <v>0</v>
      </c>
      <c r="AK333" s="769">
        <f t="shared" ca="1" si="348"/>
        <v>0</v>
      </c>
      <c r="AL333" s="769">
        <f t="shared" ca="1" si="349"/>
        <v>0</v>
      </c>
      <c r="AM333" s="804">
        <f t="shared" ca="1" si="299"/>
        <v>0</v>
      </c>
      <c r="AN333" s="795">
        <f t="shared" ca="1" si="300"/>
        <v>0</v>
      </c>
      <c r="AO333" s="251"/>
      <c r="AP333" s="770">
        <f t="shared" si="350"/>
        <v>0</v>
      </c>
      <c r="AQ333" s="771">
        <f t="shared" ca="1" si="351"/>
        <v>0</v>
      </c>
      <c r="AR333" s="771">
        <f t="shared" ca="1" si="352"/>
        <v>0</v>
      </c>
      <c r="AS333" s="772">
        <f t="shared" ca="1" si="353"/>
        <v>0</v>
      </c>
      <c r="AT333" s="231"/>
      <c r="AU333" s="770">
        <f>'Main Results - IRR DC Operator'!$F$16</f>
        <v>2</v>
      </c>
      <c r="AV333" s="773">
        <f>'Main Results - IRR DC Operator'!$F$15</f>
        <v>1</v>
      </c>
      <c r="AW333" s="771">
        <f t="shared" ca="1" si="354"/>
        <v>0</v>
      </c>
      <c r="AX333" s="772">
        <f t="shared" si="355"/>
        <v>0</v>
      </c>
      <c r="AY333" s="231"/>
      <c r="AZ333" s="770" cm="1">
        <f t="array" aca="1" ref="AZ333" ca="1">INDIRECT("'Definition of Typical Day'!"&amp; ADDRESS($D333+29*(AZ$16-1),$E333))+$AZ$17</f>
        <v>11</v>
      </c>
      <c r="BA333" s="771" cm="1">
        <f t="array" aca="1" ref="BA333" ca="1">INDIRECT("'Definition of Typical Day'!"&amp; ADDRESS($D333+29*(BA$16-1),$E333))+$BA$17</f>
        <v>11</v>
      </c>
      <c r="BB333" s="772" cm="1">
        <f t="array" aca="1" ref="BB333" ca="1">INDIRECT("'Definition of Typical Day'!"&amp;ADDRESS(BB$16,$E333))</f>
        <v>0</v>
      </c>
      <c r="BC333" s="776" cm="1">
        <f t="array" aca="1" ref="BC333" ca="1">INDIRECT("'Definition of Typical Day'!"&amp; ADDRESS($D333+29*(BC$16-1),$E333))</f>
        <v>0</v>
      </c>
      <c r="BD333" s="777" cm="1">
        <f t="array" aca="1" ref="BD333" ca="1">INDIRECT("'Definition of Typical Day'!"&amp; ADDRESS($D333+29*(BD$16-1),$E333))</f>
        <v>0</v>
      </c>
      <c r="BE333" s="776">
        <f t="shared" si="356"/>
        <v>0</v>
      </c>
      <c r="BF333" s="771">
        <f t="shared" ca="1" si="357"/>
        <v>0</v>
      </c>
      <c r="BG333" s="771">
        <f t="shared" ca="1" si="358"/>
        <v>0</v>
      </c>
      <c r="BH333" s="771">
        <f t="shared" ca="1" si="359"/>
        <v>0</v>
      </c>
      <c r="BI333" s="776">
        <f t="shared" ca="1" si="360"/>
        <v>0</v>
      </c>
      <c r="BJ333" s="776">
        <f t="shared" ca="1" si="361"/>
        <v>0</v>
      </c>
      <c r="BK333" s="776">
        <f t="shared" ca="1" si="362"/>
        <v>0</v>
      </c>
      <c r="BL333" s="776">
        <f t="shared" ca="1" si="363"/>
        <v>0</v>
      </c>
      <c r="BM333" s="135"/>
      <c r="BN333" s="776">
        <f t="shared" ca="1" si="364"/>
        <v>0</v>
      </c>
      <c r="BO333" s="778">
        <f t="shared" ca="1" si="301"/>
        <v>0</v>
      </c>
      <c r="BP333" s="770">
        <f t="shared" ca="1" si="302"/>
        <v>0</v>
      </c>
      <c r="BQ333" s="771">
        <f t="shared" ca="1" si="303"/>
        <v>0</v>
      </c>
      <c r="BR333" s="771">
        <f t="shared" ca="1" si="304"/>
        <v>0</v>
      </c>
      <c r="BS333" s="776">
        <f t="shared" ca="1" si="365"/>
        <v>0</v>
      </c>
      <c r="BT333" s="776">
        <f t="shared" ca="1" si="305"/>
        <v>0</v>
      </c>
      <c r="BU333" s="783">
        <f t="shared" ca="1" si="306"/>
        <v>0</v>
      </c>
      <c r="BV333" s="783">
        <f t="shared" ca="1" si="307"/>
        <v>0</v>
      </c>
      <c r="BW333" s="1019">
        <f t="shared" ca="1" si="366"/>
        <v>0</v>
      </c>
      <c r="BX333" s="771" cm="1">
        <f t="array" aca="1" ref="BX333" ca="1">INDIRECT("'Definition of Typical Day'!"&amp; ADDRESS($D333+29*(BX$16-1),$E333))</f>
        <v>0</v>
      </c>
      <c r="BY333" s="771">
        <f t="shared" ca="1" si="367"/>
        <v>0</v>
      </c>
      <c r="BZ333" s="781">
        <f t="shared" ca="1" si="308"/>
        <v>0</v>
      </c>
      <c r="CA333" s="781">
        <f t="shared" ca="1" si="309"/>
        <v>0</v>
      </c>
      <c r="CB333" s="776">
        <f t="shared" ca="1" si="310"/>
        <v>0</v>
      </c>
      <c r="CC333" s="782">
        <f t="shared" si="311"/>
        <v>14</v>
      </c>
      <c r="CD333" s="782">
        <f t="shared" si="312"/>
        <v>1</v>
      </c>
      <c r="CE333" s="784" cm="1">
        <f t="array" aca="1" ref="CE333" ca="1">INDIRECT("'Definition of Typical Day'!"&amp;ADDRESS(CE$16,$E333))</f>
        <v>14</v>
      </c>
      <c r="CF333" s="232"/>
      <c r="CG333" s="232"/>
      <c r="CH333" s="776">
        <f t="shared" ca="1" si="313"/>
        <v>0</v>
      </c>
      <c r="CI333" s="806">
        <f t="shared" ca="1" si="314"/>
        <v>0</v>
      </c>
      <c r="CJ333" s="770">
        <f t="shared" ca="1" si="315"/>
        <v>0</v>
      </c>
      <c r="CK333" s="771">
        <f t="shared" ca="1" si="316"/>
        <v>0</v>
      </c>
      <c r="CL333" s="771">
        <f t="shared" ca="1" si="317"/>
        <v>0</v>
      </c>
      <c r="CM333" s="772">
        <f t="shared" ca="1" si="318"/>
        <v>0</v>
      </c>
      <c r="CN333" s="135"/>
      <c r="CO333" s="770">
        <f t="shared" ca="1" si="368"/>
        <v>1.05</v>
      </c>
      <c r="CP333" s="771">
        <f t="shared" ca="1" si="319"/>
        <v>0.02</v>
      </c>
      <c r="CQ333" s="771">
        <f t="shared" ca="1" si="320"/>
        <v>-2.5000000000000001E-2</v>
      </c>
      <c r="CR333" s="771">
        <f t="shared" ca="1" si="321"/>
        <v>0.95</v>
      </c>
      <c r="CS333" s="771">
        <f t="shared" ca="1" si="322"/>
        <v>0.03</v>
      </c>
      <c r="CT333" s="772">
        <f t="shared" ca="1" si="323"/>
        <v>0.02</v>
      </c>
      <c r="CU333" s="135"/>
      <c r="CV333" s="135"/>
      <c r="CW333" s="135"/>
      <c r="CX333" s="135"/>
      <c r="CY333" s="135"/>
      <c r="CZ333" s="135"/>
      <c r="DA333" s="135"/>
      <c r="DB333" s="135"/>
      <c r="DC333" s="135"/>
      <c r="DD333" s="135"/>
      <c r="DE333" s="135"/>
      <c r="DF333" s="135"/>
      <c r="DG333" s="135"/>
      <c r="DH333" s="135"/>
      <c r="DI333" s="135"/>
      <c r="DJ333" s="135"/>
      <c r="DK333" s="135"/>
      <c r="DL333" s="135"/>
      <c r="DX333" s="135"/>
      <c r="DY333" s="135"/>
      <c r="DZ333" s="135"/>
      <c r="EA333" s="135"/>
      <c r="EB333" s="135"/>
      <c r="EC333" s="135"/>
      <c r="ED333" s="135"/>
      <c r="EE333" s="135"/>
      <c r="EF333" s="135"/>
      <c r="EG333" s="135"/>
      <c r="EH333" s="135"/>
      <c r="EI333" s="135"/>
      <c r="EJ333" s="135"/>
      <c r="EK333" s="135"/>
      <c r="EL333" s="135"/>
      <c r="EM333" s="135"/>
      <c r="EN333" s="135"/>
      <c r="EO333" s="135"/>
      <c r="EP333" s="135"/>
      <c r="EQ333" s="135"/>
      <c r="ER333" s="135"/>
      <c r="ES333" s="135"/>
      <c r="ET333" s="135"/>
      <c r="EU333" s="135"/>
      <c r="EV333" s="135"/>
      <c r="EW333" s="135"/>
      <c r="EX333" s="135"/>
      <c r="EY333" s="135"/>
      <c r="EZ333" s="135"/>
      <c r="FA333" s="135"/>
      <c r="FB333" s="135"/>
      <c r="FC333" s="135"/>
      <c r="FD333" s="135"/>
      <c r="FE333" s="135"/>
      <c r="FF333" s="135"/>
      <c r="FG333" s="135"/>
    </row>
    <row r="334" spans="1:163" s="57" customFormat="1" ht="11.25" outlineLevel="1">
      <c r="A334" s="765">
        <f t="shared" si="369"/>
        <v>14</v>
      </c>
      <c r="B334" s="715" cm="1">
        <f t="array" aca="1" ref="B334" ca="1">INDIRECT("'Definition of Typical Day'!"&amp;ADDRESS(B$16,$E334))</f>
        <v>14</v>
      </c>
      <c r="C334" s="766">
        <f t="shared" si="370"/>
        <v>2</v>
      </c>
      <c r="D334" s="715">
        <f t="shared" si="370"/>
        <v>36</v>
      </c>
      <c r="E334" s="715">
        <f t="shared" si="298"/>
        <v>18</v>
      </c>
      <c r="F334" s="767" cm="1">
        <f t="array" aca="1" ref="F334" ca="1">INDIRECT("'Definition of Typical Day'!D"&amp;D334)</f>
        <v>2</v>
      </c>
      <c r="G334" s="767" cm="1">
        <f t="array" aca="1" ref="G334" ca="1">INDIRECT("'Definition of Typical Day'!"&amp;ADDRESS(13,E334))</f>
        <v>14</v>
      </c>
      <c r="H334" s="768" cm="1">
        <f t="array" aca="1" ref="H334" ca="1">INDIRECT("'Definition of Typical Day'!"&amp; ADDRESS($D334+28*(H$16-1),$E334))</f>
        <v>0</v>
      </c>
      <c r="I334" s="715" cm="1">
        <f t="array" aca="1" ref="I334" ca="1">INDIRECT("'Definition of Typical Day'!"&amp; ADDRESS($D334+29*(I$16-1),$E334))</f>
        <v>0</v>
      </c>
      <c r="J334" s="715">
        <f t="shared" ca="1" si="324"/>
        <v>0</v>
      </c>
      <c r="K334" s="785">
        <f t="shared" si="325"/>
        <v>28</v>
      </c>
      <c r="L334" s="786" cm="1">
        <f t="array" aca="1" ref="L334" ca="1">INDIRECT("'Definition of Typical Day'!"&amp; ADDRESS($D334+29*(L$16-1),$E334))</f>
        <v>0</v>
      </c>
      <c r="M334" s="768" cm="1">
        <f t="array" aca="1" ref="M334" ca="1">INDIRECT("'Definition of Typical Day'!"&amp; ADDRESS($D334+29*(M$16-1),$E334))</f>
        <v>0</v>
      </c>
      <c r="N334" s="715">
        <f t="shared" si="326"/>
        <v>3</v>
      </c>
      <c r="O334" s="715">
        <f t="shared" ca="1" si="327"/>
        <v>3</v>
      </c>
      <c r="P334" s="715" cm="1">
        <f t="array" aca="1" ref="P334" ca="1">INDIRECT("'Definition of Typical Day'!"&amp; ADDRESS($D334+29*(P$16-1),$E334))</f>
        <v>0</v>
      </c>
      <c r="Q334" s="787">
        <f t="shared" ca="1" si="328"/>
        <v>3</v>
      </c>
      <c r="R334" s="792">
        <f t="shared" ca="1" si="329"/>
        <v>3</v>
      </c>
      <c r="S334" s="769">
        <f t="shared" si="330"/>
        <v>3</v>
      </c>
      <c r="T334" s="769">
        <f t="shared" ca="1" si="331"/>
        <v>-0.5</v>
      </c>
      <c r="U334" s="769">
        <f t="shared" ca="1" si="332"/>
        <v>2.262</v>
      </c>
      <c r="V334" s="769">
        <f t="shared" ca="1" si="333"/>
        <v>0</v>
      </c>
      <c r="W334" s="769">
        <f t="shared" ca="1" si="334"/>
        <v>4.7620000000000005</v>
      </c>
      <c r="X334" s="794">
        <f t="shared" si="335"/>
        <v>3</v>
      </c>
      <c r="Y334" s="769">
        <f t="shared" ca="1" si="336"/>
        <v>0.54772255750516607</v>
      </c>
      <c r="Z334" s="769">
        <f t="shared" ca="1" si="337"/>
        <v>0</v>
      </c>
      <c r="AA334" s="795">
        <f t="shared" ca="1" si="338"/>
        <v>0</v>
      </c>
      <c r="AB334" s="769">
        <f t="shared" ca="1" si="339"/>
        <v>0</v>
      </c>
      <c r="AC334" s="769">
        <f t="shared" ca="1" si="340"/>
        <v>0</v>
      </c>
      <c r="AD334" s="769">
        <f t="shared" ca="1" si="341"/>
        <v>0</v>
      </c>
      <c r="AE334" s="794">
        <f t="shared" ca="1" si="342"/>
        <v>0</v>
      </c>
      <c r="AF334" s="769">
        <f t="shared" ca="1" si="343"/>
        <v>0</v>
      </c>
      <c r="AG334" s="769">
        <f t="shared" ca="1" si="344"/>
        <v>0</v>
      </c>
      <c r="AH334" s="799">
        <f t="shared" ca="1" si="345"/>
        <v>0</v>
      </c>
      <c r="AI334" s="801">
        <f t="shared" ca="1" si="346"/>
        <v>1</v>
      </c>
      <c r="AJ334" s="794">
        <f t="shared" ca="1" si="347"/>
        <v>0</v>
      </c>
      <c r="AK334" s="769">
        <f t="shared" ca="1" si="348"/>
        <v>0</v>
      </c>
      <c r="AL334" s="769">
        <f t="shared" ca="1" si="349"/>
        <v>0</v>
      </c>
      <c r="AM334" s="804">
        <f t="shared" ca="1" si="299"/>
        <v>0</v>
      </c>
      <c r="AN334" s="795">
        <f t="shared" ca="1" si="300"/>
        <v>0</v>
      </c>
      <c r="AO334" s="251"/>
      <c r="AP334" s="770">
        <f t="shared" si="350"/>
        <v>0</v>
      </c>
      <c r="AQ334" s="771">
        <f t="shared" ca="1" si="351"/>
        <v>0</v>
      </c>
      <c r="AR334" s="771">
        <f t="shared" ca="1" si="352"/>
        <v>0</v>
      </c>
      <c r="AS334" s="772">
        <f t="shared" ca="1" si="353"/>
        <v>0</v>
      </c>
      <c r="AT334" s="231"/>
      <c r="AU334" s="770">
        <f>'Main Results - IRR DC Operator'!$F$16</f>
        <v>2</v>
      </c>
      <c r="AV334" s="773">
        <f>'Main Results - IRR DC Operator'!$F$15</f>
        <v>1</v>
      </c>
      <c r="AW334" s="771">
        <f t="shared" ca="1" si="354"/>
        <v>0</v>
      </c>
      <c r="AX334" s="772">
        <f t="shared" si="355"/>
        <v>0</v>
      </c>
      <c r="AY334" s="231"/>
      <c r="AZ334" s="770" cm="1">
        <f t="array" aca="1" ref="AZ334" ca="1">INDIRECT("'Definition of Typical Day'!"&amp; ADDRESS($D334+29*(AZ$16-1),$E334))+$AZ$17</f>
        <v>11</v>
      </c>
      <c r="BA334" s="771" cm="1">
        <f t="array" aca="1" ref="BA334" ca="1">INDIRECT("'Definition of Typical Day'!"&amp; ADDRESS($D334+29*(BA$16-1),$E334))+$BA$17</f>
        <v>11</v>
      </c>
      <c r="BB334" s="772" cm="1">
        <f t="array" aca="1" ref="BB334" ca="1">INDIRECT("'Definition of Typical Day'!"&amp;ADDRESS(BB$16,$E334))</f>
        <v>0</v>
      </c>
      <c r="BC334" s="776" cm="1">
        <f t="array" aca="1" ref="BC334" ca="1">INDIRECT("'Definition of Typical Day'!"&amp; ADDRESS($D334+29*(BC$16-1),$E334))</f>
        <v>0</v>
      </c>
      <c r="BD334" s="777" cm="1">
        <f t="array" aca="1" ref="BD334" ca="1">INDIRECT("'Definition of Typical Day'!"&amp; ADDRESS($D334+29*(BD$16-1),$E334))</f>
        <v>0</v>
      </c>
      <c r="BE334" s="776">
        <f t="shared" si="356"/>
        <v>0</v>
      </c>
      <c r="BF334" s="771">
        <f t="shared" ca="1" si="357"/>
        <v>0</v>
      </c>
      <c r="BG334" s="771">
        <f t="shared" ca="1" si="358"/>
        <v>0</v>
      </c>
      <c r="BH334" s="771">
        <f t="shared" ca="1" si="359"/>
        <v>0</v>
      </c>
      <c r="BI334" s="776">
        <f t="shared" ca="1" si="360"/>
        <v>0</v>
      </c>
      <c r="BJ334" s="776">
        <f t="shared" ca="1" si="361"/>
        <v>0</v>
      </c>
      <c r="BK334" s="776">
        <f t="shared" ca="1" si="362"/>
        <v>0</v>
      </c>
      <c r="BL334" s="776">
        <f t="shared" ca="1" si="363"/>
        <v>0</v>
      </c>
      <c r="BM334" s="135"/>
      <c r="BN334" s="776">
        <f t="shared" ca="1" si="364"/>
        <v>0</v>
      </c>
      <c r="BO334" s="778">
        <f t="shared" ca="1" si="301"/>
        <v>0</v>
      </c>
      <c r="BP334" s="770">
        <f t="shared" ca="1" si="302"/>
        <v>0</v>
      </c>
      <c r="BQ334" s="771">
        <f t="shared" ca="1" si="303"/>
        <v>0</v>
      </c>
      <c r="BR334" s="771">
        <f t="shared" ca="1" si="304"/>
        <v>0</v>
      </c>
      <c r="BS334" s="776">
        <f t="shared" ca="1" si="365"/>
        <v>0</v>
      </c>
      <c r="BT334" s="776">
        <f t="shared" ca="1" si="305"/>
        <v>0</v>
      </c>
      <c r="BU334" s="783">
        <f t="shared" ca="1" si="306"/>
        <v>0</v>
      </c>
      <c r="BV334" s="783">
        <f t="shared" ca="1" si="307"/>
        <v>0</v>
      </c>
      <c r="BW334" s="1019">
        <f t="shared" ca="1" si="366"/>
        <v>0</v>
      </c>
      <c r="BX334" s="771" cm="1">
        <f t="array" aca="1" ref="BX334" ca="1">INDIRECT("'Definition of Typical Day'!"&amp; ADDRESS($D334+29*(BX$16-1),$E334))</f>
        <v>0</v>
      </c>
      <c r="BY334" s="771">
        <f t="shared" ca="1" si="367"/>
        <v>0</v>
      </c>
      <c r="BZ334" s="781">
        <f t="shared" ca="1" si="308"/>
        <v>0</v>
      </c>
      <c r="CA334" s="781">
        <f t="shared" ca="1" si="309"/>
        <v>0</v>
      </c>
      <c r="CB334" s="776">
        <f t="shared" ca="1" si="310"/>
        <v>0</v>
      </c>
      <c r="CC334" s="782">
        <f t="shared" si="311"/>
        <v>14</v>
      </c>
      <c r="CD334" s="782">
        <f t="shared" si="312"/>
        <v>2</v>
      </c>
      <c r="CE334" s="784" cm="1">
        <f t="array" aca="1" ref="CE334" ca="1">INDIRECT("'Definition of Typical Day'!"&amp;ADDRESS(CE$16,$E334))</f>
        <v>14</v>
      </c>
      <c r="CF334" s="232"/>
      <c r="CG334" s="232"/>
      <c r="CH334" s="776">
        <f t="shared" ca="1" si="313"/>
        <v>0</v>
      </c>
      <c r="CI334" s="806">
        <f t="shared" ca="1" si="314"/>
        <v>0</v>
      </c>
      <c r="CJ334" s="770">
        <f t="shared" ca="1" si="315"/>
        <v>0</v>
      </c>
      <c r="CK334" s="771">
        <f t="shared" ca="1" si="316"/>
        <v>0</v>
      </c>
      <c r="CL334" s="771">
        <f t="shared" ca="1" si="317"/>
        <v>0</v>
      </c>
      <c r="CM334" s="772">
        <f t="shared" ca="1" si="318"/>
        <v>0</v>
      </c>
      <c r="CN334" s="135"/>
      <c r="CO334" s="770">
        <f t="shared" ca="1" si="368"/>
        <v>1.05</v>
      </c>
      <c r="CP334" s="771">
        <f t="shared" ca="1" si="319"/>
        <v>0.02</v>
      </c>
      <c r="CQ334" s="771">
        <f t="shared" ca="1" si="320"/>
        <v>-2.5000000000000001E-2</v>
      </c>
      <c r="CR334" s="771">
        <f t="shared" ca="1" si="321"/>
        <v>0.95</v>
      </c>
      <c r="CS334" s="771">
        <f t="shared" ca="1" si="322"/>
        <v>0.03</v>
      </c>
      <c r="CT334" s="772">
        <f t="shared" ca="1" si="323"/>
        <v>0.02</v>
      </c>
      <c r="CU334" s="135"/>
      <c r="CV334" s="135"/>
      <c r="CW334" s="135"/>
      <c r="CX334" s="135"/>
      <c r="CY334" s="135"/>
      <c r="CZ334" s="135"/>
      <c r="DA334" s="135"/>
      <c r="DB334" s="135"/>
      <c r="DC334" s="135"/>
      <c r="DD334" s="135"/>
      <c r="DE334" s="135"/>
      <c r="DF334" s="135"/>
      <c r="DG334" s="135"/>
      <c r="DH334" s="135"/>
      <c r="DI334" s="135"/>
      <c r="DJ334" s="135"/>
      <c r="DK334" s="135"/>
      <c r="DL334" s="135"/>
      <c r="DX334" s="135"/>
      <c r="DY334" s="135"/>
      <c r="DZ334" s="135"/>
      <c r="EA334" s="135"/>
      <c r="EB334" s="135"/>
      <c r="EC334" s="135"/>
      <c r="ED334" s="135"/>
      <c r="EE334" s="135"/>
      <c r="EF334" s="135"/>
      <c r="EG334" s="135"/>
      <c r="EH334" s="135"/>
      <c r="EI334" s="135"/>
      <c r="EJ334" s="135"/>
      <c r="EK334" s="135"/>
      <c r="EL334" s="135"/>
      <c r="EM334" s="135"/>
      <c r="EN334" s="135"/>
      <c r="EO334" s="135"/>
      <c r="EP334" s="135"/>
      <c r="EQ334" s="135"/>
      <c r="ER334" s="135"/>
      <c r="ES334" s="135"/>
      <c r="ET334" s="135"/>
      <c r="EU334" s="135"/>
      <c r="EV334" s="135"/>
      <c r="EW334" s="135"/>
      <c r="EX334" s="135"/>
      <c r="EY334" s="135"/>
      <c r="EZ334" s="135"/>
      <c r="FA334" s="135"/>
      <c r="FB334" s="135"/>
      <c r="FC334" s="135"/>
      <c r="FD334" s="135"/>
      <c r="FE334" s="135"/>
      <c r="FF334" s="135"/>
      <c r="FG334" s="135"/>
    </row>
    <row r="335" spans="1:163" s="57" customFormat="1" ht="11.25" outlineLevel="1">
      <c r="A335" s="765">
        <f t="shared" si="369"/>
        <v>14</v>
      </c>
      <c r="B335" s="715" cm="1">
        <f t="array" aca="1" ref="B335" ca="1">INDIRECT("'Definition of Typical Day'!"&amp;ADDRESS(B$16,$E335))</f>
        <v>14</v>
      </c>
      <c r="C335" s="766">
        <f t="shared" si="370"/>
        <v>3</v>
      </c>
      <c r="D335" s="715">
        <f t="shared" si="370"/>
        <v>37</v>
      </c>
      <c r="E335" s="715">
        <f t="shared" si="298"/>
        <v>18</v>
      </c>
      <c r="F335" s="767" cm="1">
        <f t="array" aca="1" ref="F335" ca="1">INDIRECT("'Definition of Typical Day'!D"&amp;D335)</f>
        <v>3</v>
      </c>
      <c r="G335" s="767" cm="1">
        <f t="array" aca="1" ref="G335" ca="1">INDIRECT("'Definition of Typical Day'!"&amp;ADDRESS(13,E335))</f>
        <v>14</v>
      </c>
      <c r="H335" s="768" cm="1">
        <f t="array" aca="1" ref="H335" ca="1">INDIRECT("'Definition of Typical Day'!"&amp; ADDRESS($D335+28*(H$16-1),$E335))</f>
        <v>0</v>
      </c>
      <c r="I335" s="715" cm="1">
        <f t="array" aca="1" ref="I335" ca="1">INDIRECT("'Definition of Typical Day'!"&amp; ADDRESS($D335+29*(I$16-1),$E335))</f>
        <v>0</v>
      </c>
      <c r="J335" s="715">
        <f t="shared" ca="1" si="324"/>
        <v>0</v>
      </c>
      <c r="K335" s="785">
        <f t="shared" si="325"/>
        <v>28</v>
      </c>
      <c r="L335" s="786" cm="1">
        <f t="array" aca="1" ref="L335" ca="1">INDIRECT("'Definition of Typical Day'!"&amp; ADDRESS($D335+29*(L$16-1),$E335))</f>
        <v>0</v>
      </c>
      <c r="M335" s="768" cm="1">
        <f t="array" aca="1" ref="M335" ca="1">INDIRECT("'Definition of Typical Day'!"&amp; ADDRESS($D335+29*(M$16-1),$E335))</f>
        <v>0</v>
      </c>
      <c r="N335" s="715">
        <f t="shared" si="326"/>
        <v>3</v>
      </c>
      <c r="O335" s="715">
        <f t="shared" ca="1" si="327"/>
        <v>3</v>
      </c>
      <c r="P335" s="715" cm="1">
        <f t="array" aca="1" ref="P335" ca="1">INDIRECT("'Definition of Typical Day'!"&amp; ADDRESS($D335+29*(P$16-1),$E335))</f>
        <v>0</v>
      </c>
      <c r="Q335" s="787">
        <f t="shared" ca="1" si="328"/>
        <v>3</v>
      </c>
      <c r="R335" s="792">
        <f t="shared" ca="1" si="329"/>
        <v>3</v>
      </c>
      <c r="S335" s="769">
        <f t="shared" si="330"/>
        <v>3</v>
      </c>
      <c r="T335" s="769">
        <f t="shared" ca="1" si="331"/>
        <v>-0.5</v>
      </c>
      <c r="U335" s="769">
        <f t="shared" ca="1" si="332"/>
        <v>2.262</v>
      </c>
      <c r="V335" s="769">
        <f t="shared" ca="1" si="333"/>
        <v>0</v>
      </c>
      <c r="W335" s="769">
        <f t="shared" ca="1" si="334"/>
        <v>4.7620000000000005</v>
      </c>
      <c r="X335" s="794">
        <f t="shared" si="335"/>
        <v>3</v>
      </c>
      <c r="Y335" s="769">
        <f t="shared" ca="1" si="336"/>
        <v>0.54772255750516607</v>
      </c>
      <c r="Z335" s="769">
        <f t="shared" ca="1" si="337"/>
        <v>0</v>
      </c>
      <c r="AA335" s="795">
        <f t="shared" ca="1" si="338"/>
        <v>0</v>
      </c>
      <c r="AB335" s="769">
        <f t="shared" ca="1" si="339"/>
        <v>0</v>
      </c>
      <c r="AC335" s="769">
        <f t="shared" ca="1" si="340"/>
        <v>0</v>
      </c>
      <c r="AD335" s="769">
        <f t="shared" ca="1" si="341"/>
        <v>0</v>
      </c>
      <c r="AE335" s="794">
        <f t="shared" ca="1" si="342"/>
        <v>0</v>
      </c>
      <c r="AF335" s="769">
        <f t="shared" ca="1" si="343"/>
        <v>0</v>
      </c>
      <c r="AG335" s="769">
        <f t="shared" ca="1" si="344"/>
        <v>0</v>
      </c>
      <c r="AH335" s="799">
        <f t="shared" ca="1" si="345"/>
        <v>0</v>
      </c>
      <c r="AI335" s="801">
        <f t="shared" ca="1" si="346"/>
        <v>1</v>
      </c>
      <c r="AJ335" s="794">
        <f t="shared" ca="1" si="347"/>
        <v>0</v>
      </c>
      <c r="AK335" s="769">
        <f t="shared" ca="1" si="348"/>
        <v>0</v>
      </c>
      <c r="AL335" s="769">
        <f t="shared" ca="1" si="349"/>
        <v>0</v>
      </c>
      <c r="AM335" s="804">
        <f t="shared" ca="1" si="299"/>
        <v>0</v>
      </c>
      <c r="AN335" s="795">
        <f t="shared" ca="1" si="300"/>
        <v>0</v>
      </c>
      <c r="AO335" s="251"/>
      <c r="AP335" s="770">
        <f t="shared" si="350"/>
        <v>0</v>
      </c>
      <c r="AQ335" s="771">
        <f t="shared" ca="1" si="351"/>
        <v>0</v>
      </c>
      <c r="AR335" s="771">
        <f t="shared" ca="1" si="352"/>
        <v>0</v>
      </c>
      <c r="AS335" s="772">
        <f t="shared" ca="1" si="353"/>
        <v>0</v>
      </c>
      <c r="AT335" s="231"/>
      <c r="AU335" s="770">
        <f>'Main Results - IRR DC Operator'!$F$16</f>
        <v>2</v>
      </c>
      <c r="AV335" s="773">
        <f>'Main Results - IRR DC Operator'!$F$15</f>
        <v>1</v>
      </c>
      <c r="AW335" s="771">
        <f t="shared" ca="1" si="354"/>
        <v>0</v>
      </c>
      <c r="AX335" s="772">
        <f t="shared" si="355"/>
        <v>0</v>
      </c>
      <c r="AY335" s="231"/>
      <c r="AZ335" s="770" cm="1">
        <f t="array" aca="1" ref="AZ335" ca="1">INDIRECT("'Definition of Typical Day'!"&amp; ADDRESS($D335+29*(AZ$16-1),$E335))+$AZ$17</f>
        <v>11</v>
      </c>
      <c r="BA335" s="771" cm="1">
        <f t="array" aca="1" ref="BA335" ca="1">INDIRECT("'Definition of Typical Day'!"&amp; ADDRESS($D335+29*(BA$16-1),$E335))+$BA$17</f>
        <v>11</v>
      </c>
      <c r="BB335" s="772" cm="1">
        <f t="array" aca="1" ref="BB335" ca="1">INDIRECT("'Definition of Typical Day'!"&amp;ADDRESS(BB$16,$E335))</f>
        <v>0</v>
      </c>
      <c r="BC335" s="776" cm="1">
        <f t="array" aca="1" ref="BC335" ca="1">INDIRECT("'Definition of Typical Day'!"&amp; ADDRESS($D335+29*(BC$16-1),$E335))</f>
        <v>0</v>
      </c>
      <c r="BD335" s="777" cm="1">
        <f t="array" aca="1" ref="BD335" ca="1">INDIRECT("'Definition of Typical Day'!"&amp; ADDRESS($D335+29*(BD$16-1),$E335))</f>
        <v>0</v>
      </c>
      <c r="BE335" s="776">
        <f t="shared" si="356"/>
        <v>0</v>
      </c>
      <c r="BF335" s="771">
        <f t="shared" ca="1" si="357"/>
        <v>0</v>
      </c>
      <c r="BG335" s="771">
        <f t="shared" ca="1" si="358"/>
        <v>0</v>
      </c>
      <c r="BH335" s="771">
        <f t="shared" ca="1" si="359"/>
        <v>0</v>
      </c>
      <c r="BI335" s="776">
        <f t="shared" ca="1" si="360"/>
        <v>0</v>
      </c>
      <c r="BJ335" s="776">
        <f t="shared" ca="1" si="361"/>
        <v>0</v>
      </c>
      <c r="BK335" s="776">
        <f t="shared" ca="1" si="362"/>
        <v>0</v>
      </c>
      <c r="BL335" s="776">
        <f t="shared" ca="1" si="363"/>
        <v>0</v>
      </c>
      <c r="BM335" s="135"/>
      <c r="BN335" s="776">
        <f t="shared" ca="1" si="364"/>
        <v>0</v>
      </c>
      <c r="BO335" s="778">
        <f t="shared" ca="1" si="301"/>
        <v>0</v>
      </c>
      <c r="BP335" s="770">
        <f t="shared" ca="1" si="302"/>
        <v>0</v>
      </c>
      <c r="BQ335" s="771">
        <f t="shared" ca="1" si="303"/>
        <v>0</v>
      </c>
      <c r="BR335" s="771">
        <f t="shared" ca="1" si="304"/>
        <v>0</v>
      </c>
      <c r="BS335" s="776">
        <f t="shared" ca="1" si="365"/>
        <v>0</v>
      </c>
      <c r="BT335" s="776">
        <f t="shared" ca="1" si="305"/>
        <v>0</v>
      </c>
      <c r="BU335" s="783">
        <f t="shared" ca="1" si="306"/>
        <v>0</v>
      </c>
      <c r="BV335" s="783">
        <f t="shared" ca="1" si="307"/>
        <v>0</v>
      </c>
      <c r="BW335" s="1019">
        <f t="shared" ca="1" si="366"/>
        <v>0</v>
      </c>
      <c r="BX335" s="771" cm="1">
        <f t="array" aca="1" ref="BX335" ca="1">INDIRECT("'Definition of Typical Day'!"&amp; ADDRESS($D335+29*(BX$16-1),$E335))</f>
        <v>0</v>
      </c>
      <c r="BY335" s="771">
        <f t="shared" ca="1" si="367"/>
        <v>0</v>
      </c>
      <c r="BZ335" s="781">
        <f t="shared" ca="1" si="308"/>
        <v>0</v>
      </c>
      <c r="CA335" s="781">
        <f t="shared" ca="1" si="309"/>
        <v>0</v>
      </c>
      <c r="CB335" s="776">
        <f t="shared" ca="1" si="310"/>
        <v>0</v>
      </c>
      <c r="CC335" s="782">
        <f t="shared" si="311"/>
        <v>14</v>
      </c>
      <c r="CD335" s="782">
        <f t="shared" si="312"/>
        <v>3</v>
      </c>
      <c r="CE335" s="784" cm="1">
        <f t="array" aca="1" ref="CE335" ca="1">INDIRECT("'Definition of Typical Day'!"&amp;ADDRESS(CE$16,$E335))</f>
        <v>14</v>
      </c>
      <c r="CF335" s="232"/>
      <c r="CG335" s="232"/>
      <c r="CH335" s="776">
        <f t="shared" ca="1" si="313"/>
        <v>0</v>
      </c>
      <c r="CI335" s="806">
        <f t="shared" ca="1" si="314"/>
        <v>0</v>
      </c>
      <c r="CJ335" s="770">
        <f t="shared" ca="1" si="315"/>
        <v>0</v>
      </c>
      <c r="CK335" s="771">
        <f t="shared" ca="1" si="316"/>
        <v>0</v>
      </c>
      <c r="CL335" s="771">
        <f t="shared" ca="1" si="317"/>
        <v>0</v>
      </c>
      <c r="CM335" s="772">
        <f t="shared" ca="1" si="318"/>
        <v>0</v>
      </c>
      <c r="CN335" s="135"/>
      <c r="CO335" s="770">
        <f t="shared" ca="1" si="368"/>
        <v>1.05</v>
      </c>
      <c r="CP335" s="771">
        <f t="shared" ca="1" si="319"/>
        <v>0.02</v>
      </c>
      <c r="CQ335" s="771">
        <f t="shared" ca="1" si="320"/>
        <v>-2.5000000000000001E-2</v>
      </c>
      <c r="CR335" s="771">
        <f t="shared" ca="1" si="321"/>
        <v>0.95</v>
      </c>
      <c r="CS335" s="771">
        <f t="shared" ca="1" si="322"/>
        <v>0.03</v>
      </c>
      <c r="CT335" s="772">
        <f t="shared" ca="1" si="323"/>
        <v>0.02</v>
      </c>
      <c r="CU335" s="135"/>
      <c r="CV335" s="135"/>
      <c r="CW335" s="135"/>
      <c r="CX335" s="135"/>
      <c r="CY335" s="135"/>
      <c r="CZ335" s="135"/>
      <c r="DA335" s="135"/>
      <c r="DB335" s="135"/>
      <c r="DC335" s="135"/>
      <c r="DD335" s="135"/>
      <c r="DE335" s="135"/>
      <c r="DF335" s="135"/>
      <c r="DG335" s="135"/>
      <c r="DH335" s="135"/>
      <c r="DI335" s="135"/>
      <c r="DJ335" s="135"/>
      <c r="DK335" s="135"/>
      <c r="DL335" s="135"/>
      <c r="DX335" s="135"/>
      <c r="DY335" s="135"/>
      <c r="DZ335" s="135"/>
      <c r="EA335" s="135"/>
      <c r="EB335" s="135"/>
      <c r="EC335" s="135"/>
      <c r="ED335" s="135"/>
      <c r="EE335" s="135"/>
      <c r="EF335" s="135"/>
      <c r="EG335" s="135"/>
      <c r="EH335" s="135"/>
      <c r="EI335" s="135"/>
      <c r="EJ335" s="135"/>
      <c r="EK335" s="135"/>
      <c r="EL335" s="135"/>
      <c r="EM335" s="135"/>
      <c r="EN335" s="135"/>
      <c r="EO335" s="135"/>
      <c r="EP335" s="135"/>
      <c r="EQ335" s="135"/>
      <c r="ER335" s="135"/>
      <c r="ES335" s="135"/>
      <c r="ET335" s="135"/>
      <c r="EU335" s="135"/>
      <c r="EV335" s="135"/>
      <c r="EW335" s="135"/>
      <c r="EX335" s="135"/>
      <c r="EY335" s="135"/>
      <c r="EZ335" s="135"/>
      <c r="FA335" s="135"/>
      <c r="FB335" s="135"/>
      <c r="FC335" s="135"/>
      <c r="FD335" s="135"/>
      <c r="FE335" s="135"/>
      <c r="FF335" s="135"/>
      <c r="FG335" s="135"/>
    </row>
    <row r="336" spans="1:163" s="57" customFormat="1" ht="11.25" outlineLevel="1">
      <c r="A336" s="765">
        <f t="shared" si="369"/>
        <v>14</v>
      </c>
      <c r="B336" s="715" cm="1">
        <f t="array" aca="1" ref="B336" ca="1">INDIRECT("'Definition of Typical Day'!"&amp;ADDRESS(B$16,$E336))</f>
        <v>14</v>
      </c>
      <c r="C336" s="766">
        <f t="shared" si="370"/>
        <v>4</v>
      </c>
      <c r="D336" s="715">
        <f t="shared" si="370"/>
        <v>38</v>
      </c>
      <c r="E336" s="715">
        <f t="shared" si="298"/>
        <v>18</v>
      </c>
      <c r="F336" s="767" cm="1">
        <f t="array" aca="1" ref="F336" ca="1">INDIRECT("'Definition of Typical Day'!D"&amp;D336)</f>
        <v>4</v>
      </c>
      <c r="G336" s="767" cm="1">
        <f t="array" aca="1" ref="G336" ca="1">INDIRECT("'Definition of Typical Day'!"&amp;ADDRESS(13,E336))</f>
        <v>14</v>
      </c>
      <c r="H336" s="768" cm="1">
        <f t="array" aca="1" ref="H336" ca="1">INDIRECT("'Definition of Typical Day'!"&amp; ADDRESS($D336+28*(H$16-1),$E336))</f>
        <v>0</v>
      </c>
      <c r="I336" s="715" cm="1">
        <f t="array" aca="1" ref="I336" ca="1">INDIRECT("'Definition of Typical Day'!"&amp; ADDRESS($D336+29*(I$16-1),$E336))</f>
        <v>0</v>
      </c>
      <c r="J336" s="715">
        <f t="shared" ca="1" si="324"/>
        <v>0</v>
      </c>
      <c r="K336" s="785">
        <f t="shared" si="325"/>
        <v>28</v>
      </c>
      <c r="L336" s="786" cm="1">
        <f t="array" aca="1" ref="L336" ca="1">INDIRECT("'Definition of Typical Day'!"&amp; ADDRESS($D336+29*(L$16-1),$E336))</f>
        <v>0</v>
      </c>
      <c r="M336" s="768" cm="1">
        <f t="array" aca="1" ref="M336" ca="1">INDIRECT("'Definition of Typical Day'!"&amp; ADDRESS($D336+29*(M$16-1),$E336))</f>
        <v>0</v>
      </c>
      <c r="N336" s="715">
        <f t="shared" si="326"/>
        <v>3</v>
      </c>
      <c r="O336" s="715">
        <f t="shared" ca="1" si="327"/>
        <v>3</v>
      </c>
      <c r="P336" s="715" cm="1">
        <f t="array" aca="1" ref="P336" ca="1">INDIRECT("'Definition of Typical Day'!"&amp; ADDRESS($D336+29*(P$16-1),$E336))</f>
        <v>0</v>
      </c>
      <c r="Q336" s="787">
        <f t="shared" ca="1" si="328"/>
        <v>3</v>
      </c>
      <c r="R336" s="792">
        <f t="shared" ca="1" si="329"/>
        <v>3</v>
      </c>
      <c r="S336" s="769">
        <f t="shared" si="330"/>
        <v>3</v>
      </c>
      <c r="T336" s="769">
        <f t="shared" ca="1" si="331"/>
        <v>-0.5</v>
      </c>
      <c r="U336" s="769">
        <f t="shared" ca="1" si="332"/>
        <v>2.262</v>
      </c>
      <c r="V336" s="769">
        <f t="shared" ca="1" si="333"/>
        <v>0</v>
      </c>
      <c r="W336" s="769">
        <f t="shared" ca="1" si="334"/>
        <v>4.7620000000000005</v>
      </c>
      <c r="X336" s="794">
        <f t="shared" si="335"/>
        <v>3</v>
      </c>
      <c r="Y336" s="769">
        <f t="shared" ca="1" si="336"/>
        <v>0.54772255750516607</v>
      </c>
      <c r="Z336" s="769">
        <f t="shared" ca="1" si="337"/>
        <v>0</v>
      </c>
      <c r="AA336" s="795">
        <f t="shared" ca="1" si="338"/>
        <v>0</v>
      </c>
      <c r="AB336" s="769">
        <f t="shared" ca="1" si="339"/>
        <v>0</v>
      </c>
      <c r="AC336" s="769">
        <f t="shared" ca="1" si="340"/>
        <v>0</v>
      </c>
      <c r="AD336" s="769">
        <f t="shared" ca="1" si="341"/>
        <v>0</v>
      </c>
      <c r="AE336" s="794">
        <f t="shared" ca="1" si="342"/>
        <v>0</v>
      </c>
      <c r="AF336" s="769">
        <f t="shared" ca="1" si="343"/>
        <v>0</v>
      </c>
      <c r="AG336" s="769">
        <f t="shared" ca="1" si="344"/>
        <v>0</v>
      </c>
      <c r="AH336" s="799">
        <f t="shared" ca="1" si="345"/>
        <v>0</v>
      </c>
      <c r="AI336" s="801">
        <f t="shared" ca="1" si="346"/>
        <v>1</v>
      </c>
      <c r="AJ336" s="794">
        <f t="shared" ca="1" si="347"/>
        <v>0</v>
      </c>
      <c r="AK336" s="769">
        <f t="shared" ca="1" si="348"/>
        <v>0</v>
      </c>
      <c r="AL336" s="769">
        <f t="shared" ca="1" si="349"/>
        <v>0</v>
      </c>
      <c r="AM336" s="804">
        <f t="shared" ca="1" si="299"/>
        <v>0</v>
      </c>
      <c r="AN336" s="795">
        <f t="shared" ca="1" si="300"/>
        <v>0</v>
      </c>
      <c r="AO336" s="251"/>
      <c r="AP336" s="770">
        <f t="shared" si="350"/>
        <v>0</v>
      </c>
      <c r="AQ336" s="771">
        <f t="shared" ca="1" si="351"/>
        <v>0</v>
      </c>
      <c r="AR336" s="771">
        <f t="shared" ca="1" si="352"/>
        <v>0</v>
      </c>
      <c r="AS336" s="772">
        <f t="shared" ca="1" si="353"/>
        <v>0</v>
      </c>
      <c r="AT336" s="231"/>
      <c r="AU336" s="770">
        <f>'Main Results - IRR DC Operator'!$F$16</f>
        <v>2</v>
      </c>
      <c r="AV336" s="773">
        <f>'Main Results - IRR DC Operator'!$F$15</f>
        <v>1</v>
      </c>
      <c r="AW336" s="771">
        <f t="shared" ca="1" si="354"/>
        <v>0</v>
      </c>
      <c r="AX336" s="772">
        <f t="shared" si="355"/>
        <v>0</v>
      </c>
      <c r="AY336" s="231"/>
      <c r="AZ336" s="770" cm="1">
        <f t="array" aca="1" ref="AZ336" ca="1">INDIRECT("'Definition of Typical Day'!"&amp; ADDRESS($D336+29*(AZ$16-1),$E336))+$AZ$17</f>
        <v>11</v>
      </c>
      <c r="BA336" s="771" cm="1">
        <f t="array" aca="1" ref="BA336" ca="1">INDIRECT("'Definition of Typical Day'!"&amp; ADDRESS($D336+29*(BA$16-1),$E336))+$BA$17</f>
        <v>11</v>
      </c>
      <c r="BB336" s="772" cm="1">
        <f t="array" aca="1" ref="BB336" ca="1">INDIRECT("'Definition of Typical Day'!"&amp;ADDRESS(BB$16,$E336))</f>
        <v>0</v>
      </c>
      <c r="BC336" s="776" cm="1">
        <f t="array" aca="1" ref="BC336" ca="1">INDIRECT("'Definition of Typical Day'!"&amp; ADDRESS($D336+29*(BC$16-1),$E336))</f>
        <v>0</v>
      </c>
      <c r="BD336" s="777" cm="1">
        <f t="array" aca="1" ref="BD336" ca="1">INDIRECT("'Definition of Typical Day'!"&amp; ADDRESS($D336+29*(BD$16-1),$E336))</f>
        <v>0</v>
      </c>
      <c r="BE336" s="776">
        <f t="shared" si="356"/>
        <v>0</v>
      </c>
      <c r="BF336" s="771">
        <f t="shared" ca="1" si="357"/>
        <v>0</v>
      </c>
      <c r="BG336" s="771">
        <f t="shared" ca="1" si="358"/>
        <v>0</v>
      </c>
      <c r="BH336" s="771">
        <f t="shared" ca="1" si="359"/>
        <v>0</v>
      </c>
      <c r="BI336" s="776">
        <f t="shared" ca="1" si="360"/>
        <v>0</v>
      </c>
      <c r="BJ336" s="776">
        <f t="shared" ca="1" si="361"/>
        <v>0</v>
      </c>
      <c r="BK336" s="776">
        <f t="shared" ca="1" si="362"/>
        <v>0</v>
      </c>
      <c r="BL336" s="776">
        <f t="shared" ca="1" si="363"/>
        <v>0</v>
      </c>
      <c r="BM336" s="135"/>
      <c r="BN336" s="776">
        <f t="shared" ca="1" si="364"/>
        <v>0</v>
      </c>
      <c r="BO336" s="778">
        <f t="shared" ca="1" si="301"/>
        <v>0</v>
      </c>
      <c r="BP336" s="770">
        <f t="shared" ca="1" si="302"/>
        <v>0</v>
      </c>
      <c r="BQ336" s="771">
        <f t="shared" ca="1" si="303"/>
        <v>0</v>
      </c>
      <c r="BR336" s="771">
        <f t="shared" ca="1" si="304"/>
        <v>0</v>
      </c>
      <c r="BS336" s="776">
        <f t="shared" ca="1" si="365"/>
        <v>0</v>
      </c>
      <c r="BT336" s="776">
        <f t="shared" ca="1" si="305"/>
        <v>0</v>
      </c>
      <c r="BU336" s="783">
        <f t="shared" ca="1" si="306"/>
        <v>0</v>
      </c>
      <c r="BV336" s="783">
        <f t="shared" ca="1" si="307"/>
        <v>0</v>
      </c>
      <c r="BW336" s="1019">
        <f t="shared" ca="1" si="366"/>
        <v>0</v>
      </c>
      <c r="BX336" s="771" cm="1">
        <f t="array" aca="1" ref="BX336" ca="1">INDIRECT("'Definition of Typical Day'!"&amp; ADDRESS($D336+29*(BX$16-1),$E336))</f>
        <v>0</v>
      </c>
      <c r="BY336" s="771">
        <f t="shared" ca="1" si="367"/>
        <v>0</v>
      </c>
      <c r="BZ336" s="781">
        <f t="shared" ca="1" si="308"/>
        <v>0</v>
      </c>
      <c r="CA336" s="781">
        <f t="shared" ca="1" si="309"/>
        <v>0</v>
      </c>
      <c r="CB336" s="776">
        <f t="shared" ca="1" si="310"/>
        <v>0</v>
      </c>
      <c r="CC336" s="782">
        <f t="shared" si="311"/>
        <v>14</v>
      </c>
      <c r="CD336" s="782">
        <f t="shared" si="312"/>
        <v>4</v>
      </c>
      <c r="CE336" s="784" cm="1">
        <f t="array" aca="1" ref="CE336" ca="1">INDIRECT("'Definition of Typical Day'!"&amp;ADDRESS(CE$16,$E336))</f>
        <v>14</v>
      </c>
      <c r="CF336" s="232"/>
      <c r="CG336" s="232"/>
      <c r="CH336" s="776">
        <f t="shared" ca="1" si="313"/>
        <v>0</v>
      </c>
      <c r="CI336" s="806">
        <f t="shared" ca="1" si="314"/>
        <v>0</v>
      </c>
      <c r="CJ336" s="770">
        <f t="shared" ca="1" si="315"/>
        <v>0</v>
      </c>
      <c r="CK336" s="771">
        <f t="shared" ca="1" si="316"/>
        <v>0</v>
      </c>
      <c r="CL336" s="771">
        <f t="shared" ca="1" si="317"/>
        <v>0</v>
      </c>
      <c r="CM336" s="772">
        <f t="shared" ca="1" si="318"/>
        <v>0</v>
      </c>
      <c r="CN336" s="135"/>
      <c r="CO336" s="770">
        <f t="shared" ca="1" si="368"/>
        <v>1.05</v>
      </c>
      <c r="CP336" s="771">
        <f t="shared" ca="1" si="319"/>
        <v>0.02</v>
      </c>
      <c r="CQ336" s="771">
        <f t="shared" ca="1" si="320"/>
        <v>-2.5000000000000001E-2</v>
      </c>
      <c r="CR336" s="771">
        <f t="shared" ca="1" si="321"/>
        <v>0.95</v>
      </c>
      <c r="CS336" s="771">
        <f t="shared" ca="1" si="322"/>
        <v>0.03</v>
      </c>
      <c r="CT336" s="772">
        <f t="shared" ca="1" si="323"/>
        <v>0.02</v>
      </c>
      <c r="CU336" s="135"/>
      <c r="CV336" s="135"/>
      <c r="CW336" s="135"/>
      <c r="CX336" s="135"/>
      <c r="CY336" s="135"/>
      <c r="CZ336" s="135"/>
      <c r="DA336" s="135"/>
      <c r="DB336" s="135"/>
      <c r="DC336" s="135"/>
      <c r="DD336" s="135"/>
      <c r="DE336" s="135"/>
      <c r="DF336" s="135"/>
      <c r="DG336" s="135"/>
      <c r="DH336" s="135"/>
      <c r="DI336" s="135"/>
      <c r="DJ336" s="135"/>
      <c r="DK336" s="135"/>
      <c r="DL336" s="135"/>
      <c r="DX336" s="135"/>
      <c r="DY336" s="135"/>
      <c r="DZ336" s="135"/>
      <c r="EA336" s="135"/>
      <c r="EB336" s="135"/>
      <c r="EC336" s="135"/>
      <c r="ED336" s="135"/>
      <c r="EE336" s="135"/>
      <c r="EF336" s="135"/>
      <c r="EG336" s="135"/>
      <c r="EH336" s="135"/>
      <c r="EI336" s="135"/>
      <c r="EJ336" s="135"/>
      <c r="EK336" s="135"/>
      <c r="EL336" s="135"/>
      <c r="EM336" s="135"/>
      <c r="EN336" s="135"/>
      <c r="EO336" s="135"/>
      <c r="EP336" s="135"/>
      <c r="EQ336" s="135"/>
      <c r="ER336" s="135"/>
      <c r="ES336" s="135"/>
      <c r="ET336" s="135"/>
      <c r="EU336" s="135"/>
      <c r="EV336" s="135"/>
      <c r="EW336" s="135"/>
      <c r="EX336" s="135"/>
      <c r="EY336" s="135"/>
      <c r="EZ336" s="135"/>
      <c r="FA336" s="135"/>
      <c r="FB336" s="135"/>
      <c r="FC336" s="135"/>
      <c r="FD336" s="135"/>
      <c r="FE336" s="135"/>
      <c r="FF336" s="135"/>
      <c r="FG336" s="135"/>
    </row>
    <row r="337" spans="1:163" s="57" customFormat="1" ht="11.25" outlineLevel="1">
      <c r="A337" s="765">
        <f t="shared" si="369"/>
        <v>14</v>
      </c>
      <c r="B337" s="715" cm="1">
        <f t="array" aca="1" ref="B337" ca="1">INDIRECT("'Definition of Typical Day'!"&amp;ADDRESS(B$16,$E337))</f>
        <v>14</v>
      </c>
      <c r="C337" s="766">
        <f t="shared" si="370"/>
        <v>5</v>
      </c>
      <c r="D337" s="715">
        <f t="shared" si="370"/>
        <v>39</v>
      </c>
      <c r="E337" s="715">
        <f t="shared" si="298"/>
        <v>18</v>
      </c>
      <c r="F337" s="767" cm="1">
        <f t="array" aca="1" ref="F337" ca="1">INDIRECT("'Definition of Typical Day'!D"&amp;D337)</f>
        <v>5</v>
      </c>
      <c r="G337" s="767" cm="1">
        <f t="array" aca="1" ref="G337" ca="1">INDIRECT("'Definition of Typical Day'!"&amp;ADDRESS(13,E337))</f>
        <v>14</v>
      </c>
      <c r="H337" s="768" cm="1">
        <f t="array" aca="1" ref="H337" ca="1">INDIRECT("'Definition of Typical Day'!"&amp; ADDRESS($D337+28*(H$16-1),$E337))</f>
        <v>0</v>
      </c>
      <c r="I337" s="715" cm="1">
        <f t="array" aca="1" ref="I337" ca="1">INDIRECT("'Definition of Typical Day'!"&amp; ADDRESS($D337+29*(I$16-1),$E337))</f>
        <v>0</v>
      </c>
      <c r="J337" s="715">
        <f t="shared" ca="1" si="324"/>
        <v>0</v>
      </c>
      <c r="K337" s="785">
        <f t="shared" si="325"/>
        <v>28</v>
      </c>
      <c r="L337" s="786" cm="1">
        <f t="array" aca="1" ref="L337" ca="1">INDIRECT("'Definition of Typical Day'!"&amp; ADDRESS($D337+29*(L$16-1),$E337))</f>
        <v>0</v>
      </c>
      <c r="M337" s="768" cm="1">
        <f t="array" aca="1" ref="M337" ca="1">INDIRECT("'Definition of Typical Day'!"&amp; ADDRESS($D337+29*(M$16-1),$E337))</f>
        <v>0</v>
      </c>
      <c r="N337" s="715">
        <f t="shared" si="326"/>
        <v>3</v>
      </c>
      <c r="O337" s="715">
        <f t="shared" ca="1" si="327"/>
        <v>3</v>
      </c>
      <c r="P337" s="715" cm="1">
        <f t="array" aca="1" ref="P337" ca="1">INDIRECT("'Definition of Typical Day'!"&amp; ADDRESS($D337+29*(P$16-1),$E337))</f>
        <v>0</v>
      </c>
      <c r="Q337" s="787">
        <f t="shared" ca="1" si="328"/>
        <v>3</v>
      </c>
      <c r="R337" s="792">
        <f t="shared" ca="1" si="329"/>
        <v>3</v>
      </c>
      <c r="S337" s="769">
        <f t="shared" si="330"/>
        <v>3</v>
      </c>
      <c r="T337" s="769">
        <f t="shared" ca="1" si="331"/>
        <v>-0.5</v>
      </c>
      <c r="U337" s="769">
        <f t="shared" ca="1" si="332"/>
        <v>2.262</v>
      </c>
      <c r="V337" s="769">
        <f t="shared" ca="1" si="333"/>
        <v>0</v>
      </c>
      <c r="W337" s="769">
        <f t="shared" ca="1" si="334"/>
        <v>4.7620000000000005</v>
      </c>
      <c r="X337" s="794">
        <f t="shared" si="335"/>
        <v>3</v>
      </c>
      <c r="Y337" s="769">
        <f t="shared" ca="1" si="336"/>
        <v>0.54772255750516607</v>
      </c>
      <c r="Z337" s="769">
        <f t="shared" ca="1" si="337"/>
        <v>0</v>
      </c>
      <c r="AA337" s="795">
        <f t="shared" ca="1" si="338"/>
        <v>0</v>
      </c>
      <c r="AB337" s="769">
        <f t="shared" ca="1" si="339"/>
        <v>0</v>
      </c>
      <c r="AC337" s="769">
        <f t="shared" ca="1" si="340"/>
        <v>0</v>
      </c>
      <c r="AD337" s="769">
        <f t="shared" ca="1" si="341"/>
        <v>0</v>
      </c>
      <c r="AE337" s="794">
        <f t="shared" ca="1" si="342"/>
        <v>0</v>
      </c>
      <c r="AF337" s="769">
        <f t="shared" ca="1" si="343"/>
        <v>0</v>
      </c>
      <c r="AG337" s="769">
        <f t="shared" ca="1" si="344"/>
        <v>0</v>
      </c>
      <c r="AH337" s="799">
        <f t="shared" ca="1" si="345"/>
        <v>0</v>
      </c>
      <c r="AI337" s="801">
        <f t="shared" ca="1" si="346"/>
        <v>1</v>
      </c>
      <c r="AJ337" s="794">
        <f t="shared" ca="1" si="347"/>
        <v>0</v>
      </c>
      <c r="AK337" s="769">
        <f t="shared" ca="1" si="348"/>
        <v>0</v>
      </c>
      <c r="AL337" s="769">
        <f t="shared" ca="1" si="349"/>
        <v>0</v>
      </c>
      <c r="AM337" s="804">
        <f t="shared" ca="1" si="299"/>
        <v>0</v>
      </c>
      <c r="AN337" s="795">
        <f t="shared" ca="1" si="300"/>
        <v>0</v>
      </c>
      <c r="AO337" s="251"/>
      <c r="AP337" s="770">
        <f t="shared" si="350"/>
        <v>0</v>
      </c>
      <c r="AQ337" s="771">
        <f t="shared" ca="1" si="351"/>
        <v>0</v>
      </c>
      <c r="AR337" s="771">
        <f t="shared" ca="1" si="352"/>
        <v>0</v>
      </c>
      <c r="AS337" s="772">
        <f t="shared" ca="1" si="353"/>
        <v>0</v>
      </c>
      <c r="AT337" s="231"/>
      <c r="AU337" s="770">
        <f>'Main Results - IRR DC Operator'!$F$16</f>
        <v>2</v>
      </c>
      <c r="AV337" s="773">
        <f>'Main Results - IRR DC Operator'!$F$15</f>
        <v>1</v>
      </c>
      <c r="AW337" s="771">
        <f t="shared" ca="1" si="354"/>
        <v>0</v>
      </c>
      <c r="AX337" s="772">
        <f t="shared" si="355"/>
        <v>0</v>
      </c>
      <c r="AY337" s="231"/>
      <c r="AZ337" s="770" cm="1">
        <f t="array" aca="1" ref="AZ337" ca="1">INDIRECT("'Definition of Typical Day'!"&amp; ADDRESS($D337+29*(AZ$16-1),$E337))+$AZ$17</f>
        <v>11</v>
      </c>
      <c r="BA337" s="771" cm="1">
        <f t="array" aca="1" ref="BA337" ca="1">INDIRECT("'Definition of Typical Day'!"&amp; ADDRESS($D337+29*(BA$16-1),$E337))+$BA$17</f>
        <v>11</v>
      </c>
      <c r="BB337" s="772" cm="1">
        <f t="array" aca="1" ref="BB337" ca="1">INDIRECT("'Definition of Typical Day'!"&amp;ADDRESS(BB$16,$E337))</f>
        <v>0</v>
      </c>
      <c r="BC337" s="776" cm="1">
        <f t="array" aca="1" ref="BC337" ca="1">INDIRECT("'Definition of Typical Day'!"&amp; ADDRESS($D337+29*(BC$16-1),$E337))</f>
        <v>0</v>
      </c>
      <c r="BD337" s="777" cm="1">
        <f t="array" aca="1" ref="BD337" ca="1">INDIRECT("'Definition of Typical Day'!"&amp; ADDRESS($D337+29*(BD$16-1),$E337))</f>
        <v>0</v>
      </c>
      <c r="BE337" s="776">
        <f t="shared" si="356"/>
        <v>0</v>
      </c>
      <c r="BF337" s="771">
        <f t="shared" ca="1" si="357"/>
        <v>0</v>
      </c>
      <c r="BG337" s="771">
        <f t="shared" ca="1" si="358"/>
        <v>0</v>
      </c>
      <c r="BH337" s="771">
        <f t="shared" ca="1" si="359"/>
        <v>0</v>
      </c>
      <c r="BI337" s="776">
        <f t="shared" ca="1" si="360"/>
        <v>0</v>
      </c>
      <c r="BJ337" s="776">
        <f t="shared" ca="1" si="361"/>
        <v>0</v>
      </c>
      <c r="BK337" s="776">
        <f t="shared" ca="1" si="362"/>
        <v>0</v>
      </c>
      <c r="BL337" s="776">
        <f t="shared" ca="1" si="363"/>
        <v>0</v>
      </c>
      <c r="BM337" s="135"/>
      <c r="BN337" s="776">
        <f t="shared" ca="1" si="364"/>
        <v>0</v>
      </c>
      <c r="BO337" s="778">
        <f t="shared" ca="1" si="301"/>
        <v>0</v>
      </c>
      <c r="BP337" s="770">
        <f t="shared" ca="1" si="302"/>
        <v>0</v>
      </c>
      <c r="BQ337" s="771">
        <f t="shared" ca="1" si="303"/>
        <v>0</v>
      </c>
      <c r="BR337" s="771">
        <f t="shared" ca="1" si="304"/>
        <v>0</v>
      </c>
      <c r="BS337" s="776">
        <f t="shared" ca="1" si="365"/>
        <v>0</v>
      </c>
      <c r="BT337" s="776">
        <f t="shared" ca="1" si="305"/>
        <v>0</v>
      </c>
      <c r="BU337" s="783">
        <f t="shared" ca="1" si="306"/>
        <v>0</v>
      </c>
      <c r="BV337" s="783">
        <f t="shared" ca="1" si="307"/>
        <v>0</v>
      </c>
      <c r="BW337" s="1019">
        <f t="shared" ca="1" si="366"/>
        <v>0</v>
      </c>
      <c r="BX337" s="771" cm="1">
        <f t="array" aca="1" ref="BX337" ca="1">INDIRECT("'Definition of Typical Day'!"&amp; ADDRESS($D337+29*(BX$16-1),$E337))</f>
        <v>0</v>
      </c>
      <c r="BY337" s="771">
        <f t="shared" ca="1" si="367"/>
        <v>0</v>
      </c>
      <c r="BZ337" s="781">
        <f t="shared" ca="1" si="308"/>
        <v>0</v>
      </c>
      <c r="CA337" s="781">
        <f t="shared" ca="1" si="309"/>
        <v>0</v>
      </c>
      <c r="CB337" s="776">
        <f t="shared" ca="1" si="310"/>
        <v>0</v>
      </c>
      <c r="CC337" s="782">
        <f t="shared" si="311"/>
        <v>14</v>
      </c>
      <c r="CD337" s="782">
        <f t="shared" si="312"/>
        <v>5</v>
      </c>
      <c r="CE337" s="784" cm="1">
        <f t="array" aca="1" ref="CE337" ca="1">INDIRECT("'Definition of Typical Day'!"&amp;ADDRESS(CE$16,$E337))</f>
        <v>14</v>
      </c>
      <c r="CF337" s="232"/>
      <c r="CG337" s="232"/>
      <c r="CH337" s="776">
        <f t="shared" ca="1" si="313"/>
        <v>0</v>
      </c>
      <c r="CI337" s="806">
        <f t="shared" ca="1" si="314"/>
        <v>0</v>
      </c>
      <c r="CJ337" s="770">
        <f t="shared" ca="1" si="315"/>
        <v>0</v>
      </c>
      <c r="CK337" s="771">
        <f t="shared" ca="1" si="316"/>
        <v>0</v>
      </c>
      <c r="CL337" s="771">
        <f t="shared" ca="1" si="317"/>
        <v>0</v>
      </c>
      <c r="CM337" s="772">
        <f t="shared" ca="1" si="318"/>
        <v>0</v>
      </c>
      <c r="CN337" s="135"/>
      <c r="CO337" s="770">
        <f t="shared" ca="1" si="368"/>
        <v>1.05</v>
      </c>
      <c r="CP337" s="771">
        <f t="shared" ca="1" si="319"/>
        <v>0.02</v>
      </c>
      <c r="CQ337" s="771">
        <f t="shared" ca="1" si="320"/>
        <v>-2.5000000000000001E-2</v>
      </c>
      <c r="CR337" s="771">
        <f t="shared" ca="1" si="321"/>
        <v>0.95</v>
      </c>
      <c r="CS337" s="771">
        <f t="shared" ca="1" si="322"/>
        <v>0.03</v>
      </c>
      <c r="CT337" s="772">
        <f t="shared" ca="1" si="323"/>
        <v>0.02</v>
      </c>
      <c r="CU337" s="135"/>
      <c r="CV337" s="135"/>
      <c r="CW337" s="135"/>
      <c r="CX337" s="135"/>
      <c r="CY337" s="135"/>
      <c r="CZ337" s="135"/>
      <c r="DA337" s="135"/>
      <c r="DB337" s="135"/>
      <c r="DC337" s="135"/>
      <c r="DD337" s="135"/>
      <c r="DE337" s="135"/>
      <c r="DF337" s="135"/>
      <c r="DG337" s="135"/>
      <c r="DH337" s="135"/>
      <c r="DI337" s="135"/>
      <c r="DJ337" s="135"/>
      <c r="DK337" s="135"/>
      <c r="DL337" s="135"/>
      <c r="DX337" s="135"/>
      <c r="DY337" s="135"/>
      <c r="DZ337" s="135"/>
      <c r="EA337" s="135"/>
      <c r="EB337" s="135"/>
      <c r="EC337" s="135"/>
      <c r="ED337" s="135"/>
      <c r="EE337" s="135"/>
      <c r="EF337" s="135"/>
      <c r="EG337" s="135"/>
      <c r="EH337" s="135"/>
      <c r="EI337" s="135"/>
      <c r="EJ337" s="135"/>
      <c r="EK337" s="135"/>
      <c r="EL337" s="135"/>
      <c r="EM337" s="135"/>
      <c r="EN337" s="135"/>
      <c r="EO337" s="135"/>
      <c r="EP337" s="135"/>
      <c r="EQ337" s="135"/>
      <c r="ER337" s="135"/>
      <c r="ES337" s="135"/>
      <c r="ET337" s="135"/>
      <c r="EU337" s="135"/>
      <c r="EV337" s="135"/>
      <c r="EW337" s="135"/>
      <c r="EX337" s="135"/>
      <c r="EY337" s="135"/>
      <c r="EZ337" s="135"/>
      <c r="FA337" s="135"/>
      <c r="FB337" s="135"/>
      <c r="FC337" s="135"/>
      <c r="FD337" s="135"/>
      <c r="FE337" s="135"/>
      <c r="FF337" s="135"/>
      <c r="FG337" s="135"/>
    </row>
    <row r="338" spans="1:163" s="57" customFormat="1" ht="11.25" outlineLevel="1">
      <c r="A338" s="765">
        <f t="shared" si="369"/>
        <v>14</v>
      </c>
      <c r="B338" s="715" cm="1">
        <f t="array" aca="1" ref="B338" ca="1">INDIRECT("'Definition of Typical Day'!"&amp;ADDRESS(B$16,$E338))</f>
        <v>14</v>
      </c>
      <c r="C338" s="766">
        <f t="shared" si="370"/>
        <v>6</v>
      </c>
      <c r="D338" s="715">
        <f t="shared" si="370"/>
        <v>40</v>
      </c>
      <c r="E338" s="715">
        <f t="shared" si="298"/>
        <v>18</v>
      </c>
      <c r="F338" s="767" cm="1">
        <f t="array" aca="1" ref="F338" ca="1">INDIRECT("'Definition of Typical Day'!D"&amp;D338)</f>
        <v>6</v>
      </c>
      <c r="G338" s="767" cm="1">
        <f t="array" aca="1" ref="G338" ca="1">INDIRECT("'Definition of Typical Day'!"&amp;ADDRESS(13,E338))</f>
        <v>14</v>
      </c>
      <c r="H338" s="768" cm="1">
        <f t="array" aca="1" ref="H338" ca="1">INDIRECT("'Definition of Typical Day'!"&amp; ADDRESS($D338+28*(H$16-1),$E338))</f>
        <v>0</v>
      </c>
      <c r="I338" s="715" cm="1">
        <f t="array" aca="1" ref="I338" ca="1">INDIRECT("'Definition of Typical Day'!"&amp; ADDRESS($D338+29*(I$16-1),$E338))</f>
        <v>0</v>
      </c>
      <c r="J338" s="715">
        <f t="shared" ca="1" si="324"/>
        <v>0</v>
      </c>
      <c r="K338" s="785">
        <f t="shared" si="325"/>
        <v>28</v>
      </c>
      <c r="L338" s="786" cm="1">
        <f t="array" aca="1" ref="L338" ca="1">INDIRECT("'Definition of Typical Day'!"&amp; ADDRESS($D338+29*(L$16-1),$E338))</f>
        <v>0</v>
      </c>
      <c r="M338" s="768" cm="1">
        <f t="array" aca="1" ref="M338" ca="1">INDIRECT("'Definition of Typical Day'!"&amp; ADDRESS($D338+29*(M$16-1),$E338))</f>
        <v>0</v>
      </c>
      <c r="N338" s="715">
        <f t="shared" si="326"/>
        <v>3</v>
      </c>
      <c r="O338" s="715">
        <f t="shared" ca="1" si="327"/>
        <v>3</v>
      </c>
      <c r="P338" s="715" cm="1">
        <f t="array" aca="1" ref="P338" ca="1">INDIRECT("'Definition of Typical Day'!"&amp; ADDRESS($D338+29*(P$16-1),$E338))</f>
        <v>0</v>
      </c>
      <c r="Q338" s="787">
        <f t="shared" ca="1" si="328"/>
        <v>3</v>
      </c>
      <c r="R338" s="792">
        <f t="shared" ca="1" si="329"/>
        <v>3</v>
      </c>
      <c r="S338" s="769">
        <f t="shared" si="330"/>
        <v>3</v>
      </c>
      <c r="T338" s="769">
        <f t="shared" ca="1" si="331"/>
        <v>-0.5</v>
      </c>
      <c r="U338" s="769">
        <f t="shared" ca="1" si="332"/>
        <v>2.262</v>
      </c>
      <c r="V338" s="769">
        <f t="shared" ca="1" si="333"/>
        <v>0</v>
      </c>
      <c r="W338" s="769">
        <f t="shared" ca="1" si="334"/>
        <v>4.7620000000000005</v>
      </c>
      <c r="X338" s="794">
        <f t="shared" si="335"/>
        <v>3</v>
      </c>
      <c r="Y338" s="769">
        <f t="shared" ca="1" si="336"/>
        <v>0.54772255750516607</v>
      </c>
      <c r="Z338" s="769">
        <f t="shared" ca="1" si="337"/>
        <v>0</v>
      </c>
      <c r="AA338" s="795">
        <f t="shared" ca="1" si="338"/>
        <v>0</v>
      </c>
      <c r="AB338" s="769">
        <f t="shared" ca="1" si="339"/>
        <v>0</v>
      </c>
      <c r="AC338" s="769">
        <f t="shared" ca="1" si="340"/>
        <v>0</v>
      </c>
      <c r="AD338" s="769">
        <f t="shared" ca="1" si="341"/>
        <v>0</v>
      </c>
      <c r="AE338" s="794">
        <f t="shared" ca="1" si="342"/>
        <v>0</v>
      </c>
      <c r="AF338" s="769">
        <f t="shared" ca="1" si="343"/>
        <v>0</v>
      </c>
      <c r="AG338" s="769">
        <f t="shared" ca="1" si="344"/>
        <v>0</v>
      </c>
      <c r="AH338" s="799">
        <f t="shared" ca="1" si="345"/>
        <v>0</v>
      </c>
      <c r="AI338" s="801">
        <f t="shared" ca="1" si="346"/>
        <v>1</v>
      </c>
      <c r="AJ338" s="794">
        <f t="shared" ca="1" si="347"/>
        <v>0</v>
      </c>
      <c r="AK338" s="769">
        <f t="shared" ca="1" si="348"/>
        <v>0</v>
      </c>
      <c r="AL338" s="769">
        <f t="shared" ca="1" si="349"/>
        <v>0</v>
      </c>
      <c r="AM338" s="804">
        <f t="shared" ca="1" si="299"/>
        <v>0</v>
      </c>
      <c r="AN338" s="795">
        <f t="shared" ca="1" si="300"/>
        <v>0</v>
      </c>
      <c r="AO338" s="251"/>
      <c r="AP338" s="770">
        <f t="shared" si="350"/>
        <v>0</v>
      </c>
      <c r="AQ338" s="771">
        <f t="shared" ca="1" si="351"/>
        <v>0</v>
      </c>
      <c r="AR338" s="771">
        <f t="shared" ca="1" si="352"/>
        <v>0</v>
      </c>
      <c r="AS338" s="772">
        <f t="shared" ca="1" si="353"/>
        <v>0</v>
      </c>
      <c r="AT338" s="231"/>
      <c r="AU338" s="770">
        <f>'Main Results - IRR DC Operator'!$F$16</f>
        <v>2</v>
      </c>
      <c r="AV338" s="773">
        <f>'Main Results - IRR DC Operator'!$F$15</f>
        <v>1</v>
      </c>
      <c r="AW338" s="771">
        <f t="shared" ca="1" si="354"/>
        <v>0</v>
      </c>
      <c r="AX338" s="772">
        <f t="shared" si="355"/>
        <v>0</v>
      </c>
      <c r="AY338" s="231"/>
      <c r="AZ338" s="770" cm="1">
        <f t="array" aca="1" ref="AZ338" ca="1">INDIRECT("'Definition of Typical Day'!"&amp; ADDRESS($D338+29*(AZ$16-1),$E338))+$AZ$17</f>
        <v>11</v>
      </c>
      <c r="BA338" s="771" cm="1">
        <f t="array" aca="1" ref="BA338" ca="1">INDIRECT("'Definition of Typical Day'!"&amp; ADDRESS($D338+29*(BA$16-1),$E338))+$BA$17</f>
        <v>11</v>
      </c>
      <c r="BB338" s="772" cm="1">
        <f t="array" aca="1" ref="BB338" ca="1">INDIRECT("'Definition of Typical Day'!"&amp;ADDRESS(BB$16,$E338))</f>
        <v>0</v>
      </c>
      <c r="BC338" s="776" cm="1">
        <f t="array" aca="1" ref="BC338" ca="1">INDIRECT("'Definition of Typical Day'!"&amp; ADDRESS($D338+29*(BC$16-1),$E338))</f>
        <v>0</v>
      </c>
      <c r="BD338" s="777" cm="1">
        <f t="array" aca="1" ref="BD338" ca="1">INDIRECT("'Definition of Typical Day'!"&amp; ADDRESS($D338+29*(BD$16-1),$E338))</f>
        <v>0</v>
      </c>
      <c r="BE338" s="776">
        <f t="shared" si="356"/>
        <v>0</v>
      </c>
      <c r="BF338" s="771">
        <f t="shared" ca="1" si="357"/>
        <v>0</v>
      </c>
      <c r="BG338" s="771">
        <f t="shared" ca="1" si="358"/>
        <v>0</v>
      </c>
      <c r="BH338" s="771">
        <f t="shared" ca="1" si="359"/>
        <v>0</v>
      </c>
      <c r="BI338" s="776">
        <f t="shared" ca="1" si="360"/>
        <v>0</v>
      </c>
      <c r="BJ338" s="776">
        <f t="shared" ca="1" si="361"/>
        <v>0</v>
      </c>
      <c r="BK338" s="776">
        <f t="shared" ca="1" si="362"/>
        <v>0</v>
      </c>
      <c r="BL338" s="776">
        <f t="shared" ca="1" si="363"/>
        <v>0</v>
      </c>
      <c r="BM338" s="135"/>
      <c r="BN338" s="776">
        <f t="shared" ca="1" si="364"/>
        <v>0</v>
      </c>
      <c r="BO338" s="778">
        <f t="shared" ca="1" si="301"/>
        <v>0</v>
      </c>
      <c r="BP338" s="770">
        <f t="shared" ca="1" si="302"/>
        <v>0</v>
      </c>
      <c r="BQ338" s="771">
        <f t="shared" ca="1" si="303"/>
        <v>0</v>
      </c>
      <c r="BR338" s="771">
        <f t="shared" ca="1" si="304"/>
        <v>0</v>
      </c>
      <c r="BS338" s="776">
        <f t="shared" ca="1" si="365"/>
        <v>0</v>
      </c>
      <c r="BT338" s="776">
        <f t="shared" ca="1" si="305"/>
        <v>0</v>
      </c>
      <c r="BU338" s="783">
        <f t="shared" ca="1" si="306"/>
        <v>0</v>
      </c>
      <c r="BV338" s="783">
        <f t="shared" ca="1" si="307"/>
        <v>0</v>
      </c>
      <c r="BW338" s="1019">
        <f t="shared" ca="1" si="366"/>
        <v>0</v>
      </c>
      <c r="BX338" s="771" cm="1">
        <f t="array" aca="1" ref="BX338" ca="1">INDIRECT("'Definition of Typical Day'!"&amp; ADDRESS($D338+29*(BX$16-1),$E338))</f>
        <v>0</v>
      </c>
      <c r="BY338" s="771">
        <f t="shared" ca="1" si="367"/>
        <v>0</v>
      </c>
      <c r="BZ338" s="781">
        <f t="shared" ca="1" si="308"/>
        <v>0</v>
      </c>
      <c r="CA338" s="781">
        <f t="shared" ca="1" si="309"/>
        <v>0</v>
      </c>
      <c r="CB338" s="776">
        <f t="shared" ca="1" si="310"/>
        <v>0</v>
      </c>
      <c r="CC338" s="782">
        <f t="shared" si="311"/>
        <v>14</v>
      </c>
      <c r="CD338" s="782">
        <f t="shared" si="312"/>
        <v>6</v>
      </c>
      <c r="CE338" s="784" cm="1">
        <f t="array" aca="1" ref="CE338" ca="1">INDIRECT("'Definition of Typical Day'!"&amp;ADDRESS(CE$16,$E338))</f>
        <v>14</v>
      </c>
      <c r="CF338" s="232"/>
      <c r="CG338" s="232"/>
      <c r="CH338" s="776">
        <f t="shared" ca="1" si="313"/>
        <v>0</v>
      </c>
      <c r="CI338" s="806">
        <f t="shared" ca="1" si="314"/>
        <v>0</v>
      </c>
      <c r="CJ338" s="770">
        <f t="shared" ca="1" si="315"/>
        <v>0</v>
      </c>
      <c r="CK338" s="771">
        <f t="shared" ca="1" si="316"/>
        <v>0</v>
      </c>
      <c r="CL338" s="771">
        <f t="shared" ca="1" si="317"/>
        <v>0</v>
      </c>
      <c r="CM338" s="772">
        <f t="shared" ca="1" si="318"/>
        <v>0</v>
      </c>
      <c r="CN338" s="135"/>
      <c r="CO338" s="770">
        <f t="shared" ca="1" si="368"/>
        <v>1.05</v>
      </c>
      <c r="CP338" s="771">
        <f t="shared" ca="1" si="319"/>
        <v>0.02</v>
      </c>
      <c r="CQ338" s="771">
        <f t="shared" ca="1" si="320"/>
        <v>-2.5000000000000001E-2</v>
      </c>
      <c r="CR338" s="771">
        <f t="shared" ca="1" si="321"/>
        <v>0.95</v>
      </c>
      <c r="CS338" s="771">
        <f t="shared" ca="1" si="322"/>
        <v>0.03</v>
      </c>
      <c r="CT338" s="772">
        <f t="shared" ca="1" si="323"/>
        <v>0.02</v>
      </c>
      <c r="CU338" s="135"/>
      <c r="CV338" s="135"/>
      <c r="CW338" s="135"/>
      <c r="CX338" s="135"/>
      <c r="CY338" s="135"/>
      <c r="CZ338" s="135"/>
      <c r="DA338" s="135"/>
      <c r="DB338" s="135"/>
      <c r="DC338" s="135"/>
      <c r="DD338" s="135"/>
      <c r="DE338" s="135"/>
      <c r="DF338" s="135"/>
      <c r="DG338" s="135"/>
      <c r="DH338" s="135"/>
      <c r="DI338" s="135"/>
      <c r="DJ338" s="135"/>
      <c r="DK338" s="135"/>
      <c r="DL338" s="135"/>
      <c r="DX338" s="135"/>
      <c r="DY338" s="135"/>
      <c r="DZ338" s="135"/>
      <c r="EA338" s="135"/>
      <c r="EB338" s="135"/>
      <c r="EC338" s="135"/>
      <c r="ED338" s="135"/>
      <c r="EE338" s="135"/>
      <c r="EF338" s="135"/>
      <c r="EG338" s="135"/>
      <c r="EH338" s="135"/>
      <c r="EI338" s="135"/>
      <c r="EJ338" s="135"/>
      <c r="EK338" s="135"/>
      <c r="EL338" s="135"/>
      <c r="EM338" s="135"/>
      <c r="EN338" s="135"/>
      <c r="EO338" s="135"/>
      <c r="EP338" s="135"/>
      <c r="EQ338" s="135"/>
      <c r="ER338" s="135"/>
      <c r="ES338" s="135"/>
      <c r="ET338" s="135"/>
      <c r="EU338" s="135"/>
      <c r="EV338" s="135"/>
      <c r="EW338" s="135"/>
      <c r="EX338" s="135"/>
      <c r="EY338" s="135"/>
      <c r="EZ338" s="135"/>
      <c r="FA338" s="135"/>
      <c r="FB338" s="135"/>
      <c r="FC338" s="135"/>
      <c r="FD338" s="135"/>
      <c r="FE338" s="135"/>
      <c r="FF338" s="135"/>
      <c r="FG338" s="135"/>
    </row>
    <row r="339" spans="1:163" s="57" customFormat="1" ht="11.25" outlineLevel="1">
      <c r="A339" s="765">
        <f t="shared" si="369"/>
        <v>14</v>
      </c>
      <c r="B339" s="715" cm="1">
        <f t="array" aca="1" ref="B339" ca="1">INDIRECT("'Definition of Typical Day'!"&amp;ADDRESS(B$16,$E339))</f>
        <v>14</v>
      </c>
      <c r="C339" s="766">
        <f t="shared" si="370"/>
        <v>7</v>
      </c>
      <c r="D339" s="715">
        <f t="shared" si="370"/>
        <v>41</v>
      </c>
      <c r="E339" s="715">
        <f t="shared" si="298"/>
        <v>18</v>
      </c>
      <c r="F339" s="767" cm="1">
        <f t="array" aca="1" ref="F339" ca="1">INDIRECT("'Definition of Typical Day'!D"&amp;D339)</f>
        <v>7</v>
      </c>
      <c r="G339" s="767" cm="1">
        <f t="array" aca="1" ref="G339" ca="1">INDIRECT("'Definition of Typical Day'!"&amp;ADDRESS(13,E339))</f>
        <v>14</v>
      </c>
      <c r="H339" s="768" cm="1">
        <f t="array" aca="1" ref="H339" ca="1">INDIRECT("'Definition of Typical Day'!"&amp; ADDRESS($D339+28*(H$16-1),$E339))</f>
        <v>0</v>
      </c>
      <c r="I339" s="715" cm="1">
        <f t="array" aca="1" ref="I339" ca="1">INDIRECT("'Definition of Typical Day'!"&amp; ADDRESS($D339+29*(I$16-1),$E339))</f>
        <v>0</v>
      </c>
      <c r="J339" s="715">
        <f t="shared" ca="1" si="324"/>
        <v>0</v>
      </c>
      <c r="K339" s="785">
        <f t="shared" si="325"/>
        <v>28</v>
      </c>
      <c r="L339" s="786" cm="1">
        <f t="array" aca="1" ref="L339" ca="1">INDIRECT("'Definition of Typical Day'!"&amp; ADDRESS($D339+29*(L$16-1),$E339))</f>
        <v>0</v>
      </c>
      <c r="M339" s="768" cm="1">
        <f t="array" aca="1" ref="M339" ca="1">INDIRECT("'Definition of Typical Day'!"&amp; ADDRESS($D339+29*(M$16-1),$E339))</f>
        <v>0</v>
      </c>
      <c r="N339" s="715">
        <f t="shared" si="326"/>
        <v>3</v>
      </c>
      <c r="O339" s="715">
        <f t="shared" ca="1" si="327"/>
        <v>3</v>
      </c>
      <c r="P339" s="715" cm="1">
        <f t="array" aca="1" ref="P339" ca="1">INDIRECT("'Definition of Typical Day'!"&amp; ADDRESS($D339+29*(P$16-1),$E339))</f>
        <v>0</v>
      </c>
      <c r="Q339" s="787">
        <f t="shared" ca="1" si="328"/>
        <v>3</v>
      </c>
      <c r="R339" s="792">
        <f t="shared" ca="1" si="329"/>
        <v>3</v>
      </c>
      <c r="S339" s="769">
        <f t="shared" si="330"/>
        <v>3</v>
      </c>
      <c r="T339" s="769">
        <f t="shared" ca="1" si="331"/>
        <v>-0.5</v>
      </c>
      <c r="U339" s="769">
        <f t="shared" ca="1" si="332"/>
        <v>2.262</v>
      </c>
      <c r="V339" s="769">
        <f t="shared" ca="1" si="333"/>
        <v>0</v>
      </c>
      <c r="W339" s="769">
        <f t="shared" ca="1" si="334"/>
        <v>4.7620000000000005</v>
      </c>
      <c r="X339" s="794">
        <f t="shared" si="335"/>
        <v>3</v>
      </c>
      <c r="Y339" s="769">
        <f t="shared" ca="1" si="336"/>
        <v>0.54772255750516607</v>
      </c>
      <c r="Z339" s="769">
        <f t="shared" ca="1" si="337"/>
        <v>0</v>
      </c>
      <c r="AA339" s="795">
        <f t="shared" ca="1" si="338"/>
        <v>0</v>
      </c>
      <c r="AB339" s="769">
        <f t="shared" ca="1" si="339"/>
        <v>0</v>
      </c>
      <c r="AC339" s="769">
        <f t="shared" ca="1" si="340"/>
        <v>0</v>
      </c>
      <c r="AD339" s="769">
        <f t="shared" ca="1" si="341"/>
        <v>0</v>
      </c>
      <c r="AE339" s="794">
        <f t="shared" ca="1" si="342"/>
        <v>0</v>
      </c>
      <c r="AF339" s="769">
        <f t="shared" ca="1" si="343"/>
        <v>0</v>
      </c>
      <c r="AG339" s="769">
        <f t="shared" ca="1" si="344"/>
        <v>0</v>
      </c>
      <c r="AH339" s="799">
        <f t="shared" ca="1" si="345"/>
        <v>0</v>
      </c>
      <c r="AI339" s="801">
        <f t="shared" ca="1" si="346"/>
        <v>1</v>
      </c>
      <c r="AJ339" s="794">
        <f t="shared" ca="1" si="347"/>
        <v>0</v>
      </c>
      <c r="AK339" s="769">
        <f t="shared" ca="1" si="348"/>
        <v>0</v>
      </c>
      <c r="AL339" s="769">
        <f t="shared" ca="1" si="349"/>
        <v>0</v>
      </c>
      <c r="AM339" s="804">
        <f t="shared" ca="1" si="299"/>
        <v>0</v>
      </c>
      <c r="AN339" s="795">
        <f t="shared" ca="1" si="300"/>
        <v>0</v>
      </c>
      <c r="AO339" s="251"/>
      <c r="AP339" s="770">
        <f t="shared" si="350"/>
        <v>0</v>
      </c>
      <c r="AQ339" s="771">
        <f t="shared" ca="1" si="351"/>
        <v>0</v>
      </c>
      <c r="AR339" s="771">
        <f t="shared" ca="1" si="352"/>
        <v>0</v>
      </c>
      <c r="AS339" s="772">
        <f t="shared" ca="1" si="353"/>
        <v>0</v>
      </c>
      <c r="AT339" s="231"/>
      <c r="AU339" s="770">
        <f>'Main Results - IRR DC Operator'!$F$16</f>
        <v>2</v>
      </c>
      <c r="AV339" s="773">
        <f>'Main Results - IRR DC Operator'!$F$15</f>
        <v>1</v>
      </c>
      <c r="AW339" s="771">
        <f t="shared" ca="1" si="354"/>
        <v>0</v>
      </c>
      <c r="AX339" s="772">
        <f t="shared" si="355"/>
        <v>0</v>
      </c>
      <c r="AY339" s="231"/>
      <c r="AZ339" s="770" cm="1">
        <f t="array" aca="1" ref="AZ339" ca="1">INDIRECT("'Definition of Typical Day'!"&amp; ADDRESS($D339+29*(AZ$16-1),$E339))+$AZ$17</f>
        <v>11</v>
      </c>
      <c r="BA339" s="771" cm="1">
        <f t="array" aca="1" ref="BA339" ca="1">INDIRECT("'Definition of Typical Day'!"&amp; ADDRESS($D339+29*(BA$16-1),$E339))+$BA$17</f>
        <v>11</v>
      </c>
      <c r="BB339" s="772" cm="1">
        <f t="array" aca="1" ref="BB339" ca="1">INDIRECT("'Definition of Typical Day'!"&amp;ADDRESS(BB$16,$E339))</f>
        <v>0</v>
      </c>
      <c r="BC339" s="776" cm="1">
        <f t="array" aca="1" ref="BC339" ca="1">INDIRECT("'Definition of Typical Day'!"&amp; ADDRESS($D339+29*(BC$16-1),$E339))</f>
        <v>0</v>
      </c>
      <c r="BD339" s="777" cm="1">
        <f t="array" aca="1" ref="BD339" ca="1">INDIRECT("'Definition of Typical Day'!"&amp; ADDRESS($D339+29*(BD$16-1),$E339))</f>
        <v>0</v>
      </c>
      <c r="BE339" s="776">
        <f t="shared" si="356"/>
        <v>0</v>
      </c>
      <c r="BF339" s="771">
        <f t="shared" ca="1" si="357"/>
        <v>0</v>
      </c>
      <c r="BG339" s="771">
        <f t="shared" ca="1" si="358"/>
        <v>0</v>
      </c>
      <c r="BH339" s="771">
        <f t="shared" ca="1" si="359"/>
        <v>0</v>
      </c>
      <c r="BI339" s="776">
        <f t="shared" ca="1" si="360"/>
        <v>0</v>
      </c>
      <c r="BJ339" s="776">
        <f t="shared" ca="1" si="361"/>
        <v>0</v>
      </c>
      <c r="BK339" s="776">
        <f t="shared" ca="1" si="362"/>
        <v>0</v>
      </c>
      <c r="BL339" s="776">
        <f t="shared" ca="1" si="363"/>
        <v>0</v>
      </c>
      <c r="BM339" s="135"/>
      <c r="BN339" s="776">
        <f t="shared" ca="1" si="364"/>
        <v>0</v>
      </c>
      <c r="BO339" s="778">
        <f t="shared" ca="1" si="301"/>
        <v>0</v>
      </c>
      <c r="BP339" s="770">
        <f t="shared" ca="1" si="302"/>
        <v>0</v>
      </c>
      <c r="BQ339" s="771">
        <f t="shared" ca="1" si="303"/>
        <v>0</v>
      </c>
      <c r="BR339" s="771">
        <f t="shared" ca="1" si="304"/>
        <v>0</v>
      </c>
      <c r="BS339" s="776">
        <f t="shared" ca="1" si="365"/>
        <v>0</v>
      </c>
      <c r="BT339" s="776">
        <f t="shared" ca="1" si="305"/>
        <v>0</v>
      </c>
      <c r="BU339" s="783">
        <f t="shared" ca="1" si="306"/>
        <v>0</v>
      </c>
      <c r="BV339" s="783">
        <f t="shared" ca="1" si="307"/>
        <v>0</v>
      </c>
      <c r="BW339" s="1019">
        <f t="shared" ca="1" si="366"/>
        <v>0</v>
      </c>
      <c r="BX339" s="771" cm="1">
        <f t="array" aca="1" ref="BX339" ca="1">INDIRECT("'Definition of Typical Day'!"&amp; ADDRESS($D339+29*(BX$16-1),$E339))</f>
        <v>0</v>
      </c>
      <c r="BY339" s="771">
        <f t="shared" ca="1" si="367"/>
        <v>0</v>
      </c>
      <c r="BZ339" s="781">
        <f t="shared" ca="1" si="308"/>
        <v>0</v>
      </c>
      <c r="CA339" s="781">
        <f t="shared" ca="1" si="309"/>
        <v>0</v>
      </c>
      <c r="CB339" s="776">
        <f t="shared" ca="1" si="310"/>
        <v>0</v>
      </c>
      <c r="CC339" s="782">
        <f t="shared" si="311"/>
        <v>14</v>
      </c>
      <c r="CD339" s="782">
        <f t="shared" si="312"/>
        <v>7</v>
      </c>
      <c r="CE339" s="784" cm="1">
        <f t="array" aca="1" ref="CE339" ca="1">INDIRECT("'Definition of Typical Day'!"&amp;ADDRESS(CE$16,$E339))</f>
        <v>14</v>
      </c>
      <c r="CF339" s="232"/>
      <c r="CG339" s="232"/>
      <c r="CH339" s="776">
        <f t="shared" ca="1" si="313"/>
        <v>0</v>
      </c>
      <c r="CI339" s="806">
        <f t="shared" ca="1" si="314"/>
        <v>0</v>
      </c>
      <c r="CJ339" s="770">
        <f t="shared" ca="1" si="315"/>
        <v>0</v>
      </c>
      <c r="CK339" s="771">
        <f t="shared" ca="1" si="316"/>
        <v>0</v>
      </c>
      <c r="CL339" s="771">
        <f t="shared" ca="1" si="317"/>
        <v>0</v>
      </c>
      <c r="CM339" s="772">
        <f t="shared" ca="1" si="318"/>
        <v>0</v>
      </c>
      <c r="CN339" s="135"/>
      <c r="CO339" s="770">
        <f t="shared" ca="1" si="368"/>
        <v>1.05</v>
      </c>
      <c r="CP339" s="771">
        <f t="shared" ca="1" si="319"/>
        <v>0.02</v>
      </c>
      <c r="CQ339" s="771">
        <f t="shared" ca="1" si="320"/>
        <v>-2.5000000000000001E-2</v>
      </c>
      <c r="CR339" s="771">
        <f t="shared" ca="1" si="321"/>
        <v>0.95</v>
      </c>
      <c r="CS339" s="771">
        <f t="shared" ca="1" si="322"/>
        <v>0.03</v>
      </c>
      <c r="CT339" s="772">
        <f t="shared" ca="1" si="323"/>
        <v>0.02</v>
      </c>
      <c r="CU339" s="135"/>
      <c r="CV339" s="135"/>
      <c r="CW339" s="135"/>
      <c r="CX339" s="135"/>
      <c r="CY339" s="135"/>
      <c r="CZ339" s="135"/>
      <c r="DA339" s="135"/>
      <c r="DB339" s="135"/>
      <c r="DC339" s="135"/>
      <c r="DD339" s="135"/>
      <c r="DE339" s="135"/>
      <c r="DF339" s="135"/>
      <c r="DG339" s="135"/>
      <c r="DH339" s="135"/>
      <c r="DI339" s="135"/>
      <c r="DJ339" s="135"/>
      <c r="DK339" s="135"/>
      <c r="DL339" s="135"/>
      <c r="DX339" s="135"/>
      <c r="DY339" s="135"/>
      <c r="DZ339" s="135"/>
      <c r="EA339" s="135"/>
      <c r="EB339" s="135"/>
      <c r="EC339" s="135"/>
      <c r="ED339" s="135"/>
      <c r="EE339" s="135"/>
      <c r="EF339" s="135"/>
      <c r="EG339" s="135"/>
      <c r="EH339" s="135"/>
      <c r="EI339" s="135"/>
      <c r="EJ339" s="135"/>
      <c r="EK339" s="135"/>
      <c r="EL339" s="135"/>
      <c r="EM339" s="135"/>
      <c r="EN339" s="135"/>
      <c r="EO339" s="135"/>
      <c r="EP339" s="135"/>
      <c r="EQ339" s="135"/>
      <c r="ER339" s="135"/>
      <c r="ES339" s="135"/>
      <c r="ET339" s="135"/>
      <c r="EU339" s="135"/>
      <c r="EV339" s="135"/>
      <c r="EW339" s="135"/>
      <c r="EX339" s="135"/>
      <c r="EY339" s="135"/>
      <c r="EZ339" s="135"/>
      <c r="FA339" s="135"/>
      <c r="FB339" s="135"/>
      <c r="FC339" s="135"/>
      <c r="FD339" s="135"/>
      <c r="FE339" s="135"/>
      <c r="FF339" s="135"/>
      <c r="FG339" s="135"/>
    </row>
    <row r="340" spans="1:163" s="57" customFormat="1" ht="11.25" outlineLevel="1">
      <c r="A340" s="765">
        <f t="shared" si="369"/>
        <v>14</v>
      </c>
      <c r="B340" s="715" cm="1">
        <f t="array" aca="1" ref="B340" ca="1">INDIRECT("'Definition of Typical Day'!"&amp;ADDRESS(B$16,$E340))</f>
        <v>14</v>
      </c>
      <c r="C340" s="766">
        <f t="shared" si="370"/>
        <v>8</v>
      </c>
      <c r="D340" s="715">
        <f t="shared" si="370"/>
        <v>42</v>
      </c>
      <c r="E340" s="715">
        <f t="shared" si="298"/>
        <v>18</v>
      </c>
      <c r="F340" s="767" cm="1">
        <f t="array" aca="1" ref="F340" ca="1">INDIRECT("'Definition of Typical Day'!D"&amp;D340)</f>
        <v>8</v>
      </c>
      <c r="G340" s="767" cm="1">
        <f t="array" aca="1" ref="G340" ca="1">INDIRECT("'Definition of Typical Day'!"&amp;ADDRESS(13,E340))</f>
        <v>14</v>
      </c>
      <c r="H340" s="768" cm="1">
        <f t="array" aca="1" ref="H340" ca="1">INDIRECT("'Definition of Typical Day'!"&amp; ADDRESS($D340+28*(H$16-1),$E340))</f>
        <v>0</v>
      </c>
      <c r="I340" s="715" cm="1">
        <f t="array" aca="1" ref="I340" ca="1">INDIRECT("'Definition of Typical Day'!"&amp; ADDRESS($D340+29*(I$16-1),$E340))</f>
        <v>0</v>
      </c>
      <c r="J340" s="715">
        <f t="shared" ca="1" si="324"/>
        <v>0</v>
      </c>
      <c r="K340" s="785">
        <f t="shared" si="325"/>
        <v>28</v>
      </c>
      <c r="L340" s="786" cm="1">
        <f t="array" aca="1" ref="L340" ca="1">INDIRECT("'Definition of Typical Day'!"&amp; ADDRESS($D340+29*(L$16-1),$E340))</f>
        <v>0</v>
      </c>
      <c r="M340" s="768" cm="1">
        <f t="array" aca="1" ref="M340" ca="1">INDIRECT("'Definition of Typical Day'!"&amp; ADDRESS($D340+29*(M$16-1),$E340))</f>
        <v>0</v>
      </c>
      <c r="N340" s="715">
        <f t="shared" si="326"/>
        <v>3</v>
      </c>
      <c r="O340" s="715">
        <f t="shared" ca="1" si="327"/>
        <v>3</v>
      </c>
      <c r="P340" s="715" cm="1">
        <f t="array" aca="1" ref="P340" ca="1">INDIRECT("'Definition of Typical Day'!"&amp; ADDRESS($D340+29*(P$16-1),$E340))</f>
        <v>0</v>
      </c>
      <c r="Q340" s="787">
        <f t="shared" ca="1" si="328"/>
        <v>3</v>
      </c>
      <c r="R340" s="792">
        <f t="shared" ca="1" si="329"/>
        <v>3</v>
      </c>
      <c r="S340" s="769">
        <f t="shared" si="330"/>
        <v>3</v>
      </c>
      <c r="T340" s="769">
        <f t="shared" ca="1" si="331"/>
        <v>-0.5</v>
      </c>
      <c r="U340" s="769">
        <f t="shared" ca="1" si="332"/>
        <v>2.262</v>
      </c>
      <c r="V340" s="769">
        <f t="shared" ca="1" si="333"/>
        <v>0</v>
      </c>
      <c r="W340" s="769">
        <f t="shared" ca="1" si="334"/>
        <v>4.7620000000000005</v>
      </c>
      <c r="X340" s="794">
        <f t="shared" si="335"/>
        <v>3</v>
      </c>
      <c r="Y340" s="769">
        <f t="shared" ca="1" si="336"/>
        <v>0.54772255750516607</v>
      </c>
      <c r="Z340" s="769">
        <f t="shared" ca="1" si="337"/>
        <v>0</v>
      </c>
      <c r="AA340" s="795">
        <f t="shared" ca="1" si="338"/>
        <v>0</v>
      </c>
      <c r="AB340" s="769">
        <f t="shared" ca="1" si="339"/>
        <v>0</v>
      </c>
      <c r="AC340" s="769">
        <f t="shared" ca="1" si="340"/>
        <v>0</v>
      </c>
      <c r="AD340" s="769">
        <f t="shared" ca="1" si="341"/>
        <v>0</v>
      </c>
      <c r="AE340" s="794">
        <f t="shared" ca="1" si="342"/>
        <v>0</v>
      </c>
      <c r="AF340" s="769">
        <f t="shared" ca="1" si="343"/>
        <v>0</v>
      </c>
      <c r="AG340" s="769">
        <f t="shared" ca="1" si="344"/>
        <v>0</v>
      </c>
      <c r="AH340" s="799">
        <f t="shared" ca="1" si="345"/>
        <v>0</v>
      </c>
      <c r="AI340" s="801">
        <f t="shared" ca="1" si="346"/>
        <v>1</v>
      </c>
      <c r="AJ340" s="794">
        <f t="shared" ca="1" si="347"/>
        <v>0</v>
      </c>
      <c r="AK340" s="769">
        <f t="shared" ca="1" si="348"/>
        <v>0</v>
      </c>
      <c r="AL340" s="769">
        <f t="shared" ca="1" si="349"/>
        <v>0</v>
      </c>
      <c r="AM340" s="804">
        <f t="shared" ca="1" si="299"/>
        <v>0</v>
      </c>
      <c r="AN340" s="795">
        <f t="shared" ca="1" si="300"/>
        <v>0</v>
      </c>
      <c r="AO340" s="251"/>
      <c r="AP340" s="770">
        <f t="shared" si="350"/>
        <v>0</v>
      </c>
      <c r="AQ340" s="771">
        <f t="shared" ca="1" si="351"/>
        <v>0</v>
      </c>
      <c r="AR340" s="771">
        <f t="shared" ca="1" si="352"/>
        <v>0</v>
      </c>
      <c r="AS340" s="772">
        <f t="shared" ca="1" si="353"/>
        <v>0</v>
      </c>
      <c r="AT340" s="231"/>
      <c r="AU340" s="770">
        <f>'Main Results - IRR DC Operator'!$F$16</f>
        <v>2</v>
      </c>
      <c r="AV340" s="773">
        <f>'Main Results - IRR DC Operator'!$F$15</f>
        <v>1</v>
      </c>
      <c r="AW340" s="771">
        <f t="shared" ca="1" si="354"/>
        <v>0</v>
      </c>
      <c r="AX340" s="772">
        <f t="shared" si="355"/>
        <v>0</v>
      </c>
      <c r="AY340" s="231"/>
      <c r="AZ340" s="770" cm="1">
        <f t="array" aca="1" ref="AZ340" ca="1">INDIRECT("'Definition of Typical Day'!"&amp; ADDRESS($D340+29*(AZ$16-1),$E340))+$AZ$17</f>
        <v>11</v>
      </c>
      <c r="BA340" s="771" cm="1">
        <f t="array" aca="1" ref="BA340" ca="1">INDIRECT("'Definition of Typical Day'!"&amp; ADDRESS($D340+29*(BA$16-1),$E340))+$BA$17</f>
        <v>11</v>
      </c>
      <c r="BB340" s="772" cm="1">
        <f t="array" aca="1" ref="BB340" ca="1">INDIRECT("'Definition of Typical Day'!"&amp;ADDRESS(BB$16,$E340))</f>
        <v>0</v>
      </c>
      <c r="BC340" s="776" cm="1">
        <f t="array" aca="1" ref="BC340" ca="1">INDIRECT("'Definition of Typical Day'!"&amp; ADDRESS($D340+29*(BC$16-1),$E340))</f>
        <v>0</v>
      </c>
      <c r="BD340" s="777" cm="1">
        <f t="array" aca="1" ref="BD340" ca="1">INDIRECT("'Definition of Typical Day'!"&amp; ADDRESS($D340+29*(BD$16-1),$E340))</f>
        <v>0</v>
      </c>
      <c r="BE340" s="776">
        <f t="shared" si="356"/>
        <v>0</v>
      </c>
      <c r="BF340" s="771">
        <f t="shared" ca="1" si="357"/>
        <v>0</v>
      </c>
      <c r="BG340" s="771">
        <f t="shared" ca="1" si="358"/>
        <v>0</v>
      </c>
      <c r="BH340" s="771">
        <f t="shared" ca="1" si="359"/>
        <v>0</v>
      </c>
      <c r="BI340" s="776">
        <f t="shared" ca="1" si="360"/>
        <v>0</v>
      </c>
      <c r="BJ340" s="776">
        <f t="shared" ca="1" si="361"/>
        <v>0</v>
      </c>
      <c r="BK340" s="776">
        <f t="shared" ca="1" si="362"/>
        <v>0</v>
      </c>
      <c r="BL340" s="776">
        <f t="shared" ca="1" si="363"/>
        <v>0</v>
      </c>
      <c r="BM340" s="135"/>
      <c r="BN340" s="776">
        <f t="shared" ca="1" si="364"/>
        <v>0</v>
      </c>
      <c r="BO340" s="778">
        <f t="shared" ca="1" si="301"/>
        <v>0</v>
      </c>
      <c r="BP340" s="770">
        <f t="shared" ca="1" si="302"/>
        <v>0</v>
      </c>
      <c r="BQ340" s="771">
        <f t="shared" ca="1" si="303"/>
        <v>0</v>
      </c>
      <c r="BR340" s="771">
        <f t="shared" ca="1" si="304"/>
        <v>0</v>
      </c>
      <c r="BS340" s="776">
        <f t="shared" ca="1" si="365"/>
        <v>0</v>
      </c>
      <c r="BT340" s="776">
        <f t="shared" ca="1" si="305"/>
        <v>0</v>
      </c>
      <c r="BU340" s="783">
        <f t="shared" ca="1" si="306"/>
        <v>0</v>
      </c>
      <c r="BV340" s="783">
        <f t="shared" ca="1" si="307"/>
        <v>0</v>
      </c>
      <c r="BW340" s="1019">
        <f t="shared" ca="1" si="366"/>
        <v>0</v>
      </c>
      <c r="BX340" s="771" cm="1">
        <f t="array" aca="1" ref="BX340" ca="1">INDIRECT("'Definition of Typical Day'!"&amp; ADDRESS($D340+29*(BX$16-1),$E340))</f>
        <v>0</v>
      </c>
      <c r="BY340" s="771">
        <f t="shared" ca="1" si="367"/>
        <v>0</v>
      </c>
      <c r="BZ340" s="781">
        <f t="shared" ca="1" si="308"/>
        <v>0</v>
      </c>
      <c r="CA340" s="781">
        <f t="shared" ca="1" si="309"/>
        <v>0</v>
      </c>
      <c r="CB340" s="776">
        <f t="shared" ca="1" si="310"/>
        <v>0</v>
      </c>
      <c r="CC340" s="782">
        <f t="shared" si="311"/>
        <v>14</v>
      </c>
      <c r="CD340" s="782">
        <f t="shared" si="312"/>
        <v>8</v>
      </c>
      <c r="CE340" s="784" cm="1">
        <f t="array" aca="1" ref="CE340" ca="1">INDIRECT("'Definition of Typical Day'!"&amp;ADDRESS(CE$16,$E340))</f>
        <v>14</v>
      </c>
      <c r="CF340" s="232"/>
      <c r="CG340" s="232"/>
      <c r="CH340" s="776">
        <f t="shared" ca="1" si="313"/>
        <v>0</v>
      </c>
      <c r="CI340" s="806">
        <f t="shared" ca="1" si="314"/>
        <v>0</v>
      </c>
      <c r="CJ340" s="770">
        <f t="shared" ca="1" si="315"/>
        <v>0</v>
      </c>
      <c r="CK340" s="771">
        <f t="shared" ca="1" si="316"/>
        <v>0</v>
      </c>
      <c r="CL340" s="771">
        <f t="shared" ca="1" si="317"/>
        <v>0</v>
      </c>
      <c r="CM340" s="772">
        <f t="shared" ca="1" si="318"/>
        <v>0</v>
      </c>
      <c r="CN340" s="135"/>
      <c r="CO340" s="770">
        <f t="shared" ca="1" si="368"/>
        <v>1.05</v>
      </c>
      <c r="CP340" s="771">
        <f t="shared" ca="1" si="319"/>
        <v>0.02</v>
      </c>
      <c r="CQ340" s="771">
        <f t="shared" ca="1" si="320"/>
        <v>-2.5000000000000001E-2</v>
      </c>
      <c r="CR340" s="771">
        <f t="shared" ca="1" si="321"/>
        <v>0.95</v>
      </c>
      <c r="CS340" s="771">
        <f t="shared" ca="1" si="322"/>
        <v>0.03</v>
      </c>
      <c r="CT340" s="772">
        <f t="shared" ca="1" si="323"/>
        <v>0.02</v>
      </c>
      <c r="CU340" s="135"/>
      <c r="CV340" s="135"/>
      <c r="CW340" s="135"/>
      <c r="CX340" s="135"/>
      <c r="CY340" s="135"/>
      <c r="CZ340" s="135"/>
      <c r="DA340" s="135"/>
      <c r="DB340" s="135"/>
      <c r="DC340" s="135"/>
      <c r="DD340" s="135"/>
      <c r="DE340" s="135"/>
      <c r="DF340" s="135"/>
      <c r="DG340" s="135"/>
      <c r="DH340" s="135"/>
      <c r="DI340" s="135"/>
      <c r="DJ340" s="135"/>
      <c r="DK340" s="135"/>
      <c r="DL340" s="135"/>
      <c r="DX340" s="135"/>
      <c r="DY340" s="135"/>
      <c r="DZ340" s="135"/>
      <c r="EA340" s="135"/>
      <c r="EB340" s="135"/>
      <c r="EC340" s="135"/>
      <c r="ED340" s="135"/>
      <c r="EE340" s="135"/>
      <c r="EF340" s="135"/>
      <c r="EG340" s="135"/>
      <c r="EH340" s="135"/>
      <c r="EI340" s="135"/>
      <c r="EJ340" s="135"/>
      <c r="EK340" s="135"/>
      <c r="EL340" s="135"/>
      <c r="EM340" s="135"/>
      <c r="EN340" s="135"/>
      <c r="EO340" s="135"/>
      <c r="EP340" s="135"/>
      <c r="EQ340" s="135"/>
      <c r="ER340" s="135"/>
      <c r="ES340" s="135"/>
      <c r="ET340" s="135"/>
      <c r="EU340" s="135"/>
      <c r="EV340" s="135"/>
      <c r="EW340" s="135"/>
      <c r="EX340" s="135"/>
      <c r="EY340" s="135"/>
      <c r="EZ340" s="135"/>
      <c r="FA340" s="135"/>
      <c r="FB340" s="135"/>
      <c r="FC340" s="135"/>
      <c r="FD340" s="135"/>
      <c r="FE340" s="135"/>
      <c r="FF340" s="135"/>
      <c r="FG340" s="135"/>
    </row>
    <row r="341" spans="1:163" s="57" customFormat="1" ht="11.25" outlineLevel="1">
      <c r="A341" s="765">
        <f t="shared" si="369"/>
        <v>14</v>
      </c>
      <c r="B341" s="715" cm="1">
        <f t="array" aca="1" ref="B341" ca="1">INDIRECT("'Definition of Typical Day'!"&amp;ADDRESS(B$16,$E341))</f>
        <v>14</v>
      </c>
      <c r="C341" s="766">
        <f t="shared" si="370"/>
        <v>9</v>
      </c>
      <c r="D341" s="715">
        <f t="shared" si="370"/>
        <v>43</v>
      </c>
      <c r="E341" s="715">
        <f t="shared" ref="E341:E404" si="371">A341+4</f>
        <v>18</v>
      </c>
      <c r="F341" s="767" cm="1">
        <f t="array" aca="1" ref="F341" ca="1">INDIRECT("'Definition of Typical Day'!D"&amp;D341)</f>
        <v>9</v>
      </c>
      <c r="G341" s="767" cm="1">
        <f t="array" aca="1" ref="G341" ca="1">INDIRECT("'Definition of Typical Day'!"&amp;ADDRESS(13,E341))</f>
        <v>14</v>
      </c>
      <c r="H341" s="768" cm="1">
        <f t="array" aca="1" ref="H341" ca="1">INDIRECT("'Definition of Typical Day'!"&amp; ADDRESS($D341+28*(H$16-1),$E341))</f>
        <v>0</v>
      </c>
      <c r="I341" s="715" cm="1">
        <f t="array" aca="1" ref="I341" ca="1">INDIRECT("'Definition of Typical Day'!"&amp; ADDRESS($D341+29*(I$16-1),$E341))</f>
        <v>0</v>
      </c>
      <c r="J341" s="715">
        <f t="shared" ca="1" si="324"/>
        <v>0</v>
      </c>
      <c r="K341" s="785">
        <f t="shared" si="325"/>
        <v>28</v>
      </c>
      <c r="L341" s="786" cm="1">
        <f t="array" aca="1" ref="L341" ca="1">INDIRECT("'Definition of Typical Day'!"&amp; ADDRESS($D341+29*(L$16-1),$E341))</f>
        <v>0</v>
      </c>
      <c r="M341" s="768" cm="1">
        <f t="array" aca="1" ref="M341" ca="1">INDIRECT("'Definition of Typical Day'!"&amp; ADDRESS($D341+29*(M$16-1),$E341))</f>
        <v>0</v>
      </c>
      <c r="N341" s="715">
        <f t="shared" si="326"/>
        <v>3</v>
      </c>
      <c r="O341" s="715">
        <f t="shared" ca="1" si="327"/>
        <v>3</v>
      </c>
      <c r="P341" s="715" cm="1">
        <f t="array" aca="1" ref="P341" ca="1">INDIRECT("'Definition of Typical Day'!"&amp; ADDRESS($D341+29*(P$16-1),$E341))</f>
        <v>0</v>
      </c>
      <c r="Q341" s="787">
        <f t="shared" ca="1" si="328"/>
        <v>3</v>
      </c>
      <c r="R341" s="792">
        <f t="shared" ca="1" si="329"/>
        <v>3</v>
      </c>
      <c r="S341" s="769">
        <f t="shared" si="330"/>
        <v>3</v>
      </c>
      <c r="T341" s="769">
        <f t="shared" ca="1" si="331"/>
        <v>-0.5</v>
      </c>
      <c r="U341" s="769">
        <f t="shared" ca="1" si="332"/>
        <v>2.262</v>
      </c>
      <c r="V341" s="769">
        <f t="shared" ca="1" si="333"/>
        <v>0</v>
      </c>
      <c r="W341" s="769">
        <f t="shared" ca="1" si="334"/>
        <v>4.7620000000000005</v>
      </c>
      <c r="X341" s="794">
        <f t="shared" si="335"/>
        <v>3</v>
      </c>
      <c r="Y341" s="769">
        <f t="shared" ca="1" si="336"/>
        <v>0.54772255750516607</v>
      </c>
      <c r="Z341" s="769">
        <f t="shared" ca="1" si="337"/>
        <v>0</v>
      </c>
      <c r="AA341" s="795">
        <f t="shared" ca="1" si="338"/>
        <v>0</v>
      </c>
      <c r="AB341" s="769">
        <f t="shared" ca="1" si="339"/>
        <v>0</v>
      </c>
      <c r="AC341" s="769">
        <f t="shared" ca="1" si="340"/>
        <v>0</v>
      </c>
      <c r="AD341" s="769">
        <f t="shared" ca="1" si="341"/>
        <v>0</v>
      </c>
      <c r="AE341" s="794">
        <f t="shared" ca="1" si="342"/>
        <v>0</v>
      </c>
      <c r="AF341" s="769">
        <f t="shared" ca="1" si="343"/>
        <v>0</v>
      </c>
      <c r="AG341" s="769">
        <f t="shared" ca="1" si="344"/>
        <v>0</v>
      </c>
      <c r="AH341" s="799">
        <f t="shared" ca="1" si="345"/>
        <v>0</v>
      </c>
      <c r="AI341" s="801">
        <f t="shared" ca="1" si="346"/>
        <v>1</v>
      </c>
      <c r="AJ341" s="794">
        <f t="shared" ca="1" si="347"/>
        <v>0</v>
      </c>
      <c r="AK341" s="769">
        <f t="shared" ca="1" si="348"/>
        <v>0</v>
      </c>
      <c r="AL341" s="769">
        <f t="shared" ca="1" si="349"/>
        <v>0</v>
      </c>
      <c r="AM341" s="804">
        <f t="shared" ref="AM341:AM404" ca="1" si="372">IF($BY341=1,$AJ341,0)*$BD341/AM$16</f>
        <v>0</v>
      </c>
      <c r="AN341" s="795">
        <f t="shared" ref="AN341:AN404" ca="1" si="373">(H341-IF($BY341=1,$AJ341,0))*$BD341/AN$16</f>
        <v>0</v>
      </c>
      <c r="AO341" s="251"/>
      <c r="AP341" s="770">
        <f t="shared" si="350"/>
        <v>0</v>
      </c>
      <c r="AQ341" s="771">
        <f t="shared" ca="1" si="351"/>
        <v>0</v>
      </c>
      <c r="AR341" s="771">
        <f t="shared" ca="1" si="352"/>
        <v>0</v>
      </c>
      <c r="AS341" s="772">
        <f t="shared" ca="1" si="353"/>
        <v>0</v>
      </c>
      <c r="AT341" s="231"/>
      <c r="AU341" s="770">
        <f>'Main Results - IRR DC Operator'!$F$16</f>
        <v>2</v>
      </c>
      <c r="AV341" s="773">
        <f>'Main Results - IRR DC Operator'!$F$15</f>
        <v>1</v>
      </c>
      <c r="AW341" s="771">
        <f t="shared" ca="1" si="354"/>
        <v>0</v>
      </c>
      <c r="AX341" s="772">
        <f t="shared" si="355"/>
        <v>0</v>
      </c>
      <c r="AY341" s="231"/>
      <c r="AZ341" s="770" cm="1">
        <f t="array" aca="1" ref="AZ341" ca="1">INDIRECT("'Definition of Typical Day'!"&amp; ADDRESS($D341+29*(AZ$16-1),$E341))+$AZ$17</f>
        <v>11</v>
      </c>
      <c r="BA341" s="771" cm="1">
        <f t="array" aca="1" ref="BA341" ca="1">INDIRECT("'Definition of Typical Day'!"&amp; ADDRESS($D341+29*(BA$16-1),$E341))+$BA$17</f>
        <v>11</v>
      </c>
      <c r="BB341" s="772" cm="1">
        <f t="array" aca="1" ref="BB341" ca="1">INDIRECT("'Definition of Typical Day'!"&amp;ADDRESS(BB$16,$E341))</f>
        <v>0</v>
      </c>
      <c r="BC341" s="776" cm="1">
        <f t="array" aca="1" ref="BC341" ca="1">INDIRECT("'Definition of Typical Day'!"&amp; ADDRESS($D341+29*(BC$16-1),$E341))</f>
        <v>0</v>
      </c>
      <c r="BD341" s="777" cm="1">
        <f t="array" aca="1" ref="BD341" ca="1">INDIRECT("'Definition of Typical Day'!"&amp; ADDRESS($D341+29*(BD$16-1),$E341))</f>
        <v>0</v>
      </c>
      <c r="BE341" s="776">
        <f t="shared" si="356"/>
        <v>0</v>
      </c>
      <c r="BF341" s="771">
        <f t="shared" ca="1" si="357"/>
        <v>0</v>
      </c>
      <c r="BG341" s="771">
        <f t="shared" ca="1" si="358"/>
        <v>0</v>
      </c>
      <c r="BH341" s="771">
        <f t="shared" ca="1" si="359"/>
        <v>0</v>
      </c>
      <c r="BI341" s="776">
        <f t="shared" ca="1" si="360"/>
        <v>0</v>
      </c>
      <c r="BJ341" s="776">
        <f t="shared" ca="1" si="361"/>
        <v>0</v>
      </c>
      <c r="BK341" s="776">
        <f t="shared" ca="1" si="362"/>
        <v>0</v>
      </c>
      <c r="BL341" s="776">
        <f t="shared" ca="1" si="363"/>
        <v>0</v>
      </c>
      <c r="BM341" s="135"/>
      <c r="BN341" s="776">
        <f t="shared" ca="1" si="364"/>
        <v>0</v>
      </c>
      <c r="BO341" s="778">
        <f t="shared" ref="BO341:BO404" ca="1" si="374">BN341/MAX(0.0001,AH341)</f>
        <v>0</v>
      </c>
      <c r="BP341" s="770">
        <f t="shared" ref="BP341:BP404" ca="1" si="375">SUM(AX341,BF341:BH341)</f>
        <v>0</v>
      </c>
      <c r="BQ341" s="771">
        <f t="shared" ref="BQ341:BQ404" ca="1" si="376">$BQ$16*AH341</f>
        <v>0</v>
      </c>
      <c r="BR341" s="771">
        <f t="shared" ref="BR341:BR404" ca="1" si="377">$BR$16*AD341</f>
        <v>0</v>
      </c>
      <c r="BS341" s="776">
        <f t="shared" ca="1" si="365"/>
        <v>0</v>
      </c>
      <c r="BT341" s="776">
        <f t="shared" ref="BT341:BT404" ca="1" si="378">BP341+BQ341+BR341</f>
        <v>0</v>
      </c>
      <c r="BU341" s="783">
        <f t="shared" ref="BU341:BU404" ca="1" si="379">BT341/MAX(0.0001,AH341)</f>
        <v>0</v>
      </c>
      <c r="BV341" s="783">
        <f t="shared" ref="BV341:BV404" ca="1" si="380">(BT341-BL341)/MAX(0.0001,AH341)</f>
        <v>0</v>
      </c>
      <c r="BW341" s="1019">
        <f t="shared" ca="1" si="366"/>
        <v>0</v>
      </c>
      <c r="BX341" s="771" cm="1">
        <f t="array" aca="1" ref="BX341" ca="1">INDIRECT("'Definition of Typical Day'!"&amp; ADDRESS($D341+29*(BX$16-1),$E341))</f>
        <v>0</v>
      </c>
      <c r="BY341" s="771">
        <f t="shared" ca="1" si="367"/>
        <v>0</v>
      </c>
      <c r="BZ341" s="781">
        <f t="shared" ref="BZ341:BZ404" ca="1" si="381">IF(AND(AJ341&gt;0,BY341&gt;0),1,0)</f>
        <v>0</v>
      </c>
      <c r="CA341" s="781">
        <f t="shared" ref="CA341:CA404" ca="1" si="382">IF(BY341&gt;0,(AJ341+AK341)/X$16,0)</f>
        <v>0</v>
      </c>
      <c r="CB341" s="776">
        <f t="shared" ref="CB341:CB404" ca="1" si="383">BX341*AH341</f>
        <v>0</v>
      </c>
      <c r="CC341" s="782">
        <f t="shared" ref="CC341:CC404" si="384">A341</f>
        <v>14</v>
      </c>
      <c r="CD341" s="782">
        <f t="shared" ref="CD341:CD404" si="385">C341</f>
        <v>9</v>
      </c>
      <c r="CE341" s="784" cm="1">
        <f t="array" aca="1" ref="CE341" ca="1">INDIRECT("'Definition of Typical Day'!"&amp;ADDRESS(CE$16,$E341))</f>
        <v>14</v>
      </c>
      <c r="CF341" s="232"/>
      <c r="CG341" s="232"/>
      <c r="CH341" s="776">
        <f t="shared" ref="CH341:CH404" ca="1" si="386">H341</f>
        <v>0</v>
      </c>
      <c r="CI341" s="806">
        <f t="shared" ref="CI341:CI404" ca="1" si="387">L341</f>
        <v>0</v>
      </c>
      <c r="CJ341" s="770">
        <f t="shared" ref="CJ341:CJ404" ca="1" si="388">AH341*$BY341</f>
        <v>0</v>
      </c>
      <c r="CK341" s="771">
        <f t="shared" ref="CK341:CK404" ca="1" si="389">AJ341*$BY341</f>
        <v>0</v>
      </c>
      <c r="CL341" s="771">
        <f t="shared" ref="CL341:CL404" ca="1" si="390">AK341*$BY341</f>
        <v>0</v>
      </c>
      <c r="CM341" s="772">
        <f t="shared" ref="CM341:CM404" ca="1" si="391">AL341*$BY341</f>
        <v>0</v>
      </c>
      <c r="CN341" s="135"/>
      <c r="CO341" s="770">
        <f t="shared" ca="1" si="368"/>
        <v>1.05</v>
      </c>
      <c r="CP341" s="771">
        <f t="shared" ref="CP341:CP404" ca="1" si="392">IF(L341&lt;0.01,2%,98%)</f>
        <v>0.02</v>
      </c>
      <c r="CQ341" s="771">
        <f t="shared" ref="CQ341:CQ404" ca="1" si="393">IF(H341&lt;0.01,-2.5%,96%)</f>
        <v>-2.5000000000000001E-2</v>
      </c>
      <c r="CR341" s="771">
        <f t="shared" ref="CR341:CR404" ca="1" si="394">IF(OR(AB341=0,AD341&gt;0),95%,5%)</f>
        <v>0.95</v>
      </c>
      <c r="CS341" s="771">
        <f t="shared" ref="CS341:CS404" ca="1" si="395">IF(AJ341&gt;0.01,102%,3%)</f>
        <v>0.03</v>
      </c>
      <c r="CT341" s="772">
        <f t="shared" ref="CT341:CT404" ca="1" si="396">IF(AL341&gt;0.01,101%,2%)</f>
        <v>0.02</v>
      </c>
      <c r="CU341" s="135"/>
      <c r="CV341" s="135"/>
      <c r="CW341" s="135"/>
      <c r="CX341" s="135"/>
      <c r="CY341" s="135"/>
      <c r="CZ341" s="135"/>
      <c r="DA341" s="135"/>
      <c r="DB341" s="135"/>
      <c r="DC341" s="135"/>
      <c r="DD341" s="135"/>
      <c r="DE341" s="135"/>
      <c r="DF341" s="135"/>
      <c r="DG341" s="135"/>
      <c r="DH341" s="135"/>
      <c r="DI341" s="135"/>
      <c r="DJ341" s="135"/>
      <c r="DK341" s="135"/>
      <c r="DL341" s="135"/>
      <c r="DX341" s="135"/>
      <c r="DY341" s="135"/>
      <c r="DZ341" s="135"/>
      <c r="EA341" s="135"/>
      <c r="EB341" s="135"/>
      <c r="EC341" s="135"/>
      <c r="ED341" s="135"/>
      <c r="EE341" s="135"/>
      <c r="EF341" s="135"/>
      <c r="EG341" s="135"/>
      <c r="EH341" s="135"/>
      <c r="EI341" s="135"/>
      <c r="EJ341" s="135"/>
      <c r="EK341" s="135"/>
      <c r="EL341" s="135"/>
      <c r="EM341" s="135"/>
      <c r="EN341" s="135"/>
      <c r="EO341" s="135"/>
      <c r="EP341" s="135"/>
      <c r="EQ341" s="135"/>
      <c r="ER341" s="135"/>
      <c r="ES341" s="135"/>
      <c r="ET341" s="135"/>
      <c r="EU341" s="135"/>
      <c r="EV341" s="135"/>
      <c r="EW341" s="135"/>
      <c r="EX341" s="135"/>
      <c r="EY341" s="135"/>
      <c r="EZ341" s="135"/>
      <c r="FA341" s="135"/>
      <c r="FB341" s="135"/>
      <c r="FC341" s="135"/>
      <c r="FD341" s="135"/>
      <c r="FE341" s="135"/>
      <c r="FF341" s="135"/>
      <c r="FG341" s="135"/>
    </row>
    <row r="342" spans="1:163" s="57" customFormat="1" ht="11.25" outlineLevel="1">
      <c r="A342" s="765">
        <f t="shared" si="369"/>
        <v>14</v>
      </c>
      <c r="B342" s="715" cm="1">
        <f t="array" aca="1" ref="B342" ca="1">INDIRECT("'Definition of Typical Day'!"&amp;ADDRESS(B$16,$E342))</f>
        <v>14</v>
      </c>
      <c r="C342" s="766">
        <f t="shared" si="370"/>
        <v>10</v>
      </c>
      <c r="D342" s="715">
        <f t="shared" si="370"/>
        <v>44</v>
      </c>
      <c r="E342" s="715">
        <f t="shared" si="371"/>
        <v>18</v>
      </c>
      <c r="F342" s="767" cm="1">
        <f t="array" aca="1" ref="F342" ca="1">INDIRECT("'Definition of Typical Day'!D"&amp;D342)</f>
        <v>10</v>
      </c>
      <c r="G342" s="767" cm="1">
        <f t="array" aca="1" ref="G342" ca="1">INDIRECT("'Definition of Typical Day'!"&amp;ADDRESS(13,E342))</f>
        <v>14</v>
      </c>
      <c r="H342" s="768" cm="1">
        <f t="array" aca="1" ref="H342" ca="1">INDIRECT("'Definition of Typical Day'!"&amp; ADDRESS($D342+28*(H$16-1),$E342))</f>
        <v>0</v>
      </c>
      <c r="I342" s="715" cm="1">
        <f t="array" aca="1" ref="I342" ca="1">INDIRECT("'Definition of Typical Day'!"&amp; ADDRESS($D342+29*(I$16-1),$E342))</f>
        <v>0</v>
      </c>
      <c r="J342" s="715">
        <f t="shared" ref="J342:J405" ca="1" si="397">IF(I342&lt;K342,0,I342-$J$16)</f>
        <v>0</v>
      </c>
      <c r="K342" s="785">
        <f t="shared" ref="K342:K405" si="398">$K$16</f>
        <v>28</v>
      </c>
      <c r="L342" s="786" cm="1">
        <f t="array" aca="1" ref="L342" ca="1">INDIRECT("'Definition of Typical Day'!"&amp; ADDRESS($D342+29*(L$16-1),$E342))</f>
        <v>0</v>
      </c>
      <c r="M342" s="768" cm="1">
        <f t="array" aca="1" ref="M342" ca="1">INDIRECT("'Definition of Typical Day'!"&amp; ADDRESS($D342+29*(M$16-1),$E342))</f>
        <v>0</v>
      </c>
      <c r="N342" s="715">
        <f t="shared" ref="N342:N405" si="399">$N$16</f>
        <v>3</v>
      </c>
      <c r="O342" s="715">
        <f t="shared" ref="O342:O405" ca="1" si="400">N342+M342</f>
        <v>3</v>
      </c>
      <c r="P342" s="715" cm="1">
        <f t="array" aca="1" ref="P342" ca="1">INDIRECT("'Definition of Typical Day'!"&amp; ADDRESS($D342+29*(P$16-1),$E342))</f>
        <v>0</v>
      </c>
      <c r="Q342" s="787">
        <f t="shared" ref="Q342:Q405" ca="1" si="401">P342+N342</f>
        <v>3</v>
      </c>
      <c r="R342" s="792">
        <f t="shared" ref="R342:R405" ca="1" si="402">MIN($R$16,O342)</f>
        <v>3</v>
      </c>
      <c r="S342" s="769">
        <f t="shared" ref="S342:S405" si="403">$S$16</f>
        <v>3</v>
      </c>
      <c r="T342" s="769">
        <f t="shared" ref="T342:T405" ca="1" si="404">ABS($T$16)*(J342-$T$17)</f>
        <v>-0.5</v>
      </c>
      <c r="U342" s="769">
        <f t="shared" ref="U342:U405" ca="1" si="405">ABS($U$16)*($U$17-R342)</f>
        <v>2.262</v>
      </c>
      <c r="V342" s="769">
        <f t="shared" ref="V342:V405" ca="1" si="406">($V$16)*(Q342-$V$17)</f>
        <v>0</v>
      </c>
      <c r="W342" s="769">
        <f t="shared" ref="W342:W405" ca="1" si="407">SUM(S342:V342)</f>
        <v>4.7620000000000005</v>
      </c>
      <c r="X342" s="794">
        <f t="shared" ref="X342:X405" si="408">$X$16</f>
        <v>3</v>
      </c>
      <c r="Y342" s="769">
        <f t="shared" ref="Y342:Y405" ca="1" si="409">X342*MIN(1,(MAX(1,R342-Q342)/$Y$16)^$Y$17)</f>
        <v>0.54772255750516607</v>
      </c>
      <c r="Z342" s="769">
        <f t="shared" ref="Z342:Z405" ca="1" si="410">MIN(H342*W342/(W342-1),Y342)</f>
        <v>0</v>
      </c>
      <c r="AA342" s="795">
        <f t="shared" ref="AA342:AA405" ca="1" si="411">(0.00001 + AD342)/(0.00001+AC342)*Z342</f>
        <v>0</v>
      </c>
      <c r="AB342" s="769">
        <f t="shared" ref="AB342:AB405" ca="1" si="412">MAX(0, O342-R342)</f>
        <v>0</v>
      </c>
      <c r="AC342" s="769">
        <f t="shared" ref="AC342:AC405" ca="1" si="413">(AB342/MAX(1,R342-Q342)*Z342)</f>
        <v>0</v>
      </c>
      <c r="AD342" s="769">
        <f t="shared" ref="AD342:AD405" ca="1" si="414">MIN(AC342,$AD$16)</f>
        <v>0</v>
      </c>
      <c r="AE342" s="794">
        <f t="shared" ref="AE342:AE405" ca="1" si="415">AD342+AA342</f>
        <v>0</v>
      </c>
      <c r="AF342" s="769">
        <f t="shared" ref="AF342:AF405" ca="1" si="416">AE342*$AF$16/100</f>
        <v>0</v>
      </c>
      <c r="AG342" s="769">
        <f t="shared" ref="AG342:AG405" ca="1" si="417">AE342-AF342</f>
        <v>0</v>
      </c>
      <c r="AH342" s="799">
        <f t="shared" ref="AH342:AH405" ca="1" si="418">MIN(AG342,L342)</f>
        <v>0</v>
      </c>
      <c r="AI342" s="801">
        <f t="shared" ref="AI342:AI405" ca="1" si="419">(0.00001 + AH342)/(0.00001+AG342)</f>
        <v>1</v>
      </c>
      <c r="AJ342" s="794">
        <f t="shared" ref="AJ342:AJ405" ca="1" si="420">AA342*(W342-1)/(W342)*$AI342</f>
        <v>0</v>
      </c>
      <c r="AK342" s="769">
        <f t="shared" ref="AK342:AK405" ca="1" si="421">AA342/(W342)*$AI342</f>
        <v>0</v>
      </c>
      <c r="AL342" s="769">
        <f t="shared" ref="AL342:AL405" ca="1" si="422">AD342/MAX(0.001, $AL$16/100)*$AI342</f>
        <v>0</v>
      </c>
      <c r="AM342" s="804">
        <f t="shared" ca="1" si="372"/>
        <v>0</v>
      </c>
      <c r="AN342" s="795">
        <f t="shared" ca="1" si="373"/>
        <v>0</v>
      </c>
      <c r="AO342" s="251"/>
      <c r="AP342" s="770">
        <f t="shared" ref="AP342:AP405" si="423">$AP$16</f>
        <v>0</v>
      </c>
      <c r="AQ342" s="771">
        <f t="shared" ref="AQ342:AQ405" ca="1" si="424">AP342*H342</f>
        <v>0</v>
      </c>
      <c r="AR342" s="771">
        <f t="shared" ref="AR342:AR405" ca="1" si="425">$AR$16*AJ342</f>
        <v>0</v>
      </c>
      <c r="AS342" s="772">
        <f t="shared" ref="AS342:AS405" ca="1" si="426">AR342+AQ342</f>
        <v>0</v>
      </c>
      <c r="AT342" s="231"/>
      <c r="AU342" s="770">
        <f>'Main Results - IRR DC Operator'!$F$16</f>
        <v>2</v>
      </c>
      <c r="AV342" s="773">
        <f>'Main Results - IRR DC Operator'!$F$15</f>
        <v>1</v>
      </c>
      <c r="AW342" s="771">
        <f t="shared" ref="AW342:AW405" ca="1" si="427">IF(AV342=1,H342*AU342,0)</f>
        <v>0</v>
      </c>
      <c r="AX342" s="772">
        <f t="shared" ref="AX342:AX405" si="428">IF(AV342=2,AJ342*AU342,0)</f>
        <v>0</v>
      </c>
      <c r="AY342" s="231"/>
      <c r="AZ342" s="770" cm="1">
        <f t="array" aca="1" ref="AZ342" ca="1">INDIRECT("'Definition of Typical Day'!"&amp; ADDRESS($D342+29*(AZ$16-1),$E342))+$AZ$17</f>
        <v>11</v>
      </c>
      <c r="BA342" s="771" cm="1">
        <f t="array" aca="1" ref="BA342" ca="1">INDIRECT("'Definition of Typical Day'!"&amp; ADDRESS($D342+29*(BA$16-1),$E342))+$BA$17</f>
        <v>11</v>
      </c>
      <c r="BB342" s="772" cm="1">
        <f t="array" aca="1" ref="BB342" ca="1">INDIRECT("'Definition of Typical Day'!"&amp;ADDRESS(BB$16,$E342))</f>
        <v>0</v>
      </c>
      <c r="BC342" s="776" cm="1">
        <f t="array" aca="1" ref="BC342" ca="1">INDIRECT("'Definition of Typical Day'!"&amp; ADDRESS($D342+29*(BC$16-1),$E342))</f>
        <v>0</v>
      </c>
      <c r="BD342" s="777" cm="1">
        <f t="array" aca="1" ref="BD342" ca="1">INDIRECT("'Definition of Typical Day'!"&amp; ADDRESS($D342+29*(BD$16-1),$E342))</f>
        <v>0</v>
      </c>
      <c r="BE342" s="776">
        <f t="shared" ref="BE342:BE405" si="429">$BE$16</f>
        <v>0</v>
      </c>
      <c r="BF342" s="771">
        <f t="shared" ref="BF342:BF405" ca="1" si="430">AZ342*AK342</f>
        <v>0</v>
      </c>
      <c r="BG342" s="771">
        <f t="shared" ref="BG342:BG405" ca="1" si="431">AE342*BG$16/100*BB342*AI342</f>
        <v>0</v>
      </c>
      <c r="BH342" s="771">
        <f t="shared" ref="BH342:BH405" ca="1" si="432">BA342*AL342</f>
        <v>0</v>
      </c>
      <c r="BI342" s="776">
        <f t="shared" ref="BI342:BI405" ca="1" si="433">AM342*$BC342</f>
        <v>0</v>
      </c>
      <c r="BJ342" s="776">
        <f t="shared" ref="BJ342:BJ405" ca="1" si="434">AN342*$BC342</f>
        <v>0</v>
      </c>
      <c r="BK342" s="776">
        <f t="shared" ref="BK342:BK405" ca="1" si="435">BE342*AJ342</f>
        <v>0</v>
      </c>
      <c r="BL342" s="776">
        <f t="shared" ref="BL342:BL405" ca="1" si="436">MIN(MAX(SUM(BF342:BG342),0), BK342)</f>
        <v>0</v>
      </c>
      <c r="BM342" s="135"/>
      <c r="BN342" s="776">
        <f t="shared" ref="BN342:BN405" ca="1" si="437">SUM(AW342:AX342,BF342:BH342)-BL342</f>
        <v>0</v>
      </c>
      <c r="BO342" s="778">
        <f t="shared" ca="1" si="374"/>
        <v>0</v>
      </c>
      <c r="BP342" s="770">
        <f t="shared" ca="1" si="375"/>
        <v>0</v>
      </c>
      <c r="BQ342" s="771">
        <f t="shared" ca="1" si="376"/>
        <v>0</v>
      </c>
      <c r="BR342" s="771">
        <f t="shared" ca="1" si="377"/>
        <v>0</v>
      </c>
      <c r="BS342" s="776">
        <f t="shared" ref="BS342:BS405" ca="1" si="438">BN342+BQ342+BR342</f>
        <v>0</v>
      </c>
      <c r="BT342" s="776">
        <f t="shared" ca="1" si="378"/>
        <v>0</v>
      </c>
      <c r="BU342" s="783">
        <f t="shared" ca="1" si="379"/>
        <v>0</v>
      </c>
      <c r="BV342" s="783">
        <f t="shared" ca="1" si="380"/>
        <v>0</v>
      </c>
      <c r="BW342" s="1019">
        <f t="shared" ref="BW342:BW405" ca="1" si="439">IF(BW$16=1,BV342,BU342)</f>
        <v>0</v>
      </c>
      <c r="BX342" s="771" cm="1">
        <f t="array" aca="1" ref="BX342" ca="1">INDIRECT("'Definition of Typical Day'!"&amp; ADDRESS($D342+29*(BX$16-1),$E342))</f>
        <v>0</v>
      </c>
      <c r="BY342" s="771">
        <f t="shared" ref="BY342:BY405" ca="1" si="440">IF(OR(BW342&gt;BX342,SUM(AJ342:AL342)&lt;0.01),0%,100%)</f>
        <v>0</v>
      </c>
      <c r="BZ342" s="781">
        <f t="shared" ca="1" si="381"/>
        <v>0</v>
      </c>
      <c r="CA342" s="781">
        <f t="shared" ca="1" si="382"/>
        <v>0</v>
      </c>
      <c r="CB342" s="776">
        <f t="shared" ca="1" si="383"/>
        <v>0</v>
      </c>
      <c r="CC342" s="782">
        <f t="shared" si="384"/>
        <v>14</v>
      </c>
      <c r="CD342" s="782">
        <f t="shared" si="385"/>
        <v>10</v>
      </c>
      <c r="CE342" s="784" cm="1">
        <f t="array" aca="1" ref="CE342" ca="1">INDIRECT("'Definition of Typical Day'!"&amp;ADDRESS(CE$16,$E342))</f>
        <v>14</v>
      </c>
      <c r="CF342" s="232"/>
      <c r="CG342" s="232"/>
      <c r="CH342" s="776">
        <f t="shared" ca="1" si="386"/>
        <v>0</v>
      </c>
      <c r="CI342" s="806">
        <f t="shared" ca="1" si="387"/>
        <v>0</v>
      </c>
      <c r="CJ342" s="770">
        <f t="shared" ca="1" si="388"/>
        <v>0</v>
      </c>
      <c r="CK342" s="771">
        <f t="shared" ca="1" si="389"/>
        <v>0</v>
      </c>
      <c r="CL342" s="771">
        <f t="shared" ca="1" si="390"/>
        <v>0</v>
      </c>
      <c r="CM342" s="772">
        <f t="shared" ca="1" si="391"/>
        <v>0</v>
      </c>
      <c r="CN342" s="135"/>
      <c r="CO342" s="770">
        <f t="shared" ca="1" si="368"/>
        <v>1.05</v>
      </c>
      <c r="CP342" s="771">
        <f t="shared" ca="1" si="392"/>
        <v>0.02</v>
      </c>
      <c r="CQ342" s="771">
        <f t="shared" ca="1" si="393"/>
        <v>-2.5000000000000001E-2</v>
      </c>
      <c r="CR342" s="771">
        <f t="shared" ca="1" si="394"/>
        <v>0.95</v>
      </c>
      <c r="CS342" s="771">
        <f t="shared" ca="1" si="395"/>
        <v>0.03</v>
      </c>
      <c r="CT342" s="772">
        <f t="shared" ca="1" si="396"/>
        <v>0.02</v>
      </c>
      <c r="CU342" s="135"/>
      <c r="CV342" s="135"/>
      <c r="CW342" s="135"/>
      <c r="CX342" s="135"/>
      <c r="CY342" s="135"/>
      <c r="CZ342" s="135"/>
      <c r="DA342" s="135"/>
      <c r="DB342" s="135"/>
      <c r="DC342" s="135"/>
      <c r="DD342" s="135"/>
      <c r="DE342" s="135"/>
      <c r="DF342" s="135"/>
      <c r="DG342" s="135"/>
      <c r="DH342" s="135"/>
      <c r="DI342" s="135"/>
      <c r="DJ342" s="135"/>
      <c r="DK342" s="135"/>
      <c r="DL342" s="135"/>
      <c r="DX342" s="135"/>
      <c r="DY342" s="135"/>
      <c r="DZ342" s="135"/>
      <c r="EA342" s="135"/>
      <c r="EB342" s="135"/>
      <c r="EC342" s="135"/>
      <c r="ED342" s="135"/>
      <c r="EE342" s="135"/>
      <c r="EF342" s="135"/>
      <c r="EG342" s="135"/>
      <c r="EH342" s="135"/>
      <c r="EI342" s="135"/>
      <c r="EJ342" s="135"/>
      <c r="EK342" s="135"/>
      <c r="EL342" s="135"/>
      <c r="EM342" s="135"/>
      <c r="EN342" s="135"/>
      <c r="EO342" s="135"/>
      <c r="EP342" s="135"/>
      <c r="EQ342" s="135"/>
      <c r="ER342" s="135"/>
      <c r="ES342" s="135"/>
      <c r="ET342" s="135"/>
      <c r="EU342" s="135"/>
      <c r="EV342" s="135"/>
      <c r="EW342" s="135"/>
      <c r="EX342" s="135"/>
      <c r="EY342" s="135"/>
      <c r="EZ342" s="135"/>
      <c r="FA342" s="135"/>
      <c r="FB342" s="135"/>
      <c r="FC342" s="135"/>
      <c r="FD342" s="135"/>
      <c r="FE342" s="135"/>
      <c r="FF342" s="135"/>
      <c r="FG342" s="135"/>
    </row>
    <row r="343" spans="1:163" s="57" customFormat="1" ht="11.25" outlineLevel="1">
      <c r="A343" s="765">
        <f t="shared" si="369"/>
        <v>14</v>
      </c>
      <c r="B343" s="715" cm="1">
        <f t="array" aca="1" ref="B343" ca="1">INDIRECT("'Definition of Typical Day'!"&amp;ADDRESS(B$16,$E343))</f>
        <v>14</v>
      </c>
      <c r="C343" s="766">
        <f t="shared" si="370"/>
        <v>11</v>
      </c>
      <c r="D343" s="715">
        <f t="shared" si="370"/>
        <v>45</v>
      </c>
      <c r="E343" s="715">
        <f t="shared" si="371"/>
        <v>18</v>
      </c>
      <c r="F343" s="767" cm="1">
        <f t="array" aca="1" ref="F343" ca="1">INDIRECT("'Definition of Typical Day'!D"&amp;D343)</f>
        <v>11</v>
      </c>
      <c r="G343" s="767" cm="1">
        <f t="array" aca="1" ref="G343" ca="1">INDIRECT("'Definition of Typical Day'!"&amp;ADDRESS(13,E343))</f>
        <v>14</v>
      </c>
      <c r="H343" s="768" cm="1">
        <f t="array" aca="1" ref="H343" ca="1">INDIRECT("'Definition of Typical Day'!"&amp; ADDRESS($D343+28*(H$16-1),$E343))</f>
        <v>0</v>
      </c>
      <c r="I343" s="715" cm="1">
        <f t="array" aca="1" ref="I343" ca="1">INDIRECT("'Definition of Typical Day'!"&amp; ADDRESS($D343+29*(I$16-1),$E343))</f>
        <v>0</v>
      </c>
      <c r="J343" s="715">
        <f t="shared" ca="1" si="397"/>
        <v>0</v>
      </c>
      <c r="K343" s="785">
        <f t="shared" si="398"/>
        <v>28</v>
      </c>
      <c r="L343" s="786" cm="1">
        <f t="array" aca="1" ref="L343" ca="1">INDIRECT("'Definition of Typical Day'!"&amp; ADDRESS($D343+29*(L$16-1),$E343))</f>
        <v>0</v>
      </c>
      <c r="M343" s="768" cm="1">
        <f t="array" aca="1" ref="M343" ca="1">INDIRECT("'Definition of Typical Day'!"&amp; ADDRESS($D343+29*(M$16-1),$E343))</f>
        <v>0</v>
      </c>
      <c r="N343" s="715">
        <f t="shared" si="399"/>
        <v>3</v>
      </c>
      <c r="O343" s="715">
        <f t="shared" ca="1" si="400"/>
        <v>3</v>
      </c>
      <c r="P343" s="715" cm="1">
        <f t="array" aca="1" ref="P343" ca="1">INDIRECT("'Definition of Typical Day'!"&amp; ADDRESS($D343+29*(P$16-1),$E343))</f>
        <v>0</v>
      </c>
      <c r="Q343" s="787">
        <f t="shared" ca="1" si="401"/>
        <v>3</v>
      </c>
      <c r="R343" s="792">
        <f t="shared" ca="1" si="402"/>
        <v>3</v>
      </c>
      <c r="S343" s="769">
        <f t="shared" si="403"/>
        <v>3</v>
      </c>
      <c r="T343" s="769">
        <f t="shared" ca="1" si="404"/>
        <v>-0.5</v>
      </c>
      <c r="U343" s="769">
        <f t="shared" ca="1" si="405"/>
        <v>2.262</v>
      </c>
      <c r="V343" s="769">
        <f t="shared" ca="1" si="406"/>
        <v>0</v>
      </c>
      <c r="W343" s="769">
        <f t="shared" ca="1" si="407"/>
        <v>4.7620000000000005</v>
      </c>
      <c r="X343" s="794">
        <f t="shared" si="408"/>
        <v>3</v>
      </c>
      <c r="Y343" s="769">
        <f t="shared" ca="1" si="409"/>
        <v>0.54772255750516607</v>
      </c>
      <c r="Z343" s="769">
        <f t="shared" ca="1" si="410"/>
        <v>0</v>
      </c>
      <c r="AA343" s="795">
        <f t="shared" ca="1" si="411"/>
        <v>0</v>
      </c>
      <c r="AB343" s="769">
        <f t="shared" ca="1" si="412"/>
        <v>0</v>
      </c>
      <c r="AC343" s="769">
        <f t="shared" ca="1" si="413"/>
        <v>0</v>
      </c>
      <c r="AD343" s="769">
        <f t="shared" ca="1" si="414"/>
        <v>0</v>
      </c>
      <c r="AE343" s="794">
        <f t="shared" ca="1" si="415"/>
        <v>0</v>
      </c>
      <c r="AF343" s="769">
        <f t="shared" ca="1" si="416"/>
        <v>0</v>
      </c>
      <c r="AG343" s="769">
        <f t="shared" ca="1" si="417"/>
        <v>0</v>
      </c>
      <c r="AH343" s="799">
        <f t="shared" ca="1" si="418"/>
        <v>0</v>
      </c>
      <c r="AI343" s="801">
        <f t="shared" ca="1" si="419"/>
        <v>1</v>
      </c>
      <c r="AJ343" s="794">
        <f t="shared" ca="1" si="420"/>
        <v>0</v>
      </c>
      <c r="AK343" s="769">
        <f t="shared" ca="1" si="421"/>
        <v>0</v>
      </c>
      <c r="AL343" s="769">
        <f t="shared" ca="1" si="422"/>
        <v>0</v>
      </c>
      <c r="AM343" s="804">
        <f t="shared" ca="1" si="372"/>
        <v>0</v>
      </c>
      <c r="AN343" s="795">
        <f t="shared" ca="1" si="373"/>
        <v>0</v>
      </c>
      <c r="AO343" s="251"/>
      <c r="AP343" s="770">
        <f t="shared" si="423"/>
        <v>0</v>
      </c>
      <c r="AQ343" s="771">
        <f t="shared" ca="1" si="424"/>
        <v>0</v>
      </c>
      <c r="AR343" s="771">
        <f t="shared" ca="1" si="425"/>
        <v>0</v>
      </c>
      <c r="AS343" s="772">
        <f t="shared" ca="1" si="426"/>
        <v>0</v>
      </c>
      <c r="AT343" s="231"/>
      <c r="AU343" s="770">
        <f>'Main Results - IRR DC Operator'!$F$16</f>
        <v>2</v>
      </c>
      <c r="AV343" s="773">
        <f>'Main Results - IRR DC Operator'!$F$15</f>
        <v>1</v>
      </c>
      <c r="AW343" s="771">
        <f t="shared" ca="1" si="427"/>
        <v>0</v>
      </c>
      <c r="AX343" s="772">
        <f t="shared" si="428"/>
        <v>0</v>
      </c>
      <c r="AY343" s="231"/>
      <c r="AZ343" s="770" cm="1">
        <f t="array" aca="1" ref="AZ343" ca="1">INDIRECT("'Definition of Typical Day'!"&amp; ADDRESS($D343+29*(AZ$16-1),$E343))+$AZ$17</f>
        <v>11</v>
      </c>
      <c r="BA343" s="771" cm="1">
        <f t="array" aca="1" ref="BA343" ca="1">INDIRECT("'Definition of Typical Day'!"&amp; ADDRESS($D343+29*(BA$16-1),$E343))+$BA$17</f>
        <v>11</v>
      </c>
      <c r="BB343" s="772" cm="1">
        <f t="array" aca="1" ref="BB343" ca="1">INDIRECT("'Definition of Typical Day'!"&amp;ADDRESS(BB$16,$E343))</f>
        <v>0</v>
      </c>
      <c r="BC343" s="776" cm="1">
        <f t="array" aca="1" ref="BC343" ca="1">INDIRECT("'Definition of Typical Day'!"&amp; ADDRESS($D343+29*(BC$16-1),$E343))</f>
        <v>0</v>
      </c>
      <c r="BD343" s="777" cm="1">
        <f t="array" aca="1" ref="BD343" ca="1">INDIRECT("'Definition of Typical Day'!"&amp; ADDRESS($D343+29*(BD$16-1),$E343))</f>
        <v>0</v>
      </c>
      <c r="BE343" s="776">
        <f t="shared" si="429"/>
        <v>0</v>
      </c>
      <c r="BF343" s="771">
        <f t="shared" ca="1" si="430"/>
        <v>0</v>
      </c>
      <c r="BG343" s="771">
        <f t="shared" ca="1" si="431"/>
        <v>0</v>
      </c>
      <c r="BH343" s="771">
        <f t="shared" ca="1" si="432"/>
        <v>0</v>
      </c>
      <c r="BI343" s="776">
        <f t="shared" ca="1" si="433"/>
        <v>0</v>
      </c>
      <c r="BJ343" s="776">
        <f t="shared" ca="1" si="434"/>
        <v>0</v>
      </c>
      <c r="BK343" s="776">
        <f t="shared" ca="1" si="435"/>
        <v>0</v>
      </c>
      <c r="BL343" s="776">
        <f t="shared" ca="1" si="436"/>
        <v>0</v>
      </c>
      <c r="BM343" s="135"/>
      <c r="BN343" s="776">
        <f t="shared" ca="1" si="437"/>
        <v>0</v>
      </c>
      <c r="BO343" s="778">
        <f t="shared" ca="1" si="374"/>
        <v>0</v>
      </c>
      <c r="BP343" s="770">
        <f t="shared" ca="1" si="375"/>
        <v>0</v>
      </c>
      <c r="BQ343" s="771">
        <f t="shared" ca="1" si="376"/>
        <v>0</v>
      </c>
      <c r="BR343" s="771">
        <f t="shared" ca="1" si="377"/>
        <v>0</v>
      </c>
      <c r="BS343" s="776">
        <f t="shared" ca="1" si="438"/>
        <v>0</v>
      </c>
      <c r="BT343" s="776">
        <f t="shared" ca="1" si="378"/>
        <v>0</v>
      </c>
      <c r="BU343" s="783">
        <f t="shared" ca="1" si="379"/>
        <v>0</v>
      </c>
      <c r="BV343" s="783">
        <f t="shared" ca="1" si="380"/>
        <v>0</v>
      </c>
      <c r="BW343" s="1019">
        <f t="shared" ca="1" si="439"/>
        <v>0</v>
      </c>
      <c r="BX343" s="771" cm="1">
        <f t="array" aca="1" ref="BX343" ca="1">INDIRECT("'Definition of Typical Day'!"&amp; ADDRESS($D343+29*(BX$16-1),$E343))</f>
        <v>0</v>
      </c>
      <c r="BY343" s="771">
        <f t="shared" ca="1" si="440"/>
        <v>0</v>
      </c>
      <c r="BZ343" s="781">
        <f t="shared" ca="1" si="381"/>
        <v>0</v>
      </c>
      <c r="CA343" s="781">
        <f t="shared" ca="1" si="382"/>
        <v>0</v>
      </c>
      <c r="CB343" s="776">
        <f t="shared" ca="1" si="383"/>
        <v>0</v>
      </c>
      <c r="CC343" s="782">
        <f t="shared" si="384"/>
        <v>14</v>
      </c>
      <c r="CD343" s="782">
        <f t="shared" si="385"/>
        <v>11</v>
      </c>
      <c r="CE343" s="784" cm="1">
        <f t="array" aca="1" ref="CE343" ca="1">INDIRECT("'Definition of Typical Day'!"&amp;ADDRESS(CE$16,$E343))</f>
        <v>14</v>
      </c>
      <c r="CF343" s="232"/>
      <c r="CG343" s="232"/>
      <c r="CH343" s="776">
        <f t="shared" ca="1" si="386"/>
        <v>0</v>
      </c>
      <c r="CI343" s="806">
        <f t="shared" ca="1" si="387"/>
        <v>0</v>
      </c>
      <c r="CJ343" s="770">
        <f t="shared" ca="1" si="388"/>
        <v>0</v>
      </c>
      <c r="CK343" s="771">
        <f t="shared" ca="1" si="389"/>
        <v>0</v>
      </c>
      <c r="CL343" s="771">
        <f t="shared" ca="1" si="390"/>
        <v>0</v>
      </c>
      <c r="CM343" s="772">
        <f t="shared" ca="1" si="391"/>
        <v>0</v>
      </c>
      <c r="CN343" s="135"/>
      <c r="CO343" s="770">
        <f t="shared" ca="1" si="368"/>
        <v>1.05</v>
      </c>
      <c r="CP343" s="771">
        <f t="shared" ca="1" si="392"/>
        <v>0.02</v>
      </c>
      <c r="CQ343" s="771">
        <f t="shared" ca="1" si="393"/>
        <v>-2.5000000000000001E-2</v>
      </c>
      <c r="CR343" s="771">
        <f t="shared" ca="1" si="394"/>
        <v>0.95</v>
      </c>
      <c r="CS343" s="771">
        <f t="shared" ca="1" si="395"/>
        <v>0.03</v>
      </c>
      <c r="CT343" s="772">
        <f t="shared" ca="1" si="396"/>
        <v>0.02</v>
      </c>
      <c r="CU343" s="135"/>
      <c r="CV343" s="135"/>
      <c r="CW343" s="135"/>
      <c r="CX343" s="135"/>
      <c r="CY343" s="135"/>
      <c r="CZ343" s="135"/>
      <c r="DA343" s="135"/>
      <c r="DB343" s="135"/>
      <c r="DC343" s="135"/>
      <c r="DD343" s="135"/>
      <c r="DE343" s="135"/>
      <c r="DF343" s="135"/>
      <c r="DG343" s="135"/>
      <c r="DH343" s="135"/>
      <c r="DI343" s="135"/>
      <c r="DJ343" s="135"/>
      <c r="DK343" s="135"/>
      <c r="DL343" s="135"/>
      <c r="DX343" s="135"/>
      <c r="DY343" s="135"/>
      <c r="DZ343" s="135"/>
      <c r="EA343" s="135"/>
      <c r="EB343" s="135"/>
      <c r="EC343" s="135"/>
      <c r="ED343" s="135"/>
      <c r="EE343" s="135"/>
      <c r="EF343" s="135"/>
      <c r="EG343" s="135"/>
      <c r="EH343" s="135"/>
      <c r="EI343" s="135"/>
      <c r="EJ343" s="135"/>
      <c r="EK343" s="135"/>
      <c r="EL343" s="135"/>
      <c r="EM343" s="135"/>
      <c r="EN343" s="135"/>
      <c r="EO343" s="135"/>
      <c r="EP343" s="135"/>
      <c r="EQ343" s="135"/>
      <c r="ER343" s="135"/>
      <c r="ES343" s="135"/>
      <c r="ET343" s="135"/>
      <c r="EU343" s="135"/>
      <c r="EV343" s="135"/>
      <c r="EW343" s="135"/>
      <c r="EX343" s="135"/>
      <c r="EY343" s="135"/>
      <c r="EZ343" s="135"/>
      <c r="FA343" s="135"/>
      <c r="FB343" s="135"/>
      <c r="FC343" s="135"/>
      <c r="FD343" s="135"/>
      <c r="FE343" s="135"/>
      <c r="FF343" s="135"/>
      <c r="FG343" s="135"/>
    </row>
    <row r="344" spans="1:163" s="57" customFormat="1" ht="11.25" outlineLevel="1">
      <c r="A344" s="765">
        <f t="shared" si="369"/>
        <v>14</v>
      </c>
      <c r="B344" s="715" cm="1">
        <f t="array" aca="1" ref="B344" ca="1">INDIRECT("'Definition of Typical Day'!"&amp;ADDRESS(B$16,$E344))</f>
        <v>14</v>
      </c>
      <c r="C344" s="766">
        <f t="shared" si="370"/>
        <v>12</v>
      </c>
      <c r="D344" s="715">
        <f t="shared" si="370"/>
        <v>46</v>
      </c>
      <c r="E344" s="715">
        <f t="shared" si="371"/>
        <v>18</v>
      </c>
      <c r="F344" s="767" cm="1">
        <f t="array" aca="1" ref="F344" ca="1">INDIRECT("'Definition of Typical Day'!D"&amp;D344)</f>
        <v>12</v>
      </c>
      <c r="G344" s="767" cm="1">
        <f t="array" aca="1" ref="G344" ca="1">INDIRECT("'Definition of Typical Day'!"&amp;ADDRESS(13,E344))</f>
        <v>14</v>
      </c>
      <c r="H344" s="768" cm="1">
        <f t="array" aca="1" ref="H344" ca="1">INDIRECT("'Definition of Typical Day'!"&amp; ADDRESS($D344+28*(H$16-1),$E344))</f>
        <v>0</v>
      </c>
      <c r="I344" s="715" cm="1">
        <f t="array" aca="1" ref="I344" ca="1">INDIRECT("'Definition of Typical Day'!"&amp; ADDRESS($D344+29*(I$16-1),$E344))</f>
        <v>0</v>
      </c>
      <c r="J344" s="715">
        <f t="shared" ca="1" si="397"/>
        <v>0</v>
      </c>
      <c r="K344" s="785">
        <f t="shared" si="398"/>
        <v>28</v>
      </c>
      <c r="L344" s="786" cm="1">
        <f t="array" aca="1" ref="L344" ca="1">INDIRECT("'Definition of Typical Day'!"&amp; ADDRESS($D344+29*(L$16-1),$E344))</f>
        <v>0</v>
      </c>
      <c r="M344" s="768" cm="1">
        <f t="array" aca="1" ref="M344" ca="1">INDIRECT("'Definition of Typical Day'!"&amp; ADDRESS($D344+29*(M$16-1),$E344))</f>
        <v>0</v>
      </c>
      <c r="N344" s="715">
        <f t="shared" si="399"/>
        <v>3</v>
      </c>
      <c r="O344" s="715">
        <f t="shared" ca="1" si="400"/>
        <v>3</v>
      </c>
      <c r="P344" s="715" cm="1">
        <f t="array" aca="1" ref="P344" ca="1">INDIRECT("'Definition of Typical Day'!"&amp; ADDRESS($D344+29*(P$16-1),$E344))</f>
        <v>0</v>
      </c>
      <c r="Q344" s="787">
        <f t="shared" ca="1" si="401"/>
        <v>3</v>
      </c>
      <c r="R344" s="792">
        <f t="shared" ca="1" si="402"/>
        <v>3</v>
      </c>
      <c r="S344" s="769">
        <f t="shared" si="403"/>
        <v>3</v>
      </c>
      <c r="T344" s="769">
        <f t="shared" ca="1" si="404"/>
        <v>-0.5</v>
      </c>
      <c r="U344" s="769">
        <f t="shared" ca="1" si="405"/>
        <v>2.262</v>
      </c>
      <c r="V344" s="769">
        <f t="shared" ca="1" si="406"/>
        <v>0</v>
      </c>
      <c r="W344" s="769">
        <f t="shared" ca="1" si="407"/>
        <v>4.7620000000000005</v>
      </c>
      <c r="X344" s="794">
        <f t="shared" si="408"/>
        <v>3</v>
      </c>
      <c r="Y344" s="769">
        <f t="shared" ca="1" si="409"/>
        <v>0.54772255750516607</v>
      </c>
      <c r="Z344" s="769">
        <f t="shared" ca="1" si="410"/>
        <v>0</v>
      </c>
      <c r="AA344" s="795">
        <f t="shared" ca="1" si="411"/>
        <v>0</v>
      </c>
      <c r="AB344" s="769">
        <f t="shared" ca="1" si="412"/>
        <v>0</v>
      </c>
      <c r="AC344" s="769">
        <f t="shared" ca="1" si="413"/>
        <v>0</v>
      </c>
      <c r="AD344" s="769">
        <f t="shared" ca="1" si="414"/>
        <v>0</v>
      </c>
      <c r="AE344" s="794">
        <f t="shared" ca="1" si="415"/>
        <v>0</v>
      </c>
      <c r="AF344" s="769">
        <f t="shared" ca="1" si="416"/>
        <v>0</v>
      </c>
      <c r="AG344" s="769">
        <f t="shared" ca="1" si="417"/>
        <v>0</v>
      </c>
      <c r="AH344" s="799">
        <f t="shared" ca="1" si="418"/>
        <v>0</v>
      </c>
      <c r="AI344" s="801">
        <f t="shared" ca="1" si="419"/>
        <v>1</v>
      </c>
      <c r="AJ344" s="794">
        <f t="shared" ca="1" si="420"/>
        <v>0</v>
      </c>
      <c r="AK344" s="769">
        <f t="shared" ca="1" si="421"/>
        <v>0</v>
      </c>
      <c r="AL344" s="769">
        <f t="shared" ca="1" si="422"/>
        <v>0</v>
      </c>
      <c r="AM344" s="804">
        <f t="shared" ca="1" si="372"/>
        <v>0</v>
      </c>
      <c r="AN344" s="795">
        <f t="shared" ca="1" si="373"/>
        <v>0</v>
      </c>
      <c r="AO344" s="251"/>
      <c r="AP344" s="770">
        <f t="shared" si="423"/>
        <v>0</v>
      </c>
      <c r="AQ344" s="771">
        <f t="shared" ca="1" si="424"/>
        <v>0</v>
      </c>
      <c r="AR344" s="771">
        <f t="shared" ca="1" si="425"/>
        <v>0</v>
      </c>
      <c r="AS344" s="772">
        <f t="shared" ca="1" si="426"/>
        <v>0</v>
      </c>
      <c r="AT344" s="231"/>
      <c r="AU344" s="770">
        <f>'Main Results - IRR DC Operator'!$F$16</f>
        <v>2</v>
      </c>
      <c r="AV344" s="773">
        <f>'Main Results - IRR DC Operator'!$F$15</f>
        <v>1</v>
      </c>
      <c r="AW344" s="771">
        <f t="shared" ca="1" si="427"/>
        <v>0</v>
      </c>
      <c r="AX344" s="772">
        <f t="shared" si="428"/>
        <v>0</v>
      </c>
      <c r="AY344" s="231"/>
      <c r="AZ344" s="770" cm="1">
        <f t="array" aca="1" ref="AZ344" ca="1">INDIRECT("'Definition of Typical Day'!"&amp; ADDRESS($D344+29*(AZ$16-1),$E344))+$AZ$17</f>
        <v>11</v>
      </c>
      <c r="BA344" s="771" cm="1">
        <f t="array" aca="1" ref="BA344" ca="1">INDIRECT("'Definition of Typical Day'!"&amp; ADDRESS($D344+29*(BA$16-1),$E344))+$BA$17</f>
        <v>11</v>
      </c>
      <c r="BB344" s="772" cm="1">
        <f t="array" aca="1" ref="BB344" ca="1">INDIRECT("'Definition of Typical Day'!"&amp;ADDRESS(BB$16,$E344))</f>
        <v>0</v>
      </c>
      <c r="BC344" s="776" cm="1">
        <f t="array" aca="1" ref="BC344" ca="1">INDIRECT("'Definition of Typical Day'!"&amp; ADDRESS($D344+29*(BC$16-1),$E344))</f>
        <v>0</v>
      </c>
      <c r="BD344" s="777" cm="1">
        <f t="array" aca="1" ref="BD344" ca="1">INDIRECT("'Definition of Typical Day'!"&amp; ADDRESS($D344+29*(BD$16-1),$E344))</f>
        <v>0</v>
      </c>
      <c r="BE344" s="776">
        <f t="shared" si="429"/>
        <v>0</v>
      </c>
      <c r="BF344" s="771">
        <f t="shared" ca="1" si="430"/>
        <v>0</v>
      </c>
      <c r="BG344" s="771">
        <f t="shared" ca="1" si="431"/>
        <v>0</v>
      </c>
      <c r="BH344" s="771">
        <f t="shared" ca="1" si="432"/>
        <v>0</v>
      </c>
      <c r="BI344" s="776">
        <f t="shared" ca="1" si="433"/>
        <v>0</v>
      </c>
      <c r="BJ344" s="776">
        <f t="shared" ca="1" si="434"/>
        <v>0</v>
      </c>
      <c r="BK344" s="776">
        <f t="shared" ca="1" si="435"/>
        <v>0</v>
      </c>
      <c r="BL344" s="776">
        <f t="shared" ca="1" si="436"/>
        <v>0</v>
      </c>
      <c r="BM344" s="135"/>
      <c r="BN344" s="776">
        <f t="shared" ca="1" si="437"/>
        <v>0</v>
      </c>
      <c r="BO344" s="778">
        <f t="shared" ca="1" si="374"/>
        <v>0</v>
      </c>
      <c r="BP344" s="770">
        <f t="shared" ca="1" si="375"/>
        <v>0</v>
      </c>
      <c r="BQ344" s="771">
        <f t="shared" ca="1" si="376"/>
        <v>0</v>
      </c>
      <c r="BR344" s="771">
        <f t="shared" ca="1" si="377"/>
        <v>0</v>
      </c>
      <c r="BS344" s="776">
        <f t="shared" ca="1" si="438"/>
        <v>0</v>
      </c>
      <c r="BT344" s="776">
        <f t="shared" ca="1" si="378"/>
        <v>0</v>
      </c>
      <c r="BU344" s="783">
        <f t="shared" ca="1" si="379"/>
        <v>0</v>
      </c>
      <c r="BV344" s="783">
        <f t="shared" ca="1" si="380"/>
        <v>0</v>
      </c>
      <c r="BW344" s="1019">
        <f t="shared" ca="1" si="439"/>
        <v>0</v>
      </c>
      <c r="BX344" s="771" cm="1">
        <f t="array" aca="1" ref="BX344" ca="1">INDIRECT("'Definition of Typical Day'!"&amp; ADDRESS($D344+29*(BX$16-1),$E344))</f>
        <v>0</v>
      </c>
      <c r="BY344" s="771">
        <f t="shared" ca="1" si="440"/>
        <v>0</v>
      </c>
      <c r="BZ344" s="781">
        <f t="shared" ca="1" si="381"/>
        <v>0</v>
      </c>
      <c r="CA344" s="781">
        <f t="shared" ca="1" si="382"/>
        <v>0</v>
      </c>
      <c r="CB344" s="776">
        <f t="shared" ca="1" si="383"/>
        <v>0</v>
      </c>
      <c r="CC344" s="782">
        <f t="shared" si="384"/>
        <v>14</v>
      </c>
      <c r="CD344" s="782">
        <f t="shared" si="385"/>
        <v>12</v>
      </c>
      <c r="CE344" s="784" cm="1">
        <f t="array" aca="1" ref="CE344" ca="1">INDIRECT("'Definition of Typical Day'!"&amp;ADDRESS(CE$16,$E344))</f>
        <v>14</v>
      </c>
      <c r="CF344" s="232"/>
      <c r="CG344" s="232"/>
      <c r="CH344" s="776">
        <f t="shared" ca="1" si="386"/>
        <v>0</v>
      </c>
      <c r="CI344" s="806">
        <f t="shared" ca="1" si="387"/>
        <v>0</v>
      </c>
      <c r="CJ344" s="770">
        <f t="shared" ca="1" si="388"/>
        <v>0</v>
      </c>
      <c r="CK344" s="771">
        <f t="shared" ca="1" si="389"/>
        <v>0</v>
      </c>
      <c r="CL344" s="771">
        <f t="shared" ca="1" si="390"/>
        <v>0</v>
      </c>
      <c r="CM344" s="772">
        <f t="shared" ca="1" si="391"/>
        <v>0</v>
      </c>
      <c r="CN344" s="135"/>
      <c r="CO344" s="770">
        <f t="shared" ca="1" si="368"/>
        <v>1.05</v>
      </c>
      <c r="CP344" s="771">
        <f t="shared" ca="1" si="392"/>
        <v>0.02</v>
      </c>
      <c r="CQ344" s="771">
        <f t="shared" ca="1" si="393"/>
        <v>-2.5000000000000001E-2</v>
      </c>
      <c r="CR344" s="771">
        <f t="shared" ca="1" si="394"/>
        <v>0.95</v>
      </c>
      <c r="CS344" s="771">
        <f t="shared" ca="1" si="395"/>
        <v>0.03</v>
      </c>
      <c r="CT344" s="772">
        <f t="shared" ca="1" si="396"/>
        <v>0.02</v>
      </c>
      <c r="CU344" s="135"/>
      <c r="CV344" s="135"/>
      <c r="CW344" s="135"/>
      <c r="CX344" s="135"/>
      <c r="CY344" s="135"/>
      <c r="CZ344" s="135"/>
      <c r="DA344" s="135"/>
      <c r="DB344" s="135"/>
      <c r="DC344" s="135"/>
      <c r="DD344" s="135"/>
      <c r="DE344" s="135"/>
      <c r="DF344" s="135"/>
      <c r="DG344" s="135"/>
      <c r="DH344" s="135"/>
      <c r="DI344" s="135"/>
      <c r="DJ344" s="135"/>
      <c r="DK344" s="135"/>
      <c r="DL344" s="135"/>
      <c r="DX344" s="135"/>
      <c r="DY344" s="135"/>
      <c r="DZ344" s="135"/>
      <c r="EA344" s="135"/>
      <c r="EB344" s="135"/>
      <c r="EC344" s="135"/>
      <c r="ED344" s="135"/>
      <c r="EE344" s="135"/>
      <c r="EF344" s="135"/>
      <c r="EG344" s="135"/>
      <c r="EH344" s="135"/>
      <c r="EI344" s="135"/>
      <c r="EJ344" s="135"/>
      <c r="EK344" s="135"/>
      <c r="EL344" s="135"/>
      <c r="EM344" s="135"/>
      <c r="EN344" s="135"/>
      <c r="EO344" s="135"/>
      <c r="EP344" s="135"/>
      <c r="EQ344" s="135"/>
      <c r="ER344" s="135"/>
      <c r="ES344" s="135"/>
      <c r="ET344" s="135"/>
      <c r="EU344" s="135"/>
      <c r="EV344" s="135"/>
      <c r="EW344" s="135"/>
      <c r="EX344" s="135"/>
      <c r="EY344" s="135"/>
      <c r="EZ344" s="135"/>
      <c r="FA344" s="135"/>
      <c r="FB344" s="135"/>
      <c r="FC344" s="135"/>
      <c r="FD344" s="135"/>
      <c r="FE344" s="135"/>
      <c r="FF344" s="135"/>
      <c r="FG344" s="135"/>
    </row>
    <row r="345" spans="1:163" s="57" customFormat="1" ht="11.25" outlineLevel="1">
      <c r="A345" s="765">
        <f t="shared" si="369"/>
        <v>14</v>
      </c>
      <c r="B345" s="715" cm="1">
        <f t="array" aca="1" ref="B345" ca="1">INDIRECT("'Definition of Typical Day'!"&amp;ADDRESS(B$16,$E345))</f>
        <v>14</v>
      </c>
      <c r="C345" s="766">
        <f t="shared" si="370"/>
        <v>13</v>
      </c>
      <c r="D345" s="715">
        <f t="shared" si="370"/>
        <v>47</v>
      </c>
      <c r="E345" s="715">
        <f t="shared" si="371"/>
        <v>18</v>
      </c>
      <c r="F345" s="767" cm="1">
        <f t="array" aca="1" ref="F345" ca="1">INDIRECT("'Definition of Typical Day'!D"&amp;D345)</f>
        <v>13</v>
      </c>
      <c r="G345" s="767" cm="1">
        <f t="array" aca="1" ref="G345" ca="1">INDIRECT("'Definition of Typical Day'!"&amp;ADDRESS(13,E345))</f>
        <v>14</v>
      </c>
      <c r="H345" s="768" cm="1">
        <f t="array" aca="1" ref="H345" ca="1">INDIRECT("'Definition of Typical Day'!"&amp; ADDRESS($D345+28*(H$16-1),$E345))</f>
        <v>0</v>
      </c>
      <c r="I345" s="715" cm="1">
        <f t="array" aca="1" ref="I345" ca="1">INDIRECT("'Definition of Typical Day'!"&amp; ADDRESS($D345+29*(I$16-1),$E345))</f>
        <v>0</v>
      </c>
      <c r="J345" s="715">
        <f t="shared" ca="1" si="397"/>
        <v>0</v>
      </c>
      <c r="K345" s="785">
        <f t="shared" si="398"/>
        <v>28</v>
      </c>
      <c r="L345" s="786" cm="1">
        <f t="array" aca="1" ref="L345" ca="1">INDIRECT("'Definition of Typical Day'!"&amp; ADDRESS($D345+29*(L$16-1),$E345))</f>
        <v>0</v>
      </c>
      <c r="M345" s="768" cm="1">
        <f t="array" aca="1" ref="M345" ca="1">INDIRECT("'Definition of Typical Day'!"&amp; ADDRESS($D345+29*(M$16-1),$E345))</f>
        <v>0</v>
      </c>
      <c r="N345" s="715">
        <f t="shared" si="399"/>
        <v>3</v>
      </c>
      <c r="O345" s="715">
        <f t="shared" ca="1" si="400"/>
        <v>3</v>
      </c>
      <c r="P345" s="715" cm="1">
        <f t="array" aca="1" ref="P345" ca="1">INDIRECT("'Definition of Typical Day'!"&amp; ADDRESS($D345+29*(P$16-1),$E345))</f>
        <v>0</v>
      </c>
      <c r="Q345" s="787">
        <f t="shared" ca="1" si="401"/>
        <v>3</v>
      </c>
      <c r="R345" s="792">
        <f t="shared" ca="1" si="402"/>
        <v>3</v>
      </c>
      <c r="S345" s="769">
        <f t="shared" si="403"/>
        <v>3</v>
      </c>
      <c r="T345" s="769">
        <f t="shared" ca="1" si="404"/>
        <v>-0.5</v>
      </c>
      <c r="U345" s="769">
        <f t="shared" ca="1" si="405"/>
        <v>2.262</v>
      </c>
      <c r="V345" s="769">
        <f t="shared" ca="1" si="406"/>
        <v>0</v>
      </c>
      <c r="W345" s="769">
        <f t="shared" ca="1" si="407"/>
        <v>4.7620000000000005</v>
      </c>
      <c r="X345" s="794">
        <f t="shared" si="408"/>
        <v>3</v>
      </c>
      <c r="Y345" s="769">
        <f t="shared" ca="1" si="409"/>
        <v>0.54772255750516607</v>
      </c>
      <c r="Z345" s="769">
        <f t="shared" ca="1" si="410"/>
        <v>0</v>
      </c>
      <c r="AA345" s="795">
        <f t="shared" ca="1" si="411"/>
        <v>0</v>
      </c>
      <c r="AB345" s="769">
        <f t="shared" ca="1" si="412"/>
        <v>0</v>
      </c>
      <c r="AC345" s="769">
        <f t="shared" ca="1" si="413"/>
        <v>0</v>
      </c>
      <c r="AD345" s="769">
        <f t="shared" ca="1" si="414"/>
        <v>0</v>
      </c>
      <c r="AE345" s="794">
        <f t="shared" ca="1" si="415"/>
        <v>0</v>
      </c>
      <c r="AF345" s="769">
        <f t="shared" ca="1" si="416"/>
        <v>0</v>
      </c>
      <c r="AG345" s="769">
        <f t="shared" ca="1" si="417"/>
        <v>0</v>
      </c>
      <c r="AH345" s="799">
        <f t="shared" ca="1" si="418"/>
        <v>0</v>
      </c>
      <c r="AI345" s="801">
        <f t="shared" ca="1" si="419"/>
        <v>1</v>
      </c>
      <c r="AJ345" s="794">
        <f t="shared" ca="1" si="420"/>
        <v>0</v>
      </c>
      <c r="AK345" s="769">
        <f t="shared" ca="1" si="421"/>
        <v>0</v>
      </c>
      <c r="AL345" s="769">
        <f t="shared" ca="1" si="422"/>
        <v>0</v>
      </c>
      <c r="AM345" s="804">
        <f t="shared" ca="1" si="372"/>
        <v>0</v>
      </c>
      <c r="AN345" s="795">
        <f t="shared" ca="1" si="373"/>
        <v>0</v>
      </c>
      <c r="AO345" s="251"/>
      <c r="AP345" s="770">
        <f t="shared" si="423"/>
        <v>0</v>
      </c>
      <c r="AQ345" s="771">
        <f t="shared" ca="1" si="424"/>
        <v>0</v>
      </c>
      <c r="AR345" s="771">
        <f t="shared" ca="1" si="425"/>
        <v>0</v>
      </c>
      <c r="AS345" s="772">
        <f t="shared" ca="1" si="426"/>
        <v>0</v>
      </c>
      <c r="AT345" s="231"/>
      <c r="AU345" s="770">
        <f>'Main Results - IRR DC Operator'!$F$16</f>
        <v>2</v>
      </c>
      <c r="AV345" s="773">
        <f>'Main Results - IRR DC Operator'!$F$15</f>
        <v>1</v>
      </c>
      <c r="AW345" s="771">
        <f t="shared" ca="1" si="427"/>
        <v>0</v>
      </c>
      <c r="AX345" s="772">
        <f t="shared" si="428"/>
        <v>0</v>
      </c>
      <c r="AY345" s="231"/>
      <c r="AZ345" s="770" cm="1">
        <f t="array" aca="1" ref="AZ345" ca="1">INDIRECT("'Definition of Typical Day'!"&amp; ADDRESS($D345+29*(AZ$16-1),$E345))+$AZ$17</f>
        <v>11</v>
      </c>
      <c r="BA345" s="771" cm="1">
        <f t="array" aca="1" ref="BA345" ca="1">INDIRECT("'Definition of Typical Day'!"&amp; ADDRESS($D345+29*(BA$16-1),$E345))+$BA$17</f>
        <v>11</v>
      </c>
      <c r="BB345" s="772" cm="1">
        <f t="array" aca="1" ref="BB345" ca="1">INDIRECT("'Definition of Typical Day'!"&amp;ADDRESS(BB$16,$E345))</f>
        <v>0</v>
      </c>
      <c r="BC345" s="776" cm="1">
        <f t="array" aca="1" ref="BC345" ca="1">INDIRECT("'Definition of Typical Day'!"&amp; ADDRESS($D345+29*(BC$16-1),$E345))</f>
        <v>0</v>
      </c>
      <c r="BD345" s="777" cm="1">
        <f t="array" aca="1" ref="BD345" ca="1">INDIRECT("'Definition of Typical Day'!"&amp; ADDRESS($D345+29*(BD$16-1),$E345))</f>
        <v>0</v>
      </c>
      <c r="BE345" s="776">
        <f t="shared" si="429"/>
        <v>0</v>
      </c>
      <c r="BF345" s="771">
        <f t="shared" ca="1" si="430"/>
        <v>0</v>
      </c>
      <c r="BG345" s="771">
        <f t="shared" ca="1" si="431"/>
        <v>0</v>
      </c>
      <c r="BH345" s="771">
        <f t="shared" ca="1" si="432"/>
        <v>0</v>
      </c>
      <c r="BI345" s="776">
        <f t="shared" ca="1" si="433"/>
        <v>0</v>
      </c>
      <c r="BJ345" s="776">
        <f t="shared" ca="1" si="434"/>
        <v>0</v>
      </c>
      <c r="BK345" s="776">
        <f t="shared" ca="1" si="435"/>
        <v>0</v>
      </c>
      <c r="BL345" s="776">
        <f t="shared" ca="1" si="436"/>
        <v>0</v>
      </c>
      <c r="BM345" s="135"/>
      <c r="BN345" s="776">
        <f t="shared" ca="1" si="437"/>
        <v>0</v>
      </c>
      <c r="BO345" s="778">
        <f t="shared" ca="1" si="374"/>
        <v>0</v>
      </c>
      <c r="BP345" s="770">
        <f t="shared" ca="1" si="375"/>
        <v>0</v>
      </c>
      <c r="BQ345" s="771">
        <f t="shared" ca="1" si="376"/>
        <v>0</v>
      </c>
      <c r="BR345" s="771">
        <f t="shared" ca="1" si="377"/>
        <v>0</v>
      </c>
      <c r="BS345" s="776">
        <f t="shared" ca="1" si="438"/>
        <v>0</v>
      </c>
      <c r="BT345" s="776">
        <f t="shared" ca="1" si="378"/>
        <v>0</v>
      </c>
      <c r="BU345" s="783">
        <f t="shared" ca="1" si="379"/>
        <v>0</v>
      </c>
      <c r="BV345" s="783">
        <f t="shared" ca="1" si="380"/>
        <v>0</v>
      </c>
      <c r="BW345" s="1019">
        <f t="shared" ca="1" si="439"/>
        <v>0</v>
      </c>
      <c r="BX345" s="771" cm="1">
        <f t="array" aca="1" ref="BX345" ca="1">INDIRECT("'Definition of Typical Day'!"&amp; ADDRESS($D345+29*(BX$16-1),$E345))</f>
        <v>0</v>
      </c>
      <c r="BY345" s="771">
        <f t="shared" ca="1" si="440"/>
        <v>0</v>
      </c>
      <c r="BZ345" s="781">
        <f t="shared" ca="1" si="381"/>
        <v>0</v>
      </c>
      <c r="CA345" s="781">
        <f t="shared" ca="1" si="382"/>
        <v>0</v>
      </c>
      <c r="CB345" s="776">
        <f t="shared" ca="1" si="383"/>
        <v>0</v>
      </c>
      <c r="CC345" s="782">
        <f t="shared" si="384"/>
        <v>14</v>
      </c>
      <c r="CD345" s="782">
        <f t="shared" si="385"/>
        <v>13</v>
      </c>
      <c r="CE345" s="784" cm="1">
        <f t="array" aca="1" ref="CE345" ca="1">INDIRECT("'Definition of Typical Day'!"&amp;ADDRESS(CE$16,$E345))</f>
        <v>14</v>
      </c>
      <c r="CF345" s="232"/>
      <c r="CG345" s="232"/>
      <c r="CH345" s="776">
        <f t="shared" ca="1" si="386"/>
        <v>0</v>
      </c>
      <c r="CI345" s="806">
        <f t="shared" ca="1" si="387"/>
        <v>0</v>
      </c>
      <c r="CJ345" s="770">
        <f t="shared" ca="1" si="388"/>
        <v>0</v>
      </c>
      <c r="CK345" s="771">
        <f t="shared" ca="1" si="389"/>
        <v>0</v>
      </c>
      <c r="CL345" s="771">
        <f t="shared" ca="1" si="390"/>
        <v>0</v>
      </c>
      <c r="CM345" s="772">
        <f t="shared" ca="1" si="391"/>
        <v>0</v>
      </c>
      <c r="CN345" s="135"/>
      <c r="CO345" s="770">
        <f t="shared" ca="1" si="368"/>
        <v>1.05</v>
      </c>
      <c r="CP345" s="771">
        <f t="shared" ca="1" si="392"/>
        <v>0.02</v>
      </c>
      <c r="CQ345" s="771">
        <f t="shared" ca="1" si="393"/>
        <v>-2.5000000000000001E-2</v>
      </c>
      <c r="CR345" s="771">
        <f t="shared" ca="1" si="394"/>
        <v>0.95</v>
      </c>
      <c r="CS345" s="771">
        <f t="shared" ca="1" si="395"/>
        <v>0.03</v>
      </c>
      <c r="CT345" s="772">
        <f t="shared" ca="1" si="396"/>
        <v>0.02</v>
      </c>
      <c r="CU345" s="135"/>
      <c r="CV345" s="135"/>
      <c r="CW345" s="135"/>
      <c r="CX345" s="135"/>
      <c r="CY345" s="135"/>
      <c r="CZ345" s="135"/>
      <c r="DA345" s="135"/>
      <c r="DB345" s="135"/>
      <c r="DC345" s="135"/>
      <c r="DD345" s="135"/>
      <c r="DE345" s="135"/>
      <c r="DF345" s="135"/>
      <c r="DG345" s="135"/>
      <c r="DH345" s="135"/>
      <c r="DI345" s="135"/>
      <c r="DJ345" s="135"/>
      <c r="DK345" s="135"/>
      <c r="DL345" s="135"/>
      <c r="DX345" s="135"/>
      <c r="DY345" s="135"/>
      <c r="DZ345" s="135"/>
      <c r="EA345" s="135"/>
      <c r="EB345" s="135"/>
      <c r="EC345" s="135"/>
      <c r="ED345" s="135"/>
      <c r="EE345" s="135"/>
      <c r="EF345" s="135"/>
      <c r="EG345" s="135"/>
      <c r="EH345" s="135"/>
      <c r="EI345" s="135"/>
      <c r="EJ345" s="135"/>
      <c r="EK345" s="135"/>
      <c r="EL345" s="135"/>
      <c r="EM345" s="135"/>
      <c r="EN345" s="135"/>
      <c r="EO345" s="135"/>
      <c r="EP345" s="135"/>
      <c r="EQ345" s="135"/>
      <c r="ER345" s="135"/>
      <c r="ES345" s="135"/>
      <c r="ET345" s="135"/>
      <c r="EU345" s="135"/>
      <c r="EV345" s="135"/>
      <c r="EW345" s="135"/>
      <c r="EX345" s="135"/>
      <c r="EY345" s="135"/>
      <c r="EZ345" s="135"/>
      <c r="FA345" s="135"/>
      <c r="FB345" s="135"/>
      <c r="FC345" s="135"/>
      <c r="FD345" s="135"/>
      <c r="FE345" s="135"/>
      <c r="FF345" s="135"/>
      <c r="FG345" s="135"/>
    </row>
    <row r="346" spans="1:163" s="57" customFormat="1" ht="11.25" outlineLevel="1">
      <c r="A346" s="765">
        <f t="shared" si="369"/>
        <v>14</v>
      </c>
      <c r="B346" s="715" cm="1">
        <f t="array" aca="1" ref="B346" ca="1">INDIRECT("'Definition of Typical Day'!"&amp;ADDRESS(B$16,$E346))</f>
        <v>14</v>
      </c>
      <c r="C346" s="766">
        <f t="shared" si="370"/>
        <v>14</v>
      </c>
      <c r="D346" s="715">
        <f t="shared" si="370"/>
        <v>48</v>
      </c>
      <c r="E346" s="715">
        <f t="shared" si="371"/>
        <v>18</v>
      </c>
      <c r="F346" s="767" cm="1">
        <f t="array" aca="1" ref="F346" ca="1">INDIRECT("'Definition of Typical Day'!D"&amp;D346)</f>
        <v>14</v>
      </c>
      <c r="G346" s="767" cm="1">
        <f t="array" aca="1" ref="G346" ca="1">INDIRECT("'Definition of Typical Day'!"&amp;ADDRESS(13,E346))</f>
        <v>14</v>
      </c>
      <c r="H346" s="768" cm="1">
        <f t="array" aca="1" ref="H346" ca="1">INDIRECT("'Definition of Typical Day'!"&amp; ADDRESS($D346+28*(H$16-1),$E346))</f>
        <v>0</v>
      </c>
      <c r="I346" s="715" cm="1">
        <f t="array" aca="1" ref="I346" ca="1">INDIRECT("'Definition of Typical Day'!"&amp; ADDRESS($D346+29*(I$16-1),$E346))</f>
        <v>0</v>
      </c>
      <c r="J346" s="715">
        <f t="shared" ca="1" si="397"/>
        <v>0</v>
      </c>
      <c r="K346" s="785">
        <f t="shared" si="398"/>
        <v>28</v>
      </c>
      <c r="L346" s="786" cm="1">
        <f t="array" aca="1" ref="L346" ca="1">INDIRECT("'Definition of Typical Day'!"&amp; ADDRESS($D346+29*(L$16-1),$E346))</f>
        <v>0</v>
      </c>
      <c r="M346" s="768" cm="1">
        <f t="array" aca="1" ref="M346" ca="1">INDIRECT("'Definition of Typical Day'!"&amp; ADDRESS($D346+29*(M$16-1),$E346))</f>
        <v>0</v>
      </c>
      <c r="N346" s="715">
        <f t="shared" si="399"/>
        <v>3</v>
      </c>
      <c r="O346" s="715">
        <f t="shared" ca="1" si="400"/>
        <v>3</v>
      </c>
      <c r="P346" s="715" cm="1">
        <f t="array" aca="1" ref="P346" ca="1">INDIRECT("'Definition of Typical Day'!"&amp; ADDRESS($D346+29*(P$16-1),$E346))</f>
        <v>0</v>
      </c>
      <c r="Q346" s="787">
        <f t="shared" ca="1" si="401"/>
        <v>3</v>
      </c>
      <c r="R346" s="792">
        <f t="shared" ca="1" si="402"/>
        <v>3</v>
      </c>
      <c r="S346" s="769">
        <f t="shared" si="403"/>
        <v>3</v>
      </c>
      <c r="T346" s="769">
        <f t="shared" ca="1" si="404"/>
        <v>-0.5</v>
      </c>
      <c r="U346" s="769">
        <f t="shared" ca="1" si="405"/>
        <v>2.262</v>
      </c>
      <c r="V346" s="769">
        <f t="shared" ca="1" si="406"/>
        <v>0</v>
      </c>
      <c r="W346" s="769">
        <f t="shared" ca="1" si="407"/>
        <v>4.7620000000000005</v>
      </c>
      <c r="X346" s="794">
        <f t="shared" si="408"/>
        <v>3</v>
      </c>
      <c r="Y346" s="769">
        <f t="shared" ca="1" si="409"/>
        <v>0.54772255750516607</v>
      </c>
      <c r="Z346" s="769">
        <f t="shared" ca="1" si="410"/>
        <v>0</v>
      </c>
      <c r="AA346" s="795">
        <f t="shared" ca="1" si="411"/>
        <v>0</v>
      </c>
      <c r="AB346" s="769">
        <f t="shared" ca="1" si="412"/>
        <v>0</v>
      </c>
      <c r="AC346" s="769">
        <f t="shared" ca="1" si="413"/>
        <v>0</v>
      </c>
      <c r="AD346" s="769">
        <f t="shared" ca="1" si="414"/>
        <v>0</v>
      </c>
      <c r="AE346" s="794">
        <f t="shared" ca="1" si="415"/>
        <v>0</v>
      </c>
      <c r="AF346" s="769">
        <f t="shared" ca="1" si="416"/>
        <v>0</v>
      </c>
      <c r="AG346" s="769">
        <f t="shared" ca="1" si="417"/>
        <v>0</v>
      </c>
      <c r="AH346" s="799">
        <f t="shared" ca="1" si="418"/>
        <v>0</v>
      </c>
      <c r="AI346" s="801">
        <f t="shared" ca="1" si="419"/>
        <v>1</v>
      </c>
      <c r="AJ346" s="794">
        <f t="shared" ca="1" si="420"/>
        <v>0</v>
      </c>
      <c r="AK346" s="769">
        <f t="shared" ca="1" si="421"/>
        <v>0</v>
      </c>
      <c r="AL346" s="769">
        <f t="shared" ca="1" si="422"/>
        <v>0</v>
      </c>
      <c r="AM346" s="804">
        <f t="shared" ca="1" si="372"/>
        <v>0</v>
      </c>
      <c r="AN346" s="795">
        <f t="shared" ca="1" si="373"/>
        <v>0</v>
      </c>
      <c r="AO346" s="251"/>
      <c r="AP346" s="770">
        <f t="shared" si="423"/>
        <v>0</v>
      </c>
      <c r="AQ346" s="771">
        <f t="shared" ca="1" si="424"/>
        <v>0</v>
      </c>
      <c r="AR346" s="771">
        <f t="shared" ca="1" si="425"/>
        <v>0</v>
      </c>
      <c r="AS346" s="772">
        <f t="shared" ca="1" si="426"/>
        <v>0</v>
      </c>
      <c r="AT346" s="231"/>
      <c r="AU346" s="770">
        <f>'Main Results - IRR DC Operator'!$F$16</f>
        <v>2</v>
      </c>
      <c r="AV346" s="773">
        <f>'Main Results - IRR DC Operator'!$F$15</f>
        <v>1</v>
      </c>
      <c r="AW346" s="771">
        <f t="shared" ca="1" si="427"/>
        <v>0</v>
      </c>
      <c r="AX346" s="772">
        <f t="shared" si="428"/>
        <v>0</v>
      </c>
      <c r="AY346" s="231"/>
      <c r="AZ346" s="770" cm="1">
        <f t="array" aca="1" ref="AZ346" ca="1">INDIRECT("'Definition of Typical Day'!"&amp; ADDRESS($D346+29*(AZ$16-1),$E346))+$AZ$17</f>
        <v>11</v>
      </c>
      <c r="BA346" s="771" cm="1">
        <f t="array" aca="1" ref="BA346" ca="1">INDIRECT("'Definition of Typical Day'!"&amp; ADDRESS($D346+29*(BA$16-1),$E346))+$BA$17</f>
        <v>11</v>
      </c>
      <c r="BB346" s="772" cm="1">
        <f t="array" aca="1" ref="BB346" ca="1">INDIRECT("'Definition of Typical Day'!"&amp;ADDRESS(BB$16,$E346))</f>
        <v>0</v>
      </c>
      <c r="BC346" s="776" cm="1">
        <f t="array" aca="1" ref="BC346" ca="1">INDIRECT("'Definition of Typical Day'!"&amp; ADDRESS($D346+29*(BC$16-1),$E346))</f>
        <v>0</v>
      </c>
      <c r="BD346" s="777" cm="1">
        <f t="array" aca="1" ref="BD346" ca="1">INDIRECT("'Definition of Typical Day'!"&amp; ADDRESS($D346+29*(BD$16-1),$E346))</f>
        <v>0</v>
      </c>
      <c r="BE346" s="776">
        <f t="shared" si="429"/>
        <v>0</v>
      </c>
      <c r="BF346" s="771">
        <f t="shared" ca="1" si="430"/>
        <v>0</v>
      </c>
      <c r="BG346" s="771">
        <f t="shared" ca="1" si="431"/>
        <v>0</v>
      </c>
      <c r="BH346" s="771">
        <f t="shared" ca="1" si="432"/>
        <v>0</v>
      </c>
      <c r="BI346" s="776">
        <f t="shared" ca="1" si="433"/>
        <v>0</v>
      </c>
      <c r="BJ346" s="776">
        <f t="shared" ca="1" si="434"/>
        <v>0</v>
      </c>
      <c r="BK346" s="776">
        <f t="shared" ca="1" si="435"/>
        <v>0</v>
      </c>
      <c r="BL346" s="776">
        <f t="shared" ca="1" si="436"/>
        <v>0</v>
      </c>
      <c r="BM346" s="135"/>
      <c r="BN346" s="776">
        <f t="shared" ca="1" si="437"/>
        <v>0</v>
      </c>
      <c r="BO346" s="778">
        <f t="shared" ca="1" si="374"/>
        <v>0</v>
      </c>
      <c r="BP346" s="770">
        <f t="shared" ca="1" si="375"/>
        <v>0</v>
      </c>
      <c r="BQ346" s="771">
        <f t="shared" ca="1" si="376"/>
        <v>0</v>
      </c>
      <c r="BR346" s="771">
        <f t="shared" ca="1" si="377"/>
        <v>0</v>
      </c>
      <c r="BS346" s="776">
        <f t="shared" ca="1" si="438"/>
        <v>0</v>
      </c>
      <c r="BT346" s="776">
        <f t="shared" ca="1" si="378"/>
        <v>0</v>
      </c>
      <c r="BU346" s="783">
        <f t="shared" ca="1" si="379"/>
        <v>0</v>
      </c>
      <c r="BV346" s="783">
        <f t="shared" ca="1" si="380"/>
        <v>0</v>
      </c>
      <c r="BW346" s="1019">
        <f t="shared" ca="1" si="439"/>
        <v>0</v>
      </c>
      <c r="BX346" s="771" cm="1">
        <f t="array" aca="1" ref="BX346" ca="1">INDIRECT("'Definition of Typical Day'!"&amp; ADDRESS($D346+29*(BX$16-1),$E346))</f>
        <v>0</v>
      </c>
      <c r="BY346" s="771">
        <f t="shared" ca="1" si="440"/>
        <v>0</v>
      </c>
      <c r="BZ346" s="781">
        <f t="shared" ca="1" si="381"/>
        <v>0</v>
      </c>
      <c r="CA346" s="781">
        <f t="shared" ca="1" si="382"/>
        <v>0</v>
      </c>
      <c r="CB346" s="776">
        <f t="shared" ca="1" si="383"/>
        <v>0</v>
      </c>
      <c r="CC346" s="782">
        <f t="shared" si="384"/>
        <v>14</v>
      </c>
      <c r="CD346" s="782">
        <f t="shared" si="385"/>
        <v>14</v>
      </c>
      <c r="CE346" s="784" cm="1">
        <f t="array" aca="1" ref="CE346" ca="1">INDIRECT("'Definition of Typical Day'!"&amp;ADDRESS(CE$16,$E346))</f>
        <v>14</v>
      </c>
      <c r="CF346" s="232"/>
      <c r="CG346" s="232"/>
      <c r="CH346" s="776">
        <f t="shared" ca="1" si="386"/>
        <v>0</v>
      </c>
      <c r="CI346" s="806">
        <f t="shared" ca="1" si="387"/>
        <v>0</v>
      </c>
      <c r="CJ346" s="770">
        <f t="shared" ca="1" si="388"/>
        <v>0</v>
      </c>
      <c r="CK346" s="771">
        <f t="shared" ca="1" si="389"/>
        <v>0</v>
      </c>
      <c r="CL346" s="771">
        <f t="shared" ca="1" si="390"/>
        <v>0</v>
      </c>
      <c r="CM346" s="772">
        <f t="shared" ca="1" si="391"/>
        <v>0</v>
      </c>
      <c r="CN346" s="135"/>
      <c r="CO346" s="770">
        <f t="shared" ca="1" si="368"/>
        <v>1.05</v>
      </c>
      <c r="CP346" s="771">
        <f t="shared" ca="1" si="392"/>
        <v>0.02</v>
      </c>
      <c r="CQ346" s="771">
        <f t="shared" ca="1" si="393"/>
        <v>-2.5000000000000001E-2</v>
      </c>
      <c r="CR346" s="771">
        <f t="shared" ca="1" si="394"/>
        <v>0.95</v>
      </c>
      <c r="CS346" s="771">
        <f t="shared" ca="1" si="395"/>
        <v>0.03</v>
      </c>
      <c r="CT346" s="772">
        <f t="shared" ca="1" si="396"/>
        <v>0.02</v>
      </c>
      <c r="CU346" s="135"/>
      <c r="CV346" s="135"/>
      <c r="CW346" s="135"/>
      <c r="CX346" s="135"/>
      <c r="CY346" s="135"/>
      <c r="CZ346" s="135"/>
      <c r="DA346" s="135"/>
      <c r="DB346" s="135"/>
      <c r="DC346" s="135"/>
      <c r="DD346" s="135"/>
      <c r="DE346" s="135"/>
      <c r="DF346" s="135"/>
      <c r="DG346" s="135"/>
      <c r="DH346" s="135"/>
      <c r="DI346" s="135"/>
      <c r="DJ346" s="135"/>
      <c r="DK346" s="135"/>
      <c r="DL346" s="135"/>
      <c r="DX346" s="135"/>
      <c r="DY346" s="135"/>
      <c r="DZ346" s="135"/>
      <c r="EA346" s="135"/>
      <c r="EB346" s="135"/>
      <c r="EC346" s="135"/>
      <c r="ED346" s="135"/>
      <c r="EE346" s="135"/>
      <c r="EF346" s="135"/>
      <c r="EG346" s="135"/>
      <c r="EH346" s="135"/>
      <c r="EI346" s="135"/>
      <c r="EJ346" s="135"/>
      <c r="EK346" s="135"/>
      <c r="EL346" s="135"/>
      <c r="EM346" s="135"/>
      <c r="EN346" s="135"/>
      <c r="EO346" s="135"/>
      <c r="EP346" s="135"/>
      <c r="EQ346" s="135"/>
      <c r="ER346" s="135"/>
      <c r="ES346" s="135"/>
      <c r="ET346" s="135"/>
      <c r="EU346" s="135"/>
      <c r="EV346" s="135"/>
      <c r="EW346" s="135"/>
      <c r="EX346" s="135"/>
      <c r="EY346" s="135"/>
      <c r="EZ346" s="135"/>
      <c r="FA346" s="135"/>
      <c r="FB346" s="135"/>
      <c r="FC346" s="135"/>
      <c r="FD346" s="135"/>
      <c r="FE346" s="135"/>
      <c r="FF346" s="135"/>
      <c r="FG346" s="135"/>
    </row>
    <row r="347" spans="1:163" s="57" customFormat="1" ht="11.25" outlineLevel="1">
      <c r="A347" s="765">
        <f t="shared" si="369"/>
        <v>14</v>
      </c>
      <c r="B347" s="715" cm="1">
        <f t="array" aca="1" ref="B347" ca="1">INDIRECT("'Definition of Typical Day'!"&amp;ADDRESS(B$16,$E347))</f>
        <v>14</v>
      </c>
      <c r="C347" s="766">
        <f t="shared" si="370"/>
        <v>15</v>
      </c>
      <c r="D347" s="715">
        <f t="shared" si="370"/>
        <v>49</v>
      </c>
      <c r="E347" s="715">
        <f t="shared" si="371"/>
        <v>18</v>
      </c>
      <c r="F347" s="767" cm="1">
        <f t="array" aca="1" ref="F347" ca="1">INDIRECT("'Definition of Typical Day'!D"&amp;D347)</f>
        <v>15</v>
      </c>
      <c r="G347" s="767" cm="1">
        <f t="array" aca="1" ref="G347" ca="1">INDIRECT("'Definition of Typical Day'!"&amp;ADDRESS(13,E347))</f>
        <v>14</v>
      </c>
      <c r="H347" s="768" cm="1">
        <f t="array" aca="1" ref="H347" ca="1">INDIRECT("'Definition of Typical Day'!"&amp; ADDRESS($D347+28*(H$16-1),$E347))</f>
        <v>0</v>
      </c>
      <c r="I347" s="715" cm="1">
        <f t="array" aca="1" ref="I347" ca="1">INDIRECT("'Definition of Typical Day'!"&amp; ADDRESS($D347+29*(I$16-1),$E347))</f>
        <v>0</v>
      </c>
      <c r="J347" s="715">
        <f t="shared" ca="1" si="397"/>
        <v>0</v>
      </c>
      <c r="K347" s="785">
        <f t="shared" si="398"/>
        <v>28</v>
      </c>
      <c r="L347" s="786" cm="1">
        <f t="array" aca="1" ref="L347" ca="1">INDIRECT("'Definition of Typical Day'!"&amp; ADDRESS($D347+29*(L$16-1),$E347))</f>
        <v>0</v>
      </c>
      <c r="M347" s="768" cm="1">
        <f t="array" aca="1" ref="M347" ca="1">INDIRECT("'Definition of Typical Day'!"&amp; ADDRESS($D347+29*(M$16-1),$E347))</f>
        <v>0</v>
      </c>
      <c r="N347" s="715">
        <f t="shared" si="399"/>
        <v>3</v>
      </c>
      <c r="O347" s="715">
        <f t="shared" ca="1" si="400"/>
        <v>3</v>
      </c>
      <c r="P347" s="715" cm="1">
        <f t="array" aca="1" ref="P347" ca="1">INDIRECT("'Definition of Typical Day'!"&amp; ADDRESS($D347+29*(P$16-1),$E347))</f>
        <v>0</v>
      </c>
      <c r="Q347" s="787">
        <f t="shared" ca="1" si="401"/>
        <v>3</v>
      </c>
      <c r="R347" s="792">
        <f t="shared" ca="1" si="402"/>
        <v>3</v>
      </c>
      <c r="S347" s="769">
        <f t="shared" si="403"/>
        <v>3</v>
      </c>
      <c r="T347" s="769">
        <f t="shared" ca="1" si="404"/>
        <v>-0.5</v>
      </c>
      <c r="U347" s="769">
        <f t="shared" ca="1" si="405"/>
        <v>2.262</v>
      </c>
      <c r="V347" s="769">
        <f t="shared" ca="1" si="406"/>
        <v>0</v>
      </c>
      <c r="W347" s="769">
        <f t="shared" ca="1" si="407"/>
        <v>4.7620000000000005</v>
      </c>
      <c r="X347" s="794">
        <f t="shared" si="408"/>
        <v>3</v>
      </c>
      <c r="Y347" s="769">
        <f t="shared" ca="1" si="409"/>
        <v>0.54772255750516607</v>
      </c>
      <c r="Z347" s="769">
        <f t="shared" ca="1" si="410"/>
        <v>0</v>
      </c>
      <c r="AA347" s="795">
        <f t="shared" ca="1" si="411"/>
        <v>0</v>
      </c>
      <c r="AB347" s="769">
        <f t="shared" ca="1" si="412"/>
        <v>0</v>
      </c>
      <c r="AC347" s="769">
        <f t="shared" ca="1" si="413"/>
        <v>0</v>
      </c>
      <c r="AD347" s="769">
        <f t="shared" ca="1" si="414"/>
        <v>0</v>
      </c>
      <c r="AE347" s="794">
        <f t="shared" ca="1" si="415"/>
        <v>0</v>
      </c>
      <c r="AF347" s="769">
        <f t="shared" ca="1" si="416"/>
        <v>0</v>
      </c>
      <c r="AG347" s="769">
        <f t="shared" ca="1" si="417"/>
        <v>0</v>
      </c>
      <c r="AH347" s="799">
        <f t="shared" ca="1" si="418"/>
        <v>0</v>
      </c>
      <c r="AI347" s="801">
        <f t="shared" ca="1" si="419"/>
        <v>1</v>
      </c>
      <c r="AJ347" s="794">
        <f t="shared" ca="1" si="420"/>
        <v>0</v>
      </c>
      <c r="AK347" s="769">
        <f t="shared" ca="1" si="421"/>
        <v>0</v>
      </c>
      <c r="AL347" s="769">
        <f t="shared" ca="1" si="422"/>
        <v>0</v>
      </c>
      <c r="AM347" s="804">
        <f t="shared" ca="1" si="372"/>
        <v>0</v>
      </c>
      <c r="AN347" s="795">
        <f t="shared" ca="1" si="373"/>
        <v>0</v>
      </c>
      <c r="AO347" s="251"/>
      <c r="AP347" s="770">
        <f t="shared" si="423"/>
        <v>0</v>
      </c>
      <c r="AQ347" s="771">
        <f t="shared" ca="1" si="424"/>
        <v>0</v>
      </c>
      <c r="AR347" s="771">
        <f t="shared" ca="1" si="425"/>
        <v>0</v>
      </c>
      <c r="AS347" s="772">
        <f t="shared" ca="1" si="426"/>
        <v>0</v>
      </c>
      <c r="AT347" s="231"/>
      <c r="AU347" s="770">
        <f>'Main Results - IRR DC Operator'!$F$16</f>
        <v>2</v>
      </c>
      <c r="AV347" s="773">
        <f>'Main Results - IRR DC Operator'!$F$15</f>
        <v>1</v>
      </c>
      <c r="AW347" s="771">
        <f t="shared" ca="1" si="427"/>
        <v>0</v>
      </c>
      <c r="AX347" s="772">
        <f t="shared" si="428"/>
        <v>0</v>
      </c>
      <c r="AY347" s="231"/>
      <c r="AZ347" s="770" cm="1">
        <f t="array" aca="1" ref="AZ347" ca="1">INDIRECT("'Definition of Typical Day'!"&amp; ADDRESS($D347+29*(AZ$16-1),$E347))+$AZ$17</f>
        <v>11</v>
      </c>
      <c r="BA347" s="771" cm="1">
        <f t="array" aca="1" ref="BA347" ca="1">INDIRECT("'Definition of Typical Day'!"&amp; ADDRESS($D347+29*(BA$16-1),$E347))+$BA$17</f>
        <v>11</v>
      </c>
      <c r="BB347" s="772" cm="1">
        <f t="array" aca="1" ref="BB347" ca="1">INDIRECT("'Definition of Typical Day'!"&amp;ADDRESS(BB$16,$E347))</f>
        <v>0</v>
      </c>
      <c r="BC347" s="776" cm="1">
        <f t="array" aca="1" ref="BC347" ca="1">INDIRECT("'Definition of Typical Day'!"&amp; ADDRESS($D347+29*(BC$16-1),$E347))</f>
        <v>0</v>
      </c>
      <c r="BD347" s="777" cm="1">
        <f t="array" aca="1" ref="BD347" ca="1">INDIRECT("'Definition of Typical Day'!"&amp; ADDRESS($D347+29*(BD$16-1),$E347))</f>
        <v>0</v>
      </c>
      <c r="BE347" s="776">
        <f t="shared" si="429"/>
        <v>0</v>
      </c>
      <c r="BF347" s="771">
        <f t="shared" ca="1" si="430"/>
        <v>0</v>
      </c>
      <c r="BG347" s="771">
        <f t="shared" ca="1" si="431"/>
        <v>0</v>
      </c>
      <c r="BH347" s="771">
        <f t="shared" ca="1" si="432"/>
        <v>0</v>
      </c>
      <c r="BI347" s="776">
        <f t="shared" ca="1" si="433"/>
        <v>0</v>
      </c>
      <c r="BJ347" s="776">
        <f t="shared" ca="1" si="434"/>
        <v>0</v>
      </c>
      <c r="BK347" s="776">
        <f t="shared" ca="1" si="435"/>
        <v>0</v>
      </c>
      <c r="BL347" s="776">
        <f t="shared" ca="1" si="436"/>
        <v>0</v>
      </c>
      <c r="BM347" s="135"/>
      <c r="BN347" s="776">
        <f t="shared" ca="1" si="437"/>
        <v>0</v>
      </c>
      <c r="BO347" s="778">
        <f t="shared" ca="1" si="374"/>
        <v>0</v>
      </c>
      <c r="BP347" s="770">
        <f t="shared" ca="1" si="375"/>
        <v>0</v>
      </c>
      <c r="BQ347" s="771">
        <f t="shared" ca="1" si="376"/>
        <v>0</v>
      </c>
      <c r="BR347" s="771">
        <f t="shared" ca="1" si="377"/>
        <v>0</v>
      </c>
      <c r="BS347" s="776">
        <f t="shared" ca="1" si="438"/>
        <v>0</v>
      </c>
      <c r="BT347" s="776">
        <f t="shared" ca="1" si="378"/>
        <v>0</v>
      </c>
      <c r="BU347" s="783">
        <f t="shared" ca="1" si="379"/>
        <v>0</v>
      </c>
      <c r="BV347" s="783">
        <f t="shared" ca="1" si="380"/>
        <v>0</v>
      </c>
      <c r="BW347" s="1019">
        <f t="shared" ca="1" si="439"/>
        <v>0</v>
      </c>
      <c r="BX347" s="771" cm="1">
        <f t="array" aca="1" ref="BX347" ca="1">INDIRECT("'Definition of Typical Day'!"&amp; ADDRESS($D347+29*(BX$16-1),$E347))</f>
        <v>0</v>
      </c>
      <c r="BY347" s="771">
        <f t="shared" ca="1" si="440"/>
        <v>0</v>
      </c>
      <c r="BZ347" s="781">
        <f t="shared" ca="1" si="381"/>
        <v>0</v>
      </c>
      <c r="CA347" s="781">
        <f t="shared" ca="1" si="382"/>
        <v>0</v>
      </c>
      <c r="CB347" s="776">
        <f t="shared" ca="1" si="383"/>
        <v>0</v>
      </c>
      <c r="CC347" s="782">
        <f t="shared" si="384"/>
        <v>14</v>
      </c>
      <c r="CD347" s="782">
        <f t="shared" si="385"/>
        <v>15</v>
      </c>
      <c r="CE347" s="784" cm="1">
        <f t="array" aca="1" ref="CE347" ca="1">INDIRECT("'Definition of Typical Day'!"&amp;ADDRESS(CE$16,$E347))</f>
        <v>14</v>
      </c>
      <c r="CF347" s="232"/>
      <c r="CG347" s="232"/>
      <c r="CH347" s="776">
        <f t="shared" ca="1" si="386"/>
        <v>0</v>
      </c>
      <c r="CI347" s="806">
        <f t="shared" ca="1" si="387"/>
        <v>0</v>
      </c>
      <c r="CJ347" s="770">
        <f t="shared" ca="1" si="388"/>
        <v>0</v>
      </c>
      <c r="CK347" s="771">
        <f t="shared" ca="1" si="389"/>
        <v>0</v>
      </c>
      <c r="CL347" s="771">
        <f t="shared" ca="1" si="390"/>
        <v>0</v>
      </c>
      <c r="CM347" s="772">
        <f t="shared" ca="1" si="391"/>
        <v>0</v>
      </c>
      <c r="CN347" s="135"/>
      <c r="CO347" s="770">
        <f t="shared" ca="1" si="368"/>
        <v>1.05</v>
      </c>
      <c r="CP347" s="771">
        <f t="shared" ca="1" si="392"/>
        <v>0.02</v>
      </c>
      <c r="CQ347" s="771">
        <f t="shared" ca="1" si="393"/>
        <v>-2.5000000000000001E-2</v>
      </c>
      <c r="CR347" s="771">
        <f t="shared" ca="1" si="394"/>
        <v>0.95</v>
      </c>
      <c r="CS347" s="771">
        <f t="shared" ca="1" si="395"/>
        <v>0.03</v>
      </c>
      <c r="CT347" s="772">
        <f t="shared" ca="1" si="396"/>
        <v>0.02</v>
      </c>
      <c r="CU347" s="135"/>
      <c r="CV347" s="135"/>
      <c r="CW347" s="135"/>
      <c r="CX347" s="135"/>
      <c r="CY347" s="135"/>
      <c r="CZ347" s="135"/>
      <c r="DA347" s="135"/>
      <c r="DB347" s="135"/>
      <c r="DC347" s="135"/>
      <c r="DD347" s="135"/>
      <c r="DE347" s="135"/>
      <c r="DF347" s="135"/>
      <c r="DG347" s="135"/>
      <c r="DH347" s="135"/>
      <c r="DI347" s="135"/>
      <c r="DJ347" s="135"/>
      <c r="DK347" s="135"/>
      <c r="DL347" s="135"/>
      <c r="DX347" s="135"/>
      <c r="DY347" s="135"/>
      <c r="DZ347" s="135"/>
      <c r="EA347" s="135"/>
      <c r="EB347" s="135"/>
      <c r="EC347" s="135"/>
      <c r="ED347" s="135"/>
      <c r="EE347" s="135"/>
      <c r="EF347" s="135"/>
      <c r="EG347" s="135"/>
      <c r="EH347" s="135"/>
      <c r="EI347" s="135"/>
      <c r="EJ347" s="135"/>
      <c r="EK347" s="135"/>
      <c r="EL347" s="135"/>
      <c r="EM347" s="135"/>
      <c r="EN347" s="135"/>
      <c r="EO347" s="135"/>
      <c r="EP347" s="135"/>
      <c r="EQ347" s="135"/>
      <c r="ER347" s="135"/>
      <c r="ES347" s="135"/>
      <c r="ET347" s="135"/>
      <c r="EU347" s="135"/>
      <c r="EV347" s="135"/>
      <c r="EW347" s="135"/>
      <c r="EX347" s="135"/>
      <c r="EY347" s="135"/>
      <c r="EZ347" s="135"/>
      <c r="FA347" s="135"/>
      <c r="FB347" s="135"/>
      <c r="FC347" s="135"/>
      <c r="FD347" s="135"/>
      <c r="FE347" s="135"/>
      <c r="FF347" s="135"/>
      <c r="FG347" s="135"/>
    </row>
    <row r="348" spans="1:163" s="57" customFormat="1" ht="11.25" outlineLevel="1">
      <c r="A348" s="765">
        <f t="shared" si="369"/>
        <v>14</v>
      </c>
      <c r="B348" s="715" cm="1">
        <f t="array" aca="1" ref="B348" ca="1">INDIRECT("'Definition of Typical Day'!"&amp;ADDRESS(B$16,$E348))</f>
        <v>14</v>
      </c>
      <c r="C348" s="766">
        <f t="shared" si="370"/>
        <v>16</v>
      </c>
      <c r="D348" s="715">
        <f t="shared" si="370"/>
        <v>50</v>
      </c>
      <c r="E348" s="715">
        <f t="shared" si="371"/>
        <v>18</v>
      </c>
      <c r="F348" s="767" cm="1">
        <f t="array" aca="1" ref="F348" ca="1">INDIRECT("'Definition of Typical Day'!D"&amp;D348)</f>
        <v>16</v>
      </c>
      <c r="G348" s="767" cm="1">
        <f t="array" aca="1" ref="G348" ca="1">INDIRECT("'Definition of Typical Day'!"&amp;ADDRESS(13,E348))</f>
        <v>14</v>
      </c>
      <c r="H348" s="768" cm="1">
        <f t="array" aca="1" ref="H348" ca="1">INDIRECT("'Definition of Typical Day'!"&amp; ADDRESS($D348+28*(H$16-1),$E348))</f>
        <v>0</v>
      </c>
      <c r="I348" s="715" cm="1">
        <f t="array" aca="1" ref="I348" ca="1">INDIRECT("'Definition of Typical Day'!"&amp; ADDRESS($D348+29*(I$16-1),$E348))</f>
        <v>0</v>
      </c>
      <c r="J348" s="715">
        <f t="shared" ca="1" si="397"/>
        <v>0</v>
      </c>
      <c r="K348" s="785">
        <f t="shared" si="398"/>
        <v>28</v>
      </c>
      <c r="L348" s="786" cm="1">
        <f t="array" aca="1" ref="L348" ca="1">INDIRECT("'Definition of Typical Day'!"&amp; ADDRESS($D348+29*(L$16-1),$E348))</f>
        <v>0</v>
      </c>
      <c r="M348" s="768" cm="1">
        <f t="array" aca="1" ref="M348" ca="1">INDIRECT("'Definition of Typical Day'!"&amp; ADDRESS($D348+29*(M$16-1),$E348))</f>
        <v>0</v>
      </c>
      <c r="N348" s="715">
        <f t="shared" si="399"/>
        <v>3</v>
      </c>
      <c r="O348" s="715">
        <f t="shared" ca="1" si="400"/>
        <v>3</v>
      </c>
      <c r="P348" s="715" cm="1">
        <f t="array" aca="1" ref="P348" ca="1">INDIRECT("'Definition of Typical Day'!"&amp; ADDRESS($D348+29*(P$16-1),$E348))</f>
        <v>0</v>
      </c>
      <c r="Q348" s="787">
        <f t="shared" ca="1" si="401"/>
        <v>3</v>
      </c>
      <c r="R348" s="792">
        <f t="shared" ca="1" si="402"/>
        <v>3</v>
      </c>
      <c r="S348" s="769">
        <f t="shared" si="403"/>
        <v>3</v>
      </c>
      <c r="T348" s="769">
        <f t="shared" ca="1" si="404"/>
        <v>-0.5</v>
      </c>
      <c r="U348" s="769">
        <f t="shared" ca="1" si="405"/>
        <v>2.262</v>
      </c>
      <c r="V348" s="769">
        <f t="shared" ca="1" si="406"/>
        <v>0</v>
      </c>
      <c r="W348" s="769">
        <f t="shared" ca="1" si="407"/>
        <v>4.7620000000000005</v>
      </c>
      <c r="X348" s="794">
        <f t="shared" si="408"/>
        <v>3</v>
      </c>
      <c r="Y348" s="769">
        <f t="shared" ca="1" si="409"/>
        <v>0.54772255750516607</v>
      </c>
      <c r="Z348" s="769">
        <f t="shared" ca="1" si="410"/>
        <v>0</v>
      </c>
      <c r="AA348" s="795">
        <f t="shared" ca="1" si="411"/>
        <v>0</v>
      </c>
      <c r="AB348" s="769">
        <f t="shared" ca="1" si="412"/>
        <v>0</v>
      </c>
      <c r="AC348" s="769">
        <f t="shared" ca="1" si="413"/>
        <v>0</v>
      </c>
      <c r="AD348" s="769">
        <f t="shared" ca="1" si="414"/>
        <v>0</v>
      </c>
      <c r="AE348" s="794">
        <f t="shared" ca="1" si="415"/>
        <v>0</v>
      </c>
      <c r="AF348" s="769">
        <f t="shared" ca="1" si="416"/>
        <v>0</v>
      </c>
      <c r="AG348" s="769">
        <f t="shared" ca="1" si="417"/>
        <v>0</v>
      </c>
      <c r="AH348" s="799">
        <f t="shared" ca="1" si="418"/>
        <v>0</v>
      </c>
      <c r="AI348" s="801">
        <f t="shared" ca="1" si="419"/>
        <v>1</v>
      </c>
      <c r="AJ348" s="794">
        <f t="shared" ca="1" si="420"/>
        <v>0</v>
      </c>
      <c r="AK348" s="769">
        <f t="shared" ca="1" si="421"/>
        <v>0</v>
      </c>
      <c r="AL348" s="769">
        <f t="shared" ca="1" si="422"/>
        <v>0</v>
      </c>
      <c r="AM348" s="804">
        <f t="shared" ca="1" si="372"/>
        <v>0</v>
      </c>
      <c r="AN348" s="795">
        <f t="shared" ca="1" si="373"/>
        <v>0</v>
      </c>
      <c r="AO348" s="251"/>
      <c r="AP348" s="770">
        <f t="shared" si="423"/>
        <v>0</v>
      </c>
      <c r="AQ348" s="771">
        <f t="shared" ca="1" si="424"/>
        <v>0</v>
      </c>
      <c r="AR348" s="771">
        <f t="shared" ca="1" si="425"/>
        <v>0</v>
      </c>
      <c r="AS348" s="772">
        <f t="shared" ca="1" si="426"/>
        <v>0</v>
      </c>
      <c r="AT348" s="231"/>
      <c r="AU348" s="770">
        <f>'Main Results - IRR DC Operator'!$F$16</f>
        <v>2</v>
      </c>
      <c r="AV348" s="773">
        <f>'Main Results - IRR DC Operator'!$F$15</f>
        <v>1</v>
      </c>
      <c r="AW348" s="771">
        <f t="shared" ca="1" si="427"/>
        <v>0</v>
      </c>
      <c r="AX348" s="772">
        <f t="shared" si="428"/>
        <v>0</v>
      </c>
      <c r="AY348" s="231"/>
      <c r="AZ348" s="770" cm="1">
        <f t="array" aca="1" ref="AZ348" ca="1">INDIRECT("'Definition of Typical Day'!"&amp; ADDRESS($D348+29*(AZ$16-1),$E348))+$AZ$17</f>
        <v>11</v>
      </c>
      <c r="BA348" s="771" cm="1">
        <f t="array" aca="1" ref="BA348" ca="1">INDIRECT("'Definition of Typical Day'!"&amp; ADDRESS($D348+29*(BA$16-1),$E348))+$BA$17</f>
        <v>11</v>
      </c>
      <c r="BB348" s="772" cm="1">
        <f t="array" aca="1" ref="BB348" ca="1">INDIRECT("'Definition of Typical Day'!"&amp;ADDRESS(BB$16,$E348))</f>
        <v>0</v>
      </c>
      <c r="BC348" s="776" cm="1">
        <f t="array" aca="1" ref="BC348" ca="1">INDIRECT("'Definition of Typical Day'!"&amp; ADDRESS($D348+29*(BC$16-1),$E348))</f>
        <v>0</v>
      </c>
      <c r="BD348" s="777" cm="1">
        <f t="array" aca="1" ref="BD348" ca="1">INDIRECT("'Definition of Typical Day'!"&amp; ADDRESS($D348+29*(BD$16-1),$E348))</f>
        <v>0</v>
      </c>
      <c r="BE348" s="776">
        <f t="shared" si="429"/>
        <v>0</v>
      </c>
      <c r="BF348" s="771">
        <f t="shared" ca="1" si="430"/>
        <v>0</v>
      </c>
      <c r="BG348" s="771">
        <f t="shared" ca="1" si="431"/>
        <v>0</v>
      </c>
      <c r="BH348" s="771">
        <f t="shared" ca="1" si="432"/>
        <v>0</v>
      </c>
      <c r="BI348" s="776">
        <f t="shared" ca="1" si="433"/>
        <v>0</v>
      </c>
      <c r="BJ348" s="776">
        <f t="shared" ca="1" si="434"/>
        <v>0</v>
      </c>
      <c r="BK348" s="776">
        <f t="shared" ca="1" si="435"/>
        <v>0</v>
      </c>
      <c r="BL348" s="776">
        <f t="shared" ca="1" si="436"/>
        <v>0</v>
      </c>
      <c r="BM348" s="135"/>
      <c r="BN348" s="776">
        <f t="shared" ca="1" si="437"/>
        <v>0</v>
      </c>
      <c r="BO348" s="778">
        <f t="shared" ca="1" si="374"/>
        <v>0</v>
      </c>
      <c r="BP348" s="770">
        <f t="shared" ca="1" si="375"/>
        <v>0</v>
      </c>
      <c r="BQ348" s="771">
        <f t="shared" ca="1" si="376"/>
        <v>0</v>
      </c>
      <c r="BR348" s="771">
        <f t="shared" ca="1" si="377"/>
        <v>0</v>
      </c>
      <c r="BS348" s="776">
        <f t="shared" ca="1" si="438"/>
        <v>0</v>
      </c>
      <c r="BT348" s="776">
        <f t="shared" ca="1" si="378"/>
        <v>0</v>
      </c>
      <c r="BU348" s="783">
        <f t="shared" ca="1" si="379"/>
        <v>0</v>
      </c>
      <c r="BV348" s="783">
        <f t="shared" ca="1" si="380"/>
        <v>0</v>
      </c>
      <c r="BW348" s="1019">
        <f t="shared" ca="1" si="439"/>
        <v>0</v>
      </c>
      <c r="BX348" s="771" cm="1">
        <f t="array" aca="1" ref="BX348" ca="1">INDIRECT("'Definition of Typical Day'!"&amp; ADDRESS($D348+29*(BX$16-1),$E348))</f>
        <v>0</v>
      </c>
      <c r="BY348" s="771">
        <f t="shared" ca="1" si="440"/>
        <v>0</v>
      </c>
      <c r="BZ348" s="781">
        <f t="shared" ca="1" si="381"/>
        <v>0</v>
      </c>
      <c r="CA348" s="781">
        <f t="shared" ca="1" si="382"/>
        <v>0</v>
      </c>
      <c r="CB348" s="776">
        <f t="shared" ca="1" si="383"/>
        <v>0</v>
      </c>
      <c r="CC348" s="782">
        <f t="shared" si="384"/>
        <v>14</v>
      </c>
      <c r="CD348" s="782">
        <f t="shared" si="385"/>
        <v>16</v>
      </c>
      <c r="CE348" s="784" cm="1">
        <f t="array" aca="1" ref="CE348" ca="1">INDIRECT("'Definition of Typical Day'!"&amp;ADDRESS(CE$16,$E348))</f>
        <v>14</v>
      </c>
      <c r="CF348" s="232"/>
      <c r="CG348" s="232"/>
      <c r="CH348" s="776">
        <f t="shared" ca="1" si="386"/>
        <v>0</v>
      </c>
      <c r="CI348" s="806">
        <f t="shared" ca="1" si="387"/>
        <v>0</v>
      </c>
      <c r="CJ348" s="770">
        <f t="shared" ca="1" si="388"/>
        <v>0</v>
      </c>
      <c r="CK348" s="771">
        <f t="shared" ca="1" si="389"/>
        <v>0</v>
      </c>
      <c r="CL348" s="771">
        <f t="shared" ca="1" si="390"/>
        <v>0</v>
      </c>
      <c r="CM348" s="772">
        <f t="shared" ca="1" si="391"/>
        <v>0</v>
      </c>
      <c r="CN348" s="135"/>
      <c r="CO348" s="770">
        <f t="shared" ca="1" si="368"/>
        <v>1.05</v>
      </c>
      <c r="CP348" s="771">
        <f t="shared" ca="1" si="392"/>
        <v>0.02</v>
      </c>
      <c r="CQ348" s="771">
        <f t="shared" ca="1" si="393"/>
        <v>-2.5000000000000001E-2</v>
      </c>
      <c r="CR348" s="771">
        <f t="shared" ca="1" si="394"/>
        <v>0.95</v>
      </c>
      <c r="CS348" s="771">
        <f t="shared" ca="1" si="395"/>
        <v>0.03</v>
      </c>
      <c r="CT348" s="772">
        <f t="shared" ca="1" si="396"/>
        <v>0.02</v>
      </c>
      <c r="CU348" s="135"/>
      <c r="CV348" s="135"/>
      <c r="CW348" s="135"/>
      <c r="CX348" s="135"/>
      <c r="CY348" s="135"/>
      <c r="CZ348" s="135"/>
      <c r="DA348" s="135"/>
      <c r="DB348" s="135"/>
      <c r="DC348" s="135"/>
      <c r="DD348" s="135"/>
      <c r="DE348" s="135"/>
      <c r="DF348" s="135"/>
      <c r="DG348" s="135"/>
      <c r="DH348" s="135"/>
      <c r="DI348" s="135"/>
      <c r="DJ348" s="135"/>
      <c r="DK348" s="135"/>
      <c r="DL348" s="135"/>
      <c r="DX348" s="135"/>
      <c r="DY348" s="135"/>
      <c r="DZ348" s="135"/>
      <c r="EA348" s="135"/>
      <c r="EB348" s="135"/>
      <c r="EC348" s="135"/>
      <c r="ED348" s="135"/>
      <c r="EE348" s="135"/>
      <c r="EF348" s="135"/>
      <c r="EG348" s="135"/>
      <c r="EH348" s="135"/>
      <c r="EI348" s="135"/>
      <c r="EJ348" s="135"/>
      <c r="EK348" s="135"/>
      <c r="EL348" s="135"/>
      <c r="EM348" s="135"/>
      <c r="EN348" s="135"/>
      <c r="EO348" s="135"/>
      <c r="EP348" s="135"/>
      <c r="EQ348" s="135"/>
      <c r="ER348" s="135"/>
      <c r="ES348" s="135"/>
      <c r="ET348" s="135"/>
      <c r="EU348" s="135"/>
      <c r="EV348" s="135"/>
      <c r="EW348" s="135"/>
      <c r="EX348" s="135"/>
      <c r="EY348" s="135"/>
      <c r="EZ348" s="135"/>
      <c r="FA348" s="135"/>
      <c r="FB348" s="135"/>
      <c r="FC348" s="135"/>
      <c r="FD348" s="135"/>
      <c r="FE348" s="135"/>
      <c r="FF348" s="135"/>
      <c r="FG348" s="135"/>
    </row>
    <row r="349" spans="1:163" s="57" customFormat="1" ht="11.25" outlineLevel="1">
      <c r="A349" s="765">
        <f t="shared" si="369"/>
        <v>14</v>
      </c>
      <c r="B349" s="715" cm="1">
        <f t="array" aca="1" ref="B349" ca="1">INDIRECT("'Definition of Typical Day'!"&amp;ADDRESS(B$16,$E349))</f>
        <v>14</v>
      </c>
      <c r="C349" s="766">
        <f t="shared" si="370"/>
        <v>17</v>
      </c>
      <c r="D349" s="715">
        <f t="shared" si="370"/>
        <v>51</v>
      </c>
      <c r="E349" s="715">
        <f t="shared" si="371"/>
        <v>18</v>
      </c>
      <c r="F349" s="767" cm="1">
        <f t="array" aca="1" ref="F349" ca="1">INDIRECT("'Definition of Typical Day'!D"&amp;D349)</f>
        <v>17</v>
      </c>
      <c r="G349" s="767" cm="1">
        <f t="array" aca="1" ref="G349" ca="1">INDIRECT("'Definition of Typical Day'!"&amp;ADDRESS(13,E349))</f>
        <v>14</v>
      </c>
      <c r="H349" s="768" cm="1">
        <f t="array" aca="1" ref="H349" ca="1">INDIRECT("'Definition of Typical Day'!"&amp; ADDRESS($D349+28*(H$16-1),$E349))</f>
        <v>0</v>
      </c>
      <c r="I349" s="715" cm="1">
        <f t="array" aca="1" ref="I349" ca="1">INDIRECT("'Definition of Typical Day'!"&amp; ADDRESS($D349+29*(I$16-1),$E349))</f>
        <v>0</v>
      </c>
      <c r="J349" s="715">
        <f t="shared" ca="1" si="397"/>
        <v>0</v>
      </c>
      <c r="K349" s="785">
        <f t="shared" si="398"/>
        <v>28</v>
      </c>
      <c r="L349" s="786" cm="1">
        <f t="array" aca="1" ref="L349" ca="1">INDIRECT("'Definition of Typical Day'!"&amp; ADDRESS($D349+29*(L$16-1),$E349))</f>
        <v>0</v>
      </c>
      <c r="M349" s="768" cm="1">
        <f t="array" aca="1" ref="M349" ca="1">INDIRECT("'Definition of Typical Day'!"&amp; ADDRESS($D349+29*(M$16-1),$E349))</f>
        <v>0</v>
      </c>
      <c r="N349" s="715">
        <f t="shared" si="399"/>
        <v>3</v>
      </c>
      <c r="O349" s="715">
        <f t="shared" ca="1" si="400"/>
        <v>3</v>
      </c>
      <c r="P349" s="715" cm="1">
        <f t="array" aca="1" ref="P349" ca="1">INDIRECT("'Definition of Typical Day'!"&amp; ADDRESS($D349+29*(P$16-1),$E349))</f>
        <v>0</v>
      </c>
      <c r="Q349" s="787">
        <f t="shared" ca="1" si="401"/>
        <v>3</v>
      </c>
      <c r="R349" s="792">
        <f t="shared" ca="1" si="402"/>
        <v>3</v>
      </c>
      <c r="S349" s="769">
        <f t="shared" si="403"/>
        <v>3</v>
      </c>
      <c r="T349" s="769">
        <f t="shared" ca="1" si="404"/>
        <v>-0.5</v>
      </c>
      <c r="U349" s="769">
        <f t="shared" ca="1" si="405"/>
        <v>2.262</v>
      </c>
      <c r="V349" s="769">
        <f t="shared" ca="1" si="406"/>
        <v>0</v>
      </c>
      <c r="W349" s="769">
        <f t="shared" ca="1" si="407"/>
        <v>4.7620000000000005</v>
      </c>
      <c r="X349" s="794">
        <f t="shared" si="408"/>
        <v>3</v>
      </c>
      <c r="Y349" s="769">
        <f t="shared" ca="1" si="409"/>
        <v>0.54772255750516607</v>
      </c>
      <c r="Z349" s="769">
        <f t="shared" ca="1" si="410"/>
        <v>0</v>
      </c>
      <c r="AA349" s="795">
        <f t="shared" ca="1" si="411"/>
        <v>0</v>
      </c>
      <c r="AB349" s="769">
        <f t="shared" ca="1" si="412"/>
        <v>0</v>
      </c>
      <c r="AC349" s="769">
        <f t="shared" ca="1" si="413"/>
        <v>0</v>
      </c>
      <c r="AD349" s="769">
        <f t="shared" ca="1" si="414"/>
        <v>0</v>
      </c>
      <c r="AE349" s="794">
        <f t="shared" ca="1" si="415"/>
        <v>0</v>
      </c>
      <c r="AF349" s="769">
        <f t="shared" ca="1" si="416"/>
        <v>0</v>
      </c>
      <c r="AG349" s="769">
        <f t="shared" ca="1" si="417"/>
        <v>0</v>
      </c>
      <c r="AH349" s="799">
        <f t="shared" ca="1" si="418"/>
        <v>0</v>
      </c>
      <c r="AI349" s="801">
        <f t="shared" ca="1" si="419"/>
        <v>1</v>
      </c>
      <c r="AJ349" s="794">
        <f t="shared" ca="1" si="420"/>
        <v>0</v>
      </c>
      <c r="AK349" s="769">
        <f t="shared" ca="1" si="421"/>
        <v>0</v>
      </c>
      <c r="AL349" s="769">
        <f t="shared" ca="1" si="422"/>
        <v>0</v>
      </c>
      <c r="AM349" s="804">
        <f t="shared" ca="1" si="372"/>
        <v>0</v>
      </c>
      <c r="AN349" s="795">
        <f t="shared" ca="1" si="373"/>
        <v>0</v>
      </c>
      <c r="AO349" s="251"/>
      <c r="AP349" s="770">
        <f t="shared" si="423"/>
        <v>0</v>
      </c>
      <c r="AQ349" s="771">
        <f t="shared" ca="1" si="424"/>
        <v>0</v>
      </c>
      <c r="AR349" s="771">
        <f t="shared" ca="1" si="425"/>
        <v>0</v>
      </c>
      <c r="AS349" s="772">
        <f t="shared" ca="1" si="426"/>
        <v>0</v>
      </c>
      <c r="AT349" s="231"/>
      <c r="AU349" s="770">
        <f>'Main Results - IRR DC Operator'!$F$16</f>
        <v>2</v>
      </c>
      <c r="AV349" s="773">
        <f>'Main Results - IRR DC Operator'!$F$15</f>
        <v>1</v>
      </c>
      <c r="AW349" s="771">
        <f t="shared" ca="1" si="427"/>
        <v>0</v>
      </c>
      <c r="AX349" s="772">
        <f t="shared" si="428"/>
        <v>0</v>
      </c>
      <c r="AY349" s="231"/>
      <c r="AZ349" s="770" cm="1">
        <f t="array" aca="1" ref="AZ349" ca="1">INDIRECT("'Definition of Typical Day'!"&amp; ADDRESS($D349+29*(AZ$16-1),$E349))+$AZ$17</f>
        <v>11</v>
      </c>
      <c r="BA349" s="771" cm="1">
        <f t="array" aca="1" ref="BA349" ca="1">INDIRECT("'Definition of Typical Day'!"&amp; ADDRESS($D349+29*(BA$16-1),$E349))+$BA$17</f>
        <v>11</v>
      </c>
      <c r="BB349" s="772" cm="1">
        <f t="array" aca="1" ref="BB349" ca="1">INDIRECT("'Definition of Typical Day'!"&amp;ADDRESS(BB$16,$E349))</f>
        <v>0</v>
      </c>
      <c r="BC349" s="776" cm="1">
        <f t="array" aca="1" ref="BC349" ca="1">INDIRECT("'Definition of Typical Day'!"&amp; ADDRESS($D349+29*(BC$16-1),$E349))</f>
        <v>0</v>
      </c>
      <c r="BD349" s="777" cm="1">
        <f t="array" aca="1" ref="BD349" ca="1">INDIRECT("'Definition of Typical Day'!"&amp; ADDRESS($D349+29*(BD$16-1),$E349))</f>
        <v>0</v>
      </c>
      <c r="BE349" s="776">
        <f t="shared" si="429"/>
        <v>0</v>
      </c>
      <c r="BF349" s="771">
        <f t="shared" ca="1" si="430"/>
        <v>0</v>
      </c>
      <c r="BG349" s="771">
        <f t="shared" ca="1" si="431"/>
        <v>0</v>
      </c>
      <c r="BH349" s="771">
        <f t="shared" ca="1" si="432"/>
        <v>0</v>
      </c>
      <c r="BI349" s="776">
        <f t="shared" ca="1" si="433"/>
        <v>0</v>
      </c>
      <c r="BJ349" s="776">
        <f t="shared" ca="1" si="434"/>
        <v>0</v>
      </c>
      <c r="BK349" s="776">
        <f t="shared" ca="1" si="435"/>
        <v>0</v>
      </c>
      <c r="BL349" s="776">
        <f t="shared" ca="1" si="436"/>
        <v>0</v>
      </c>
      <c r="BM349" s="135"/>
      <c r="BN349" s="776">
        <f t="shared" ca="1" si="437"/>
        <v>0</v>
      </c>
      <c r="BO349" s="778">
        <f t="shared" ca="1" si="374"/>
        <v>0</v>
      </c>
      <c r="BP349" s="770">
        <f t="shared" ca="1" si="375"/>
        <v>0</v>
      </c>
      <c r="BQ349" s="771">
        <f t="shared" ca="1" si="376"/>
        <v>0</v>
      </c>
      <c r="BR349" s="771">
        <f t="shared" ca="1" si="377"/>
        <v>0</v>
      </c>
      <c r="BS349" s="776">
        <f t="shared" ca="1" si="438"/>
        <v>0</v>
      </c>
      <c r="BT349" s="776">
        <f t="shared" ca="1" si="378"/>
        <v>0</v>
      </c>
      <c r="BU349" s="783">
        <f t="shared" ca="1" si="379"/>
        <v>0</v>
      </c>
      <c r="BV349" s="783">
        <f t="shared" ca="1" si="380"/>
        <v>0</v>
      </c>
      <c r="BW349" s="1019">
        <f t="shared" ca="1" si="439"/>
        <v>0</v>
      </c>
      <c r="BX349" s="771" cm="1">
        <f t="array" aca="1" ref="BX349" ca="1">INDIRECT("'Definition of Typical Day'!"&amp; ADDRESS($D349+29*(BX$16-1),$E349))</f>
        <v>0</v>
      </c>
      <c r="BY349" s="771">
        <f t="shared" ca="1" si="440"/>
        <v>0</v>
      </c>
      <c r="BZ349" s="781">
        <f t="shared" ca="1" si="381"/>
        <v>0</v>
      </c>
      <c r="CA349" s="781">
        <f t="shared" ca="1" si="382"/>
        <v>0</v>
      </c>
      <c r="CB349" s="776">
        <f t="shared" ca="1" si="383"/>
        <v>0</v>
      </c>
      <c r="CC349" s="782">
        <f t="shared" si="384"/>
        <v>14</v>
      </c>
      <c r="CD349" s="782">
        <f t="shared" si="385"/>
        <v>17</v>
      </c>
      <c r="CE349" s="784" cm="1">
        <f t="array" aca="1" ref="CE349" ca="1">INDIRECT("'Definition of Typical Day'!"&amp;ADDRESS(CE$16,$E349))</f>
        <v>14</v>
      </c>
      <c r="CF349" s="232"/>
      <c r="CG349" s="232"/>
      <c r="CH349" s="776">
        <f t="shared" ca="1" si="386"/>
        <v>0</v>
      </c>
      <c r="CI349" s="806">
        <f t="shared" ca="1" si="387"/>
        <v>0</v>
      </c>
      <c r="CJ349" s="770">
        <f t="shared" ca="1" si="388"/>
        <v>0</v>
      </c>
      <c r="CK349" s="771">
        <f t="shared" ca="1" si="389"/>
        <v>0</v>
      </c>
      <c r="CL349" s="771">
        <f t="shared" ca="1" si="390"/>
        <v>0</v>
      </c>
      <c r="CM349" s="772">
        <f t="shared" ca="1" si="391"/>
        <v>0</v>
      </c>
      <c r="CN349" s="135"/>
      <c r="CO349" s="770">
        <f t="shared" ca="1" si="368"/>
        <v>1.05</v>
      </c>
      <c r="CP349" s="771">
        <f t="shared" ca="1" si="392"/>
        <v>0.02</v>
      </c>
      <c r="CQ349" s="771">
        <f t="shared" ca="1" si="393"/>
        <v>-2.5000000000000001E-2</v>
      </c>
      <c r="CR349" s="771">
        <f t="shared" ca="1" si="394"/>
        <v>0.95</v>
      </c>
      <c r="CS349" s="771">
        <f t="shared" ca="1" si="395"/>
        <v>0.03</v>
      </c>
      <c r="CT349" s="772">
        <f t="shared" ca="1" si="396"/>
        <v>0.02</v>
      </c>
      <c r="CU349" s="135"/>
      <c r="CV349" s="135"/>
      <c r="CW349" s="135"/>
      <c r="CX349" s="135"/>
      <c r="CY349" s="135"/>
      <c r="CZ349" s="135"/>
      <c r="DA349" s="135"/>
      <c r="DB349" s="135"/>
      <c r="DC349" s="135"/>
      <c r="DD349" s="135"/>
      <c r="DE349" s="135"/>
      <c r="DF349" s="135"/>
      <c r="DG349" s="135"/>
      <c r="DH349" s="135"/>
      <c r="DI349" s="135"/>
      <c r="DJ349" s="135"/>
      <c r="DK349" s="135"/>
      <c r="DL349" s="135"/>
      <c r="DX349" s="135"/>
      <c r="DY349" s="135"/>
      <c r="DZ349" s="135"/>
      <c r="EA349" s="135"/>
      <c r="EB349" s="135"/>
      <c r="EC349" s="135"/>
      <c r="ED349" s="135"/>
      <c r="EE349" s="135"/>
      <c r="EF349" s="135"/>
      <c r="EG349" s="135"/>
      <c r="EH349" s="135"/>
      <c r="EI349" s="135"/>
      <c r="EJ349" s="135"/>
      <c r="EK349" s="135"/>
      <c r="EL349" s="135"/>
      <c r="EM349" s="135"/>
      <c r="EN349" s="135"/>
      <c r="EO349" s="135"/>
      <c r="EP349" s="135"/>
      <c r="EQ349" s="135"/>
      <c r="ER349" s="135"/>
      <c r="ES349" s="135"/>
      <c r="ET349" s="135"/>
      <c r="EU349" s="135"/>
      <c r="EV349" s="135"/>
      <c r="EW349" s="135"/>
      <c r="EX349" s="135"/>
      <c r="EY349" s="135"/>
      <c r="EZ349" s="135"/>
      <c r="FA349" s="135"/>
      <c r="FB349" s="135"/>
      <c r="FC349" s="135"/>
      <c r="FD349" s="135"/>
      <c r="FE349" s="135"/>
      <c r="FF349" s="135"/>
      <c r="FG349" s="135"/>
    </row>
    <row r="350" spans="1:163" s="57" customFormat="1" ht="11.25" outlineLevel="1">
      <c r="A350" s="765">
        <f t="shared" si="369"/>
        <v>14</v>
      </c>
      <c r="B350" s="715" cm="1">
        <f t="array" aca="1" ref="B350" ca="1">INDIRECT("'Definition of Typical Day'!"&amp;ADDRESS(B$16,$E350))</f>
        <v>14</v>
      </c>
      <c r="C350" s="766">
        <f t="shared" si="370"/>
        <v>18</v>
      </c>
      <c r="D350" s="715">
        <f t="shared" si="370"/>
        <v>52</v>
      </c>
      <c r="E350" s="715">
        <f t="shared" si="371"/>
        <v>18</v>
      </c>
      <c r="F350" s="767" cm="1">
        <f t="array" aca="1" ref="F350" ca="1">INDIRECT("'Definition of Typical Day'!D"&amp;D350)</f>
        <v>18</v>
      </c>
      <c r="G350" s="767" cm="1">
        <f t="array" aca="1" ref="G350" ca="1">INDIRECT("'Definition of Typical Day'!"&amp;ADDRESS(13,E350))</f>
        <v>14</v>
      </c>
      <c r="H350" s="768" cm="1">
        <f t="array" aca="1" ref="H350" ca="1">INDIRECT("'Definition of Typical Day'!"&amp; ADDRESS($D350+28*(H$16-1),$E350))</f>
        <v>0</v>
      </c>
      <c r="I350" s="715" cm="1">
        <f t="array" aca="1" ref="I350" ca="1">INDIRECT("'Definition of Typical Day'!"&amp; ADDRESS($D350+29*(I$16-1),$E350))</f>
        <v>0</v>
      </c>
      <c r="J350" s="715">
        <f t="shared" ca="1" si="397"/>
        <v>0</v>
      </c>
      <c r="K350" s="785">
        <f t="shared" si="398"/>
        <v>28</v>
      </c>
      <c r="L350" s="786" cm="1">
        <f t="array" aca="1" ref="L350" ca="1">INDIRECT("'Definition of Typical Day'!"&amp; ADDRESS($D350+29*(L$16-1),$E350))</f>
        <v>0</v>
      </c>
      <c r="M350" s="768" cm="1">
        <f t="array" aca="1" ref="M350" ca="1">INDIRECT("'Definition of Typical Day'!"&amp; ADDRESS($D350+29*(M$16-1),$E350))</f>
        <v>0</v>
      </c>
      <c r="N350" s="715">
        <f t="shared" si="399"/>
        <v>3</v>
      </c>
      <c r="O350" s="715">
        <f t="shared" ca="1" si="400"/>
        <v>3</v>
      </c>
      <c r="P350" s="715" cm="1">
        <f t="array" aca="1" ref="P350" ca="1">INDIRECT("'Definition of Typical Day'!"&amp; ADDRESS($D350+29*(P$16-1),$E350))</f>
        <v>0</v>
      </c>
      <c r="Q350" s="787">
        <f t="shared" ca="1" si="401"/>
        <v>3</v>
      </c>
      <c r="R350" s="792">
        <f t="shared" ca="1" si="402"/>
        <v>3</v>
      </c>
      <c r="S350" s="769">
        <f t="shared" si="403"/>
        <v>3</v>
      </c>
      <c r="T350" s="769">
        <f t="shared" ca="1" si="404"/>
        <v>-0.5</v>
      </c>
      <c r="U350" s="769">
        <f t="shared" ca="1" si="405"/>
        <v>2.262</v>
      </c>
      <c r="V350" s="769">
        <f t="shared" ca="1" si="406"/>
        <v>0</v>
      </c>
      <c r="W350" s="769">
        <f t="shared" ca="1" si="407"/>
        <v>4.7620000000000005</v>
      </c>
      <c r="X350" s="794">
        <f t="shared" si="408"/>
        <v>3</v>
      </c>
      <c r="Y350" s="769">
        <f t="shared" ca="1" si="409"/>
        <v>0.54772255750516607</v>
      </c>
      <c r="Z350" s="769">
        <f t="shared" ca="1" si="410"/>
        <v>0</v>
      </c>
      <c r="AA350" s="795">
        <f t="shared" ca="1" si="411"/>
        <v>0</v>
      </c>
      <c r="AB350" s="769">
        <f t="shared" ca="1" si="412"/>
        <v>0</v>
      </c>
      <c r="AC350" s="769">
        <f t="shared" ca="1" si="413"/>
        <v>0</v>
      </c>
      <c r="AD350" s="769">
        <f t="shared" ca="1" si="414"/>
        <v>0</v>
      </c>
      <c r="AE350" s="794">
        <f t="shared" ca="1" si="415"/>
        <v>0</v>
      </c>
      <c r="AF350" s="769">
        <f t="shared" ca="1" si="416"/>
        <v>0</v>
      </c>
      <c r="AG350" s="769">
        <f t="shared" ca="1" si="417"/>
        <v>0</v>
      </c>
      <c r="AH350" s="799">
        <f t="shared" ca="1" si="418"/>
        <v>0</v>
      </c>
      <c r="AI350" s="801">
        <f t="shared" ca="1" si="419"/>
        <v>1</v>
      </c>
      <c r="AJ350" s="794">
        <f t="shared" ca="1" si="420"/>
        <v>0</v>
      </c>
      <c r="AK350" s="769">
        <f t="shared" ca="1" si="421"/>
        <v>0</v>
      </c>
      <c r="AL350" s="769">
        <f t="shared" ca="1" si="422"/>
        <v>0</v>
      </c>
      <c r="AM350" s="804">
        <f t="shared" ca="1" si="372"/>
        <v>0</v>
      </c>
      <c r="AN350" s="795">
        <f t="shared" ca="1" si="373"/>
        <v>0</v>
      </c>
      <c r="AO350" s="251"/>
      <c r="AP350" s="770">
        <f t="shared" si="423"/>
        <v>0</v>
      </c>
      <c r="AQ350" s="771">
        <f t="shared" ca="1" si="424"/>
        <v>0</v>
      </c>
      <c r="AR350" s="771">
        <f t="shared" ca="1" si="425"/>
        <v>0</v>
      </c>
      <c r="AS350" s="772">
        <f t="shared" ca="1" si="426"/>
        <v>0</v>
      </c>
      <c r="AT350" s="231"/>
      <c r="AU350" s="770">
        <f>'Main Results - IRR DC Operator'!$F$16</f>
        <v>2</v>
      </c>
      <c r="AV350" s="773">
        <f>'Main Results - IRR DC Operator'!$F$15</f>
        <v>1</v>
      </c>
      <c r="AW350" s="771">
        <f t="shared" ca="1" si="427"/>
        <v>0</v>
      </c>
      <c r="AX350" s="772">
        <f t="shared" si="428"/>
        <v>0</v>
      </c>
      <c r="AY350" s="231"/>
      <c r="AZ350" s="770" cm="1">
        <f t="array" aca="1" ref="AZ350" ca="1">INDIRECT("'Definition of Typical Day'!"&amp; ADDRESS($D350+29*(AZ$16-1),$E350))+$AZ$17</f>
        <v>11</v>
      </c>
      <c r="BA350" s="771" cm="1">
        <f t="array" aca="1" ref="BA350" ca="1">INDIRECT("'Definition of Typical Day'!"&amp; ADDRESS($D350+29*(BA$16-1),$E350))+$BA$17</f>
        <v>11</v>
      </c>
      <c r="BB350" s="772" cm="1">
        <f t="array" aca="1" ref="BB350" ca="1">INDIRECT("'Definition of Typical Day'!"&amp;ADDRESS(BB$16,$E350))</f>
        <v>0</v>
      </c>
      <c r="BC350" s="776" cm="1">
        <f t="array" aca="1" ref="BC350" ca="1">INDIRECT("'Definition of Typical Day'!"&amp; ADDRESS($D350+29*(BC$16-1),$E350))</f>
        <v>0</v>
      </c>
      <c r="BD350" s="777" cm="1">
        <f t="array" aca="1" ref="BD350" ca="1">INDIRECT("'Definition of Typical Day'!"&amp; ADDRESS($D350+29*(BD$16-1),$E350))</f>
        <v>0</v>
      </c>
      <c r="BE350" s="776">
        <f t="shared" si="429"/>
        <v>0</v>
      </c>
      <c r="BF350" s="771">
        <f t="shared" ca="1" si="430"/>
        <v>0</v>
      </c>
      <c r="BG350" s="771">
        <f t="shared" ca="1" si="431"/>
        <v>0</v>
      </c>
      <c r="BH350" s="771">
        <f t="shared" ca="1" si="432"/>
        <v>0</v>
      </c>
      <c r="BI350" s="776">
        <f t="shared" ca="1" si="433"/>
        <v>0</v>
      </c>
      <c r="BJ350" s="776">
        <f t="shared" ca="1" si="434"/>
        <v>0</v>
      </c>
      <c r="BK350" s="776">
        <f t="shared" ca="1" si="435"/>
        <v>0</v>
      </c>
      <c r="BL350" s="776">
        <f t="shared" ca="1" si="436"/>
        <v>0</v>
      </c>
      <c r="BM350" s="135"/>
      <c r="BN350" s="776">
        <f t="shared" ca="1" si="437"/>
        <v>0</v>
      </c>
      <c r="BO350" s="778">
        <f t="shared" ca="1" si="374"/>
        <v>0</v>
      </c>
      <c r="BP350" s="770">
        <f t="shared" ca="1" si="375"/>
        <v>0</v>
      </c>
      <c r="BQ350" s="771">
        <f t="shared" ca="1" si="376"/>
        <v>0</v>
      </c>
      <c r="BR350" s="771">
        <f t="shared" ca="1" si="377"/>
        <v>0</v>
      </c>
      <c r="BS350" s="776">
        <f t="shared" ca="1" si="438"/>
        <v>0</v>
      </c>
      <c r="BT350" s="776">
        <f t="shared" ca="1" si="378"/>
        <v>0</v>
      </c>
      <c r="BU350" s="783">
        <f t="shared" ca="1" si="379"/>
        <v>0</v>
      </c>
      <c r="BV350" s="783">
        <f t="shared" ca="1" si="380"/>
        <v>0</v>
      </c>
      <c r="BW350" s="1019">
        <f t="shared" ca="1" si="439"/>
        <v>0</v>
      </c>
      <c r="BX350" s="771" cm="1">
        <f t="array" aca="1" ref="BX350" ca="1">INDIRECT("'Definition of Typical Day'!"&amp; ADDRESS($D350+29*(BX$16-1),$E350))</f>
        <v>0</v>
      </c>
      <c r="BY350" s="771">
        <f t="shared" ca="1" si="440"/>
        <v>0</v>
      </c>
      <c r="BZ350" s="781">
        <f t="shared" ca="1" si="381"/>
        <v>0</v>
      </c>
      <c r="CA350" s="781">
        <f t="shared" ca="1" si="382"/>
        <v>0</v>
      </c>
      <c r="CB350" s="776">
        <f t="shared" ca="1" si="383"/>
        <v>0</v>
      </c>
      <c r="CC350" s="782">
        <f t="shared" si="384"/>
        <v>14</v>
      </c>
      <c r="CD350" s="782">
        <f t="shared" si="385"/>
        <v>18</v>
      </c>
      <c r="CE350" s="784" cm="1">
        <f t="array" aca="1" ref="CE350" ca="1">INDIRECT("'Definition of Typical Day'!"&amp;ADDRESS(CE$16,$E350))</f>
        <v>14</v>
      </c>
      <c r="CF350" s="232"/>
      <c r="CG350" s="232"/>
      <c r="CH350" s="776">
        <f t="shared" ca="1" si="386"/>
        <v>0</v>
      </c>
      <c r="CI350" s="806">
        <f t="shared" ca="1" si="387"/>
        <v>0</v>
      </c>
      <c r="CJ350" s="770">
        <f t="shared" ca="1" si="388"/>
        <v>0</v>
      </c>
      <c r="CK350" s="771">
        <f t="shared" ca="1" si="389"/>
        <v>0</v>
      </c>
      <c r="CL350" s="771">
        <f t="shared" ca="1" si="390"/>
        <v>0</v>
      </c>
      <c r="CM350" s="772">
        <f t="shared" ca="1" si="391"/>
        <v>0</v>
      </c>
      <c r="CN350" s="135"/>
      <c r="CO350" s="770">
        <f t="shared" ca="1" si="368"/>
        <v>1.05</v>
      </c>
      <c r="CP350" s="771">
        <f t="shared" ca="1" si="392"/>
        <v>0.02</v>
      </c>
      <c r="CQ350" s="771">
        <f t="shared" ca="1" si="393"/>
        <v>-2.5000000000000001E-2</v>
      </c>
      <c r="CR350" s="771">
        <f t="shared" ca="1" si="394"/>
        <v>0.95</v>
      </c>
      <c r="CS350" s="771">
        <f t="shared" ca="1" si="395"/>
        <v>0.03</v>
      </c>
      <c r="CT350" s="772">
        <f t="shared" ca="1" si="396"/>
        <v>0.02</v>
      </c>
      <c r="CU350" s="135"/>
      <c r="CV350" s="135"/>
      <c r="CW350" s="135"/>
      <c r="CX350" s="135"/>
      <c r="CY350" s="135"/>
      <c r="CZ350" s="135"/>
      <c r="DA350" s="135"/>
      <c r="DB350" s="135"/>
      <c r="DC350" s="135"/>
      <c r="DD350" s="135"/>
      <c r="DE350" s="135"/>
      <c r="DF350" s="135"/>
      <c r="DG350" s="135"/>
      <c r="DH350" s="135"/>
      <c r="DI350" s="135"/>
      <c r="DJ350" s="135"/>
      <c r="DK350" s="135"/>
      <c r="DL350" s="135"/>
      <c r="DX350" s="135"/>
      <c r="DY350" s="135"/>
      <c r="DZ350" s="135"/>
      <c r="EA350" s="135"/>
      <c r="EB350" s="135"/>
      <c r="EC350" s="135"/>
      <c r="ED350" s="135"/>
      <c r="EE350" s="135"/>
      <c r="EF350" s="135"/>
      <c r="EG350" s="135"/>
      <c r="EH350" s="135"/>
      <c r="EI350" s="135"/>
      <c r="EJ350" s="135"/>
      <c r="EK350" s="135"/>
      <c r="EL350" s="135"/>
      <c r="EM350" s="135"/>
      <c r="EN350" s="135"/>
      <c r="EO350" s="135"/>
      <c r="EP350" s="135"/>
      <c r="EQ350" s="135"/>
      <c r="ER350" s="135"/>
      <c r="ES350" s="135"/>
      <c r="ET350" s="135"/>
      <c r="EU350" s="135"/>
      <c r="EV350" s="135"/>
      <c r="EW350" s="135"/>
      <c r="EX350" s="135"/>
      <c r="EY350" s="135"/>
      <c r="EZ350" s="135"/>
      <c r="FA350" s="135"/>
      <c r="FB350" s="135"/>
      <c r="FC350" s="135"/>
      <c r="FD350" s="135"/>
      <c r="FE350" s="135"/>
      <c r="FF350" s="135"/>
      <c r="FG350" s="135"/>
    </row>
    <row r="351" spans="1:163" s="57" customFormat="1" ht="11.25" outlineLevel="1">
      <c r="A351" s="765">
        <f t="shared" si="369"/>
        <v>14</v>
      </c>
      <c r="B351" s="715" cm="1">
        <f t="array" aca="1" ref="B351" ca="1">INDIRECT("'Definition of Typical Day'!"&amp;ADDRESS(B$16,$E351))</f>
        <v>14</v>
      </c>
      <c r="C351" s="766">
        <f t="shared" si="370"/>
        <v>19</v>
      </c>
      <c r="D351" s="715">
        <f t="shared" si="370"/>
        <v>53</v>
      </c>
      <c r="E351" s="715">
        <f t="shared" si="371"/>
        <v>18</v>
      </c>
      <c r="F351" s="767" cm="1">
        <f t="array" aca="1" ref="F351" ca="1">INDIRECT("'Definition of Typical Day'!D"&amp;D351)</f>
        <v>19</v>
      </c>
      <c r="G351" s="767" cm="1">
        <f t="array" aca="1" ref="G351" ca="1">INDIRECT("'Definition of Typical Day'!"&amp;ADDRESS(13,E351))</f>
        <v>14</v>
      </c>
      <c r="H351" s="768" cm="1">
        <f t="array" aca="1" ref="H351" ca="1">INDIRECT("'Definition of Typical Day'!"&amp; ADDRESS($D351+28*(H$16-1),$E351))</f>
        <v>0</v>
      </c>
      <c r="I351" s="715" cm="1">
        <f t="array" aca="1" ref="I351" ca="1">INDIRECT("'Definition of Typical Day'!"&amp; ADDRESS($D351+29*(I$16-1),$E351))</f>
        <v>0</v>
      </c>
      <c r="J351" s="715">
        <f t="shared" ca="1" si="397"/>
        <v>0</v>
      </c>
      <c r="K351" s="785">
        <f t="shared" si="398"/>
        <v>28</v>
      </c>
      <c r="L351" s="786" cm="1">
        <f t="array" aca="1" ref="L351" ca="1">INDIRECT("'Definition of Typical Day'!"&amp; ADDRESS($D351+29*(L$16-1),$E351))</f>
        <v>0</v>
      </c>
      <c r="M351" s="768" cm="1">
        <f t="array" aca="1" ref="M351" ca="1">INDIRECT("'Definition of Typical Day'!"&amp; ADDRESS($D351+29*(M$16-1),$E351))</f>
        <v>0</v>
      </c>
      <c r="N351" s="715">
        <f t="shared" si="399"/>
        <v>3</v>
      </c>
      <c r="O351" s="715">
        <f t="shared" ca="1" si="400"/>
        <v>3</v>
      </c>
      <c r="P351" s="715" cm="1">
        <f t="array" aca="1" ref="P351" ca="1">INDIRECT("'Definition of Typical Day'!"&amp; ADDRESS($D351+29*(P$16-1),$E351))</f>
        <v>0</v>
      </c>
      <c r="Q351" s="787">
        <f t="shared" ca="1" si="401"/>
        <v>3</v>
      </c>
      <c r="R351" s="792">
        <f t="shared" ca="1" si="402"/>
        <v>3</v>
      </c>
      <c r="S351" s="769">
        <f t="shared" si="403"/>
        <v>3</v>
      </c>
      <c r="T351" s="769">
        <f t="shared" ca="1" si="404"/>
        <v>-0.5</v>
      </c>
      <c r="U351" s="769">
        <f t="shared" ca="1" si="405"/>
        <v>2.262</v>
      </c>
      <c r="V351" s="769">
        <f t="shared" ca="1" si="406"/>
        <v>0</v>
      </c>
      <c r="W351" s="769">
        <f t="shared" ca="1" si="407"/>
        <v>4.7620000000000005</v>
      </c>
      <c r="X351" s="794">
        <f t="shared" si="408"/>
        <v>3</v>
      </c>
      <c r="Y351" s="769">
        <f t="shared" ca="1" si="409"/>
        <v>0.54772255750516607</v>
      </c>
      <c r="Z351" s="769">
        <f t="shared" ca="1" si="410"/>
        <v>0</v>
      </c>
      <c r="AA351" s="795">
        <f t="shared" ca="1" si="411"/>
        <v>0</v>
      </c>
      <c r="AB351" s="769">
        <f t="shared" ca="1" si="412"/>
        <v>0</v>
      </c>
      <c r="AC351" s="769">
        <f t="shared" ca="1" si="413"/>
        <v>0</v>
      </c>
      <c r="AD351" s="769">
        <f t="shared" ca="1" si="414"/>
        <v>0</v>
      </c>
      <c r="AE351" s="794">
        <f t="shared" ca="1" si="415"/>
        <v>0</v>
      </c>
      <c r="AF351" s="769">
        <f t="shared" ca="1" si="416"/>
        <v>0</v>
      </c>
      <c r="AG351" s="769">
        <f t="shared" ca="1" si="417"/>
        <v>0</v>
      </c>
      <c r="AH351" s="799">
        <f t="shared" ca="1" si="418"/>
        <v>0</v>
      </c>
      <c r="AI351" s="801">
        <f t="shared" ca="1" si="419"/>
        <v>1</v>
      </c>
      <c r="AJ351" s="794">
        <f t="shared" ca="1" si="420"/>
        <v>0</v>
      </c>
      <c r="AK351" s="769">
        <f t="shared" ca="1" si="421"/>
        <v>0</v>
      </c>
      <c r="AL351" s="769">
        <f t="shared" ca="1" si="422"/>
        <v>0</v>
      </c>
      <c r="AM351" s="804">
        <f t="shared" ca="1" si="372"/>
        <v>0</v>
      </c>
      <c r="AN351" s="795">
        <f t="shared" ca="1" si="373"/>
        <v>0</v>
      </c>
      <c r="AO351" s="251"/>
      <c r="AP351" s="770">
        <f t="shared" si="423"/>
        <v>0</v>
      </c>
      <c r="AQ351" s="771">
        <f t="shared" ca="1" si="424"/>
        <v>0</v>
      </c>
      <c r="AR351" s="771">
        <f t="shared" ca="1" si="425"/>
        <v>0</v>
      </c>
      <c r="AS351" s="772">
        <f t="shared" ca="1" si="426"/>
        <v>0</v>
      </c>
      <c r="AT351" s="231"/>
      <c r="AU351" s="770">
        <f>'Main Results - IRR DC Operator'!$F$16</f>
        <v>2</v>
      </c>
      <c r="AV351" s="773">
        <f>'Main Results - IRR DC Operator'!$F$15</f>
        <v>1</v>
      </c>
      <c r="AW351" s="771">
        <f t="shared" ca="1" si="427"/>
        <v>0</v>
      </c>
      <c r="AX351" s="772">
        <f t="shared" si="428"/>
        <v>0</v>
      </c>
      <c r="AY351" s="231"/>
      <c r="AZ351" s="770" cm="1">
        <f t="array" aca="1" ref="AZ351" ca="1">INDIRECT("'Definition of Typical Day'!"&amp; ADDRESS($D351+29*(AZ$16-1),$E351))+$AZ$17</f>
        <v>11</v>
      </c>
      <c r="BA351" s="771" cm="1">
        <f t="array" aca="1" ref="BA351" ca="1">INDIRECT("'Definition of Typical Day'!"&amp; ADDRESS($D351+29*(BA$16-1),$E351))+$BA$17</f>
        <v>11</v>
      </c>
      <c r="BB351" s="772" cm="1">
        <f t="array" aca="1" ref="BB351" ca="1">INDIRECT("'Definition of Typical Day'!"&amp;ADDRESS(BB$16,$E351))</f>
        <v>0</v>
      </c>
      <c r="BC351" s="776" cm="1">
        <f t="array" aca="1" ref="BC351" ca="1">INDIRECT("'Definition of Typical Day'!"&amp; ADDRESS($D351+29*(BC$16-1),$E351))</f>
        <v>0</v>
      </c>
      <c r="BD351" s="777" cm="1">
        <f t="array" aca="1" ref="BD351" ca="1">INDIRECT("'Definition of Typical Day'!"&amp; ADDRESS($D351+29*(BD$16-1),$E351))</f>
        <v>0</v>
      </c>
      <c r="BE351" s="776">
        <f t="shared" si="429"/>
        <v>0</v>
      </c>
      <c r="BF351" s="771">
        <f t="shared" ca="1" si="430"/>
        <v>0</v>
      </c>
      <c r="BG351" s="771">
        <f t="shared" ca="1" si="431"/>
        <v>0</v>
      </c>
      <c r="BH351" s="771">
        <f t="shared" ca="1" si="432"/>
        <v>0</v>
      </c>
      <c r="BI351" s="776">
        <f t="shared" ca="1" si="433"/>
        <v>0</v>
      </c>
      <c r="BJ351" s="776">
        <f t="shared" ca="1" si="434"/>
        <v>0</v>
      </c>
      <c r="BK351" s="776">
        <f t="shared" ca="1" si="435"/>
        <v>0</v>
      </c>
      <c r="BL351" s="776">
        <f t="shared" ca="1" si="436"/>
        <v>0</v>
      </c>
      <c r="BM351" s="135"/>
      <c r="BN351" s="776">
        <f t="shared" ca="1" si="437"/>
        <v>0</v>
      </c>
      <c r="BO351" s="778">
        <f t="shared" ca="1" si="374"/>
        <v>0</v>
      </c>
      <c r="BP351" s="770">
        <f t="shared" ca="1" si="375"/>
        <v>0</v>
      </c>
      <c r="BQ351" s="771">
        <f t="shared" ca="1" si="376"/>
        <v>0</v>
      </c>
      <c r="BR351" s="771">
        <f t="shared" ca="1" si="377"/>
        <v>0</v>
      </c>
      <c r="BS351" s="776">
        <f t="shared" ca="1" si="438"/>
        <v>0</v>
      </c>
      <c r="BT351" s="776">
        <f t="shared" ca="1" si="378"/>
        <v>0</v>
      </c>
      <c r="BU351" s="783">
        <f t="shared" ca="1" si="379"/>
        <v>0</v>
      </c>
      <c r="BV351" s="783">
        <f t="shared" ca="1" si="380"/>
        <v>0</v>
      </c>
      <c r="BW351" s="1019">
        <f t="shared" ca="1" si="439"/>
        <v>0</v>
      </c>
      <c r="BX351" s="771" cm="1">
        <f t="array" aca="1" ref="BX351" ca="1">INDIRECT("'Definition of Typical Day'!"&amp; ADDRESS($D351+29*(BX$16-1),$E351))</f>
        <v>0</v>
      </c>
      <c r="BY351" s="771">
        <f t="shared" ca="1" si="440"/>
        <v>0</v>
      </c>
      <c r="BZ351" s="781">
        <f t="shared" ca="1" si="381"/>
        <v>0</v>
      </c>
      <c r="CA351" s="781">
        <f t="shared" ca="1" si="382"/>
        <v>0</v>
      </c>
      <c r="CB351" s="776">
        <f t="shared" ca="1" si="383"/>
        <v>0</v>
      </c>
      <c r="CC351" s="782">
        <f t="shared" si="384"/>
        <v>14</v>
      </c>
      <c r="CD351" s="782">
        <f t="shared" si="385"/>
        <v>19</v>
      </c>
      <c r="CE351" s="784" cm="1">
        <f t="array" aca="1" ref="CE351" ca="1">INDIRECT("'Definition of Typical Day'!"&amp;ADDRESS(CE$16,$E351))</f>
        <v>14</v>
      </c>
      <c r="CF351" s="232"/>
      <c r="CG351" s="232"/>
      <c r="CH351" s="776">
        <f t="shared" ca="1" si="386"/>
        <v>0</v>
      </c>
      <c r="CI351" s="806">
        <f t="shared" ca="1" si="387"/>
        <v>0</v>
      </c>
      <c r="CJ351" s="770">
        <f t="shared" ca="1" si="388"/>
        <v>0</v>
      </c>
      <c r="CK351" s="771">
        <f t="shared" ca="1" si="389"/>
        <v>0</v>
      </c>
      <c r="CL351" s="771">
        <f t="shared" ca="1" si="390"/>
        <v>0</v>
      </c>
      <c r="CM351" s="772">
        <f t="shared" ca="1" si="391"/>
        <v>0</v>
      </c>
      <c r="CN351" s="135"/>
      <c r="CO351" s="770">
        <f t="shared" ref="CO351:CO414" ca="1" si="441">IF(BU351&gt;BX351,3%,105%)</f>
        <v>1.05</v>
      </c>
      <c r="CP351" s="771">
        <f t="shared" ca="1" si="392"/>
        <v>0.02</v>
      </c>
      <c r="CQ351" s="771">
        <f t="shared" ca="1" si="393"/>
        <v>-2.5000000000000001E-2</v>
      </c>
      <c r="CR351" s="771">
        <f t="shared" ca="1" si="394"/>
        <v>0.95</v>
      </c>
      <c r="CS351" s="771">
        <f t="shared" ca="1" si="395"/>
        <v>0.03</v>
      </c>
      <c r="CT351" s="772">
        <f t="shared" ca="1" si="396"/>
        <v>0.02</v>
      </c>
      <c r="CU351" s="135"/>
      <c r="CV351" s="135"/>
      <c r="CW351" s="135"/>
      <c r="CX351" s="135"/>
      <c r="CY351" s="135"/>
      <c r="CZ351" s="135"/>
      <c r="DA351" s="135"/>
      <c r="DB351" s="135"/>
      <c r="DC351" s="135"/>
      <c r="DD351" s="135"/>
      <c r="DE351" s="135"/>
      <c r="DF351" s="135"/>
      <c r="DG351" s="135"/>
      <c r="DH351" s="135"/>
      <c r="DI351" s="135"/>
      <c r="DJ351" s="135"/>
      <c r="DK351" s="135"/>
      <c r="DL351" s="135"/>
      <c r="DX351" s="135"/>
      <c r="DY351" s="135"/>
      <c r="DZ351" s="135"/>
      <c r="EA351" s="135"/>
      <c r="EB351" s="135"/>
      <c r="EC351" s="135"/>
      <c r="ED351" s="135"/>
      <c r="EE351" s="135"/>
      <c r="EF351" s="135"/>
      <c r="EG351" s="135"/>
      <c r="EH351" s="135"/>
      <c r="EI351" s="135"/>
      <c r="EJ351" s="135"/>
      <c r="EK351" s="135"/>
      <c r="EL351" s="135"/>
      <c r="EM351" s="135"/>
      <c r="EN351" s="135"/>
      <c r="EO351" s="135"/>
      <c r="EP351" s="135"/>
      <c r="EQ351" s="135"/>
      <c r="ER351" s="135"/>
      <c r="ES351" s="135"/>
      <c r="ET351" s="135"/>
      <c r="EU351" s="135"/>
      <c r="EV351" s="135"/>
      <c r="EW351" s="135"/>
      <c r="EX351" s="135"/>
      <c r="EY351" s="135"/>
      <c r="EZ351" s="135"/>
      <c r="FA351" s="135"/>
      <c r="FB351" s="135"/>
      <c r="FC351" s="135"/>
      <c r="FD351" s="135"/>
      <c r="FE351" s="135"/>
      <c r="FF351" s="135"/>
      <c r="FG351" s="135"/>
    </row>
    <row r="352" spans="1:163" s="57" customFormat="1" ht="11.25" outlineLevel="1">
      <c r="A352" s="765">
        <f t="shared" si="369"/>
        <v>14</v>
      </c>
      <c r="B352" s="715" cm="1">
        <f t="array" aca="1" ref="B352" ca="1">INDIRECT("'Definition of Typical Day'!"&amp;ADDRESS(B$16,$E352))</f>
        <v>14</v>
      </c>
      <c r="C352" s="766">
        <f t="shared" si="370"/>
        <v>20</v>
      </c>
      <c r="D352" s="715">
        <f t="shared" si="370"/>
        <v>54</v>
      </c>
      <c r="E352" s="715">
        <f t="shared" si="371"/>
        <v>18</v>
      </c>
      <c r="F352" s="767" cm="1">
        <f t="array" aca="1" ref="F352" ca="1">INDIRECT("'Definition of Typical Day'!D"&amp;D352)</f>
        <v>20</v>
      </c>
      <c r="G352" s="767" cm="1">
        <f t="array" aca="1" ref="G352" ca="1">INDIRECT("'Definition of Typical Day'!"&amp;ADDRESS(13,E352))</f>
        <v>14</v>
      </c>
      <c r="H352" s="768" cm="1">
        <f t="array" aca="1" ref="H352" ca="1">INDIRECT("'Definition of Typical Day'!"&amp; ADDRESS($D352+28*(H$16-1),$E352))</f>
        <v>0</v>
      </c>
      <c r="I352" s="715" cm="1">
        <f t="array" aca="1" ref="I352" ca="1">INDIRECT("'Definition of Typical Day'!"&amp; ADDRESS($D352+29*(I$16-1),$E352))</f>
        <v>0</v>
      </c>
      <c r="J352" s="715">
        <f t="shared" ca="1" si="397"/>
        <v>0</v>
      </c>
      <c r="K352" s="785">
        <f t="shared" si="398"/>
        <v>28</v>
      </c>
      <c r="L352" s="786" cm="1">
        <f t="array" aca="1" ref="L352" ca="1">INDIRECT("'Definition of Typical Day'!"&amp; ADDRESS($D352+29*(L$16-1),$E352))</f>
        <v>0</v>
      </c>
      <c r="M352" s="768" cm="1">
        <f t="array" aca="1" ref="M352" ca="1">INDIRECT("'Definition of Typical Day'!"&amp; ADDRESS($D352+29*(M$16-1),$E352))</f>
        <v>0</v>
      </c>
      <c r="N352" s="715">
        <f t="shared" si="399"/>
        <v>3</v>
      </c>
      <c r="O352" s="715">
        <f t="shared" ca="1" si="400"/>
        <v>3</v>
      </c>
      <c r="P352" s="715" cm="1">
        <f t="array" aca="1" ref="P352" ca="1">INDIRECT("'Definition of Typical Day'!"&amp; ADDRESS($D352+29*(P$16-1),$E352))</f>
        <v>0</v>
      </c>
      <c r="Q352" s="787">
        <f t="shared" ca="1" si="401"/>
        <v>3</v>
      </c>
      <c r="R352" s="792">
        <f t="shared" ca="1" si="402"/>
        <v>3</v>
      </c>
      <c r="S352" s="769">
        <f t="shared" si="403"/>
        <v>3</v>
      </c>
      <c r="T352" s="769">
        <f t="shared" ca="1" si="404"/>
        <v>-0.5</v>
      </c>
      <c r="U352" s="769">
        <f t="shared" ca="1" si="405"/>
        <v>2.262</v>
      </c>
      <c r="V352" s="769">
        <f t="shared" ca="1" si="406"/>
        <v>0</v>
      </c>
      <c r="W352" s="769">
        <f t="shared" ca="1" si="407"/>
        <v>4.7620000000000005</v>
      </c>
      <c r="X352" s="794">
        <f t="shared" si="408"/>
        <v>3</v>
      </c>
      <c r="Y352" s="769">
        <f t="shared" ca="1" si="409"/>
        <v>0.54772255750516607</v>
      </c>
      <c r="Z352" s="769">
        <f t="shared" ca="1" si="410"/>
        <v>0</v>
      </c>
      <c r="AA352" s="795">
        <f t="shared" ca="1" si="411"/>
        <v>0</v>
      </c>
      <c r="AB352" s="769">
        <f t="shared" ca="1" si="412"/>
        <v>0</v>
      </c>
      <c r="AC352" s="769">
        <f t="shared" ca="1" si="413"/>
        <v>0</v>
      </c>
      <c r="AD352" s="769">
        <f t="shared" ca="1" si="414"/>
        <v>0</v>
      </c>
      <c r="AE352" s="794">
        <f t="shared" ca="1" si="415"/>
        <v>0</v>
      </c>
      <c r="AF352" s="769">
        <f t="shared" ca="1" si="416"/>
        <v>0</v>
      </c>
      <c r="AG352" s="769">
        <f t="shared" ca="1" si="417"/>
        <v>0</v>
      </c>
      <c r="AH352" s="799">
        <f t="shared" ca="1" si="418"/>
        <v>0</v>
      </c>
      <c r="AI352" s="801">
        <f t="shared" ca="1" si="419"/>
        <v>1</v>
      </c>
      <c r="AJ352" s="794">
        <f t="shared" ca="1" si="420"/>
        <v>0</v>
      </c>
      <c r="AK352" s="769">
        <f t="shared" ca="1" si="421"/>
        <v>0</v>
      </c>
      <c r="AL352" s="769">
        <f t="shared" ca="1" si="422"/>
        <v>0</v>
      </c>
      <c r="AM352" s="804">
        <f t="shared" ca="1" si="372"/>
        <v>0</v>
      </c>
      <c r="AN352" s="795">
        <f t="shared" ca="1" si="373"/>
        <v>0</v>
      </c>
      <c r="AO352" s="251"/>
      <c r="AP352" s="770">
        <f t="shared" si="423"/>
        <v>0</v>
      </c>
      <c r="AQ352" s="771">
        <f t="shared" ca="1" si="424"/>
        <v>0</v>
      </c>
      <c r="AR352" s="771">
        <f t="shared" ca="1" si="425"/>
        <v>0</v>
      </c>
      <c r="AS352" s="772">
        <f t="shared" ca="1" si="426"/>
        <v>0</v>
      </c>
      <c r="AT352" s="231"/>
      <c r="AU352" s="770">
        <f>'Main Results - IRR DC Operator'!$F$16</f>
        <v>2</v>
      </c>
      <c r="AV352" s="773">
        <f>'Main Results - IRR DC Operator'!$F$15</f>
        <v>1</v>
      </c>
      <c r="AW352" s="771">
        <f t="shared" ca="1" si="427"/>
        <v>0</v>
      </c>
      <c r="AX352" s="772">
        <f t="shared" si="428"/>
        <v>0</v>
      </c>
      <c r="AY352" s="231"/>
      <c r="AZ352" s="770" cm="1">
        <f t="array" aca="1" ref="AZ352" ca="1">INDIRECT("'Definition of Typical Day'!"&amp; ADDRESS($D352+29*(AZ$16-1),$E352))+$AZ$17</f>
        <v>11</v>
      </c>
      <c r="BA352" s="771" cm="1">
        <f t="array" aca="1" ref="BA352" ca="1">INDIRECT("'Definition of Typical Day'!"&amp; ADDRESS($D352+29*(BA$16-1),$E352))+$BA$17</f>
        <v>11</v>
      </c>
      <c r="BB352" s="772" cm="1">
        <f t="array" aca="1" ref="BB352" ca="1">INDIRECT("'Definition of Typical Day'!"&amp;ADDRESS(BB$16,$E352))</f>
        <v>0</v>
      </c>
      <c r="BC352" s="776" cm="1">
        <f t="array" aca="1" ref="BC352" ca="1">INDIRECT("'Definition of Typical Day'!"&amp; ADDRESS($D352+29*(BC$16-1),$E352))</f>
        <v>0</v>
      </c>
      <c r="BD352" s="777" cm="1">
        <f t="array" aca="1" ref="BD352" ca="1">INDIRECT("'Definition of Typical Day'!"&amp; ADDRESS($D352+29*(BD$16-1),$E352))</f>
        <v>0</v>
      </c>
      <c r="BE352" s="776">
        <f t="shared" si="429"/>
        <v>0</v>
      </c>
      <c r="BF352" s="771">
        <f t="shared" ca="1" si="430"/>
        <v>0</v>
      </c>
      <c r="BG352" s="771">
        <f t="shared" ca="1" si="431"/>
        <v>0</v>
      </c>
      <c r="BH352" s="771">
        <f t="shared" ca="1" si="432"/>
        <v>0</v>
      </c>
      <c r="BI352" s="776">
        <f t="shared" ca="1" si="433"/>
        <v>0</v>
      </c>
      <c r="BJ352" s="776">
        <f t="shared" ca="1" si="434"/>
        <v>0</v>
      </c>
      <c r="BK352" s="776">
        <f t="shared" ca="1" si="435"/>
        <v>0</v>
      </c>
      <c r="BL352" s="776">
        <f t="shared" ca="1" si="436"/>
        <v>0</v>
      </c>
      <c r="BM352" s="135"/>
      <c r="BN352" s="776">
        <f t="shared" ca="1" si="437"/>
        <v>0</v>
      </c>
      <c r="BO352" s="778">
        <f t="shared" ca="1" si="374"/>
        <v>0</v>
      </c>
      <c r="BP352" s="770">
        <f t="shared" ca="1" si="375"/>
        <v>0</v>
      </c>
      <c r="BQ352" s="771">
        <f t="shared" ca="1" si="376"/>
        <v>0</v>
      </c>
      <c r="BR352" s="771">
        <f t="shared" ca="1" si="377"/>
        <v>0</v>
      </c>
      <c r="BS352" s="776">
        <f t="shared" ca="1" si="438"/>
        <v>0</v>
      </c>
      <c r="BT352" s="776">
        <f t="shared" ca="1" si="378"/>
        <v>0</v>
      </c>
      <c r="BU352" s="783">
        <f t="shared" ca="1" si="379"/>
        <v>0</v>
      </c>
      <c r="BV352" s="783">
        <f t="shared" ca="1" si="380"/>
        <v>0</v>
      </c>
      <c r="BW352" s="1019">
        <f t="shared" ca="1" si="439"/>
        <v>0</v>
      </c>
      <c r="BX352" s="771" cm="1">
        <f t="array" aca="1" ref="BX352" ca="1">INDIRECT("'Definition of Typical Day'!"&amp; ADDRESS($D352+29*(BX$16-1),$E352))</f>
        <v>0</v>
      </c>
      <c r="BY352" s="771">
        <f t="shared" ca="1" si="440"/>
        <v>0</v>
      </c>
      <c r="BZ352" s="781">
        <f t="shared" ca="1" si="381"/>
        <v>0</v>
      </c>
      <c r="CA352" s="781">
        <f t="shared" ca="1" si="382"/>
        <v>0</v>
      </c>
      <c r="CB352" s="776">
        <f t="shared" ca="1" si="383"/>
        <v>0</v>
      </c>
      <c r="CC352" s="782">
        <f t="shared" si="384"/>
        <v>14</v>
      </c>
      <c r="CD352" s="782">
        <f t="shared" si="385"/>
        <v>20</v>
      </c>
      <c r="CE352" s="784" cm="1">
        <f t="array" aca="1" ref="CE352" ca="1">INDIRECT("'Definition of Typical Day'!"&amp;ADDRESS(CE$16,$E352))</f>
        <v>14</v>
      </c>
      <c r="CF352" s="232"/>
      <c r="CG352" s="232"/>
      <c r="CH352" s="776">
        <f t="shared" ca="1" si="386"/>
        <v>0</v>
      </c>
      <c r="CI352" s="806">
        <f t="shared" ca="1" si="387"/>
        <v>0</v>
      </c>
      <c r="CJ352" s="770">
        <f t="shared" ca="1" si="388"/>
        <v>0</v>
      </c>
      <c r="CK352" s="771">
        <f t="shared" ca="1" si="389"/>
        <v>0</v>
      </c>
      <c r="CL352" s="771">
        <f t="shared" ca="1" si="390"/>
        <v>0</v>
      </c>
      <c r="CM352" s="772">
        <f t="shared" ca="1" si="391"/>
        <v>0</v>
      </c>
      <c r="CN352" s="135"/>
      <c r="CO352" s="770">
        <f t="shared" ca="1" si="441"/>
        <v>1.05</v>
      </c>
      <c r="CP352" s="771">
        <f t="shared" ca="1" si="392"/>
        <v>0.02</v>
      </c>
      <c r="CQ352" s="771">
        <f t="shared" ca="1" si="393"/>
        <v>-2.5000000000000001E-2</v>
      </c>
      <c r="CR352" s="771">
        <f t="shared" ca="1" si="394"/>
        <v>0.95</v>
      </c>
      <c r="CS352" s="771">
        <f t="shared" ca="1" si="395"/>
        <v>0.03</v>
      </c>
      <c r="CT352" s="772">
        <f t="shared" ca="1" si="396"/>
        <v>0.02</v>
      </c>
      <c r="CU352" s="135"/>
      <c r="CV352" s="135"/>
      <c r="CW352" s="135"/>
      <c r="CX352" s="135"/>
      <c r="CY352" s="135"/>
      <c r="CZ352" s="135"/>
      <c r="DA352" s="135"/>
      <c r="DB352" s="135"/>
      <c r="DC352" s="135"/>
      <c r="DD352" s="135"/>
      <c r="DE352" s="135"/>
      <c r="DF352" s="135"/>
      <c r="DG352" s="135"/>
      <c r="DH352" s="135"/>
      <c r="DI352" s="135"/>
      <c r="DJ352" s="135"/>
      <c r="DK352" s="135"/>
      <c r="DL352" s="135"/>
      <c r="DX352" s="135"/>
      <c r="DY352" s="135"/>
      <c r="DZ352" s="135"/>
      <c r="EA352" s="135"/>
      <c r="EB352" s="135"/>
      <c r="EC352" s="135"/>
      <c r="ED352" s="135"/>
      <c r="EE352" s="135"/>
      <c r="EF352" s="135"/>
      <c r="EG352" s="135"/>
      <c r="EH352" s="135"/>
      <c r="EI352" s="135"/>
      <c r="EJ352" s="135"/>
      <c r="EK352" s="135"/>
      <c r="EL352" s="135"/>
      <c r="EM352" s="135"/>
      <c r="EN352" s="135"/>
      <c r="EO352" s="135"/>
      <c r="EP352" s="135"/>
      <c r="EQ352" s="135"/>
      <c r="ER352" s="135"/>
      <c r="ES352" s="135"/>
      <c r="ET352" s="135"/>
      <c r="EU352" s="135"/>
      <c r="EV352" s="135"/>
      <c r="EW352" s="135"/>
      <c r="EX352" s="135"/>
      <c r="EY352" s="135"/>
      <c r="EZ352" s="135"/>
      <c r="FA352" s="135"/>
      <c r="FB352" s="135"/>
      <c r="FC352" s="135"/>
      <c r="FD352" s="135"/>
      <c r="FE352" s="135"/>
      <c r="FF352" s="135"/>
      <c r="FG352" s="135"/>
    </row>
    <row r="353" spans="1:163" s="57" customFormat="1" ht="11.25" outlineLevel="1">
      <c r="A353" s="765">
        <f t="shared" si="369"/>
        <v>14</v>
      </c>
      <c r="B353" s="715" cm="1">
        <f t="array" aca="1" ref="B353" ca="1">INDIRECT("'Definition of Typical Day'!"&amp;ADDRESS(B$16,$E353))</f>
        <v>14</v>
      </c>
      <c r="C353" s="766">
        <f t="shared" si="370"/>
        <v>21</v>
      </c>
      <c r="D353" s="715">
        <f t="shared" si="370"/>
        <v>55</v>
      </c>
      <c r="E353" s="715">
        <f t="shared" si="371"/>
        <v>18</v>
      </c>
      <c r="F353" s="767" cm="1">
        <f t="array" aca="1" ref="F353" ca="1">INDIRECT("'Definition of Typical Day'!D"&amp;D353)</f>
        <v>21</v>
      </c>
      <c r="G353" s="767" cm="1">
        <f t="array" aca="1" ref="G353" ca="1">INDIRECT("'Definition of Typical Day'!"&amp;ADDRESS(13,E353))</f>
        <v>14</v>
      </c>
      <c r="H353" s="768" cm="1">
        <f t="array" aca="1" ref="H353" ca="1">INDIRECT("'Definition of Typical Day'!"&amp; ADDRESS($D353+28*(H$16-1),$E353))</f>
        <v>0</v>
      </c>
      <c r="I353" s="715" cm="1">
        <f t="array" aca="1" ref="I353" ca="1">INDIRECT("'Definition of Typical Day'!"&amp; ADDRESS($D353+29*(I$16-1),$E353))</f>
        <v>0</v>
      </c>
      <c r="J353" s="715">
        <f t="shared" ca="1" si="397"/>
        <v>0</v>
      </c>
      <c r="K353" s="785">
        <f t="shared" si="398"/>
        <v>28</v>
      </c>
      <c r="L353" s="786" cm="1">
        <f t="array" aca="1" ref="L353" ca="1">INDIRECT("'Definition of Typical Day'!"&amp; ADDRESS($D353+29*(L$16-1),$E353))</f>
        <v>0</v>
      </c>
      <c r="M353" s="768" cm="1">
        <f t="array" aca="1" ref="M353" ca="1">INDIRECT("'Definition of Typical Day'!"&amp; ADDRESS($D353+29*(M$16-1),$E353))</f>
        <v>0</v>
      </c>
      <c r="N353" s="715">
        <f t="shared" si="399"/>
        <v>3</v>
      </c>
      <c r="O353" s="715">
        <f t="shared" ca="1" si="400"/>
        <v>3</v>
      </c>
      <c r="P353" s="715" cm="1">
        <f t="array" aca="1" ref="P353" ca="1">INDIRECT("'Definition of Typical Day'!"&amp; ADDRESS($D353+29*(P$16-1),$E353))</f>
        <v>0</v>
      </c>
      <c r="Q353" s="787">
        <f t="shared" ca="1" si="401"/>
        <v>3</v>
      </c>
      <c r="R353" s="792">
        <f t="shared" ca="1" si="402"/>
        <v>3</v>
      </c>
      <c r="S353" s="769">
        <f t="shared" si="403"/>
        <v>3</v>
      </c>
      <c r="T353" s="769">
        <f t="shared" ca="1" si="404"/>
        <v>-0.5</v>
      </c>
      <c r="U353" s="769">
        <f t="shared" ca="1" si="405"/>
        <v>2.262</v>
      </c>
      <c r="V353" s="769">
        <f t="shared" ca="1" si="406"/>
        <v>0</v>
      </c>
      <c r="W353" s="769">
        <f t="shared" ca="1" si="407"/>
        <v>4.7620000000000005</v>
      </c>
      <c r="X353" s="794">
        <f t="shared" si="408"/>
        <v>3</v>
      </c>
      <c r="Y353" s="769">
        <f t="shared" ca="1" si="409"/>
        <v>0.54772255750516607</v>
      </c>
      <c r="Z353" s="769">
        <f t="shared" ca="1" si="410"/>
        <v>0</v>
      </c>
      <c r="AA353" s="795">
        <f t="shared" ca="1" si="411"/>
        <v>0</v>
      </c>
      <c r="AB353" s="769">
        <f t="shared" ca="1" si="412"/>
        <v>0</v>
      </c>
      <c r="AC353" s="769">
        <f t="shared" ca="1" si="413"/>
        <v>0</v>
      </c>
      <c r="AD353" s="769">
        <f t="shared" ca="1" si="414"/>
        <v>0</v>
      </c>
      <c r="AE353" s="794">
        <f t="shared" ca="1" si="415"/>
        <v>0</v>
      </c>
      <c r="AF353" s="769">
        <f t="shared" ca="1" si="416"/>
        <v>0</v>
      </c>
      <c r="AG353" s="769">
        <f t="shared" ca="1" si="417"/>
        <v>0</v>
      </c>
      <c r="AH353" s="799">
        <f t="shared" ca="1" si="418"/>
        <v>0</v>
      </c>
      <c r="AI353" s="801">
        <f t="shared" ca="1" si="419"/>
        <v>1</v>
      </c>
      <c r="AJ353" s="794">
        <f t="shared" ca="1" si="420"/>
        <v>0</v>
      </c>
      <c r="AK353" s="769">
        <f t="shared" ca="1" si="421"/>
        <v>0</v>
      </c>
      <c r="AL353" s="769">
        <f t="shared" ca="1" si="422"/>
        <v>0</v>
      </c>
      <c r="AM353" s="804">
        <f t="shared" ca="1" si="372"/>
        <v>0</v>
      </c>
      <c r="AN353" s="795">
        <f t="shared" ca="1" si="373"/>
        <v>0</v>
      </c>
      <c r="AO353" s="251"/>
      <c r="AP353" s="770">
        <f t="shared" si="423"/>
        <v>0</v>
      </c>
      <c r="AQ353" s="771">
        <f t="shared" ca="1" si="424"/>
        <v>0</v>
      </c>
      <c r="AR353" s="771">
        <f t="shared" ca="1" si="425"/>
        <v>0</v>
      </c>
      <c r="AS353" s="772">
        <f t="shared" ca="1" si="426"/>
        <v>0</v>
      </c>
      <c r="AT353" s="231"/>
      <c r="AU353" s="770">
        <f>'Main Results - IRR DC Operator'!$F$16</f>
        <v>2</v>
      </c>
      <c r="AV353" s="773">
        <f>'Main Results - IRR DC Operator'!$F$15</f>
        <v>1</v>
      </c>
      <c r="AW353" s="771">
        <f t="shared" ca="1" si="427"/>
        <v>0</v>
      </c>
      <c r="AX353" s="772">
        <f t="shared" si="428"/>
        <v>0</v>
      </c>
      <c r="AY353" s="231"/>
      <c r="AZ353" s="770" cm="1">
        <f t="array" aca="1" ref="AZ353" ca="1">INDIRECT("'Definition of Typical Day'!"&amp; ADDRESS($D353+29*(AZ$16-1),$E353))+$AZ$17</f>
        <v>11</v>
      </c>
      <c r="BA353" s="771" cm="1">
        <f t="array" aca="1" ref="BA353" ca="1">INDIRECT("'Definition of Typical Day'!"&amp; ADDRESS($D353+29*(BA$16-1),$E353))+$BA$17</f>
        <v>11</v>
      </c>
      <c r="BB353" s="772" cm="1">
        <f t="array" aca="1" ref="BB353" ca="1">INDIRECT("'Definition of Typical Day'!"&amp;ADDRESS(BB$16,$E353))</f>
        <v>0</v>
      </c>
      <c r="BC353" s="776" cm="1">
        <f t="array" aca="1" ref="BC353" ca="1">INDIRECT("'Definition of Typical Day'!"&amp; ADDRESS($D353+29*(BC$16-1),$E353))</f>
        <v>0</v>
      </c>
      <c r="BD353" s="777" cm="1">
        <f t="array" aca="1" ref="BD353" ca="1">INDIRECT("'Definition of Typical Day'!"&amp; ADDRESS($D353+29*(BD$16-1),$E353))</f>
        <v>0</v>
      </c>
      <c r="BE353" s="776">
        <f t="shared" si="429"/>
        <v>0</v>
      </c>
      <c r="BF353" s="771">
        <f t="shared" ca="1" si="430"/>
        <v>0</v>
      </c>
      <c r="BG353" s="771">
        <f t="shared" ca="1" si="431"/>
        <v>0</v>
      </c>
      <c r="BH353" s="771">
        <f t="shared" ca="1" si="432"/>
        <v>0</v>
      </c>
      <c r="BI353" s="776">
        <f t="shared" ca="1" si="433"/>
        <v>0</v>
      </c>
      <c r="BJ353" s="776">
        <f t="shared" ca="1" si="434"/>
        <v>0</v>
      </c>
      <c r="BK353" s="776">
        <f t="shared" ca="1" si="435"/>
        <v>0</v>
      </c>
      <c r="BL353" s="776">
        <f t="shared" ca="1" si="436"/>
        <v>0</v>
      </c>
      <c r="BM353" s="135"/>
      <c r="BN353" s="776">
        <f t="shared" ca="1" si="437"/>
        <v>0</v>
      </c>
      <c r="BO353" s="778">
        <f t="shared" ca="1" si="374"/>
        <v>0</v>
      </c>
      <c r="BP353" s="770">
        <f t="shared" ca="1" si="375"/>
        <v>0</v>
      </c>
      <c r="BQ353" s="771">
        <f t="shared" ca="1" si="376"/>
        <v>0</v>
      </c>
      <c r="BR353" s="771">
        <f t="shared" ca="1" si="377"/>
        <v>0</v>
      </c>
      <c r="BS353" s="776">
        <f t="shared" ca="1" si="438"/>
        <v>0</v>
      </c>
      <c r="BT353" s="776">
        <f t="shared" ca="1" si="378"/>
        <v>0</v>
      </c>
      <c r="BU353" s="783">
        <f t="shared" ca="1" si="379"/>
        <v>0</v>
      </c>
      <c r="BV353" s="783">
        <f t="shared" ca="1" si="380"/>
        <v>0</v>
      </c>
      <c r="BW353" s="1019">
        <f t="shared" ca="1" si="439"/>
        <v>0</v>
      </c>
      <c r="BX353" s="771" cm="1">
        <f t="array" aca="1" ref="BX353" ca="1">INDIRECT("'Definition of Typical Day'!"&amp; ADDRESS($D353+29*(BX$16-1),$E353))</f>
        <v>0</v>
      </c>
      <c r="BY353" s="771">
        <f t="shared" ca="1" si="440"/>
        <v>0</v>
      </c>
      <c r="BZ353" s="781">
        <f t="shared" ca="1" si="381"/>
        <v>0</v>
      </c>
      <c r="CA353" s="781">
        <f t="shared" ca="1" si="382"/>
        <v>0</v>
      </c>
      <c r="CB353" s="776">
        <f t="shared" ca="1" si="383"/>
        <v>0</v>
      </c>
      <c r="CC353" s="782">
        <f t="shared" si="384"/>
        <v>14</v>
      </c>
      <c r="CD353" s="782">
        <f t="shared" si="385"/>
        <v>21</v>
      </c>
      <c r="CE353" s="784" cm="1">
        <f t="array" aca="1" ref="CE353" ca="1">INDIRECT("'Definition of Typical Day'!"&amp;ADDRESS(CE$16,$E353))</f>
        <v>14</v>
      </c>
      <c r="CF353" s="232"/>
      <c r="CG353" s="232"/>
      <c r="CH353" s="776">
        <f t="shared" ca="1" si="386"/>
        <v>0</v>
      </c>
      <c r="CI353" s="806">
        <f t="shared" ca="1" si="387"/>
        <v>0</v>
      </c>
      <c r="CJ353" s="770">
        <f t="shared" ca="1" si="388"/>
        <v>0</v>
      </c>
      <c r="CK353" s="771">
        <f t="shared" ca="1" si="389"/>
        <v>0</v>
      </c>
      <c r="CL353" s="771">
        <f t="shared" ca="1" si="390"/>
        <v>0</v>
      </c>
      <c r="CM353" s="772">
        <f t="shared" ca="1" si="391"/>
        <v>0</v>
      </c>
      <c r="CN353" s="135"/>
      <c r="CO353" s="770">
        <f t="shared" ca="1" si="441"/>
        <v>1.05</v>
      </c>
      <c r="CP353" s="771">
        <f t="shared" ca="1" si="392"/>
        <v>0.02</v>
      </c>
      <c r="CQ353" s="771">
        <f t="shared" ca="1" si="393"/>
        <v>-2.5000000000000001E-2</v>
      </c>
      <c r="CR353" s="771">
        <f t="shared" ca="1" si="394"/>
        <v>0.95</v>
      </c>
      <c r="CS353" s="771">
        <f t="shared" ca="1" si="395"/>
        <v>0.03</v>
      </c>
      <c r="CT353" s="772">
        <f t="shared" ca="1" si="396"/>
        <v>0.02</v>
      </c>
      <c r="CU353" s="135"/>
      <c r="CV353" s="135"/>
      <c r="CW353" s="135"/>
      <c r="CX353" s="135"/>
      <c r="CY353" s="135"/>
      <c r="CZ353" s="135"/>
      <c r="DA353" s="135"/>
      <c r="DB353" s="135"/>
      <c r="DC353" s="135"/>
      <c r="DD353" s="135"/>
      <c r="DE353" s="135"/>
      <c r="DF353" s="135"/>
      <c r="DG353" s="135"/>
      <c r="DH353" s="135"/>
      <c r="DI353" s="135"/>
      <c r="DJ353" s="135"/>
      <c r="DK353" s="135"/>
      <c r="DL353" s="135"/>
      <c r="DX353" s="135"/>
      <c r="DY353" s="135"/>
      <c r="DZ353" s="135"/>
      <c r="EA353" s="135"/>
      <c r="EB353" s="135"/>
      <c r="EC353" s="135"/>
      <c r="ED353" s="135"/>
      <c r="EE353" s="135"/>
      <c r="EF353" s="135"/>
      <c r="EG353" s="135"/>
      <c r="EH353" s="135"/>
      <c r="EI353" s="135"/>
      <c r="EJ353" s="135"/>
      <c r="EK353" s="135"/>
      <c r="EL353" s="135"/>
      <c r="EM353" s="135"/>
      <c r="EN353" s="135"/>
      <c r="EO353" s="135"/>
      <c r="EP353" s="135"/>
      <c r="EQ353" s="135"/>
      <c r="ER353" s="135"/>
      <c r="ES353" s="135"/>
      <c r="ET353" s="135"/>
      <c r="EU353" s="135"/>
      <c r="EV353" s="135"/>
      <c r="EW353" s="135"/>
      <c r="EX353" s="135"/>
      <c r="EY353" s="135"/>
      <c r="EZ353" s="135"/>
      <c r="FA353" s="135"/>
      <c r="FB353" s="135"/>
      <c r="FC353" s="135"/>
      <c r="FD353" s="135"/>
      <c r="FE353" s="135"/>
      <c r="FF353" s="135"/>
      <c r="FG353" s="135"/>
    </row>
    <row r="354" spans="1:163" s="57" customFormat="1" ht="11.25" outlineLevel="1">
      <c r="A354" s="765">
        <f t="shared" si="369"/>
        <v>14</v>
      </c>
      <c r="B354" s="715" cm="1">
        <f t="array" aca="1" ref="B354" ca="1">INDIRECT("'Definition of Typical Day'!"&amp;ADDRESS(B$16,$E354))</f>
        <v>14</v>
      </c>
      <c r="C354" s="766">
        <f t="shared" si="370"/>
        <v>22</v>
      </c>
      <c r="D354" s="715">
        <f t="shared" si="370"/>
        <v>56</v>
      </c>
      <c r="E354" s="715">
        <f t="shared" si="371"/>
        <v>18</v>
      </c>
      <c r="F354" s="767" cm="1">
        <f t="array" aca="1" ref="F354" ca="1">INDIRECT("'Definition of Typical Day'!D"&amp;D354)</f>
        <v>22</v>
      </c>
      <c r="G354" s="767" cm="1">
        <f t="array" aca="1" ref="G354" ca="1">INDIRECT("'Definition of Typical Day'!"&amp;ADDRESS(13,E354))</f>
        <v>14</v>
      </c>
      <c r="H354" s="768" cm="1">
        <f t="array" aca="1" ref="H354" ca="1">INDIRECT("'Definition of Typical Day'!"&amp; ADDRESS($D354+28*(H$16-1),$E354))</f>
        <v>0</v>
      </c>
      <c r="I354" s="715" cm="1">
        <f t="array" aca="1" ref="I354" ca="1">INDIRECT("'Definition of Typical Day'!"&amp; ADDRESS($D354+29*(I$16-1),$E354))</f>
        <v>0</v>
      </c>
      <c r="J354" s="715">
        <f t="shared" ca="1" si="397"/>
        <v>0</v>
      </c>
      <c r="K354" s="785">
        <f t="shared" si="398"/>
        <v>28</v>
      </c>
      <c r="L354" s="786" cm="1">
        <f t="array" aca="1" ref="L354" ca="1">INDIRECT("'Definition of Typical Day'!"&amp; ADDRESS($D354+29*(L$16-1),$E354))</f>
        <v>0</v>
      </c>
      <c r="M354" s="768" cm="1">
        <f t="array" aca="1" ref="M354" ca="1">INDIRECT("'Definition of Typical Day'!"&amp; ADDRESS($D354+29*(M$16-1),$E354))</f>
        <v>0</v>
      </c>
      <c r="N354" s="715">
        <f t="shared" si="399"/>
        <v>3</v>
      </c>
      <c r="O354" s="715">
        <f t="shared" ca="1" si="400"/>
        <v>3</v>
      </c>
      <c r="P354" s="715" cm="1">
        <f t="array" aca="1" ref="P354" ca="1">INDIRECT("'Definition of Typical Day'!"&amp; ADDRESS($D354+29*(P$16-1),$E354))</f>
        <v>0</v>
      </c>
      <c r="Q354" s="787">
        <f t="shared" ca="1" si="401"/>
        <v>3</v>
      </c>
      <c r="R354" s="792">
        <f t="shared" ca="1" si="402"/>
        <v>3</v>
      </c>
      <c r="S354" s="769">
        <f t="shared" si="403"/>
        <v>3</v>
      </c>
      <c r="T354" s="769">
        <f t="shared" ca="1" si="404"/>
        <v>-0.5</v>
      </c>
      <c r="U354" s="769">
        <f t="shared" ca="1" si="405"/>
        <v>2.262</v>
      </c>
      <c r="V354" s="769">
        <f t="shared" ca="1" si="406"/>
        <v>0</v>
      </c>
      <c r="W354" s="769">
        <f t="shared" ca="1" si="407"/>
        <v>4.7620000000000005</v>
      </c>
      <c r="X354" s="794">
        <f t="shared" si="408"/>
        <v>3</v>
      </c>
      <c r="Y354" s="769">
        <f t="shared" ca="1" si="409"/>
        <v>0.54772255750516607</v>
      </c>
      <c r="Z354" s="769">
        <f t="shared" ca="1" si="410"/>
        <v>0</v>
      </c>
      <c r="AA354" s="795">
        <f t="shared" ca="1" si="411"/>
        <v>0</v>
      </c>
      <c r="AB354" s="769">
        <f t="shared" ca="1" si="412"/>
        <v>0</v>
      </c>
      <c r="AC354" s="769">
        <f t="shared" ca="1" si="413"/>
        <v>0</v>
      </c>
      <c r="AD354" s="769">
        <f t="shared" ca="1" si="414"/>
        <v>0</v>
      </c>
      <c r="AE354" s="794">
        <f t="shared" ca="1" si="415"/>
        <v>0</v>
      </c>
      <c r="AF354" s="769">
        <f t="shared" ca="1" si="416"/>
        <v>0</v>
      </c>
      <c r="AG354" s="769">
        <f t="shared" ca="1" si="417"/>
        <v>0</v>
      </c>
      <c r="AH354" s="799">
        <f t="shared" ca="1" si="418"/>
        <v>0</v>
      </c>
      <c r="AI354" s="801">
        <f t="shared" ca="1" si="419"/>
        <v>1</v>
      </c>
      <c r="AJ354" s="794">
        <f t="shared" ca="1" si="420"/>
        <v>0</v>
      </c>
      <c r="AK354" s="769">
        <f t="shared" ca="1" si="421"/>
        <v>0</v>
      </c>
      <c r="AL354" s="769">
        <f t="shared" ca="1" si="422"/>
        <v>0</v>
      </c>
      <c r="AM354" s="804">
        <f t="shared" ca="1" si="372"/>
        <v>0</v>
      </c>
      <c r="AN354" s="795">
        <f t="shared" ca="1" si="373"/>
        <v>0</v>
      </c>
      <c r="AO354" s="251"/>
      <c r="AP354" s="770">
        <f t="shared" si="423"/>
        <v>0</v>
      </c>
      <c r="AQ354" s="771">
        <f t="shared" ca="1" si="424"/>
        <v>0</v>
      </c>
      <c r="AR354" s="771">
        <f t="shared" ca="1" si="425"/>
        <v>0</v>
      </c>
      <c r="AS354" s="772">
        <f t="shared" ca="1" si="426"/>
        <v>0</v>
      </c>
      <c r="AT354" s="231"/>
      <c r="AU354" s="770">
        <f>'Main Results - IRR DC Operator'!$F$16</f>
        <v>2</v>
      </c>
      <c r="AV354" s="773">
        <f>'Main Results - IRR DC Operator'!$F$15</f>
        <v>1</v>
      </c>
      <c r="AW354" s="771">
        <f t="shared" ca="1" si="427"/>
        <v>0</v>
      </c>
      <c r="AX354" s="772">
        <f t="shared" si="428"/>
        <v>0</v>
      </c>
      <c r="AY354" s="231"/>
      <c r="AZ354" s="770" cm="1">
        <f t="array" aca="1" ref="AZ354" ca="1">INDIRECT("'Definition of Typical Day'!"&amp; ADDRESS($D354+29*(AZ$16-1),$E354))+$AZ$17</f>
        <v>11</v>
      </c>
      <c r="BA354" s="771" cm="1">
        <f t="array" aca="1" ref="BA354" ca="1">INDIRECT("'Definition of Typical Day'!"&amp; ADDRESS($D354+29*(BA$16-1),$E354))+$BA$17</f>
        <v>11</v>
      </c>
      <c r="BB354" s="772" cm="1">
        <f t="array" aca="1" ref="BB354" ca="1">INDIRECT("'Definition of Typical Day'!"&amp;ADDRESS(BB$16,$E354))</f>
        <v>0</v>
      </c>
      <c r="BC354" s="776" cm="1">
        <f t="array" aca="1" ref="BC354" ca="1">INDIRECT("'Definition of Typical Day'!"&amp; ADDRESS($D354+29*(BC$16-1),$E354))</f>
        <v>0</v>
      </c>
      <c r="BD354" s="777" cm="1">
        <f t="array" aca="1" ref="BD354" ca="1">INDIRECT("'Definition of Typical Day'!"&amp; ADDRESS($D354+29*(BD$16-1),$E354))</f>
        <v>0</v>
      </c>
      <c r="BE354" s="776">
        <f t="shared" si="429"/>
        <v>0</v>
      </c>
      <c r="BF354" s="771">
        <f t="shared" ca="1" si="430"/>
        <v>0</v>
      </c>
      <c r="BG354" s="771">
        <f t="shared" ca="1" si="431"/>
        <v>0</v>
      </c>
      <c r="BH354" s="771">
        <f t="shared" ca="1" si="432"/>
        <v>0</v>
      </c>
      <c r="BI354" s="776">
        <f t="shared" ca="1" si="433"/>
        <v>0</v>
      </c>
      <c r="BJ354" s="776">
        <f t="shared" ca="1" si="434"/>
        <v>0</v>
      </c>
      <c r="BK354" s="776">
        <f t="shared" ca="1" si="435"/>
        <v>0</v>
      </c>
      <c r="BL354" s="776">
        <f t="shared" ca="1" si="436"/>
        <v>0</v>
      </c>
      <c r="BM354" s="135"/>
      <c r="BN354" s="776">
        <f t="shared" ca="1" si="437"/>
        <v>0</v>
      </c>
      <c r="BO354" s="778">
        <f t="shared" ca="1" si="374"/>
        <v>0</v>
      </c>
      <c r="BP354" s="770">
        <f t="shared" ca="1" si="375"/>
        <v>0</v>
      </c>
      <c r="BQ354" s="771">
        <f t="shared" ca="1" si="376"/>
        <v>0</v>
      </c>
      <c r="BR354" s="771">
        <f t="shared" ca="1" si="377"/>
        <v>0</v>
      </c>
      <c r="BS354" s="776">
        <f t="shared" ca="1" si="438"/>
        <v>0</v>
      </c>
      <c r="BT354" s="776">
        <f t="shared" ca="1" si="378"/>
        <v>0</v>
      </c>
      <c r="BU354" s="783">
        <f t="shared" ca="1" si="379"/>
        <v>0</v>
      </c>
      <c r="BV354" s="783">
        <f t="shared" ca="1" si="380"/>
        <v>0</v>
      </c>
      <c r="BW354" s="1019">
        <f t="shared" ca="1" si="439"/>
        <v>0</v>
      </c>
      <c r="BX354" s="771" cm="1">
        <f t="array" aca="1" ref="BX354" ca="1">INDIRECT("'Definition of Typical Day'!"&amp; ADDRESS($D354+29*(BX$16-1),$E354))</f>
        <v>0</v>
      </c>
      <c r="BY354" s="771">
        <f t="shared" ca="1" si="440"/>
        <v>0</v>
      </c>
      <c r="BZ354" s="781">
        <f t="shared" ca="1" si="381"/>
        <v>0</v>
      </c>
      <c r="CA354" s="781">
        <f t="shared" ca="1" si="382"/>
        <v>0</v>
      </c>
      <c r="CB354" s="776">
        <f t="shared" ca="1" si="383"/>
        <v>0</v>
      </c>
      <c r="CC354" s="782">
        <f t="shared" si="384"/>
        <v>14</v>
      </c>
      <c r="CD354" s="782">
        <f t="shared" si="385"/>
        <v>22</v>
      </c>
      <c r="CE354" s="784" cm="1">
        <f t="array" aca="1" ref="CE354" ca="1">INDIRECT("'Definition of Typical Day'!"&amp;ADDRESS(CE$16,$E354))</f>
        <v>14</v>
      </c>
      <c r="CF354" s="232"/>
      <c r="CG354" s="232"/>
      <c r="CH354" s="776">
        <f t="shared" ca="1" si="386"/>
        <v>0</v>
      </c>
      <c r="CI354" s="806">
        <f t="shared" ca="1" si="387"/>
        <v>0</v>
      </c>
      <c r="CJ354" s="770">
        <f t="shared" ca="1" si="388"/>
        <v>0</v>
      </c>
      <c r="CK354" s="771">
        <f t="shared" ca="1" si="389"/>
        <v>0</v>
      </c>
      <c r="CL354" s="771">
        <f t="shared" ca="1" si="390"/>
        <v>0</v>
      </c>
      <c r="CM354" s="772">
        <f t="shared" ca="1" si="391"/>
        <v>0</v>
      </c>
      <c r="CN354" s="135"/>
      <c r="CO354" s="770">
        <f t="shared" ca="1" si="441"/>
        <v>1.05</v>
      </c>
      <c r="CP354" s="771">
        <f t="shared" ca="1" si="392"/>
        <v>0.02</v>
      </c>
      <c r="CQ354" s="771">
        <f t="shared" ca="1" si="393"/>
        <v>-2.5000000000000001E-2</v>
      </c>
      <c r="CR354" s="771">
        <f t="shared" ca="1" si="394"/>
        <v>0.95</v>
      </c>
      <c r="CS354" s="771">
        <f t="shared" ca="1" si="395"/>
        <v>0.03</v>
      </c>
      <c r="CT354" s="772">
        <f t="shared" ca="1" si="396"/>
        <v>0.02</v>
      </c>
      <c r="CU354" s="135"/>
      <c r="CV354" s="135"/>
      <c r="CW354" s="135"/>
      <c r="CX354" s="135"/>
      <c r="CY354" s="135"/>
      <c r="CZ354" s="135"/>
      <c r="DA354" s="135"/>
      <c r="DB354" s="135"/>
      <c r="DC354" s="135"/>
      <c r="DD354" s="135"/>
      <c r="DE354" s="135"/>
      <c r="DF354" s="135"/>
      <c r="DG354" s="135"/>
      <c r="DH354" s="135"/>
      <c r="DI354" s="135"/>
      <c r="DJ354" s="135"/>
      <c r="DK354" s="135"/>
      <c r="DL354" s="135"/>
      <c r="DX354" s="135"/>
      <c r="DY354" s="135"/>
      <c r="DZ354" s="135"/>
      <c r="EA354" s="135"/>
      <c r="EB354" s="135"/>
      <c r="EC354" s="135"/>
      <c r="ED354" s="135"/>
      <c r="EE354" s="135"/>
      <c r="EF354" s="135"/>
      <c r="EG354" s="135"/>
      <c r="EH354" s="135"/>
      <c r="EI354" s="135"/>
      <c r="EJ354" s="135"/>
      <c r="EK354" s="135"/>
      <c r="EL354" s="135"/>
      <c r="EM354" s="135"/>
      <c r="EN354" s="135"/>
      <c r="EO354" s="135"/>
      <c r="EP354" s="135"/>
      <c r="EQ354" s="135"/>
      <c r="ER354" s="135"/>
      <c r="ES354" s="135"/>
      <c r="ET354" s="135"/>
      <c r="EU354" s="135"/>
      <c r="EV354" s="135"/>
      <c r="EW354" s="135"/>
      <c r="EX354" s="135"/>
      <c r="EY354" s="135"/>
      <c r="EZ354" s="135"/>
      <c r="FA354" s="135"/>
      <c r="FB354" s="135"/>
      <c r="FC354" s="135"/>
      <c r="FD354" s="135"/>
      <c r="FE354" s="135"/>
      <c r="FF354" s="135"/>
      <c r="FG354" s="135"/>
    </row>
    <row r="355" spans="1:163" s="57" customFormat="1" ht="11.25" outlineLevel="1">
      <c r="A355" s="765">
        <f t="shared" si="369"/>
        <v>14</v>
      </c>
      <c r="B355" s="715" cm="1">
        <f t="array" aca="1" ref="B355" ca="1">INDIRECT("'Definition of Typical Day'!"&amp;ADDRESS(B$16,$E355))</f>
        <v>14</v>
      </c>
      <c r="C355" s="766">
        <f t="shared" si="370"/>
        <v>23</v>
      </c>
      <c r="D355" s="715">
        <f t="shared" si="370"/>
        <v>57</v>
      </c>
      <c r="E355" s="715">
        <f t="shared" si="371"/>
        <v>18</v>
      </c>
      <c r="F355" s="767" cm="1">
        <f t="array" aca="1" ref="F355" ca="1">INDIRECT("'Definition of Typical Day'!D"&amp;D355)</f>
        <v>23</v>
      </c>
      <c r="G355" s="767" cm="1">
        <f t="array" aca="1" ref="G355" ca="1">INDIRECT("'Definition of Typical Day'!"&amp;ADDRESS(13,E355))</f>
        <v>14</v>
      </c>
      <c r="H355" s="768" cm="1">
        <f t="array" aca="1" ref="H355" ca="1">INDIRECT("'Definition of Typical Day'!"&amp; ADDRESS($D355+28*(H$16-1),$E355))</f>
        <v>0</v>
      </c>
      <c r="I355" s="715" cm="1">
        <f t="array" aca="1" ref="I355" ca="1">INDIRECT("'Definition of Typical Day'!"&amp; ADDRESS($D355+29*(I$16-1),$E355))</f>
        <v>0</v>
      </c>
      <c r="J355" s="715">
        <f t="shared" ca="1" si="397"/>
        <v>0</v>
      </c>
      <c r="K355" s="785">
        <f t="shared" si="398"/>
        <v>28</v>
      </c>
      <c r="L355" s="786" cm="1">
        <f t="array" aca="1" ref="L355" ca="1">INDIRECT("'Definition of Typical Day'!"&amp; ADDRESS($D355+29*(L$16-1),$E355))</f>
        <v>0</v>
      </c>
      <c r="M355" s="768" cm="1">
        <f t="array" aca="1" ref="M355" ca="1">INDIRECT("'Definition of Typical Day'!"&amp; ADDRESS($D355+29*(M$16-1),$E355))</f>
        <v>0</v>
      </c>
      <c r="N355" s="715">
        <f t="shared" si="399"/>
        <v>3</v>
      </c>
      <c r="O355" s="715">
        <f t="shared" ca="1" si="400"/>
        <v>3</v>
      </c>
      <c r="P355" s="715" cm="1">
        <f t="array" aca="1" ref="P355" ca="1">INDIRECT("'Definition of Typical Day'!"&amp; ADDRESS($D355+29*(P$16-1),$E355))</f>
        <v>0</v>
      </c>
      <c r="Q355" s="787">
        <f t="shared" ca="1" si="401"/>
        <v>3</v>
      </c>
      <c r="R355" s="792">
        <f t="shared" ca="1" si="402"/>
        <v>3</v>
      </c>
      <c r="S355" s="769">
        <f t="shared" si="403"/>
        <v>3</v>
      </c>
      <c r="T355" s="769">
        <f t="shared" ca="1" si="404"/>
        <v>-0.5</v>
      </c>
      <c r="U355" s="769">
        <f t="shared" ca="1" si="405"/>
        <v>2.262</v>
      </c>
      <c r="V355" s="769">
        <f t="shared" ca="1" si="406"/>
        <v>0</v>
      </c>
      <c r="W355" s="769">
        <f t="shared" ca="1" si="407"/>
        <v>4.7620000000000005</v>
      </c>
      <c r="X355" s="794">
        <f t="shared" si="408"/>
        <v>3</v>
      </c>
      <c r="Y355" s="769">
        <f t="shared" ca="1" si="409"/>
        <v>0.54772255750516607</v>
      </c>
      <c r="Z355" s="769">
        <f t="shared" ca="1" si="410"/>
        <v>0</v>
      </c>
      <c r="AA355" s="795">
        <f t="shared" ca="1" si="411"/>
        <v>0</v>
      </c>
      <c r="AB355" s="769">
        <f t="shared" ca="1" si="412"/>
        <v>0</v>
      </c>
      <c r="AC355" s="769">
        <f t="shared" ca="1" si="413"/>
        <v>0</v>
      </c>
      <c r="AD355" s="769">
        <f t="shared" ca="1" si="414"/>
        <v>0</v>
      </c>
      <c r="AE355" s="794">
        <f t="shared" ca="1" si="415"/>
        <v>0</v>
      </c>
      <c r="AF355" s="769">
        <f t="shared" ca="1" si="416"/>
        <v>0</v>
      </c>
      <c r="AG355" s="769">
        <f t="shared" ca="1" si="417"/>
        <v>0</v>
      </c>
      <c r="AH355" s="799">
        <f t="shared" ca="1" si="418"/>
        <v>0</v>
      </c>
      <c r="AI355" s="801">
        <f t="shared" ca="1" si="419"/>
        <v>1</v>
      </c>
      <c r="AJ355" s="794">
        <f t="shared" ca="1" si="420"/>
        <v>0</v>
      </c>
      <c r="AK355" s="769">
        <f t="shared" ca="1" si="421"/>
        <v>0</v>
      </c>
      <c r="AL355" s="769">
        <f t="shared" ca="1" si="422"/>
        <v>0</v>
      </c>
      <c r="AM355" s="804">
        <f t="shared" ca="1" si="372"/>
        <v>0</v>
      </c>
      <c r="AN355" s="795">
        <f t="shared" ca="1" si="373"/>
        <v>0</v>
      </c>
      <c r="AO355" s="251"/>
      <c r="AP355" s="770">
        <f t="shared" si="423"/>
        <v>0</v>
      </c>
      <c r="AQ355" s="771">
        <f t="shared" ca="1" si="424"/>
        <v>0</v>
      </c>
      <c r="AR355" s="771">
        <f t="shared" ca="1" si="425"/>
        <v>0</v>
      </c>
      <c r="AS355" s="772">
        <f t="shared" ca="1" si="426"/>
        <v>0</v>
      </c>
      <c r="AT355" s="231"/>
      <c r="AU355" s="770">
        <f>'Main Results - IRR DC Operator'!$F$16</f>
        <v>2</v>
      </c>
      <c r="AV355" s="773">
        <f>'Main Results - IRR DC Operator'!$F$15</f>
        <v>1</v>
      </c>
      <c r="AW355" s="771">
        <f t="shared" ca="1" si="427"/>
        <v>0</v>
      </c>
      <c r="AX355" s="772">
        <f t="shared" si="428"/>
        <v>0</v>
      </c>
      <c r="AY355" s="231"/>
      <c r="AZ355" s="770" cm="1">
        <f t="array" aca="1" ref="AZ355" ca="1">INDIRECT("'Definition of Typical Day'!"&amp; ADDRESS($D355+29*(AZ$16-1),$E355))+$AZ$17</f>
        <v>11</v>
      </c>
      <c r="BA355" s="771" cm="1">
        <f t="array" aca="1" ref="BA355" ca="1">INDIRECT("'Definition of Typical Day'!"&amp; ADDRESS($D355+29*(BA$16-1),$E355))+$BA$17</f>
        <v>11</v>
      </c>
      <c r="BB355" s="772" cm="1">
        <f t="array" aca="1" ref="BB355" ca="1">INDIRECT("'Definition of Typical Day'!"&amp;ADDRESS(BB$16,$E355))</f>
        <v>0</v>
      </c>
      <c r="BC355" s="776" cm="1">
        <f t="array" aca="1" ref="BC355" ca="1">INDIRECT("'Definition of Typical Day'!"&amp; ADDRESS($D355+29*(BC$16-1),$E355))</f>
        <v>0</v>
      </c>
      <c r="BD355" s="777" cm="1">
        <f t="array" aca="1" ref="BD355" ca="1">INDIRECT("'Definition of Typical Day'!"&amp; ADDRESS($D355+29*(BD$16-1),$E355))</f>
        <v>0</v>
      </c>
      <c r="BE355" s="776">
        <f t="shared" si="429"/>
        <v>0</v>
      </c>
      <c r="BF355" s="771">
        <f t="shared" ca="1" si="430"/>
        <v>0</v>
      </c>
      <c r="BG355" s="771">
        <f t="shared" ca="1" si="431"/>
        <v>0</v>
      </c>
      <c r="BH355" s="771">
        <f t="shared" ca="1" si="432"/>
        <v>0</v>
      </c>
      <c r="BI355" s="776">
        <f t="shared" ca="1" si="433"/>
        <v>0</v>
      </c>
      <c r="BJ355" s="776">
        <f t="shared" ca="1" si="434"/>
        <v>0</v>
      </c>
      <c r="BK355" s="776">
        <f t="shared" ca="1" si="435"/>
        <v>0</v>
      </c>
      <c r="BL355" s="776">
        <f t="shared" ca="1" si="436"/>
        <v>0</v>
      </c>
      <c r="BM355" s="135"/>
      <c r="BN355" s="776">
        <f t="shared" ca="1" si="437"/>
        <v>0</v>
      </c>
      <c r="BO355" s="778">
        <f t="shared" ca="1" si="374"/>
        <v>0</v>
      </c>
      <c r="BP355" s="770">
        <f t="shared" ca="1" si="375"/>
        <v>0</v>
      </c>
      <c r="BQ355" s="771">
        <f t="shared" ca="1" si="376"/>
        <v>0</v>
      </c>
      <c r="BR355" s="771">
        <f t="shared" ca="1" si="377"/>
        <v>0</v>
      </c>
      <c r="BS355" s="776">
        <f t="shared" ca="1" si="438"/>
        <v>0</v>
      </c>
      <c r="BT355" s="776">
        <f t="shared" ca="1" si="378"/>
        <v>0</v>
      </c>
      <c r="BU355" s="783">
        <f t="shared" ca="1" si="379"/>
        <v>0</v>
      </c>
      <c r="BV355" s="783">
        <f t="shared" ca="1" si="380"/>
        <v>0</v>
      </c>
      <c r="BW355" s="1019">
        <f t="shared" ca="1" si="439"/>
        <v>0</v>
      </c>
      <c r="BX355" s="771" cm="1">
        <f t="array" aca="1" ref="BX355" ca="1">INDIRECT("'Definition of Typical Day'!"&amp; ADDRESS($D355+29*(BX$16-1),$E355))</f>
        <v>0</v>
      </c>
      <c r="BY355" s="771">
        <f t="shared" ca="1" si="440"/>
        <v>0</v>
      </c>
      <c r="BZ355" s="781">
        <f t="shared" ca="1" si="381"/>
        <v>0</v>
      </c>
      <c r="CA355" s="781">
        <f t="shared" ca="1" si="382"/>
        <v>0</v>
      </c>
      <c r="CB355" s="776">
        <f t="shared" ca="1" si="383"/>
        <v>0</v>
      </c>
      <c r="CC355" s="782">
        <f t="shared" si="384"/>
        <v>14</v>
      </c>
      <c r="CD355" s="782">
        <f t="shared" si="385"/>
        <v>23</v>
      </c>
      <c r="CE355" s="784" cm="1">
        <f t="array" aca="1" ref="CE355" ca="1">INDIRECT("'Definition of Typical Day'!"&amp;ADDRESS(CE$16,$E355))</f>
        <v>14</v>
      </c>
      <c r="CF355" s="232"/>
      <c r="CG355" s="232"/>
      <c r="CH355" s="776">
        <f t="shared" ca="1" si="386"/>
        <v>0</v>
      </c>
      <c r="CI355" s="806">
        <f t="shared" ca="1" si="387"/>
        <v>0</v>
      </c>
      <c r="CJ355" s="770">
        <f t="shared" ca="1" si="388"/>
        <v>0</v>
      </c>
      <c r="CK355" s="771">
        <f t="shared" ca="1" si="389"/>
        <v>0</v>
      </c>
      <c r="CL355" s="771">
        <f t="shared" ca="1" si="390"/>
        <v>0</v>
      </c>
      <c r="CM355" s="772">
        <f t="shared" ca="1" si="391"/>
        <v>0</v>
      </c>
      <c r="CN355" s="135"/>
      <c r="CO355" s="770">
        <f t="shared" ca="1" si="441"/>
        <v>1.05</v>
      </c>
      <c r="CP355" s="771">
        <f t="shared" ca="1" si="392"/>
        <v>0.02</v>
      </c>
      <c r="CQ355" s="771">
        <f t="shared" ca="1" si="393"/>
        <v>-2.5000000000000001E-2</v>
      </c>
      <c r="CR355" s="771">
        <f t="shared" ca="1" si="394"/>
        <v>0.95</v>
      </c>
      <c r="CS355" s="771">
        <f t="shared" ca="1" si="395"/>
        <v>0.03</v>
      </c>
      <c r="CT355" s="772">
        <f t="shared" ca="1" si="396"/>
        <v>0.02</v>
      </c>
      <c r="CU355" s="135"/>
      <c r="CV355" s="135"/>
      <c r="CW355" s="135"/>
      <c r="CX355" s="135"/>
      <c r="CY355" s="135"/>
      <c r="CZ355" s="135"/>
      <c r="DA355" s="135"/>
      <c r="DB355" s="135"/>
      <c r="DC355" s="135"/>
      <c r="DD355" s="135"/>
      <c r="DE355" s="135"/>
      <c r="DF355" s="135"/>
      <c r="DG355" s="135"/>
      <c r="DH355" s="135"/>
      <c r="DI355" s="135"/>
      <c r="DJ355" s="135"/>
      <c r="DK355" s="135"/>
      <c r="DL355" s="135"/>
      <c r="DX355" s="135"/>
      <c r="DY355" s="135"/>
      <c r="DZ355" s="135"/>
      <c r="EA355" s="135"/>
      <c r="EB355" s="135"/>
      <c r="EC355" s="135"/>
      <c r="ED355" s="135"/>
      <c r="EE355" s="135"/>
      <c r="EF355" s="135"/>
      <c r="EG355" s="135"/>
      <c r="EH355" s="135"/>
      <c r="EI355" s="135"/>
      <c r="EJ355" s="135"/>
      <c r="EK355" s="135"/>
      <c r="EL355" s="135"/>
      <c r="EM355" s="135"/>
      <c r="EN355" s="135"/>
      <c r="EO355" s="135"/>
      <c r="EP355" s="135"/>
      <c r="EQ355" s="135"/>
      <c r="ER355" s="135"/>
      <c r="ES355" s="135"/>
      <c r="ET355" s="135"/>
      <c r="EU355" s="135"/>
      <c r="EV355" s="135"/>
      <c r="EW355" s="135"/>
      <c r="EX355" s="135"/>
      <c r="EY355" s="135"/>
      <c r="EZ355" s="135"/>
      <c r="FA355" s="135"/>
      <c r="FB355" s="135"/>
      <c r="FC355" s="135"/>
      <c r="FD355" s="135"/>
      <c r="FE355" s="135"/>
      <c r="FF355" s="135"/>
      <c r="FG355" s="135"/>
    </row>
    <row r="356" spans="1:163" s="57" customFormat="1" ht="11.25" outlineLevel="1">
      <c r="A356" s="765">
        <f t="shared" si="369"/>
        <v>14</v>
      </c>
      <c r="B356" s="715" cm="1">
        <f t="array" aca="1" ref="B356" ca="1">INDIRECT("'Definition of Typical Day'!"&amp;ADDRESS(B$16,$E356))</f>
        <v>14</v>
      </c>
      <c r="C356" s="766">
        <f t="shared" si="370"/>
        <v>24</v>
      </c>
      <c r="D356" s="715">
        <f t="shared" si="370"/>
        <v>58</v>
      </c>
      <c r="E356" s="715">
        <f t="shared" si="371"/>
        <v>18</v>
      </c>
      <c r="F356" s="767" cm="1">
        <f t="array" aca="1" ref="F356" ca="1">INDIRECT("'Definition of Typical Day'!D"&amp;D356)</f>
        <v>24</v>
      </c>
      <c r="G356" s="767" cm="1">
        <f t="array" aca="1" ref="G356" ca="1">INDIRECT("'Definition of Typical Day'!"&amp;ADDRESS(13,E356))</f>
        <v>14</v>
      </c>
      <c r="H356" s="768" cm="1">
        <f t="array" aca="1" ref="H356" ca="1">INDIRECT("'Definition of Typical Day'!"&amp; ADDRESS($D356+28*(H$16-1),$E356))</f>
        <v>0</v>
      </c>
      <c r="I356" s="715" cm="1">
        <f t="array" aca="1" ref="I356" ca="1">INDIRECT("'Definition of Typical Day'!"&amp; ADDRESS($D356+29*(I$16-1),$E356))</f>
        <v>0</v>
      </c>
      <c r="J356" s="715">
        <f t="shared" ca="1" si="397"/>
        <v>0</v>
      </c>
      <c r="K356" s="785">
        <f t="shared" si="398"/>
        <v>28</v>
      </c>
      <c r="L356" s="786" cm="1">
        <f t="array" aca="1" ref="L356" ca="1">INDIRECT("'Definition of Typical Day'!"&amp; ADDRESS($D356+29*(L$16-1),$E356))</f>
        <v>0</v>
      </c>
      <c r="M356" s="768" cm="1">
        <f t="array" aca="1" ref="M356" ca="1">INDIRECT("'Definition of Typical Day'!"&amp; ADDRESS($D356+29*(M$16-1),$E356))</f>
        <v>0</v>
      </c>
      <c r="N356" s="715">
        <f t="shared" si="399"/>
        <v>3</v>
      </c>
      <c r="O356" s="715">
        <f t="shared" ca="1" si="400"/>
        <v>3</v>
      </c>
      <c r="P356" s="715" cm="1">
        <f t="array" aca="1" ref="P356" ca="1">INDIRECT("'Definition of Typical Day'!"&amp; ADDRESS($D356+29*(P$16-1),$E356))</f>
        <v>0</v>
      </c>
      <c r="Q356" s="787">
        <f t="shared" ca="1" si="401"/>
        <v>3</v>
      </c>
      <c r="R356" s="792">
        <f t="shared" ca="1" si="402"/>
        <v>3</v>
      </c>
      <c r="S356" s="769">
        <f t="shared" si="403"/>
        <v>3</v>
      </c>
      <c r="T356" s="769">
        <f t="shared" ca="1" si="404"/>
        <v>-0.5</v>
      </c>
      <c r="U356" s="769">
        <f t="shared" ca="1" si="405"/>
        <v>2.262</v>
      </c>
      <c r="V356" s="769">
        <f t="shared" ca="1" si="406"/>
        <v>0</v>
      </c>
      <c r="W356" s="769">
        <f t="shared" ca="1" si="407"/>
        <v>4.7620000000000005</v>
      </c>
      <c r="X356" s="794">
        <f t="shared" si="408"/>
        <v>3</v>
      </c>
      <c r="Y356" s="769">
        <f t="shared" ca="1" si="409"/>
        <v>0.54772255750516607</v>
      </c>
      <c r="Z356" s="769">
        <f t="shared" ca="1" si="410"/>
        <v>0</v>
      </c>
      <c r="AA356" s="795">
        <f t="shared" ca="1" si="411"/>
        <v>0</v>
      </c>
      <c r="AB356" s="769">
        <f t="shared" ca="1" si="412"/>
        <v>0</v>
      </c>
      <c r="AC356" s="769">
        <f t="shared" ca="1" si="413"/>
        <v>0</v>
      </c>
      <c r="AD356" s="769">
        <f t="shared" ca="1" si="414"/>
        <v>0</v>
      </c>
      <c r="AE356" s="794">
        <f t="shared" ca="1" si="415"/>
        <v>0</v>
      </c>
      <c r="AF356" s="769">
        <f t="shared" ca="1" si="416"/>
        <v>0</v>
      </c>
      <c r="AG356" s="769">
        <f t="shared" ca="1" si="417"/>
        <v>0</v>
      </c>
      <c r="AH356" s="799">
        <f t="shared" ca="1" si="418"/>
        <v>0</v>
      </c>
      <c r="AI356" s="801">
        <f t="shared" ca="1" si="419"/>
        <v>1</v>
      </c>
      <c r="AJ356" s="794">
        <f t="shared" ca="1" si="420"/>
        <v>0</v>
      </c>
      <c r="AK356" s="769">
        <f t="shared" ca="1" si="421"/>
        <v>0</v>
      </c>
      <c r="AL356" s="769">
        <f t="shared" ca="1" si="422"/>
        <v>0</v>
      </c>
      <c r="AM356" s="804">
        <f t="shared" ca="1" si="372"/>
        <v>0</v>
      </c>
      <c r="AN356" s="795">
        <f t="shared" ca="1" si="373"/>
        <v>0</v>
      </c>
      <c r="AO356" s="251"/>
      <c r="AP356" s="770">
        <f t="shared" si="423"/>
        <v>0</v>
      </c>
      <c r="AQ356" s="771">
        <f t="shared" ca="1" si="424"/>
        <v>0</v>
      </c>
      <c r="AR356" s="771">
        <f t="shared" ca="1" si="425"/>
        <v>0</v>
      </c>
      <c r="AS356" s="772">
        <f t="shared" ca="1" si="426"/>
        <v>0</v>
      </c>
      <c r="AT356" s="231"/>
      <c r="AU356" s="770">
        <f>'Main Results - IRR DC Operator'!$F$16</f>
        <v>2</v>
      </c>
      <c r="AV356" s="773">
        <f>'Main Results - IRR DC Operator'!$F$15</f>
        <v>1</v>
      </c>
      <c r="AW356" s="771">
        <f t="shared" ca="1" si="427"/>
        <v>0</v>
      </c>
      <c r="AX356" s="772">
        <f t="shared" si="428"/>
        <v>0</v>
      </c>
      <c r="AY356" s="231"/>
      <c r="AZ356" s="770" cm="1">
        <f t="array" aca="1" ref="AZ356" ca="1">INDIRECT("'Definition of Typical Day'!"&amp; ADDRESS($D356+29*(AZ$16-1),$E356))+$AZ$17</f>
        <v>11</v>
      </c>
      <c r="BA356" s="771" cm="1">
        <f t="array" aca="1" ref="BA356" ca="1">INDIRECT("'Definition of Typical Day'!"&amp; ADDRESS($D356+29*(BA$16-1),$E356))+$BA$17</f>
        <v>11</v>
      </c>
      <c r="BB356" s="772" cm="1">
        <f t="array" aca="1" ref="BB356" ca="1">INDIRECT("'Definition of Typical Day'!"&amp;ADDRESS(BB$16,$E356))</f>
        <v>0</v>
      </c>
      <c r="BC356" s="776" cm="1">
        <f t="array" aca="1" ref="BC356" ca="1">INDIRECT("'Definition of Typical Day'!"&amp; ADDRESS($D356+29*(BC$16-1),$E356))</f>
        <v>0</v>
      </c>
      <c r="BD356" s="777" cm="1">
        <f t="array" aca="1" ref="BD356" ca="1">INDIRECT("'Definition of Typical Day'!"&amp; ADDRESS($D356+29*(BD$16-1),$E356))</f>
        <v>0</v>
      </c>
      <c r="BE356" s="776">
        <f t="shared" si="429"/>
        <v>0</v>
      </c>
      <c r="BF356" s="771">
        <f t="shared" ca="1" si="430"/>
        <v>0</v>
      </c>
      <c r="BG356" s="771">
        <f t="shared" ca="1" si="431"/>
        <v>0</v>
      </c>
      <c r="BH356" s="771">
        <f t="shared" ca="1" si="432"/>
        <v>0</v>
      </c>
      <c r="BI356" s="776">
        <f t="shared" ca="1" si="433"/>
        <v>0</v>
      </c>
      <c r="BJ356" s="776">
        <f t="shared" ca="1" si="434"/>
        <v>0</v>
      </c>
      <c r="BK356" s="776">
        <f t="shared" ca="1" si="435"/>
        <v>0</v>
      </c>
      <c r="BL356" s="776">
        <f t="shared" ca="1" si="436"/>
        <v>0</v>
      </c>
      <c r="BM356" s="135"/>
      <c r="BN356" s="776">
        <f t="shared" ca="1" si="437"/>
        <v>0</v>
      </c>
      <c r="BO356" s="778">
        <f t="shared" ca="1" si="374"/>
        <v>0</v>
      </c>
      <c r="BP356" s="770">
        <f t="shared" ca="1" si="375"/>
        <v>0</v>
      </c>
      <c r="BQ356" s="771">
        <f t="shared" ca="1" si="376"/>
        <v>0</v>
      </c>
      <c r="BR356" s="771">
        <f t="shared" ca="1" si="377"/>
        <v>0</v>
      </c>
      <c r="BS356" s="776">
        <f t="shared" ca="1" si="438"/>
        <v>0</v>
      </c>
      <c r="BT356" s="776">
        <f t="shared" ca="1" si="378"/>
        <v>0</v>
      </c>
      <c r="BU356" s="783">
        <f t="shared" ca="1" si="379"/>
        <v>0</v>
      </c>
      <c r="BV356" s="783">
        <f t="shared" ca="1" si="380"/>
        <v>0</v>
      </c>
      <c r="BW356" s="1019">
        <f t="shared" ca="1" si="439"/>
        <v>0</v>
      </c>
      <c r="BX356" s="771" cm="1">
        <f t="array" aca="1" ref="BX356" ca="1">INDIRECT("'Definition of Typical Day'!"&amp; ADDRESS($D356+29*(BX$16-1),$E356))</f>
        <v>0</v>
      </c>
      <c r="BY356" s="771">
        <f t="shared" ca="1" si="440"/>
        <v>0</v>
      </c>
      <c r="BZ356" s="781">
        <f t="shared" ca="1" si="381"/>
        <v>0</v>
      </c>
      <c r="CA356" s="781">
        <f t="shared" ca="1" si="382"/>
        <v>0</v>
      </c>
      <c r="CB356" s="776">
        <f t="shared" ca="1" si="383"/>
        <v>0</v>
      </c>
      <c r="CC356" s="782">
        <f t="shared" si="384"/>
        <v>14</v>
      </c>
      <c r="CD356" s="782">
        <f t="shared" si="385"/>
        <v>24</v>
      </c>
      <c r="CE356" s="784" cm="1">
        <f t="array" aca="1" ref="CE356" ca="1">INDIRECT("'Definition of Typical Day'!"&amp;ADDRESS(CE$16,$E356))</f>
        <v>14</v>
      </c>
      <c r="CF356" s="232"/>
      <c r="CG356" s="232"/>
      <c r="CH356" s="776">
        <f t="shared" ca="1" si="386"/>
        <v>0</v>
      </c>
      <c r="CI356" s="806">
        <f t="shared" ca="1" si="387"/>
        <v>0</v>
      </c>
      <c r="CJ356" s="770">
        <f t="shared" ca="1" si="388"/>
        <v>0</v>
      </c>
      <c r="CK356" s="771">
        <f t="shared" ca="1" si="389"/>
        <v>0</v>
      </c>
      <c r="CL356" s="771">
        <f t="shared" ca="1" si="390"/>
        <v>0</v>
      </c>
      <c r="CM356" s="772">
        <f t="shared" ca="1" si="391"/>
        <v>0</v>
      </c>
      <c r="CN356" s="135"/>
      <c r="CO356" s="770">
        <f t="shared" ca="1" si="441"/>
        <v>1.05</v>
      </c>
      <c r="CP356" s="771">
        <f t="shared" ca="1" si="392"/>
        <v>0.02</v>
      </c>
      <c r="CQ356" s="771">
        <f t="shared" ca="1" si="393"/>
        <v>-2.5000000000000001E-2</v>
      </c>
      <c r="CR356" s="771">
        <f t="shared" ca="1" si="394"/>
        <v>0.95</v>
      </c>
      <c r="CS356" s="771">
        <f t="shared" ca="1" si="395"/>
        <v>0.03</v>
      </c>
      <c r="CT356" s="772">
        <f t="shared" ca="1" si="396"/>
        <v>0.02</v>
      </c>
      <c r="CU356" s="135"/>
      <c r="CV356" s="135"/>
      <c r="CW356" s="135"/>
      <c r="CX356" s="135"/>
      <c r="CY356" s="135"/>
      <c r="CZ356" s="135"/>
      <c r="DA356" s="135"/>
      <c r="DB356" s="135"/>
      <c r="DC356" s="135"/>
      <c r="DD356" s="135"/>
      <c r="DE356" s="135"/>
      <c r="DF356" s="135"/>
      <c r="DG356" s="135"/>
      <c r="DH356" s="135"/>
      <c r="DI356" s="135"/>
      <c r="DJ356" s="135"/>
      <c r="DK356" s="135"/>
      <c r="DL356" s="135"/>
      <c r="DX356" s="135"/>
      <c r="DY356" s="135"/>
      <c r="DZ356" s="135"/>
      <c r="EA356" s="135"/>
      <c r="EB356" s="135"/>
      <c r="EC356" s="135"/>
      <c r="ED356" s="135"/>
      <c r="EE356" s="135"/>
      <c r="EF356" s="135"/>
      <c r="EG356" s="135"/>
      <c r="EH356" s="135"/>
      <c r="EI356" s="135"/>
      <c r="EJ356" s="135"/>
      <c r="EK356" s="135"/>
      <c r="EL356" s="135"/>
      <c r="EM356" s="135"/>
      <c r="EN356" s="135"/>
      <c r="EO356" s="135"/>
      <c r="EP356" s="135"/>
      <c r="EQ356" s="135"/>
      <c r="ER356" s="135"/>
      <c r="ES356" s="135"/>
      <c r="ET356" s="135"/>
      <c r="EU356" s="135"/>
      <c r="EV356" s="135"/>
      <c r="EW356" s="135"/>
      <c r="EX356" s="135"/>
      <c r="EY356" s="135"/>
      <c r="EZ356" s="135"/>
      <c r="FA356" s="135"/>
      <c r="FB356" s="135"/>
      <c r="FC356" s="135"/>
      <c r="FD356" s="135"/>
      <c r="FE356" s="135"/>
      <c r="FF356" s="135"/>
      <c r="FG356" s="135"/>
    </row>
    <row r="357" spans="1:163" s="57" customFormat="1" ht="11.25" outlineLevel="1">
      <c r="A357" s="765">
        <f t="shared" si="369"/>
        <v>15</v>
      </c>
      <c r="B357" s="715" cm="1">
        <f t="array" aca="1" ref="B357" ca="1">INDIRECT("'Definition of Typical Day'!"&amp;ADDRESS(B$16,$E357))</f>
        <v>15</v>
      </c>
      <c r="C357" s="766">
        <f t="shared" si="370"/>
        <v>1</v>
      </c>
      <c r="D357" s="715">
        <f t="shared" si="370"/>
        <v>35</v>
      </c>
      <c r="E357" s="715">
        <f t="shared" si="371"/>
        <v>19</v>
      </c>
      <c r="F357" s="767" cm="1">
        <f t="array" aca="1" ref="F357" ca="1">INDIRECT("'Definition of Typical Day'!D"&amp;D357)</f>
        <v>1</v>
      </c>
      <c r="G357" s="767" cm="1">
        <f t="array" aca="1" ref="G357" ca="1">INDIRECT("'Definition of Typical Day'!"&amp;ADDRESS(13,E357))</f>
        <v>15</v>
      </c>
      <c r="H357" s="768" cm="1">
        <f t="array" aca="1" ref="H357" ca="1">INDIRECT("'Definition of Typical Day'!"&amp; ADDRESS($D357+28*(H$16-1),$E357))</f>
        <v>0</v>
      </c>
      <c r="I357" s="715" cm="1">
        <f t="array" aca="1" ref="I357" ca="1">INDIRECT("'Definition of Typical Day'!"&amp; ADDRESS($D357+29*(I$16-1),$E357))</f>
        <v>0</v>
      </c>
      <c r="J357" s="715">
        <f t="shared" ca="1" si="397"/>
        <v>0</v>
      </c>
      <c r="K357" s="785">
        <f t="shared" si="398"/>
        <v>28</v>
      </c>
      <c r="L357" s="786" cm="1">
        <f t="array" aca="1" ref="L357" ca="1">INDIRECT("'Definition of Typical Day'!"&amp; ADDRESS($D357+29*(L$16-1),$E357))</f>
        <v>0</v>
      </c>
      <c r="M357" s="768" cm="1">
        <f t="array" aca="1" ref="M357" ca="1">INDIRECT("'Definition of Typical Day'!"&amp; ADDRESS($D357+29*(M$16-1),$E357))</f>
        <v>0</v>
      </c>
      <c r="N357" s="715">
        <f t="shared" si="399"/>
        <v>3</v>
      </c>
      <c r="O357" s="715">
        <f t="shared" ca="1" si="400"/>
        <v>3</v>
      </c>
      <c r="P357" s="715" cm="1">
        <f t="array" aca="1" ref="P357" ca="1">INDIRECT("'Definition of Typical Day'!"&amp; ADDRESS($D357+29*(P$16-1),$E357))</f>
        <v>0</v>
      </c>
      <c r="Q357" s="787">
        <f t="shared" ca="1" si="401"/>
        <v>3</v>
      </c>
      <c r="R357" s="792">
        <f t="shared" ca="1" si="402"/>
        <v>3</v>
      </c>
      <c r="S357" s="769">
        <f t="shared" si="403"/>
        <v>3</v>
      </c>
      <c r="T357" s="769">
        <f t="shared" ca="1" si="404"/>
        <v>-0.5</v>
      </c>
      <c r="U357" s="769">
        <f t="shared" ca="1" si="405"/>
        <v>2.262</v>
      </c>
      <c r="V357" s="769">
        <f t="shared" ca="1" si="406"/>
        <v>0</v>
      </c>
      <c r="W357" s="769">
        <f t="shared" ca="1" si="407"/>
        <v>4.7620000000000005</v>
      </c>
      <c r="X357" s="794">
        <f t="shared" si="408"/>
        <v>3</v>
      </c>
      <c r="Y357" s="769">
        <f t="shared" ca="1" si="409"/>
        <v>0.54772255750516607</v>
      </c>
      <c r="Z357" s="769">
        <f t="shared" ca="1" si="410"/>
        <v>0</v>
      </c>
      <c r="AA357" s="795">
        <f t="shared" ca="1" si="411"/>
        <v>0</v>
      </c>
      <c r="AB357" s="769">
        <f t="shared" ca="1" si="412"/>
        <v>0</v>
      </c>
      <c r="AC357" s="769">
        <f t="shared" ca="1" si="413"/>
        <v>0</v>
      </c>
      <c r="AD357" s="769">
        <f t="shared" ca="1" si="414"/>
        <v>0</v>
      </c>
      <c r="AE357" s="794">
        <f t="shared" ca="1" si="415"/>
        <v>0</v>
      </c>
      <c r="AF357" s="769">
        <f t="shared" ca="1" si="416"/>
        <v>0</v>
      </c>
      <c r="AG357" s="769">
        <f t="shared" ca="1" si="417"/>
        <v>0</v>
      </c>
      <c r="AH357" s="799">
        <f t="shared" ca="1" si="418"/>
        <v>0</v>
      </c>
      <c r="AI357" s="801">
        <f t="shared" ca="1" si="419"/>
        <v>1</v>
      </c>
      <c r="AJ357" s="794">
        <f t="shared" ca="1" si="420"/>
        <v>0</v>
      </c>
      <c r="AK357" s="769">
        <f t="shared" ca="1" si="421"/>
        <v>0</v>
      </c>
      <c r="AL357" s="769">
        <f t="shared" ca="1" si="422"/>
        <v>0</v>
      </c>
      <c r="AM357" s="804">
        <f t="shared" ca="1" si="372"/>
        <v>0</v>
      </c>
      <c r="AN357" s="795">
        <f t="shared" ca="1" si="373"/>
        <v>0</v>
      </c>
      <c r="AO357" s="251"/>
      <c r="AP357" s="770">
        <f t="shared" si="423"/>
        <v>0</v>
      </c>
      <c r="AQ357" s="771">
        <f t="shared" ca="1" si="424"/>
        <v>0</v>
      </c>
      <c r="AR357" s="771">
        <f t="shared" ca="1" si="425"/>
        <v>0</v>
      </c>
      <c r="AS357" s="772">
        <f t="shared" ca="1" si="426"/>
        <v>0</v>
      </c>
      <c r="AT357" s="231"/>
      <c r="AU357" s="770">
        <f>'Main Results - IRR DC Operator'!$F$16</f>
        <v>2</v>
      </c>
      <c r="AV357" s="773">
        <f>'Main Results - IRR DC Operator'!$F$15</f>
        <v>1</v>
      </c>
      <c r="AW357" s="771">
        <f t="shared" ca="1" si="427"/>
        <v>0</v>
      </c>
      <c r="AX357" s="772">
        <f t="shared" si="428"/>
        <v>0</v>
      </c>
      <c r="AY357" s="231"/>
      <c r="AZ357" s="770" cm="1">
        <f t="array" aca="1" ref="AZ357" ca="1">INDIRECT("'Definition of Typical Day'!"&amp; ADDRESS($D357+29*(AZ$16-1),$E357))+$AZ$17</f>
        <v>11</v>
      </c>
      <c r="BA357" s="771" cm="1">
        <f t="array" aca="1" ref="BA357" ca="1">INDIRECT("'Definition of Typical Day'!"&amp; ADDRESS($D357+29*(BA$16-1),$E357))+$BA$17</f>
        <v>11</v>
      </c>
      <c r="BB357" s="772" cm="1">
        <f t="array" aca="1" ref="BB357" ca="1">INDIRECT("'Definition of Typical Day'!"&amp;ADDRESS(BB$16,$E357))</f>
        <v>0</v>
      </c>
      <c r="BC357" s="776" cm="1">
        <f t="array" aca="1" ref="BC357" ca="1">INDIRECT("'Definition of Typical Day'!"&amp; ADDRESS($D357+29*(BC$16-1),$E357))</f>
        <v>0</v>
      </c>
      <c r="BD357" s="777" cm="1">
        <f t="array" aca="1" ref="BD357" ca="1">INDIRECT("'Definition of Typical Day'!"&amp; ADDRESS($D357+29*(BD$16-1),$E357))</f>
        <v>0</v>
      </c>
      <c r="BE357" s="776">
        <f t="shared" si="429"/>
        <v>0</v>
      </c>
      <c r="BF357" s="771">
        <f t="shared" ca="1" si="430"/>
        <v>0</v>
      </c>
      <c r="BG357" s="771">
        <f t="shared" ca="1" si="431"/>
        <v>0</v>
      </c>
      <c r="BH357" s="771">
        <f t="shared" ca="1" si="432"/>
        <v>0</v>
      </c>
      <c r="BI357" s="776">
        <f t="shared" ca="1" si="433"/>
        <v>0</v>
      </c>
      <c r="BJ357" s="776">
        <f t="shared" ca="1" si="434"/>
        <v>0</v>
      </c>
      <c r="BK357" s="776">
        <f t="shared" ca="1" si="435"/>
        <v>0</v>
      </c>
      <c r="BL357" s="776">
        <f t="shared" ca="1" si="436"/>
        <v>0</v>
      </c>
      <c r="BM357" s="135"/>
      <c r="BN357" s="776">
        <f t="shared" ca="1" si="437"/>
        <v>0</v>
      </c>
      <c r="BO357" s="778">
        <f t="shared" ca="1" si="374"/>
        <v>0</v>
      </c>
      <c r="BP357" s="770">
        <f t="shared" ca="1" si="375"/>
        <v>0</v>
      </c>
      <c r="BQ357" s="771">
        <f t="shared" ca="1" si="376"/>
        <v>0</v>
      </c>
      <c r="BR357" s="771">
        <f t="shared" ca="1" si="377"/>
        <v>0</v>
      </c>
      <c r="BS357" s="776">
        <f t="shared" ca="1" si="438"/>
        <v>0</v>
      </c>
      <c r="BT357" s="776">
        <f t="shared" ca="1" si="378"/>
        <v>0</v>
      </c>
      <c r="BU357" s="783">
        <f t="shared" ca="1" si="379"/>
        <v>0</v>
      </c>
      <c r="BV357" s="783">
        <f t="shared" ca="1" si="380"/>
        <v>0</v>
      </c>
      <c r="BW357" s="1019">
        <f t="shared" ca="1" si="439"/>
        <v>0</v>
      </c>
      <c r="BX357" s="771" cm="1">
        <f t="array" aca="1" ref="BX357" ca="1">INDIRECT("'Definition of Typical Day'!"&amp; ADDRESS($D357+29*(BX$16-1),$E357))</f>
        <v>0</v>
      </c>
      <c r="BY357" s="771">
        <f t="shared" ca="1" si="440"/>
        <v>0</v>
      </c>
      <c r="BZ357" s="781">
        <f t="shared" ca="1" si="381"/>
        <v>0</v>
      </c>
      <c r="CA357" s="781">
        <f t="shared" ca="1" si="382"/>
        <v>0</v>
      </c>
      <c r="CB357" s="776">
        <f t="shared" ca="1" si="383"/>
        <v>0</v>
      </c>
      <c r="CC357" s="782">
        <f t="shared" si="384"/>
        <v>15</v>
      </c>
      <c r="CD357" s="782">
        <f t="shared" si="385"/>
        <v>1</v>
      </c>
      <c r="CE357" s="784" cm="1">
        <f t="array" aca="1" ref="CE357" ca="1">INDIRECT("'Definition of Typical Day'!"&amp;ADDRESS(CE$16,$E357))</f>
        <v>15</v>
      </c>
      <c r="CF357" s="232"/>
      <c r="CG357" s="232"/>
      <c r="CH357" s="776">
        <f t="shared" ca="1" si="386"/>
        <v>0</v>
      </c>
      <c r="CI357" s="806">
        <f t="shared" ca="1" si="387"/>
        <v>0</v>
      </c>
      <c r="CJ357" s="770">
        <f t="shared" ca="1" si="388"/>
        <v>0</v>
      </c>
      <c r="CK357" s="771">
        <f t="shared" ca="1" si="389"/>
        <v>0</v>
      </c>
      <c r="CL357" s="771">
        <f t="shared" ca="1" si="390"/>
        <v>0</v>
      </c>
      <c r="CM357" s="772">
        <f t="shared" ca="1" si="391"/>
        <v>0</v>
      </c>
      <c r="CN357" s="135"/>
      <c r="CO357" s="770">
        <f t="shared" ca="1" si="441"/>
        <v>1.05</v>
      </c>
      <c r="CP357" s="771">
        <f t="shared" ca="1" si="392"/>
        <v>0.02</v>
      </c>
      <c r="CQ357" s="771">
        <f t="shared" ca="1" si="393"/>
        <v>-2.5000000000000001E-2</v>
      </c>
      <c r="CR357" s="771">
        <f t="shared" ca="1" si="394"/>
        <v>0.95</v>
      </c>
      <c r="CS357" s="771">
        <f t="shared" ca="1" si="395"/>
        <v>0.03</v>
      </c>
      <c r="CT357" s="772">
        <f t="shared" ca="1" si="396"/>
        <v>0.02</v>
      </c>
      <c r="CU357" s="135"/>
      <c r="CV357" s="135"/>
      <c r="CW357" s="135"/>
      <c r="CX357" s="135"/>
      <c r="CY357" s="135"/>
      <c r="CZ357" s="135"/>
      <c r="DA357" s="135"/>
      <c r="DB357" s="135"/>
      <c r="DC357" s="135"/>
      <c r="DD357" s="135"/>
      <c r="DE357" s="135"/>
      <c r="DF357" s="135"/>
      <c r="DG357" s="135"/>
      <c r="DH357" s="135"/>
      <c r="DI357" s="135"/>
      <c r="DJ357" s="135"/>
      <c r="DK357" s="135"/>
      <c r="DL357" s="135"/>
      <c r="DX357" s="135"/>
      <c r="DY357" s="135"/>
      <c r="DZ357" s="135"/>
      <c r="EA357" s="135"/>
      <c r="EB357" s="135"/>
      <c r="EC357" s="135"/>
      <c r="ED357" s="135"/>
      <c r="EE357" s="135"/>
      <c r="EF357" s="135"/>
      <c r="EG357" s="135"/>
      <c r="EH357" s="135"/>
      <c r="EI357" s="135"/>
      <c r="EJ357" s="135"/>
      <c r="EK357" s="135"/>
      <c r="EL357" s="135"/>
      <c r="EM357" s="135"/>
      <c r="EN357" s="135"/>
      <c r="EO357" s="135"/>
      <c r="EP357" s="135"/>
      <c r="EQ357" s="135"/>
      <c r="ER357" s="135"/>
      <c r="ES357" s="135"/>
      <c r="ET357" s="135"/>
      <c r="EU357" s="135"/>
      <c r="EV357" s="135"/>
      <c r="EW357" s="135"/>
      <c r="EX357" s="135"/>
      <c r="EY357" s="135"/>
      <c r="EZ357" s="135"/>
      <c r="FA357" s="135"/>
      <c r="FB357" s="135"/>
      <c r="FC357" s="135"/>
      <c r="FD357" s="135"/>
      <c r="FE357" s="135"/>
      <c r="FF357" s="135"/>
      <c r="FG357" s="135"/>
    </row>
    <row r="358" spans="1:163" s="57" customFormat="1" ht="11.25" outlineLevel="1">
      <c r="A358" s="765">
        <f t="shared" si="369"/>
        <v>15</v>
      </c>
      <c r="B358" s="715" cm="1">
        <f t="array" aca="1" ref="B358" ca="1">INDIRECT("'Definition of Typical Day'!"&amp;ADDRESS(B$16,$E358))</f>
        <v>15</v>
      </c>
      <c r="C358" s="766">
        <f t="shared" si="370"/>
        <v>2</v>
      </c>
      <c r="D358" s="715">
        <f t="shared" si="370"/>
        <v>36</v>
      </c>
      <c r="E358" s="715">
        <f t="shared" si="371"/>
        <v>19</v>
      </c>
      <c r="F358" s="767" cm="1">
        <f t="array" aca="1" ref="F358" ca="1">INDIRECT("'Definition of Typical Day'!D"&amp;D358)</f>
        <v>2</v>
      </c>
      <c r="G358" s="767" cm="1">
        <f t="array" aca="1" ref="G358" ca="1">INDIRECT("'Definition of Typical Day'!"&amp;ADDRESS(13,E358))</f>
        <v>15</v>
      </c>
      <c r="H358" s="768" cm="1">
        <f t="array" aca="1" ref="H358" ca="1">INDIRECT("'Definition of Typical Day'!"&amp; ADDRESS($D358+28*(H$16-1),$E358))</f>
        <v>0</v>
      </c>
      <c r="I358" s="715" cm="1">
        <f t="array" aca="1" ref="I358" ca="1">INDIRECT("'Definition of Typical Day'!"&amp; ADDRESS($D358+29*(I$16-1),$E358))</f>
        <v>0</v>
      </c>
      <c r="J358" s="715">
        <f t="shared" ca="1" si="397"/>
        <v>0</v>
      </c>
      <c r="K358" s="785">
        <f t="shared" si="398"/>
        <v>28</v>
      </c>
      <c r="L358" s="786" cm="1">
        <f t="array" aca="1" ref="L358" ca="1">INDIRECT("'Definition of Typical Day'!"&amp; ADDRESS($D358+29*(L$16-1),$E358))</f>
        <v>0</v>
      </c>
      <c r="M358" s="768" cm="1">
        <f t="array" aca="1" ref="M358" ca="1">INDIRECT("'Definition of Typical Day'!"&amp; ADDRESS($D358+29*(M$16-1),$E358))</f>
        <v>0</v>
      </c>
      <c r="N358" s="715">
        <f t="shared" si="399"/>
        <v>3</v>
      </c>
      <c r="O358" s="715">
        <f t="shared" ca="1" si="400"/>
        <v>3</v>
      </c>
      <c r="P358" s="715" cm="1">
        <f t="array" aca="1" ref="P358" ca="1">INDIRECT("'Definition of Typical Day'!"&amp; ADDRESS($D358+29*(P$16-1),$E358))</f>
        <v>0</v>
      </c>
      <c r="Q358" s="787">
        <f t="shared" ca="1" si="401"/>
        <v>3</v>
      </c>
      <c r="R358" s="792">
        <f t="shared" ca="1" si="402"/>
        <v>3</v>
      </c>
      <c r="S358" s="769">
        <f t="shared" si="403"/>
        <v>3</v>
      </c>
      <c r="T358" s="769">
        <f t="shared" ca="1" si="404"/>
        <v>-0.5</v>
      </c>
      <c r="U358" s="769">
        <f t="shared" ca="1" si="405"/>
        <v>2.262</v>
      </c>
      <c r="V358" s="769">
        <f t="shared" ca="1" si="406"/>
        <v>0</v>
      </c>
      <c r="W358" s="769">
        <f t="shared" ca="1" si="407"/>
        <v>4.7620000000000005</v>
      </c>
      <c r="X358" s="794">
        <f t="shared" si="408"/>
        <v>3</v>
      </c>
      <c r="Y358" s="769">
        <f t="shared" ca="1" si="409"/>
        <v>0.54772255750516607</v>
      </c>
      <c r="Z358" s="769">
        <f t="shared" ca="1" si="410"/>
        <v>0</v>
      </c>
      <c r="AA358" s="795">
        <f t="shared" ca="1" si="411"/>
        <v>0</v>
      </c>
      <c r="AB358" s="769">
        <f t="shared" ca="1" si="412"/>
        <v>0</v>
      </c>
      <c r="AC358" s="769">
        <f t="shared" ca="1" si="413"/>
        <v>0</v>
      </c>
      <c r="AD358" s="769">
        <f t="shared" ca="1" si="414"/>
        <v>0</v>
      </c>
      <c r="AE358" s="794">
        <f t="shared" ca="1" si="415"/>
        <v>0</v>
      </c>
      <c r="AF358" s="769">
        <f t="shared" ca="1" si="416"/>
        <v>0</v>
      </c>
      <c r="AG358" s="769">
        <f t="shared" ca="1" si="417"/>
        <v>0</v>
      </c>
      <c r="AH358" s="799">
        <f t="shared" ca="1" si="418"/>
        <v>0</v>
      </c>
      <c r="AI358" s="801">
        <f t="shared" ca="1" si="419"/>
        <v>1</v>
      </c>
      <c r="AJ358" s="794">
        <f t="shared" ca="1" si="420"/>
        <v>0</v>
      </c>
      <c r="AK358" s="769">
        <f t="shared" ca="1" si="421"/>
        <v>0</v>
      </c>
      <c r="AL358" s="769">
        <f t="shared" ca="1" si="422"/>
        <v>0</v>
      </c>
      <c r="AM358" s="804">
        <f t="shared" ca="1" si="372"/>
        <v>0</v>
      </c>
      <c r="AN358" s="795">
        <f t="shared" ca="1" si="373"/>
        <v>0</v>
      </c>
      <c r="AO358" s="251"/>
      <c r="AP358" s="770">
        <f t="shared" si="423"/>
        <v>0</v>
      </c>
      <c r="AQ358" s="771">
        <f t="shared" ca="1" si="424"/>
        <v>0</v>
      </c>
      <c r="AR358" s="771">
        <f t="shared" ca="1" si="425"/>
        <v>0</v>
      </c>
      <c r="AS358" s="772">
        <f t="shared" ca="1" si="426"/>
        <v>0</v>
      </c>
      <c r="AT358" s="231"/>
      <c r="AU358" s="770">
        <f>'Main Results - IRR DC Operator'!$F$16</f>
        <v>2</v>
      </c>
      <c r="AV358" s="773">
        <f>'Main Results - IRR DC Operator'!$F$15</f>
        <v>1</v>
      </c>
      <c r="AW358" s="771">
        <f t="shared" ca="1" si="427"/>
        <v>0</v>
      </c>
      <c r="AX358" s="772">
        <f t="shared" si="428"/>
        <v>0</v>
      </c>
      <c r="AY358" s="231"/>
      <c r="AZ358" s="770" cm="1">
        <f t="array" aca="1" ref="AZ358" ca="1">INDIRECT("'Definition of Typical Day'!"&amp; ADDRESS($D358+29*(AZ$16-1),$E358))+$AZ$17</f>
        <v>11</v>
      </c>
      <c r="BA358" s="771" cm="1">
        <f t="array" aca="1" ref="BA358" ca="1">INDIRECT("'Definition of Typical Day'!"&amp; ADDRESS($D358+29*(BA$16-1),$E358))+$BA$17</f>
        <v>11</v>
      </c>
      <c r="BB358" s="772" cm="1">
        <f t="array" aca="1" ref="BB358" ca="1">INDIRECT("'Definition of Typical Day'!"&amp;ADDRESS(BB$16,$E358))</f>
        <v>0</v>
      </c>
      <c r="BC358" s="776" cm="1">
        <f t="array" aca="1" ref="BC358" ca="1">INDIRECT("'Definition of Typical Day'!"&amp; ADDRESS($D358+29*(BC$16-1),$E358))</f>
        <v>0</v>
      </c>
      <c r="BD358" s="777" cm="1">
        <f t="array" aca="1" ref="BD358" ca="1">INDIRECT("'Definition of Typical Day'!"&amp; ADDRESS($D358+29*(BD$16-1),$E358))</f>
        <v>0</v>
      </c>
      <c r="BE358" s="776">
        <f t="shared" si="429"/>
        <v>0</v>
      </c>
      <c r="BF358" s="771">
        <f t="shared" ca="1" si="430"/>
        <v>0</v>
      </c>
      <c r="BG358" s="771">
        <f t="shared" ca="1" si="431"/>
        <v>0</v>
      </c>
      <c r="BH358" s="771">
        <f t="shared" ca="1" si="432"/>
        <v>0</v>
      </c>
      <c r="BI358" s="776">
        <f t="shared" ca="1" si="433"/>
        <v>0</v>
      </c>
      <c r="BJ358" s="776">
        <f t="shared" ca="1" si="434"/>
        <v>0</v>
      </c>
      <c r="BK358" s="776">
        <f t="shared" ca="1" si="435"/>
        <v>0</v>
      </c>
      <c r="BL358" s="776">
        <f t="shared" ca="1" si="436"/>
        <v>0</v>
      </c>
      <c r="BM358" s="135"/>
      <c r="BN358" s="776">
        <f t="shared" ca="1" si="437"/>
        <v>0</v>
      </c>
      <c r="BO358" s="778">
        <f t="shared" ca="1" si="374"/>
        <v>0</v>
      </c>
      <c r="BP358" s="770">
        <f t="shared" ca="1" si="375"/>
        <v>0</v>
      </c>
      <c r="BQ358" s="771">
        <f t="shared" ca="1" si="376"/>
        <v>0</v>
      </c>
      <c r="BR358" s="771">
        <f t="shared" ca="1" si="377"/>
        <v>0</v>
      </c>
      <c r="BS358" s="776">
        <f t="shared" ca="1" si="438"/>
        <v>0</v>
      </c>
      <c r="BT358" s="776">
        <f t="shared" ca="1" si="378"/>
        <v>0</v>
      </c>
      <c r="BU358" s="783">
        <f t="shared" ca="1" si="379"/>
        <v>0</v>
      </c>
      <c r="BV358" s="783">
        <f t="shared" ca="1" si="380"/>
        <v>0</v>
      </c>
      <c r="BW358" s="1019">
        <f t="shared" ca="1" si="439"/>
        <v>0</v>
      </c>
      <c r="BX358" s="771" cm="1">
        <f t="array" aca="1" ref="BX358" ca="1">INDIRECT("'Definition of Typical Day'!"&amp; ADDRESS($D358+29*(BX$16-1),$E358))</f>
        <v>0</v>
      </c>
      <c r="BY358" s="771">
        <f t="shared" ca="1" si="440"/>
        <v>0</v>
      </c>
      <c r="BZ358" s="781">
        <f t="shared" ca="1" si="381"/>
        <v>0</v>
      </c>
      <c r="CA358" s="781">
        <f t="shared" ca="1" si="382"/>
        <v>0</v>
      </c>
      <c r="CB358" s="776">
        <f t="shared" ca="1" si="383"/>
        <v>0</v>
      </c>
      <c r="CC358" s="782">
        <f t="shared" si="384"/>
        <v>15</v>
      </c>
      <c r="CD358" s="782">
        <f t="shared" si="385"/>
        <v>2</v>
      </c>
      <c r="CE358" s="784" cm="1">
        <f t="array" aca="1" ref="CE358" ca="1">INDIRECT("'Definition of Typical Day'!"&amp;ADDRESS(CE$16,$E358))</f>
        <v>15</v>
      </c>
      <c r="CF358" s="232"/>
      <c r="CG358" s="232"/>
      <c r="CH358" s="776">
        <f t="shared" ca="1" si="386"/>
        <v>0</v>
      </c>
      <c r="CI358" s="806">
        <f t="shared" ca="1" si="387"/>
        <v>0</v>
      </c>
      <c r="CJ358" s="770">
        <f t="shared" ca="1" si="388"/>
        <v>0</v>
      </c>
      <c r="CK358" s="771">
        <f t="shared" ca="1" si="389"/>
        <v>0</v>
      </c>
      <c r="CL358" s="771">
        <f t="shared" ca="1" si="390"/>
        <v>0</v>
      </c>
      <c r="CM358" s="772">
        <f t="shared" ca="1" si="391"/>
        <v>0</v>
      </c>
      <c r="CN358" s="135"/>
      <c r="CO358" s="770">
        <f t="shared" ca="1" si="441"/>
        <v>1.05</v>
      </c>
      <c r="CP358" s="771">
        <f t="shared" ca="1" si="392"/>
        <v>0.02</v>
      </c>
      <c r="CQ358" s="771">
        <f t="shared" ca="1" si="393"/>
        <v>-2.5000000000000001E-2</v>
      </c>
      <c r="CR358" s="771">
        <f t="shared" ca="1" si="394"/>
        <v>0.95</v>
      </c>
      <c r="CS358" s="771">
        <f t="shared" ca="1" si="395"/>
        <v>0.03</v>
      </c>
      <c r="CT358" s="772">
        <f t="shared" ca="1" si="396"/>
        <v>0.02</v>
      </c>
      <c r="CU358" s="135"/>
      <c r="CV358" s="135"/>
      <c r="CW358" s="135"/>
      <c r="CX358" s="135"/>
      <c r="CY358" s="135"/>
      <c r="CZ358" s="135"/>
      <c r="DA358" s="135"/>
      <c r="DB358" s="135"/>
      <c r="DC358" s="135"/>
      <c r="DD358" s="135"/>
      <c r="DE358" s="135"/>
      <c r="DF358" s="135"/>
      <c r="DG358" s="135"/>
      <c r="DH358" s="135"/>
      <c r="DI358" s="135"/>
      <c r="DJ358" s="135"/>
      <c r="DK358" s="135"/>
      <c r="DL358" s="135"/>
      <c r="DX358" s="135"/>
      <c r="DY358" s="135"/>
      <c r="DZ358" s="135"/>
      <c r="EA358" s="135"/>
      <c r="EB358" s="135"/>
      <c r="EC358" s="135"/>
      <c r="ED358" s="135"/>
      <c r="EE358" s="135"/>
      <c r="EF358" s="135"/>
      <c r="EG358" s="135"/>
      <c r="EH358" s="135"/>
      <c r="EI358" s="135"/>
      <c r="EJ358" s="135"/>
      <c r="EK358" s="135"/>
      <c r="EL358" s="135"/>
      <c r="EM358" s="135"/>
      <c r="EN358" s="135"/>
      <c r="EO358" s="135"/>
      <c r="EP358" s="135"/>
      <c r="EQ358" s="135"/>
      <c r="ER358" s="135"/>
      <c r="ES358" s="135"/>
      <c r="ET358" s="135"/>
      <c r="EU358" s="135"/>
      <c r="EV358" s="135"/>
      <c r="EW358" s="135"/>
      <c r="EX358" s="135"/>
      <c r="EY358" s="135"/>
      <c r="EZ358" s="135"/>
      <c r="FA358" s="135"/>
      <c r="FB358" s="135"/>
      <c r="FC358" s="135"/>
      <c r="FD358" s="135"/>
      <c r="FE358" s="135"/>
      <c r="FF358" s="135"/>
      <c r="FG358" s="135"/>
    </row>
    <row r="359" spans="1:163" s="57" customFormat="1" ht="11.25" outlineLevel="1">
      <c r="A359" s="765">
        <f t="shared" si="369"/>
        <v>15</v>
      </c>
      <c r="B359" s="715" cm="1">
        <f t="array" aca="1" ref="B359" ca="1">INDIRECT("'Definition of Typical Day'!"&amp;ADDRESS(B$16,$E359))</f>
        <v>15</v>
      </c>
      <c r="C359" s="766">
        <f t="shared" si="370"/>
        <v>3</v>
      </c>
      <c r="D359" s="715">
        <f t="shared" si="370"/>
        <v>37</v>
      </c>
      <c r="E359" s="715">
        <f t="shared" si="371"/>
        <v>19</v>
      </c>
      <c r="F359" s="767" cm="1">
        <f t="array" aca="1" ref="F359" ca="1">INDIRECT("'Definition of Typical Day'!D"&amp;D359)</f>
        <v>3</v>
      </c>
      <c r="G359" s="767" cm="1">
        <f t="array" aca="1" ref="G359" ca="1">INDIRECT("'Definition of Typical Day'!"&amp;ADDRESS(13,E359))</f>
        <v>15</v>
      </c>
      <c r="H359" s="768" cm="1">
        <f t="array" aca="1" ref="H359" ca="1">INDIRECT("'Definition of Typical Day'!"&amp; ADDRESS($D359+28*(H$16-1),$E359))</f>
        <v>0</v>
      </c>
      <c r="I359" s="715" cm="1">
        <f t="array" aca="1" ref="I359" ca="1">INDIRECT("'Definition of Typical Day'!"&amp; ADDRESS($D359+29*(I$16-1),$E359))</f>
        <v>0</v>
      </c>
      <c r="J359" s="715">
        <f t="shared" ca="1" si="397"/>
        <v>0</v>
      </c>
      <c r="K359" s="785">
        <f t="shared" si="398"/>
        <v>28</v>
      </c>
      <c r="L359" s="786" cm="1">
        <f t="array" aca="1" ref="L359" ca="1">INDIRECT("'Definition of Typical Day'!"&amp; ADDRESS($D359+29*(L$16-1),$E359))</f>
        <v>0</v>
      </c>
      <c r="M359" s="768" cm="1">
        <f t="array" aca="1" ref="M359" ca="1">INDIRECT("'Definition of Typical Day'!"&amp; ADDRESS($D359+29*(M$16-1),$E359))</f>
        <v>0</v>
      </c>
      <c r="N359" s="715">
        <f t="shared" si="399"/>
        <v>3</v>
      </c>
      <c r="O359" s="715">
        <f t="shared" ca="1" si="400"/>
        <v>3</v>
      </c>
      <c r="P359" s="715" cm="1">
        <f t="array" aca="1" ref="P359" ca="1">INDIRECT("'Definition of Typical Day'!"&amp; ADDRESS($D359+29*(P$16-1),$E359))</f>
        <v>0</v>
      </c>
      <c r="Q359" s="787">
        <f t="shared" ca="1" si="401"/>
        <v>3</v>
      </c>
      <c r="R359" s="792">
        <f t="shared" ca="1" si="402"/>
        <v>3</v>
      </c>
      <c r="S359" s="769">
        <f t="shared" si="403"/>
        <v>3</v>
      </c>
      <c r="T359" s="769">
        <f t="shared" ca="1" si="404"/>
        <v>-0.5</v>
      </c>
      <c r="U359" s="769">
        <f t="shared" ca="1" si="405"/>
        <v>2.262</v>
      </c>
      <c r="V359" s="769">
        <f t="shared" ca="1" si="406"/>
        <v>0</v>
      </c>
      <c r="W359" s="769">
        <f t="shared" ca="1" si="407"/>
        <v>4.7620000000000005</v>
      </c>
      <c r="X359" s="794">
        <f t="shared" si="408"/>
        <v>3</v>
      </c>
      <c r="Y359" s="769">
        <f t="shared" ca="1" si="409"/>
        <v>0.54772255750516607</v>
      </c>
      <c r="Z359" s="769">
        <f t="shared" ca="1" si="410"/>
        <v>0</v>
      </c>
      <c r="AA359" s="795">
        <f t="shared" ca="1" si="411"/>
        <v>0</v>
      </c>
      <c r="AB359" s="769">
        <f t="shared" ca="1" si="412"/>
        <v>0</v>
      </c>
      <c r="AC359" s="769">
        <f t="shared" ca="1" si="413"/>
        <v>0</v>
      </c>
      <c r="AD359" s="769">
        <f t="shared" ca="1" si="414"/>
        <v>0</v>
      </c>
      <c r="AE359" s="794">
        <f t="shared" ca="1" si="415"/>
        <v>0</v>
      </c>
      <c r="AF359" s="769">
        <f t="shared" ca="1" si="416"/>
        <v>0</v>
      </c>
      <c r="AG359" s="769">
        <f t="shared" ca="1" si="417"/>
        <v>0</v>
      </c>
      <c r="AH359" s="799">
        <f t="shared" ca="1" si="418"/>
        <v>0</v>
      </c>
      <c r="AI359" s="801">
        <f t="shared" ca="1" si="419"/>
        <v>1</v>
      </c>
      <c r="AJ359" s="794">
        <f t="shared" ca="1" si="420"/>
        <v>0</v>
      </c>
      <c r="AK359" s="769">
        <f t="shared" ca="1" si="421"/>
        <v>0</v>
      </c>
      <c r="AL359" s="769">
        <f t="shared" ca="1" si="422"/>
        <v>0</v>
      </c>
      <c r="AM359" s="804">
        <f t="shared" ca="1" si="372"/>
        <v>0</v>
      </c>
      <c r="AN359" s="795">
        <f t="shared" ca="1" si="373"/>
        <v>0</v>
      </c>
      <c r="AO359" s="251"/>
      <c r="AP359" s="770">
        <f t="shared" si="423"/>
        <v>0</v>
      </c>
      <c r="AQ359" s="771">
        <f t="shared" ca="1" si="424"/>
        <v>0</v>
      </c>
      <c r="AR359" s="771">
        <f t="shared" ca="1" si="425"/>
        <v>0</v>
      </c>
      <c r="AS359" s="772">
        <f t="shared" ca="1" si="426"/>
        <v>0</v>
      </c>
      <c r="AT359" s="231"/>
      <c r="AU359" s="770">
        <f>'Main Results - IRR DC Operator'!$F$16</f>
        <v>2</v>
      </c>
      <c r="AV359" s="773">
        <f>'Main Results - IRR DC Operator'!$F$15</f>
        <v>1</v>
      </c>
      <c r="AW359" s="771">
        <f t="shared" ca="1" si="427"/>
        <v>0</v>
      </c>
      <c r="AX359" s="772">
        <f t="shared" si="428"/>
        <v>0</v>
      </c>
      <c r="AY359" s="231"/>
      <c r="AZ359" s="770" cm="1">
        <f t="array" aca="1" ref="AZ359" ca="1">INDIRECT("'Definition of Typical Day'!"&amp; ADDRESS($D359+29*(AZ$16-1),$E359))+$AZ$17</f>
        <v>11</v>
      </c>
      <c r="BA359" s="771" cm="1">
        <f t="array" aca="1" ref="BA359" ca="1">INDIRECT("'Definition of Typical Day'!"&amp; ADDRESS($D359+29*(BA$16-1),$E359))+$BA$17</f>
        <v>11</v>
      </c>
      <c r="BB359" s="772" cm="1">
        <f t="array" aca="1" ref="BB359" ca="1">INDIRECT("'Definition of Typical Day'!"&amp;ADDRESS(BB$16,$E359))</f>
        <v>0</v>
      </c>
      <c r="BC359" s="776" cm="1">
        <f t="array" aca="1" ref="BC359" ca="1">INDIRECT("'Definition of Typical Day'!"&amp; ADDRESS($D359+29*(BC$16-1),$E359))</f>
        <v>0</v>
      </c>
      <c r="BD359" s="777" cm="1">
        <f t="array" aca="1" ref="BD359" ca="1">INDIRECT("'Definition of Typical Day'!"&amp; ADDRESS($D359+29*(BD$16-1),$E359))</f>
        <v>0</v>
      </c>
      <c r="BE359" s="776">
        <f t="shared" si="429"/>
        <v>0</v>
      </c>
      <c r="BF359" s="771">
        <f t="shared" ca="1" si="430"/>
        <v>0</v>
      </c>
      <c r="BG359" s="771">
        <f t="shared" ca="1" si="431"/>
        <v>0</v>
      </c>
      <c r="BH359" s="771">
        <f t="shared" ca="1" si="432"/>
        <v>0</v>
      </c>
      <c r="BI359" s="776">
        <f t="shared" ca="1" si="433"/>
        <v>0</v>
      </c>
      <c r="BJ359" s="776">
        <f t="shared" ca="1" si="434"/>
        <v>0</v>
      </c>
      <c r="BK359" s="776">
        <f t="shared" ca="1" si="435"/>
        <v>0</v>
      </c>
      <c r="BL359" s="776">
        <f t="shared" ca="1" si="436"/>
        <v>0</v>
      </c>
      <c r="BM359" s="135"/>
      <c r="BN359" s="776">
        <f t="shared" ca="1" si="437"/>
        <v>0</v>
      </c>
      <c r="BO359" s="778">
        <f t="shared" ca="1" si="374"/>
        <v>0</v>
      </c>
      <c r="BP359" s="770">
        <f t="shared" ca="1" si="375"/>
        <v>0</v>
      </c>
      <c r="BQ359" s="771">
        <f t="shared" ca="1" si="376"/>
        <v>0</v>
      </c>
      <c r="BR359" s="771">
        <f t="shared" ca="1" si="377"/>
        <v>0</v>
      </c>
      <c r="BS359" s="776">
        <f t="shared" ca="1" si="438"/>
        <v>0</v>
      </c>
      <c r="BT359" s="776">
        <f t="shared" ca="1" si="378"/>
        <v>0</v>
      </c>
      <c r="BU359" s="783">
        <f t="shared" ca="1" si="379"/>
        <v>0</v>
      </c>
      <c r="BV359" s="783">
        <f t="shared" ca="1" si="380"/>
        <v>0</v>
      </c>
      <c r="BW359" s="1019">
        <f t="shared" ca="1" si="439"/>
        <v>0</v>
      </c>
      <c r="BX359" s="771" cm="1">
        <f t="array" aca="1" ref="BX359" ca="1">INDIRECT("'Definition of Typical Day'!"&amp; ADDRESS($D359+29*(BX$16-1),$E359))</f>
        <v>0</v>
      </c>
      <c r="BY359" s="771">
        <f t="shared" ca="1" si="440"/>
        <v>0</v>
      </c>
      <c r="BZ359" s="781">
        <f t="shared" ca="1" si="381"/>
        <v>0</v>
      </c>
      <c r="CA359" s="781">
        <f t="shared" ca="1" si="382"/>
        <v>0</v>
      </c>
      <c r="CB359" s="776">
        <f t="shared" ca="1" si="383"/>
        <v>0</v>
      </c>
      <c r="CC359" s="782">
        <f t="shared" si="384"/>
        <v>15</v>
      </c>
      <c r="CD359" s="782">
        <f t="shared" si="385"/>
        <v>3</v>
      </c>
      <c r="CE359" s="784" cm="1">
        <f t="array" aca="1" ref="CE359" ca="1">INDIRECT("'Definition of Typical Day'!"&amp;ADDRESS(CE$16,$E359))</f>
        <v>15</v>
      </c>
      <c r="CF359" s="232"/>
      <c r="CG359" s="232"/>
      <c r="CH359" s="776">
        <f t="shared" ca="1" si="386"/>
        <v>0</v>
      </c>
      <c r="CI359" s="806">
        <f t="shared" ca="1" si="387"/>
        <v>0</v>
      </c>
      <c r="CJ359" s="770">
        <f t="shared" ca="1" si="388"/>
        <v>0</v>
      </c>
      <c r="CK359" s="771">
        <f t="shared" ca="1" si="389"/>
        <v>0</v>
      </c>
      <c r="CL359" s="771">
        <f t="shared" ca="1" si="390"/>
        <v>0</v>
      </c>
      <c r="CM359" s="772">
        <f t="shared" ca="1" si="391"/>
        <v>0</v>
      </c>
      <c r="CN359" s="135"/>
      <c r="CO359" s="770">
        <f t="shared" ca="1" si="441"/>
        <v>1.05</v>
      </c>
      <c r="CP359" s="771">
        <f t="shared" ca="1" si="392"/>
        <v>0.02</v>
      </c>
      <c r="CQ359" s="771">
        <f t="shared" ca="1" si="393"/>
        <v>-2.5000000000000001E-2</v>
      </c>
      <c r="CR359" s="771">
        <f t="shared" ca="1" si="394"/>
        <v>0.95</v>
      </c>
      <c r="CS359" s="771">
        <f t="shared" ca="1" si="395"/>
        <v>0.03</v>
      </c>
      <c r="CT359" s="772">
        <f t="shared" ca="1" si="396"/>
        <v>0.02</v>
      </c>
      <c r="CU359" s="135"/>
      <c r="CV359" s="135"/>
      <c r="CW359" s="135"/>
      <c r="CX359" s="135"/>
      <c r="CY359" s="135"/>
      <c r="CZ359" s="135"/>
      <c r="DA359" s="135"/>
      <c r="DB359" s="135"/>
      <c r="DC359" s="135"/>
      <c r="DD359" s="135"/>
      <c r="DE359" s="135"/>
      <c r="DF359" s="135"/>
      <c r="DG359" s="135"/>
      <c r="DH359" s="135"/>
      <c r="DI359" s="135"/>
      <c r="DJ359" s="135"/>
      <c r="DK359" s="135"/>
      <c r="DL359" s="135"/>
      <c r="DX359" s="135"/>
      <c r="DY359" s="135"/>
      <c r="DZ359" s="135"/>
      <c r="EA359" s="135"/>
      <c r="EB359" s="135"/>
      <c r="EC359" s="135"/>
      <c r="ED359" s="135"/>
      <c r="EE359" s="135"/>
      <c r="EF359" s="135"/>
      <c r="EG359" s="135"/>
      <c r="EH359" s="135"/>
      <c r="EI359" s="135"/>
      <c r="EJ359" s="135"/>
      <c r="EK359" s="135"/>
      <c r="EL359" s="135"/>
      <c r="EM359" s="135"/>
      <c r="EN359" s="135"/>
      <c r="EO359" s="135"/>
      <c r="EP359" s="135"/>
      <c r="EQ359" s="135"/>
      <c r="ER359" s="135"/>
      <c r="ES359" s="135"/>
      <c r="ET359" s="135"/>
      <c r="EU359" s="135"/>
      <c r="EV359" s="135"/>
      <c r="EW359" s="135"/>
      <c r="EX359" s="135"/>
      <c r="EY359" s="135"/>
      <c r="EZ359" s="135"/>
      <c r="FA359" s="135"/>
      <c r="FB359" s="135"/>
      <c r="FC359" s="135"/>
      <c r="FD359" s="135"/>
      <c r="FE359" s="135"/>
      <c r="FF359" s="135"/>
      <c r="FG359" s="135"/>
    </row>
    <row r="360" spans="1:163" s="57" customFormat="1" ht="11.25" outlineLevel="1">
      <c r="A360" s="765">
        <f t="shared" si="369"/>
        <v>15</v>
      </c>
      <c r="B360" s="715" cm="1">
        <f t="array" aca="1" ref="B360" ca="1">INDIRECT("'Definition of Typical Day'!"&amp;ADDRESS(B$16,$E360))</f>
        <v>15</v>
      </c>
      <c r="C360" s="766">
        <f t="shared" si="370"/>
        <v>4</v>
      </c>
      <c r="D360" s="715">
        <f t="shared" si="370"/>
        <v>38</v>
      </c>
      <c r="E360" s="715">
        <f t="shared" si="371"/>
        <v>19</v>
      </c>
      <c r="F360" s="767" cm="1">
        <f t="array" aca="1" ref="F360" ca="1">INDIRECT("'Definition of Typical Day'!D"&amp;D360)</f>
        <v>4</v>
      </c>
      <c r="G360" s="767" cm="1">
        <f t="array" aca="1" ref="G360" ca="1">INDIRECT("'Definition of Typical Day'!"&amp;ADDRESS(13,E360))</f>
        <v>15</v>
      </c>
      <c r="H360" s="768" cm="1">
        <f t="array" aca="1" ref="H360" ca="1">INDIRECT("'Definition of Typical Day'!"&amp; ADDRESS($D360+28*(H$16-1),$E360))</f>
        <v>0</v>
      </c>
      <c r="I360" s="715" cm="1">
        <f t="array" aca="1" ref="I360" ca="1">INDIRECT("'Definition of Typical Day'!"&amp; ADDRESS($D360+29*(I$16-1),$E360))</f>
        <v>0</v>
      </c>
      <c r="J360" s="715">
        <f t="shared" ca="1" si="397"/>
        <v>0</v>
      </c>
      <c r="K360" s="785">
        <f t="shared" si="398"/>
        <v>28</v>
      </c>
      <c r="L360" s="786" cm="1">
        <f t="array" aca="1" ref="L360" ca="1">INDIRECT("'Definition of Typical Day'!"&amp; ADDRESS($D360+29*(L$16-1),$E360))</f>
        <v>0</v>
      </c>
      <c r="M360" s="768" cm="1">
        <f t="array" aca="1" ref="M360" ca="1">INDIRECT("'Definition of Typical Day'!"&amp; ADDRESS($D360+29*(M$16-1),$E360))</f>
        <v>0</v>
      </c>
      <c r="N360" s="715">
        <f t="shared" si="399"/>
        <v>3</v>
      </c>
      <c r="O360" s="715">
        <f t="shared" ca="1" si="400"/>
        <v>3</v>
      </c>
      <c r="P360" s="715" cm="1">
        <f t="array" aca="1" ref="P360" ca="1">INDIRECT("'Definition of Typical Day'!"&amp; ADDRESS($D360+29*(P$16-1),$E360))</f>
        <v>0</v>
      </c>
      <c r="Q360" s="787">
        <f t="shared" ca="1" si="401"/>
        <v>3</v>
      </c>
      <c r="R360" s="792">
        <f t="shared" ca="1" si="402"/>
        <v>3</v>
      </c>
      <c r="S360" s="769">
        <f t="shared" si="403"/>
        <v>3</v>
      </c>
      <c r="T360" s="769">
        <f t="shared" ca="1" si="404"/>
        <v>-0.5</v>
      </c>
      <c r="U360" s="769">
        <f t="shared" ca="1" si="405"/>
        <v>2.262</v>
      </c>
      <c r="V360" s="769">
        <f t="shared" ca="1" si="406"/>
        <v>0</v>
      </c>
      <c r="W360" s="769">
        <f t="shared" ca="1" si="407"/>
        <v>4.7620000000000005</v>
      </c>
      <c r="X360" s="794">
        <f t="shared" si="408"/>
        <v>3</v>
      </c>
      <c r="Y360" s="769">
        <f t="shared" ca="1" si="409"/>
        <v>0.54772255750516607</v>
      </c>
      <c r="Z360" s="769">
        <f t="shared" ca="1" si="410"/>
        <v>0</v>
      </c>
      <c r="AA360" s="795">
        <f t="shared" ca="1" si="411"/>
        <v>0</v>
      </c>
      <c r="AB360" s="769">
        <f t="shared" ca="1" si="412"/>
        <v>0</v>
      </c>
      <c r="AC360" s="769">
        <f t="shared" ca="1" si="413"/>
        <v>0</v>
      </c>
      <c r="AD360" s="769">
        <f t="shared" ca="1" si="414"/>
        <v>0</v>
      </c>
      <c r="AE360" s="794">
        <f t="shared" ca="1" si="415"/>
        <v>0</v>
      </c>
      <c r="AF360" s="769">
        <f t="shared" ca="1" si="416"/>
        <v>0</v>
      </c>
      <c r="AG360" s="769">
        <f t="shared" ca="1" si="417"/>
        <v>0</v>
      </c>
      <c r="AH360" s="799">
        <f t="shared" ca="1" si="418"/>
        <v>0</v>
      </c>
      <c r="AI360" s="801">
        <f t="shared" ca="1" si="419"/>
        <v>1</v>
      </c>
      <c r="AJ360" s="794">
        <f t="shared" ca="1" si="420"/>
        <v>0</v>
      </c>
      <c r="AK360" s="769">
        <f t="shared" ca="1" si="421"/>
        <v>0</v>
      </c>
      <c r="AL360" s="769">
        <f t="shared" ca="1" si="422"/>
        <v>0</v>
      </c>
      <c r="AM360" s="804">
        <f t="shared" ca="1" si="372"/>
        <v>0</v>
      </c>
      <c r="AN360" s="795">
        <f t="shared" ca="1" si="373"/>
        <v>0</v>
      </c>
      <c r="AO360" s="251"/>
      <c r="AP360" s="770">
        <f t="shared" si="423"/>
        <v>0</v>
      </c>
      <c r="AQ360" s="771">
        <f t="shared" ca="1" si="424"/>
        <v>0</v>
      </c>
      <c r="AR360" s="771">
        <f t="shared" ca="1" si="425"/>
        <v>0</v>
      </c>
      <c r="AS360" s="772">
        <f t="shared" ca="1" si="426"/>
        <v>0</v>
      </c>
      <c r="AT360" s="231"/>
      <c r="AU360" s="770">
        <f>'Main Results - IRR DC Operator'!$F$16</f>
        <v>2</v>
      </c>
      <c r="AV360" s="773">
        <f>'Main Results - IRR DC Operator'!$F$15</f>
        <v>1</v>
      </c>
      <c r="AW360" s="771">
        <f t="shared" ca="1" si="427"/>
        <v>0</v>
      </c>
      <c r="AX360" s="772">
        <f t="shared" si="428"/>
        <v>0</v>
      </c>
      <c r="AY360" s="231"/>
      <c r="AZ360" s="770" cm="1">
        <f t="array" aca="1" ref="AZ360" ca="1">INDIRECT("'Definition of Typical Day'!"&amp; ADDRESS($D360+29*(AZ$16-1),$E360))+$AZ$17</f>
        <v>11</v>
      </c>
      <c r="BA360" s="771" cm="1">
        <f t="array" aca="1" ref="BA360" ca="1">INDIRECT("'Definition of Typical Day'!"&amp; ADDRESS($D360+29*(BA$16-1),$E360))+$BA$17</f>
        <v>11</v>
      </c>
      <c r="BB360" s="772" cm="1">
        <f t="array" aca="1" ref="BB360" ca="1">INDIRECT("'Definition of Typical Day'!"&amp;ADDRESS(BB$16,$E360))</f>
        <v>0</v>
      </c>
      <c r="BC360" s="776" cm="1">
        <f t="array" aca="1" ref="BC360" ca="1">INDIRECT("'Definition of Typical Day'!"&amp; ADDRESS($D360+29*(BC$16-1),$E360))</f>
        <v>0</v>
      </c>
      <c r="BD360" s="777" cm="1">
        <f t="array" aca="1" ref="BD360" ca="1">INDIRECT("'Definition of Typical Day'!"&amp; ADDRESS($D360+29*(BD$16-1),$E360))</f>
        <v>0</v>
      </c>
      <c r="BE360" s="776">
        <f t="shared" si="429"/>
        <v>0</v>
      </c>
      <c r="BF360" s="771">
        <f t="shared" ca="1" si="430"/>
        <v>0</v>
      </c>
      <c r="BG360" s="771">
        <f t="shared" ca="1" si="431"/>
        <v>0</v>
      </c>
      <c r="BH360" s="771">
        <f t="shared" ca="1" si="432"/>
        <v>0</v>
      </c>
      <c r="BI360" s="776">
        <f t="shared" ca="1" si="433"/>
        <v>0</v>
      </c>
      <c r="BJ360" s="776">
        <f t="shared" ca="1" si="434"/>
        <v>0</v>
      </c>
      <c r="BK360" s="776">
        <f t="shared" ca="1" si="435"/>
        <v>0</v>
      </c>
      <c r="BL360" s="776">
        <f t="shared" ca="1" si="436"/>
        <v>0</v>
      </c>
      <c r="BM360" s="135"/>
      <c r="BN360" s="776">
        <f t="shared" ca="1" si="437"/>
        <v>0</v>
      </c>
      <c r="BO360" s="778">
        <f t="shared" ca="1" si="374"/>
        <v>0</v>
      </c>
      <c r="BP360" s="770">
        <f t="shared" ca="1" si="375"/>
        <v>0</v>
      </c>
      <c r="BQ360" s="771">
        <f t="shared" ca="1" si="376"/>
        <v>0</v>
      </c>
      <c r="BR360" s="771">
        <f t="shared" ca="1" si="377"/>
        <v>0</v>
      </c>
      <c r="BS360" s="776">
        <f t="shared" ca="1" si="438"/>
        <v>0</v>
      </c>
      <c r="BT360" s="776">
        <f t="shared" ca="1" si="378"/>
        <v>0</v>
      </c>
      <c r="BU360" s="783">
        <f t="shared" ca="1" si="379"/>
        <v>0</v>
      </c>
      <c r="BV360" s="783">
        <f t="shared" ca="1" si="380"/>
        <v>0</v>
      </c>
      <c r="BW360" s="1019">
        <f t="shared" ca="1" si="439"/>
        <v>0</v>
      </c>
      <c r="BX360" s="771" cm="1">
        <f t="array" aca="1" ref="BX360" ca="1">INDIRECT("'Definition of Typical Day'!"&amp; ADDRESS($D360+29*(BX$16-1),$E360))</f>
        <v>0</v>
      </c>
      <c r="BY360" s="771">
        <f t="shared" ca="1" si="440"/>
        <v>0</v>
      </c>
      <c r="BZ360" s="781">
        <f t="shared" ca="1" si="381"/>
        <v>0</v>
      </c>
      <c r="CA360" s="781">
        <f t="shared" ca="1" si="382"/>
        <v>0</v>
      </c>
      <c r="CB360" s="776">
        <f t="shared" ca="1" si="383"/>
        <v>0</v>
      </c>
      <c r="CC360" s="782">
        <f t="shared" si="384"/>
        <v>15</v>
      </c>
      <c r="CD360" s="782">
        <f t="shared" si="385"/>
        <v>4</v>
      </c>
      <c r="CE360" s="784" cm="1">
        <f t="array" aca="1" ref="CE360" ca="1">INDIRECT("'Definition of Typical Day'!"&amp;ADDRESS(CE$16,$E360))</f>
        <v>15</v>
      </c>
      <c r="CF360" s="232"/>
      <c r="CG360" s="232"/>
      <c r="CH360" s="776">
        <f t="shared" ca="1" si="386"/>
        <v>0</v>
      </c>
      <c r="CI360" s="806">
        <f t="shared" ca="1" si="387"/>
        <v>0</v>
      </c>
      <c r="CJ360" s="770">
        <f t="shared" ca="1" si="388"/>
        <v>0</v>
      </c>
      <c r="CK360" s="771">
        <f t="shared" ca="1" si="389"/>
        <v>0</v>
      </c>
      <c r="CL360" s="771">
        <f t="shared" ca="1" si="390"/>
        <v>0</v>
      </c>
      <c r="CM360" s="772">
        <f t="shared" ca="1" si="391"/>
        <v>0</v>
      </c>
      <c r="CN360" s="135"/>
      <c r="CO360" s="770">
        <f t="shared" ca="1" si="441"/>
        <v>1.05</v>
      </c>
      <c r="CP360" s="771">
        <f t="shared" ca="1" si="392"/>
        <v>0.02</v>
      </c>
      <c r="CQ360" s="771">
        <f t="shared" ca="1" si="393"/>
        <v>-2.5000000000000001E-2</v>
      </c>
      <c r="CR360" s="771">
        <f t="shared" ca="1" si="394"/>
        <v>0.95</v>
      </c>
      <c r="CS360" s="771">
        <f t="shared" ca="1" si="395"/>
        <v>0.03</v>
      </c>
      <c r="CT360" s="772">
        <f t="shared" ca="1" si="396"/>
        <v>0.02</v>
      </c>
      <c r="CU360" s="135"/>
      <c r="CV360" s="135"/>
      <c r="CW360" s="135"/>
      <c r="CX360" s="135"/>
      <c r="CY360" s="135"/>
      <c r="CZ360" s="135"/>
      <c r="DA360" s="135"/>
      <c r="DB360" s="135"/>
      <c r="DC360" s="135"/>
      <c r="DD360" s="135"/>
      <c r="DE360" s="135"/>
      <c r="DF360" s="135"/>
      <c r="DG360" s="135"/>
      <c r="DH360" s="135"/>
      <c r="DI360" s="135"/>
      <c r="DJ360" s="135"/>
      <c r="DK360" s="135"/>
      <c r="DL360" s="135"/>
      <c r="DX360" s="135"/>
      <c r="DY360" s="135"/>
      <c r="DZ360" s="135"/>
      <c r="EA360" s="135"/>
      <c r="EB360" s="135"/>
      <c r="EC360" s="135"/>
      <c r="ED360" s="135"/>
      <c r="EE360" s="135"/>
      <c r="EF360" s="135"/>
      <c r="EG360" s="135"/>
      <c r="EH360" s="135"/>
      <c r="EI360" s="135"/>
      <c r="EJ360" s="135"/>
      <c r="EK360" s="135"/>
      <c r="EL360" s="135"/>
      <c r="EM360" s="135"/>
      <c r="EN360" s="135"/>
      <c r="EO360" s="135"/>
      <c r="EP360" s="135"/>
      <c r="EQ360" s="135"/>
      <c r="ER360" s="135"/>
      <c r="ES360" s="135"/>
      <c r="ET360" s="135"/>
      <c r="EU360" s="135"/>
      <c r="EV360" s="135"/>
      <c r="EW360" s="135"/>
      <c r="EX360" s="135"/>
      <c r="EY360" s="135"/>
      <c r="EZ360" s="135"/>
      <c r="FA360" s="135"/>
      <c r="FB360" s="135"/>
      <c r="FC360" s="135"/>
      <c r="FD360" s="135"/>
      <c r="FE360" s="135"/>
      <c r="FF360" s="135"/>
      <c r="FG360" s="135"/>
    </row>
    <row r="361" spans="1:163" s="57" customFormat="1" ht="11.25" outlineLevel="1">
      <c r="A361" s="765">
        <f t="shared" si="369"/>
        <v>15</v>
      </c>
      <c r="B361" s="715" cm="1">
        <f t="array" aca="1" ref="B361" ca="1">INDIRECT("'Definition of Typical Day'!"&amp;ADDRESS(B$16,$E361))</f>
        <v>15</v>
      </c>
      <c r="C361" s="766">
        <f t="shared" si="370"/>
        <v>5</v>
      </c>
      <c r="D361" s="715">
        <f t="shared" si="370"/>
        <v>39</v>
      </c>
      <c r="E361" s="715">
        <f t="shared" si="371"/>
        <v>19</v>
      </c>
      <c r="F361" s="767" cm="1">
        <f t="array" aca="1" ref="F361" ca="1">INDIRECT("'Definition of Typical Day'!D"&amp;D361)</f>
        <v>5</v>
      </c>
      <c r="G361" s="767" cm="1">
        <f t="array" aca="1" ref="G361" ca="1">INDIRECT("'Definition of Typical Day'!"&amp;ADDRESS(13,E361))</f>
        <v>15</v>
      </c>
      <c r="H361" s="768" cm="1">
        <f t="array" aca="1" ref="H361" ca="1">INDIRECT("'Definition of Typical Day'!"&amp; ADDRESS($D361+28*(H$16-1),$E361))</f>
        <v>0</v>
      </c>
      <c r="I361" s="715" cm="1">
        <f t="array" aca="1" ref="I361" ca="1">INDIRECT("'Definition of Typical Day'!"&amp; ADDRESS($D361+29*(I$16-1),$E361))</f>
        <v>0</v>
      </c>
      <c r="J361" s="715">
        <f t="shared" ca="1" si="397"/>
        <v>0</v>
      </c>
      <c r="K361" s="785">
        <f t="shared" si="398"/>
        <v>28</v>
      </c>
      <c r="L361" s="786" cm="1">
        <f t="array" aca="1" ref="L361" ca="1">INDIRECT("'Definition of Typical Day'!"&amp; ADDRESS($D361+29*(L$16-1),$E361))</f>
        <v>0</v>
      </c>
      <c r="M361" s="768" cm="1">
        <f t="array" aca="1" ref="M361" ca="1">INDIRECT("'Definition of Typical Day'!"&amp; ADDRESS($D361+29*(M$16-1),$E361))</f>
        <v>0</v>
      </c>
      <c r="N361" s="715">
        <f t="shared" si="399"/>
        <v>3</v>
      </c>
      <c r="O361" s="715">
        <f t="shared" ca="1" si="400"/>
        <v>3</v>
      </c>
      <c r="P361" s="715" cm="1">
        <f t="array" aca="1" ref="P361" ca="1">INDIRECT("'Definition of Typical Day'!"&amp; ADDRESS($D361+29*(P$16-1),$E361))</f>
        <v>0</v>
      </c>
      <c r="Q361" s="787">
        <f t="shared" ca="1" si="401"/>
        <v>3</v>
      </c>
      <c r="R361" s="792">
        <f t="shared" ca="1" si="402"/>
        <v>3</v>
      </c>
      <c r="S361" s="769">
        <f t="shared" si="403"/>
        <v>3</v>
      </c>
      <c r="T361" s="769">
        <f t="shared" ca="1" si="404"/>
        <v>-0.5</v>
      </c>
      <c r="U361" s="769">
        <f t="shared" ca="1" si="405"/>
        <v>2.262</v>
      </c>
      <c r="V361" s="769">
        <f t="shared" ca="1" si="406"/>
        <v>0</v>
      </c>
      <c r="W361" s="769">
        <f t="shared" ca="1" si="407"/>
        <v>4.7620000000000005</v>
      </c>
      <c r="X361" s="794">
        <f t="shared" si="408"/>
        <v>3</v>
      </c>
      <c r="Y361" s="769">
        <f t="shared" ca="1" si="409"/>
        <v>0.54772255750516607</v>
      </c>
      <c r="Z361" s="769">
        <f t="shared" ca="1" si="410"/>
        <v>0</v>
      </c>
      <c r="AA361" s="795">
        <f t="shared" ca="1" si="411"/>
        <v>0</v>
      </c>
      <c r="AB361" s="769">
        <f t="shared" ca="1" si="412"/>
        <v>0</v>
      </c>
      <c r="AC361" s="769">
        <f t="shared" ca="1" si="413"/>
        <v>0</v>
      </c>
      <c r="AD361" s="769">
        <f t="shared" ca="1" si="414"/>
        <v>0</v>
      </c>
      <c r="AE361" s="794">
        <f t="shared" ca="1" si="415"/>
        <v>0</v>
      </c>
      <c r="AF361" s="769">
        <f t="shared" ca="1" si="416"/>
        <v>0</v>
      </c>
      <c r="AG361" s="769">
        <f t="shared" ca="1" si="417"/>
        <v>0</v>
      </c>
      <c r="AH361" s="799">
        <f t="shared" ca="1" si="418"/>
        <v>0</v>
      </c>
      <c r="AI361" s="801">
        <f t="shared" ca="1" si="419"/>
        <v>1</v>
      </c>
      <c r="AJ361" s="794">
        <f t="shared" ca="1" si="420"/>
        <v>0</v>
      </c>
      <c r="AK361" s="769">
        <f t="shared" ca="1" si="421"/>
        <v>0</v>
      </c>
      <c r="AL361" s="769">
        <f t="shared" ca="1" si="422"/>
        <v>0</v>
      </c>
      <c r="AM361" s="804">
        <f t="shared" ca="1" si="372"/>
        <v>0</v>
      </c>
      <c r="AN361" s="795">
        <f t="shared" ca="1" si="373"/>
        <v>0</v>
      </c>
      <c r="AO361" s="251"/>
      <c r="AP361" s="770">
        <f t="shared" si="423"/>
        <v>0</v>
      </c>
      <c r="AQ361" s="771">
        <f t="shared" ca="1" si="424"/>
        <v>0</v>
      </c>
      <c r="AR361" s="771">
        <f t="shared" ca="1" si="425"/>
        <v>0</v>
      </c>
      <c r="AS361" s="772">
        <f t="shared" ca="1" si="426"/>
        <v>0</v>
      </c>
      <c r="AT361" s="231"/>
      <c r="AU361" s="770">
        <f>'Main Results - IRR DC Operator'!$F$16</f>
        <v>2</v>
      </c>
      <c r="AV361" s="773">
        <f>'Main Results - IRR DC Operator'!$F$15</f>
        <v>1</v>
      </c>
      <c r="AW361" s="771">
        <f t="shared" ca="1" si="427"/>
        <v>0</v>
      </c>
      <c r="AX361" s="772">
        <f t="shared" si="428"/>
        <v>0</v>
      </c>
      <c r="AY361" s="231"/>
      <c r="AZ361" s="770" cm="1">
        <f t="array" aca="1" ref="AZ361" ca="1">INDIRECT("'Definition of Typical Day'!"&amp; ADDRESS($D361+29*(AZ$16-1),$E361))+$AZ$17</f>
        <v>11</v>
      </c>
      <c r="BA361" s="771" cm="1">
        <f t="array" aca="1" ref="BA361" ca="1">INDIRECT("'Definition of Typical Day'!"&amp; ADDRESS($D361+29*(BA$16-1),$E361))+$BA$17</f>
        <v>11</v>
      </c>
      <c r="BB361" s="772" cm="1">
        <f t="array" aca="1" ref="BB361" ca="1">INDIRECT("'Definition of Typical Day'!"&amp;ADDRESS(BB$16,$E361))</f>
        <v>0</v>
      </c>
      <c r="BC361" s="776" cm="1">
        <f t="array" aca="1" ref="BC361" ca="1">INDIRECT("'Definition of Typical Day'!"&amp; ADDRESS($D361+29*(BC$16-1),$E361))</f>
        <v>0</v>
      </c>
      <c r="BD361" s="777" cm="1">
        <f t="array" aca="1" ref="BD361" ca="1">INDIRECT("'Definition of Typical Day'!"&amp; ADDRESS($D361+29*(BD$16-1),$E361))</f>
        <v>0</v>
      </c>
      <c r="BE361" s="776">
        <f t="shared" si="429"/>
        <v>0</v>
      </c>
      <c r="BF361" s="771">
        <f t="shared" ca="1" si="430"/>
        <v>0</v>
      </c>
      <c r="BG361" s="771">
        <f t="shared" ca="1" si="431"/>
        <v>0</v>
      </c>
      <c r="BH361" s="771">
        <f t="shared" ca="1" si="432"/>
        <v>0</v>
      </c>
      <c r="BI361" s="776">
        <f t="shared" ca="1" si="433"/>
        <v>0</v>
      </c>
      <c r="BJ361" s="776">
        <f t="shared" ca="1" si="434"/>
        <v>0</v>
      </c>
      <c r="BK361" s="776">
        <f t="shared" ca="1" si="435"/>
        <v>0</v>
      </c>
      <c r="BL361" s="776">
        <f t="shared" ca="1" si="436"/>
        <v>0</v>
      </c>
      <c r="BM361" s="135"/>
      <c r="BN361" s="776">
        <f t="shared" ca="1" si="437"/>
        <v>0</v>
      </c>
      <c r="BO361" s="778">
        <f t="shared" ca="1" si="374"/>
        <v>0</v>
      </c>
      <c r="BP361" s="770">
        <f t="shared" ca="1" si="375"/>
        <v>0</v>
      </c>
      <c r="BQ361" s="771">
        <f t="shared" ca="1" si="376"/>
        <v>0</v>
      </c>
      <c r="BR361" s="771">
        <f t="shared" ca="1" si="377"/>
        <v>0</v>
      </c>
      <c r="BS361" s="776">
        <f t="shared" ca="1" si="438"/>
        <v>0</v>
      </c>
      <c r="BT361" s="776">
        <f t="shared" ca="1" si="378"/>
        <v>0</v>
      </c>
      <c r="BU361" s="783">
        <f t="shared" ca="1" si="379"/>
        <v>0</v>
      </c>
      <c r="BV361" s="783">
        <f t="shared" ca="1" si="380"/>
        <v>0</v>
      </c>
      <c r="BW361" s="1019">
        <f t="shared" ca="1" si="439"/>
        <v>0</v>
      </c>
      <c r="BX361" s="771" cm="1">
        <f t="array" aca="1" ref="BX361" ca="1">INDIRECT("'Definition of Typical Day'!"&amp; ADDRESS($D361+29*(BX$16-1),$E361))</f>
        <v>0</v>
      </c>
      <c r="BY361" s="771">
        <f t="shared" ca="1" si="440"/>
        <v>0</v>
      </c>
      <c r="BZ361" s="781">
        <f t="shared" ca="1" si="381"/>
        <v>0</v>
      </c>
      <c r="CA361" s="781">
        <f t="shared" ca="1" si="382"/>
        <v>0</v>
      </c>
      <c r="CB361" s="776">
        <f t="shared" ca="1" si="383"/>
        <v>0</v>
      </c>
      <c r="CC361" s="782">
        <f t="shared" si="384"/>
        <v>15</v>
      </c>
      <c r="CD361" s="782">
        <f t="shared" si="385"/>
        <v>5</v>
      </c>
      <c r="CE361" s="784" cm="1">
        <f t="array" aca="1" ref="CE361" ca="1">INDIRECT("'Definition of Typical Day'!"&amp;ADDRESS(CE$16,$E361))</f>
        <v>15</v>
      </c>
      <c r="CF361" s="232"/>
      <c r="CG361" s="232"/>
      <c r="CH361" s="776">
        <f t="shared" ca="1" si="386"/>
        <v>0</v>
      </c>
      <c r="CI361" s="806">
        <f t="shared" ca="1" si="387"/>
        <v>0</v>
      </c>
      <c r="CJ361" s="770">
        <f t="shared" ca="1" si="388"/>
        <v>0</v>
      </c>
      <c r="CK361" s="771">
        <f t="shared" ca="1" si="389"/>
        <v>0</v>
      </c>
      <c r="CL361" s="771">
        <f t="shared" ca="1" si="390"/>
        <v>0</v>
      </c>
      <c r="CM361" s="772">
        <f t="shared" ca="1" si="391"/>
        <v>0</v>
      </c>
      <c r="CN361" s="135"/>
      <c r="CO361" s="770">
        <f t="shared" ca="1" si="441"/>
        <v>1.05</v>
      </c>
      <c r="CP361" s="771">
        <f t="shared" ca="1" si="392"/>
        <v>0.02</v>
      </c>
      <c r="CQ361" s="771">
        <f t="shared" ca="1" si="393"/>
        <v>-2.5000000000000001E-2</v>
      </c>
      <c r="CR361" s="771">
        <f t="shared" ca="1" si="394"/>
        <v>0.95</v>
      </c>
      <c r="CS361" s="771">
        <f t="shared" ca="1" si="395"/>
        <v>0.03</v>
      </c>
      <c r="CT361" s="772">
        <f t="shared" ca="1" si="396"/>
        <v>0.02</v>
      </c>
      <c r="CU361" s="135"/>
      <c r="CV361" s="135"/>
      <c r="CW361" s="135"/>
      <c r="CX361" s="135"/>
      <c r="CY361" s="135"/>
      <c r="CZ361" s="135"/>
      <c r="DA361" s="135"/>
      <c r="DB361" s="135"/>
      <c r="DC361" s="135"/>
      <c r="DD361" s="135"/>
      <c r="DE361" s="135"/>
      <c r="DF361" s="135"/>
      <c r="DG361" s="135"/>
      <c r="DH361" s="135"/>
      <c r="DI361" s="135"/>
      <c r="DJ361" s="135"/>
      <c r="DK361" s="135"/>
      <c r="DL361" s="135"/>
      <c r="DX361" s="135"/>
      <c r="DY361" s="135"/>
      <c r="DZ361" s="135"/>
      <c r="EA361" s="135"/>
      <c r="EB361" s="135"/>
      <c r="EC361" s="135"/>
      <c r="ED361" s="135"/>
      <c r="EE361" s="135"/>
      <c r="EF361" s="135"/>
      <c r="EG361" s="135"/>
      <c r="EH361" s="135"/>
      <c r="EI361" s="135"/>
      <c r="EJ361" s="135"/>
      <c r="EK361" s="135"/>
      <c r="EL361" s="135"/>
      <c r="EM361" s="135"/>
      <c r="EN361" s="135"/>
      <c r="EO361" s="135"/>
      <c r="EP361" s="135"/>
      <c r="EQ361" s="135"/>
      <c r="ER361" s="135"/>
      <c r="ES361" s="135"/>
      <c r="ET361" s="135"/>
      <c r="EU361" s="135"/>
      <c r="EV361" s="135"/>
      <c r="EW361" s="135"/>
      <c r="EX361" s="135"/>
      <c r="EY361" s="135"/>
      <c r="EZ361" s="135"/>
      <c r="FA361" s="135"/>
      <c r="FB361" s="135"/>
      <c r="FC361" s="135"/>
      <c r="FD361" s="135"/>
      <c r="FE361" s="135"/>
      <c r="FF361" s="135"/>
      <c r="FG361" s="135"/>
    </row>
    <row r="362" spans="1:163" s="57" customFormat="1" ht="11.25" outlineLevel="1">
      <c r="A362" s="765">
        <f t="shared" si="369"/>
        <v>15</v>
      </c>
      <c r="B362" s="715" cm="1">
        <f t="array" aca="1" ref="B362" ca="1">INDIRECT("'Definition of Typical Day'!"&amp;ADDRESS(B$16,$E362))</f>
        <v>15</v>
      </c>
      <c r="C362" s="766">
        <f t="shared" si="370"/>
        <v>6</v>
      </c>
      <c r="D362" s="715">
        <f t="shared" si="370"/>
        <v>40</v>
      </c>
      <c r="E362" s="715">
        <f t="shared" si="371"/>
        <v>19</v>
      </c>
      <c r="F362" s="767" cm="1">
        <f t="array" aca="1" ref="F362" ca="1">INDIRECT("'Definition of Typical Day'!D"&amp;D362)</f>
        <v>6</v>
      </c>
      <c r="G362" s="767" cm="1">
        <f t="array" aca="1" ref="G362" ca="1">INDIRECT("'Definition of Typical Day'!"&amp;ADDRESS(13,E362))</f>
        <v>15</v>
      </c>
      <c r="H362" s="768" cm="1">
        <f t="array" aca="1" ref="H362" ca="1">INDIRECT("'Definition of Typical Day'!"&amp; ADDRESS($D362+28*(H$16-1),$E362))</f>
        <v>0</v>
      </c>
      <c r="I362" s="715" cm="1">
        <f t="array" aca="1" ref="I362" ca="1">INDIRECT("'Definition of Typical Day'!"&amp; ADDRESS($D362+29*(I$16-1),$E362))</f>
        <v>0</v>
      </c>
      <c r="J362" s="715">
        <f t="shared" ca="1" si="397"/>
        <v>0</v>
      </c>
      <c r="K362" s="785">
        <f t="shared" si="398"/>
        <v>28</v>
      </c>
      <c r="L362" s="786" cm="1">
        <f t="array" aca="1" ref="L362" ca="1">INDIRECT("'Definition of Typical Day'!"&amp; ADDRESS($D362+29*(L$16-1),$E362))</f>
        <v>0</v>
      </c>
      <c r="M362" s="768" cm="1">
        <f t="array" aca="1" ref="M362" ca="1">INDIRECT("'Definition of Typical Day'!"&amp; ADDRESS($D362+29*(M$16-1),$E362))</f>
        <v>0</v>
      </c>
      <c r="N362" s="715">
        <f t="shared" si="399"/>
        <v>3</v>
      </c>
      <c r="O362" s="715">
        <f t="shared" ca="1" si="400"/>
        <v>3</v>
      </c>
      <c r="P362" s="715" cm="1">
        <f t="array" aca="1" ref="P362" ca="1">INDIRECT("'Definition of Typical Day'!"&amp; ADDRESS($D362+29*(P$16-1),$E362))</f>
        <v>0</v>
      </c>
      <c r="Q362" s="787">
        <f t="shared" ca="1" si="401"/>
        <v>3</v>
      </c>
      <c r="R362" s="792">
        <f t="shared" ca="1" si="402"/>
        <v>3</v>
      </c>
      <c r="S362" s="769">
        <f t="shared" si="403"/>
        <v>3</v>
      </c>
      <c r="T362" s="769">
        <f t="shared" ca="1" si="404"/>
        <v>-0.5</v>
      </c>
      <c r="U362" s="769">
        <f t="shared" ca="1" si="405"/>
        <v>2.262</v>
      </c>
      <c r="V362" s="769">
        <f t="shared" ca="1" si="406"/>
        <v>0</v>
      </c>
      <c r="W362" s="769">
        <f t="shared" ca="1" si="407"/>
        <v>4.7620000000000005</v>
      </c>
      <c r="X362" s="794">
        <f t="shared" si="408"/>
        <v>3</v>
      </c>
      <c r="Y362" s="769">
        <f t="shared" ca="1" si="409"/>
        <v>0.54772255750516607</v>
      </c>
      <c r="Z362" s="769">
        <f t="shared" ca="1" si="410"/>
        <v>0</v>
      </c>
      <c r="AA362" s="795">
        <f t="shared" ca="1" si="411"/>
        <v>0</v>
      </c>
      <c r="AB362" s="769">
        <f t="shared" ca="1" si="412"/>
        <v>0</v>
      </c>
      <c r="AC362" s="769">
        <f t="shared" ca="1" si="413"/>
        <v>0</v>
      </c>
      <c r="AD362" s="769">
        <f t="shared" ca="1" si="414"/>
        <v>0</v>
      </c>
      <c r="AE362" s="794">
        <f t="shared" ca="1" si="415"/>
        <v>0</v>
      </c>
      <c r="AF362" s="769">
        <f t="shared" ca="1" si="416"/>
        <v>0</v>
      </c>
      <c r="AG362" s="769">
        <f t="shared" ca="1" si="417"/>
        <v>0</v>
      </c>
      <c r="AH362" s="799">
        <f t="shared" ca="1" si="418"/>
        <v>0</v>
      </c>
      <c r="AI362" s="801">
        <f t="shared" ca="1" si="419"/>
        <v>1</v>
      </c>
      <c r="AJ362" s="794">
        <f t="shared" ca="1" si="420"/>
        <v>0</v>
      </c>
      <c r="AK362" s="769">
        <f t="shared" ca="1" si="421"/>
        <v>0</v>
      </c>
      <c r="AL362" s="769">
        <f t="shared" ca="1" si="422"/>
        <v>0</v>
      </c>
      <c r="AM362" s="804">
        <f t="shared" ca="1" si="372"/>
        <v>0</v>
      </c>
      <c r="AN362" s="795">
        <f t="shared" ca="1" si="373"/>
        <v>0</v>
      </c>
      <c r="AO362" s="251"/>
      <c r="AP362" s="770">
        <f t="shared" si="423"/>
        <v>0</v>
      </c>
      <c r="AQ362" s="771">
        <f t="shared" ca="1" si="424"/>
        <v>0</v>
      </c>
      <c r="AR362" s="771">
        <f t="shared" ca="1" si="425"/>
        <v>0</v>
      </c>
      <c r="AS362" s="772">
        <f t="shared" ca="1" si="426"/>
        <v>0</v>
      </c>
      <c r="AT362" s="231"/>
      <c r="AU362" s="770">
        <f>'Main Results - IRR DC Operator'!$F$16</f>
        <v>2</v>
      </c>
      <c r="AV362" s="773">
        <f>'Main Results - IRR DC Operator'!$F$15</f>
        <v>1</v>
      </c>
      <c r="AW362" s="771">
        <f t="shared" ca="1" si="427"/>
        <v>0</v>
      </c>
      <c r="AX362" s="772">
        <f t="shared" si="428"/>
        <v>0</v>
      </c>
      <c r="AY362" s="231"/>
      <c r="AZ362" s="770" cm="1">
        <f t="array" aca="1" ref="AZ362" ca="1">INDIRECT("'Definition of Typical Day'!"&amp; ADDRESS($D362+29*(AZ$16-1),$E362))+$AZ$17</f>
        <v>11</v>
      </c>
      <c r="BA362" s="771" cm="1">
        <f t="array" aca="1" ref="BA362" ca="1">INDIRECT("'Definition of Typical Day'!"&amp; ADDRESS($D362+29*(BA$16-1),$E362))+$BA$17</f>
        <v>11</v>
      </c>
      <c r="BB362" s="772" cm="1">
        <f t="array" aca="1" ref="BB362" ca="1">INDIRECT("'Definition of Typical Day'!"&amp;ADDRESS(BB$16,$E362))</f>
        <v>0</v>
      </c>
      <c r="BC362" s="776" cm="1">
        <f t="array" aca="1" ref="BC362" ca="1">INDIRECT("'Definition of Typical Day'!"&amp; ADDRESS($D362+29*(BC$16-1),$E362))</f>
        <v>0</v>
      </c>
      <c r="BD362" s="777" cm="1">
        <f t="array" aca="1" ref="BD362" ca="1">INDIRECT("'Definition of Typical Day'!"&amp; ADDRESS($D362+29*(BD$16-1),$E362))</f>
        <v>0</v>
      </c>
      <c r="BE362" s="776">
        <f t="shared" si="429"/>
        <v>0</v>
      </c>
      <c r="BF362" s="771">
        <f t="shared" ca="1" si="430"/>
        <v>0</v>
      </c>
      <c r="BG362" s="771">
        <f t="shared" ca="1" si="431"/>
        <v>0</v>
      </c>
      <c r="BH362" s="771">
        <f t="shared" ca="1" si="432"/>
        <v>0</v>
      </c>
      <c r="BI362" s="776">
        <f t="shared" ca="1" si="433"/>
        <v>0</v>
      </c>
      <c r="BJ362" s="776">
        <f t="shared" ca="1" si="434"/>
        <v>0</v>
      </c>
      <c r="BK362" s="776">
        <f t="shared" ca="1" si="435"/>
        <v>0</v>
      </c>
      <c r="BL362" s="776">
        <f t="shared" ca="1" si="436"/>
        <v>0</v>
      </c>
      <c r="BM362" s="135"/>
      <c r="BN362" s="776">
        <f t="shared" ca="1" si="437"/>
        <v>0</v>
      </c>
      <c r="BO362" s="778">
        <f t="shared" ca="1" si="374"/>
        <v>0</v>
      </c>
      <c r="BP362" s="770">
        <f t="shared" ca="1" si="375"/>
        <v>0</v>
      </c>
      <c r="BQ362" s="771">
        <f t="shared" ca="1" si="376"/>
        <v>0</v>
      </c>
      <c r="BR362" s="771">
        <f t="shared" ca="1" si="377"/>
        <v>0</v>
      </c>
      <c r="BS362" s="776">
        <f t="shared" ca="1" si="438"/>
        <v>0</v>
      </c>
      <c r="BT362" s="776">
        <f t="shared" ca="1" si="378"/>
        <v>0</v>
      </c>
      <c r="BU362" s="783">
        <f t="shared" ca="1" si="379"/>
        <v>0</v>
      </c>
      <c r="BV362" s="783">
        <f t="shared" ca="1" si="380"/>
        <v>0</v>
      </c>
      <c r="BW362" s="1019">
        <f t="shared" ca="1" si="439"/>
        <v>0</v>
      </c>
      <c r="BX362" s="771" cm="1">
        <f t="array" aca="1" ref="BX362" ca="1">INDIRECT("'Definition of Typical Day'!"&amp; ADDRESS($D362+29*(BX$16-1),$E362))</f>
        <v>0</v>
      </c>
      <c r="BY362" s="771">
        <f t="shared" ca="1" si="440"/>
        <v>0</v>
      </c>
      <c r="BZ362" s="781">
        <f t="shared" ca="1" si="381"/>
        <v>0</v>
      </c>
      <c r="CA362" s="781">
        <f t="shared" ca="1" si="382"/>
        <v>0</v>
      </c>
      <c r="CB362" s="776">
        <f t="shared" ca="1" si="383"/>
        <v>0</v>
      </c>
      <c r="CC362" s="782">
        <f t="shared" si="384"/>
        <v>15</v>
      </c>
      <c r="CD362" s="782">
        <f t="shared" si="385"/>
        <v>6</v>
      </c>
      <c r="CE362" s="784" cm="1">
        <f t="array" aca="1" ref="CE362" ca="1">INDIRECT("'Definition of Typical Day'!"&amp;ADDRESS(CE$16,$E362))</f>
        <v>15</v>
      </c>
      <c r="CF362" s="232"/>
      <c r="CG362" s="232"/>
      <c r="CH362" s="776">
        <f t="shared" ca="1" si="386"/>
        <v>0</v>
      </c>
      <c r="CI362" s="806">
        <f t="shared" ca="1" si="387"/>
        <v>0</v>
      </c>
      <c r="CJ362" s="770">
        <f t="shared" ca="1" si="388"/>
        <v>0</v>
      </c>
      <c r="CK362" s="771">
        <f t="shared" ca="1" si="389"/>
        <v>0</v>
      </c>
      <c r="CL362" s="771">
        <f t="shared" ca="1" si="390"/>
        <v>0</v>
      </c>
      <c r="CM362" s="772">
        <f t="shared" ca="1" si="391"/>
        <v>0</v>
      </c>
      <c r="CN362" s="135"/>
      <c r="CO362" s="770">
        <f t="shared" ca="1" si="441"/>
        <v>1.05</v>
      </c>
      <c r="CP362" s="771">
        <f t="shared" ca="1" si="392"/>
        <v>0.02</v>
      </c>
      <c r="CQ362" s="771">
        <f t="shared" ca="1" si="393"/>
        <v>-2.5000000000000001E-2</v>
      </c>
      <c r="CR362" s="771">
        <f t="shared" ca="1" si="394"/>
        <v>0.95</v>
      </c>
      <c r="CS362" s="771">
        <f t="shared" ca="1" si="395"/>
        <v>0.03</v>
      </c>
      <c r="CT362" s="772">
        <f t="shared" ca="1" si="396"/>
        <v>0.02</v>
      </c>
      <c r="CU362" s="135"/>
      <c r="CV362" s="135"/>
      <c r="CW362" s="135"/>
      <c r="CX362" s="135"/>
      <c r="CY362" s="135"/>
      <c r="CZ362" s="135"/>
      <c r="DA362" s="135"/>
      <c r="DB362" s="135"/>
      <c r="DC362" s="135"/>
      <c r="DD362" s="135"/>
      <c r="DE362" s="135"/>
      <c r="DF362" s="135"/>
      <c r="DG362" s="135"/>
      <c r="DH362" s="135"/>
      <c r="DI362" s="135"/>
      <c r="DJ362" s="135"/>
      <c r="DK362" s="135"/>
      <c r="DL362" s="135"/>
      <c r="DX362" s="135"/>
      <c r="DY362" s="135"/>
      <c r="DZ362" s="135"/>
      <c r="EA362" s="135"/>
      <c r="EB362" s="135"/>
      <c r="EC362" s="135"/>
      <c r="ED362" s="135"/>
      <c r="EE362" s="135"/>
      <c r="EF362" s="135"/>
      <c r="EG362" s="135"/>
      <c r="EH362" s="135"/>
      <c r="EI362" s="135"/>
      <c r="EJ362" s="135"/>
      <c r="EK362" s="135"/>
      <c r="EL362" s="135"/>
      <c r="EM362" s="135"/>
      <c r="EN362" s="135"/>
      <c r="EO362" s="135"/>
      <c r="EP362" s="135"/>
      <c r="EQ362" s="135"/>
      <c r="ER362" s="135"/>
      <c r="ES362" s="135"/>
      <c r="ET362" s="135"/>
      <c r="EU362" s="135"/>
      <c r="EV362" s="135"/>
      <c r="EW362" s="135"/>
      <c r="EX362" s="135"/>
      <c r="EY362" s="135"/>
      <c r="EZ362" s="135"/>
      <c r="FA362" s="135"/>
      <c r="FB362" s="135"/>
      <c r="FC362" s="135"/>
      <c r="FD362" s="135"/>
      <c r="FE362" s="135"/>
      <c r="FF362" s="135"/>
      <c r="FG362" s="135"/>
    </row>
    <row r="363" spans="1:163" s="57" customFormat="1" ht="11.25" outlineLevel="1">
      <c r="A363" s="765">
        <f t="shared" si="369"/>
        <v>15</v>
      </c>
      <c r="B363" s="715" cm="1">
        <f t="array" aca="1" ref="B363" ca="1">INDIRECT("'Definition of Typical Day'!"&amp;ADDRESS(B$16,$E363))</f>
        <v>15</v>
      </c>
      <c r="C363" s="766">
        <f t="shared" si="370"/>
        <v>7</v>
      </c>
      <c r="D363" s="715">
        <f t="shared" si="370"/>
        <v>41</v>
      </c>
      <c r="E363" s="715">
        <f t="shared" si="371"/>
        <v>19</v>
      </c>
      <c r="F363" s="767" cm="1">
        <f t="array" aca="1" ref="F363" ca="1">INDIRECT("'Definition of Typical Day'!D"&amp;D363)</f>
        <v>7</v>
      </c>
      <c r="G363" s="767" cm="1">
        <f t="array" aca="1" ref="G363" ca="1">INDIRECT("'Definition of Typical Day'!"&amp;ADDRESS(13,E363))</f>
        <v>15</v>
      </c>
      <c r="H363" s="768" cm="1">
        <f t="array" aca="1" ref="H363" ca="1">INDIRECT("'Definition of Typical Day'!"&amp; ADDRESS($D363+28*(H$16-1),$E363))</f>
        <v>0</v>
      </c>
      <c r="I363" s="715" cm="1">
        <f t="array" aca="1" ref="I363" ca="1">INDIRECT("'Definition of Typical Day'!"&amp; ADDRESS($D363+29*(I$16-1),$E363))</f>
        <v>0</v>
      </c>
      <c r="J363" s="715">
        <f t="shared" ca="1" si="397"/>
        <v>0</v>
      </c>
      <c r="K363" s="785">
        <f t="shared" si="398"/>
        <v>28</v>
      </c>
      <c r="L363" s="786" cm="1">
        <f t="array" aca="1" ref="L363" ca="1">INDIRECT("'Definition of Typical Day'!"&amp; ADDRESS($D363+29*(L$16-1),$E363))</f>
        <v>0</v>
      </c>
      <c r="M363" s="768" cm="1">
        <f t="array" aca="1" ref="M363" ca="1">INDIRECT("'Definition of Typical Day'!"&amp; ADDRESS($D363+29*(M$16-1),$E363))</f>
        <v>0</v>
      </c>
      <c r="N363" s="715">
        <f t="shared" si="399"/>
        <v>3</v>
      </c>
      <c r="O363" s="715">
        <f t="shared" ca="1" si="400"/>
        <v>3</v>
      </c>
      <c r="P363" s="715" cm="1">
        <f t="array" aca="1" ref="P363" ca="1">INDIRECT("'Definition of Typical Day'!"&amp; ADDRESS($D363+29*(P$16-1),$E363))</f>
        <v>0</v>
      </c>
      <c r="Q363" s="787">
        <f t="shared" ca="1" si="401"/>
        <v>3</v>
      </c>
      <c r="R363" s="792">
        <f t="shared" ca="1" si="402"/>
        <v>3</v>
      </c>
      <c r="S363" s="769">
        <f t="shared" si="403"/>
        <v>3</v>
      </c>
      <c r="T363" s="769">
        <f t="shared" ca="1" si="404"/>
        <v>-0.5</v>
      </c>
      <c r="U363" s="769">
        <f t="shared" ca="1" si="405"/>
        <v>2.262</v>
      </c>
      <c r="V363" s="769">
        <f t="shared" ca="1" si="406"/>
        <v>0</v>
      </c>
      <c r="W363" s="769">
        <f t="shared" ca="1" si="407"/>
        <v>4.7620000000000005</v>
      </c>
      <c r="X363" s="794">
        <f t="shared" si="408"/>
        <v>3</v>
      </c>
      <c r="Y363" s="769">
        <f t="shared" ca="1" si="409"/>
        <v>0.54772255750516607</v>
      </c>
      <c r="Z363" s="769">
        <f t="shared" ca="1" si="410"/>
        <v>0</v>
      </c>
      <c r="AA363" s="795">
        <f t="shared" ca="1" si="411"/>
        <v>0</v>
      </c>
      <c r="AB363" s="769">
        <f t="shared" ca="1" si="412"/>
        <v>0</v>
      </c>
      <c r="AC363" s="769">
        <f t="shared" ca="1" si="413"/>
        <v>0</v>
      </c>
      <c r="AD363" s="769">
        <f t="shared" ca="1" si="414"/>
        <v>0</v>
      </c>
      <c r="AE363" s="794">
        <f t="shared" ca="1" si="415"/>
        <v>0</v>
      </c>
      <c r="AF363" s="769">
        <f t="shared" ca="1" si="416"/>
        <v>0</v>
      </c>
      <c r="AG363" s="769">
        <f t="shared" ca="1" si="417"/>
        <v>0</v>
      </c>
      <c r="AH363" s="799">
        <f t="shared" ca="1" si="418"/>
        <v>0</v>
      </c>
      <c r="AI363" s="801">
        <f t="shared" ca="1" si="419"/>
        <v>1</v>
      </c>
      <c r="AJ363" s="794">
        <f t="shared" ca="1" si="420"/>
        <v>0</v>
      </c>
      <c r="AK363" s="769">
        <f t="shared" ca="1" si="421"/>
        <v>0</v>
      </c>
      <c r="AL363" s="769">
        <f t="shared" ca="1" si="422"/>
        <v>0</v>
      </c>
      <c r="AM363" s="804">
        <f t="shared" ca="1" si="372"/>
        <v>0</v>
      </c>
      <c r="AN363" s="795">
        <f t="shared" ca="1" si="373"/>
        <v>0</v>
      </c>
      <c r="AO363" s="251"/>
      <c r="AP363" s="770">
        <f t="shared" si="423"/>
        <v>0</v>
      </c>
      <c r="AQ363" s="771">
        <f t="shared" ca="1" si="424"/>
        <v>0</v>
      </c>
      <c r="AR363" s="771">
        <f t="shared" ca="1" si="425"/>
        <v>0</v>
      </c>
      <c r="AS363" s="772">
        <f t="shared" ca="1" si="426"/>
        <v>0</v>
      </c>
      <c r="AT363" s="231"/>
      <c r="AU363" s="770">
        <f>'Main Results - IRR DC Operator'!$F$16</f>
        <v>2</v>
      </c>
      <c r="AV363" s="773">
        <f>'Main Results - IRR DC Operator'!$F$15</f>
        <v>1</v>
      </c>
      <c r="AW363" s="771">
        <f t="shared" ca="1" si="427"/>
        <v>0</v>
      </c>
      <c r="AX363" s="772">
        <f t="shared" si="428"/>
        <v>0</v>
      </c>
      <c r="AY363" s="231"/>
      <c r="AZ363" s="770" cm="1">
        <f t="array" aca="1" ref="AZ363" ca="1">INDIRECT("'Definition of Typical Day'!"&amp; ADDRESS($D363+29*(AZ$16-1),$E363))+$AZ$17</f>
        <v>11</v>
      </c>
      <c r="BA363" s="771" cm="1">
        <f t="array" aca="1" ref="BA363" ca="1">INDIRECT("'Definition of Typical Day'!"&amp; ADDRESS($D363+29*(BA$16-1),$E363))+$BA$17</f>
        <v>11</v>
      </c>
      <c r="BB363" s="772" cm="1">
        <f t="array" aca="1" ref="BB363" ca="1">INDIRECT("'Definition of Typical Day'!"&amp;ADDRESS(BB$16,$E363))</f>
        <v>0</v>
      </c>
      <c r="BC363" s="776" cm="1">
        <f t="array" aca="1" ref="BC363" ca="1">INDIRECT("'Definition of Typical Day'!"&amp; ADDRESS($D363+29*(BC$16-1),$E363))</f>
        <v>0</v>
      </c>
      <c r="BD363" s="777" cm="1">
        <f t="array" aca="1" ref="BD363" ca="1">INDIRECT("'Definition of Typical Day'!"&amp; ADDRESS($D363+29*(BD$16-1),$E363))</f>
        <v>0</v>
      </c>
      <c r="BE363" s="776">
        <f t="shared" si="429"/>
        <v>0</v>
      </c>
      <c r="BF363" s="771">
        <f t="shared" ca="1" si="430"/>
        <v>0</v>
      </c>
      <c r="BG363" s="771">
        <f t="shared" ca="1" si="431"/>
        <v>0</v>
      </c>
      <c r="BH363" s="771">
        <f t="shared" ca="1" si="432"/>
        <v>0</v>
      </c>
      <c r="BI363" s="776">
        <f t="shared" ca="1" si="433"/>
        <v>0</v>
      </c>
      <c r="BJ363" s="776">
        <f t="shared" ca="1" si="434"/>
        <v>0</v>
      </c>
      <c r="BK363" s="776">
        <f t="shared" ca="1" si="435"/>
        <v>0</v>
      </c>
      <c r="BL363" s="776">
        <f t="shared" ca="1" si="436"/>
        <v>0</v>
      </c>
      <c r="BM363" s="135"/>
      <c r="BN363" s="776">
        <f t="shared" ca="1" si="437"/>
        <v>0</v>
      </c>
      <c r="BO363" s="778">
        <f t="shared" ca="1" si="374"/>
        <v>0</v>
      </c>
      <c r="BP363" s="770">
        <f t="shared" ca="1" si="375"/>
        <v>0</v>
      </c>
      <c r="BQ363" s="771">
        <f t="shared" ca="1" si="376"/>
        <v>0</v>
      </c>
      <c r="BR363" s="771">
        <f t="shared" ca="1" si="377"/>
        <v>0</v>
      </c>
      <c r="BS363" s="776">
        <f t="shared" ca="1" si="438"/>
        <v>0</v>
      </c>
      <c r="BT363" s="776">
        <f t="shared" ca="1" si="378"/>
        <v>0</v>
      </c>
      <c r="BU363" s="783">
        <f t="shared" ca="1" si="379"/>
        <v>0</v>
      </c>
      <c r="BV363" s="783">
        <f t="shared" ca="1" si="380"/>
        <v>0</v>
      </c>
      <c r="BW363" s="1019">
        <f t="shared" ca="1" si="439"/>
        <v>0</v>
      </c>
      <c r="BX363" s="771" cm="1">
        <f t="array" aca="1" ref="BX363" ca="1">INDIRECT("'Definition of Typical Day'!"&amp; ADDRESS($D363+29*(BX$16-1),$E363))</f>
        <v>0</v>
      </c>
      <c r="BY363" s="771">
        <f t="shared" ca="1" si="440"/>
        <v>0</v>
      </c>
      <c r="BZ363" s="781">
        <f t="shared" ca="1" si="381"/>
        <v>0</v>
      </c>
      <c r="CA363" s="781">
        <f t="shared" ca="1" si="382"/>
        <v>0</v>
      </c>
      <c r="CB363" s="776">
        <f t="shared" ca="1" si="383"/>
        <v>0</v>
      </c>
      <c r="CC363" s="782">
        <f t="shared" si="384"/>
        <v>15</v>
      </c>
      <c r="CD363" s="782">
        <f t="shared" si="385"/>
        <v>7</v>
      </c>
      <c r="CE363" s="784" cm="1">
        <f t="array" aca="1" ref="CE363" ca="1">INDIRECT("'Definition of Typical Day'!"&amp;ADDRESS(CE$16,$E363))</f>
        <v>15</v>
      </c>
      <c r="CF363" s="232"/>
      <c r="CG363" s="232"/>
      <c r="CH363" s="776">
        <f t="shared" ca="1" si="386"/>
        <v>0</v>
      </c>
      <c r="CI363" s="806">
        <f t="shared" ca="1" si="387"/>
        <v>0</v>
      </c>
      <c r="CJ363" s="770">
        <f t="shared" ca="1" si="388"/>
        <v>0</v>
      </c>
      <c r="CK363" s="771">
        <f t="shared" ca="1" si="389"/>
        <v>0</v>
      </c>
      <c r="CL363" s="771">
        <f t="shared" ca="1" si="390"/>
        <v>0</v>
      </c>
      <c r="CM363" s="772">
        <f t="shared" ca="1" si="391"/>
        <v>0</v>
      </c>
      <c r="CN363" s="135"/>
      <c r="CO363" s="770">
        <f t="shared" ca="1" si="441"/>
        <v>1.05</v>
      </c>
      <c r="CP363" s="771">
        <f t="shared" ca="1" si="392"/>
        <v>0.02</v>
      </c>
      <c r="CQ363" s="771">
        <f t="shared" ca="1" si="393"/>
        <v>-2.5000000000000001E-2</v>
      </c>
      <c r="CR363" s="771">
        <f t="shared" ca="1" si="394"/>
        <v>0.95</v>
      </c>
      <c r="CS363" s="771">
        <f t="shared" ca="1" si="395"/>
        <v>0.03</v>
      </c>
      <c r="CT363" s="772">
        <f t="shared" ca="1" si="396"/>
        <v>0.02</v>
      </c>
      <c r="CU363" s="135"/>
      <c r="CV363" s="135"/>
      <c r="CW363" s="135"/>
      <c r="CX363" s="135"/>
      <c r="CY363" s="135"/>
      <c r="CZ363" s="135"/>
      <c r="DA363" s="135"/>
      <c r="DB363" s="135"/>
      <c r="DC363" s="135"/>
      <c r="DD363" s="135"/>
      <c r="DE363" s="135"/>
      <c r="DF363" s="135"/>
      <c r="DG363" s="135"/>
      <c r="DH363" s="135"/>
      <c r="DI363" s="135"/>
      <c r="DJ363" s="135"/>
      <c r="DK363" s="135"/>
      <c r="DL363" s="135"/>
      <c r="DX363" s="135"/>
      <c r="DY363" s="135"/>
      <c r="DZ363" s="135"/>
      <c r="EA363" s="135"/>
      <c r="EB363" s="135"/>
      <c r="EC363" s="135"/>
      <c r="ED363" s="135"/>
      <c r="EE363" s="135"/>
      <c r="EF363" s="135"/>
      <c r="EG363" s="135"/>
      <c r="EH363" s="135"/>
      <c r="EI363" s="135"/>
      <c r="EJ363" s="135"/>
      <c r="EK363" s="135"/>
      <c r="EL363" s="135"/>
      <c r="EM363" s="135"/>
      <c r="EN363" s="135"/>
      <c r="EO363" s="135"/>
      <c r="EP363" s="135"/>
      <c r="EQ363" s="135"/>
      <c r="ER363" s="135"/>
      <c r="ES363" s="135"/>
      <c r="ET363" s="135"/>
      <c r="EU363" s="135"/>
      <c r="EV363" s="135"/>
      <c r="EW363" s="135"/>
      <c r="EX363" s="135"/>
      <c r="EY363" s="135"/>
      <c r="EZ363" s="135"/>
      <c r="FA363" s="135"/>
      <c r="FB363" s="135"/>
      <c r="FC363" s="135"/>
      <c r="FD363" s="135"/>
      <c r="FE363" s="135"/>
      <c r="FF363" s="135"/>
      <c r="FG363" s="135"/>
    </row>
    <row r="364" spans="1:163" s="57" customFormat="1" ht="11.25" outlineLevel="1">
      <c r="A364" s="765">
        <f t="shared" si="369"/>
        <v>15</v>
      </c>
      <c r="B364" s="715" cm="1">
        <f t="array" aca="1" ref="B364" ca="1">INDIRECT("'Definition of Typical Day'!"&amp;ADDRESS(B$16,$E364))</f>
        <v>15</v>
      </c>
      <c r="C364" s="766">
        <f t="shared" si="370"/>
        <v>8</v>
      </c>
      <c r="D364" s="715">
        <f t="shared" si="370"/>
        <v>42</v>
      </c>
      <c r="E364" s="715">
        <f t="shared" si="371"/>
        <v>19</v>
      </c>
      <c r="F364" s="767" cm="1">
        <f t="array" aca="1" ref="F364" ca="1">INDIRECT("'Definition of Typical Day'!D"&amp;D364)</f>
        <v>8</v>
      </c>
      <c r="G364" s="767" cm="1">
        <f t="array" aca="1" ref="G364" ca="1">INDIRECT("'Definition of Typical Day'!"&amp;ADDRESS(13,E364))</f>
        <v>15</v>
      </c>
      <c r="H364" s="768" cm="1">
        <f t="array" aca="1" ref="H364" ca="1">INDIRECT("'Definition of Typical Day'!"&amp; ADDRESS($D364+28*(H$16-1),$E364))</f>
        <v>0</v>
      </c>
      <c r="I364" s="715" cm="1">
        <f t="array" aca="1" ref="I364" ca="1">INDIRECT("'Definition of Typical Day'!"&amp; ADDRESS($D364+29*(I$16-1),$E364))</f>
        <v>0</v>
      </c>
      <c r="J364" s="715">
        <f t="shared" ca="1" si="397"/>
        <v>0</v>
      </c>
      <c r="K364" s="785">
        <f t="shared" si="398"/>
        <v>28</v>
      </c>
      <c r="L364" s="786" cm="1">
        <f t="array" aca="1" ref="L364" ca="1">INDIRECT("'Definition of Typical Day'!"&amp; ADDRESS($D364+29*(L$16-1),$E364))</f>
        <v>0</v>
      </c>
      <c r="M364" s="768" cm="1">
        <f t="array" aca="1" ref="M364" ca="1">INDIRECT("'Definition of Typical Day'!"&amp; ADDRESS($D364+29*(M$16-1),$E364))</f>
        <v>0</v>
      </c>
      <c r="N364" s="715">
        <f t="shared" si="399"/>
        <v>3</v>
      </c>
      <c r="O364" s="715">
        <f t="shared" ca="1" si="400"/>
        <v>3</v>
      </c>
      <c r="P364" s="715" cm="1">
        <f t="array" aca="1" ref="P364" ca="1">INDIRECT("'Definition of Typical Day'!"&amp; ADDRESS($D364+29*(P$16-1),$E364))</f>
        <v>0</v>
      </c>
      <c r="Q364" s="787">
        <f t="shared" ca="1" si="401"/>
        <v>3</v>
      </c>
      <c r="R364" s="792">
        <f t="shared" ca="1" si="402"/>
        <v>3</v>
      </c>
      <c r="S364" s="769">
        <f t="shared" si="403"/>
        <v>3</v>
      </c>
      <c r="T364" s="769">
        <f t="shared" ca="1" si="404"/>
        <v>-0.5</v>
      </c>
      <c r="U364" s="769">
        <f t="shared" ca="1" si="405"/>
        <v>2.262</v>
      </c>
      <c r="V364" s="769">
        <f t="shared" ca="1" si="406"/>
        <v>0</v>
      </c>
      <c r="W364" s="769">
        <f t="shared" ca="1" si="407"/>
        <v>4.7620000000000005</v>
      </c>
      <c r="X364" s="794">
        <f t="shared" si="408"/>
        <v>3</v>
      </c>
      <c r="Y364" s="769">
        <f t="shared" ca="1" si="409"/>
        <v>0.54772255750516607</v>
      </c>
      <c r="Z364" s="769">
        <f t="shared" ca="1" si="410"/>
        <v>0</v>
      </c>
      <c r="AA364" s="795">
        <f t="shared" ca="1" si="411"/>
        <v>0</v>
      </c>
      <c r="AB364" s="769">
        <f t="shared" ca="1" si="412"/>
        <v>0</v>
      </c>
      <c r="AC364" s="769">
        <f t="shared" ca="1" si="413"/>
        <v>0</v>
      </c>
      <c r="AD364" s="769">
        <f t="shared" ca="1" si="414"/>
        <v>0</v>
      </c>
      <c r="AE364" s="794">
        <f t="shared" ca="1" si="415"/>
        <v>0</v>
      </c>
      <c r="AF364" s="769">
        <f t="shared" ca="1" si="416"/>
        <v>0</v>
      </c>
      <c r="AG364" s="769">
        <f t="shared" ca="1" si="417"/>
        <v>0</v>
      </c>
      <c r="AH364" s="799">
        <f t="shared" ca="1" si="418"/>
        <v>0</v>
      </c>
      <c r="AI364" s="801">
        <f t="shared" ca="1" si="419"/>
        <v>1</v>
      </c>
      <c r="AJ364" s="794">
        <f t="shared" ca="1" si="420"/>
        <v>0</v>
      </c>
      <c r="AK364" s="769">
        <f t="shared" ca="1" si="421"/>
        <v>0</v>
      </c>
      <c r="AL364" s="769">
        <f t="shared" ca="1" si="422"/>
        <v>0</v>
      </c>
      <c r="AM364" s="804">
        <f t="shared" ca="1" si="372"/>
        <v>0</v>
      </c>
      <c r="AN364" s="795">
        <f t="shared" ca="1" si="373"/>
        <v>0</v>
      </c>
      <c r="AO364" s="251"/>
      <c r="AP364" s="770">
        <f t="shared" si="423"/>
        <v>0</v>
      </c>
      <c r="AQ364" s="771">
        <f t="shared" ca="1" si="424"/>
        <v>0</v>
      </c>
      <c r="AR364" s="771">
        <f t="shared" ca="1" si="425"/>
        <v>0</v>
      </c>
      <c r="AS364" s="772">
        <f t="shared" ca="1" si="426"/>
        <v>0</v>
      </c>
      <c r="AT364" s="231"/>
      <c r="AU364" s="770">
        <f>'Main Results - IRR DC Operator'!$F$16</f>
        <v>2</v>
      </c>
      <c r="AV364" s="773">
        <f>'Main Results - IRR DC Operator'!$F$15</f>
        <v>1</v>
      </c>
      <c r="AW364" s="771">
        <f t="shared" ca="1" si="427"/>
        <v>0</v>
      </c>
      <c r="AX364" s="772">
        <f t="shared" si="428"/>
        <v>0</v>
      </c>
      <c r="AY364" s="231"/>
      <c r="AZ364" s="770" cm="1">
        <f t="array" aca="1" ref="AZ364" ca="1">INDIRECT("'Definition of Typical Day'!"&amp; ADDRESS($D364+29*(AZ$16-1),$E364))+$AZ$17</f>
        <v>11</v>
      </c>
      <c r="BA364" s="771" cm="1">
        <f t="array" aca="1" ref="BA364" ca="1">INDIRECT("'Definition of Typical Day'!"&amp; ADDRESS($D364+29*(BA$16-1),$E364))+$BA$17</f>
        <v>11</v>
      </c>
      <c r="BB364" s="772" cm="1">
        <f t="array" aca="1" ref="BB364" ca="1">INDIRECT("'Definition of Typical Day'!"&amp;ADDRESS(BB$16,$E364))</f>
        <v>0</v>
      </c>
      <c r="BC364" s="776" cm="1">
        <f t="array" aca="1" ref="BC364" ca="1">INDIRECT("'Definition of Typical Day'!"&amp; ADDRESS($D364+29*(BC$16-1),$E364))</f>
        <v>0</v>
      </c>
      <c r="BD364" s="777" cm="1">
        <f t="array" aca="1" ref="BD364" ca="1">INDIRECT("'Definition of Typical Day'!"&amp; ADDRESS($D364+29*(BD$16-1),$E364))</f>
        <v>0</v>
      </c>
      <c r="BE364" s="776">
        <f t="shared" si="429"/>
        <v>0</v>
      </c>
      <c r="BF364" s="771">
        <f t="shared" ca="1" si="430"/>
        <v>0</v>
      </c>
      <c r="BG364" s="771">
        <f t="shared" ca="1" si="431"/>
        <v>0</v>
      </c>
      <c r="BH364" s="771">
        <f t="shared" ca="1" si="432"/>
        <v>0</v>
      </c>
      <c r="BI364" s="776">
        <f t="shared" ca="1" si="433"/>
        <v>0</v>
      </c>
      <c r="BJ364" s="776">
        <f t="shared" ca="1" si="434"/>
        <v>0</v>
      </c>
      <c r="BK364" s="776">
        <f t="shared" ca="1" si="435"/>
        <v>0</v>
      </c>
      <c r="BL364" s="776">
        <f t="shared" ca="1" si="436"/>
        <v>0</v>
      </c>
      <c r="BM364" s="135"/>
      <c r="BN364" s="776">
        <f t="shared" ca="1" si="437"/>
        <v>0</v>
      </c>
      <c r="BO364" s="778">
        <f t="shared" ca="1" si="374"/>
        <v>0</v>
      </c>
      <c r="BP364" s="770">
        <f t="shared" ca="1" si="375"/>
        <v>0</v>
      </c>
      <c r="BQ364" s="771">
        <f t="shared" ca="1" si="376"/>
        <v>0</v>
      </c>
      <c r="BR364" s="771">
        <f t="shared" ca="1" si="377"/>
        <v>0</v>
      </c>
      <c r="BS364" s="776">
        <f t="shared" ca="1" si="438"/>
        <v>0</v>
      </c>
      <c r="BT364" s="776">
        <f t="shared" ca="1" si="378"/>
        <v>0</v>
      </c>
      <c r="BU364" s="783">
        <f t="shared" ca="1" si="379"/>
        <v>0</v>
      </c>
      <c r="BV364" s="783">
        <f t="shared" ca="1" si="380"/>
        <v>0</v>
      </c>
      <c r="BW364" s="1019">
        <f t="shared" ca="1" si="439"/>
        <v>0</v>
      </c>
      <c r="BX364" s="771" cm="1">
        <f t="array" aca="1" ref="BX364" ca="1">INDIRECT("'Definition of Typical Day'!"&amp; ADDRESS($D364+29*(BX$16-1),$E364))</f>
        <v>0</v>
      </c>
      <c r="BY364" s="771">
        <f t="shared" ca="1" si="440"/>
        <v>0</v>
      </c>
      <c r="BZ364" s="781">
        <f t="shared" ca="1" si="381"/>
        <v>0</v>
      </c>
      <c r="CA364" s="781">
        <f t="shared" ca="1" si="382"/>
        <v>0</v>
      </c>
      <c r="CB364" s="776">
        <f t="shared" ca="1" si="383"/>
        <v>0</v>
      </c>
      <c r="CC364" s="782">
        <f t="shared" si="384"/>
        <v>15</v>
      </c>
      <c r="CD364" s="782">
        <f t="shared" si="385"/>
        <v>8</v>
      </c>
      <c r="CE364" s="784" cm="1">
        <f t="array" aca="1" ref="CE364" ca="1">INDIRECT("'Definition of Typical Day'!"&amp;ADDRESS(CE$16,$E364))</f>
        <v>15</v>
      </c>
      <c r="CF364" s="232"/>
      <c r="CG364" s="232"/>
      <c r="CH364" s="776">
        <f t="shared" ca="1" si="386"/>
        <v>0</v>
      </c>
      <c r="CI364" s="806">
        <f t="shared" ca="1" si="387"/>
        <v>0</v>
      </c>
      <c r="CJ364" s="770">
        <f t="shared" ca="1" si="388"/>
        <v>0</v>
      </c>
      <c r="CK364" s="771">
        <f t="shared" ca="1" si="389"/>
        <v>0</v>
      </c>
      <c r="CL364" s="771">
        <f t="shared" ca="1" si="390"/>
        <v>0</v>
      </c>
      <c r="CM364" s="772">
        <f t="shared" ca="1" si="391"/>
        <v>0</v>
      </c>
      <c r="CN364" s="135"/>
      <c r="CO364" s="770">
        <f t="shared" ca="1" si="441"/>
        <v>1.05</v>
      </c>
      <c r="CP364" s="771">
        <f t="shared" ca="1" si="392"/>
        <v>0.02</v>
      </c>
      <c r="CQ364" s="771">
        <f t="shared" ca="1" si="393"/>
        <v>-2.5000000000000001E-2</v>
      </c>
      <c r="CR364" s="771">
        <f t="shared" ca="1" si="394"/>
        <v>0.95</v>
      </c>
      <c r="CS364" s="771">
        <f t="shared" ca="1" si="395"/>
        <v>0.03</v>
      </c>
      <c r="CT364" s="772">
        <f t="shared" ca="1" si="396"/>
        <v>0.02</v>
      </c>
      <c r="CU364" s="135"/>
      <c r="CV364" s="135"/>
      <c r="CW364" s="135"/>
      <c r="CX364" s="135"/>
      <c r="CY364" s="135"/>
      <c r="CZ364" s="135"/>
      <c r="DA364" s="135"/>
      <c r="DB364" s="135"/>
      <c r="DC364" s="135"/>
      <c r="DD364" s="135"/>
      <c r="DE364" s="135"/>
      <c r="DF364" s="135"/>
      <c r="DG364" s="135"/>
      <c r="DH364" s="135"/>
      <c r="DI364" s="135"/>
      <c r="DJ364" s="135"/>
      <c r="DK364" s="135"/>
      <c r="DL364" s="135"/>
      <c r="DX364" s="135"/>
      <c r="DY364" s="135"/>
      <c r="DZ364" s="135"/>
      <c r="EA364" s="135"/>
      <c r="EB364" s="135"/>
      <c r="EC364" s="135"/>
      <c r="ED364" s="135"/>
      <c r="EE364" s="135"/>
      <c r="EF364" s="135"/>
      <c r="EG364" s="135"/>
      <c r="EH364" s="135"/>
      <c r="EI364" s="135"/>
      <c r="EJ364" s="135"/>
      <c r="EK364" s="135"/>
      <c r="EL364" s="135"/>
      <c r="EM364" s="135"/>
      <c r="EN364" s="135"/>
      <c r="EO364" s="135"/>
      <c r="EP364" s="135"/>
      <c r="EQ364" s="135"/>
      <c r="ER364" s="135"/>
      <c r="ES364" s="135"/>
      <c r="ET364" s="135"/>
      <c r="EU364" s="135"/>
      <c r="EV364" s="135"/>
      <c r="EW364" s="135"/>
      <c r="EX364" s="135"/>
      <c r="EY364" s="135"/>
      <c r="EZ364" s="135"/>
      <c r="FA364" s="135"/>
      <c r="FB364" s="135"/>
      <c r="FC364" s="135"/>
      <c r="FD364" s="135"/>
      <c r="FE364" s="135"/>
      <c r="FF364" s="135"/>
      <c r="FG364" s="135"/>
    </row>
    <row r="365" spans="1:163" s="57" customFormat="1" ht="11.25" outlineLevel="1">
      <c r="A365" s="765">
        <f t="shared" si="369"/>
        <v>15</v>
      </c>
      <c r="B365" s="715" cm="1">
        <f t="array" aca="1" ref="B365" ca="1">INDIRECT("'Definition of Typical Day'!"&amp;ADDRESS(B$16,$E365))</f>
        <v>15</v>
      </c>
      <c r="C365" s="766">
        <f t="shared" si="370"/>
        <v>9</v>
      </c>
      <c r="D365" s="715">
        <f t="shared" si="370"/>
        <v>43</v>
      </c>
      <c r="E365" s="715">
        <f t="shared" si="371"/>
        <v>19</v>
      </c>
      <c r="F365" s="767" cm="1">
        <f t="array" aca="1" ref="F365" ca="1">INDIRECT("'Definition of Typical Day'!D"&amp;D365)</f>
        <v>9</v>
      </c>
      <c r="G365" s="767" cm="1">
        <f t="array" aca="1" ref="G365" ca="1">INDIRECT("'Definition of Typical Day'!"&amp;ADDRESS(13,E365))</f>
        <v>15</v>
      </c>
      <c r="H365" s="768" cm="1">
        <f t="array" aca="1" ref="H365" ca="1">INDIRECT("'Definition of Typical Day'!"&amp; ADDRESS($D365+28*(H$16-1),$E365))</f>
        <v>0</v>
      </c>
      <c r="I365" s="715" cm="1">
        <f t="array" aca="1" ref="I365" ca="1">INDIRECT("'Definition of Typical Day'!"&amp; ADDRESS($D365+29*(I$16-1),$E365))</f>
        <v>0</v>
      </c>
      <c r="J365" s="715">
        <f t="shared" ca="1" si="397"/>
        <v>0</v>
      </c>
      <c r="K365" s="785">
        <f t="shared" si="398"/>
        <v>28</v>
      </c>
      <c r="L365" s="786" cm="1">
        <f t="array" aca="1" ref="L365" ca="1">INDIRECT("'Definition of Typical Day'!"&amp; ADDRESS($D365+29*(L$16-1),$E365))</f>
        <v>0</v>
      </c>
      <c r="M365" s="768" cm="1">
        <f t="array" aca="1" ref="M365" ca="1">INDIRECT("'Definition of Typical Day'!"&amp; ADDRESS($D365+29*(M$16-1),$E365))</f>
        <v>0</v>
      </c>
      <c r="N365" s="715">
        <f t="shared" si="399"/>
        <v>3</v>
      </c>
      <c r="O365" s="715">
        <f t="shared" ca="1" si="400"/>
        <v>3</v>
      </c>
      <c r="P365" s="715" cm="1">
        <f t="array" aca="1" ref="P365" ca="1">INDIRECT("'Definition of Typical Day'!"&amp; ADDRESS($D365+29*(P$16-1),$E365))</f>
        <v>0</v>
      </c>
      <c r="Q365" s="787">
        <f t="shared" ca="1" si="401"/>
        <v>3</v>
      </c>
      <c r="R365" s="792">
        <f t="shared" ca="1" si="402"/>
        <v>3</v>
      </c>
      <c r="S365" s="769">
        <f t="shared" si="403"/>
        <v>3</v>
      </c>
      <c r="T365" s="769">
        <f t="shared" ca="1" si="404"/>
        <v>-0.5</v>
      </c>
      <c r="U365" s="769">
        <f t="shared" ca="1" si="405"/>
        <v>2.262</v>
      </c>
      <c r="V365" s="769">
        <f t="shared" ca="1" si="406"/>
        <v>0</v>
      </c>
      <c r="W365" s="769">
        <f t="shared" ca="1" si="407"/>
        <v>4.7620000000000005</v>
      </c>
      <c r="X365" s="794">
        <f t="shared" si="408"/>
        <v>3</v>
      </c>
      <c r="Y365" s="769">
        <f t="shared" ca="1" si="409"/>
        <v>0.54772255750516607</v>
      </c>
      <c r="Z365" s="769">
        <f t="shared" ca="1" si="410"/>
        <v>0</v>
      </c>
      <c r="AA365" s="795">
        <f t="shared" ca="1" si="411"/>
        <v>0</v>
      </c>
      <c r="AB365" s="769">
        <f t="shared" ca="1" si="412"/>
        <v>0</v>
      </c>
      <c r="AC365" s="769">
        <f t="shared" ca="1" si="413"/>
        <v>0</v>
      </c>
      <c r="AD365" s="769">
        <f t="shared" ca="1" si="414"/>
        <v>0</v>
      </c>
      <c r="AE365" s="794">
        <f t="shared" ca="1" si="415"/>
        <v>0</v>
      </c>
      <c r="AF365" s="769">
        <f t="shared" ca="1" si="416"/>
        <v>0</v>
      </c>
      <c r="AG365" s="769">
        <f t="shared" ca="1" si="417"/>
        <v>0</v>
      </c>
      <c r="AH365" s="799">
        <f t="shared" ca="1" si="418"/>
        <v>0</v>
      </c>
      <c r="AI365" s="801">
        <f t="shared" ca="1" si="419"/>
        <v>1</v>
      </c>
      <c r="AJ365" s="794">
        <f t="shared" ca="1" si="420"/>
        <v>0</v>
      </c>
      <c r="AK365" s="769">
        <f t="shared" ca="1" si="421"/>
        <v>0</v>
      </c>
      <c r="AL365" s="769">
        <f t="shared" ca="1" si="422"/>
        <v>0</v>
      </c>
      <c r="AM365" s="804">
        <f t="shared" ca="1" si="372"/>
        <v>0</v>
      </c>
      <c r="AN365" s="795">
        <f t="shared" ca="1" si="373"/>
        <v>0</v>
      </c>
      <c r="AO365" s="251"/>
      <c r="AP365" s="770">
        <f t="shared" si="423"/>
        <v>0</v>
      </c>
      <c r="AQ365" s="771">
        <f t="shared" ca="1" si="424"/>
        <v>0</v>
      </c>
      <c r="AR365" s="771">
        <f t="shared" ca="1" si="425"/>
        <v>0</v>
      </c>
      <c r="AS365" s="772">
        <f t="shared" ca="1" si="426"/>
        <v>0</v>
      </c>
      <c r="AT365" s="231"/>
      <c r="AU365" s="770">
        <f>'Main Results - IRR DC Operator'!$F$16</f>
        <v>2</v>
      </c>
      <c r="AV365" s="773">
        <f>'Main Results - IRR DC Operator'!$F$15</f>
        <v>1</v>
      </c>
      <c r="AW365" s="771">
        <f t="shared" ca="1" si="427"/>
        <v>0</v>
      </c>
      <c r="AX365" s="772">
        <f t="shared" si="428"/>
        <v>0</v>
      </c>
      <c r="AY365" s="231"/>
      <c r="AZ365" s="770" cm="1">
        <f t="array" aca="1" ref="AZ365" ca="1">INDIRECT("'Definition of Typical Day'!"&amp; ADDRESS($D365+29*(AZ$16-1),$E365))+$AZ$17</f>
        <v>11</v>
      </c>
      <c r="BA365" s="771" cm="1">
        <f t="array" aca="1" ref="BA365" ca="1">INDIRECT("'Definition of Typical Day'!"&amp; ADDRESS($D365+29*(BA$16-1),$E365))+$BA$17</f>
        <v>11</v>
      </c>
      <c r="BB365" s="772" cm="1">
        <f t="array" aca="1" ref="BB365" ca="1">INDIRECT("'Definition of Typical Day'!"&amp;ADDRESS(BB$16,$E365))</f>
        <v>0</v>
      </c>
      <c r="BC365" s="776" cm="1">
        <f t="array" aca="1" ref="BC365" ca="1">INDIRECT("'Definition of Typical Day'!"&amp; ADDRESS($D365+29*(BC$16-1),$E365))</f>
        <v>0</v>
      </c>
      <c r="BD365" s="777" cm="1">
        <f t="array" aca="1" ref="BD365" ca="1">INDIRECT("'Definition of Typical Day'!"&amp; ADDRESS($D365+29*(BD$16-1),$E365))</f>
        <v>0</v>
      </c>
      <c r="BE365" s="776">
        <f t="shared" si="429"/>
        <v>0</v>
      </c>
      <c r="BF365" s="771">
        <f t="shared" ca="1" si="430"/>
        <v>0</v>
      </c>
      <c r="BG365" s="771">
        <f t="shared" ca="1" si="431"/>
        <v>0</v>
      </c>
      <c r="BH365" s="771">
        <f t="shared" ca="1" si="432"/>
        <v>0</v>
      </c>
      <c r="BI365" s="776">
        <f t="shared" ca="1" si="433"/>
        <v>0</v>
      </c>
      <c r="BJ365" s="776">
        <f t="shared" ca="1" si="434"/>
        <v>0</v>
      </c>
      <c r="BK365" s="776">
        <f t="shared" ca="1" si="435"/>
        <v>0</v>
      </c>
      <c r="BL365" s="776">
        <f t="shared" ca="1" si="436"/>
        <v>0</v>
      </c>
      <c r="BM365" s="135"/>
      <c r="BN365" s="776">
        <f t="shared" ca="1" si="437"/>
        <v>0</v>
      </c>
      <c r="BO365" s="778">
        <f t="shared" ca="1" si="374"/>
        <v>0</v>
      </c>
      <c r="BP365" s="770">
        <f t="shared" ca="1" si="375"/>
        <v>0</v>
      </c>
      <c r="BQ365" s="771">
        <f t="shared" ca="1" si="376"/>
        <v>0</v>
      </c>
      <c r="BR365" s="771">
        <f t="shared" ca="1" si="377"/>
        <v>0</v>
      </c>
      <c r="BS365" s="776">
        <f t="shared" ca="1" si="438"/>
        <v>0</v>
      </c>
      <c r="BT365" s="776">
        <f t="shared" ca="1" si="378"/>
        <v>0</v>
      </c>
      <c r="BU365" s="783">
        <f t="shared" ca="1" si="379"/>
        <v>0</v>
      </c>
      <c r="BV365" s="783">
        <f t="shared" ca="1" si="380"/>
        <v>0</v>
      </c>
      <c r="BW365" s="1019">
        <f t="shared" ca="1" si="439"/>
        <v>0</v>
      </c>
      <c r="BX365" s="771" cm="1">
        <f t="array" aca="1" ref="BX365" ca="1">INDIRECT("'Definition of Typical Day'!"&amp; ADDRESS($D365+29*(BX$16-1),$E365))</f>
        <v>0</v>
      </c>
      <c r="BY365" s="771">
        <f t="shared" ca="1" si="440"/>
        <v>0</v>
      </c>
      <c r="BZ365" s="781">
        <f t="shared" ca="1" si="381"/>
        <v>0</v>
      </c>
      <c r="CA365" s="781">
        <f t="shared" ca="1" si="382"/>
        <v>0</v>
      </c>
      <c r="CB365" s="776">
        <f t="shared" ca="1" si="383"/>
        <v>0</v>
      </c>
      <c r="CC365" s="782">
        <f t="shared" si="384"/>
        <v>15</v>
      </c>
      <c r="CD365" s="782">
        <f t="shared" si="385"/>
        <v>9</v>
      </c>
      <c r="CE365" s="784" cm="1">
        <f t="array" aca="1" ref="CE365" ca="1">INDIRECT("'Definition of Typical Day'!"&amp;ADDRESS(CE$16,$E365))</f>
        <v>15</v>
      </c>
      <c r="CF365" s="232"/>
      <c r="CG365" s="232"/>
      <c r="CH365" s="776">
        <f t="shared" ca="1" si="386"/>
        <v>0</v>
      </c>
      <c r="CI365" s="806">
        <f t="shared" ca="1" si="387"/>
        <v>0</v>
      </c>
      <c r="CJ365" s="770">
        <f t="shared" ca="1" si="388"/>
        <v>0</v>
      </c>
      <c r="CK365" s="771">
        <f t="shared" ca="1" si="389"/>
        <v>0</v>
      </c>
      <c r="CL365" s="771">
        <f t="shared" ca="1" si="390"/>
        <v>0</v>
      </c>
      <c r="CM365" s="772">
        <f t="shared" ca="1" si="391"/>
        <v>0</v>
      </c>
      <c r="CN365" s="135"/>
      <c r="CO365" s="770">
        <f t="shared" ca="1" si="441"/>
        <v>1.05</v>
      </c>
      <c r="CP365" s="771">
        <f t="shared" ca="1" si="392"/>
        <v>0.02</v>
      </c>
      <c r="CQ365" s="771">
        <f t="shared" ca="1" si="393"/>
        <v>-2.5000000000000001E-2</v>
      </c>
      <c r="CR365" s="771">
        <f t="shared" ca="1" si="394"/>
        <v>0.95</v>
      </c>
      <c r="CS365" s="771">
        <f t="shared" ca="1" si="395"/>
        <v>0.03</v>
      </c>
      <c r="CT365" s="772">
        <f t="shared" ca="1" si="396"/>
        <v>0.02</v>
      </c>
      <c r="CU365" s="135"/>
      <c r="CV365" s="135"/>
      <c r="CW365" s="135"/>
      <c r="CX365" s="135"/>
      <c r="CY365" s="135"/>
      <c r="CZ365" s="135"/>
      <c r="DA365" s="135"/>
      <c r="DB365" s="135"/>
      <c r="DC365" s="135"/>
      <c r="DD365" s="135"/>
      <c r="DE365" s="135"/>
      <c r="DF365" s="135"/>
      <c r="DG365" s="135"/>
      <c r="DH365" s="135"/>
      <c r="DI365" s="135"/>
      <c r="DJ365" s="135"/>
      <c r="DK365" s="135"/>
      <c r="DL365" s="135"/>
      <c r="DX365" s="135"/>
      <c r="DY365" s="135"/>
      <c r="DZ365" s="135"/>
      <c r="EA365" s="135"/>
      <c r="EB365" s="135"/>
      <c r="EC365" s="135"/>
      <c r="ED365" s="135"/>
      <c r="EE365" s="135"/>
      <c r="EF365" s="135"/>
      <c r="EG365" s="135"/>
      <c r="EH365" s="135"/>
      <c r="EI365" s="135"/>
      <c r="EJ365" s="135"/>
      <c r="EK365" s="135"/>
      <c r="EL365" s="135"/>
      <c r="EM365" s="135"/>
      <c r="EN365" s="135"/>
      <c r="EO365" s="135"/>
      <c r="EP365" s="135"/>
      <c r="EQ365" s="135"/>
      <c r="ER365" s="135"/>
      <c r="ES365" s="135"/>
      <c r="ET365" s="135"/>
      <c r="EU365" s="135"/>
      <c r="EV365" s="135"/>
      <c r="EW365" s="135"/>
      <c r="EX365" s="135"/>
      <c r="EY365" s="135"/>
      <c r="EZ365" s="135"/>
      <c r="FA365" s="135"/>
      <c r="FB365" s="135"/>
      <c r="FC365" s="135"/>
      <c r="FD365" s="135"/>
      <c r="FE365" s="135"/>
      <c r="FF365" s="135"/>
      <c r="FG365" s="135"/>
    </row>
    <row r="366" spans="1:163" s="57" customFormat="1" ht="11.25" outlineLevel="1">
      <c r="A366" s="765">
        <f t="shared" ref="A366:A429" si="442">A342+1</f>
        <v>15</v>
      </c>
      <c r="B366" s="715" cm="1">
        <f t="array" aca="1" ref="B366" ca="1">INDIRECT("'Definition of Typical Day'!"&amp;ADDRESS(B$16,$E366))</f>
        <v>15</v>
      </c>
      <c r="C366" s="766">
        <f t="shared" ref="C366:D429" si="443">C342</f>
        <v>10</v>
      </c>
      <c r="D366" s="715">
        <f t="shared" si="443"/>
        <v>44</v>
      </c>
      <c r="E366" s="715">
        <f t="shared" si="371"/>
        <v>19</v>
      </c>
      <c r="F366" s="767" cm="1">
        <f t="array" aca="1" ref="F366" ca="1">INDIRECT("'Definition of Typical Day'!D"&amp;D366)</f>
        <v>10</v>
      </c>
      <c r="G366" s="767" cm="1">
        <f t="array" aca="1" ref="G366" ca="1">INDIRECT("'Definition of Typical Day'!"&amp;ADDRESS(13,E366))</f>
        <v>15</v>
      </c>
      <c r="H366" s="768" cm="1">
        <f t="array" aca="1" ref="H366" ca="1">INDIRECT("'Definition of Typical Day'!"&amp; ADDRESS($D366+28*(H$16-1),$E366))</f>
        <v>0</v>
      </c>
      <c r="I366" s="715" cm="1">
        <f t="array" aca="1" ref="I366" ca="1">INDIRECT("'Definition of Typical Day'!"&amp; ADDRESS($D366+29*(I$16-1),$E366))</f>
        <v>0</v>
      </c>
      <c r="J366" s="715">
        <f t="shared" ca="1" si="397"/>
        <v>0</v>
      </c>
      <c r="K366" s="785">
        <f t="shared" si="398"/>
        <v>28</v>
      </c>
      <c r="L366" s="786" cm="1">
        <f t="array" aca="1" ref="L366" ca="1">INDIRECT("'Definition of Typical Day'!"&amp; ADDRESS($D366+29*(L$16-1),$E366))</f>
        <v>0</v>
      </c>
      <c r="M366" s="768" cm="1">
        <f t="array" aca="1" ref="M366" ca="1">INDIRECT("'Definition of Typical Day'!"&amp; ADDRESS($D366+29*(M$16-1),$E366))</f>
        <v>0</v>
      </c>
      <c r="N366" s="715">
        <f t="shared" si="399"/>
        <v>3</v>
      </c>
      <c r="O366" s="715">
        <f t="shared" ca="1" si="400"/>
        <v>3</v>
      </c>
      <c r="P366" s="715" cm="1">
        <f t="array" aca="1" ref="P366" ca="1">INDIRECT("'Definition of Typical Day'!"&amp; ADDRESS($D366+29*(P$16-1),$E366))</f>
        <v>0</v>
      </c>
      <c r="Q366" s="787">
        <f t="shared" ca="1" si="401"/>
        <v>3</v>
      </c>
      <c r="R366" s="792">
        <f t="shared" ca="1" si="402"/>
        <v>3</v>
      </c>
      <c r="S366" s="769">
        <f t="shared" si="403"/>
        <v>3</v>
      </c>
      <c r="T366" s="769">
        <f t="shared" ca="1" si="404"/>
        <v>-0.5</v>
      </c>
      <c r="U366" s="769">
        <f t="shared" ca="1" si="405"/>
        <v>2.262</v>
      </c>
      <c r="V366" s="769">
        <f t="shared" ca="1" si="406"/>
        <v>0</v>
      </c>
      <c r="W366" s="769">
        <f t="shared" ca="1" si="407"/>
        <v>4.7620000000000005</v>
      </c>
      <c r="X366" s="794">
        <f t="shared" si="408"/>
        <v>3</v>
      </c>
      <c r="Y366" s="769">
        <f t="shared" ca="1" si="409"/>
        <v>0.54772255750516607</v>
      </c>
      <c r="Z366" s="769">
        <f t="shared" ca="1" si="410"/>
        <v>0</v>
      </c>
      <c r="AA366" s="795">
        <f t="shared" ca="1" si="411"/>
        <v>0</v>
      </c>
      <c r="AB366" s="769">
        <f t="shared" ca="1" si="412"/>
        <v>0</v>
      </c>
      <c r="AC366" s="769">
        <f t="shared" ca="1" si="413"/>
        <v>0</v>
      </c>
      <c r="AD366" s="769">
        <f t="shared" ca="1" si="414"/>
        <v>0</v>
      </c>
      <c r="AE366" s="794">
        <f t="shared" ca="1" si="415"/>
        <v>0</v>
      </c>
      <c r="AF366" s="769">
        <f t="shared" ca="1" si="416"/>
        <v>0</v>
      </c>
      <c r="AG366" s="769">
        <f t="shared" ca="1" si="417"/>
        <v>0</v>
      </c>
      <c r="AH366" s="799">
        <f t="shared" ca="1" si="418"/>
        <v>0</v>
      </c>
      <c r="AI366" s="801">
        <f t="shared" ca="1" si="419"/>
        <v>1</v>
      </c>
      <c r="AJ366" s="794">
        <f t="shared" ca="1" si="420"/>
        <v>0</v>
      </c>
      <c r="AK366" s="769">
        <f t="shared" ca="1" si="421"/>
        <v>0</v>
      </c>
      <c r="AL366" s="769">
        <f t="shared" ca="1" si="422"/>
        <v>0</v>
      </c>
      <c r="AM366" s="804">
        <f t="shared" ca="1" si="372"/>
        <v>0</v>
      </c>
      <c r="AN366" s="795">
        <f t="shared" ca="1" si="373"/>
        <v>0</v>
      </c>
      <c r="AO366" s="251"/>
      <c r="AP366" s="770">
        <f t="shared" si="423"/>
        <v>0</v>
      </c>
      <c r="AQ366" s="771">
        <f t="shared" ca="1" si="424"/>
        <v>0</v>
      </c>
      <c r="AR366" s="771">
        <f t="shared" ca="1" si="425"/>
        <v>0</v>
      </c>
      <c r="AS366" s="772">
        <f t="shared" ca="1" si="426"/>
        <v>0</v>
      </c>
      <c r="AT366" s="231"/>
      <c r="AU366" s="770">
        <f>'Main Results - IRR DC Operator'!$F$16</f>
        <v>2</v>
      </c>
      <c r="AV366" s="773">
        <f>'Main Results - IRR DC Operator'!$F$15</f>
        <v>1</v>
      </c>
      <c r="AW366" s="771">
        <f t="shared" ca="1" si="427"/>
        <v>0</v>
      </c>
      <c r="AX366" s="772">
        <f t="shared" si="428"/>
        <v>0</v>
      </c>
      <c r="AY366" s="231"/>
      <c r="AZ366" s="770" cm="1">
        <f t="array" aca="1" ref="AZ366" ca="1">INDIRECT("'Definition of Typical Day'!"&amp; ADDRESS($D366+29*(AZ$16-1),$E366))+$AZ$17</f>
        <v>11</v>
      </c>
      <c r="BA366" s="771" cm="1">
        <f t="array" aca="1" ref="BA366" ca="1">INDIRECT("'Definition of Typical Day'!"&amp; ADDRESS($D366+29*(BA$16-1),$E366))+$BA$17</f>
        <v>11</v>
      </c>
      <c r="BB366" s="772" cm="1">
        <f t="array" aca="1" ref="BB366" ca="1">INDIRECT("'Definition of Typical Day'!"&amp;ADDRESS(BB$16,$E366))</f>
        <v>0</v>
      </c>
      <c r="BC366" s="776" cm="1">
        <f t="array" aca="1" ref="BC366" ca="1">INDIRECT("'Definition of Typical Day'!"&amp; ADDRESS($D366+29*(BC$16-1),$E366))</f>
        <v>0</v>
      </c>
      <c r="BD366" s="777" cm="1">
        <f t="array" aca="1" ref="BD366" ca="1">INDIRECT("'Definition of Typical Day'!"&amp; ADDRESS($D366+29*(BD$16-1),$E366))</f>
        <v>0</v>
      </c>
      <c r="BE366" s="776">
        <f t="shared" si="429"/>
        <v>0</v>
      </c>
      <c r="BF366" s="771">
        <f t="shared" ca="1" si="430"/>
        <v>0</v>
      </c>
      <c r="BG366" s="771">
        <f t="shared" ca="1" si="431"/>
        <v>0</v>
      </c>
      <c r="BH366" s="771">
        <f t="shared" ca="1" si="432"/>
        <v>0</v>
      </c>
      <c r="BI366" s="776">
        <f t="shared" ca="1" si="433"/>
        <v>0</v>
      </c>
      <c r="BJ366" s="776">
        <f t="shared" ca="1" si="434"/>
        <v>0</v>
      </c>
      <c r="BK366" s="776">
        <f t="shared" ca="1" si="435"/>
        <v>0</v>
      </c>
      <c r="BL366" s="776">
        <f t="shared" ca="1" si="436"/>
        <v>0</v>
      </c>
      <c r="BM366" s="135"/>
      <c r="BN366" s="776">
        <f t="shared" ca="1" si="437"/>
        <v>0</v>
      </c>
      <c r="BO366" s="778">
        <f t="shared" ca="1" si="374"/>
        <v>0</v>
      </c>
      <c r="BP366" s="770">
        <f t="shared" ca="1" si="375"/>
        <v>0</v>
      </c>
      <c r="BQ366" s="771">
        <f t="shared" ca="1" si="376"/>
        <v>0</v>
      </c>
      <c r="BR366" s="771">
        <f t="shared" ca="1" si="377"/>
        <v>0</v>
      </c>
      <c r="BS366" s="776">
        <f t="shared" ca="1" si="438"/>
        <v>0</v>
      </c>
      <c r="BT366" s="776">
        <f t="shared" ca="1" si="378"/>
        <v>0</v>
      </c>
      <c r="BU366" s="783">
        <f t="shared" ca="1" si="379"/>
        <v>0</v>
      </c>
      <c r="BV366" s="783">
        <f t="shared" ca="1" si="380"/>
        <v>0</v>
      </c>
      <c r="BW366" s="1019">
        <f t="shared" ca="1" si="439"/>
        <v>0</v>
      </c>
      <c r="BX366" s="771" cm="1">
        <f t="array" aca="1" ref="BX366" ca="1">INDIRECT("'Definition of Typical Day'!"&amp; ADDRESS($D366+29*(BX$16-1),$E366))</f>
        <v>0</v>
      </c>
      <c r="BY366" s="771">
        <f t="shared" ca="1" si="440"/>
        <v>0</v>
      </c>
      <c r="BZ366" s="781">
        <f t="shared" ca="1" si="381"/>
        <v>0</v>
      </c>
      <c r="CA366" s="781">
        <f t="shared" ca="1" si="382"/>
        <v>0</v>
      </c>
      <c r="CB366" s="776">
        <f t="shared" ca="1" si="383"/>
        <v>0</v>
      </c>
      <c r="CC366" s="782">
        <f t="shared" si="384"/>
        <v>15</v>
      </c>
      <c r="CD366" s="782">
        <f t="shared" si="385"/>
        <v>10</v>
      </c>
      <c r="CE366" s="784" cm="1">
        <f t="array" aca="1" ref="CE366" ca="1">INDIRECT("'Definition of Typical Day'!"&amp;ADDRESS(CE$16,$E366))</f>
        <v>15</v>
      </c>
      <c r="CF366" s="232"/>
      <c r="CG366" s="232"/>
      <c r="CH366" s="776">
        <f t="shared" ca="1" si="386"/>
        <v>0</v>
      </c>
      <c r="CI366" s="806">
        <f t="shared" ca="1" si="387"/>
        <v>0</v>
      </c>
      <c r="CJ366" s="770">
        <f t="shared" ca="1" si="388"/>
        <v>0</v>
      </c>
      <c r="CK366" s="771">
        <f t="shared" ca="1" si="389"/>
        <v>0</v>
      </c>
      <c r="CL366" s="771">
        <f t="shared" ca="1" si="390"/>
        <v>0</v>
      </c>
      <c r="CM366" s="772">
        <f t="shared" ca="1" si="391"/>
        <v>0</v>
      </c>
      <c r="CN366" s="135"/>
      <c r="CO366" s="770">
        <f t="shared" ca="1" si="441"/>
        <v>1.05</v>
      </c>
      <c r="CP366" s="771">
        <f t="shared" ca="1" si="392"/>
        <v>0.02</v>
      </c>
      <c r="CQ366" s="771">
        <f t="shared" ca="1" si="393"/>
        <v>-2.5000000000000001E-2</v>
      </c>
      <c r="CR366" s="771">
        <f t="shared" ca="1" si="394"/>
        <v>0.95</v>
      </c>
      <c r="CS366" s="771">
        <f t="shared" ca="1" si="395"/>
        <v>0.03</v>
      </c>
      <c r="CT366" s="772">
        <f t="shared" ca="1" si="396"/>
        <v>0.02</v>
      </c>
      <c r="CU366" s="135"/>
      <c r="CV366" s="135"/>
      <c r="CW366" s="135"/>
      <c r="CX366" s="135"/>
      <c r="CY366" s="135"/>
      <c r="CZ366" s="135"/>
      <c r="DA366" s="135"/>
      <c r="DB366" s="135"/>
      <c r="DC366" s="135"/>
      <c r="DD366" s="135"/>
      <c r="DE366" s="135"/>
      <c r="DF366" s="135"/>
      <c r="DG366" s="135"/>
      <c r="DH366" s="135"/>
      <c r="DI366" s="135"/>
      <c r="DJ366" s="135"/>
      <c r="DK366" s="135"/>
      <c r="DL366" s="135"/>
      <c r="DX366" s="135"/>
      <c r="DY366" s="135"/>
      <c r="DZ366" s="135"/>
      <c r="EA366" s="135"/>
      <c r="EB366" s="135"/>
      <c r="EC366" s="135"/>
      <c r="ED366" s="135"/>
      <c r="EE366" s="135"/>
      <c r="EF366" s="135"/>
      <c r="EG366" s="135"/>
      <c r="EH366" s="135"/>
      <c r="EI366" s="135"/>
      <c r="EJ366" s="135"/>
      <c r="EK366" s="135"/>
      <c r="EL366" s="135"/>
      <c r="EM366" s="135"/>
      <c r="EN366" s="135"/>
      <c r="EO366" s="135"/>
      <c r="EP366" s="135"/>
      <c r="EQ366" s="135"/>
      <c r="ER366" s="135"/>
      <c r="ES366" s="135"/>
      <c r="ET366" s="135"/>
      <c r="EU366" s="135"/>
      <c r="EV366" s="135"/>
      <c r="EW366" s="135"/>
      <c r="EX366" s="135"/>
      <c r="EY366" s="135"/>
      <c r="EZ366" s="135"/>
      <c r="FA366" s="135"/>
      <c r="FB366" s="135"/>
      <c r="FC366" s="135"/>
      <c r="FD366" s="135"/>
      <c r="FE366" s="135"/>
      <c r="FF366" s="135"/>
      <c r="FG366" s="135"/>
    </row>
    <row r="367" spans="1:163" s="57" customFormat="1" ht="11.25" outlineLevel="1">
      <c r="A367" s="765">
        <f t="shared" si="442"/>
        <v>15</v>
      </c>
      <c r="B367" s="715" cm="1">
        <f t="array" aca="1" ref="B367" ca="1">INDIRECT("'Definition of Typical Day'!"&amp;ADDRESS(B$16,$E367))</f>
        <v>15</v>
      </c>
      <c r="C367" s="766">
        <f t="shared" si="443"/>
        <v>11</v>
      </c>
      <c r="D367" s="715">
        <f t="shared" si="443"/>
        <v>45</v>
      </c>
      <c r="E367" s="715">
        <f t="shared" si="371"/>
        <v>19</v>
      </c>
      <c r="F367" s="767" cm="1">
        <f t="array" aca="1" ref="F367" ca="1">INDIRECT("'Definition of Typical Day'!D"&amp;D367)</f>
        <v>11</v>
      </c>
      <c r="G367" s="767" cm="1">
        <f t="array" aca="1" ref="G367" ca="1">INDIRECT("'Definition of Typical Day'!"&amp;ADDRESS(13,E367))</f>
        <v>15</v>
      </c>
      <c r="H367" s="768" cm="1">
        <f t="array" aca="1" ref="H367" ca="1">INDIRECT("'Definition of Typical Day'!"&amp; ADDRESS($D367+28*(H$16-1),$E367))</f>
        <v>0</v>
      </c>
      <c r="I367" s="715" cm="1">
        <f t="array" aca="1" ref="I367" ca="1">INDIRECT("'Definition of Typical Day'!"&amp; ADDRESS($D367+29*(I$16-1),$E367))</f>
        <v>0</v>
      </c>
      <c r="J367" s="715">
        <f t="shared" ca="1" si="397"/>
        <v>0</v>
      </c>
      <c r="K367" s="785">
        <f t="shared" si="398"/>
        <v>28</v>
      </c>
      <c r="L367" s="786" cm="1">
        <f t="array" aca="1" ref="L367" ca="1">INDIRECT("'Definition of Typical Day'!"&amp; ADDRESS($D367+29*(L$16-1),$E367))</f>
        <v>0</v>
      </c>
      <c r="M367" s="768" cm="1">
        <f t="array" aca="1" ref="M367" ca="1">INDIRECT("'Definition of Typical Day'!"&amp; ADDRESS($D367+29*(M$16-1),$E367))</f>
        <v>0</v>
      </c>
      <c r="N367" s="715">
        <f t="shared" si="399"/>
        <v>3</v>
      </c>
      <c r="O367" s="715">
        <f t="shared" ca="1" si="400"/>
        <v>3</v>
      </c>
      <c r="P367" s="715" cm="1">
        <f t="array" aca="1" ref="P367" ca="1">INDIRECT("'Definition of Typical Day'!"&amp; ADDRESS($D367+29*(P$16-1),$E367))</f>
        <v>0</v>
      </c>
      <c r="Q367" s="787">
        <f t="shared" ca="1" si="401"/>
        <v>3</v>
      </c>
      <c r="R367" s="792">
        <f t="shared" ca="1" si="402"/>
        <v>3</v>
      </c>
      <c r="S367" s="769">
        <f t="shared" si="403"/>
        <v>3</v>
      </c>
      <c r="T367" s="769">
        <f t="shared" ca="1" si="404"/>
        <v>-0.5</v>
      </c>
      <c r="U367" s="769">
        <f t="shared" ca="1" si="405"/>
        <v>2.262</v>
      </c>
      <c r="V367" s="769">
        <f t="shared" ca="1" si="406"/>
        <v>0</v>
      </c>
      <c r="W367" s="769">
        <f t="shared" ca="1" si="407"/>
        <v>4.7620000000000005</v>
      </c>
      <c r="X367" s="794">
        <f t="shared" si="408"/>
        <v>3</v>
      </c>
      <c r="Y367" s="769">
        <f t="shared" ca="1" si="409"/>
        <v>0.54772255750516607</v>
      </c>
      <c r="Z367" s="769">
        <f t="shared" ca="1" si="410"/>
        <v>0</v>
      </c>
      <c r="AA367" s="795">
        <f t="shared" ca="1" si="411"/>
        <v>0</v>
      </c>
      <c r="AB367" s="769">
        <f t="shared" ca="1" si="412"/>
        <v>0</v>
      </c>
      <c r="AC367" s="769">
        <f t="shared" ca="1" si="413"/>
        <v>0</v>
      </c>
      <c r="AD367" s="769">
        <f t="shared" ca="1" si="414"/>
        <v>0</v>
      </c>
      <c r="AE367" s="794">
        <f t="shared" ca="1" si="415"/>
        <v>0</v>
      </c>
      <c r="AF367" s="769">
        <f t="shared" ca="1" si="416"/>
        <v>0</v>
      </c>
      <c r="AG367" s="769">
        <f t="shared" ca="1" si="417"/>
        <v>0</v>
      </c>
      <c r="AH367" s="799">
        <f t="shared" ca="1" si="418"/>
        <v>0</v>
      </c>
      <c r="AI367" s="801">
        <f t="shared" ca="1" si="419"/>
        <v>1</v>
      </c>
      <c r="AJ367" s="794">
        <f t="shared" ca="1" si="420"/>
        <v>0</v>
      </c>
      <c r="AK367" s="769">
        <f t="shared" ca="1" si="421"/>
        <v>0</v>
      </c>
      <c r="AL367" s="769">
        <f t="shared" ca="1" si="422"/>
        <v>0</v>
      </c>
      <c r="AM367" s="804">
        <f t="shared" ca="1" si="372"/>
        <v>0</v>
      </c>
      <c r="AN367" s="795">
        <f t="shared" ca="1" si="373"/>
        <v>0</v>
      </c>
      <c r="AO367" s="251"/>
      <c r="AP367" s="770">
        <f t="shared" si="423"/>
        <v>0</v>
      </c>
      <c r="AQ367" s="771">
        <f t="shared" ca="1" si="424"/>
        <v>0</v>
      </c>
      <c r="AR367" s="771">
        <f t="shared" ca="1" si="425"/>
        <v>0</v>
      </c>
      <c r="AS367" s="772">
        <f t="shared" ca="1" si="426"/>
        <v>0</v>
      </c>
      <c r="AT367" s="231"/>
      <c r="AU367" s="770">
        <f>'Main Results - IRR DC Operator'!$F$16</f>
        <v>2</v>
      </c>
      <c r="AV367" s="773">
        <f>'Main Results - IRR DC Operator'!$F$15</f>
        <v>1</v>
      </c>
      <c r="AW367" s="771">
        <f t="shared" ca="1" si="427"/>
        <v>0</v>
      </c>
      <c r="AX367" s="772">
        <f t="shared" si="428"/>
        <v>0</v>
      </c>
      <c r="AY367" s="231"/>
      <c r="AZ367" s="770" cm="1">
        <f t="array" aca="1" ref="AZ367" ca="1">INDIRECT("'Definition of Typical Day'!"&amp; ADDRESS($D367+29*(AZ$16-1),$E367))+$AZ$17</f>
        <v>11</v>
      </c>
      <c r="BA367" s="771" cm="1">
        <f t="array" aca="1" ref="BA367" ca="1">INDIRECT("'Definition of Typical Day'!"&amp; ADDRESS($D367+29*(BA$16-1),$E367))+$BA$17</f>
        <v>11</v>
      </c>
      <c r="BB367" s="772" cm="1">
        <f t="array" aca="1" ref="BB367" ca="1">INDIRECT("'Definition of Typical Day'!"&amp;ADDRESS(BB$16,$E367))</f>
        <v>0</v>
      </c>
      <c r="BC367" s="776" cm="1">
        <f t="array" aca="1" ref="BC367" ca="1">INDIRECT("'Definition of Typical Day'!"&amp; ADDRESS($D367+29*(BC$16-1),$E367))</f>
        <v>0</v>
      </c>
      <c r="BD367" s="777" cm="1">
        <f t="array" aca="1" ref="BD367" ca="1">INDIRECT("'Definition of Typical Day'!"&amp; ADDRESS($D367+29*(BD$16-1),$E367))</f>
        <v>0</v>
      </c>
      <c r="BE367" s="776">
        <f t="shared" si="429"/>
        <v>0</v>
      </c>
      <c r="BF367" s="771">
        <f t="shared" ca="1" si="430"/>
        <v>0</v>
      </c>
      <c r="BG367" s="771">
        <f t="shared" ca="1" si="431"/>
        <v>0</v>
      </c>
      <c r="BH367" s="771">
        <f t="shared" ca="1" si="432"/>
        <v>0</v>
      </c>
      <c r="BI367" s="776">
        <f t="shared" ca="1" si="433"/>
        <v>0</v>
      </c>
      <c r="BJ367" s="776">
        <f t="shared" ca="1" si="434"/>
        <v>0</v>
      </c>
      <c r="BK367" s="776">
        <f t="shared" ca="1" si="435"/>
        <v>0</v>
      </c>
      <c r="BL367" s="776">
        <f t="shared" ca="1" si="436"/>
        <v>0</v>
      </c>
      <c r="BM367" s="135"/>
      <c r="BN367" s="776">
        <f t="shared" ca="1" si="437"/>
        <v>0</v>
      </c>
      <c r="BO367" s="778">
        <f t="shared" ca="1" si="374"/>
        <v>0</v>
      </c>
      <c r="BP367" s="770">
        <f t="shared" ca="1" si="375"/>
        <v>0</v>
      </c>
      <c r="BQ367" s="771">
        <f t="shared" ca="1" si="376"/>
        <v>0</v>
      </c>
      <c r="BR367" s="771">
        <f t="shared" ca="1" si="377"/>
        <v>0</v>
      </c>
      <c r="BS367" s="776">
        <f t="shared" ca="1" si="438"/>
        <v>0</v>
      </c>
      <c r="BT367" s="776">
        <f t="shared" ca="1" si="378"/>
        <v>0</v>
      </c>
      <c r="BU367" s="783">
        <f t="shared" ca="1" si="379"/>
        <v>0</v>
      </c>
      <c r="BV367" s="783">
        <f t="shared" ca="1" si="380"/>
        <v>0</v>
      </c>
      <c r="BW367" s="1019">
        <f t="shared" ca="1" si="439"/>
        <v>0</v>
      </c>
      <c r="BX367" s="771" cm="1">
        <f t="array" aca="1" ref="BX367" ca="1">INDIRECT("'Definition of Typical Day'!"&amp; ADDRESS($D367+29*(BX$16-1),$E367))</f>
        <v>0</v>
      </c>
      <c r="BY367" s="771">
        <f t="shared" ca="1" si="440"/>
        <v>0</v>
      </c>
      <c r="BZ367" s="781">
        <f t="shared" ca="1" si="381"/>
        <v>0</v>
      </c>
      <c r="CA367" s="781">
        <f t="shared" ca="1" si="382"/>
        <v>0</v>
      </c>
      <c r="CB367" s="776">
        <f t="shared" ca="1" si="383"/>
        <v>0</v>
      </c>
      <c r="CC367" s="782">
        <f t="shared" si="384"/>
        <v>15</v>
      </c>
      <c r="CD367" s="782">
        <f t="shared" si="385"/>
        <v>11</v>
      </c>
      <c r="CE367" s="784" cm="1">
        <f t="array" aca="1" ref="CE367" ca="1">INDIRECT("'Definition of Typical Day'!"&amp;ADDRESS(CE$16,$E367))</f>
        <v>15</v>
      </c>
      <c r="CF367" s="232"/>
      <c r="CG367" s="232"/>
      <c r="CH367" s="776">
        <f t="shared" ca="1" si="386"/>
        <v>0</v>
      </c>
      <c r="CI367" s="806">
        <f t="shared" ca="1" si="387"/>
        <v>0</v>
      </c>
      <c r="CJ367" s="770">
        <f t="shared" ca="1" si="388"/>
        <v>0</v>
      </c>
      <c r="CK367" s="771">
        <f t="shared" ca="1" si="389"/>
        <v>0</v>
      </c>
      <c r="CL367" s="771">
        <f t="shared" ca="1" si="390"/>
        <v>0</v>
      </c>
      <c r="CM367" s="772">
        <f t="shared" ca="1" si="391"/>
        <v>0</v>
      </c>
      <c r="CN367" s="135"/>
      <c r="CO367" s="770">
        <f t="shared" ca="1" si="441"/>
        <v>1.05</v>
      </c>
      <c r="CP367" s="771">
        <f t="shared" ca="1" si="392"/>
        <v>0.02</v>
      </c>
      <c r="CQ367" s="771">
        <f t="shared" ca="1" si="393"/>
        <v>-2.5000000000000001E-2</v>
      </c>
      <c r="CR367" s="771">
        <f t="shared" ca="1" si="394"/>
        <v>0.95</v>
      </c>
      <c r="CS367" s="771">
        <f t="shared" ca="1" si="395"/>
        <v>0.03</v>
      </c>
      <c r="CT367" s="772">
        <f t="shared" ca="1" si="396"/>
        <v>0.02</v>
      </c>
      <c r="CU367" s="135"/>
      <c r="CV367" s="135"/>
      <c r="CW367" s="135"/>
      <c r="CX367" s="135"/>
      <c r="CY367" s="135"/>
      <c r="CZ367" s="135"/>
      <c r="DA367" s="135"/>
      <c r="DB367" s="135"/>
      <c r="DC367" s="135"/>
      <c r="DD367" s="135"/>
      <c r="DE367" s="135"/>
      <c r="DF367" s="135"/>
      <c r="DG367" s="135"/>
      <c r="DH367" s="135"/>
      <c r="DI367" s="135"/>
      <c r="DJ367" s="135"/>
      <c r="DK367" s="135"/>
      <c r="DL367" s="135"/>
      <c r="DX367" s="135"/>
      <c r="DY367" s="135"/>
      <c r="DZ367" s="135"/>
      <c r="EA367" s="135"/>
      <c r="EB367" s="135"/>
      <c r="EC367" s="135"/>
      <c r="ED367" s="135"/>
      <c r="EE367" s="135"/>
      <c r="EF367" s="135"/>
      <c r="EG367" s="135"/>
      <c r="EH367" s="135"/>
      <c r="EI367" s="135"/>
      <c r="EJ367" s="135"/>
      <c r="EK367" s="135"/>
      <c r="EL367" s="135"/>
      <c r="EM367" s="135"/>
      <c r="EN367" s="135"/>
      <c r="EO367" s="135"/>
      <c r="EP367" s="135"/>
      <c r="EQ367" s="135"/>
      <c r="ER367" s="135"/>
      <c r="ES367" s="135"/>
      <c r="ET367" s="135"/>
      <c r="EU367" s="135"/>
      <c r="EV367" s="135"/>
      <c r="EW367" s="135"/>
      <c r="EX367" s="135"/>
      <c r="EY367" s="135"/>
      <c r="EZ367" s="135"/>
      <c r="FA367" s="135"/>
      <c r="FB367" s="135"/>
      <c r="FC367" s="135"/>
      <c r="FD367" s="135"/>
      <c r="FE367" s="135"/>
      <c r="FF367" s="135"/>
      <c r="FG367" s="135"/>
    </row>
    <row r="368" spans="1:163" s="57" customFormat="1" ht="11.25" outlineLevel="1">
      <c r="A368" s="765">
        <f t="shared" si="442"/>
        <v>15</v>
      </c>
      <c r="B368" s="715" cm="1">
        <f t="array" aca="1" ref="B368" ca="1">INDIRECT("'Definition of Typical Day'!"&amp;ADDRESS(B$16,$E368))</f>
        <v>15</v>
      </c>
      <c r="C368" s="766">
        <f t="shared" si="443"/>
        <v>12</v>
      </c>
      <c r="D368" s="715">
        <f t="shared" si="443"/>
        <v>46</v>
      </c>
      <c r="E368" s="715">
        <f t="shared" si="371"/>
        <v>19</v>
      </c>
      <c r="F368" s="767" cm="1">
        <f t="array" aca="1" ref="F368" ca="1">INDIRECT("'Definition of Typical Day'!D"&amp;D368)</f>
        <v>12</v>
      </c>
      <c r="G368" s="767" cm="1">
        <f t="array" aca="1" ref="G368" ca="1">INDIRECT("'Definition of Typical Day'!"&amp;ADDRESS(13,E368))</f>
        <v>15</v>
      </c>
      <c r="H368" s="768" cm="1">
        <f t="array" aca="1" ref="H368" ca="1">INDIRECT("'Definition of Typical Day'!"&amp; ADDRESS($D368+28*(H$16-1),$E368))</f>
        <v>0</v>
      </c>
      <c r="I368" s="715" cm="1">
        <f t="array" aca="1" ref="I368" ca="1">INDIRECT("'Definition of Typical Day'!"&amp; ADDRESS($D368+29*(I$16-1),$E368))</f>
        <v>0</v>
      </c>
      <c r="J368" s="715">
        <f t="shared" ca="1" si="397"/>
        <v>0</v>
      </c>
      <c r="K368" s="785">
        <f t="shared" si="398"/>
        <v>28</v>
      </c>
      <c r="L368" s="786" cm="1">
        <f t="array" aca="1" ref="L368" ca="1">INDIRECT("'Definition of Typical Day'!"&amp; ADDRESS($D368+29*(L$16-1),$E368))</f>
        <v>0</v>
      </c>
      <c r="M368" s="768" cm="1">
        <f t="array" aca="1" ref="M368" ca="1">INDIRECT("'Definition of Typical Day'!"&amp; ADDRESS($D368+29*(M$16-1),$E368))</f>
        <v>0</v>
      </c>
      <c r="N368" s="715">
        <f t="shared" si="399"/>
        <v>3</v>
      </c>
      <c r="O368" s="715">
        <f t="shared" ca="1" si="400"/>
        <v>3</v>
      </c>
      <c r="P368" s="715" cm="1">
        <f t="array" aca="1" ref="P368" ca="1">INDIRECT("'Definition of Typical Day'!"&amp; ADDRESS($D368+29*(P$16-1),$E368))</f>
        <v>0</v>
      </c>
      <c r="Q368" s="787">
        <f t="shared" ca="1" si="401"/>
        <v>3</v>
      </c>
      <c r="R368" s="792">
        <f t="shared" ca="1" si="402"/>
        <v>3</v>
      </c>
      <c r="S368" s="769">
        <f t="shared" si="403"/>
        <v>3</v>
      </c>
      <c r="T368" s="769">
        <f t="shared" ca="1" si="404"/>
        <v>-0.5</v>
      </c>
      <c r="U368" s="769">
        <f t="shared" ca="1" si="405"/>
        <v>2.262</v>
      </c>
      <c r="V368" s="769">
        <f t="shared" ca="1" si="406"/>
        <v>0</v>
      </c>
      <c r="W368" s="769">
        <f t="shared" ca="1" si="407"/>
        <v>4.7620000000000005</v>
      </c>
      <c r="X368" s="794">
        <f t="shared" si="408"/>
        <v>3</v>
      </c>
      <c r="Y368" s="769">
        <f t="shared" ca="1" si="409"/>
        <v>0.54772255750516607</v>
      </c>
      <c r="Z368" s="769">
        <f t="shared" ca="1" si="410"/>
        <v>0</v>
      </c>
      <c r="AA368" s="795">
        <f t="shared" ca="1" si="411"/>
        <v>0</v>
      </c>
      <c r="AB368" s="769">
        <f t="shared" ca="1" si="412"/>
        <v>0</v>
      </c>
      <c r="AC368" s="769">
        <f t="shared" ca="1" si="413"/>
        <v>0</v>
      </c>
      <c r="AD368" s="769">
        <f t="shared" ca="1" si="414"/>
        <v>0</v>
      </c>
      <c r="AE368" s="794">
        <f t="shared" ca="1" si="415"/>
        <v>0</v>
      </c>
      <c r="AF368" s="769">
        <f t="shared" ca="1" si="416"/>
        <v>0</v>
      </c>
      <c r="AG368" s="769">
        <f t="shared" ca="1" si="417"/>
        <v>0</v>
      </c>
      <c r="AH368" s="799">
        <f t="shared" ca="1" si="418"/>
        <v>0</v>
      </c>
      <c r="AI368" s="801">
        <f t="shared" ca="1" si="419"/>
        <v>1</v>
      </c>
      <c r="AJ368" s="794">
        <f t="shared" ca="1" si="420"/>
        <v>0</v>
      </c>
      <c r="AK368" s="769">
        <f t="shared" ca="1" si="421"/>
        <v>0</v>
      </c>
      <c r="AL368" s="769">
        <f t="shared" ca="1" si="422"/>
        <v>0</v>
      </c>
      <c r="AM368" s="804">
        <f t="shared" ca="1" si="372"/>
        <v>0</v>
      </c>
      <c r="AN368" s="795">
        <f t="shared" ca="1" si="373"/>
        <v>0</v>
      </c>
      <c r="AO368" s="251"/>
      <c r="AP368" s="770">
        <f t="shared" si="423"/>
        <v>0</v>
      </c>
      <c r="AQ368" s="771">
        <f t="shared" ca="1" si="424"/>
        <v>0</v>
      </c>
      <c r="AR368" s="771">
        <f t="shared" ca="1" si="425"/>
        <v>0</v>
      </c>
      <c r="AS368" s="772">
        <f t="shared" ca="1" si="426"/>
        <v>0</v>
      </c>
      <c r="AT368" s="231"/>
      <c r="AU368" s="770">
        <f>'Main Results - IRR DC Operator'!$F$16</f>
        <v>2</v>
      </c>
      <c r="AV368" s="773">
        <f>'Main Results - IRR DC Operator'!$F$15</f>
        <v>1</v>
      </c>
      <c r="AW368" s="771">
        <f t="shared" ca="1" si="427"/>
        <v>0</v>
      </c>
      <c r="AX368" s="772">
        <f t="shared" si="428"/>
        <v>0</v>
      </c>
      <c r="AY368" s="231"/>
      <c r="AZ368" s="770" cm="1">
        <f t="array" aca="1" ref="AZ368" ca="1">INDIRECT("'Definition of Typical Day'!"&amp; ADDRESS($D368+29*(AZ$16-1),$E368))+$AZ$17</f>
        <v>11</v>
      </c>
      <c r="BA368" s="771" cm="1">
        <f t="array" aca="1" ref="BA368" ca="1">INDIRECT("'Definition of Typical Day'!"&amp; ADDRESS($D368+29*(BA$16-1),$E368))+$BA$17</f>
        <v>11</v>
      </c>
      <c r="BB368" s="772" cm="1">
        <f t="array" aca="1" ref="BB368" ca="1">INDIRECT("'Definition of Typical Day'!"&amp;ADDRESS(BB$16,$E368))</f>
        <v>0</v>
      </c>
      <c r="BC368" s="776" cm="1">
        <f t="array" aca="1" ref="BC368" ca="1">INDIRECT("'Definition of Typical Day'!"&amp; ADDRESS($D368+29*(BC$16-1),$E368))</f>
        <v>0</v>
      </c>
      <c r="BD368" s="777" cm="1">
        <f t="array" aca="1" ref="BD368" ca="1">INDIRECT("'Definition of Typical Day'!"&amp; ADDRESS($D368+29*(BD$16-1),$E368))</f>
        <v>0</v>
      </c>
      <c r="BE368" s="776">
        <f t="shared" si="429"/>
        <v>0</v>
      </c>
      <c r="BF368" s="771">
        <f t="shared" ca="1" si="430"/>
        <v>0</v>
      </c>
      <c r="BG368" s="771">
        <f t="shared" ca="1" si="431"/>
        <v>0</v>
      </c>
      <c r="BH368" s="771">
        <f t="shared" ca="1" si="432"/>
        <v>0</v>
      </c>
      <c r="BI368" s="776">
        <f t="shared" ca="1" si="433"/>
        <v>0</v>
      </c>
      <c r="BJ368" s="776">
        <f t="shared" ca="1" si="434"/>
        <v>0</v>
      </c>
      <c r="BK368" s="776">
        <f t="shared" ca="1" si="435"/>
        <v>0</v>
      </c>
      <c r="BL368" s="776">
        <f t="shared" ca="1" si="436"/>
        <v>0</v>
      </c>
      <c r="BM368" s="135"/>
      <c r="BN368" s="776">
        <f t="shared" ca="1" si="437"/>
        <v>0</v>
      </c>
      <c r="BO368" s="778">
        <f t="shared" ca="1" si="374"/>
        <v>0</v>
      </c>
      <c r="BP368" s="770">
        <f t="shared" ca="1" si="375"/>
        <v>0</v>
      </c>
      <c r="BQ368" s="771">
        <f t="shared" ca="1" si="376"/>
        <v>0</v>
      </c>
      <c r="BR368" s="771">
        <f t="shared" ca="1" si="377"/>
        <v>0</v>
      </c>
      <c r="BS368" s="776">
        <f t="shared" ca="1" si="438"/>
        <v>0</v>
      </c>
      <c r="BT368" s="776">
        <f t="shared" ca="1" si="378"/>
        <v>0</v>
      </c>
      <c r="BU368" s="783">
        <f t="shared" ca="1" si="379"/>
        <v>0</v>
      </c>
      <c r="BV368" s="783">
        <f t="shared" ca="1" si="380"/>
        <v>0</v>
      </c>
      <c r="BW368" s="1019">
        <f t="shared" ca="1" si="439"/>
        <v>0</v>
      </c>
      <c r="BX368" s="771" cm="1">
        <f t="array" aca="1" ref="BX368" ca="1">INDIRECT("'Definition of Typical Day'!"&amp; ADDRESS($D368+29*(BX$16-1),$E368))</f>
        <v>0</v>
      </c>
      <c r="BY368" s="771">
        <f t="shared" ca="1" si="440"/>
        <v>0</v>
      </c>
      <c r="BZ368" s="781">
        <f t="shared" ca="1" si="381"/>
        <v>0</v>
      </c>
      <c r="CA368" s="781">
        <f t="shared" ca="1" si="382"/>
        <v>0</v>
      </c>
      <c r="CB368" s="776">
        <f t="shared" ca="1" si="383"/>
        <v>0</v>
      </c>
      <c r="CC368" s="782">
        <f t="shared" si="384"/>
        <v>15</v>
      </c>
      <c r="CD368" s="782">
        <f t="shared" si="385"/>
        <v>12</v>
      </c>
      <c r="CE368" s="784" cm="1">
        <f t="array" aca="1" ref="CE368" ca="1">INDIRECT("'Definition of Typical Day'!"&amp;ADDRESS(CE$16,$E368))</f>
        <v>15</v>
      </c>
      <c r="CF368" s="232"/>
      <c r="CG368" s="232"/>
      <c r="CH368" s="776">
        <f t="shared" ca="1" si="386"/>
        <v>0</v>
      </c>
      <c r="CI368" s="806">
        <f t="shared" ca="1" si="387"/>
        <v>0</v>
      </c>
      <c r="CJ368" s="770">
        <f t="shared" ca="1" si="388"/>
        <v>0</v>
      </c>
      <c r="CK368" s="771">
        <f t="shared" ca="1" si="389"/>
        <v>0</v>
      </c>
      <c r="CL368" s="771">
        <f t="shared" ca="1" si="390"/>
        <v>0</v>
      </c>
      <c r="CM368" s="772">
        <f t="shared" ca="1" si="391"/>
        <v>0</v>
      </c>
      <c r="CN368" s="135"/>
      <c r="CO368" s="770">
        <f t="shared" ca="1" si="441"/>
        <v>1.05</v>
      </c>
      <c r="CP368" s="771">
        <f t="shared" ca="1" si="392"/>
        <v>0.02</v>
      </c>
      <c r="CQ368" s="771">
        <f t="shared" ca="1" si="393"/>
        <v>-2.5000000000000001E-2</v>
      </c>
      <c r="CR368" s="771">
        <f t="shared" ca="1" si="394"/>
        <v>0.95</v>
      </c>
      <c r="CS368" s="771">
        <f t="shared" ca="1" si="395"/>
        <v>0.03</v>
      </c>
      <c r="CT368" s="772">
        <f t="shared" ca="1" si="396"/>
        <v>0.02</v>
      </c>
      <c r="CU368" s="135"/>
      <c r="CV368" s="135"/>
      <c r="CW368" s="135"/>
      <c r="CX368" s="135"/>
      <c r="CY368" s="135"/>
      <c r="CZ368" s="135"/>
      <c r="DA368" s="135"/>
      <c r="DB368" s="135"/>
      <c r="DC368" s="135"/>
      <c r="DD368" s="135"/>
      <c r="DE368" s="135"/>
      <c r="DF368" s="135"/>
      <c r="DG368" s="135"/>
      <c r="DH368" s="135"/>
      <c r="DI368" s="135"/>
      <c r="DJ368" s="135"/>
      <c r="DK368" s="135"/>
      <c r="DL368" s="135"/>
      <c r="DX368" s="135"/>
      <c r="DY368" s="135"/>
      <c r="DZ368" s="135"/>
      <c r="EA368" s="135"/>
      <c r="EB368" s="135"/>
      <c r="EC368" s="135"/>
      <c r="ED368" s="135"/>
      <c r="EE368" s="135"/>
      <c r="EF368" s="135"/>
      <c r="EG368" s="135"/>
      <c r="EH368" s="135"/>
      <c r="EI368" s="135"/>
      <c r="EJ368" s="135"/>
      <c r="EK368" s="135"/>
      <c r="EL368" s="135"/>
      <c r="EM368" s="135"/>
      <c r="EN368" s="135"/>
      <c r="EO368" s="135"/>
      <c r="EP368" s="135"/>
      <c r="EQ368" s="135"/>
      <c r="ER368" s="135"/>
      <c r="ES368" s="135"/>
      <c r="ET368" s="135"/>
      <c r="EU368" s="135"/>
      <c r="EV368" s="135"/>
      <c r="EW368" s="135"/>
      <c r="EX368" s="135"/>
      <c r="EY368" s="135"/>
      <c r="EZ368" s="135"/>
      <c r="FA368" s="135"/>
      <c r="FB368" s="135"/>
      <c r="FC368" s="135"/>
      <c r="FD368" s="135"/>
      <c r="FE368" s="135"/>
      <c r="FF368" s="135"/>
      <c r="FG368" s="135"/>
    </row>
    <row r="369" spans="1:163" s="57" customFormat="1" ht="11.25" outlineLevel="1">
      <c r="A369" s="765">
        <f t="shared" si="442"/>
        <v>15</v>
      </c>
      <c r="B369" s="715" cm="1">
        <f t="array" aca="1" ref="B369" ca="1">INDIRECT("'Definition of Typical Day'!"&amp;ADDRESS(B$16,$E369))</f>
        <v>15</v>
      </c>
      <c r="C369" s="766">
        <f t="shared" si="443"/>
        <v>13</v>
      </c>
      <c r="D369" s="715">
        <f t="shared" si="443"/>
        <v>47</v>
      </c>
      <c r="E369" s="715">
        <f t="shared" si="371"/>
        <v>19</v>
      </c>
      <c r="F369" s="767" cm="1">
        <f t="array" aca="1" ref="F369" ca="1">INDIRECT("'Definition of Typical Day'!D"&amp;D369)</f>
        <v>13</v>
      </c>
      <c r="G369" s="767" cm="1">
        <f t="array" aca="1" ref="G369" ca="1">INDIRECT("'Definition of Typical Day'!"&amp;ADDRESS(13,E369))</f>
        <v>15</v>
      </c>
      <c r="H369" s="768" cm="1">
        <f t="array" aca="1" ref="H369" ca="1">INDIRECT("'Definition of Typical Day'!"&amp; ADDRESS($D369+28*(H$16-1),$E369))</f>
        <v>0</v>
      </c>
      <c r="I369" s="715" cm="1">
        <f t="array" aca="1" ref="I369" ca="1">INDIRECT("'Definition of Typical Day'!"&amp; ADDRESS($D369+29*(I$16-1),$E369))</f>
        <v>0</v>
      </c>
      <c r="J369" s="715">
        <f t="shared" ca="1" si="397"/>
        <v>0</v>
      </c>
      <c r="K369" s="785">
        <f t="shared" si="398"/>
        <v>28</v>
      </c>
      <c r="L369" s="786" cm="1">
        <f t="array" aca="1" ref="L369" ca="1">INDIRECT("'Definition of Typical Day'!"&amp; ADDRESS($D369+29*(L$16-1),$E369))</f>
        <v>0</v>
      </c>
      <c r="M369" s="768" cm="1">
        <f t="array" aca="1" ref="M369" ca="1">INDIRECT("'Definition of Typical Day'!"&amp; ADDRESS($D369+29*(M$16-1),$E369))</f>
        <v>0</v>
      </c>
      <c r="N369" s="715">
        <f t="shared" si="399"/>
        <v>3</v>
      </c>
      <c r="O369" s="715">
        <f t="shared" ca="1" si="400"/>
        <v>3</v>
      </c>
      <c r="P369" s="715" cm="1">
        <f t="array" aca="1" ref="P369" ca="1">INDIRECT("'Definition of Typical Day'!"&amp; ADDRESS($D369+29*(P$16-1),$E369))</f>
        <v>0</v>
      </c>
      <c r="Q369" s="787">
        <f t="shared" ca="1" si="401"/>
        <v>3</v>
      </c>
      <c r="R369" s="792">
        <f t="shared" ca="1" si="402"/>
        <v>3</v>
      </c>
      <c r="S369" s="769">
        <f t="shared" si="403"/>
        <v>3</v>
      </c>
      <c r="T369" s="769">
        <f t="shared" ca="1" si="404"/>
        <v>-0.5</v>
      </c>
      <c r="U369" s="769">
        <f t="shared" ca="1" si="405"/>
        <v>2.262</v>
      </c>
      <c r="V369" s="769">
        <f t="shared" ca="1" si="406"/>
        <v>0</v>
      </c>
      <c r="W369" s="769">
        <f t="shared" ca="1" si="407"/>
        <v>4.7620000000000005</v>
      </c>
      <c r="X369" s="794">
        <f t="shared" si="408"/>
        <v>3</v>
      </c>
      <c r="Y369" s="769">
        <f t="shared" ca="1" si="409"/>
        <v>0.54772255750516607</v>
      </c>
      <c r="Z369" s="769">
        <f t="shared" ca="1" si="410"/>
        <v>0</v>
      </c>
      <c r="AA369" s="795">
        <f t="shared" ca="1" si="411"/>
        <v>0</v>
      </c>
      <c r="AB369" s="769">
        <f t="shared" ca="1" si="412"/>
        <v>0</v>
      </c>
      <c r="AC369" s="769">
        <f t="shared" ca="1" si="413"/>
        <v>0</v>
      </c>
      <c r="AD369" s="769">
        <f t="shared" ca="1" si="414"/>
        <v>0</v>
      </c>
      <c r="AE369" s="794">
        <f t="shared" ca="1" si="415"/>
        <v>0</v>
      </c>
      <c r="AF369" s="769">
        <f t="shared" ca="1" si="416"/>
        <v>0</v>
      </c>
      <c r="AG369" s="769">
        <f t="shared" ca="1" si="417"/>
        <v>0</v>
      </c>
      <c r="AH369" s="799">
        <f t="shared" ca="1" si="418"/>
        <v>0</v>
      </c>
      <c r="AI369" s="801">
        <f t="shared" ca="1" si="419"/>
        <v>1</v>
      </c>
      <c r="AJ369" s="794">
        <f t="shared" ca="1" si="420"/>
        <v>0</v>
      </c>
      <c r="AK369" s="769">
        <f t="shared" ca="1" si="421"/>
        <v>0</v>
      </c>
      <c r="AL369" s="769">
        <f t="shared" ca="1" si="422"/>
        <v>0</v>
      </c>
      <c r="AM369" s="804">
        <f t="shared" ca="1" si="372"/>
        <v>0</v>
      </c>
      <c r="AN369" s="795">
        <f t="shared" ca="1" si="373"/>
        <v>0</v>
      </c>
      <c r="AO369" s="251"/>
      <c r="AP369" s="770">
        <f t="shared" si="423"/>
        <v>0</v>
      </c>
      <c r="AQ369" s="771">
        <f t="shared" ca="1" si="424"/>
        <v>0</v>
      </c>
      <c r="AR369" s="771">
        <f t="shared" ca="1" si="425"/>
        <v>0</v>
      </c>
      <c r="AS369" s="772">
        <f t="shared" ca="1" si="426"/>
        <v>0</v>
      </c>
      <c r="AT369" s="231"/>
      <c r="AU369" s="770">
        <f>'Main Results - IRR DC Operator'!$F$16</f>
        <v>2</v>
      </c>
      <c r="AV369" s="773">
        <f>'Main Results - IRR DC Operator'!$F$15</f>
        <v>1</v>
      </c>
      <c r="AW369" s="771">
        <f t="shared" ca="1" si="427"/>
        <v>0</v>
      </c>
      <c r="AX369" s="772">
        <f t="shared" si="428"/>
        <v>0</v>
      </c>
      <c r="AY369" s="231"/>
      <c r="AZ369" s="770" cm="1">
        <f t="array" aca="1" ref="AZ369" ca="1">INDIRECT("'Definition of Typical Day'!"&amp; ADDRESS($D369+29*(AZ$16-1),$E369))+$AZ$17</f>
        <v>11</v>
      </c>
      <c r="BA369" s="771" cm="1">
        <f t="array" aca="1" ref="BA369" ca="1">INDIRECT("'Definition of Typical Day'!"&amp; ADDRESS($D369+29*(BA$16-1),$E369))+$BA$17</f>
        <v>11</v>
      </c>
      <c r="BB369" s="772" cm="1">
        <f t="array" aca="1" ref="BB369" ca="1">INDIRECT("'Definition of Typical Day'!"&amp;ADDRESS(BB$16,$E369))</f>
        <v>0</v>
      </c>
      <c r="BC369" s="776" cm="1">
        <f t="array" aca="1" ref="BC369" ca="1">INDIRECT("'Definition of Typical Day'!"&amp; ADDRESS($D369+29*(BC$16-1),$E369))</f>
        <v>0</v>
      </c>
      <c r="BD369" s="777" cm="1">
        <f t="array" aca="1" ref="BD369" ca="1">INDIRECT("'Definition of Typical Day'!"&amp; ADDRESS($D369+29*(BD$16-1),$E369))</f>
        <v>0</v>
      </c>
      <c r="BE369" s="776">
        <f t="shared" si="429"/>
        <v>0</v>
      </c>
      <c r="BF369" s="771">
        <f t="shared" ca="1" si="430"/>
        <v>0</v>
      </c>
      <c r="BG369" s="771">
        <f t="shared" ca="1" si="431"/>
        <v>0</v>
      </c>
      <c r="BH369" s="771">
        <f t="shared" ca="1" si="432"/>
        <v>0</v>
      </c>
      <c r="BI369" s="776">
        <f t="shared" ca="1" si="433"/>
        <v>0</v>
      </c>
      <c r="BJ369" s="776">
        <f t="shared" ca="1" si="434"/>
        <v>0</v>
      </c>
      <c r="BK369" s="776">
        <f t="shared" ca="1" si="435"/>
        <v>0</v>
      </c>
      <c r="BL369" s="776">
        <f t="shared" ca="1" si="436"/>
        <v>0</v>
      </c>
      <c r="BM369" s="135"/>
      <c r="BN369" s="776">
        <f t="shared" ca="1" si="437"/>
        <v>0</v>
      </c>
      <c r="BO369" s="778">
        <f t="shared" ca="1" si="374"/>
        <v>0</v>
      </c>
      <c r="BP369" s="770">
        <f t="shared" ca="1" si="375"/>
        <v>0</v>
      </c>
      <c r="BQ369" s="771">
        <f t="shared" ca="1" si="376"/>
        <v>0</v>
      </c>
      <c r="BR369" s="771">
        <f t="shared" ca="1" si="377"/>
        <v>0</v>
      </c>
      <c r="BS369" s="776">
        <f t="shared" ca="1" si="438"/>
        <v>0</v>
      </c>
      <c r="BT369" s="776">
        <f t="shared" ca="1" si="378"/>
        <v>0</v>
      </c>
      <c r="BU369" s="783">
        <f t="shared" ca="1" si="379"/>
        <v>0</v>
      </c>
      <c r="BV369" s="783">
        <f t="shared" ca="1" si="380"/>
        <v>0</v>
      </c>
      <c r="BW369" s="1019">
        <f t="shared" ca="1" si="439"/>
        <v>0</v>
      </c>
      <c r="BX369" s="771" cm="1">
        <f t="array" aca="1" ref="BX369" ca="1">INDIRECT("'Definition of Typical Day'!"&amp; ADDRESS($D369+29*(BX$16-1),$E369))</f>
        <v>0</v>
      </c>
      <c r="BY369" s="771">
        <f t="shared" ca="1" si="440"/>
        <v>0</v>
      </c>
      <c r="BZ369" s="781">
        <f t="shared" ca="1" si="381"/>
        <v>0</v>
      </c>
      <c r="CA369" s="781">
        <f t="shared" ca="1" si="382"/>
        <v>0</v>
      </c>
      <c r="CB369" s="776">
        <f t="shared" ca="1" si="383"/>
        <v>0</v>
      </c>
      <c r="CC369" s="782">
        <f t="shared" si="384"/>
        <v>15</v>
      </c>
      <c r="CD369" s="782">
        <f t="shared" si="385"/>
        <v>13</v>
      </c>
      <c r="CE369" s="784" cm="1">
        <f t="array" aca="1" ref="CE369" ca="1">INDIRECT("'Definition of Typical Day'!"&amp;ADDRESS(CE$16,$E369))</f>
        <v>15</v>
      </c>
      <c r="CF369" s="232"/>
      <c r="CG369" s="232"/>
      <c r="CH369" s="776">
        <f t="shared" ca="1" si="386"/>
        <v>0</v>
      </c>
      <c r="CI369" s="806">
        <f t="shared" ca="1" si="387"/>
        <v>0</v>
      </c>
      <c r="CJ369" s="770">
        <f t="shared" ca="1" si="388"/>
        <v>0</v>
      </c>
      <c r="CK369" s="771">
        <f t="shared" ca="1" si="389"/>
        <v>0</v>
      </c>
      <c r="CL369" s="771">
        <f t="shared" ca="1" si="390"/>
        <v>0</v>
      </c>
      <c r="CM369" s="772">
        <f t="shared" ca="1" si="391"/>
        <v>0</v>
      </c>
      <c r="CN369" s="135"/>
      <c r="CO369" s="770">
        <f t="shared" ca="1" si="441"/>
        <v>1.05</v>
      </c>
      <c r="CP369" s="771">
        <f t="shared" ca="1" si="392"/>
        <v>0.02</v>
      </c>
      <c r="CQ369" s="771">
        <f t="shared" ca="1" si="393"/>
        <v>-2.5000000000000001E-2</v>
      </c>
      <c r="CR369" s="771">
        <f t="shared" ca="1" si="394"/>
        <v>0.95</v>
      </c>
      <c r="CS369" s="771">
        <f t="shared" ca="1" si="395"/>
        <v>0.03</v>
      </c>
      <c r="CT369" s="772">
        <f t="shared" ca="1" si="396"/>
        <v>0.02</v>
      </c>
      <c r="CU369" s="135"/>
      <c r="CV369" s="135"/>
      <c r="CW369" s="135"/>
      <c r="CX369" s="135"/>
      <c r="CY369" s="135"/>
      <c r="CZ369" s="135"/>
      <c r="DA369" s="135"/>
      <c r="DB369" s="135"/>
      <c r="DC369" s="135"/>
      <c r="DD369" s="135"/>
      <c r="DE369" s="135"/>
      <c r="DF369" s="135"/>
      <c r="DG369" s="135"/>
      <c r="DH369" s="135"/>
      <c r="DI369" s="135"/>
      <c r="DJ369" s="135"/>
      <c r="DK369" s="135"/>
      <c r="DL369" s="135"/>
      <c r="DX369" s="135"/>
      <c r="DY369" s="135"/>
      <c r="DZ369" s="135"/>
      <c r="EA369" s="135"/>
      <c r="EB369" s="135"/>
      <c r="EC369" s="135"/>
      <c r="ED369" s="135"/>
      <c r="EE369" s="135"/>
      <c r="EF369" s="135"/>
      <c r="EG369" s="135"/>
      <c r="EH369" s="135"/>
      <c r="EI369" s="135"/>
      <c r="EJ369" s="135"/>
      <c r="EK369" s="135"/>
      <c r="EL369" s="135"/>
      <c r="EM369" s="135"/>
      <c r="EN369" s="135"/>
      <c r="EO369" s="135"/>
      <c r="EP369" s="135"/>
      <c r="EQ369" s="135"/>
      <c r="ER369" s="135"/>
      <c r="ES369" s="135"/>
      <c r="ET369" s="135"/>
      <c r="EU369" s="135"/>
      <c r="EV369" s="135"/>
      <c r="EW369" s="135"/>
      <c r="EX369" s="135"/>
      <c r="EY369" s="135"/>
      <c r="EZ369" s="135"/>
      <c r="FA369" s="135"/>
      <c r="FB369" s="135"/>
      <c r="FC369" s="135"/>
      <c r="FD369" s="135"/>
      <c r="FE369" s="135"/>
      <c r="FF369" s="135"/>
      <c r="FG369" s="135"/>
    </row>
    <row r="370" spans="1:163" s="57" customFormat="1" ht="11.25" outlineLevel="1">
      <c r="A370" s="765">
        <f t="shared" si="442"/>
        <v>15</v>
      </c>
      <c r="B370" s="715" cm="1">
        <f t="array" aca="1" ref="B370" ca="1">INDIRECT("'Definition of Typical Day'!"&amp;ADDRESS(B$16,$E370))</f>
        <v>15</v>
      </c>
      <c r="C370" s="766">
        <f t="shared" si="443"/>
        <v>14</v>
      </c>
      <c r="D370" s="715">
        <f t="shared" si="443"/>
        <v>48</v>
      </c>
      <c r="E370" s="715">
        <f t="shared" si="371"/>
        <v>19</v>
      </c>
      <c r="F370" s="767" cm="1">
        <f t="array" aca="1" ref="F370" ca="1">INDIRECT("'Definition of Typical Day'!D"&amp;D370)</f>
        <v>14</v>
      </c>
      <c r="G370" s="767" cm="1">
        <f t="array" aca="1" ref="G370" ca="1">INDIRECT("'Definition of Typical Day'!"&amp;ADDRESS(13,E370))</f>
        <v>15</v>
      </c>
      <c r="H370" s="768" cm="1">
        <f t="array" aca="1" ref="H370" ca="1">INDIRECT("'Definition of Typical Day'!"&amp; ADDRESS($D370+28*(H$16-1),$E370))</f>
        <v>0</v>
      </c>
      <c r="I370" s="715" cm="1">
        <f t="array" aca="1" ref="I370" ca="1">INDIRECT("'Definition of Typical Day'!"&amp; ADDRESS($D370+29*(I$16-1),$E370))</f>
        <v>0</v>
      </c>
      <c r="J370" s="715">
        <f t="shared" ca="1" si="397"/>
        <v>0</v>
      </c>
      <c r="K370" s="785">
        <f t="shared" si="398"/>
        <v>28</v>
      </c>
      <c r="L370" s="786" cm="1">
        <f t="array" aca="1" ref="L370" ca="1">INDIRECT("'Definition of Typical Day'!"&amp; ADDRESS($D370+29*(L$16-1),$E370))</f>
        <v>0</v>
      </c>
      <c r="M370" s="768" cm="1">
        <f t="array" aca="1" ref="M370" ca="1">INDIRECT("'Definition of Typical Day'!"&amp; ADDRESS($D370+29*(M$16-1),$E370))</f>
        <v>0</v>
      </c>
      <c r="N370" s="715">
        <f t="shared" si="399"/>
        <v>3</v>
      </c>
      <c r="O370" s="715">
        <f t="shared" ca="1" si="400"/>
        <v>3</v>
      </c>
      <c r="P370" s="715" cm="1">
        <f t="array" aca="1" ref="P370" ca="1">INDIRECT("'Definition of Typical Day'!"&amp; ADDRESS($D370+29*(P$16-1),$E370))</f>
        <v>0</v>
      </c>
      <c r="Q370" s="787">
        <f t="shared" ca="1" si="401"/>
        <v>3</v>
      </c>
      <c r="R370" s="792">
        <f t="shared" ca="1" si="402"/>
        <v>3</v>
      </c>
      <c r="S370" s="769">
        <f t="shared" si="403"/>
        <v>3</v>
      </c>
      <c r="T370" s="769">
        <f t="shared" ca="1" si="404"/>
        <v>-0.5</v>
      </c>
      <c r="U370" s="769">
        <f t="shared" ca="1" si="405"/>
        <v>2.262</v>
      </c>
      <c r="V370" s="769">
        <f t="shared" ca="1" si="406"/>
        <v>0</v>
      </c>
      <c r="W370" s="769">
        <f t="shared" ca="1" si="407"/>
        <v>4.7620000000000005</v>
      </c>
      <c r="X370" s="794">
        <f t="shared" si="408"/>
        <v>3</v>
      </c>
      <c r="Y370" s="769">
        <f t="shared" ca="1" si="409"/>
        <v>0.54772255750516607</v>
      </c>
      <c r="Z370" s="769">
        <f t="shared" ca="1" si="410"/>
        <v>0</v>
      </c>
      <c r="AA370" s="795">
        <f t="shared" ca="1" si="411"/>
        <v>0</v>
      </c>
      <c r="AB370" s="769">
        <f t="shared" ca="1" si="412"/>
        <v>0</v>
      </c>
      <c r="AC370" s="769">
        <f t="shared" ca="1" si="413"/>
        <v>0</v>
      </c>
      <c r="AD370" s="769">
        <f t="shared" ca="1" si="414"/>
        <v>0</v>
      </c>
      <c r="AE370" s="794">
        <f t="shared" ca="1" si="415"/>
        <v>0</v>
      </c>
      <c r="AF370" s="769">
        <f t="shared" ca="1" si="416"/>
        <v>0</v>
      </c>
      <c r="AG370" s="769">
        <f t="shared" ca="1" si="417"/>
        <v>0</v>
      </c>
      <c r="AH370" s="799">
        <f t="shared" ca="1" si="418"/>
        <v>0</v>
      </c>
      <c r="AI370" s="801">
        <f t="shared" ca="1" si="419"/>
        <v>1</v>
      </c>
      <c r="AJ370" s="794">
        <f t="shared" ca="1" si="420"/>
        <v>0</v>
      </c>
      <c r="AK370" s="769">
        <f t="shared" ca="1" si="421"/>
        <v>0</v>
      </c>
      <c r="AL370" s="769">
        <f t="shared" ca="1" si="422"/>
        <v>0</v>
      </c>
      <c r="AM370" s="804">
        <f t="shared" ca="1" si="372"/>
        <v>0</v>
      </c>
      <c r="AN370" s="795">
        <f t="shared" ca="1" si="373"/>
        <v>0</v>
      </c>
      <c r="AO370" s="251"/>
      <c r="AP370" s="770">
        <f t="shared" si="423"/>
        <v>0</v>
      </c>
      <c r="AQ370" s="771">
        <f t="shared" ca="1" si="424"/>
        <v>0</v>
      </c>
      <c r="AR370" s="771">
        <f t="shared" ca="1" si="425"/>
        <v>0</v>
      </c>
      <c r="AS370" s="772">
        <f t="shared" ca="1" si="426"/>
        <v>0</v>
      </c>
      <c r="AT370" s="231"/>
      <c r="AU370" s="770">
        <f>'Main Results - IRR DC Operator'!$F$16</f>
        <v>2</v>
      </c>
      <c r="AV370" s="773">
        <f>'Main Results - IRR DC Operator'!$F$15</f>
        <v>1</v>
      </c>
      <c r="AW370" s="771">
        <f t="shared" ca="1" si="427"/>
        <v>0</v>
      </c>
      <c r="AX370" s="772">
        <f t="shared" si="428"/>
        <v>0</v>
      </c>
      <c r="AY370" s="231"/>
      <c r="AZ370" s="770" cm="1">
        <f t="array" aca="1" ref="AZ370" ca="1">INDIRECT("'Definition of Typical Day'!"&amp; ADDRESS($D370+29*(AZ$16-1),$E370))+$AZ$17</f>
        <v>11</v>
      </c>
      <c r="BA370" s="771" cm="1">
        <f t="array" aca="1" ref="BA370" ca="1">INDIRECT("'Definition of Typical Day'!"&amp; ADDRESS($D370+29*(BA$16-1),$E370))+$BA$17</f>
        <v>11</v>
      </c>
      <c r="BB370" s="772" cm="1">
        <f t="array" aca="1" ref="BB370" ca="1">INDIRECT("'Definition of Typical Day'!"&amp;ADDRESS(BB$16,$E370))</f>
        <v>0</v>
      </c>
      <c r="BC370" s="776" cm="1">
        <f t="array" aca="1" ref="BC370" ca="1">INDIRECT("'Definition of Typical Day'!"&amp; ADDRESS($D370+29*(BC$16-1),$E370))</f>
        <v>0</v>
      </c>
      <c r="BD370" s="777" cm="1">
        <f t="array" aca="1" ref="BD370" ca="1">INDIRECT("'Definition of Typical Day'!"&amp; ADDRESS($D370+29*(BD$16-1),$E370))</f>
        <v>0</v>
      </c>
      <c r="BE370" s="776">
        <f t="shared" si="429"/>
        <v>0</v>
      </c>
      <c r="BF370" s="771">
        <f t="shared" ca="1" si="430"/>
        <v>0</v>
      </c>
      <c r="BG370" s="771">
        <f t="shared" ca="1" si="431"/>
        <v>0</v>
      </c>
      <c r="BH370" s="771">
        <f t="shared" ca="1" si="432"/>
        <v>0</v>
      </c>
      <c r="BI370" s="776">
        <f t="shared" ca="1" si="433"/>
        <v>0</v>
      </c>
      <c r="BJ370" s="776">
        <f t="shared" ca="1" si="434"/>
        <v>0</v>
      </c>
      <c r="BK370" s="776">
        <f t="shared" ca="1" si="435"/>
        <v>0</v>
      </c>
      <c r="BL370" s="776">
        <f t="shared" ca="1" si="436"/>
        <v>0</v>
      </c>
      <c r="BM370" s="135"/>
      <c r="BN370" s="776">
        <f t="shared" ca="1" si="437"/>
        <v>0</v>
      </c>
      <c r="BO370" s="778">
        <f t="shared" ca="1" si="374"/>
        <v>0</v>
      </c>
      <c r="BP370" s="770">
        <f t="shared" ca="1" si="375"/>
        <v>0</v>
      </c>
      <c r="BQ370" s="771">
        <f t="shared" ca="1" si="376"/>
        <v>0</v>
      </c>
      <c r="BR370" s="771">
        <f t="shared" ca="1" si="377"/>
        <v>0</v>
      </c>
      <c r="BS370" s="776">
        <f t="shared" ca="1" si="438"/>
        <v>0</v>
      </c>
      <c r="BT370" s="776">
        <f t="shared" ca="1" si="378"/>
        <v>0</v>
      </c>
      <c r="BU370" s="783">
        <f t="shared" ca="1" si="379"/>
        <v>0</v>
      </c>
      <c r="BV370" s="783">
        <f t="shared" ca="1" si="380"/>
        <v>0</v>
      </c>
      <c r="BW370" s="1019">
        <f t="shared" ca="1" si="439"/>
        <v>0</v>
      </c>
      <c r="BX370" s="771" cm="1">
        <f t="array" aca="1" ref="BX370" ca="1">INDIRECT("'Definition of Typical Day'!"&amp; ADDRESS($D370+29*(BX$16-1),$E370))</f>
        <v>0</v>
      </c>
      <c r="BY370" s="771">
        <f t="shared" ca="1" si="440"/>
        <v>0</v>
      </c>
      <c r="BZ370" s="781">
        <f t="shared" ca="1" si="381"/>
        <v>0</v>
      </c>
      <c r="CA370" s="781">
        <f t="shared" ca="1" si="382"/>
        <v>0</v>
      </c>
      <c r="CB370" s="776">
        <f t="shared" ca="1" si="383"/>
        <v>0</v>
      </c>
      <c r="CC370" s="782">
        <f t="shared" si="384"/>
        <v>15</v>
      </c>
      <c r="CD370" s="782">
        <f t="shared" si="385"/>
        <v>14</v>
      </c>
      <c r="CE370" s="784" cm="1">
        <f t="array" aca="1" ref="CE370" ca="1">INDIRECT("'Definition of Typical Day'!"&amp;ADDRESS(CE$16,$E370))</f>
        <v>15</v>
      </c>
      <c r="CF370" s="232"/>
      <c r="CG370" s="232"/>
      <c r="CH370" s="776">
        <f t="shared" ca="1" si="386"/>
        <v>0</v>
      </c>
      <c r="CI370" s="806">
        <f t="shared" ca="1" si="387"/>
        <v>0</v>
      </c>
      <c r="CJ370" s="770">
        <f t="shared" ca="1" si="388"/>
        <v>0</v>
      </c>
      <c r="CK370" s="771">
        <f t="shared" ca="1" si="389"/>
        <v>0</v>
      </c>
      <c r="CL370" s="771">
        <f t="shared" ca="1" si="390"/>
        <v>0</v>
      </c>
      <c r="CM370" s="772">
        <f t="shared" ca="1" si="391"/>
        <v>0</v>
      </c>
      <c r="CN370" s="135"/>
      <c r="CO370" s="770">
        <f t="shared" ca="1" si="441"/>
        <v>1.05</v>
      </c>
      <c r="CP370" s="771">
        <f t="shared" ca="1" si="392"/>
        <v>0.02</v>
      </c>
      <c r="CQ370" s="771">
        <f t="shared" ca="1" si="393"/>
        <v>-2.5000000000000001E-2</v>
      </c>
      <c r="CR370" s="771">
        <f t="shared" ca="1" si="394"/>
        <v>0.95</v>
      </c>
      <c r="CS370" s="771">
        <f t="shared" ca="1" si="395"/>
        <v>0.03</v>
      </c>
      <c r="CT370" s="772">
        <f t="shared" ca="1" si="396"/>
        <v>0.02</v>
      </c>
      <c r="CU370" s="135"/>
      <c r="CV370" s="135"/>
      <c r="CW370" s="135"/>
      <c r="CX370" s="135"/>
      <c r="CY370" s="135"/>
      <c r="CZ370" s="135"/>
      <c r="DA370" s="135"/>
      <c r="DB370" s="135"/>
      <c r="DC370" s="135"/>
      <c r="DD370" s="135"/>
      <c r="DE370" s="135"/>
      <c r="DF370" s="135"/>
      <c r="DG370" s="135"/>
      <c r="DH370" s="135"/>
      <c r="DI370" s="135"/>
      <c r="DJ370" s="135"/>
      <c r="DK370" s="135"/>
      <c r="DL370" s="135"/>
      <c r="DX370" s="135"/>
      <c r="DY370" s="135"/>
      <c r="DZ370" s="135"/>
      <c r="EA370" s="135"/>
      <c r="EB370" s="135"/>
      <c r="EC370" s="135"/>
      <c r="ED370" s="135"/>
      <c r="EE370" s="135"/>
      <c r="EF370" s="135"/>
      <c r="EG370" s="135"/>
      <c r="EH370" s="135"/>
      <c r="EI370" s="135"/>
      <c r="EJ370" s="135"/>
      <c r="EK370" s="135"/>
      <c r="EL370" s="135"/>
      <c r="EM370" s="135"/>
      <c r="EN370" s="135"/>
      <c r="EO370" s="135"/>
      <c r="EP370" s="135"/>
      <c r="EQ370" s="135"/>
      <c r="ER370" s="135"/>
      <c r="ES370" s="135"/>
      <c r="ET370" s="135"/>
      <c r="EU370" s="135"/>
      <c r="EV370" s="135"/>
      <c r="EW370" s="135"/>
      <c r="EX370" s="135"/>
      <c r="EY370" s="135"/>
      <c r="EZ370" s="135"/>
      <c r="FA370" s="135"/>
      <c r="FB370" s="135"/>
      <c r="FC370" s="135"/>
      <c r="FD370" s="135"/>
      <c r="FE370" s="135"/>
      <c r="FF370" s="135"/>
      <c r="FG370" s="135"/>
    </row>
    <row r="371" spans="1:163" s="57" customFormat="1" ht="11.25" outlineLevel="1">
      <c r="A371" s="765">
        <f t="shared" si="442"/>
        <v>15</v>
      </c>
      <c r="B371" s="715" cm="1">
        <f t="array" aca="1" ref="B371" ca="1">INDIRECT("'Definition of Typical Day'!"&amp;ADDRESS(B$16,$E371))</f>
        <v>15</v>
      </c>
      <c r="C371" s="766">
        <f t="shared" si="443"/>
        <v>15</v>
      </c>
      <c r="D371" s="715">
        <f t="shared" si="443"/>
        <v>49</v>
      </c>
      <c r="E371" s="715">
        <f t="shared" si="371"/>
        <v>19</v>
      </c>
      <c r="F371" s="767" cm="1">
        <f t="array" aca="1" ref="F371" ca="1">INDIRECT("'Definition of Typical Day'!D"&amp;D371)</f>
        <v>15</v>
      </c>
      <c r="G371" s="767" cm="1">
        <f t="array" aca="1" ref="G371" ca="1">INDIRECT("'Definition of Typical Day'!"&amp;ADDRESS(13,E371))</f>
        <v>15</v>
      </c>
      <c r="H371" s="768" cm="1">
        <f t="array" aca="1" ref="H371" ca="1">INDIRECT("'Definition of Typical Day'!"&amp; ADDRESS($D371+28*(H$16-1),$E371))</f>
        <v>0</v>
      </c>
      <c r="I371" s="715" cm="1">
        <f t="array" aca="1" ref="I371" ca="1">INDIRECT("'Definition of Typical Day'!"&amp; ADDRESS($D371+29*(I$16-1),$E371))</f>
        <v>0</v>
      </c>
      <c r="J371" s="715">
        <f t="shared" ca="1" si="397"/>
        <v>0</v>
      </c>
      <c r="K371" s="785">
        <f t="shared" si="398"/>
        <v>28</v>
      </c>
      <c r="L371" s="786" cm="1">
        <f t="array" aca="1" ref="L371" ca="1">INDIRECT("'Definition of Typical Day'!"&amp; ADDRESS($D371+29*(L$16-1),$E371))</f>
        <v>0</v>
      </c>
      <c r="M371" s="768" cm="1">
        <f t="array" aca="1" ref="M371" ca="1">INDIRECT("'Definition of Typical Day'!"&amp; ADDRESS($D371+29*(M$16-1),$E371))</f>
        <v>0</v>
      </c>
      <c r="N371" s="715">
        <f t="shared" si="399"/>
        <v>3</v>
      </c>
      <c r="O371" s="715">
        <f t="shared" ca="1" si="400"/>
        <v>3</v>
      </c>
      <c r="P371" s="715" cm="1">
        <f t="array" aca="1" ref="P371" ca="1">INDIRECT("'Definition of Typical Day'!"&amp; ADDRESS($D371+29*(P$16-1),$E371))</f>
        <v>0</v>
      </c>
      <c r="Q371" s="787">
        <f t="shared" ca="1" si="401"/>
        <v>3</v>
      </c>
      <c r="R371" s="792">
        <f t="shared" ca="1" si="402"/>
        <v>3</v>
      </c>
      <c r="S371" s="769">
        <f t="shared" si="403"/>
        <v>3</v>
      </c>
      <c r="T371" s="769">
        <f t="shared" ca="1" si="404"/>
        <v>-0.5</v>
      </c>
      <c r="U371" s="769">
        <f t="shared" ca="1" si="405"/>
        <v>2.262</v>
      </c>
      <c r="V371" s="769">
        <f t="shared" ca="1" si="406"/>
        <v>0</v>
      </c>
      <c r="W371" s="769">
        <f t="shared" ca="1" si="407"/>
        <v>4.7620000000000005</v>
      </c>
      <c r="X371" s="794">
        <f t="shared" si="408"/>
        <v>3</v>
      </c>
      <c r="Y371" s="769">
        <f t="shared" ca="1" si="409"/>
        <v>0.54772255750516607</v>
      </c>
      <c r="Z371" s="769">
        <f t="shared" ca="1" si="410"/>
        <v>0</v>
      </c>
      <c r="AA371" s="795">
        <f t="shared" ca="1" si="411"/>
        <v>0</v>
      </c>
      <c r="AB371" s="769">
        <f t="shared" ca="1" si="412"/>
        <v>0</v>
      </c>
      <c r="AC371" s="769">
        <f t="shared" ca="1" si="413"/>
        <v>0</v>
      </c>
      <c r="AD371" s="769">
        <f t="shared" ca="1" si="414"/>
        <v>0</v>
      </c>
      <c r="AE371" s="794">
        <f t="shared" ca="1" si="415"/>
        <v>0</v>
      </c>
      <c r="AF371" s="769">
        <f t="shared" ca="1" si="416"/>
        <v>0</v>
      </c>
      <c r="AG371" s="769">
        <f t="shared" ca="1" si="417"/>
        <v>0</v>
      </c>
      <c r="AH371" s="799">
        <f t="shared" ca="1" si="418"/>
        <v>0</v>
      </c>
      <c r="AI371" s="801">
        <f t="shared" ca="1" si="419"/>
        <v>1</v>
      </c>
      <c r="AJ371" s="794">
        <f t="shared" ca="1" si="420"/>
        <v>0</v>
      </c>
      <c r="AK371" s="769">
        <f t="shared" ca="1" si="421"/>
        <v>0</v>
      </c>
      <c r="AL371" s="769">
        <f t="shared" ca="1" si="422"/>
        <v>0</v>
      </c>
      <c r="AM371" s="804">
        <f t="shared" ca="1" si="372"/>
        <v>0</v>
      </c>
      <c r="AN371" s="795">
        <f t="shared" ca="1" si="373"/>
        <v>0</v>
      </c>
      <c r="AO371" s="251"/>
      <c r="AP371" s="770">
        <f t="shared" si="423"/>
        <v>0</v>
      </c>
      <c r="AQ371" s="771">
        <f t="shared" ca="1" si="424"/>
        <v>0</v>
      </c>
      <c r="AR371" s="771">
        <f t="shared" ca="1" si="425"/>
        <v>0</v>
      </c>
      <c r="AS371" s="772">
        <f t="shared" ca="1" si="426"/>
        <v>0</v>
      </c>
      <c r="AT371" s="231"/>
      <c r="AU371" s="770">
        <f>'Main Results - IRR DC Operator'!$F$16</f>
        <v>2</v>
      </c>
      <c r="AV371" s="773">
        <f>'Main Results - IRR DC Operator'!$F$15</f>
        <v>1</v>
      </c>
      <c r="AW371" s="771">
        <f t="shared" ca="1" si="427"/>
        <v>0</v>
      </c>
      <c r="AX371" s="772">
        <f t="shared" si="428"/>
        <v>0</v>
      </c>
      <c r="AY371" s="231"/>
      <c r="AZ371" s="770" cm="1">
        <f t="array" aca="1" ref="AZ371" ca="1">INDIRECT("'Definition of Typical Day'!"&amp; ADDRESS($D371+29*(AZ$16-1),$E371))+$AZ$17</f>
        <v>11</v>
      </c>
      <c r="BA371" s="771" cm="1">
        <f t="array" aca="1" ref="BA371" ca="1">INDIRECT("'Definition of Typical Day'!"&amp; ADDRESS($D371+29*(BA$16-1),$E371))+$BA$17</f>
        <v>11</v>
      </c>
      <c r="BB371" s="772" cm="1">
        <f t="array" aca="1" ref="BB371" ca="1">INDIRECT("'Definition of Typical Day'!"&amp;ADDRESS(BB$16,$E371))</f>
        <v>0</v>
      </c>
      <c r="BC371" s="776" cm="1">
        <f t="array" aca="1" ref="BC371" ca="1">INDIRECT("'Definition of Typical Day'!"&amp; ADDRESS($D371+29*(BC$16-1),$E371))</f>
        <v>0</v>
      </c>
      <c r="BD371" s="777" cm="1">
        <f t="array" aca="1" ref="BD371" ca="1">INDIRECT("'Definition of Typical Day'!"&amp; ADDRESS($D371+29*(BD$16-1),$E371))</f>
        <v>0</v>
      </c>
      <c r="BE371" s="776">
        <f t="shared" si="429"/>
        <v>0</v>
      </c>
      <c r="BF371" s="771">
        <f t="shared" ca="1" si="430"/>
        <v>0</v>
      </c>
      <c r="BG371" s="771">
        <f t="shared" ca="1" si="431"/>
        <v>0</v>
      </c>
      <c r="BH371" s="771">
        <f t="shared" ca="1" si="432"/>
        <v>0</v>
      </c>
      <c r="BI371" s="776">
        <f t="shared" ca="1" si="433"/>
        <v>0</v>
      </c>
      <c r="BJ371" s="776">
        <f t="shared" ca="1" si="434"/>
        <v>0</v>
      </c>
      <c r="BK371" s="776">
        <f t="shared" ca="1" si="435"/>
        <v>0</v>
      </c>
      <c r="BL371" s="776">
        <f t="shared" ca="1" si="436"/>
        <v>0</v>
      </c>
      <c r="BM371" s="135"/>
      <c r="BN371" s="776">
        <f t="shared" ca="1" si="437"/>
        <v>0</v>
      </c>
      <c r="BO371" s="778">
        <f t="shared" ca="1" si="374"/>
        <v>0</v>
      </c>
      <c r="BP371" s="770">
        <f t="shared" ca="1" si="375"/>
        <v>0</v>
      </c>
      <c r="BQ371" s="771">
        <f t="shared" ca="1" si="376"/>
        <v>0</v>
      </c>
      <c r="BR371" s="771">
        <f t="shared" ca="1" si="377"/>
        <v>0</v>
      </c>
      <c r="BS371" s="776">
        <f t="shared" ca="1" si="438"/>
        <v>0</v>
      </c>
      <c r="BT371" s="776">
        <f t="shared" ca="1" si="378"/>
        <v>0</v>
      </c>
      <c r="BU371" s="783">
        <f t="shared" ca="1" si="379"/>
        <v>0</v>
      </c>
      <c r="BV371" s="783">
        <f t="shared" ca="1" si="380"/>
        <v>0</v>
      </c>
      <c r="BW371" s="1019">
        <f t="shared" ca="1" si="439"/>
        <v>0</v>
      </c>
      <c r="BX371" s="771" cm="1">
        <f t="array" aca="1" ref="BX371" ca="1">INDIRECT("'Definition of Typical Day'!"&amp; ADDRESS($D371+29*(BX$16-1),$E371))</f>
        <v>0</v>
      </c>
      <c r="BY371" s="771">
        <f t="shared" ca="1" si="440"/>
        <v>0</v>
      </c>
      <c r="BZ371" s="781">
        <f t="shared" ca="1" si="381"/>
        <v>0</v>
      </c>
      <c r="CA371" s="781">
        <f t="shared" ca="1" si="382"/>
        <v>0</v>
      </c>
      <c r="CB371" s="776">
        <f t="shared" ca="1" si="383"/>
        <v>0</v>
      </c>
      <c r="CC371" s="782">
        <f t="shared" si="384"/>
        <v>15</v>
      </c>
      <c r="CD371" s="782">
        <f t="shared" si="385"/>
        <v>15</v>
      </c>
      <c r="CE371" s="784" cm="1">
        <f t="array" aca="1" ref="CE371" ca="1">INDIRECT("'Definition of Typical Day'!"&amp;ADDRESS(CE$16,$E371))</f>
        <v>15</v>
      </c>
      <c r="CF371" s="232"/>
      <c r="CG371" s="232"/>
      <c r="CH371" s="776">
        <f t="shared" ca="1" si="386"/>
        <v>0</v>
      </c>
      <c r="CI371" s="806">
        <f t="shared" ca="1" si="387"/>
        <v>0</v>
      </c>
      <c r="CJ371" s="770">
        <f t="shared" ca="1" si="388"/>
        <v>0</v>
      </c>
      <c r="CK371" s="771">
        <f t="shared" ca="1" si="389"/>
        <v>0</v>
      </c>
      <c r="CL371" s="771">
        <f t="shared" ca="1" si="390"/>
        <v>0</v>
      </c>
      <c r="CM371" s="772">
        <f t="shared" ca="1" si="391"/>
        <v>0</v>
      </c>
      <c r="CN371" s="135"/>
      <c r="CO371" s="770">
        <f t="shared" ca="1" si="441"/>
        <v>1.05</v>
      </c>
      <c r="CP371" s="771">
        <f t="shared" ca="1" si="392"/>
        <v>0.02</v>
      </c>
      <c r="CQ371" s="771">
        <f t="shared" ca="1" si="393"/>
        <v>-2.5000000000000001E-2</v>
      </c>
      <c r="CR371" s="771">
        <f t="shared" ca="1" si="394"/>
        <v>0.95</v>
      </c>
      <c r="CS371" s="771">
        <f t="shared" ca="1" si="395"/>
        <v>0.03</v>
      </c>
      <c r="CT371" s="772">
        <f t="shared" ca="1" si="396"/>
        <v>0.02</v>
      </c>
      <c r="CU371" s="135"/>
      <c r="CV371" s="135"/>
      <c r="CW371" s="135"/>
      <c r="CX371" s="135"/>
      <c r="CY371" s="135"/>
      <c r="CZ371" s="135"/>
      <c r="DA371" s="135"/>
      <c r="DB371" s="135"/>
      <c r="DC371" s="135"/>
      <c r="DD371" s="135"/>
      <c r="DE371" s="135"/>
      <c r="DF371" s="135"/>
      <c r="DG371" s="135"/>
      <c r="DH371" s="135"/>
      <c r="DI371" s="135"/>
      <c r="DJ371" s="135"/>
      <c r="DK371" s="135"/>
      <c r="DL371" s="135"/>
      <c r="DX371" s="135"/>
      <c r="DY371" s="135"/>
      <c r="DZ371" s="135"/>
      <c r="EA371" s="135"/>
      <c r="EB371" s="135"/>
      <c r="EC371" s="135"/>
      <c r="ED371" s="135"/>
      <c r="EE371" s="135"/>
      <c r="EF371" s="135"/>
      <c r="EG371" s="135"/>
      <c r="EH371" s="135"/>
      <c r="EI371" s="135"/>
      <c r="EJ371" s="135"/>
      <c r="EK371" s="135"/>
      <c r="EL371" s="135"/>
      <c r="EM371" s="135"/>
      <c r="EN371" s="135"/>
      <c r="EO371" s="135"/>
      <c r="EP371" s="135"/>
      <c r="EQ371" s="135"/>
      <c r="ER371" s="135"/>
      <c r="ES371" s="135"/>
      <c r="ET371" s="135"/>
      <c r="EU371" s="135"/>
      <c r="EV371" s="135"/>
      <c r="EW371" s="135"/>
      <c r="EX371" s="135"/>
      <c r="EY371" s="135"/>
      <c r="EZ371" s="135"/>
      <c r="FA371" s="135"/>
      <c r="FB371" s="135"/>
      <c r="FC371" s="135"/>
      <c r="FD371" s="135"/>
      <c r="FE371" s="135"/>
      <c r="FF371" s="135"/>
      <c r="FG371" s="135"/>
    </row>
    <row r="372" spans="1:163" s="57" customFormat="1" ht="11.25" outlineLevel="1">
      <c r="A372" s="765">
        <f t="shared" si="442"/>
        <v>15</v>
      </c>
      <c r="B372" s="715" cm="1">
        <f t="array" aca="1" ref="B372" ca="1">INDIRECT("'Definition of Typical Day'!"&amp;ADDRESS(B$16,$E372))</f>
        <v>15</v>
      </c>
      <c r="C372" s="766">
        <f t="shared" si="443"/>
        <v>16</v>
      </c>
      <c r="D372" s="715">
        <f t="shared" si="443"/>
        <v>50</v>
      </c>
      <c r="E372" s="715">
        <f t="shared" si="371"/>
        <v>19</v>
      </c>
      <c r="F372" s="767" cm="1">
        <f t="array" aca="1" ref="F372" ca="1">INDIRECT("'Definition of Typical Day'!D"&amp;D372)</f>
        <v>16</v>
      </c>
      <c r="G372" s="767" cm="1">
        <f t="array" aca="1" ref="G372" ca="1">INDIRECT("'Definition of Typical Day'!"&amp;ADDRESS(13,E372))</f>
        <v>15</v>
      </c>
      <c r="H372" s="768" cm="1">
        <f t="array" aca="1" ref="H372" ca="1">INDIRECT("'Definition of Typical Day'!"&amp; ADDRESS($D372+28*(H$16-1),$E372))</f>
        <v>0</v>
      </c>
      <c r="I372" s="715" cm="1">
        <f t="array" aca="1" ref="I372" ca="1">INDIRECT("'Definition of Typical Day'!"&amp; ADDRESS($D372+29*(I$16-1),$E372))</f>
        <v>0</v>
      </c>
      <c r="J372" s="715">
        <f t="shared" ca="1" si="397"/>
        <v>0</v>
      </c>
      <c r="K372" s="785">
        <f t="shared" si="398"/>
        <v>28</v>
      </c>
      <c r="L372" s="786" cm="1">
        <f t="array" aca="1" ref="L372" ca="1">INDIRECT("'Definition of Typical Day'!"&amp; ADDRESS($D372+29*(L$16-1),$E372))</f>
        <v>0</v>
      </c>
      <c r="M372" s="768" cm="1">
        <f t="array" aca="1" ref="M372" ca="1">INDIRECT("'Definition of Typical Day'!"&amp; ADDRESS($D372+29*(M$16-1),$E372))</f>
        <v>0</v>
      </c>
      <c r="N372" s="715">
        <f t="shared" si="399"/>
        <v>3</v>
      </c>
      <c r="O372" s="715">
        <f t="shared" ca="1" si="400"/>
        <v>3</v>
      </c>
      <c r="P372" s="715" cm="1">
        <f t="array" aca="1" ref="P372" ca="1">INDIRECT("'Definition of Typical Day'!"&amp; ADDRESS($D372+29*(P$16-1),$E372))</f>
        <v>0</v>
      </c>
      <c r="Q372" s="787">
        <f t="shared" ca="1" si="401"/>
        <v>3</v>
      </c>
      <c r="R372" s="792">
        <f t="shared" ca="1" si="402"/>
        <v>3</v>
      </c>
      <c r="S372" s="769">
        <f t="shared" si="403"/>
        <v>3</v>
      </c>
      <c r="T372" s="769">
        <f t="shared" ca="1" si="404"/>
        <v>-0.5</v>
      </c>
      <c r="U372" s="769">
        <f t="shared" ca="1" si="405"/>
        <v>2.262</v>
      </c>
      <c r="V372" s="769">
        <f t="shared" ca="1" si="406"/>
        <v>0</v>
      </c>
      <c r="W372" s="769">
        <f t="shared" ca="1" si="407"/>
        <v>4.7620000000000005</v>
      </c>
      <c r="X372" s="794">
        <f t="shared" si="408"/>
        <v>3</v>
      </c>
      <c r="Y372" s="769">
        <f t="shared" ca="1" si="409"/>
        <v>0.54772255750516607</v>
      </c>
      <c r="Z372" s="769">
        <f t="shared" ca="1" si="410"/>
        <v>0</v>
      </c>
      <c r="AA372" s="795">
        <f t="shared" ca="1" si="411"/>
        <v>0</v>
      </c>
      <c r="AB372" s="769">
        <f t="shared" ca="1" si="412"/>
        <v>0</v>
      </c>
      <c r="AC372" s="769">
        <f t="shared" ca="1" si="413"/>
        <v>0</v>
      </c>
      <c r="AD372" s="769">
        <f t="shared" ca="1" si="414"/>
        <v>0</v>
      </c>
      <c r="AE372" s="794">
        <f t="shared" ca="1" si="415"/>
        <v>0</v>
      </c>
      <c r="AF372" s="769">
        <f t="shared" ca="1" si="416"/>
        <v>0</v>
      </c>
      <c r="AG372" s="769">
        <f t="shared" ca="1" si="417"/>
        <v>0</v>
      </c>
      <c r="AH372" s="799">
        <f t="shared" ca="1" si="418"/>
        <v>0</v>
      </c>
      <c r="AI372" s="801">
        <f t="shared" ca="1" si="419"/>
        <v>1</v>
      </c>
      <c r="AJ372" s="794">
        <f t="shared" ca="1" si="420"/>
        <v>0</v>
      </c>
      <c r="AK372" s="769">
        <f t="shared" ca="1" si="421"/>
        <v>0</v>
      </c>
      <c r="AL372" s="769">
        <f t="shared" ca="1" si="422"/>
        <v>0</v>
      </c>
      <c r="AM372" s="804">
        <f t="shared" ca="1" si="372"/>
        <v>0</v>
      </c>
      <c r="AN372" s="795">
        <f t="shared" ca="1" si="373"/>
        <v>0</v>
      </c>
      <c r="AO372" s="251"/>
      <c r="AP372" s="770">
        <f t="shared" si="423"/>
        <v>0</v>
      </c>
      <c r="AQ372" s="771">
        <f t="shared" ca="1" si="424"/>
        <v>0</v>
      </c>
      <c r="AR372" s="771">
        <f t="shared" ca="1" si="425"/>
        <v>0</v>
      </c>
      <c r="AS372" s="772">
        <f t="shared" ca="1" si="426"/>
        <v>0</v>
      </c>
      <c r="AT372" s="231"/>
      <c r="AU372" s="770">
        <f>'Main Results - IRR DC Operator'!$F$16</f>
        <v>2</v>
      </c>
      <c r="AV372" s="773">
        <f>'Main Results - IRR DC Operator'!$F$15</f>
        <v>1</v>
      </c>
      <c r="AW372" s="771">
        <f t="shared" ca="1" si="427"/>
        <v>0</v>
      </c>
      <c r="AX372" s="772">
        <f t="shared" si="428"/>
        <v>0</v>
      </c>
      <c r="AY372" s="231"/>
      <c r="AZ372" s="770" cm="1">
        <f t="array" aca="1" ref="AZ372" ca="1">INDIRECT("'Definition of Typical Day'!"&amp; ADDRESS($D372+29*(AZ$16-1),$E372))+$AZ$17</f>
        <v>11</v>
      </c>
      <c r="BA372" s="771" cm="1">
        <f t="array" aca="1" ref="BA372" ca="1">INDIRECT("'Definition of Typical Day'!"&amp; ADDRESS($D372+29*(BA$16-1),$E372))+$BA$17</f>
        <v>11</v>
      </c>
      <c r="BB372" s="772" cm="1">
        <f t="array" aca="1" ref="BB372" ca="1">INDIRECT("'Definition of Typical Day'!"&amp;ADDRESS(BB$16,$E372))</f>
        <v>0</v>
      </c>
      <c r="BC372" s="776" cm="1">
        <f t="array" aca="1" ref="BC372" ca="1">INDIRECT("'Definition of Typical Day'!"&amp; ADDRESS($D372+29*(BC$16-1),$E372))</f>
        <v>0</v>
      </c>
      <c r="BD372" s="777" cm="1">
        <f t="array" aca="1" ref="BD372" ca="1">INDIRECT("'Definition of Typical Day'!"&amp; ADDRESS($D372+29*(BD$16-1),$E372))</f>
        <v>0</v>
      </c>
      <c r="BE372" s="776">
        <f t="shared" si="429"/>
        <v>0</v>
      </c>
      <c r="BF372" s="771">
        <f t="shared" ca="1" si="430"/>
        <v>0</v>
      </c>
      <c r="BG372" s="771">
        <f t="shared" ca="1" si="431"/>
        <v>0</v>
      </c>
      <c r="BH372" s="771">
        <f t="shared" ca="1" si="432"/>
        <v>0</v>
      </c>
      <c r="BI372" s="776">
        <f t="shared" ca="1" si="433"/>
        <v>0</v>
      </c>
      <c r="BJ372" s="776">
        <f t="shared" ca="1" si="434"/>
        <v>0</v>
      </c>
      <c r="BK372" s="776">
        <f t="shared" ca="1" si="435"/>
        <v>0</v>
      </c>
      <c r="BL372" s="776">
        <f t="shared" ca="1" si="436"/>
        <v>0</v>
      </c>
      <c r="BM372" s="135"/>
      <c r="BN372" s="776">
        <f t="shared" ca="1" si="437"/>
        <v>0</v>
      </c>
      <c r="BO372" s="778">
        <f t="shared" ca="1" si="374"/>
        <v>0</v>
      </c>
      <c r="BP372" s="770">
        <f t="shared" ca="1" si="375"/>
        <v>0</v>
      </c>
      <c r="BQ372" s="771">
        <f t="shared" ca="1" si="376"/>
        <v>0</v>
      </c>
      <c r="BR372" s="771">
        <f t="shared" ca="1" si="377"/>
        <v>0</v>
      </c>
      <c r="BS372" s="776">
        <f t="shared" ca="1" si="438"/>
        <v>0</v>
      </c>
      <c r="BT372" s="776">
        <f t="shared" ca="1" si="378"/>
        <v>0</v>
      </c>
      <c r="BU372" s="783">
        <f t="shared" ca="1" si="379"/>
        <v>0</v>
      </c>
      <c r="BV372" s="783">
        <f t="shared" ca="1" si="380"/>
        <v>0</v>
      </c>
      <c r="BW372" s="1019">
        <f t="shared" ca="1" si="439"/>
        <v>0</v>
      </c>
      <c r="BX372" s="771" cm="1">
        <f t="array" aca="1" ref="BX372" ca="1">INDIRECT("'Definition of Typical Day'!"&amp; ADDRESS($D372+29*(BX$16-1),$E372))</f>
        <v>0</v>
      </c>
      <c r="BY372" s="771">
        <f t="shared" ca="1" si="440"/>
        <v>0</v>
      </c>
      <c r="BZ372" s="781">
        <f t="shared" ca="1" si="381"/>
        <v>0</v>
      </c>
      <c r="CA372" s="781">
        <f t="shared" ca="1" si="382"/>
        <v>0</v>
      </c>
      <c r="CB372" s="776">
        <f t="shared" ca="1" si="383"/>
        <v>0</v>
      </c>
      <c r="CC372" s="782">
        <f t="shared" si="384"/>
        <v>15</v>
      </c>
      <c r="CD372" s="782">
        <f t="shared" si="385"/>
        <v>16</v>
      </c>
      <c r="CE372" s="784" cm="1">
        <f t="array" aca="1" ref="CE372" ca="1">INDIRECT("'Definition of Typical Day'!"&amp;ADDRESS(CE$16,$E372))</f>
        <v>15</v>
      </c>
      <c r="CF372" s="232"/>
      <c r="CG372" s="232"/>
      <c r="CH372" s="776">
        <f t="shared" ca="1" si="386"/>
        <v>0</v>
      </c>
      <c r="CI372" s="806">
        <f t="shared" ca="1" si="387"/>
        <v>0</v>
      </c>
      <c r="CJ372" s="770">
        <f t="shared" ca="1" si="388"/>
        <v>0</v>
      </c>
      <c r="CK372" s="771">
        <f t="shared" ca="1" si="389"/>
        <v>0</v>
      </c>
      <c r="CL372" s="771">
        <f t="shared" ca="1" si="390"/>
        <v>0</v>
      </c>
      <c r="CM372" s="772">
        <f t="shared" ca="1" si="391"/>
        <v>0</v>
      </c>
      <c r="CN372" s="135"/>
      <c r="CO372" s="770">
        <f t="shared" ca="1" si="441"/>
        <v>1.05</v>
      </c>
      <c r="CP372" s="771">
        <f t="shared" ca="1" si="392"/>
        <v>0.02</v>
      </c>
      <c r="CQ372" s="771">
        <f t="shared" ca="1" si="393"/>
        <v>-2.5000000000000001E-2</v>
      </c>
      <c r="CR372" s="771">
        <f t="shared" ca="1" si="394"/>
        <v>0.95</v>
      </c>
      <c r="CS372" s="771">
        <f t="shared" ca="1" si="395"/>
        <v>0.03</v>
      </c>
      <c r="CT372" s="772">
        <f t="shared" ca="1" si="396"/>
        <v>0.02</v>
      </c>
      <c r="CU372" s="135"/>
      <c r="CV372" s="135"/>
      <c r="CW372" s="135"/>
      <c r="CX372" s="135"/>
      <c r="CY372" s="135"/>
      <c r="CZ372" s="135"/>
      <c r="DA372" s="135"/>
      <c r="DB372" s="135"/>
      <c r="DC372" s="135"/>
      <c r="DD372" s="135"/>
      <c r="DE372" s="135"/>
      <c r="DF372" s="135"/>
      <c r="DG372" s="135"/>
      <c r="DH372" s="135"/>
      <c r="DI372" s="135"/>
      <c r="DJ372" s="135"/>
      <c r="DK372" s="135"/>
      <c r="DL372" s="135"/>
      <c r="DX372" s="135"/>
      <c r="DY372" s="135"/>
      <c r="DZ372" s="135"/>
      <c r="EA372" s="135"/>
      <c r="EB372" s="135"/>
      <c r="EC372" s="135"/>
      <c r="ED372" s="135"/>
      <c r="EE372" s="135"/>
      <c r="EF372" s="135"/>
      <c r="EG372" s="135"/>
      <c r="EH372" s="135"/>
      <c r="EI372" s="135"/>
      <c r="EJ372" s="135"/>
      <c r="EK372" s="135"/>
      <c r="EL372" s="135"/>
      <c r="EM372" s="135"/>
      <c r="EN372" s="135"/>
      <c r="EO372" s="135"/>
      <c r="EP372" s="135"/>
      <c r="EQ372" s="135"/>
      <c r="ER372" s="135"/>
      <c r="ES372" s="135"/>
      <c r="ET372" s="135"/>
      <c r="EU372" s="135"/>
      <c r="EV372" s="135"/>
      <c r="EW372" s="135"/>
      <c r="EX372" s="135"/>
      <c r="EY372" s="135"/>
      <c r="EZ372" s="135"/>
      <c r="FA372" s="135"/>
      <c r="FB372" s="135"/>
      <c r="FC372" s="135"/>
      <c r="FD372" s="135"/>
      <c r="FE372" s="135"/>
      <c r="FF372" s="135"/>
      <c r="FG372" s="135"/>
    </row>
    <row r="373" spans="1:163" s="57" customFormat="1" ht="11.25" outlineLevel="1">
      <c r="A373" s="765">
        <f t="shared" si="442"/>
        <v>15</v>
      </c>
      <c r="B373" s="715" cm="1">
        <f t="array" aca="1" ref="B373" ca="1">INDIRECT("'Definition of Typical Day'!"&amp;ADDRESS(B$16,$E373))</f>
        <v>15</v>
      </c>
      <c r="C373" s="766">
        <f t="shared" si="443"/>
        <v>17</v>
      </c>
      <c r="D373" s="715">
        <f t="shared" si="443"/>
        <v>51</v>
      </c>
      <c r="E373" s="715">
        <f t="shared" si="371"/>
        <v>19</v>
      </c>
      <c r="F373" s="767" cm="1">
        <f t="array" aca="1" ref="F373" ca="1">INDIRECT("'Definition of Typical Day'!D"&amp;D373)</f>
        <v>17</v>
      </c>
      <c r="G373" s="767" cm="1">
        <f t="array" aca="1" ref="G373" ca="1">INDIRECT("'Definition of Typical Day'!"&amp;ADDRESS(13,E373))</f>
        <v>15</v>
      </c>
      <c r="H373" s="768" cm="1">
        <f t="array" aca="1" ref="H373" ca="1">INDIRECT("'Definition of Typical Day'!"&amp; ADDRESS($D373+28*(H$16-1),$E373))</f>
        <v>0</v>
      </c>
      <c r="I373" s="715" cm="1">
        <f t="array" aca="1" ref="I373" ca="1">INDIRECT("'Definition of Typical Day'!"&amp; ADDRESS($D373+29*(I$16-1),$E373))</f>
        <v>0</v>
      </c>
      <c r="J373" s="715">
        <f t="shared" ca="1" si="397"/>
        <v>0</v>
      </c>
      <c r="K373" s="785">
        <f t="shared" si="398"/>
        <v>28</v>
      </c>
      <c r="L373" s="786" cm="1">
        <f t="array" aca="1" ref="L373" ca="1">INDIRECT("'Definition of Typical Day'!"&amp; ADDRESS($D373+29*(L$16-1),$E373))</f>
        <v>0</v>
      </c>
      <c r="M373" s="768" cm="1">
        <f t="array" aca="1" ref="M373" ca="1">INDIRECT("'Definition of Typical Day'!"&amp; ADDRESS($D373+29*(M$16-1),$E373))</f>
        <v>0</v>
      </c>
      <c r="N373" s="715">
        <f t="shared" si="399"/>
        <v>3</v>
      </c>
      <c r="O373" s="715">
        <f t="shared" ca="1" si="400"/>
        <v>3</v>
      </c>
      <c r="P373" s="715" cm="1">
        <f t="array" aca="1" ref="P373" ca="1">INDIRECT("'Definition of Typical Day'!"&amp; ADDRESS($D373+29*(P$16-1),$E373))</f>
        <v>0</v>
      </c>
      <c r="Q373" s="787">
        <f t="shared" ca="1" si="401"/>
        <v>3</v>
      </c>
      <c r="R373" s="792">
        <f t="shared" ca="1" si="402"/>
        <v>3</v>
      </c>
      <c r="S373" s="769">
        <f t="shared" si="403"/>
        <v>3</v>
      </c>
      <c r="T373" s="769">
        <f t="shared" ca="1" si="404"/>
        <v>-0.5</v>
      </c>
      <c r="U373" s="769">
        <f t="shared" ca="1" si="405"/>
        <v>2.262</v>
      </c>
      <c r="V373" s="769">
        <f t="shared" ca="1" si="406"/>
        <v>0</v>
      </c>
      <c r="W373" s="769">
        <f t="shared" ca="1" si="407"/>
        <v>4.7620000000000005</v>
      </c>
      <c r="X373" s="794">
        <f t="shared" si="408"/>
        <v>3</v>
      </c>
      <c r="Y373" s="769">
        <f t="shared" ca="1" si="409"/>
        <v>0.54772255750516607</v>
      </c>
      <c r="Z373" s="769">
        <f t="shared" ca="1" si="410"/>
        <v>0</v>
      </c>
      <c r="AA373" s="795">
        <f t="shared" ca="1" si="411"/>
        <v>0</v>
      </c>
      <c r="AB373" s="769">
        <f t="shared" ca="1" si="412"/>
        <v>0</v>
      </c>
      <c r="AC373" s="769">
        <f t="shared" ca="1" si="413"/>
        <v>0</v>
      </c>
      <c r="AD373" s="769">
        <f t="shared" ca="1" si="414"/>
        <v>0</v>
      </c>
      <c r="AE373" s="794">
        <f t="shared" ca="1" si="415"/>
        <v>0</v>
      </c>
      <c r="AF373" s="769">
        <f t="shared" ca="1" si="416"/>
        <v>0</v>
      </c>
      <c r="AG373" s="769">
        <f t="shared" ca="1" si="417"/>
        <v>0</v>
      </c>
      <c r="AH373" s="799">
        <f t="shared" ca="1" si="418"/>
        <v>0</v>
      </c>
      <c r="AI373" s="801">
        <f t="shared" ca="1" si="419"/>
        <v>1</v>
      </c>
      <c r="AJ373" s="794">
        <f t="shared" ca="1" si="420"/>
        <v>0</v>
      </c>
      <c r="AK373" s="769">
        <f t="shared" ca="1" si="421"/>
        <v>0</v>
      </c>
      <c r="AL373" s="769">
        <f t="shared" ca="1" si="422"/>
        <v>0</v>
      </c>
      <c r="AM373" s="804">
        <f t="shared" ca="1" si="372"/>
        <v>0</v>
      </c>
      <c r="AN373" s="795">
        <f t="shared" ca="1" si="373"/>
        <v>0</v>
      </c>
      <c r="AO373" s="251"/>
      <c r="AP373" s="770">
        <f t="shared" si="423"/>
        <v>0</v>
      </c>
      <c r="AQ373" s="771">
        <f t="shared" ca="1" si="424"/>
        <v>0</v>
      </c>
      <c r="AR373" s="771">
        <f t="shared" ca="1" si="425"/>
        <v>0</v>
      </c>
      <c r="AS373" s="772">
        <f t="shared" ca="1" si="426"/>
        <v>0</v>
      </c>
      <c r="AT373" s="231"/>
      <c r="AU373" s="770">
        <f>'Main Results - IRR DC Operator'!$F$16</f>
        <v>2</v>
      </c>
      <c r="AV373" s="773">
        <f>'Main Results - IRR DC Operator'!$F$15</f>
        <v>1</v>
      </c>
      <c r="AW373" s="771">
        <f t="shared" ca="1" si="427"/>
        <v>0</v>
      </c>
      <c r="AX373" s="772">
        <f t="shared" si="428"/>
        <v>0</v>
      </c>
      <c r="AY373" s="231"/>
      <c r="AZ373" s="770" cm="1">
        <f t="array" aca="1" ref="AZ373" ca="1">INDIRECT("'Definition of Typical Day'!"&amp; ADDRESS($D373+29*(AZ$16-1),$E373))+$AZ$17</f>
        <v>11</v>
      </c>
      <c r="BA373" s="771" cm="1">
        <f t="array" aca="1" ref="BA373" ca="1">INDIRECT("'Definition of Typical Day'!"&amp; ADDRESS($D373+29*(BA$16-1),$E373))+$BA$17</f>
        <v>11</v>
      </c>
      <c r="BB373" s="772" cm="1">
        <f t="array" aca="1" ref="BB373" ca="1">INDIRECT("'Definition of Typical Day'!"&amp;ADDRESS(BB$16,$E373))</f>
        <v>0</v>
      </c>
      <c r="BC373" s="776" cm="1">
        <f t="array" aca="1" ref="BC373" ca="1">INDIRECT("'Definition of Typical Day'!"&amp; ADDRESS($D373+29*(BC$16-1),$E373))</f>
        <v>0</v>
      </c>
      <c r="BD373" s="777" cm="1">
        <f t="array" aca="1" ref="BD373" ca="1">INDIRECT("'Definition of Typical Day'!"&amp; ADDRESS($D373+29*(BD$16-1),$E373))</f>
        <v>0</v>
      </c>
      <c r="BE373" s="776">
        <f t="shared" si="429"/>
        <v>0</v>
      </c>
      <c r="BF373" s="771">
        <f t="shared" ca="1" si="430"/>
        <v>0</v>
      </c>
      <c r="BG373" s="771">
        <f t="shared" ca="1" si="431"/>
        <v>0</v>
      </c>
      <c r="BH373" s="771">
        <f t="shared" ca="1" si="432"/>
        <v>0</v>
      </c>
      <c r="BI373" s="776">
        <f t="shared" ca="1" si="433"/>
        <v>0</v>
      </c>
      <c r="BJ373" s="776">
        <f t="shared" ca="1" si="434"/>
        <v>0</v>
      </c>
      <c r="BK373" s="776">
        <f t="shared" ca="1" si="435"/>
        <v>0</v>
      </c>
      <c r="BL373" s="776">
        <f t="shared" ca="1" si="436"/>
        <v>0</v>
      </c>
      <c r="BM373" s="135"/>
      <c r="BN373" s="776">
        <f t="shared" ca="1" si="437"/>
        <v>0</v>
      </c>
      <c r="BO373" s="778">
        <f t="shared" ca="1" si="374"/>
        <v>0</v>
      </c>
      <c r="BP373" s="770">
        <f t="shared" ca="1" si="375"/>
        <v>0</v>
      </c>
      <c r="BQ373" s="771">
        <f t="shared" ca="1" si="376"/>
        <v>0</v>
      </c>
      <c r="BR373" s="771">
        <f t="shared" ca="1" si="377"/>
        <v>0</v>
      </c>
      <c r="BS373" s="776">
        <f t="shared" ca="1" si="438"/>
        <v>0</v>
      </c>
      <c r="BT373" s="776">
        <f t="shared" ca="1" si="378"/>
        <v>0</v>
      </c>
      <c r="BU373" s="783">
        <f t="shared" ca="1" si="379"/>
        <v>0</v>
      </c>
      <c r="BV373" s="783">
        <f t="shared" ca="1" si="380"/>
        <v>0</v>
      </c>
      <c r="BW373" s="1019">
        <f t="shared" ca="1" si="439"/>
        <v>0</v>
      </c>
      <c r="BX373" s="771" cm="1">
        <f t="array" aca="1" ref="BX373" ca="1">INDIRECT("'Definition of Typical Day'!"&amp; ADDRESS($D373+29*(BX$16-1),$E373))</f>
        <v>0</v>
      </c>
      <c r="BY373" s="771">
        <f t="shared" ca="1" si="440"/>
        <v>0</v>
      </c>
      <c r="BZ373" s="781">
        <f t="shared" ca="1" si="381"/>
        <v>0</v>
      </c>
      <c r="CA373" s="781">
        <f t="shared" ca="1" si="382"/>
        <v>0</v>
      </c>
      <c r="CB373" s="776">
        <f t="shared" ca="1" si="383"/>
        <v>0</v>
      </c>
      <c r="CC373" s="782">
        <f t="shared" si="384"/>
        <v>15</v>
      </c>
      <c r="CD373" s="782">
        <f t="shared" si="385"/>
        <v>17</v>
      </c>
      <c r="CE373" s="784" cm="1">
        <f t="array" aca="1" ref="CE373" ca="1">INDIRECT("'Definition of Typical Day'!"&amp;ADDRESS(CE$16,$E373))</f>
        <v>15</v>
      </c>
      <c r="CF373" s="232"/>
      <c r="CG373" s="232"/>
      <c r="CH373" s="776">
        <f t="shared" ca="1" si="386"/>
        <v>0</v>
      </c>
      <c r="CI373" s="806">
        <f t="shared" ca="1" si="387"/>
        <v>0</v>
      </c>
      <c r="CJ373" s="770">
        <f t="shared" ca="1" si="388"/>
        <v>0</v>
      </c>
      <c r="CK373" s="771">
        <f t="shared" ca="1" si="389"/>
        <v>0</v>
      </c>
      <c r="CL373" s="771">
        <f t="shared" ca="1" si="390"/>
        <v>0</v>
      </c>
      <c r="CM373" s="772">
        <f t="shared" ca="1" si="391"/>
        <v>0</v>
      </c>
      <c r="CN373" s="135"/>
      <c r="CO373" s="770">
        <f t="shared" ca="1" si="441"/>
        <v>1.05</v>
      </c>
      <c r="CP373" s="771">
        <f t="shared" ca="1" si="392"/>
        <v>0.02</v>
      </c>
      <c r="CQ373" s="771">
        <f t="shared" ca="1" si="393"/>
        <v>-2.5000000000000001E-2</v>
      </c>
      <c r="CR373" s="771">
        <f t="shared" ca="1" si="394"/>
        <v>0.95</v>
      </c>
      <c r="CS373" s="771">
        <f t="shared" ca="1" si="395"/>
        <v>0.03</v>
      </c>
      <c r="CT373" s="772">
        <f t="shared" ca="1" si="396"/>
        <v>0.02</v>
      </c>
      <c r="CU373" s="135"/>
      <c r="CV373" s="135"/>
      <c r="CW373" s="135"/>
      <c r="CX373" s="135"/>
      <c r="CY373" s="135"/>
      <c r="CZ373" s="135"/>
      <c r="DA373" s="135"/>
      <c r="DB373" s="135"/>
      <c r="DC373" s="135"/>
      <c r="DD373" s="135"/>
      <c r="DE373" s="135"/>
      <c r="DF373" s="135"/>
      <c r="DG373" s="135"/>
      <c r="DH373" s="135"/>
      <c r="DI373" s="135"/>
      <c r="DJ373" s="135"/>
      <c r="DK373" s="135"/>
      <c r="DL373" s="135"/>
      <c r="DX373" s="135"/>
      <c r="DY373" s="135"/>
      <c r="DZ373" s="135"/>
      <c r="EA373" s="135"/>
      <c r="EB373" s="135"/>
      <c r="EC373" s="135"/>
      <c r="ED373" s="135"/>
      <c r="EE373" s="135"/>
      <c r="EF373" s="135"/>
      <c r="EG373" s="135"/>
      <c r="EH373" s="135"/>
      <c r="EI373" s="135"/>
      <c r="EJ373" s="135"/>
      <c r="EK373" s="135"/>
      <c r="EL373" s="135"/>
      <c r="EM373" s="135"/>
      <c r="EN373" s="135"/>
      <c r="EO373" s="135"/>
      <c r="EP373" s="135"/>
      <c r="EQ373" s="135"/>
      <c r="ER373" s="135"/>
      <c r="ES373" s="135"/>
      <c r="ET373" s="135"/>
      <c r="EU373" s="135"/>
      <c r="EV373" s="135"/>
      <c r="EW373" s="135"/>
      <c r="EX373" s="135"/>
      <c r="EY373" s="135"/>
      <c r="EZ373" s="135"/>
      <c r="FA373" s="135"/>
      <c r="FB373" s="135"/>
      <c r="FC373" s="135"/>
      <c r="FD373" s="135"/>
      <c r="FE373" s="135"/>
      <c r="FF373" s="135"/>
      <c r="FG373" s="135"/>
    </row>
    <row r="374" spans="1:163" s="57" customFormat="1" ht="11.25" outlineLevel="1">
      <c r="A374" s="765">
        <f t="shared" si="442"/>
        <v>15</v>
      </c>
      <c r="B374" s="715" cm="1">
        <f t="array" aca="1" ref="B374" ca="1">INDIRECT("'Definition of Typical Day'!"&amp;ADDRESS(B$16,$E374))</f>
        <v>15</v>
      </c>
      <c r="C374" s="766">
        <f t="shared" si="443"/>
        <v>18</v>
      </c>
      <c r="D374" s="715">
        <f t="shared" si="443"/>
        <v>52</v>
      </c>
      <c r="E374" s="715">
        <f t="shared" si="371"/>
        <v>19</v>
      </c>
      <c r="F374" s="767" cm="1">
        <f t="array" aca="1" ref="F374" ca="1">INDIRECT("'Definition of Typical Day'!D"&amp;D374)</f>
        <v>18</v>
      </c>
      <c r="G374" s="767" cm="1">
        <f t="array" aca="1" ref="G374" ca="1">INDIRECT("'Definition of Typical Day'!"&amp;ADDRESS(13,E374))</f>
        <v>15</v>
      </c>
      <c r="H374" s="768" cm="1">
        <f t="array" aca="1" ref="H374" ca="1">INDIRECT("'Definition of Typical Day'!"&amp; ADDRESS($D374+28*(H$16-1),$E374))</f>
        <v>0</v>
      </c>
      <c r="I374" s="715" cm="1">
        <f t="array" aca="1" ref="I374" ca="1">INDIRECT("'Definition of Typical Day'!"&amp; ADDRESS($D374+29*(I$16-1),$E374))</f>
        <v>0</v>
      </c>
      <c r="J374" s="715">
        <f t="shared" ca="1" si="397"/>
        <v>0</v>
      </c>
      <c r="K374" s="785">
        <f t="shared" si="398"/>
        <v>28</v>
      </c>
      <c r="L374" s="786" cm="1">
        <f t="array" aca="1" ref="L374" ca="1">INDIRECT("'Definition of Typical Day'!"&amp; ADDRESS($D374+29*(L$16-1),$E374))</f>
        <v>0</v>
      </c>
      <c r="M374" s="768" cm="1">
        <f t="array" aca="1" ref="M374" ca="1">INDIRECT("'Definition of Typical Day'!"&amp; ADDRESS($D374+29*(M$16-1),$E374))</f>
        <v>0</v>
      </c>
      <c r="N374" s="715">
        <f t="shared" si="399"/>
        <v>3</v>
      </c>
      <c r="O374" s="715">
        <f t="shared" ca="1" si="400"/>
        <v>3</v>
      </c>
      <c r="P374" s="715" cm="1">
        <f t="array" aca="1" ref="P374" ca="1">INDIRECT("'Definition of Typical Day'!"&amp; ADDRESS($D374+29*(P$16-1),$E374))</f>
        <v>0</v>
      </c>
      <c r="Q374" s="787">
        <f t="shared" ca="1" si="401"/>
        <v>3</v>
      </c>
      <c r="R374" s="792">
        <f t="shared" ca="1" si="402"/>
        <v>3</v>
      </c>
      <c r="S374" s="769">
        <f t="shared" si="403"/>
        <v>3</v>
      </c>
      <c r="T374" s="769">
        <f t="shared" ca="1" si="404"/>
        <v>-0.5</v>
      </c>
      <c r="U374" s="769">
        <f t="shared" ca="1" si="405"/>
        <v>2.262</v>
      </c>
      <c r="V374" s="769">
        <f t="shared" ca="1" si="406"/>
        <v>0</v>
      </c>
      <c r="W374" s="769">
        <f t="shared" ca="1" si="407"/>
        <v>4.7620000000000005</v>
      </c>
      <c r="X374" s="794">
        <f t="shared" si="408"/>
        <v>3</v>
      </c>
      <c r="Y374" s="769">
        <f t="shared" ca="1" si="409"/>
        <v>0.54772255750516607</v>
      </c>
      <c r="Z374" s="769">
        <f t="shared" ca="1" si="410"/>
        <v>0</v>
      </c>
      <c r="AA374" s="795">
        <f t="shared" ca="1" si="411"/>
        <v>0</v>
      </c>
      <c r="AB374" s="769">
        <f t="shared" ca="1" si="412"/>
        <v>0</v>
      </c>
      <c r="AC374" s="769">
        <f t="shared" ca="1" si="413"/>
        <v>0</v>
      </c>
      <c r="AD374" s="769">
        <f t="shared" ca="1" si="414"/>
        <v>0</v>
      </c>
      <c r="AE374" s="794">
        <f t="shared" ca="1" si="415"/>
        <v>0</v>
      </c>
      <c r="AF374" s="769">
        <f t="shared" ca="1" si="416"/>
        <v>0</v>
      </c>
      <c r="AG374" s="769">
        <f t="shared" ca="1" si="417"/>
        <v>0</v>
      </c>
      <c r="AH374" s="799">
        <f t="shared" ca="1" si="418"/>
        <v>0</v>
      </c>
      <c r="AI374" s="801">
        <f t="shared" ca="1" si="419"/>
        <v>1</v>
      </c>
      <c r="AJ374" s="794">
        <f t="shared" ca="1" si="420"/>
        <v>0</v>
      </c>
      <c r="AK374" s="769">
        <f t="shared" ca="1" si="421"/>
        <v>0</v>
      </c>
      <c r="AL374" s="769">
        <f t="shared" ca="1" si="422"/>
        <v>0</v>
      </c>
      <c r="AM374" s="804">
        <f t="shared" ca="1" si="372"/>
        <v>0</v>
      </c>
      <c r="AN374" s="795">
        <f t="shared" ca="1" si="373"/>
        <v>0</v>
      </c>
      <c r="AO374" s="251"/>
      <c r="AP374" s="770">
        <f t="shared" si="423"/>
        <v>0</v>
      </c>
      <c r="AQ374" s="771">
        <f t="shared" ca="1" si="424"/>
        <v>0</v>
      </c>
      <c r="AR374" s="771">
        <f t="shared" ca="1" si="425"/>
        <v>0</v>
      </c>
      <c r="AS374" s="772">
        <f t="shared" ca="1" si="426"/>
        <v>0</v>
      </c>
      <c r="AT374" s="231"/>
      <c r="AU374" s="770">
        <f>'Main Results - IRR DC Operator'!$F$16</f>
        <v>2</v>
      </c>
      <c r="AV374" s="773">
        <f>'Main Results - IRR DC Operator'!$F$15</f>
        <v>1</v>
      </c>
      <c r="AW374" s="771">
        <f t="shared" ca="1" si="427"/>
        <v>0</v>
      </c>
      <c r="AX374" s="772">
        <f t="shared" si="428"/>
        <v>0</v>
      </c>
      <c r="AY374" s="231"/>
      <c r="AZ374" s="770" cm="1">
        <f t="array" aca="1" ref="AZ374" ca="1">INDIRECT("'Definition of Typical Day'!"&amp; ADDRESS($D374+29*(AZ$16-1),$E374))+$AZ$17</f>
        <v>11</v>
      </c>
      <c r="BA374" s="771" cm="1">
        <f t="array" aca="1" ref="BA374" ca="1">INDIRECT("'Definition of Typical Day'!"&amp; ADDRESS($D374+29*(BA$16-1),$E374))+$BA$17</f>
        <v>11</v>
      </c>
      <c r="BB374" s="772" cm="1">
        <f t="array" aca="1" ref="BB374" ca="1">INDIRECT("'Definition of Typical Day'!"&amp;ADDRESS(BB$16,$E374))</f>
        <v>0</v>
      </c>
      <c r="BC374" s="776" cm="1">
        <f t="array" aca="1" ref="BC374" ca="1">INDIRECT("'Definition of Typical Day'!"&amp; ADDRESS($D374+29*(BC$16-1),$E374))</f>
        <v>0</v>
      </c>
      <c r="BD374" s="777" cm="1">
        <f t="array" aca="1" ref="BD374" ca="1">INDIRECT("'Definition of Typical Day'!"&amp; ADDRESS($D374+29*(BD$16-1),$E374))</f>
        <v>0</v>
      </c>
      <c r="BE374" s="776">
        <f t="shared" si="429"/>
        <v>0</v>
      </c>
      <c r="BF374" s="771">
        <f t="shared" ca="1" si="430"/>
        <v>0</v>
      </c>
      <c r="BG374" s="771">
        <f t="shared" ca="1" si="431"/>
        <v>0</v>
      </c>
      <c r="BH374" s="771">
        <f t="shared" ca="1" si="432"/>
        <v>0</v>
      </c>
      <c r="BI374" s="776">
        <f t="shared" ca="1" si="433"/>
        <v>0</v>
      </c>
      <c r="BJ374" s="776">
        <f t="shared" ca="1" si="434"/>
        <v>0</v>
      </c>
      <c r="BK374" s="776">
        <f t="shared" ca="1" si="435"/>
        <v>0</v>
      </c>
      <c r="BL374" s="776">
        <f t="shared" ca="1" si="436"/>
        <v>0</v>
      </c>
      <c r="BM374" s="135"/>
      <c r="BN374" s="776">
        <f t="shared" ca="1" si="437"/>
        <v>0</v>
      </c>
      <c r="BO374" s="778">
        <f t="shared" ca="1" si="374"/>
        <v>0</v>
      </c>
      <c r="BP374" s="770">
        <f t="shared" ca="1" si="375"/>
        <v>0</v>
      </c>
      <c r="BQ374" s="771">
        <f t="shared" ca="1" si="376"/>
        <v>0</v>
      </c>
      <c r="BR374" s="771">
        <f t="shared" ca="1" si="377"/>
        <v>0</v>
      </c>
      <c r="BS374" s="776">
        <f t="shared" ca="1" si="438"/>
        <v>0</v>
      </c>
      <c r="BT374" s="776">
        <f t="shared" ca="1" si="378"/>
        <v>0</v>
      </c>
      <c r="BU374" s="783">
        <f t="shared" ca="1" si="379"/>
        <v>0</v>
      </c>
      <c r="BV374" s="783">
        <f t="shared" ca="1" si="380"/>
        <v>0</v>
      </c>
      <c r="BW374" s="1019">
        <f t="shared" ca="1" si="439"/>
        <v>0</v>
      </c>
      <c r="BX374" s="771" cm="1">
        <f t="array" aca="1" ref="BX374" ca="1">INDIRECT("'Definition of Typical Day'!"&amp; ADDRESS($D374+29*(BX$16-1),$E374))</f>
        <v>0</v>
      </c>
      <c r="BY374" s="771">
        <f t="shared" ca="1" si="440"/>
        <v>0</v>
      </c>
      <c r="BZ374" s="781">
        <f t="shared" ca="1" si="381"/>
        <v>0</v>
      </c>
      <c r="CA374" s="781">
        <f t="shared" ca="1" si="382"/>
        <v>0</v>
      </c>
      <c r="CB374" s="776">
        <f t="shared" ca="1" si="383"/>
        <v>0</v>
      </c>
      <c r="CC374" s="782">
        <f t="shared" si="384"/>
        <v>15</v>
      </c>
      <c r="CD374" s="782">
        <f t="shared" si="385"/>
        <v>18</v>
      </c>
      <c r="CE374" s="784" cm="1">
        <f t="array" aca="1" ref="CE374" ca="1">INDIRECT("'Definition of Typical Day'!"&amp;ADDRESS(CE$16,$E374))</f>
        <v>15</v>
      </c>
      <c r="CF374" s="232"/>
      <c r="CG374" s="232"/>
      <c r="CH374" s="776">
        <f t="shared" ca="1" si="386"/>
        <v>0</v>
      </c>
      <c r="CI374" s="806">
        <f t="shared" ca="1" si="387"/>
        <v>0</v>
      </c>
      <c r="CJ374" s="770">
        <f t="shared" ca="1" si="388"/>
        <v>0</v>
      </c>
      <c r="CK374" s="771">
        <f t="shared" ca="1" si="389"/>
        <v>0</v>
      </c>
      <c r="CL374" s="771">
        <f t="shared" ca="1" si="390"/>
        <v>0</v>
      </c>
      <c r="CM374" s="772">
        <f t="shared" ca="1" si="391"/>
        <v>0</v>
      </c>
      <c r="CN374" s="135"/>
      <c r="CO374" s="770">
        <f t="shared" ca="1" si="441"/>
        <v>1.05</v>
      </c>
      <c r="CP374" s="771">
        <f t="shared" ca="1" si="392"/>
        <v>0.02</v>
      </c>
      <c r="CQ374" s="771">
        <f t="shared" ca="1" si="393"/>
        <v>-2.5000000000000001E-2</v>
      </c>
      <c r="CR374" s="771">
        <f t="shared" ca="1" si="394"/>
        <v>0.95</v>
      </c>
      <c r="CS374" s="771">
        <f t="shared" ca="1" si="395"/>
        <v>0.03</v>
      </c>
      <c r="CT374" s="772">
        <f t="shared" ca="1" si="396"/>
        <v>0.02</v>
      </c>
      <c r="CU374" s="135"/>
      <c r="CV374" s="135"/>
      <c r="CW374" s="135"/>
      <c r="CX374" s="135"/>
      <c r="CY374" s="135"/>
      <c r="CZ374" s="135"/>
      <c r="DA374" s="135"/>
      <c r="DB374" s="135"/>
      <c r="DC374" s="135"/>
      <c r="DD374" s="135"/>
      <c r="DE374" s="135"/>
      <c r="DF374" s="135"/>
      <c r="DG374" s="135"/>
      <c r="DH374" s="135"/>
      <c r="DI374" s="135"/>
      <c r="DJ374" s="135"/>
      <c r="DK374" s="135"/>
      <c r="DL374" s="135"/>
      <c r="DX374" s="135"/>
      <c r="DY374" s="135"/>
      <c r="DZ374" s="135"/>
      <c r="EA374" s="135"/>
      <c r="EB374" s="135"/>
      <c r="EC374" s="135"/>
      <c r="ED374" s="135"/>
      <c r="EE374" s="135"/>
      <c r="EF374" s="135"/>
      <c r="EG374" s="135"/>
      <c r="EH374" s="135"/>
      <c r="EI374" s="135"/>
      <c r="EJ374" s="135"/>
      <c r="EK374" s="135"/>
      <c r="EL374" s="135"/>
      <c r="EM374" s="135"/>
      <c r="EN374" s="135"/>
      <c r="EO374" s="135"/>
      <c r="EP374" s="135"/>
      <c r="EQ374" s="135"/>
      <c r="ER374" s="135"/>
      <c r="ES374" s="135"/>
      <c r="ET374" s="135"/>
      <c r="EU374" s="135"/>
      <c r="EV374" s="135"/>
      <c r="EW374" s="135"/>
      <c r="EX374" s="135"/>
      <c r="EY374" s="135"/>
      <c r="EZ374" s="135"/>
      <c r="FA374" s="135"/>
      <c r="FB374" s="135"/>
      <c r="FC374" s="135"/>
      <c r="FD374" s="135"/>
      <c r="FE374" s="135"/>
      <c r="FF374" s="135"/>
      <c r="FG374" s="135"/>
    </row>
    <row r="375" spans="1:163" s="57" customFormat="1" ht="11.25" outlineLevel="1">
      <c r="A375" s="765">
        <f t="shared" si="442"/>
        <v>15</v>
      </c>
      <c r="B375" s="715" cm="1">
        <f t="array" aca="1" ref="B375" ca="1">INDIRECT("'Definition of Typical Day'!"&amp;ADDRESS(B$16,$E375))</f>
        <v>15</v>
      </c>
      <c r="C375" s="766">
        <f t="shared" si="443"/>
        <v>19</v>
      </c>
      <c r="D375" s="715">
        <f t="shared" si="443"/>
        <v>53</v>
      </c>
      <c r="E375" s="715">
        <f t="shared" si="371"/>
        <v>19</v>
      </c>
      <c r="F375" s="767" cm="1">
        <f t="array" aca="1" ref="F375" ca="1">INDIRECT("'Definition of Typical Day'!D"&amp;D375)</f>
        <v>19</v>
      </c>
      <c r="G375" s="767" cm="1">
        <f t="array" aca="1" ref="G375" ca="1">INDIRECT("'Definition of Typical Day'!"&amp;ADDRESS(13,E375))</f>
        <v>15</v>
      </c>
      <c r="H375" s="768" cm="1">
        <f t="array" aca="1" ref="H375" ca="1">INDIRECT("'Definition of Typical Day'!"&amp; ADDRESS($D375+28*(H$16-1),$E375))</f>
        <v>0</v>
      </c>
      <c r="I375" s="715" cm="1">
        <f t="array" aca="1" ref="I375" ca="1">INDIRECT("'Definition of Typical Day'!"&amp; ADDRESS($D375+29*(I$16-1),$E375))</f>
        <v>0</v>
      </c>
      <c r="J375" s="715">
        <f t="shared" ca="1" si="397"/>
        <v>0</v>
      </c>
      <c r="K375" s="785">
        <f t="shared" si="398"/>
        <v>28</v>
      </c>
      <c r="L375" s="786" cm="1">
        <f t="array" aca="1" ref="L375" ca="1">INDIRECT("'Definition of Typical Day'!"&amp; ADDRESS($D375+29*(L$16-1),$E375))</f>
        <v>0</v>
      </c>
      <c r="M375" s="768" cm="1">
        <f t="array" aca="1" ref="M375" ca="1">INDIRECT("'Definition of Typical Day'!"&amp; ADDRESS($D375+29*(M$16-1),$E375))</f>
        <v>0</v>
      </c>
      <c r="N375" s="715">
        <f t="shared" si="399"/>
        <v>3</v>
      </c>
      <c r="O375" s="715">
        <f t="shared" ca="1" si="400"/>
        <v>3</v>
      </c>
      <c r="P375" s="715" cm="1">
        <f t="array" aca="1" ref="P375" ca="1">INDIRECT("'Definition of Typical Day'!"&amp; ADDRESS($D375+29*(P$16-1),$E375))</f>
        <v>0</v>
      </c>
      <c r="Q375" s="787">
        <f t="shared" ca="1" si="401"/>
        <v>3</v>
      </c>
      <c r="R375" s="792">
        <f t="shared" ca="1" si="402"/>
        <v>3</v>
      </c>
      <c r="S375" s="769">
        <f t="shared" si="403"/>
        <v>3</v>
      </c>
      <c r="T375" s="769">
        <f t="shared" ca="1" si="404"/>
        <v>-0.5</v>
      </c>
      <c r="U375" s="769">
        <f t="shared" ca="1" si="405"/>
        <v>2.262</v>
      </c>
      <c r="V375" s="769">
        <f t="shared" ca="1" si="406"/>
        <v>0</v>
      </c>
      <c r="W375" s="769">
        <f t="shared" ca="1" si="407"/>
        <v>4.7620000000000005</v>
      </c>
      <c r="X375" s="794">
        <f t="shared" si="408"/>
        <v>3</v>
      </c>
      <c r="Y375" s="769">
        <f t="shared" ca="1" si="409"/>
        <v>0.54772255750516607</v>
      </c>
      <c r="Z375" s="769">
        <f t="shared" ca="1" si="410"/>
        <v>0</v>
      </c>
      <c r="AA375" s="795">
        <f t="shared" ca="1" si="411"/>
        <v>0</v>
      </c>
      <c r="AB375" s="769">
        <f t="shared" ca="1" si="412"/>
        <v>0</v>
      </c>
      <c r="AC375" s="769">
        <f t="shared" ca="1" si="413"/>
        <v>0</v>
      </c>
      <c r="AD375" s="769">
        <f t="shared" ca="1" si="414"/>
        <v>0</v>
      </c>
      <c r="AE375" s="794">
        <f t="shared" ca="1" si="415"/>
        <v>0</v>
      </c>
      <c r="AF375" s="769">
        <f t="shared" ca="1" si="416"/>
        <v>0</v>
      </c>
      <c r="AG375" s="769">
        <f t="shared" ca="1" si="417"/>
        <v>0</v>
      </c>
      <c r="AH375" s="799">
        <f t="shared" ca="1" si="418"/>
        <v>0</v>
      </c>
      <c r="AI375" s="801">
        <f t="shared" ca="1" si="419"/>
        <v>1</v>
      </c>
      <c r="AJ375" s="794">
        <f t="shared" ca="1" si="420"/>
        <v>0</v>
      </c>
      <c r="AK375" s="769">
        <f t="shared" ca="1" si="421"/>
        <v>0</v>
      </c>
      <c r="AL375" s="769">
        <f t="shared" ca="1" si="422"/>
        <v>0</v>
      </c>
      <c r="AM375" s="804">
        <f t="shared" ca="1" si="372"/>
        <v>0</v>
      </c>
      <c r="AN375" s="795">
        <f t="shared" ca="1" si="373"/>
        <v>0</v>
      </c>
      <c r="AO375" s="251"/>
      <c r="AP375" s="770">
        <f t="shared" si="423"/>
        <v>0</v>
      </c>
      <c r="AQ375" s="771">
        <f t="shared" ca="1" si="424"/>
        <v>0</v>
      </c>
      <c r="AR375" s="771">
        <f t="shared" ca="1" si="425"/>
        <v>0</v>
      </c>
      <c r="AS375" s="772">
        <f t="shared" ca="1" si="426"/>
        <v>0</v>
      </c>
      <c r="AT375" s="231"/>
      <c r="AU375" s="770">
        <f>'Main Results - IRR DC Operator'!$F$16</f>
        <v>2</v>
      </c>
      <c r="AV375" s="773">
        <f>'Main Results - IRR DC Operator'!$F$15</f>
        <v>1</v>
      </c>
      <c r="AW375" s="771">
        <f t="shared" ca="1" si="427"/>
        <v>0</v>
      </c>
      <c r="AX375" s="772">
        <f t="shared" si="428"/>
        <v>0</v>
      </c>
      <c r="AY375" s="231"/>
      <c r="AZ375" s="770" cm="1">
        <f t="array" aca="1" ref="AZ375" ca="1">INDIRECT("'Definition of Typical Day'!"&amp; ADDRESS($D375+29*(AZ$16-1),$E375))+$AZ$17</f>
        <v>11</v>
      </c>
      <c r="BA375" s="771" cm="1">
        <f t="array" aca="1" ref="BA375" ca="1">INDIRECT("'Definition of Typical Day'!"&amp; ADDRESS($D375+29*(BA$16-1),$E375))+$BA$17</f>
        <v>11</v>
      </c>
      <c r="BB375" s="772" cm="1">
        <f t="array" aca="1" ref="BB375" ca="1">INDIRECT("'Definition of Typical Day'!"&amp;ADDRESS(BB$16,$E375))</f>
        <v>0</v>
      </c>
      <c r="BC375" s="776" cm="1">
        <f t="array" aca="1" ref="BC375" ca="1">INDIRECT("'Definition of Typical Day'!"&amp; ADDRESS($D375+29*(BC$16-1),$E375))</f>
        <v>0</v>
      </c>
      <c r="BD375" s="777" cm="1">
        <f t="array" aca="1" ref="BD375" ca="1">INDIRECT("'Definition of Typical Day'!"&amp; ADDRESS($D375+29*(BD$16-1),$E375))</f>
        <v>0</v>
      </c>
      <c r="BE375" s="776">
        <f t="shared" si="429"/>
        <v>0</v>
      </c>
      <c r="BF375" s="771">
        <f t="shared" ca="1" si="430"/>
        <v>0</v>
      </c>
      <c r="BG375" s="771">
        <f t="shared" ca="1" si="431"/>
        <v>0</v>
      </c>
      <c r="BH375" s="771">
        <f t="shared" ca="1" si="432"/>
        <v>0</v>
      </c>
      <c r="BI375" s="776">
        <f t="shared" ca="1" si="433"/>
        <v>0</v>
      </c>
      <c r="BJ375" s="776">
        <f t="shared" ca="1" si="434"/>
        <v>0</v>
      </c>
      <c r="BK375" s="776">
        <f t="shared" ca="1" si="435"/>
        <v>0</v>
      </c>
      <c r="BL375" s="776">
        <f t="shared" ca="1" si="436"/>
        <v>0</v>
      </c>
      <c r="BM375" s="135"/>
      <c r="BN375" s="776">
        <f t="shared" ca="1" si="437"/>
        <v>0</v>
      </c>
      <c r="BO375" s="778">
        <f t="shared" ca="1" si="374"/>
        <v>0</v>
      </c>
      <c r="BP375" s="770">
        <f t="shared" ca="1" si="375"/>
        <v>0</v>
      </c>
      <c r="BQ375" s="771">
        <f t="shared" ca="1" si="376"/>
        <v>0</v>
      </c>
      <c r="BR375" s="771">
        <f t="shared" ca="1" si="377"/>
        <v>0</v>
      </c>
      <c r="BS375" s="776">
        <f t="shared" ca="1" si="438"/>
        <v>0</v>
      </c>
      <c r="BT375" s="776">
        <f t="shared" ca="1" si="378"/>
        <v>0</v>
      </c>
      <c r="BU375" s="783">
        <f t="shared" ca="1" si="379"/>
        <v>0</v>
      </c>
      <c r="BV375" s="783">
        <f t="shared" ca="1" si="380"/>
        <v>0</v>
      </c>
      <c r="BW375" s="1019">
        <f t="shared" ca="1" si="439"/>
        <v>0</v>
      </c>
      <c r="BX375" s="771" cm="1">
        <f t="array" aca="1" ref="BX375" ca="1">INDIRECT("'Definition of Typical Day'!"&amp; ADDRESS($D375+29*(BX$16-1),$E375))</f>
        <v>0</v>
      </c>
      <c r="BY375" s="771">
        <f t="shared" ca="1" si="440"/>
        <v>0</v>
      </c>
      <c r="BZ375" s="781">
        <f t="shared" ca="1" si="381"/>
        <v>0</v>
      </c>
      <c r="CA375" s="781">
        <f t="shared" ca="1" si="382"/>
        <v>0</v>
      </c>
      <c r="CB375" s="776">
        <f t="shared" ca="1" si="383"/>
        <v>0</v>
      </c>
      <c r="CC375" s="782">
        <f t="shared" si="384"/>
        <v>15</v>
      </c>
      <c r="CD375" s="782">
        <f t="shared" si="385"/>
        <v>19</v>
      </c>
      <c r="CE375" s="784" cm="1">
        <f t="array" aca="1" ref="CE375" ca="1">INDIRECT("'Definition of Typical Day'!"&amp;ADDRESS(CE$16,$E375))</f>
        <v>15</v>
      </c>
      <c r="CF375" s="232"/>
      <c r="CG375" s="232"/>
      <c r="CH375" s="776">
        <f t="shared" ca="1" si="386"/>
        <v>0</v>
      </c>
      <c r="CI375" s="806">
        <f t="shared" ca="1" si="387"/>
        <v>0</v>
      </c>
      <c r="CJ375" s="770">
        <f t="shared" ca="1" si="388"/>
        <v>0</v>
      </c>
      <c r="CK375" s="771">
        <f t="shared" ca="1" si="389"/>
        <v>0</v>
      </c>
      <c r="CL375" s="771">
        <f t="shared" ca="1" si="390"/>
        <v>0</v>
      </c>
      <c r="CM375" s="772">
        <f t="shared" ca="1" si="391"/>
        <v>0</v>
      </c>
      <c r="CN375" s="135"/>
      <c r="CO375" s="770">
        <f t="shared" ca="1" si="441"/>
        <v>1.05</v>
      </c>
      <c r="CP375" s="771">
        <f t="shared" ca="1" si="392"/>
        <v>0.02</v>
      </c>
      <c r="CQ375" s="771">
        <f t="shared" ca="1" si="393"/>
        <v>-2.5000000000000001E-2</v>
      </c>
      <c r="CR375" s="771">
        <f t="shared" ca="1" si="394"/>
        <v>0.95</v>
      </c>
      <c r="CS375" s="771">
        <f t="shared" ca="1" si="395"/>
        <v>0.03</v>
      </c>
      <c r="CT375" s="772">
        <f t="shared" ca="1" si="396"/>
        <v>0.02</v>
      </c>
      <c r="CU375" s="135"/>
      <c r="CV375" s="135"/>
      <c r="CW375" s="135"/>
      <c r="CX375" s="135"/>
      <c r="CY375" s="135"/>
      <c r="CZ375" s="135"/>
      <c r="DA375" s="135"/>
      <c r="DB375" s="135"/>
      <c r="DC375" s="135"/>
      <c r="DD375" s="135"/>
      <c r="DE375" s="135"/>
      <c r="DF375" s="135"/>
      <c r="DG375" s="135"/>
      <c r="DH375" s="135"/>
      <c r="DI375" s="135"/>
      <c r="DJ375" s="135"/>
      <c r="DK375" s="135"/>
      <c r="DL375" s="135"/>
      <c r="DX375" s="135"/>
      <c r="DY375" s="135"/>
      <c r="DZ375" s="135"/>
      <c r="EA375" s="135"/>
      <c r="EB375" s="135"/>
      <c r="EC375" s="135"/>
      <c r="ED375" s="135"/>
      <c r="EE375" s="135"/>
      <c r="EF375" s="135"/>
      <c r="EG375" s="135"/>
      <c r="EH375" s="135"/>
      <c r="EI375" s="135"/>
      <c r="EJ375" s="135"/>
      <c r="EK375" s="135"/>
      <c r="EL375" s="135"/>
      <c r="EM375" s="135"/>
      <c r="EN375" s="135"/>
      <c r="EO375" s="135"/>
      <c r="EP375" s="135"/>
      <c r="EQ375" s="135"/>
      <c r="ER375" s="135"/>
      <c r="ES375" s="135"/>
      <c r="ET375" s="135"/>
      <c r="EU375" s="135"/>
      <c r="EV375" s="135"/>
      <c r="EW375" s="135"/>
      <c r="EX375" s="135"/>
      <c r="EY375" s="135"/>
      <c r="EZ375" s="135"/>
      <c r="FA375" s="135"/>
      <c r="FB375" s="135"/>
      <c r="FC375" s="135"/>
      <c r="FD375" s="135"/>
      <c r="FE375" s="135"/>
      <c r="FF375" s="135"/>
      <c r="FG375" s="135"/>
    </row>
    <row r="376" spans="1:163" s="57" customFormat="1" ht="11.25" outlineLevel="1">
      <c r="A376" s="765">
        <f t="shared" si="442"/>
        <v>15</v>
      </c>
      <c r="B376" s="715" cm="1">
        <f t="array" aca="1" ref="B376" ca="1">INDIRECT("'Definition of Typical Day'!"&amp;ADDRESS(B$16,$E376))</f>
        <v>15</v>
      </c>
      <c r="C376" s="766">
        <f t="shared" si="443"/>
        <v>20</v>
      </c>
      <c r="D376" s="715">
        <f t="shared" si="443"/>
        <v>54</v>
      </c>
      <c r="E376" s="715">
        <f t="shared" si="371"/>
        <v>19</v>
      </c>
      <c r="F376" s="767" cm="1">
        <f t="array" aca="1" ref="F376" ca="1">INDIRECT("'Definition of Typical Day'!D"&amp;D376)</f>
        <v>20</v>
      </c>
      <c r="G376" s="767" cm="1">
        <f t="array" aca="1" ref="G376" ca="1">INDIRECT("'Definition of Typical Day'!"&amp;ADDRESS(13,E376))</f>
        <v>15</v>
      </c>
      <c r="H376" s="768" cm="1">
        <f t="array" aca="1" ref="H376" ca="1">INDIRECT("'Definition of Typical Day'!"&amp; ADDRESS($D376+28*(H$16-1),$E376))</f>
        <v>0</v>
      </c>
      <c r="I376" s="715" cm="1">
        <f t="array" aca="1" ref="I376" ca="1">INDIRECT("'Definition of Typical Day'!"&amp; ADDRESS($D376+29*(I$16-1),$E376))</f>
        <v>0</v>
      </c>
      <c r="J376" s="715">
        <f t="shared" ca="1" si="397"/>
        <v>0</v>
      </c>
      <c r="K376" s="785">
        <f t="shared" si="398"/>
        <v>28</v>
      </c>
      <c r="L376" s="786" cm="1">
        <f t="array" aca="1" ref="L376" ca="1">INDIRECT("'Definition of Typical Day'!"&amp; ADDRESS($D376+29*(L$16-1),$E376))</f>
        <v>0</v>
      </c>
      <c r="M376" s="768" cm="1">
        <f t="array" aca="1" ref="M376" ca="1">INDIRECT("'Definition of Typical Day'!"&amp; ADDRESS($D376+29*(M$16-1),$E376))</f>
        <v>0</v>
      </c>
      <c r="N376" s="715">
        <f t="shared" si="399"/>
        <v>3</v>
      </c>
      <c r="O376" s="715">
        <f t="shared" ca="1" si="400"/>
        <v>3</v>
      </c>
      <c r="P376" s="715" cm="1">
        <f t="array" aca="1" ref="P376" ca="1">INDIRECT("'Definition of Typical Day'!"&amp; ADDRESS($D376+29*(P$16-1),$E376))</f>
        <v>0</v>
      </c>
      <c r="Q376" s="787">
        <f t="shared" ca="1" si="401"/>
        <v>3</v>
      </c>
      <c r="R376" s="792">
        <f t="shared" ca="1" si="402"/>
        <v>3</v>
      </c>
      <c r="S376" s="769">
        <f t="shared" si="403"/>
        <v>3</v>
      </c>
      <c r="T376" s="769">
        <f t="shared" ca="1" si="404"/>
        <v>-0.5</v>
      </c>
      <c r="U376" s="769">
        <f t="shared" ca="1" si="405"/>
        <v>2.262</v>
      </c>
      <c r="V376" s="769">
        <f t="shared" ca="1" si="406"/>
        <v>0</v>
      </c>
      <c r="W376" s="769">
        <f t="shared" ca="1" si="407"/>
        <v>4.7620000000000005</v>
      </c>
      <c r="X376" s="794">
        <f t="shared" si="408"/>
        <v>3</v>
      </c>
      <c r="Y376" s="769">
        <f t="shared" ca="1" si="409"/>
        <v>0.54772255750516607</v>
      </c>
      <c r="Z376" s="769">
        <f t="shared" ca="1" si="410"/>
        <v>0</v>
      </c>
      <c r="AA376" s="795">
        <f t="shared" ca="1" si="411"/>
        <v>0</v>
      </c>
      <c r="AB376" s="769">
        <f t="shared" ca="1" si="412"/>
        <v>0</v>
      </c>
      <c r="AC376" s="769">
        <f t="shared" ca="1" si="413"/>
        <v>0</v>
      </c>
      <c r="AD376" s="769">
        <f t="shared" ca="1" si="414"/>
        <v>0</v>
      </c>
      <c r="AE376" s="794">
        <f t="shared" ca="1" si="415"/>
        <v>0</v>
      </c>
      <c r="AF376" s="769">
        <f t="shared" ca="1" si="416"/>
        <v>0</v>
      </c>
      <c r="AG376" s="769">
        <f t="shared" ca="1" si="417"/>
        <v>0</v>
      </c>
      <c r="AH376" s="799">
        <f t="shared" ca="1" si="418"/>
        <v>0</v>
      </c>
      <c r="AI376" s="801">
        <f t="shared" ca="1" si="419"/>
        <v>1</v>
      </c>
      <c r="AJ376" s="794">
        <f t="shared" ca="1" si="420"/>
        <v>0</v>
      </c>
      <c r="AK376" s="769">
        <f t="shared" ca="1" si="421"/>
        <v>0</v>
      </c>
      <c r="AL376" s="769">
        <f t="shared" ca="1" si="422"/>
        <v>0</v>
      </c>
      <c r="AM376" s="804">
        <f t="shared" ca="1" si="372"/>
        <v>0</v>
      </c>
      <c r="AN376" s="795">
        <f t="shared" ca="1" si="373"/>
        <v>0</v>
      </c>
      <c r="AO376" s="251"/>
      <c r="AP376" s="770">
        <f t="shared" si="423"/>
        <v>0</v>
      </c>
      <c r="AQ376" s="771">
        <f t="shared" ca="1" si="424"/>
        <v>0</v>
      </c>
      <c r="AR376" s="771">
        <f t="shared" ca="1" si="425"/>
        <v>0</v>
      </c>
      <c r="AS376" s="772">
        <f t="shared" ca="1" si="426"/>
        <v>0</v>
      </c>
      <c r="AT376" s="231"/>
      <c r="AU376" s="770">
        <f>'Main Results - IRR DC Operator'!$F$16</f>
        <v>2</v>
      </c>
      <c r="AV376" s="773">
        <f>'Main Results - IRR DC Operator'!$F$15</f>
        <v>1</v>
      </c>
      <c r="AW376" s="771">
        <f t="shared" ca="1" si="427"/>
        <v>0</v>
      </c>
      <c r="AX376" s="772">
        <f t="shared" si="428"/>
        <v>0</v>
      </c>
      <c r="AY376" s="231"/>
      <c r="AZ376" s="770" cm="1">
        <f t="array" aca="1" ref="AZ376" ca="1">INDIRECT("'Definition of Typical Day'!"&amp; ADDRESS($D376+29*(AZ$16-1),$E376))+$AZ$17</f>
        <v>11</v>
      </c>
      <c r="BA376" s="771" cm="1">
        <f t="array" aca="1" ref="BA376" ca="1">INDIRECT("'Definition of Typical Day'!"&amp; ADDRESS($D376+29*(BA$16-1),$E376))+$BA$17</f>
        <v>11</v>
      </c>
      <c r="BB376" s="772" cm="1">
        <f t="array" aca="1" ref="BB376" ca="1">INDIRECT("'Definition of Typical Day'!"&amp;ADDRESS(BB$16,$E376))</f>
        <v>0</v>
      </c>
      <c r="BC376" s="776" cm="1">
        <f t="array" aca="1" ref="BC376" ca="1">INDIRECT("'Definition of Typical Day'!"&amp; ADDRESS($D376+29*(BC$16-1),$E376))</f>
        <v>0</v>
      </c>
      <c r="BD376" s="777" cm="1">
        <f t="array" aca="1" ref="BD376" ca="1">INDIRECT("'Definition of Typical Day'!"&amp; ADDRESS($D376+29*(BD$16-1),$E376))</f>
        <v>0</v>
      </c>
      <c r="BE376" s="776">
        <f t="shared" si="429"/>
        <v>0</v>
      </c>
      <c r="BF376" s="771">
        <f t="shared" ca="1" si="430"/>
        <v>0</v>
      </c>
      <c r="BG376" s="771">
        <f t="shared" ca="1" si="431"/>
        <v>0</v>
      </c>
      <c r="BH376" s="771">
        <f t="shared" ca="1" si="432"/>
        <v>0</v>
      </c>
      <c r="BI376" s="776">
        <f t="shared" ca="1" si="433"/>
        <v>0</v>
      </c>
      <c r="BJ376" s="776">
        <f t="shared" ca="1" si="434"/>
        <v>0</v>
      </c>
      <c r="BK376" s="776">
        <f t="shared" ca="1" si="435"/>
        <v>0</v>
      </c>
      <c r="BL376" s="776">
        <f t="shared" ca="1" si="436"/>
        <v>0</v>
      </c>
      <c r="BM376" s="135"/>
      <c r="BN376" s="776">
        <f t="shared" ca="1" si="437"/>
        <v>0</v>
      </c>
      <c r="BO376" s="778">
        <f t="shared" ca="1" si="374"/>
        <v>0</v>
      </c>
      <c r="BP376" s="770">
        <f t="shared" ca="1" si="375"/>
        <v>0</v>
      </c>
      <c r="BQ376" s="771">
        <f t="shared" ca="1" si="376"/>
        <v>0</v>
      </c>
      <c r="BR376" s="771">
        <f t="shared" ca="1" si="377"/>
        <v>0</v>
      </c>
      <c r="BS376" s="776">
        <f t="shared" ca="1" si="438"/>
        <v>0</v>
      </c>
      <c r="BT376" s="776">
        <f t="shared" ca="1" si="378"/>
        <v>0</v>
      </c>
      <c r="BU376" s="783">
        <f t="shared" ca="1" si="379"/>
        <v>0</v>
      </c>
      <c r="BV376" s="783">
        <f t="shared" ca="1" si="380"/>
        <v>0</v>
      </c>
      <c r="BW376" s="1019">
        <f t="shared" ca="1" si="439"/>
        <v>0</v>
      </c>
      <c r="BX376" s="771" cm="1">
        <f t="array" aca="1" ref="BX376" ca="1">INDIRECT("'Definition of Typical Day'!"&amp; ADDRESS($D376+29*(BX$16-1),$E376))</f>
        <v>0</v>
      </c>
      <c r="BY376" s="771">
        <f t="shared" ca="1" si="440"/>
        <v>0</v>
      </c>
      <c r="BZ376" s="781">
        <f t="shared" ca="1" si="381"/>
        <v>0</v>
      </c>
      <c r="CA376" s="781">
        <f t="shared" ca="1" si="382"/>
        <v>0</v>
      </c>
      <c r="CB376" s="776">
        <f t="shared" ca="1" si="383"/>
        <v>0</v>
      </c>
      <c r="CC376" s="782">
        <f t="shared" si="384"/>
        <v>15</v>
      </c>
      <c r="CD376" s="782">
        <f t="shared" si="385"/>
        <v>20</v>
      </c>
      <c r="CE376" s="784" cm="1">
        <f t="array" aca="1" ref="CE376" ca="1">INDIRECT("'Definition of Typical Day'!"&amp;ADDRESS(CE$16,$E376))</f>
        <v>15</v>
      </c>
      <c r="CF376" s="232"/>
      <c r="CG376" s="232"/>
      <c r="CH376" s="776">
        <f t="shared" ca="1" si="386"/>
        <v>0</v>
      </c>
      <c r="CI376" s="806">
        <f t="shared" ca="1" si="387"/>
        <v>0</v>
      </c>
      <c r="CJ376" s="770">
        <f t="shared" ca="1" si="388"/>
        <v>0</v>
      </c>
      <c r="CK376" s="771">
        <f t="shared" ca="1" si="389"/>
        <v>0</v>
      </c>
      <c r="CL376" s="771">
        <f t="shared" ca="1" si="390"/>
        <v>0</v>
      </c>
      <c r="CM376" s="772">
        <f t="shared" ca="1" si="391"/>
        <v>0</v>
      </c>
      <c r="CN376" s="135"/>
      <c r="CO376" s="770">
        <f t="shared" ca="1" si="441"/>
        <v>1.05</v>
      </c>
      <c r="CP376" s="771">
        <f t="shared" ca="1" si="392"/>
        <v>0.02</v>
      </c>
      <c r="CQ376" s="771">
        <f t="shared" ca="1" si="393"/>
        <v>-2.5000000000000001E-2</v>
      </c>
      <c r="CR376" s="771">
        <f t="shared" ca="1" si="394"/>
        <v>0.95</v>
      </c>
      <c r="CS376" s="771">
        <f t="shared" ca="1" si="395"/>
        <v>0.03</v>
      </c>
      <c r="CT376" s="772">
        <f t="shared" ca="1" si="396"/>
        <v>0.02</v>
      </c>
      <c r="CU376" s="135"/>
      <c r="CV376" s="135"/>
      <c r="CW376" s="135"/>
      <c r="CX376" s="135"/>
      <c r="CY376" s="135"/>
      <c r="CZ376" s="135"/>
      <c r="DA376" s="135"/>
      <c r="DB376" s="135"/>
      <c r="DC376" s="135"/>
      <c r="DD376" s="135"/>
      <c r="DE376" s="135"/>
      <c r="DF376" s="135"/>
      <c r="DG376" s="135"/>
      <c r="DH376" s="135"/>
      <c r="DI376" s="135"/>
      <c r="DJ376" s="135"/>
      <c r="DK376" s="135"/>
      <c r="DL376" s="135"/>
      <c r="DX376" s="135"/>
      <c r="DY376" s="135"/>
      <c r="DZ376" s="135"/>
      <c r="EA376" s="135"/>
      <c r="EB376" s="135"/>
      <c r="EC376" s="135"/>
      <c r="ED376" s="135"/>
      <c r="EE376" s="135"/>
      <c r="EF376" s="135"/>
      <c r="EG376" s="135"/>
      <c r="EH376" s="135"/>
      <c r="EI376" s="135"/>
      <c r="EJ376" s="135"/>
      <c r="EK376" s="135"/>
      <c r="EL376" s="135"/>
      <c r="EM376" s="135"/>
      <c r="EN376" s="135"/>
      <c r="EO376" s="135"/>
      <c r="EP376" s="135"/>
      <c r="EQ376" s="135"/>
      <c r="ER376" s="135"/>
      <c r="ES376" s="135"/>
      <c r="ET376" s="135"/>
      <c r="EU376" s="135"/>
      <c r="EV376" s="135"/>
      <c r="EW376" s="135"/>
      <c r="EX376" s="135"/>
      <c r="EY376" s="135"/>
      <c r="EZ376" s="135"/>
      <c r="FA376" s="135"/>
      <c r="FB376" s="135"/>
      <c r="FC376" s="135"/>
      <c r="FD376" s="135"/>
      <c r="FE376" s="135"/>
      <c r="FF376" s="135"/>
      <c r="FG376" s="135"/>
    </row>
    <row r="377" spans="1:163" s="57" customFormat="1" ht="11.25" outlineLevel="1">
      <c r="A377" s="765">
        <f t="shared" si="442"/>
        <v>15</v>
      </c>
      <c r="B377" s="715" cm="1">
        <f t="array" aca="1" ref="B377" ca="1">INDIRECT("'Definition of Typical Day'!"&amp;ADDRESS(B$16,$E377))</f>
        <v>15</v>
      </c>
      <c r="C377" s="766">
        <f t="shared" si="443"/>
        <v>21</v>
      </c>
      <c r="D377" s="715">
        <f t="shared" si="443"/>
        <v>55</v>
      </c>
      <c r="E377" s="715">
        <f t="shared" si="371"/>
        <v>19</v>
      </c>
      <c r="F377" s="767" cm="1">
        <f t="array" aca="1" ref="F377" ca="1">INDIRECT("'Definition of Typical Day'!D"&amp;D377)</f>
        <v>21</v>
      </c>
      <c r="G377" s="767" cm="1">
        <f t="array" aca="1" ref="G377" ca="1">INDIRECT("'Definition of Typical Day'!"&amp;ADDRESS(13,E377))</f>
        <v>15</v>
      </c>
      <c r="H377" s="768" cm="1">
        <f t="array" aca="1" ref="H377" ca="1">INDIRECT("'Definition of Typical Day'!"&amp; ADDRESS($D377+28*(H$16-1),$E377))</f>
        <v>0</v>
      </c>
      <c r="I377" s="715" cm="1">
        <f t="array" aca="1" ref="I377" ca="1">INDIRECT("'Definition of Typical Day'!"&amp; ADDRESS($D377+29*(I$16-1),$E377))</f>
        <v>0</v>
      </c>
      <c r="J377" s="715">
        <f t="shared" ca="1" si="397"/>
        <v>0</v>
      </c>
      <c r="K377" s="785">
        <f t="shared" si="398"/>
        <v>28</v>
      </c>
      <c r="L377" s="786" cm="1">
        <f t="array" aca="1" ref="L377" ca="1">INDIRECT("'Definition of Typical Day'!"&amp; ADDRESS($D377+29*(L$16-1),$E377))</f>
        <v>0</v>
      </c>
      <c r="M377" s="768" cm="1">
        <f t="array" aca="1" ref="M377" ca="1">INDIRECT("'Definition of Typical Day'!"&amp; ADDRESS($D377+29*(M$16-1),$E377))</f>
        <v>0</v>
      </c>
      <c r="N377" s="715">
        <f t="shared" si="399"/>
        <v>3</v>
      </c>
      <c r="O377" s="715">
        <f t="shared" ca="1" si="400"/>
        <v>3</v>
      </c>
      <c r="P377" s="715" cm="1">
        <f t="array" aca="1" ref="P377" ca="1">INDIRECT("'Definition of Typical Day'!"&amp; ADDRESS($D377+29*(P$16-1),$E377))</f>
        <v>0</v>
      </c>
      <c r="Q377" s="787">
        <f t="shared" ca="1" si="401"/>
        <v>3</v>
      </c>
      <c r="R377" s="792">
        <f t="shared" ca="1" si="402"/>
        <v>3</v>
      </c>
      <c r="S377" s="769">
        <f t="shared" si="403"/>
        <v>3</v>
      </c>
      <c r="T377" s="769">
        <f t="shared" ca="1" si="404"/>
        <v>-0.5</v>
      </c>
      <c r="U377" s="769">
        <f t="shared" ca="1" si="405"/>
        <v>2.262</v>
      </c>
      <c r="V377" s="769">
        <f t="shared" ca="1" si="406"/>
        <v>0</v>
      </c>
      <c r="W377" s="769">
        <f t="shared" ca="1" si="407"/>
        <v>4.7620000000000005</v>
      </c>
      <c r="X377" s="794">
        <f t="shared" si="408"/>
        <v>3</v>
      </c>
      <c r="Y377" s="769">
        <f t="shared" ca="1" si="409"/>
        <v>0.54772255750516607</v>
      </c>
      <c r="Z377" s="769">
        <f t="shared" ca="1" si="410"/>
        <v>0</v>
      </c>
      <c r="AA377" s="795">
        <f t="shared" ca="1" si="411"/>
        <v>0</v>
      </c>
      <c r="AB377" s="769">
        <f t="shared" ca="1" si="412"/>
        <v>0</v>
      </c>
      <c r="AC377" s="769">
        <f t="shared" ca="1" si="413"/>
        <v>0</v>
      </c>
      <c r="AD377" s="769">
        <f t="shared" ca="1" si="414"/>
        <v>0</v>
      </c>
      <c r="AE377" s="794">
        <f t="shared" ca="1" si="415"/>
        <v>0</v>
      </c>
      <c r="AF377" s="769">
        <f t="shared" ca="1" si="416"/>
        <v>0</v>
      </c>
      <c r="AG377" s="769">
        <f t="shared" ca="1" si="417"/>
        <v>0</v>
      </c>
      <c r="AH377" s="799">
        <f t="shared" ca="1" si="418"/>
        <v>0</v>
      </c>
      <c r="AI377" s="801">
        <f t="shared" ca="1" si="419"/>
        <v>1</v>
      </c>
      <c r="AJ377" s="794">
        <f t="shared" ca="1" si="420"/>
        <v>0</v>
      </c>
      <c r="AK377" s="769">
        <f t="shared" ca="1" si="421"/>
        <v>0</v>
      </c>
      <c r="AL377" s="769">
        <f t="shared" ca="1" si="422"/>
        <v>0</v>
      </c>
      <c r="AM377" s="804">
        <f t="shared" ca="1" si="372"/>
        <v>0</v>
      </c>
      <c r="AN377" s="795">
        <f t="shared" ca="1" si="373"/>
        <v>0</v>
      </c>
      <c r="AO377" s="251"/>
      <c r="AP377" s="770">
        <f t="shared" si="423"/>
        <v>0</v>
      </c>
      <c r="AQ377" s="771">
        <f t="shared" ca="1" si="424"/>
        <v>0</v>
      </c>
      <c r="AR377" s="771">
        <f t="shared" ca="1" si="425"/>
        <v>0</v>
      </c>
      <c r="AS377" s="772">
        <f t="shared" ca="1" si="426"/>
        <v>0</v>
      </c>
      <c r="AT377" s="231"/>
      <c r="AU377" s="770">
        <f>'Main Results - IRR DC Operator'!$F$16</f>
        <v>2</v>
      </c>
      <c r="AV377" s="773">
        <f>'Main Results - IRR DC Operator'!$F$15</f>
        <v>1</v>
      </c>
      <c r="AW377" s="771">
        <f t="shared" ca="1" si="427"/>
        <v>0</v>
      </c>
      <c r="AX377" s="772">
        <f t="shared" si="428"/>
        <v>0</v>
      </c>
      <c r="AY377" s="231"/>
      <c r="AZ377" s="770" cm="1">
        <f t="array" aca="1" ref="AZ377" ca="1">INDIRECT("'Definition of Typical Day'!"&amp; ADDRESS($D377+29*(AZ$16-1),$E377))+$AZ$17</f>
        <v>11</v>
      </c>
      <c r="BA377" s="771" cm="1">
        <f t="array" aca="1" ref="BA377" ca="1">INDIRECT("'Definition of Typical Day'!"&amp; ADDRESS($D377+29*(BA$16-1),$E377))+$BA$17</f>
        <v>11</v>
      </c>
      <c r="BB377" s="772" cm="1">
        <f t="array" aca="1" ref="BB377" ca="1">INDIRECT("'Definition of Typical Day'!"&amp;ADDRESS(BB$16,$E377))</f>
        <v>0</v>
      </c>
      <c r="BC377" s="776" cm="1">
        <f t="array" aca="1" ref="BC377" ca="1">INDIRECT("'Definition of Typical Day'!"&amp; ADDRESS($D377+29*(BC$16-1),$E377))</f>
        <v>0</v>
      </c>
      <c r="BD377" s="777" cm="1">
        <f t="array" aca="1" ref="BD377" ca="1">INDIRECT("'Definition of Typical Day'!"&amp; ADDRESS($D377+29*(BD$16-1),$E377))</f>
        <v>0</v>
      </c>
      <c r="BE377" s="776">
        <f t="shared" si="429"/>
        <v>0</v>
      </c>
      <c r="BF377" s="771">
        <f t="shared" ca="1" si="430"/>
        <v>0</v>
      </c>
      <c r="BG377" s="771">
        <f t="shared" ca="1" si="431"/>
        <v>0</v>
      </c>
      <c r="BH377" s="771">
        <f t="shared" ca="1" si="432"/>
        <v>0</v>
      </c>
      <c r="BI377" s="776">
        <f t="shared" ca="1" si="433"/>
        <v>0</v>
      </c>
      <c r="BJ377" s="776">
        <f t="shared" ca="1" si="434"/>
        <v>0</v>
      </c>
      <c r="BK377" s="776">
        <f t="shared" ca="1" si="435"/>
        <v>0</v>
      </c>
      <c r="BL377" s="776">
        <f t="shared" ca="1" si="436"/>
        <v>0</v>
      </c>
      <c r="BM377" s="135"/>
      <c r="BN377" s="776">
        <f t="shared" ca="1" si="437"/>
        <v>0</v>
      </c>
      <c r="BO377" s="778">
        <f t="shared" ca="1" si="374"/>
        <v>0</v>
      </c>
      <c r="BP377" s="770">
        <f t="shared" ca="1" si="375"/>
        <v>0</v>
      </c>
      <c r="BQ377" s="771">
        <f t="shared" ca="1" si="376"/>
        <v>0</v>
      </c>
      <c r="BR377" s="771">
        <f t="shared" ca="1" si="377"/>
        <v>0</v>
      </c>
      <c r="BS377" s="776">
        <f t="shared" ca="1" si="438"/>
        <v>0</v>
      </c>
      <c r="BT377" s="776">
        <f t="shared" ca="1" si="378"/>
        <v>0</v>
      </c>
      <c r="BU377" s="783">
        <f t="shared" ca="1" si="379"/>
        <v>0</v>
      </c>
      <c r="BV377" s="783">
        <f t="shared" ca="1" si="380"/>
        <v>0</v>
      </c>
      <c r="BW377" s="1019">
        <f t="shared" ca="1" si="439"/>
        <v>0</v>
      </c>
      <c r="BX377" s="771" cm="1">
        <f t="array" aca="1" ref="BX377" ca="1">INDIRECT("'Definition of Typical Day'!"&amp; ADDRESS($D377+29*(BX$16-1),$E377))</f>
        <v>0</v>
      </c>
      <c r="BY377" s="771">
        <f t="shared" ca="1" si="440"/>
        <v>0</v>
      </c>
      <c r="BZ377" s="781">
        <f t="shared" ca="1" si="381"/>
        <v>0</v>
      </c>
      <c r="CA377" s="781">
        <f t="shared" ca="1" si="382"/>
        <v>0</v>
      </c>
      <c r="CB377" s="776">
        <f t="shared" ca="1" si="383"/>
        <v>0</v>
      </c>
      <c r="CC377" s="782">
        <f t="shared" si="384"/>
        <v>15</v>
      </c>
      <c r="CD377" s="782">
        <f t="shared" si="385"/>
        <v>21</v>
      </c>
      <c r="CE377" s="784" cm="1">
        <f t="array" aca="1" ref="CE377" ca="1">INDIRECT("'Definition of Typical Day'!"&amp;ADDRESS(CE$16,$E377))</f>
        <v>15</v>
      </c>
      <c r="CF377" s="232"/>
      <c r="CG377" s="232"/>
      <c r="CH377" s="776">
        <f t="shared" ca="1" si="386"/>
        <v>0</v>
      </c>
      <c r="CI377" s="806">
        <f t="shared" ca="1" si="387"/>
        <v>0</v>
      </c>
      <c r="CJ377" s="770">
        <f t="shared" ca="1" si="388"/>
        <v>0</v>
      </c>
      <c r="CK377" s="771">
        <f t="shared" ca="1" si="389"/>
        <v>0</v>
      </c>
      <c r="CL377" s="771">
        <f t="shared" ca="1" si="390"/>
        <v>0</v>
      </c>
      <c r="CM377" s="772">
        <f t="shared" ca="1" si="391"/>
        <v>0</v>
      </c>
      <c r="CN377" s="135"/>
      <c r="CO377" s="770">
        <f t="shared" ca="1" si="441"/>
        <v>1.05</v>
      </c>
      <c r="CP377" s="771">
        <f t="shared" ca="1" si="392"/>
        <v>0.02</v>
      </c>
      <c r="CQ377" s="771">
        <f t="shared" ca="1" si="393"/>
        <v>-2.5000000000000001E-2</v>
      </c>
      <c r="CR377" s="771">
        <f t="shared" ca="1" si="394"/>
        <v>0.95</v>
      </c>
      <c r="CS377" s="771">
        <f t="shared" ca="1" si="395"/>
        <v>0.03</v>
      </c>
      <c r="CT377" s="772">
        <f t="shared" ca="1" si="396"/>
        <v>0.02</v>
      </c>
      <c r="CU377" s="135"/>
      <c r="CV377" s="135"/>
      <c r="CW377" s="135"/>
      <c r="CX377" s="135"/>
      <c r="CY377" s="135"/>
      <c r="CZ377" s="135"/>
      <c r="DA377" s="135"/>
      <c r="DB377" s="135"/>
      <c r="DC377" s="135"/>
      <c r="DD377" s="135"/>
      <c r="DE377" s="135"/>
      <c r="DF377" s="135"/>
      <c r="DG377" s="135"/>
      <c r="DH377" s="135"/>
      <c r="DI377" s="135"/>
      <c r="DJ377" s="135"/>
      <c r="DK377" s="135"/>
      <c r="DL377" s="135"/>
      <c r="DX377" s="135"/>
      <c r="DY377" s="135"/>
      <c r="DZ377" s="135"/>
      <c r="EA377" s="135"/>
      <c r="EB377" s="135"/>
      <c r="EC377" s="135"/>
      <c r="ED377" s="135"/>
      <c r="EE377" s="135"/>
      <c r="EF377" s="135"/>
      <c r="EG377" s="135"/>
      <c r="EH377" s="135"/>
      <c r="EI377" s="135"/>
      <c r="EJ377" s="135"/>
      <c r="EK377" s="135"/>
      <c r="EL377" s="135"/>
      <c r="EM377" s="135"/>
      <c r="EN377" s="135"/>
      <c r="EO377" s="135"/>
      <c r="EP377" s="135"/>
      <c r="EQ377" s="135"/>
      <c r="ER377" s="135"/>
      <c r="ES377" s="135"/>
      <c r="ET377" s="135"/>
      <c r="EU377" s="135"/>
      <c r="EV377" s="135"/>
      <c r="EW377" s="135"/>
      <c r="EX377" s="135"/>
      <c r="EY377" s="135"/>
      <c r="EZ377" s="135"/>
      <c r="FA377" s="135"/>
      <c r="FB377" s="135"/>
      <c r="FC377" s="135"/>
      <c r="FD377" s="135"/>
      <c r="FE377" s="135"/>
      <c r="FF377" s="135"/>
      <c r="FG377" s="135"/>
    </row>
    <row r="378" spans="1:163" s="57" customFormat="1" ht="11.25" outlineLevel="1">
      <c r="A378" s="765">
        <f t="shared" si="442"/>
        <v>15</v>
      </c>
      <c r="B378" s="715" cm="1">
        <f t="array" aca="1" ref="B378" ca="1">INDIRECT("'Definition of Typical Day'!"&amp;ADDRESS(B$16,$E378))</f>
        <v>15</v>
      </c>
      <c r="C378" s="766">
        <f t="shared" si="443"/>
        <v>22</v>
      </c>
      <c r="D378" s="715">
        <f t="shared" si="443"/>
        <v>56</v>
      </c>
      <c r="E378" s="715">
        <f t="shared" si="371"/>
        <v>19</v>
      </c>
      <c r="F378" s="767" cm="1">
        <f t="array" aca="1" ref="F378" ca="1">INDIRECT("'Definition of Typical Day'!D"&amp;D378)</f>
        <v>22</v>
      </c>
      <c r="G378" s="767" cm="1">
        <f t="array" aca="1" ref="G378" ca="1">INDIRECT("'Definition of Typical Day'!"&amp;ADDRESS(13,E378))</f>
        <v>15</v>
      </c>
      <c r="H378" s="768" cm="1">
        <f t="array" aca="1" ref="H378" ca="1">INDIRECT("'Definition of Typical Day'!"&amp; ADDRESS($D378+28*(H$16-1),$E378))</f>
        <v>0</v>
      </c>
      <c r="I378" s="715" cm="1">
        <f t="array" aca="1" ref="I378" ca="1">INDIRECT("'Definition of Typical Day'!"&amp; ADDRESS($D378+29*(I$16-1),$E378))</f>
        <v>0</v>
      </c>
      <c r="J378" s="715">
        <f t="shared" ca="1" si="397"/>
        <v>0</v>
      </c>
      <c r="K378" s="785">
        <f t="shared" si="398"/>
        <v>28</v>
      </c>
      <c r="L378" s="786" cm="1">
        <f t="array" aca="1" ref="L378" ca="1">INDIRECT("'Definition of Typical Day'!"&amp; ADDRESS($D378+29*(L$16-1),$E378))</f>
        <v>0</v>
      </c>
      <c r="M378" s="768" cm="1">
        <f t="array" aca="1" ref="M378" ca="1">INDIRECT("'Definition of Typical Day'!"&amp; ADDRESS($D378+29*(M$16-1),$E378))</f>
        <v>0</v>
      </c>
      <c r="N378" s="715">
        <f t="shared" si="399"/>
        <v>3</v>
      </c>
      <c r="O378" s="715">
        <f t="shared" ca="1" si="400"/>
        <v>3</v>
      </c>
      <c r="P378" s="715" cm="1">
        <f t="array" aca="1" ref="P378" ca="1">INDIRECT("'Definition of Typical Day'!"&amp; ADDRESS($D378+29*(P$16-1),$E378))</f>
        <v>0</v>
      </c>
      <c r="Q378" s="787">
        <f t="shared" ca="1" si="401"/>
        <v>3</v>
      </c>
      <c r="R378" s="792">
        <f t="shared" ca="1" si="402"/>
        <v>3</v>
      </c>
      <c r="S378" s="769">
        <f t="shared" si="403"/>
        <v>3</v>
      </c>
      <c r="T378" s="769">
        <f t="shared" ca="1" si="404"/>
        <v>-0.5</v>
      </c>
      <c r="U378" s="769">
        <f t="shared" ca="1" si="405"/>
        <v>2.262</v>
      </c>
      <c r="V378" s="769">
        <f t="shared" ca="1" si="406"/>
        <v>0</v>
      </c>
      <c r="W378" s="769">
        <f t="shared" ca="1" si="407"/>
        <v>4.7620000000000005</v>
      </c>
      <c r="X378" s="794">
        <f t="shared" si="408"/>
        <v>3</v>
      </c>
      <c r="Y378" s="769">
        <f t="shared" ca="1" si="409"/>
        <v>0.54772255750516607</v>
      </c>
      <c r="Z378" s="769">
        <f t="shared" ca="1" si="410"/>
        <v>0</v>
      </c>
      <c r="AA378" s="795">
        <f t="shared" ca="1" si="411"/>
        <v>0</v>
      </c>
      <c r="AB378" s="769">
        <f t="shared" ca="1" si="412"/>
        <v>0</v>
      </c>
      <c r="AC378" s="769">
        <f t="shared" ca="1" si="413"/>
        <v>0</v>
      </c>
      <c r="AD378" s="769">
        <f t="shared" ca="1" si="414"/>
        <v>0</v>
      </c>
      <c r="AE378" s="794">
        <f t="shared" ca="1" si="415"/>
        <v>0</v>
      </c>
      <c r="AF378" s="769">
        <f t="shared" ca="1" si="416"/>
        <v>0</v>
      </c>
      <c r="AG378" s="769">
        <f t="shared" ca="1" si="417"/>
        <v>0</v>
      </c>
      <c r="AH378" s="799">
        <f t="shared" ca="1" si="418"/>
        <v>0</v>
      </c>
      <c r="AI378" s="801">
        <f t="shared" ca="1" si="419"/>
        <v>1</v>
      </c>
      <c r="AJ378" s="794">
        <f t="shared" ca="1" si="420"/>
        <v>0</v>
      </c>
      <c r="AK378" s="769">
        <f t="shared" ca="1" si="421"/>
        <v>0</v>
      </c>
      <c r="AL378" s="769">
        <f t="shared" ca="1" si="422"/>
        <v>0</v>
      </c>
      <c r="AM378" s="804">
        <f t="shared" ca="1" si="372"/>
        <v>0</v>
      </c>
      <c r="AN378" s="795">
        <f t="shared" ca="1" si="373"/>
        <v>0</v>
      </c>
      <c r="AO378" s="251"/>
      <c r="AP378" s="770">
        <f t="shared" si="423"/>
        <v>0</v>
      </c>
      <c r="AQ378" s="771">
        <f t="shared" ca="1" si="424"/>
        <v>0</v>
      </c>
      <c r="AR378" s="771">
        <f t="shared" ca="1" si="425"/>
        <v>0</v>
      </c>
      <c r="AS378" s="772">
        <f t="shared" ca="1" si="426"/>
        <v>0</v>
      </c>
      <c r="AT378" s="231"/>
      <c r="AU378" s="770">
        <f>'Main Results - IRR DC Operator'!$F$16</f>
        <v>2</v>
      </c>
      <c r="AV378" s="773">
        <f>'Main Results - IRR DC Operator'!$F$15</f>
        <v>1</v>
      </c>
      <c r="AW378" s="771">
        <f t="shared" ca="1" si="427"/>
        <v>0</v>
      </c>
      <c r="AX378" s="772">
        <f t="shared" si="428"/>
        <v>0</v>
      </c>
      <c r="AY378" s="231"/>
      <c r="AZ378" s="770" cm="1">
        <f t="array" aca="1" ref="AZ378" ca="1">INDIRECT("'Definition of Typical Day'!"&amp; ADDRESS($D378+29*(AZ$16-1),$E378))+$AZ$17</f>
        <v>11</v>
      </c>
      <c r="BA378" s="771" cm="1">
        <f t="array" aca="1" ref="BA378" ca="1">INDIRECT("'Definition of Typical Day'!"&amp; ADDRESS($D378+29*(BA$16-1),$E378))+$BA$17</f>
        <v>11</v>
      </c>
      <c r="BB378" s="772" cm="1">
        <f t="array" aca="1" ref="BB378" ca="1">INDIRECT("'Definition of Typical Day'!"&amp;ADDRESS(BB$16,$E378))</f>
        <v>0</v>
      </c>
      <c r="BC378" s="776" cm="1">
        <f t="array" aca="1" ref="BC378" ca="1">INDIRECT("'Definition of Typical Day'!"&amp; ADDRESS($D378+29*(BC$16-1),$E378))</f>
        <v>0</v>
      </c>
      <c r="BD378" s="777" cm="1">
        <f t="array" aca="1" ref="BD378" ca="1">INDIRECT("'Definition of Typical Day'!"&amp; ADDRESS($D378+29*(BD$16-1),$E378))</f>
        <v>0</v>
      </c>
      <c r="BE378" s="776">
        <f t="shared" si="429"/>
        <v>0</v>
      </c>
      <c r="BF378" s="771">
        <f t="shared" ca="1" si="430"/>
        <v>0</v>
      </c>
      <c r="BG378" s="771">
        <f t="shared" ca="1" si="431"/>
        <v>0</v>
      </c>
      <c r="BH378" s="771">
        <f t="shared" ca="1" si="432"/>
        <v>0</v>
      </c>
      <c r="BI378" s="776">
        <f t="shared" ca="1" si="433"/>
        <v>0</v>
      </c>
      <c r="BJ378" s="776">
        <f t="shared" ca="1" si="434"/>
        <v>0</v>
      </c>
      <c r="BK378" s="776">
        <f t="shared" ca="1" si="435"/>
        <v>0</v>
      </c>
      <c r="BL378" s="776">
        <f t="shared" ca="1" si="436"/>
        <v>0</v>
      </c>
      <c r="BM378" s="135"/>
      <c r="BN378" s="776">
        <f t="shared" ca="1" si="437"/>
        <v>0</v>
      </c>
      <c r="BO378" s="778">
        <f t="shared" ca="1" si="374"/>
        <v>0</v>
      </c>
      <c r="BP378" s="770">
        <f t="shared" ca="1" si="375"/>
        <v>0</v>
      </c>
      <c r="BQ378" s="771">
        <f t="shared" ca="1" si="376"/>
        <v>0</v>
      </c>
      <c r="BR378" s="771">
        <f t="shared" ca="1" si="377"/>
        <v>0</v>
      </c>
      <c r="BS378" s="776">
        <f t="shared" ca="1" si="438"/>
        <v>0</v>
      </c>
      <c r="BT378" s="776">
        <f t="shared" ca="1" si="378"/>
        <v>0</v>
      </c>
      <c r="BU378" s="783">
        <f t="shared" ca="1" si="379"/>
        <v>0</v>
      </c>
      <c r="BV378" s="783">
        <f t="shared" ca="1" si="380"/>
        <v>0</v>
      </c>
      <c r="BW378" s="1019">
        <f t="shared" ca="1" si="439"/>
        <v>0</v>
      </c>
      <c r="BX378" s="771" cm="1">
        <f t="array" aca="1" ref="BX378" ca="1">INDIRECT("'Definition of Typical Day'!"&amp; ADDRESS($D378+29*(BX$16-1),$E378))</f>
        <v>0</v>
      </c>
      <c r="BY378" s="771">
        <f t="shared" ca="1" si="440"/>
        <v>0</v>
      </c>
      <c r="BZ378" s="781">
        <f t="shared" ca="1" si="381"/>
        <v>0</v>
      </c>
      <c r="CA378" s="781">
        <f t="shared" ca="1" si="382"/>
        <v>0</v>
      </c>
      <c r="CB378" s="776">
        <f t="shared" ca="1" si="383"/>
        <v>0</v>
      </c>
      <c r="CC378" s="782">
        <f t="shared" si="384"/>
        <v>15</v>
      </c>
      <c r="CD378" s="782">
        <f t="shared" si="385"/>
        <v>22</v>
      </c>
      <c r="CE378" s="784" cm="1">
        <f t="array" aca="1" ref="CE378" ca="1">INDIRECT("'Definition of Typical Day'!"&amp;ADDRESS(CE$16,$E378))</f>
        <v>15</v>
      </c>
      <c r="CF378" s="232"/>
      <c r="CG378" s="232"/>
      <c r="CH378" s="776">
        <f t="shared" ca="1" si="386"/>
        <v>0</v>
      </c>
      <c r="CI378" s="806">
        <f t="shared" ca="1" si="387"/>
        <v>0</v>
      </c>
      <c r="CJ378" s="770">
        <f t="shared" ca="1" si="388"/>
        <v>0</v>
      </c>
      <c r="CK378" s="771">
        <f t="shared" ca="1" si="389"/>
        <v>0</v>
      </c>
      <c r="CL378" s="771">
        <f t="shared" ca="1" si="390"/>
        <v>0</v>
      </c>
      <c r="CM378" s="772">
        <f t="shared" ca="1" si="391"/>
        <v>0</v>
      </c>
      <c r="CN378" s="135"/>
      <c r="CO378" s="770">
        <f t="shared" ca="1" si="441"/>
        <v>1.05</v>
      </c>
      <c r="CP378" s="771">
        <f t="shared" ca="1" si="392"/>
        <v>0.02</v>
      </c>
      <c r="CQ378" s="771">
        <f t="shared" ca="1" si="393"/>
        <v>-2.5000000000000001E-2</v>
      </c>
      <c r="CR378" s="771">
        <f t="shared" ca="1" si="394"/>
        <v>0.95</v>
      </c>
      <c r="CS378" s="771">
        <f t="shared" ca="1" si="395"/>
        <v>0.03</v>
      </c>
      <c r="CT378" s="772">
        <f t="shared" ca="1" si="396"/>
        <v>0.02</v>
      </c>
      <c r="CU378" s="135"/>
      <c r="CV378" s="135"/>
      <c r="CW378" s="135"/>
      <c r="CX378" s="135"/>
      <c r="CY378" s="135"/>
      <c r="CZ378" s="135"/>
      <c r="DA378" s="135"/>
      <c r="DB378" s="135"/>
      <c r="DC378" s="135"/>
      <c r="DD378" s="135"/>
      <c r="DE378" s="135"/>
      <c r="DF378" s="135"/>
      <c r="DG378" s="135"/>
      <c r="DH378" s="135"/>
      <c r="DI378" s="135"/>
      <c r="DJ378" s="135"/>
      <c r="DK378" s="135"/>
      <c r="DL378" s="135"/>
      <c r="DX378" s="135"/>
      <c r="DY378" s="135"/>
      <c r="DZ378" s="135"/>
      <c r="EA378" s="135"/>
      <c r="EB378" s="135"/>
      <c r="EC378" s="135"/>
      <c r="ED378" s="135"/>
      <c r="EE378" s="135"/>
      <c r="EF378" s="135"/>
      <c r="EG378" s="135"/>
      <c r="EH378" s="135"/>
      <c r="EI378" s="135"/>
      <c r="EJ378" s="135"/>
      <c r="EK378" s="135"/>
      <c r="EL378" s="135"/>
      <c r="EM378" s="135"/>
      <c r="EN378" s="135"/>
      <c r="EO378" s="135"/>
      <c r="EP378" s="135"/>
      <c r="EQ378" s="135"/>
      <c r="ER378" s="135"/>
      <c r="ES378" s="135"/>
      <c r="ET378" s="135"/>
      <c r="EU378" s="135"/>
      <c r="EV378" s="135"/>
      <c r="EW378" s="135"/>
      <c r="EX378" s="135"/>
      <c r="EY378" s="135"/>
      <c r="EZ378" s="135"/>
      <c r="FA378" s="135"/>
      <c r="FB378" s="135"/>
      <c r="FC378" s="135"/>
      <c r="FD378" s="135"/>
      <c r="FE378" s="135"/>
      <c r="FF378" s="135"/>
      <c r="FG378" s="135"/>
    </row>
    <row r="379" spans="1:163" s="57" customFormat="1" ht="11.25" outlineLevel="1">
      <c r="A379" s="765">
        <f t="shared" si="442"/>
        <v>15</v>
      </c>
      <c r="B379" s="715" cm="1">
        <f t="array" aca="1" ref="B379" ca="1">INDIRECT("'Definition of Typical Day'!"&amp;ADDRESS(B$16,$E379))</f>
        <v>15</v>
      </c>
      <c r="C379" s="766">
        <f t="shared" si="443"/>
        <v>23</v>
      </c>
      <c r="D379" s="715">
        <f t="shared" si="443"/>
        <v>57</v>
      </c>
      <c r="E379" s="715">
        <f t="shared" si="371"/>
        <v>19</v>
      </c>
      <c r="F379" s="767" cm="1">
        <f t="array" aca="1" ref="F379" ca="1">INDIRECT("'Definition of Typical Day'!D"&amp;D379)</f>
        <v>23</v>
      </c>
      <c r="G379" s="767" cm="1">
        <f t="array" aca="1" ref="G379" ca="1">INDIRECT("'Definition of Typical Day'!"&amp;ADDRESS(13,E379))</f>
        <v>15</v>
      </c>
      <c r="H379" s="768" cm="1">
        <f t="array" aca="1" ref="H379" ca="1">INDIRECT("'Definition of Typical Day'!"&amp; ADDRESS($D379+28*(H$16-1),$E379))</f>
        <v>0</v>
      </c>
      <c r="I379" s="715" cm="1">
        <f t="array" aca="1" ref="I379" ca="1">INDIRECT("'Definition of Typical Day'!"&amp; ADDRESS($D379+29*(I$16-1),$E379))</f>
        <v>0</v>
      </c>
      <c r="J379" s="715">
        <f t="shared" ca="1" si="397"/>
        <v>0</v>
      </c>
      <c r="K379" s="785">
        <f t="shared" si="398"/>
        <v>28</v>
      </c>
      <c r="L379" s="786" cm="1">
        <f t="array" aca="1" ref="L379" ca="1">INDIRECT("'Definition of Typical Day'!"&amp; ADDRESS($D379+29*(L$16-1),$E379))</f>
        <v>0</v>
      </c>
      <c r="M379" s="768" cm="1">
        <f t="array" aca="1" ref="M379" ca="1">INDIRECT("'Definition of Typical Day'!"&amp; ADDRESS($D379+29*(M$16-1),$E379))</f>
        <v>0</v>
      </c>
      <c r="N379" s="715">
        <f t="shared" si="399"/>
        <v>3</v>
      </c>
      <c r="O379" s="715">
        <f t="shared" ca="1" si="400"/>
        <v>3</v>
      </c>
      <c r="P379" s="715" cm="1">
        <f t="array" aca="1" ref="P379" ca="1">INDIRECT("'Definition of Typical Day'!"&amp; ADDRESS($D379+29*(P$16-1),$E379))</f>
        <v>0</v>
      </c>
      <c r="Q379" s="787">
        <f t="shared" ca="1" si="401"/>
        <v>3</v>
      </c>
      <c r="R379" s="792">
        <f t="shared" ca="1" si="402"/>
        <v>3</v>
      </c>
      <c r="S379" s="769">
        <f t="shared" si="403"/>
        <v>3</v>
      </c>
      <c r="T379" s="769">
        <f t="shared" ca="1" si="404"/>
        <v>-0.5</v>
      </c>
      <c r="U379" s="769">
        <f t="shared" ca="1" si="405"/>
        <v>2.262</v>
      </c>
      <c r="V379" s="769">
        <f t="shared" ca="1" si="406"/>
        <v>0</v>
      </c>
      <c r="W379" s="769">
        <f t="shared" ca="1" si="407"/>
        <v>4.7620000000000005</v>
      </c>
      <c r="X379" s="794">
        <f t="shared" si="408"/>
        <v>3</v>
      </c>
      <c r="Y379" s="769">
        <f t="shared" ca="1" si="409"/>
        <v>0.54772255750516607</v>
      </c>
      <c r="Z379" s="769">
        <f t="shared" ca="1" si="410"/>
        <v>0</v>
      </c>
      <c r="AA379" s="795">
        <f t="shared" ca="1" si="411"/>
        <v>0</v>
      </c>
      <c r="AB379" s="769">
        <f t="shared" ca="1" si="412"/>
        <v>0</v>
      </c>
      <c r="AC379" s="769">
        <f t="shared" ca="1" si="413"/>
        <v>0</v>
      </c>
      <c r="AD379" s="769">
        <f t="shared" ca="1" si="414"/>
        <v>0</v>
      </c>
      <c r="AE379" s="794">
        <f t="shared" ca="1" si="415"/>
        <v>0</v>
      </c>
      <c r="AF379" s="769">
        <f t="shared" ca="1" si="416"/>
        <v>0</v>
      </c>
      <c r="AG379" s="769">
        <f t="shared" ca="1" si="417"/>
        <v>0</v>
      </c>
      <c r="AH379" s="799">
        <f t="shared" ca="1" si="418"/>
        <v>0</v>
      </c>
      <c r="AI379" s="801">
        <f t="shared" ca="1" si="419"/>
        <v>1</v>
      </c>
      <c r="AJ379" s="794">
        <f t="shared" ca="1" si="420"/>
        <v>0</v>
      </c>
      <c r="AK379" s="769">
        <f t="shared" ca="1" si="421"/>
        <v>0</v>
      </c>
      <c r="AL379" s="769">
        <f t="shared" ca="1" si="422"/>
        <v>0</v>
      </c>
      <c r="AM379" s="804">
        <f t="shared" ca="1" si="372"/>
        <v>0</v>
      </c>
      <c r="AN379" s="795">
        <f t="shared" ca="1" si="373"/>
        <v>0</v>
      </c>
      <c r="AO379" s="251"/>
      <c r="AP379" s="770">
        <f t="shared" si="423"/>
        <v>0</v>
      </c>
      <c r="AQ379" s="771">
        <f t="shared" ca="1" si="424"/>
        <v>0</v>
      </c>
      <c r="AR379" s="771">
        <f t="shared" ca="1" si="425"/>
        <v>0</v>
      </c>
      <c r="AS379" s="772">
        <f t="shared" ca="1" si="426"/>
        <v>0</v>
      </c>
      <c r="AT379" s="231"/>
      <c r="AU379" s="770">
        <f>'Main Results - IRR DC Operator'!$F$16</f>
        <v>2</v>
      </c>
      <c r="AV379" s="773">
        <f>'Main Results - IRR DC Operator'!$F$15</f>
        <v>1</v>
      </c>
      <c r="AW379" s="771">
        <f t="shared" ca="1" si="427"/>
        <v>0</v>
      </c>
      <c r="AX379" s="772">
        <f t="shared" si="428"/>
        <v>0</v>
      </c>
      <c r="AY379" s="231"/>
      <c r="AZ379" s="770" cm="1">
        <f t="array" aca="1" ref="AZ379" ca="1">INDIRECT("'Definition of Typical Day'!"&amp; ADDRESS($D379+29*(AZ$16-1),$E379))+$AZ$17</f>
        <v>11</v>
      </c>
      <c r="BA379" s="771" cm="1">
        <f t="array" aca="1" ref="BA379" ca="1">INDIRECT("'Definition of Typical Day'!"&amp; ADDRESS($D379+29*(BA$16-1),$E379))+$BA$17</f>
        <v>11</v>
      </c>
      <c r="BB379" s="772" cm="1">
        <f t="array" aca="1" ref="BB379" ca="1">INDIRECT("'Definition of Typical Day'!"&amp;ADDRESS(BB$16,$E379))</f>
        <v>0</v>
      </c>
      <c r="BC379" s="776" cm="1">
        <f t="array" aca="1" ref="BC379" ca="1">INDIRECT("'Definition of Typical Day'!"&amp; ADDRESS($D379+29*(BC$16-1),$E379))</f>
        <v>0</v>
      </c>
      <c r="BD379" s="777" cm="1">
        <f t="array" aca="1" ref="BD379" ca="1">INDIRECT("'Definition of Typical Day'!"&amp; ADDRESS($D379+29*(BD$16-1),$E379))</f>
        <v>0</v>
      </c>
      <c r="BE379" s="776">
        <f t="shared" si="429"/>
        <v>0</v>
      </c>
      <c r="BF379" s="771">
        <f t="shared" ca="1" si="430"/>
        <v>0</v>
      </c>
      <c r="BG379" s="771">
        <f t="shared" ca="1" si="431"/>
        <v>0</v>
      </c>
      <c r="BH379" s="771">
        <f t="shared" ca="1" si="432"/>
        <v>0</v>
      </c>
      <c r="BI379" s="776">
        <f t="shared" ca="1" si="433"/>
        <v>0</v>
      </c>
      <c r="BJ379" s="776">
        <f t="shared" ca="1" si="434"/>
        <v>0</v>
      </c>
      <c r="BK379" s="776">
        <f t="shared" ca="1" si="435"/>
        <v>0</v>
      </c>
      <c r="BL379" s="776">
        <f t="shared" ca="1" si="436"/>
        <v>0</v>
      </c>
      <c r="BM379" s="135"/>
      <c r="BN379" s="776">
        <f t="shared" ca="1" si="437"/>
        <v>0</v>
      </c>
      <c r="BO379" s="778">
        <f t="shared" ca="1" si="374"/>
        <v>0</v>
      </c>
      <c r="BP379" s="770">
        <f t="shared" ca="1" si="375"/>
        <v>0</v>
      </c>
      <c r="BQ379" s="771">
        <f t="shared" ca="1" si="376"/>
        <v>0</v>
      </c>
      <c r="BR379" s="771">
        <f t="shared" ca="1" si="377"/>
        <v>0</v>
      </c>
      <c r="BS379" s="776">
        <f t="shared" ca="1" si="438"/>
        <v>0</v>
      </c>
      <c r="BT379" s="776">
        <f t="shared" ca="1" si="378"/>
        <v>0</v>
      </c>
      <c r="BU379" s="783">
        <f t="shared" ca="1" si="379"/>
        <v>0</v>
      </c>
      <c r="BV379" s="783">
        <f t="shared" ca="1" si="380"/>
        <v>0</v>
      </c>
      <c r="BW379" s="1019">
        <f t="shared" ca="1" si="439"/>
        <v>0</v>
      </c>
      <c r="BX379" s="771" cm="1">
        <f t="array" aca="1" ref="BX379" ca="1">INDIRECT("'Definition of Typical Day'!"&amp; ADDRESS($D379+29*(BX$16-1),$E379))</f>
        <v>0</v>
      </c>
      <c r="BY379" s="771">
        <f t="shared" ca="1" si="440"/>
        <v>0</v>
      </c>
      <c r="BZ379" s="781">
        <f t="shared" ca="1" si="381"/>
        <v>0</v>
      </c>
      <c r="CA379" s="781">
        <f t="shared" ca="1" si="382"/>
        <v>0</v>
      </c>
      <c r="CB379" s="776">
        <f t="shared" ca="1" si="383"/>
        <v>0</v>
      </c>
      <c r="CC379" s="782">
        <f t="shared" si="384"/>
        <v>15</v>
      </c>
      <c r="CD379" s="782">
        <f t="shared" si="385"/>
        <v>23</v>
      </c>
      <c r="CE379" s="784" cm="1">
        <f t="array" aca="1" ref="CE379" ca="1">INDIRECT("'Definition of Typical Day'!"&amp;ADDRESS(CE$16,$E379))</f>
        <v>15</v>
      </c>
      <c r="CF379" s="232"/>
      <c r="CG379" s="232"/>
      <c r="CH379" s="776">
        <f t="shared" ca="1" si="386"/>
        <v>0</v>
      </c>
      <c r="CI379" s="806">
        <f t="shared" ca="1" si="387"/>
        <v>0</v>
      </c>
      <c r="CJ379" s="770">
        <f t="shared" ca="1" si="388"/>
        <v>0</v>
      </c>
      <c r="CK379" s="771">
        <f t="shared" ca="1" si="389"/>
        <v>0</v>
      </c>
      <c r="CL379" s="771">
        <f t="shared" ca="1" si="390"/>
        <v>0</v>
      </c>
      <c r="CM379" s="772">
        <f t="shared" ca="1" si="391"/>
        <v>0</v>
      </c>
      <c r="CN379" s="135"/>
      <c r="CO379" s="770">
        <f t="shared" ca="1" si="441"/>
        <v>1.05</v>
      </c>
      <c r="CP379" s="771">
        <f t="shared" ca="1" si="392"/>
        <v>0.02</v>
      </c>
      <c r="CQ379" s="771">
        <f t="shared" ca="1" si="393"/>
        <v>-2.5000000000000001E-2</v>
      </c>
      <c r="CR379" s="771">
        <f t="shared" ca="1" si="394"/>
        <v>0.95</v>
      </c>
      <c r="CS379" s="771">
        <f t="shared" ca="1" si="395"/>
        <v>0.03</v>
      </c>
      <c r="CT379" s="772">
        <f t="shared" ca="1" si="396"/>
        <v>0.02</v>
      </c>
      <c r="CU379" s="135"/>
      <c r="CV379" s="135"/>
      <c r="CW379" s="135"/>
      <c r="CX379" s="135"/>
      <c r="CY379" s="135"/>
      <c r="CZ379" s="135"/>
      <c r="DA379" s="135"/>
      <c r="DB379" s="135"/>
      <c r="DC379" s="135"/>
      <c r="DD379" s="135"/>
      <c r="DE379" s="135"/>
      <c r="DF379" s="135"/>
      <c r="DG379" s="135"/>
      <c r="DH379" s="135"/>
      <c r="DI379" s="135"/>
      <c r="DJ379" s="135"/>
      <c r="DK379" s="135"/>
      <c r="DL379" s="135"/>
      <c r="DX379" s="135"/>
      <c r="DY379" s="135"/>
      <c r="DZ379" s="135"/>
      <c r="EA379" s="135"/>
      <c r="EB379" s="135"/>
      <c r="EC379" s="135"/>
      <c r="ED379" s="135"/>
      <c r="EE379" s="135"/>
      <c r="EF379" s="135"/>
      <c r="EG379" s="135"/>
      <c r="EH379" s="135"/>
      <c r="EI379" s="135"/>
      <c r="EJ379" s="135"/>
      <c r="EK379" s="135"/>
      <c r="EL379" s="135"/>
      <c r="EM379" s="135"/>
      <c r="EN379" s="135"/>
      <c r="EO379" s="135"/>
      <c r="EP379" s="135"/>
      <c r="EQ379" s="135"/>
      <c r="ER379" s="135"/>
      <c r="ES379" s="135"/>
      <c r="ET379" s="135"/>
      <c r="EU379" s="135"/>
      <c r="EV379" s="135"/>
      <c r="EW379" s="135"/>
      <c r="EX379" s="135"/>
      <c r="EY379" s="135"/>
      <c r="EZ379" s="135"/>
      <c r="FA379" s="135"/>
      <c r="FB379" s="135"/>
      <c r="FC379" s="135"/>
      <c r="FD379" s="135"/>
      <c r="FE379" s="135"/>
      <c r="FF379" s="135"/>
      <c r="FG379" s="135"/>
    </row>
    <row r="380" spans="1:163" s="57" customFormat="1" ht="11.25" outlineLevel="1">
      <c r="A380" s="765">
        <f t="shared" si="442"/>
        <v>15</v>
      </c>
      <c r="B380" s="715" cm="1">
        <f t="array" aca="1" ref="B380" ca="1">INDIRECT("'Definition of Typical Day'!"&amp;ADDRESS(B$16,$E380))</f>
        <v>15</v>
      </c>
      <c r="C380" s="766">
        <f t="shared" si="443"/>
        <v>24</v>
      </c>
      <c r="D380" s="715">
        <f t="shared" si="443"/>
        <v>58</v>
      </c>
      <c r="E380" s="715">
        <f t="shared" si="371"/>
        <v>19</v>
      </c>
      <c r="F380" s="767" cm="1">
        <f t="array" aca="1" ref="F380" ca="1">INDIRECT("'Definition of Typical Day'!D"&amp;D380)</f>
        <v>24</v>
      </c>
      <c r="G380" s="767" cm="1">
        <f t="array" aca="1" ref="G380" ca="1">INDIRECT("'Definition of Typical Day'!"&amp;ADDRESS(13,E380))</f>
        <v>15</v>
      </c>
      <c r="H380" s="768" cm="1">
        <f t="array" aca="1" ref="H380" ca="1">INDIRECT("'Definition of Typical Day'!"&amp; ADDRESS($D380+28*(H$16-1),$E380))</f>
        <v>0</v>
      </c>
      <c r="I380" s="715" cm="1">
        <f t="array" aca="1" ref="I380" ca="1">INDIRECT("'Definition of Typical Day'!"&amp; ADDRESS($D380+29*(I$16-1),$E380))</f>
        <v>0</v>
      </c>
      <c r="J380" s="715">
        <f t="shared" ca="1" si="397"/>
        <v>0</v>
      </c>
      <c r="K380" s="785">
        <f t="shared" si="398"/>
        <v>28</v>
      </c>
      <c r="L380" s="786" cm="1">
        <f t="array" aca="1" ref="L380" ca="1">INDIRECT("'Definition of Typical Day'!"&amp; ADDRESS($D380+29*(L$16-1),$E380))</f>
        <v>0</v>
      </c>
      <c r="M380" s="768" cm="1">
        <f t="array" aca="1" ref="M380" ca="1">INDIRECT("'Definition of Typical Day'!"&amp; ADDRESS($D380+29*(M$16-1),$E380))</f>
        <v>0</v>
      </c>
      <c r="N380" s="715">
        <f t="shared" si="399"/>
        <v>3</v>
      </c>
      <c r="O380" s="715">
        <f t="shared" ca="1" si="400"/>
        <v>3</v>
      </c>
      <c r="P380" s="715" cm="1">
        <f t="array" aca="1" ref="P380" ca="1">INDIRECT("'Definition of Typical Day'!"&amp; ADDRESS($D380+29*(P$16-1),$E380))</f>
        <v>0</v>
      </c>
      <c r="Q380" s="787">
        <f t="shared" ca="1" si="401"/>
        <v>3</v>
      </c>
      <c r="R380" s="792">
        <f t="shared" ca="1" si="402"/>
        <v>3</v>
      </c>
      <c r="S380" s="769">
        <f t="shared" si="403"/>
        <v>3</v>
      </c>
      <c r="T380" s="769">
        <f t="shared" ca="1" si="404"/>
        <v>-0.5</v>
      </c>
      <c r="U380" s="769">
        <f t="shared" ca="1" si="405"/>
        <v>2.262</v>
      </c>
      <c r="V380" s="769">
        <f t="shared" ca="1" si="406"/>
        <v>0</v>
      </c>
      <c r="W380" s="769">
        <f t="shared" ca="1" si="407"/>
        <v>4.7620000000000005</v>
      </c>
      <c r="X380" s="794">
        <f t="shared" si="408"/>
        <v>3</v>
      </c>
      <c r="Y380" s="769">
        <f t="shared" ca="1" si="409"/>
        <v>0.54772255750516607</v>
      </c>
      <c r="Z380" s="769">
        <f t="shared" ca="1" si="410"/>
        <v>0</v>
      </c>
      <c r="AA380" s="795">
        <f t="shared" ca="1" si="411"/>
        <v>0</v>
      </c>
      <c r="AB380" s="769">
        <f t="shared" ca="1" si="412"/>
        <v>0</v>
      </c>
      <c r="AC380" s="769">
        <f t="shared" ca="1" si="413"/>
        <v>0</v>
      </c>
      <c r="AD380" s="769">
        <f t="shared" ca="1" si="414"/>
        <v>0</v>
      </c>
      <c r="AE380" s="794">
        <f t="shared" ca="1" si="415"/>
        <v>0</v>
      </c>
      <c r="AF380" s="769">
        <f t="shared" ca="1" si="416"/>
        <v>0</v>
      </c>
      <c r="AG380" s="769">
        <f t="shared" ca="1" si="417"/>
        <v>0</v>
      </c>
      <c r="AH380" s="799">
        <f t="shared" ca="1" si="418"/>
        <v>0</v>
      </c>
      <c r="AI380" s="801">
        <f t="shared" ca="1" si="419"/>
        <v>1</v>
      </c>
      <c r="AJ380" s="794">
        <f t="shared" ca="1" si="420"/>
        <v>0</v>
      </c>
      <c r="AK380" s="769">
        <f t="shared" ca="1" si="421"/>
        <v>0</v>
      </c>
      <c r="AL380" s="769">
        <f t="shared" ca="1" si="422"/>
        <v>0</v>
      </c>
      <c r="AM380" s="804">
        <f t="shared" ca="1" si="372"/>
        <v>0</v>
      </c>
      <c r="AN380" s="795">
        <f t="shared" ca="1" si="373"/>
        <v>0</v>
      </c>
      <c r="AO380" s="251"/>
      <c r="AP380" s="770">
        <f t="shared" si="423"/>
        <v>0</v>
      </c>
      <c r="AQ380" s="771">
        <f t="shared" ca="1" si="424"/>
        <v>0</v>
      </c>
      <c r="AR380" s="771">
        <f t="shared" ca="1" si="425"/>
        <v>0</v>
      </c>
      <c r="AS380" s="772">
        <f t="shared" ca="1" si="426"/>
        <v>0</v>
      </c>
      <c r="AT380" s="231"/>
      <c r="AU380" s="770">
        <f>'Main Results - IRR DC Operator'!$F$16</f>
        <v>2</v>
      </c>
      <c r="AV380" s="773">
        <f>'Main Results - IRR DC Operator'!$F$15</f>
        <v>1</v>
      </c>
      <c r="AW380" s="771">
        <f t="shared" ca="1" si="427"/>
        <v>0</v>
      </c>
      <c r="AX380" s="772">
        <f t="shared" si="428"/>
        <v>0</v>
      </c>
      <c r="AY380" s="231"/>
      <c r="AZ380" s="770" cm="1">
        <f t="array" aca="1" ref="AZ380" ca="1">INDIRECT("'Definition of Typical Day'!"&amp; ADDRESS($D380+29*(AZ$16-1),$E380))+$AZ$17</f>
        <v>11</v>
      </c>
      <c r="BA380" s="771" cm="1">
        <f t="array" aca="1" ref="BA380" ca="1">INDIRECT("'Definition of Typical Day'!"&amp; ADDRESS($D380+29*(BA$16-1),$E380))+$BA$17</f>
        <v>11</v>
      </c>
      <c r="BB380" s="772" cm="1">
        <f t="array" aca="1" ref="BB380" ca="1">INDIRECT("'Definition of Typical Day'!"&amp;ADDRESS(BB$16,$E380))</f>
        <v>0</v>
      </c>
      <c r="BC380" s="776" cm="1">
        <f t="array" aca="1" ref="BC380" ca="1">INDIRECT("'Definition of Typical Day'!"&amp; ADDRESS($D380+29*(BC$16-1),$E380))</f>
        <v>0</v>
      </c>
      <c r="BD380" s="777" cm="1">
        <f t="array" aca="1" ref="BD380" ca="1">INDIRECT("'Definition of Typical Day'!"&amp; ADDRESS($D380+29*(BD$16-1),$E380))</f>
        <v>0</v>
      </c>
      <c r="BE380" s="776">
        <f t="shared" si="429"/>
        <v>0</v>
      </c>
      <c r="BF380" s="771">
        <f t="shared" ca="1" si="430"/>
        <v>0</v>
      </c>
      <c r="BG380" s="771">
        <f t="shared" ca="1" si="431"/>
        <v>0</v>
      </c>
      <c r="BH380" s="771">
        <f t="shared" ca="1" si="432"/>
        <v>0</v>
      </c>
      <c r="BI380" s="776">
        <f t="shared" ca="1" si="433"/>
        <v>0</v>
      </c>
      <c r="BJ380" s="776">
        <f t="shared" ca="1" si="434"/>
        <v>0</v>
      </c>
      <c r="BK380" s="776">
        <f t="shared" ca="1" si="435"/>
        <v>0</v>
      </c>
      <c r="BL380" s="776">
        <f t="shared" ca="1" si="436"/>
        <v>0</v>
      </c>
      <c r="BM380" s="135"/>
      <c r="BN380" s="776">
        <f t="shared" ca="1" si="437"/>
        <v>0</v>
      </c>
      <c r="BO380" s="778">
        <f t="shared" ca="1" si="374"/>
        <v>0</v>
      </c>
      <c r="BP380" s="770">
        <f t="shared" ca="1" si="375"/>
        <v>0</v>
      </c>
      <c r="BQ380" s="771">
        <f t="shared" ca="1" si="376"/>
        <v>0</v>
      </c>
      <c r="BR380" s="771">
        <f t="shared" ca="1" si="377"/>
        <v>0</v>
      </c>
      <c r="BS380" s="776">
        <f t="shared" ca="1" si="438"/>
        <v>0</v>
      </c>
      <c r="BT380" s="776">
        <f t="shared" ca="1" si="378"/>
        <v>0</v>
      </c>
      <c r="BU380" s="783">
        <f t="shared" ca="1" si="379"/>
        <v>0</v>
      </c>
      <c r="BV380" s="783">
        <f t="shared" ca="1" si="380"/>
        <v>0</v>
      </c>
      <c r="BW380" s="1019">
        <f t="shared" ca="1" si="439"/>
        <v>0</v>
      </c>
      <c r="BX380" s="771" cm="1">
        <f t="array" aca="1" ref="BX380" ca="1">INDIRECT("'Definition of Typical Day'!"&amp; ADDRESS($D380+29*(BX$16-1),$E380))</f>
        <v>0</v>
      </c>
      <c r="BY380" s="771">
        <f t="shared" ca="1" si="440"/>
        <v>0</v>
      </c>
      <c r="BZ380" s="781">
        <f t="shared" ca="1" si="381"/>
        <v>0</v>
      </c>
      <c r="CA380" s="781">
        <f t="shared" ca="1" si="382"/>
        <v>0</v>
      </c>
      <c r="CB380" s="776">
        <f t="shared" ca="1" si="383"/>
        <v>0</v>
      </c>
      <c r="CC380" s="782">
        <f t="shared" si="384"/>
        <v>15</v>
      </c>
      <c r="CD380" s="782">
        <f t="shared" si="385"/>
        <v>24</v>
      </c>
      <c r="CE380" s="784" cm="1">
        <f t="array" aca="1" ref="CE380" ca="1">INDIRECT("'Definition of Typical Day'!"&amp;ADDRESS(CE$16,$E380))</f>
        <v>15</v>
      </c>
      <c r="CF380" s="232"/>
      <c r="CG380" s="232"/>
      <c r="CH380" s="776">
        <f t="shared" ca="1" si="386"/>
        <v>0</v>
      </c>
      <c r="CI380" s="806">
        <f t="shared" ca="1" si="387"/>
        <v>0</v>
      </c>
      <c r="CJ380" s="770">
        <f t="shared" ca="1" si="388"/>
        <v>0</v>
      </c>
      <c r="CK380" s="771">
        <f t="shared" ca="1" si="389"/>
        <v>0</v>
      </c>
      <c r="CL380" s="771">
        <f t="shared" ca="1" si="390"/>
        <v>0</v>
      </c>
      <c r="CM380" s="772">
        <f t="shared" ca="1" si="391"/>
        <v>0</v>
      </c>
      <c r="CN380" s="135"/>
      <c r="CO380" s="770">
        <f t="shared" ca="1" si="441"/>
        <v>1.05</v>
      </c>
      <c r="CP380" s="771">
        <f t="shared" ca="1" si="392"/>
        <v>0.02</v>
      </c>
      <c r="CQ380" s="771">
        <f t="shared" ca="1" si="393"/>
        <v>-2.5000000000000001E-2</v>
      </c>
      <c r="CR380" s="771">
        <f t="shared" ca="1" si="394"/>
        <v>0.95</v>
      </c>
      <c r="CS380" s="771">
        <f t="shared" ca="1" si="395"/>
        <v>0.03</v>
      </c>
      <c r="CT380" s="772">
        <f t="shared" ca="1" si="396"/>
        <v>0.02</v>
      </c>
      <c r="CU380" s="135"/>
      <c r="CV380" s="135"/>
      <c r="CW380" s="135"/>
      <c r="CX380" s="135"/>
      <c r="CY380" s="135"/>
      <c r="CZ380" s="135"/>
      <c r="DA380" s="135"/>
      <c r="DB380" s="135"/>
      <c r="DC380" s="135"/>
      <c r="DD380" s="135"/>
      <c r="DE380" s="135"/>
      <c r="DF380" s="135"/>
      <c r="DG380" s="135"/>
      <c r="DH380" s="135"/>
      <c r="DI380" s="135"/>
      <c r="DJ380" s="135"/>
      <c r="DK380" s="135"/>
      <c r="DL380" s="135"/>
      <c r="DX380" s="135"/>
      <c r="DY380" s="135"/>
      <c r="DZ380" s="135"/>
      <c r="EA380" s="135"/>
      <c r="EB380" s="135"/>
      <c r="EC380" s="135"/>
      <c r="ED380" s="135"/>
      <c r="EE380" s="135"/>
      <c r="EF380" s="135"/>
      <c r="EG380" s="135"/>
      <c r="EH380" s="135"/>
      <c r="EI380" s="135"/>
      <c r="EJ380" s="135"/>
      <c r="EK380" s="135"/>
      <c r="EL380" s="135"/>
      <c r="EM380" s="135"/>
      <c r="EN380" s="135"/>
      <c r="EO380" s="135"/>
      <c r="EP380" s="135"/>
      <c r="EQ380" s="135"/>
      <c r="ER380" s="135"/>
      <c r="ES380" s="135"/>
      <c r="ET380" s="135"/>
      <c r="EU380" s="135"/>
      <c r="EV380" s="135"/>
      <c r="EW380" s="135"/>
      <c r="EX380" s="135"/>
      <c r="EY380" s="135"/>
      <c r="EZ380" s="135"/>
      <c r="FA380" s="135"/>
      <c r="FB380" s="135"/>
      <c r="FC380" s="135"/>
      <c r="FD380" s="135"/>
      <c r="FE380" s="135"/>
      <c r="FF380" s="135"/>
      <c r="FG380" s="135"/>
    </row>
    <row r="381" spans="1:163" s="57" customFormat="1" ht="11.25" outlineLevel="1">
      <c r="A381" s="765">
        <f t="shared" si="442"/>
        <v>16</v>
      </c>
      <c r="B381" s="715" cm="1">
        <f t="array" aca="1" ref="B381" ca="1">INDIRECT("'Definition of Typical Day'!"&amp;ADDRESS(B$16,$E381))</f>
        <v>16</v>
      </c>
      <c r="C381" s="766">
        <f t="shared" si="443"/>
        <v>1</v>
      </c>
      <c r="D381" s="715">
        <f t="shared" si="443"/>
        <v>35</v>
      </c>
      <c r="E381" s="715">
        <f t="shared" si="371"/>
        <v>20</v>
      </c>
      <c r="F381" s="767" cm="1">
        <f t="array" aca="1" ref="F381" ca="1">INDIRECT("'Definition of Typical Day'!D"&amp;D381)</f>
        <v>1</v>
      </c>
      <c r="G381" s="767" cm="1">
        <f t="array" aca="1" ref="G381" ca="1">INDIRECT("'Definition of Typical Day'!"&amp;ADDRESS(13,E381))</f>
        <v>16</v>
      </c>
      <c r="H381" s="768" cm="1">
        <f t="array" aca="1" ref="H381" ca="1">INDIRECT("'Definition of Typical Day'!"&amp; ADDRESS($D381+28*(H$16-1),$E381))</f>
        <v>0</v>
      </c>
      <c r="I381" s="715" cm="1">
        <f t="array" aca="1" ref="I381" ca="1">INDIRECT("'Definition of Typical Day'!"&amp; ADDRESS($D381+29*(I$16-1),$E381))</f>
        <v>0</v>
      </c>
      <c r="J381" s="715">
        <f t="shared" ca="1" si="397"/>
        <v>0</v>
      </c>
      <c r="K381" s="785">
        <f t="shared" si="398"/>
        <v>28</v>
      </c>
      <c r="L381" s="786" cm="1">
        <f t="array" aca="1" ref="L381" ca="1">INDIRECT("'Definition of Typical Day'!"&amp; ADDRESS($D381+29*(L$16-1),$E381))</f>
        <v>0</v>
      </c>
      <c r="M381" s="768" cm="1">
        <f t="array" aca="1" ref="M381" ca="1">INDIRECT("'Definition of Typical Day'!"&amp; ADDRESS($D381+29*(M$16-1),$E381))</f>
        <v>0</v>
      </c>
      <c r="N381" s="715">
        <f t="shared" si="399"/>
        <v>3</v>
      </c>
      <c r="O381" s="715">
        <f t="shared" ca="1" si="400"/>
        <v>3</v>
      </c>
      <c r="P381" s="715" cm="1">
        <f t="array" aca="1" ref="P381" ca="1">INDIRECT("'Definition of Typical Day'!"&amp; ADDRESS($D381+29*(P$16-1),$E381))</f>
        <v>0</v>
      </c>
      <c r="Q381" s="787">
        <f t="shared" ca="1" si="401"/>
        <v>3</v>
      </c>
      <c r="R381" s="792">
        <f t="shared" ca="1" si="402"/>
        <v>3</v>
      </c>
      <c r="S381" s="769">
        <f t="shared" si="403"/>
        <v>3</v>
      </c>
      <c r="T381" s="769">
        <f t="shared" ca="1" si="404"/>
        <v>-0.5</v>
      </c>
      <c r="U381" s="769">
        <f t="shared" ca="1" si="405"/>
        <v>2.262</v>
      </c>
      <c r="V381" s="769">
        <f t="shared" ca="1" si="406"/>
        <v>0</v>
      </c>
      <c r="W381" s="769">
        <f t="shared" ca="1" si="407"/>
        <v>4.7620000000000005</v>
      </c>
      <c r="X381" s="794">
        <f t="shared" si="408"/>
        <v>3</v>
      </c>
      <c r="Y381" s="769">
        <f t="shared" ca="1" si="409"/>
        <v>0.54772255750516607</v>
      </c>
      <c r="Z381" s="769">
        <f t="shared" ca="1" si="410"/>
        <v>0</v>
      </c>
      <c r="AA381" s="795">
        <f t="shared" ca="1" si="411"/>
        <v>0</v>
      </c>
      <c r="AB381" s="769">
        <f t="shared" ca="1" si="412"/>
        <v>0</v>
      </c>
      <c r="AC381" s="769">
        <f t="shared" ca="1" si="413"/>
        <v>0</v>
      </c>
      <c r="AD381" s="769">
        <f t="shared" ca="1" si="414"/>
        <v>0</v>
      </c>
      <c r="AE381" s="794">
        <f t="shared" ca="1" si="415"/>
        <v>0</v>
      </c>
      <c r="AF381" s="769">
        <f t="shared" ca="1" si="416"/>
        <v>0</v>
      </c>
      <c r="AG381" s="769">
        <f t="shared" ca="1" si="417"/>
        <v>0</v>
      </c>
      <c r="AH381" s="799">
        <f t="shared" ca="1" si="418"/>
        <v>0</v>
      </c>
      <c r="AI381" s="801">
        <f t="shared" ca="1" si="419"/>
        <v>1</v>
      </c>
      <c r="AJ381" s="794">
        <f t="shared" ca="1" si="420"/>
        <v>0</v>
      </c>
      <c r="AK381" s="769">
        <f t="shared" ca="1" si="421"/>
        <v>0</v>
      </c>
      <c r="AL381" s="769">
        <f t="shared" ca="1" si="422"/>
        <v>0</v>
      </c>
      <c r="AM381" s="804">
        <f t="shared" ca="1" si="372"/>
        <v>0</v>
      </c>
      <c r="AN381" s="795">
        <f t="shared" ca="1" si="373"/>
        <v>0</v>
      </c>
      <c r="AO381" s="251"/>
      <c r="AP381" s="770">
        <f t="shared" si="423"/>
        <v>0</v>
      </c>
      <c r="AQ381" s="771">
        <f t="shared" ca="1" si="424"/>
        <v>0</v>
      </c>
      <c r="AR381" s="771">
        <f t="shared" ca="1" si="425"/>
        <v>0</v>
      </c>
      <c r="AS381" s="772">
        <f t="shared" ca="1" si="426"/>
        <v>0</v>
      </c>
      <c r="AT381" s="231"/>
      <c r="AU381" s="770">
        <f>'Main Results - IRR DC Operator'!$F$16</f>
        <v>2</v>
      </c>
      <c r="AV381" s="773">
        <f>'Main Results - IRR DC Operator'!$F$15</f>
        <v>1</v>
      </c>
      <c r="AW381" s="771">
        <f t="shared" ca="1" si="427"/>
        <v>0</v>
      </c>
      <c r="AX381" s="772">
        <f t="shared" si="428"/>
        <v>0</v>
      </c>
      <c r="AY381" s="231"/>
      <c r="AZ381" s="770" cm="1">
        <f t="array" aca="1" ref="AZ381" ca="1">INDIRECT("'Definition of Typical Day'!"&amp; ADDRESS($D381+29*(AZ$16-1),$E381))+$AZ$17</f>
        <v>11</v>
      </c>
      <c r="BA381" s="771" cm="1">
        <f t="array" aca="1" ref="BA381" ca="1">INDIRECT("'Definition of Typical Day'!"&amp; ADDRESS($D381+29*(BA$16-1),$E381))+$BA$17</f>
        <v>11</v>
      </c>
      <c r="BB381" s="772" cm="1">
        <f t="array" aca="1" ref="BB381" ca="1">INDIRECT("'Definition of Typical Day'!"&amp;ADDRESS(BB$16,$E381))</f>
        <v>0</v>
      </c>
      <c r="BC381" s="776" cm="1">
        <f t="array" aca="1" ref="BC381" ca="1">INDIRECT("'Definition of Typical Day'!"&amp; ADDRESS($D381+29*(BC$16-1),$E381))</f>
        <v>0</v>
      </c>
      <c r="BD381" s="777" cm="1">
        <f t="array" aca="1" ref="BD381" ca="1">INDIRECT("'Definition of Typical Day'!"&amp; ADDRESS($D381+29*(BD$16-1),$E381))</f>
        <v>0</v>
      </c>
      <c r="BE381" s="776">
        <f t="shared" si="429"/>
        <v>0</v>
      </c>
      <c r="BF381" s="771">
        <f t="shared" ca="1" si="430"/>
        <v>0</v>
      </c>
      <c r="BG381" s="771">
        <f t="shared" ca="1" si="431"/>
        <v>0</v>
      </c>
      <c r="BH381" s="771">
        <f t="shared" ca="1" si="432"/>
        <v>0</v>
      </c>
      <c r="BI381" s="776">
        <f t="shared" ca="1" si="433"/>
        <v>0</v>
      </c>
      <c r="BJ381" s="776">
        <f t="shared" ca="1" si="434"/>
        <v>0</v>
      </c>
      <c r="BK381" s="776">
        <f t="shared" ca="1" si="435"/>
        <v>0</v>
      </c>
      <c r="BL381" s="776">
        <f t="shared" ca="1" si="436"/>
        <v>0</v>
      </c>
      <c r="BM381" s="135"/>
      <c r="BN381" s="776">
        <f t="shared" ca="1" si="437"/>
        <v>0</v>
      </c>
      <c r="BO381" s="778">
        <f t="shared" ca="1" si="374"/>
        <v>0</v>
      </c>
      <c r="BP381" s="770">
        <f t="shared" ca="1" si="375"/>
        <v>0</v>
      </c>
      <c r="BQ381" s="771">
        <f t="shared" ca="1" si="376"/>
        <v>0</v>
      </c>
      <c r="BR381" s="771">
        <f t="shared" ca="1" si="377"/>
        <v>0</v>
      </c>
      <c r="BS381" s="776">
        <f t="shared" ca="1" si="438"/>
        <v>0</v>
      </c>
      <c r="BT381" s="776">
        <f t="shared" ca="1" si="378"/>
        <v>0</v>
      </c>
      <c r="BU381" s="783">
        <f t="shared" ca="1" si="379"/>
        <v>0</v>
      </c>
      <c r="BV381" s="783">
        <f t="shared" ca="1" si="380"/>
        <v>0</v>
      </c>
      <c r="BW381" s="1019">
        <f t="shared" ca="1" si="439"/>
        <v>0</v>
      </c>
      <c r="BX381" s="771" cm="1">
        <f t="array" aca="1" ref="BX381" ca="1">INDIRECT("'Definition of Typical Day'!"&amp; ADDRESS($D381+29*(BX$16-1),$E381))</f>
        <v>0</v>
      </c>
      <c r="BY381" s="771">
        <f t="shared" ca="1" si="440"/>
        <v>0</v>
      </c>
      <c r="BZ381" s="781">
        <f t="shared" ca="1" si="381"/>
        <v>0</v>
      </c>
      <c r="CA381" s="781">
        <f t="shared" ca="1" si="382"/>
        <v>0</v>
      </c>
      <c r="CB381" s="776">
        <f t="shared" ca="1" si="383"/>
        <v>0</v>
      </c>
      <c r="CC381" s="782">
        <f t="shared" si="384"/>
        <v>16</v>
      </c>
      <c r="CD381" s="782">
        <f t="shared" si="385"/>
        <v>1</v>
      </c>
      <c r="CE381" s="784" cm="1">
        <f t="array" aca="1" ref="CE381" ca="1">INDIRECT("'Definition of Typical Day'!"&amp;ADDRESS(CE$16,$E381))</f>
        <v>16</v>
      </c>
      <c r="CF381" s="232"/>
      <c r="CG381" s="232"/>
      <c r="CH381" s="776">
        <f t="shared" ca="1" si="386"/>
        <v>0</v>
      </c>
      <c r="CI381" s="806">
        <f t="shared" ca="1" si="387"/>
        <v>0</v>
      </c>
      <c r="CJ381" s="770">
        <f t="shared" ca="1" si="388"/>
        <v>0</v>
      </c>
      <c r="CK381" s="771">
        <f t="shared" ca="1" si="389"/>
        <v>0</v>
      </c>
      <c r="CL381" s="771">
        <f t="shared" ca="1" si="390"/>
        <v>0</v>
      </c>
      <c r="CM381" s="772">
        <f t="shared" ca="1" si="391"/>
        <v>0</v>
      </c>
      <c r="CN381" s="135"/>
      <c r="CO381" s="770">
        <f t="shared" ca="1" si="441"/>
        <v>1.05</v>
      </c>
      <c r="CP381" s="771">
        <f t="shared" ca="1" si="392"/>
        <v>0.02</v>
      </c>
      <c r="CQ381" s="771">
        <f t="shared" ca="1" si="393"/>
        <v>-2.5000000000000001E-2</v>
      </c>
      <c r="CR381" s="771">
        <f t="shared" ca="1" si="394"/>
        <v>0.95</v>
      </c>
      <c r="CS381" s="771">
        <f t="shared" ca="1" si="395"/>
        <v>0.03</v>
      </c>
      <c r="CT381" s="772">
        <f t="shared" ca="1" si="396"/>
        <v>0.02</v>
      </c>
      <c r="CU381" s="135"/>
      <c r="CV381" s="135"/>
      <c r="CW381" s="135"/>
      <c r="CX381" s="135"/>
      <c r="CY381" s="135"/>
      <c r="CZ381" s="135"/>
      <c r="DA381" s="135"/>
      <c r="DB381" s="135"/>
      <c r="DC381" s="135"/>
      <c r="DD381" s="135"/>
      <c r="DE381" s="135"/>
      <c r="DF381" s="135"/>
      <c r="DG381" s="135"/>
      <c r="DH381" s="135"/>
      <c r="DI381" s="135"/>
      <c r="DJ381" s="135"/>
      <c r="DK381" s="135"/>
      <c r="DL381" s="135"/>
      <c r="DX381" s="135"/>
      <c r="DY381" s="135"/>
      <c r="DZ381" s="135"/>
      <c r="EA381" s="135"/>
      <c r="EB381" s="135"/>
      <c r="EC381" s="135"/>
      <c r="ED381" s="135"/>
      <c r="EE381" s="135"/>
      <c r="EF381" s="135"/>
      <c r="EG381" s="135"/>
      <c r="EH381" s="135"/>
      <c r="EI381" s="135"/>
      <c r="EJ381" s="135"/>
      <c r="EK381" s="135"/>
      <c r="EL381" s="135"/>
      <c r="EM381" s="135"/>
      <c r="EN381" s="135"/>
      <c r="EO381" s="135"/>
      <c r="EP381" s="135"/>
      <c r="EQ381" s="135"/>
      <c r="ER381" s="135"/>
      <c r="ES381" s="135"/>
      <c r="ET381" s="135"/>
      <c r="EU381" s="135"/>
      <c r="EV381" s="135"/>
      <c r="EW381" s="135"/>
      <c r="EX381" s="135"/>
      <c r="EY381" s="135"/>
      <c r="EZ381" s="135"/>
      <c r="FA381" s="135"/>
      <c r="FB381" s="135"/>
      <c r="FC381" s="135"/>
      <c r="FD381" s="135"/>
      <c r="FE381" s="135"/>
      <c r="FF381" s="135"/>
      <c r="FG381" s="135"/>
    </row>
    <row r="382" spans="1:163" s="57" customFormat="1" ht="11.25" outlineLevel="1">
      <c r="A382" s="765">
        <f t="shared" si="442"/>
        <v>16</v>
      </c>
      <c r="B382" s="715" cm="1">
        <f t="array" aca="1" ref="B382" ca="1">INDIRECT("'Definition of Typical Day'!"&amp;ADDRESS(B$16,$E382))</f>
        <v>16</v>
      </c>
      <c r="C382" s="766">
        <f t="shared" si="443"/>
        <v>2</v>
      </c>
      <c r="D382" s="715">
        <f t="shared" si="443"/>
        <v>36</v>
      </c>
      <c r="E382" s="715">
        <f t="shared" si="371"/>
        <v>20</v>
      </c>
      <c r="F382" s="767" cm="1">
        <f t="array" aca="1" ref="F382" ca="1">INDIRECT("'Definition of Typical Day'!D"&amp;D382)</f>
        <v>2</v>
      </c>
      <c r="G382" s="767" cm="1">
        <f t="array" aca="1" ref="G382" ca="1">INDIRECT("'Definition of Typical Day'!"&amp;ADDRESS(13,E382))</f>
        <v>16</v>
      </c>
      <c r="H382" s="768" cm="1">
        <f t="array" aca="1" ref="H382" ca="1">INDIRECT("'Definition of Typical Day'!"&amp; ADDRESS($D382+28*(H$16-1),$E382))</f>
        <v>0</v>
      </c>
      <c r="I382" s="715" cm="1">
        <f t="array" aca="1" ref="I382" ca="1">INDIRECT("'Definition of Typical Day'!"&amp; ADDRESS($D382+29*(I$16-1),$E382))</f>
        <v>0</v>
      </c>
      <c r="J382" s="715">
        <f t="shared" ca="1" si="397"/>
        <v>0</v>
      </c>
      <c r="K382" s="785">
        <f t="shared" si="398"/>
        <v>28</v>
      </c>
      <c r="L382" s="786" cm="1">
        <f t="array" aca="1" ref="L382" ca="1">INDIRECT("'Definition of Typical Day'!"&amp; ADDRESS($D382+29*(L$16-1),$E382))</f>
        <v>0</v>
      </c>
      <c r="M382" s="768" cm="1">
        <f t="array" aca="1" ref="M382" ca="1">INDIRECT("'Definition of Typical Day'!"&amp; ADDRESS($D382+29*(M$16-1),$E382))</f>
        <v>0</v>
      </c>
      <c r="N382" s="715">
        <f t="shared" si="399"/>
        <v>3</v>
      </c>
      <c r="O382" s="715">
        <f t="shared" ca="1" si="400"/>
        <v>3</v>
      </c>
      <c r="P382" s="715" cm="1">
        <f t="array" aca="1" ref="P382" ca="1">INDIRECT("'Definition of Typical Day'!"&amp; ADDRESS($D382+29*(P$16-1),$E382))</f>
        <v>0</v>
      </c>
      <c r="Q382" s="787">
        <f t="shared" ca="1" si="401"/>
        <v>3</v>
      </c>
      <c r="R382" s="792">
        <f t="shared" ca="1" si="402"/>
        <v>3</v>
      </c>
      <c r="S382" s="769">
        <f t="shared" si="403"/>
        <v>3</v>
      </c>
      <c r="T382" s="769">
        <f t="shared" ca="1" si="404"/>
        <v>-0.5</v>
      </c>
      <c r="U382" s="769">
        <f t="shared" ca="1" si="405"/>
        <v>2.262</v>
      </c>
      <c r="V382" s="769">
        <f t="shared" ca="1" si="406"/>
        <v>0</v>
      </c>
      <c r="W382" s="769">
        <f t="shared" ca="1" si="407"/>
        <v>4.7620000000000005</v>
      </c>
      <c r="X382" s="794">
        <f t="shared" si="408"/>
        <v>3</v>
      </c>
      <c r="Y382" s="769">
        <f t="shared" ca="1" si="409"/>
        <v>0.54772255750516607</v>
      </c>
      <c r="Z382" s="769">
        <f t="shared" ca="1" si="410"/>
        <v>0</v>
      </c>
      <c r="AA382" s="795">
        <f t="shared" ca="1" si="411"/>
        <v>0</v>
      </c>
      <c r="AB382" s="769">
        <f t="shared" ca="1" si="412"/>
        <v>0</v>
      </c>
      <c r="AC382" s="769">
        <f t="shared" ca="1" si="413"/>
        <v>0</v>
      </c>
      <c r="AD382" s="769">
        <f t="shared" ca="1" si="414"/>
        <v>0</v>
      </c>
      <c r="AE382" s="794">
        <f t="shared" ca="1" si="415"/>
        <v>0</v>
      </c>
      <c r="AF382" s="769">
        <f t="shared" ca="1" si="416"/>
        <v>0</v>
      </c>
      <c r="AG382" s="769">
        <f t="shared" ca="1" si="417"/>
        <v>0</v>
      </c>
      <c r="AH382" s="799">
        <f t="shared" ca="1" si="418"/>
        <v>0</v>
      </c>
      <c r="AI382" s="801">
        <f t="shared" ca="1" si="419"/>
        <v>1</v>
      </c>
      <c r="AJ382" s="794">
        <f t="shared" ca="1" si="420"/>
        <v>0</v>
      </c>
      <c r="AK382" s="769">
        <f t="shared" ca="1" si="421"/>
        <v>0</v>
      </c>
      <c r="AL382" s="769">
        <f t="shared" ca="1" si="422"/>
        <v>0</v>
      </c>
      <c r="AM382" s="804">
        <f t="shared" ca="1" si="372"/>
        <v>0</v>
      </c>
      <c r="AN382" s="795">
        <f t="shared" ca="1" si="373"/>
        <v>0</v>
      </c>
      <c r="AO382" s="251"/>
      <c r="AP382" s="770">
        <f t="shared" si="423"/>
        <v>0</v>
      </c>
      <c r="AQ382" s="771">
        <f t="shared" ca="1" si="424"/>
        <v>0</v>
      </c>
      <c r="AR382" s="771">
        <f t="shared" ca="1" si="425"/>
        <v>0</v>
      </c>
      <c r="AS382" s="772">
        <f t="shared" ca="1" si="426"/>
        <v>0</v>
      </c>
      <c r="AT382" s="231"/>
      <c r="AU382" s="770">
        <f>'Main Results - IRR DC Operator'!$F$16</f>
        <v>2</v>
      </c>
      <c r="AV382" s="773">
        <f>'Main Results - IRR DC Operator'!$F$15</f>
        <v>1</v>
      </c>
      <c r="AW382" s="771">
        <f t="shared" ca="1" si="427"/>
        <v>0</v>
      </c>
      <c r="AX382" s="772">
        <f t="shared" si="428"/>
        <v>0</v>
      </c>
      <c r="AY382" s="231"/>
      <c r="AZ382" s="770" cm="1">
        <f t="array" aca="1" ref="AZ382" ca="1">INDIRECT("'Definition of Typical Day'!"&amp; ADDRESS($D382+29*(AZ$16-1),$E382))+$AZ$17</f>
        <v>11</v>
      </c>
      <c r="BA382" s="771" cm="1">
        <f t="array" aca="1" ref="BA382" ca="1">INDIRECT("'Definition of Typical Day'!"&amp; ADDRESS($D382+29*(BA$16-1),$E382))+$BA$17</f>
        <v>11</v>
      </c>
      <c r="BB382" s="772" cm="1">
        <f t="array" aca="1" ref="BB382" ca="1">INDIRECT("'Definition of Typical Day'!"&amp;ADDRESS(BB$16,$E382))</f>
        <v>0</v>
      </c>
      <c r="BC382" s="776" cm="1">
        <f t="array" aca="1" ref="BC382" ca="1">INDIRECT("'Definition of Typical Day'!"&amp; ADDRESS($D382+29*(BC$16-1),$E382))</f>
        <v>0</v>
      </c>
      <c r="BD382" s="777" cm="1">
        <f t="array" aca="1" ref="BD382" ca="1">INDIRECT("'Definition of Typical Day'!"&amp; ADDRESS($D382+29*(BD$16-1),$E382))</f>
        <v>0</v>
      </c>
      <c r="BE382" s="776">
        <f t="shared" si="429"/>
        <v>0</v>
      </c>
      <c r="BF382" s="771">
        <f t="shared" ca="1" si="430"/>
        <v>0</v>
      </c>
      <c r="BG382" s="771">
        <f t="shared" ca="1" si="431"/>
        <v>0</v>
      </c>
      <c r="BH382" s="771">
        <f t="shared" ca="1" si="432"/>
        <v>0</v>
      </c>
      <c r="BI382" s="776">
        <f t="shared" ca="1" si="433"/>
        <v>0</v>
      </c>
      <c r="BJ382" s="776">
        <f t="shared" ca="1" si="434"/>
        <v>0</v>
      </c>
      <c r="BK382" s="776">
        <f t="shared" ca="1" si="435"/>
        <v>0</v>
      </c>
      <c r="BL382" s="776">
        <f t="shared" ca="1" si="436"/>
        <v>0</v>
      </c>
      <c r="BM382" s="135"/>
      <c r="BN382" s="776">
        <f t="shared" ca="1" si="437"/>
        <v>0</v>
      </c>
      <c r="BO382" s="778">
        <f t="shared" ca="1" si="374"/>
        <v>0</v>
      </c>
      <c r="BP382" s="770">
        <f t="shared" ca="1" si="375"/>
        <v>0</v>
      </c>
      <c r="BQ382" s="771">
        <f t="shared" ca="1" si="376"/>
        <v>0</v>
      </c>
      <c r="BR382" s="771">
        <f t="shared" ca="1" si="377"/>
        <v>0</v>
      </c>
      <c r="BS382" s="776">
        <f t="shared" ca="1" si="438"/>
        <v>0</v>
      </c>
      <c r="BT382" s="776">
        <f t="shared" ca="1" si="378"/>
        <v>0</v>
      </c>
      <c r="BU382" s="783">
        <f t="shared" ca="1" si="379"/>
        <v>0</v>
      </c>
      <c r="BV382" s="783">
        <f t="shared" ca="1" si="380"/>
        <v>0</v>
      </c>
      <c r="BW382" s="1019">
        <f t="shared" ca="1" si="439"/>
        <v>0</v>
      </c>
      <c r="BX382" s="771" cm="1">
        <f t="array" aca="1" ref="BX382" ca="1">INDIRECT("'Definition of Typical Day'!"&amp; ADDRESS($D382+29*(BX$16-1),$E382))</f>
        <v>0</v>
      </c>
      <c r="BY382" s="771">
        <f t="shared" ca="1" si="440"/>
        <v>0</v>
      </c>
      <c r="BZ382" s="781">
        <f t="shared" ca="1" si="381"/>
        <v>0</v>
      </c>
      <c r="CA382" s="781">
        <f t="shared" ca="1" si="382"/>
        <v>0</v>
      </c>
      <c r="CB382" s="776">
        <f t="shared" ca="1" si="383"/>
        <v>0</v>
      </c>
      <c r="CC382" s="782">
        <f t="shared" si="384"/>
        <v>16</v>
      </c>
      <c r="CD382" s="782">
        <f t="shared" si="385"/>
        <v>2</v>
      </c>
      <c r="CE382" s="784" cm="1">
        <f t="array" aca="1" ref="CE382" ca="1">INDIRECT("'Definition of Typical Day'!"&amp;ADDRESS(CE$16,$E382))</f>
        <v>16</v>
      </c>
      <c r="CF382" s="232"/>
      <c r="CG382" s="232"/>
      <c r="CH382" s="776">
        <f t="shared" ca="1" si="386"/>
        <v>0</v>
      </c>
      <c r="CI382" s="806">
        <f t="shared" ca="1" si="387"/>
        <v>0</v>
      </c>
      <c r="CJ382" s="770">
        <f t="shared" ca="1" si="388"/>
        <v>0</v>
      </c>
      <c r="CK382" s="771">
        <f t="shared" ca="1" si="389"/>
        <v>0</v>
      </c>
      <c r="CL382" s="771">
        <f t="shared" ca="1" si="390"/>
        <v>0</v>
      </c>
      <c r="CM382" s="772">
        <f t="shared" ca="1" si="391"/>
        <v>0</v>
      </c>
      <c r="CN382" s="135"/>
      <c r="CO382" s="770">
        <f t="shared" ca="1" si="441"/>
        <v>1.05</v>
      </c>
      <c r="CP382" s="771">
        <f t="shared" ca="1" si="392"/>
        <v>0.02</v>
      </c>
      <c r="CQ382" s="771">
        <f t="shared" ca="1" si="393"/>
        <v>-2.5000000000000001E-2</v>
      </c>
      <c r="CR382" s="771">
        <f t="shared" ca="1" si="394"/>
        <v>0.95</v>
      </c>
      <c r="CS382" s="771">
        <f t="shared" ca="1" si="395"/>
        <v>0.03</v>
      </c>
      <c r="CT382" s="772">
        <f t="shared" ca="1" si="396"/>
        <v>0.02</v>
      </c>
      <c r="CU382" s="135"/>
      <c r="CV382" s="135"/>
      <c r="CW382" s="135"/>
      <c r="CX382" s="135"/>
      <c r="CY382" s="135"/>
      <c r="CZ382" s="135"/>
      <c r="DA382" s="135"/>
      <c r="DB382" s="135"/>
      <c r="DC382" s="135"/>
      <c r="DD382" s="135"/>
      <c r="DE382" s="135"/>
      <c r="DF382" s="135"/>
      <c r="DG382" s="135"/>
      <c r="DH382" s="135"/>
      <c r="DI382" s="135"/>
      <c r="DJ382" s="135"/>
      <c r="DK382" s="135"/>
      <c r="DL382" s="135"/>
      <c r="DX382" s="135"/>
      <c r="DY382" s="135"/>
      <c r="DZ382" s="135"/>
      <c r="EA382" s="135"/>
      <c r="EB382" s="135"/>
      <c r="EC382" s="135"/>
      <c r="ED382" s="135"/>
      <c r="EE382" s="135"/>
      <c r="EF382" s="135"/>
      <c r="EG382" s="135"/>
      <c r="EH382" s="135"/>
      <c r="EI382" s="135"/>
      <c r="EJ382" s="135"/>
      <c r="EK382" s="135"/>
      <c r="EL382" s="135"/>
      <c r="EM382" s="135"/>
      <c r="EN382" s="135"/>
      <c r="EO382" s="135"/>
      <c r="EP382" s="135"/>
      <c r="EQ382" s="135"/>
      <c r="ER382" s="135"/>
      <c r="ES382" s="135"/>
      <c r="ET382" s="135"/>
      <c r="EU382" s="135"/>
      <c r="EV382" s="135"/>
      <c r="EW382" s="135"/>
      <c r="EX382" s="135"/>
      <c r="EY382" s="135"/>
      <c r="EZ382" s="135"/>
      <c r="FA382" s="135"/>
      <c r="FB382" s="135"/>
      <c r="FC382" s="135"/>
      <c r="FD382" s="135"/>
      <c r="FE382" s="135"/>
      <c r="FF382" s="135"/>
      <c r="FG382" s="135"/>
    </row>
    <row r="383" spans="1:163" s="57" customFormat="1" ht="11.25" outlineLevel="1">
      <c r="A383" s="765">
        <f t="shared" si="442"/>
        <v>16</v>
      </c>
      <c r="B383" s="715" cm="1">
        <f t="array" aca="1" ref="B383" ca="1">INDIRECT("'Definition of Typical Day'!"&amp;ADDRESS(B$16,$E383))</f>
        <v>16</v>
      </c>
      <c r="C383" s="766">
        <f t="shared" si="443"/>
        <v>3</v>
      </c>
      <c r="D383" s="715">
        <f t="shared" si="443"/>
        <v>37</v>
      </c>
      <c r="E383" s="715">
        <f t="shared" si="371"/>
        <v>20</v>
      </c>
      <c r="F383" s="767" cm="1">
        <f t="array" aca="1" ref="F383" ca="1">INDIRECT("'Definition of Typical Day'!D"&amp;D383)</f>
        <v>3</v>
      </c>
      <c r="G383" s="767" cm="1">
        <f t="array" aca="1" ref="G383" ca="1">INDIRECT("'Definition of Typical Day'!"&amp;ADDRESS(13,E383))</f>
        <v>16</v>
      </c>
      <c r="H383" s="768" cm="1">
        <f t="array" aca="1" ref="H383" ca="1">INDIRECT("'Definition of Typical Day'!"&amp; ADDRESS($D383+28*(H$16-1),$E383))</f>
        <v>0</v>
      </c>
      <c r="I383" s="715" cm="1">
        <f t="array" aca="1" ref="I383" ca="1">INDIRECT("'Definition of Typical Day'!"&amp; ADDRESS($D383+29*(I$16-1),$E383))</f>
        <v>0</v>
      </c>
      <c r="J383" s="715">
        <f t="shared" ca="1" si="397"/>
        <v>0</v>
      </c>
      <c r="K383" s="785">
        <f t="shared" si="398"/>
        <v>28</v>
      </c>
      <c r="L383" s="786" cm="1">
        <f t="array" aca="1" ref="L383" ca="1">INDIRECT("'Definition of Typical Day'!"&amp; ADDRESS($D383+29*(L$16-1),$E383))</f>
        <v>0</v>
      </c>
      <c r="M383" s="768" cm="1">
        <f t="array" aca="1" ref="M383" ca="1">INDIRECT("'Definition of Typical Day'!"&amp; ADDRESS($D383+29*(M$16-1),$E383))</f>
        <v>0</v>
      </c>
      <c r="N383" s="715">
        <f t="shared" si="399"/>
        <v>3</v>
      </c>
      <c r="O383" s="715">
        <f t="shared" ca="1" si="400"/>
        <v>3</v>
      </c>
      <c r="P383" s="715" cm="1">
        <f t="array" aca="1" ref="P383" ca="1">INDIRECT("'Definition of Typical Day'!"&amp; ADDRESS($D383+29*(P$16-1),$E383))</f>
        <v>0</v>
      </c>
      <c r="Q383" s="787">
        <f t="shared" ca="1" si="401"/>
        <v>3</v>
      </c>
      <c r="R383" s="792">
        <f t="shared" ca="1" si="402"/>
        <v>3</v>
      </c>
      <c r="S383" s="769">
        <f t="shared" si="403"/>
        <v>3</v>
      </c>
      <c r="T383" s="769">
        <f t="shared" ca="1" si="404"/>
        <v>-0.5</v>
      </c>
      <c r="U383" s="769">
        <f t="shared" ca="1" si="405"/>
        <v>2.262</v>
      </c>
      <c r="V383" s="769">
        <f t="shared" ca="1" si="406"/>
        <v>0</v>
      </c>
      <c r="W383" s="769">
        <f t="shared" ca="1" si="407"/>
        <v>4.7620000000000005</v>
      </c>
      <c r="X383" s="794">
        <f t="shared" si="408"/>
        <v>3</v>
      </c>
      <c r="Y383" s="769">
        <f t="shared" ca="1" si="409"/>
        <v>0.54772255750516607</v>
      </c>
      <c r="Z383" s="769">
        <f t="shared" ca="1" si="410"/>
        <v>0</v>
      </c>
      <c r="AA383" s="795">
        <f t="shared" ca="1" si="411"/>
        <v>0</v>
      </c>
      <c r="AB383" s="769">
        <f t="shared" ca="1" si="412"/>
        <v>0</v>
      </c>
      <c r="AC383" s="769">
        <f t="shared" ca="1" si="413"/>
        <v>0</v>
      </c>
      <c r="AD383" s="769">
        <f t="shared" ca="1" si="414"/>
        <v>0</v>
      </c>
      <c r="AE383" s="794">
        <f t="shared" ca="1" si="415"/>
        <v>0</v>
      </c>
      <c r="AF383" s="769">
        <f t="shared" ca="1" si="416"/>
        <v>0</v>
      </c>
      <c r="AG383" s="769">
        <f t="shared" ca="1" si="417"/>
        <v>0</v>
      </c>
      <c r="AH383" s="799">
        <f t="shared" ca="1" si="418"/>
        <v>0</v>
      </c>
      <c r="AI383" s="801">
        <f t="shared" ca="1" si="419"/>
        <v>1</v>
      </c>
      <c r="AJ383" s="794">
        <f t="shared" ca="1" si="420"/>
        <v>0</v>
      </c>
      <c r="AK383" s="769">
        <f t="shared" ca="1" si="421"/>
        <v>0</v>
      </c>
      <c r="AL383" s="769">
        <f t="shared" ca="1" si="422"/>
        <v>0</v>
      </c>
      <c r="AM383" s="804">
        <f t="shared" ca="1" si="372"/>
        <v>0</v>
      </c>
      <c r="AN383" s="795">
        <f t="shared" ca="1" si="373"/>
        <v>0</v>
      </c>
      <c r="AO383" s="251"/>
      <c r="AP383" s="770">
        <f t="shared" si="423"/>
        <v>0</v>
      </c>
      <c r="AQ383" s="771">
        <f t="shared" ca="1" si="424"/>
        <v>0</v>
      </c>
      <c r="AR383" s="771">
        <f t="shared" ca="1" si="425"/>
        <v>0</v>
      </c>
      <c r="AS383" s="772">
        <f t="shared" ca="1" si="426"/>
        <v>0</v>
      </c>
      <c r="AT383" s="231"/>
      <c r="AU383" s="770">
        <f>'Main Results - IRR DC Operator'!$F$16</f>
        <v>2</v>
      </c>
      <c r="AV383" s="773">
        <f>'Main Results - IRR DC Operator'!$F$15</f>
        <v>1</v>
      </c>
      <c r="AW383" s="771">
        <f t="shared" ca="1" si="427"/>
        <v>0</v>
      </c>
      <c r="AX383" s="772">
        <f t="shared" si="428"/>
        <v>0</v>
      </c>
      <c r="AY383" s="231"/>
      <c r="AZ383" s="770" cm="1">
        <f t="array" aca="1" ref="AZ383" ca="1">INDIRECT("'Definition of Typical Day'!"&amp; ADDRESS($D383+29*(AZ$16-1),$E383))+$AZ$17</f>
        <v>11</v>
      </c>
      <c r="BA383" s="771" cm="1">
        <f t="array" aca="1" ref="BA383" ca="1">INDIRECT("'Definition of Typical Day'!"&amp; ADDRESS($D383+29*(BA$16-1),$E383))+$BA$17</f>
        <v>11</v>
      </c>
      <c r="BB383" s="772" cm="1">
        <f t="array" aca="1" ref="BB383" ca="1">INDIRECT("'Definition of Typical Day'!"&amp;ADDRESS(BB$16,$E383))</f>
        <v>0</v>
      </c>
      <c r="BC383" s="776" cm="1">
        <f t="array" aca="1" ref="BC383" ca="1">INDIRECT("'Definition of Typical Day'!"&amp; ADDRESS($D383+29*(BC$16-1),$E383))</f>
        <v>0</v>
      </c>
      <c r="BD383" s="777" cm="1">
        <f t="array" aca="1" ref="BD383" ca="1">INDIRECT("'Definition of Typical Day'!"&amp; ADDRESS($D383+29*(BD$16-1),$E383))</f>
        <v>0</v>
      </c>
      <c r="BE383" s="776">
        <f t="shared" si="429"/>
        <v>0</v>
      </c>
      <c r="BF383" s="771">
        <f t="shared" ca="1" si="430"/>
        <v>0</v>
      </c>
      <c r="BG383" s="771">
        <f t="shared" ca="1" si="431"/>
        <v>0</v>
      </c>
      <c r="BH383" s="771">
        <f t="shared" ca="1" si="432"/>
        <v>0</v>
      </c>
      <c r="BI383" s="776">
        <f t="shared" ca="1" si="433"/>
        <v>0</v>
      </c>
      <c r="BJ383" s="776">
        <f t="shared" ca="1" si="434"/>
        <v>0</v>
      </c>
      <c r="BK383" s="776">
        <f t="shared" ca="1" si="435"/>
        <v>0</v>
      </c>
      <c r="BL383" s="776">
        <f t="shared" ca="1" si="436"/>
        <v>0</v>
      </c>
      <c r="BM383" s="135"/>
      <c r="BN383" s="776">
        <f t="shared" ca="1" si="437"/>
        <v>0</v>
      </c>
      <c r="BO383" s="778">
        <f t="shared" ca="1" si="374"/>
        <v>0</v>
      </c>
      <c r="BP383" s="770">
        <f t="shared" ca="1" si="375"/>
        <v>0</v>
      </c>
      <c r="BQ383" s="771">
        <f t="shared" ca="1" si="376"/>
        <v>0</v>
      </c>
      <c r="BR383" s="771">
        <f t="shared" ca="1" si="377"/>
        <v>0</v>
      </c>
      <c r="BS383" s="776">
        <f t="shared" ca="1" si="438"/>
        <v>0</v>
      </c>
      <c r="BT383" s="776">
        <f t="shared" ca="1" si="378"/>
        <v>0</v>
      </c>
      <c r="BU383" s="783">
        <f t="shared" ca="1" si="379"/>
        <v>0</v>
      </c>
      <c r="BV383" s="783">
        <f t="shared" ca="1" si="380"/>
        <v>0</v>
      </c>
      <c r="BW383" s="1019">
        <f t="shared" ca="1" si="439"/>
        <v>0</v>
      </c>
      <c r="BX383" s="771" cm="1">
        <f t="array" aca="1" ref="BX383" ca="1">INDIRECT("'Definition of Typical Day'!"&amp; ADDRESS($D383+29*(BX$16-1),$E383))</f>
        <v>0</v>
      </c>
      <c r="BY383" s="771">
        <f t="shared" ca="1" si="440"/>
        <v>0</v>
      </c>
      <c r="BZ383" s="781">
        <f t="shared" ca="1" si="381"/>
        <v>0</v>
      </c>
      <c r="CA383" s="781">
        <f t="shared" ca="1" si="382"/>
        <v>0</v>
      </c>
      <c r="CB383" s="776">
        <f t="shared" ca="1" si="383"/>
        <v>0</v>
      </c>
      <c r="CC383" s="782">
        <f t="shared" si="384"/>
        <v>16</v>
      </c>
      <c r="CD383" s="782">
        <f t="shared" si="385"/>
        <v>3</v>
      </c>
      <c r="CE383" s="784" cm="1">
        <f t="array" aca="1" ref="CE383" ca="1">INDIRECT("'Definition of Typical Day'!"&amp;ADDRESS(CE$16,$E383))</f>
        <v>16</v>
      </c>
      <c r="CF383" s="232"/>
      <c r="CG383" s="232"/>
      <c r="CH383" s="776">
        <f t="shared" ca="1" si="386"/>
        <v>0</v>
      </c>
      <c r="CI383" s="806">
        <f t="shared" ca="1" si="387"/>
        <v>0</v>
      </c>
      <c r="CJ383" s="770">
        <f t="shared" ca="1" si="388"/>
        <v>0</v>
      </c>
      <c r="CK383" s="771">
        <f t="shared" ca="1" si="389"/>
        <v>0</v>
      </c>
      <c r="CL383" s="771">
        <f t="shared" ca="1" si="390"/>
        <v>0</v>
      </c>
      <c r="CM383" s="772">
        <f t="shared" ca="1" si="391"/>
        <v>0</v>
      </c>
      <c r="CN383" s="135"/>
      <c r="CO383" s="770">
        <f t="shared" ca="1" si="441"/>
        <v>1.05</v>
      </c>
      <c r="CP383" s="771">
        <f t="shared" ca="1" si="392"/>
        <v>0.02</v>
      </c>
      <c r="CQ383" s="771">
        <f t="shared" ca="1" si="393"/>
        <v>-2.5000000000000001E-2</v>
      </c>
      <c r="CR383" s="771">
        <f t="shared" ca="1" si="394"/>
        <v>0.95</v>
      </c>
      <c r="CS383" s="771">
        <f t="shared" ca="1" si="395"/>
        <v>0.03</v>
      </c>
      <c r="CT383" s="772">
        <f t="shared" ca="1" si="396"/>
        <v>0.02</v>
      </c>
      <c r="CU383" s="135"/>
      <c r="CV383" s="135"/>
      <c r="CW383" s="135"/>
      <c r="CX383" s="135"/>
      <c r="CY383" s="135"/>
      <c r="CZ383" s="135"/>
      <c r="DA383" s="135"/>
      <c r="DB383" s="135"/>
      <c r="DC383" s="135"/>
      <c r="DD383" s="135"/>
      <c r="DE383" s="135"/>
      <c r="DF383" s="135"/>
      <c r="DG383" s="135"/>
      <c r="DH383" s="135"/>
      <c r="DI383" s="135"/>
      <c r="DJ383" s="135"/>
      <c r="DK383" s="135"/>
      <c r="DL383" s="135"/>
      <c r="DX383" s="135"/>
      <c r="DY383" s="135"/>
      <c r="DZ383" s="135"/>
      <c r="EA383" s="135"/>
      <c r="EB383" s="135"/>
      <c r="EC383" s="135"/>
      <c r="ED383" s="135"/>
      <c r="EE383" s="135"/>
      <c r="EF383" s="135"/>
      <c r="EG383" s="135"/>
      <c r="EH383" s="135"/>
      <c r="EI383" s="135"/>
      <c r="EJ383" s="135"/>
      <c r="EK383" s="135"/>
      <c r="EL383" s="135"/>
      <c r="EM383" s="135"/>
      <c r="EN383" s="135"/>
      <c r="EO383" s="135"/>
      <c r="EP383" s="135"/>
      <c r="EQ383" s="135"/>
      <c r="ER383" s="135"/>
      <c r="ES383" s="135"/>
      <c r="ET383" s="135"/>
      <c r="EU383" s="135"/>
      <c r="EV383" s="135"/>
      <c r="EW383" s="135"/>
      <c r="EX383" s="135"/>
      <c r="EY383" s="135"/>
      <c r="EZ383" s="135"/>
      <c r="FA383" s="135"/>
      <c r="FB383" s="135"/>
      <c r="FC383" s="135"/>
      <c r="FD383" s="135"/>
      <c r="FE383" s="135"/>
      <c r="FF383" s="135"/>
      <c r="FG383" s="135"/>
    </row>
    <row r="384" spans="1:163" s="57" customFormat="1" ht="11.25" outlineLevel="1">
      <c r="A384" s="765">
        <f t="shared" si="442"/>
        <v>16</v>
      </c>
      <c r="B384" s="715" cm="1">
        <f t="array" aca="1" ref="B384" ca="1">INDIRECT("'Definition of Typical Day'!"&amp;ADDRESS(B$16,$E384))</f>
        <v>16</v>
      </c>
      <c r="C384" s="766">
        <f t="shared" si="443"/>
        <v>4</v>
      </c>
      <c r="D384" s="715">
        <f t="shared" si="443"/>
        <v>38</v>
      </c>
      <c r="E384" s="715">
        <f t="shared" si="371"/>
        <v>20</v>
      </c>
      <c r="F384" s="767" cm="1">
        <f t="array" aca="1" ref="F384" ca="1">INDIRECT("'Definition of Typical Day'!D"&amp;D384)</f>
        <v>4</v>
      </c>
      <c r="G384" s="767" cm="1">
        <f t="array" aca="1" ref="G384" ca="1">INDIRECT("'Definition of Typical Day'!"&amp;ADDRESS(13,E384))</f>
        <v>16</v>
      </c>
      <c r="H384" s="768" cm="1">
        <f t="array" aca="1" ref="H384" ca="1">INDIRECT("'Definition of Typical Day'!"&amp; ADDRESS($D384+28*(H$16-1),$E384))</f>
        <v>0</v>
      </c>
      <c r="I384" s="715" cm="1">
        <f t="array" aca="1" ref="I384" ca="1">INDIRECT("'Definition of Typical Day'!"&amp; ADDRESS($D384+29*(I$16-1),$E384))</f>
        <v>0</v>
      </c>
      <c r="J384" s="715">
        <f t="shared" ca="1" si="397"/>
        <v>0</v>
      </c>
      <c r="K384" s="785">
        <f t="shared" si="398"/>
        <v>28</v>
      </c>
      <c r="L384" s="786" cm="1">
        <f t="array" aca="1" ref="L384" ca="1">INDIRECT("'Definition of Typical Day'!"&amp; ADDRESS($D384+29*(L$16-1),$E384))</f>
        <v>0</v>
      </c>
      <c r="M384" s="768" cm="1">
        <f t="array" aca="1" ref="M384" ca="1">INDIRECT("'Definition of Typical Day'!"&amp; ADDRESS($D384+29*(M$16-1),$E384))</f>
        <v>0</v>
      </c>
      <c r="N384" s="715">
        <f t="shared" si="399"/>
        <v>3</v>
      </c>
      <c r="O384" s="715">
        <f t="shared" ca="1" si="400"/>
        <v>3</v>
      </c>
      <c r="P384" s="715" cm="1">
        <f t="array" aca="1" ref="P384" ca="1">INDIRECT("'Definition of Typical Day'!"&amp; ADDRESS($D384+29*(P$16-1),$E384))</f>
        <v>0</v>
      </c>
      <c r="Q384" s="787">
        <f t="shared" ca="1" si="401"/>
        <v>3</v>
      </c>
      <c r="R384" s="792">
        <f t="shared" ca="1" si="402"/>
        <v>3</v>
      </c>
      <c r="S384" s="769">
        <f t="shared" si="403"/>
        <v>3</v>
      </c>
      <c r="T384" s="769">
        <f t="shared" ca="1" si="404"/>
        <v>-0.5</v>
      </c>
      <c r="U384" s="769">
        <f t="shared" ca="1" si="405"/>
        <v>2.262</v>
      </c>
      <c r="V384" s="769">
        <f t="shared" ca="1" si="406"/>
        <v>0</v>
      </c>
      <c r="W384" s="769">
        <f t="shared" ca="1" si="407"/>
        <v>4.7620000000000005</v>
      </c>
      <c r="X384" s="794">
        <f t="shared" si="408"/>
        <v>3</v>
      </c>
      <c r="Y384" s="769">
        <f t="shared" ca="1" si="409"/>
        <v>0.54772255750516607</v>
      </c>
      <c r="Z384" s="769">
        <f t="shared" ca="1" si="410"/>
        <v>0</v>
      </c>
      <c r="AA384" s="795">
        <f t="shared" ca="1" si="411"/>
        <v>0</v>
      </c>
      <c r="AB384" s="769">
        <f t="shared" ca="1" si="412"/>
        <v>0</v>
      </c>
      <c r="AC384" s="769">
        <f t="shared" ca="1" si="413"/>
        <v>0</v>
      </c>
      <c r="AD384" s="769">
        <f t="shared" ca="1" si="414"/>
        <v>0</v>
      </c>
      <c r="AE384" s="794">
        <f t="shared" ca="1" si="415"/>
        <v>0</v>
      </c>
      <c r="AF384" s="769">
        <f t="shared" ca="1" si="416"/>
        <v>0</v>
      </c>
      <c r="AG384" s="769">
        <f t="shared" ca="1" si="417"/>
        <v>0</v>
      </c>
      <c r="AH384" s="799">
        <f t="shared" ca="1" si="418"/>
        <v>0</v>
      </c>
      <c r="AI384" s="801">
        <f t="shared" ca="1" si="419"/>
        <v>1</v>
      </c>
      <c r="AJ384" s="794">
        <f t="shared" ca="1" si="420"/>
        <v>0</v>
      </c>
      <c r="AK384" s="769">
        <f t="shared" ca="1" si="421"/>
        <v>0</v>
      </c>
      <c r="AL384" s="769">
        <f t="shared" ca="1" si="422"/>
        <v>0</v>
      </c>
      <c r="AM384" s="804">
        <f t="shared" ca="1" si="372"/>
        <v>0</v>
      </c>
      <c r="AN384" s="795">
        <f t="shared" ca="1" si="373"/>
        <v>0</v>
      </c>
      <c r="AO384" s="251"/>
      <c r="AP384" s="770">
        <f t="shared" si="423"/>
        <v>0</v>
      </c>
      <c r="AQ384" s="771">
        <f t="shared" ca="1" si="424"/>
        <v>0</v>
      </c>
      <c r="AR384" s="771">
        <f t="shared" ca="1" si="425"/>
        <v>0</v>
      </c>
      <c r="AS384" s="772">
        <f t="shared" ca="1" si="426"/>
        <v>0</v>
      </c>
      <c r="AT384" s="231"/>
      <c r="AU384" s="770">
        <f>'Main Results - IRR DC Operator'!$F$16</f>
        <v>2</v>
      </c>
      <c r="AV384" s="773">
        <f>'Main Results - IRR DC Operator'!$F$15</f>
        <v>1</v>
      </c>
      <c r="AW384" s="771">
        <f t="shared" ca="1" si="427"/>
        <v>0</v>
      </c>
      <c r="AX384" s="772">
        <f t="shared" si="428"/>
        <v>0</v>
      </c>
      <c r="AY384" s="231"/>
      <c r="AZ384" s="770" cm="1">
        <f t="array" aca="1" ref="AZ384" ca="1">INDIRECT("'Definition of Typical Day'!"&amp; ADDRESS($D384+29*(AZ$16-1),$E384))+$AZ$17</f>
        <v>11</v>
      </c>
      <c r="BA384" s="771" cm="1">
        <f t="array" aca="1" ref="BA384" ca="1">INDIRECT("'Definition of Typical Day'!"&amp; ADDRESS($D384+29*(BA$16-1),$E384))+$BA$17</f>
        <v>11</v>
      </c>
      <c r="BB384" s="772" cm="1">
        <f t="array" aca="1" ref="BB384" ca="1">INDIRECT("'Definition of Typical Day'!"&amp;ADDRESS(BB$16,$E384))</f>
        <v>0</v>
      </c>
      <c r="BC384" s="776" cm="1">
        <f t="array" aca="1" ref="BC384" ca="1">INDIRECT("'Definition of Typical Day'!"&amp; ADDRESS($D384+29*(BC$16-1),$E384))</f>
        <v>0</v>
      </c>
      <c r="BD384" s="777" cm="1">
        <f t="array" aca="1" ref="BD384" ca="1">INDIRECT("'Definition of Typical Day'!"&amp; ADDRESS($D384+29*(BD$16-1),$E384))</f>
        <v>0</v>
      </c>
      <c r="BE384" s="776">
        <f t="shared" si="429"/>
        <v>0</v>
      </c>
      <c r="BF384" s="771">
        <f t="shared" ca="1" si="430"/>
        <v>0</v>
      </c>
      <c r="BG384" s="771">
        <f t="shared" ca="1" si="431"/>
        <v>0</v>
      </c>
      <c r="BH384" s="771">
        <f t="shared" ca="1" si="432"/>
        <v>0</v>
      </c>
      <c r="BI384" s="776">
        <f t="shared" ca="1" si="433"/>
        <v>0</v>
      </c>
      <c r="BJ384" s="776">
        <f t="shared" ca="1" si="434"/>
        <v>0</v>
      </c>
      <c r="BK384" s="776">
        <f t="shared" ca="1" si="435"/>
        <v>0</v>
      </c>
      <c r="BL384" s="776">
        <f t="shared" ca="1" si="436"/>
        <v>0</v>
      </c>
      <c r="BM384" s="135"/>
      <c r="BN384" s="776">
        <f t="shared" ca="1" si="437"/>
        <v>0</v>
      </c>
      <c r="BO384" s="778">
        <f t="shared" ca="1" si="374"/>
        <v>0</v>
      </c>
      <c r="BP384" s="770">
        <f t="shared" ca="1" si="375"/>
        <v>0</v>
      </c>
      <c r="BQ384" s="771">
        <f t="shared" ca="1" si="376"/>
        <v>0</v>
      </c>
      <c r="BR384" s="771">
        <f t="shared" ca="1" si="377"/>
        <v>0</v>
      </c>
      <c r="BS384" s="776">
        <f t="shared" ca="1" si="438"/>
        <v>0</v>
      </c>
      <c r="BT384" s="776">
        <f t="shared" ca="1" si="378"/>
        <v>0</v>
      </c>
      <c r="BU384" s="783">
        <f t="shared" ca="1" si="379"/>
        <v>0</v>
      </c>
      <c r="BV384" s="783">
        <f t="shared" ca="1" si="380"/>
        <v>0</v>
      </c>
      <c r="BW384" s="1019">
        <f t="shared" ca="1" si="439"/>
        <v>0</v>
      </c>
      <c r="BX384" s="771" cm="1">
        <f t="array" aca="1" ref="BX384" ca="1">INDIRECT("'Definition of Typical Day'!"&amp; ADDRESS($D384+29*(BX$16-1),$E384))</f>
        <v>0</v>
      </c>
      <c r="BY384" s="771">
        <f t="shared" ca="1" si="440"/>
        <v>0</v>
      </c>
      <c r="BZ384" s="781">
        <f t="shared" ca="1" si="381"/>
        <v>0</v>
      </c>
      <c r="CA384" s="781">
        <f t="shared" ca="1" si="382"/>
        <v>0</v>
      </c>
      <c r="CB384" s="776">
        <f t="shared" ca="1" si="383"/>
        <v>0</v>
      </c>
      <c r="CC384" s="782">
        <f t="shared" si="384"/>
        <v>16</v>
      </c>
      <c r="CD384" s="782">
        <f t="shared" si="385"/>
        <v>4</v>
      </c>
      <c r="CE384" s="784" cm="1">
        <f t="array" aca="1" ref="CE384" ca="1">INDIRECT("'Definition of Typical Day'!"&amp;ADDRESS(CE$16,$E384))</f>
        <v>16</v>
      </c>
      <c r="CF384" s="232"/>
      <c r="CG384" s="232"/>
      <c r="CH384" s="776">
        <f t="shared" ca="1" si="386"/>
        <v>0</v>
      </c>
      <c r="CI384" s="806">
        <f t="shared" ca="1" si="387"/>
        <v>0</v>
      </c>
      <c r="CJ384" s="770">
        <f t="shared" ca="1" si="388"/>
        <v>0</v>
      </c>
      <c r="CK384" s="771">
        <f t="shared" ca="1" si="389"/>
        <v>0</v>
      </c>
      <c r="CL384" s="771">
        <f t="shared" ca="1" si="390"/>
        <v>0</v>
      </c>
      <c r="CM384" s="772">
        <f t="shared" ca="1" si="391"/>
        <v>0</v>
      </c>
      <c r="CN384" s="135"/>
      <c r="CO384" s="770">
        <f t="shared" ca="1" si="441"/>
        <v>1.05</v>
      </c>
      <c r="CP384" s="771">
        <f t="shared" ca="1" si="392"/>
        <v>0.02</v>
      </c>
      <c r="CQ384" s="771">
        <f t="shared" ca="1" si="393"/>
        <v>-2.5000000000000001E-2</v>
      </c>
      <c r="CR384" s="771">
        <f t="shared" ca="1" si="394"/>
        <v>0.95</v>
      </c>
      <c r="CS384" s="771">
        <f t="shared" ca="1" si="395"/>
        <v>0.03</v>
      </c>
      <c r="CT384" s="772">
        <f t="shared" ca="1" si="396"/>
        <v>0.02</v>
      </c>
      <c r="CU384" s="135"/>
      <c r="CV384" s="135"/>
      <c r="CW384" s="135"/>
      <c r="CX384" s="135"/>
      <c r="CY384" s="135"/>
      <c r="CZ384" s="135"/>
      <c r="DA384" s="135"/>
      <c r="DB384" s="135"/>
      <c r="DC384" s="135"/>
      <c r="DD384" s="135"/>
      <c r="DE384" s="135"/>
      <c r="DF384" s="135"/>
      <c r="DG384" s="135"/>
      <c r="DH384" s="135"/>
      <c r="DI384" s="135"/>
      <c r="DJ384" s="135"/>
      <c r="DK384" s="135"/>
      <c r="DL384" s="135"/>
      <c r="DX384" s="135"/>
      <c r="DY384" s="135"/>
      <c r="DZ384" s="135"/>
      <c r="EA384" s="135"/>
      <c r="EB384" s="135"/>
      <c r="EC384" s="135"/>
      <c r="ED384" s="135"/>
      <c r="EE384" s="135"/>
      <c r="EF384" s="135"/>
      <c r="EG384" s="135"/>
      <c r="EH384" s="135"/>
      <c r="EI384" s="135"/>
      <c r="EJ384" s="135"/>
      <c r="EK384" s="135"/>
      <c r="EL384" s="135"/>
      <c r="EM384" s="135"/>
      <c r="EN384" s="135"/>
      <c r="EO384" s="135"/>
      <c r="EP384" s="135"/>
      <c r="EQ384" s="135"/>
      <c r="ER384" s="135"/>
      <c r="ES384" s="135"/>
      <c r="ET384" s="135"/>
      <c r="EU384" s="135"/>
      <c r="EV384" s="135"/>
      <c r="EW384" s="135"/>
      <c r="EX384" s="135"/>
      <c r="EY384" s="135"/>
      <c r="EZ384" s="135"/>
      <c r="FA384" s="135"/>
      <c r="FB384" s="135"/>
      <c r="FC384" s="135"/>
      <c r="FD384" s="135"/>
      <c r="FE384" s="135"/>
      <c r="FF384" s="135"/>
      <c r="FG384" s="135"/>
    </row>
    <row r="385" spans="1:163" s="57" customFormat="1" ht="11.25" outlineLevel="1">
      <c r="A385" s="765">
        <f t="shared" si="442"/>
        <v>16</v>
      </c>
      <c r="B385" s="715" cm="1">
        <f t="array" aca="1" ref="B385" ca="1">INDIRECT("'Definition of Typical Day'!"&amp;ADDRESS(B$16,$E385))</f>
        <v>16</v>
      </c>
      <c r="C385" s="766">
        <f t="shared" si="443"/>
        <v>5</v>
      </c>
      <c r="D385" s="715">
        <f t="shared" si="443"/>
        <v>39</v>
      </c>
      <c r="E385" s="715">
        <f t="shared" si="371"/>
        <v>20</v>
      </c>
      <c r="F385" s="767" cm="1">
        <f t="array" aca="1" ref="F385" ca="1">INDIRECT("'Definition of Typical Day'!D"&amp;D385)</f>
        <v>5</v>
      </c>
      <c r="G385" s="767" cm="1">
        <f t="array" aca="1" ref="G385" ca="1">INDIRECT("'Definition of Typical Day'!"&amp;ADDRESS(13,E385))</f>
        <v>16</v>
      </c>
      <c r="H385" s="768" cm="1">
        <f t="array" aca="1" ref="H385" ca="1">INDIRECT("'Definition of Typical Day'!"&amp; ADDRESS($D385+28*(H$16-1),$E385))</f>
        <v>0</v>
      </c>
      <c r="I385" s="715" cm="1">
        <f t="array" aca="1" ref="I385" ca="1">INDIRECT("'Definition of Typical Day'!"&amp; ADDRESS($D385+29*(I$16-1),$E385))</f>
        <v>0</v>
      </c>
      <c r="J385" s="715">
        <f t="shared" ca="1" si="397"/>
        <v>0</v>
      </c>
      <c r="K385" s="785">
        <f t="shared" si="398"/>
        <v>28</v>
      </c>
      <c r="L385" s="786" cm="1">
        <f t="array" aca="1" ref="L385" ca="1">INDIRECT("'Definition of Typical Day'!"&amp; ADDRESS($D385+29*(L$16-1),$E385))</f>
        <v>0</v>
      </c>
      <c r="M385" s="768" cm="1">
        <f t="array" aca="1" ref="M385" ca="1">INDIRECT("'Definition of Typical Day'!"&amp; ADDRESS($D385+29*(M$16-1),$E385))</f>
        <v>0</v>
      </c>
      <c r="N385" s="715">
        <f t="shared" si="399"/>
        <v>3</v>
      </c>
      <c r="O385" s="715">
        <f t="shared" ca="1" si="400"/>
        <v>3</v>
      </c>
      <c r="P385" s="715" cm="1">
        <f t="array" aca="1" ref="P385" ca="1">INDIRECT("'Definition of Typical Day'!"&amp; ADDRESS($D385+29*(P$16-1),$E385))</f>
        <v>0</v>
      </c>
      <c r="Q385" s="787">
        <f t="shared" ca="1" si="401"/>
        <v>3</v>
      </c>
      <c r="R385" s="792">
        <f t="shared" ca="1" si="402"/>
        <v>3</v>
      </c>
      <c r="S385" s="769">
        <f t="shared" si="403"/>
        <v>3</v>
      </c>
      <c r="T385" s="769">
        <f t="shared" ca="1" si="404"/>
        <v>-0.5</v>
      </c>
      <c r="U385" s="769">
        <f t="shared" ca="1" si="405"/>
        <v>2.262</v>
      </c>
      <c r="V385" s="769">
        <f t="shared" ca="1" si="406"/>
        <v>0</v>
      </c>
      <c r="W385" s="769">
        <f t="shared" ca="1" si="407"/>
        <v>4.7620000000000005</v>
      </c>
      <c r="X385" s="794">
        <f t="shared" si="408"/>
        <v>3</v>
      </c>
      <c r="Y385" s="769">
        <f t="shared" ca="1" si="409"/>
        <v>0.54772255750516607</v>
      </c>
      <c r="Z385" s="769">
        <f t="shared" ca="1" si="410"/>
        <v>0</v>
      </c>
      <c r="AA385" s="795">
        <f t="shared" ca="1" si="411"/>
        <v>0</v>
      </c>
      <c r="AB385" s="769">
        <f t="shared" ca="1" si="412"/>
        <v>0</v>
      </c>
      <c r="AC385" s="769">
        <f t="shared" ca="1" si="413"/>
        <v>0</v>
      </c>
      <c r="AD385" s="769">
        <f t="shared" ca="1" si="414"/>
        <v>0</v>
      </c>
      <c r="AE385" s="794">
        <f t="shared" ca="1" si="415"/>
        <v>0</v>
      </c>
      <c r="AF385" s="769">
        <f t="shared" ca="1" si="416"/>
        <v>0</v>
      </c>
      <c r="AG385" s="769">
        <f t="shared" ca="1" si="417"/>
        <v>0</v>
      </c>
      <c r="AH385" s="799">
        <f t="shared" ca="1" si="418"/>
        <v>0</v>
      </c>
      <c r="AI385" s="801">
        <f t="shared" ca="1" si="419"/>
        <v>1</v>
      </c>
      <c r="AJ385" s="794">
        <f t="shared" ca="1" si="420"/>
        <v>0</v>
      </c>
      <c r="AK385" s="769">
        <f t="shared" ca="1" si="421"/>
        <v>0</v>
      </c>
      <c r="AL385" s="769">
        <f t="shared" ca="1" si="422"/>
        <v>0</v>
      </c>
      <c r="AM385" s="804">
        <f t="shared" ca="1" si="372"/>
        <v>0</v>
      </c>
      <c r="AN385" s="795">
        <f t="shared" ca="1" si="373"/>
        <v>0</v>
      </c>
      <c r="AO385" s="251"/>
      <c r="AP385" s="770">
        <f t="shared" si="423"/>
        <v>0</v>
      </c>
      <c r="AQ385" s="771">
        <f t="shared" ca="1" si="424"/>
        <v>0</v>
      </c>
      <c r="AR385" s="771">
        <f t="shared" ca="1" si="425"/>
        <v>0</v>
      </c>
      <c r="AS385" s="772">
        <f t="shared" ca="1" si="426"/>
        <v>0</v>
      </c>
      <c r="AT385" s="231"/>
      <c r="AU385" s="770">
        <f>'Main Results - IRR DC Operator'!$F$16</f>
        <v>2</v>
      </c>
      <c r="AV385" s="773">
        <f>'Main Results - IRR DC Operator'!$F$15</f>
        <v>1</v>
      </c>
      <c r="AW385" s="771">
        <f t="shared" ca="1" si="427"/>
        <v>0</v>
      </c>
      <c r="AX385" s="772">
        <f t="shared" si="428"/>
        <v>0</v>
      </c>
      <c r="AY385" s="231"/>
      <c r="AZ385" s="770" cm="1">
        <f t="array" aca="1" ref="AZ385" ca="1">INDIRECT("'Definition of Typical Day'!"&amp; ADDRESS($D385+29*(AZ$16-1),$E385))+$AZ$17</f>
        <v>11</v>
      </c>
      <c r="BA385" s="771" cm="1">
        <f t="array" aca="1" ref="BA385" ca="1">INDIRECT("'Definition of Typical Day'!"&amp; ADDRESS($D385+29*(BA$16-1),$E385))+$BA$17</f>
        <v>11</v>
      </c>
      <c r="BB385" s="772" cm="1">
        <f t="array" aca="1" ref="BB385" ca="1">INDIRECT("'Definition of Typical Day'!"&amp;ADDRESS(BB$16,$E385))</f>
        <v>0</v>
      </c>
      <c r="BC385" s="776" cm="1">
        <f t="array" aca="1" ref="BC385" ca="1">INDIRECT("'Definition of Typical Day'!"&amp; ADDRESS($D385+29*(BC$16-1),$E385))</f>
        <v>0</v>
      </c>
      <c r="BD385" s="777" cm="1">
        <f t="array" aca="1" ref="BD385" ca="1">INDIRECT("'Definition of Typical Day'!"&amp; ADDRESS($D385+29*(BD$16-1),$E385))</f>
        <v>0</v>
      </c>
      <c r="BE385" s="776">
        <f t="shared" si="429"/>
        <v>0</v>
      </c>
      <c r="BF385" s="771">
        <f t="shared" ca="1" si="430"/>
        <v>0</v>
      </c>
      <c r="BG385" s="771">
        <f t="shared" ca="1" si="431"/>
        <v>0</v>
      </c>
      <c r="BH385" s="771">
        <f t="shared" ca="1" si="432"/>
        <v>0</v>
      </c>
      <c r="BI385" s="776">
        <f t="shared" ca="1" si="433"/>
        <v>0</v>
      </c>
      <c r="BJ385" s="776">
        <f t="shared" ca="1" si="434"/>
        <v>0</v>
      </c>
      <c r="BK385" s="776">
        <f t="shared" ca="1" si="435"/>
        <v>0</v>
      </c>
      <c r="BL385" s="776">
        <f t="shared" ca="1" si="436"/>
        <v>0</v>
      </c>
      <c r="BM385" s="135"/>
      <c r="BN385" s="776">
        <f t="shared" ca="1" si="437"/>
        <v>0</v>
      </c>
      <c r="BO385" s="778">
        <f t="shared" ca="1" si="374"/>
        <v>0</v>
      </c>
      <c r="BP385" s="770">
        <f t="shared" ca="1" si="375"/>
        <v>0</v>
      </c>
      <c r="BQ385" s="771">
        <f t="shared" ca="1" si="376"/>
        <v>0</v>
      </c>
      <c r="BR385" s="771">
        <f t="shared" ca="1" si="377"/>
        <v>0</v>
      </c>
      <c r="BS385" s="776">
        <f t="shared" ca="1" si="438"/>
        <v>0</v>
      </c>
      <c r="BT385" s="776">
        <f t="shared" ca="1" si="378"/>
        <v>0</v>
      </c>
      <c r="BU385" s="783">
        <f t="shared" ca="1" si="379"/>
        <v>0</v>
      </c>
      <c r="BV385" s="783">
        <f t="shared" ca="1" si="380"/>
        <v>0</v>
      </c>
      <c r="BW385" s="1019">
        <f t="shared" ca="1" si="439"/>
        <v>0</v>
      </c>
      <c r="BX385" s="771" cm="1">
        <f t="array" aca="1" ref="BX385" ca="1">INDIRECT("'Definition of Typical Day'!"&amp; ADDRESS($D385+29*(BX$16-1),$E385))</f>
        <v>0</v>
      </c>
      <c r="BY385" s="771">
        <f t="shared" ca="1" si="440"/>
        <v>0</v>
      </c>
      <c r="BZ385" s="781">
        <f t="shared" ca="1" si="381"/>
        <v>0</v>
      </c>
      <c r="CA385" s="781">
        <f t="shared" ca="1" si="382"/>
        <v>0</v>
      </c>
      <c r="CB385" s="776">
        <f t="shared" ca="1" si="383"/>
        <v>0</v>
      </c>
      <c r="CC385" s="782">
        <f t="shared" si="384"/>
        <v>16</v>
      </c>
      <c r="CD385" s="782">
        <f t="shared" si="385"/>
        <v>5</v>
      </c>
      <c r="CE385" s="784" cm="1">
        <f t="array" aca="1" ref="CE385" ca="1">INDIRECT("'Definition of Typical Day'!"&amp;ADDRESS(CE$16,$E385))</f>
        <v>16</v>
      </c>
      <c r="CF385" s="232"/>
      <c r="CG385" s="232"/>
      <c r="CH385" s="776">
        <f t="shared" ca="1" si="386"/>
        <v>0</v>
      </c>
      <c r="CI385" s="806">
        <f t="shared" ca="1" si="387"/>
        <v>0</v>
      </c>
      <c r="CJ385" s="770">
        <f t="shared" ca="1" si="388"/>
        <v>0</v>
      </c>
      <c r="CK385" s="771">
        <f t="shared" ca="1" si="389"/>
        <v>0</v>
      </c>
      <c r="CL385" s="771">
        <f t="shared" ca="1" si="390"/>
        <v>0</v>
      </c>
      <c r="CM385" s="772">
        <f t="shared" ca="1" si="391"/>
        <v>0</v>
      </c>
      <c r="CN385" s="135"/>
      <c r="CO385" s="770">
        <f t="shared" ca="1" si="441"/>
        <v>1.05</v>
      </c>
      <c r="CP385" s="771">
        <f t="shared" ca="1" si="392"/>
        <v>0.02</v>
      </c>
      <c r="CQ385" s="771">
        <f t="shared" ca="1" si="393"/>
        <v>-2.5000000000000001E-2</v>
      </c>
      <c r="CR385" s="771">
        <f t="shared" ca="1" si="394"/>
        <v>0.95</v>
      </c>
      <c r="CS385" s="771">
        <f t="shared" ca="1" si="395"/>
        <v>0.03</v>
      </c>
      <c r="CT385" s="772">
        <f t="shared" ca="1" si="396"/>
        <v>0.02</v>
      </c>
      <c r="CU385" s="135"/>
      <c r="CV385" s="135"/>
      <c r="CW385" s="135"/>
      <c r="CX385" s="135"/>
      <c r="CY385" s="135"/>
      <c r="CZ385" s="135"/>
      <c r="DA385" s="135"/>
      <c r="DB385" s="135"/>
      <c r="DC385" s="135"/>
      <c r="DD385" s="135"/>
      <c r="DE385" s="135"/>
      <c r="DF385" s="135"/>
      <c r="DG385" s="135"/>
      <c r="DH385" s="135"/>
      <c r="DI385" s="135"/>
      <c r="DJ385" s="135"/>
      <c r="DK385" s="135"/>
      <c r="DL385" s="135"/>
      <c r="DX385" s="135"/>
      <c r="DY385" s="135"/>
      <c r="DZ385" s="135"/>
      <c r="EA385" s="135"/>
      <c r="EB385" s="135"/>
      <c r="EC385" s="135"/>
      <c r="ED385" s="135"/>
      <c r="EE385" s="135"/>
      <c r="EF385" s="135"/>
      <c r="EG385" s="135"/>
      <c r="EH385" s="135"/>
      <c r="EI385" s="135"/>
      <c r="EJ385" s="135"/>
      <c r="EK385" s="135"/>
      <c r="EL385" s="135"/>
      <c r="EM385" s="135"/>
      <c r="EN385" s="135"/>
      <c r="EO385" s="135"/>
      <c r="EP385" s="135"/>
      <c r="EQ385" s="135"/>
      <c r="ER385" s="135"/>
      <c r="ES385" s="135"/>
      <c r="ET385" s="135"/>
      <c r="EU385" s="135"/>
      <c r="EV385" s="135"/>
      <c r="EW385" s="135"/>
      <c r="EX385" s="135"/>
      <c r="EY385" s="135"/>
      <c r="EZ385" s="135"/>
      <c r="FA385" s="135"/>
      <c r="FB385" s="135"/>
      <c r="FC385" s="135"/>
      <c r="FD385" s="135"/>
      <c r="FE385" s="135"/>
      <c r="FF385" s="135"/>
      <c r="FG385" s="135"/>
    </row>
    <row r="386" spans="1:163" s="57" customFormat="1" ht="11.25" outlineLevel="1">
      <c r="A386" s="765">
        <f t="shared" si="442"/>
        <v>16</v>
      </c>
      <c r="B386" s="715" cm="1">
        <f t="array" aca="1" ref="B386" ca="1">INDIRECT("'Definition of Typical Day'!"&amp;ADDRESS(B$16,$E386))</f>
        <v>16</v>
      </c>
      <c r="C386" s="766">
        <f t="shared" si="443"/>
        <v>6</v>
      </c>
      <c r="D386" s="715">
        <f t="shared" si="443"/>
        <v>40</v>
      </c>
      <c r="E386" s="715">
        <f t="shared" si="371"/>
        <v>20</v>
      </c>
      <c r="F386" s="767" cm="1">
        <f t="array" aca="1" ref="F386" ca="1">INDIRECT("'Definition of Typical Day'!D"&amp;D386)</f>
        <v>6</v>
      </c>
      <c r="G386" s="767" cm="1">
        <f t="array" aca="1" ref="G386" ca="1">INDIRECT("'Definition of Typical Day'!"&amp;ADDRESS(13,E386))</f>
        <v>16</v>
      </c>
      <c r="H386" s="768" cm="1">
        <f t="array" aca="1" ref="H386" ca="1">INDIRECT("'Definition of Typical Day'!"&amp; ADDRESS($D386+28*(H$16-1),$E386))</f>
        <v>0</v>
      </c>
      <c r="I386" s="715" cm="1">
        <f t="array" aca="1" ref="I386" ca="1">INDIRECT("'Definition of Typical Day'!"&amp; ADDRESS($D386+29*(I$16-1),$E386))</f>
        <v>0</v>
      </c>
      <c r="J386" s="715">
        <f t="shared" ca="1" si="397"/>
        <v>0</v>
      </c>
      <c r="K386" s="785">
        <f t="shared" si="398"/>
        <v>28</v>
      </c>
      <c r="L386" s="786" cm="1">
        <f t="array" aca="1" ref="L386" ca="1">INDIRECT("'Definition of Typical Day'!"&amp; ADDRESS($D386+29*(L$16-1),$E386))</f>
        <v>0</v>
      </c>
      <c r="M386" s="768" cm="1">
        <f t="array" aca="1" ref="M386" ca="1">INDIRECT("'Definition of Typical Day'!"&amp; ADDRESS($D386+29*(M$16-1),$E386))</f>
        <v>0</v>
      </c>
      <c r="N386" s="715">
        <f t="shared" si="399"/>
        <v>3</v>
      </c>
      <c r="O386" s="715">
        <f t="shared" ca="1" si="400"/>
        <v>3</v>
      </c>
      <c r="P386" s="715" cm="1">
        <f t="array" aca="1" ref="P386" ca="1">INDIRECT("'Definition of Typical Day'!"&amp; ADDRESS($D386+29*(P$16-1),$E386))</f>
        <v>0</v>
      </c>
      <c r="Q386" s="787">
        <f t="shared" ca="1" si="401"/>
        <v>3</v>
      </c>
      <c r="R386" s="792">
        <f t="shared" ca="1" si="402"/>
        <v>3</v>
      </c>
      <c r="S386" s="769">
        <f t="shared" si="403"/>
        <v>3</v>
      </c>
      <c r="T386" s="769">
        <f t="shared" ca="1" si="404"/>
        <v>-0.5</v>
      </c>
      <c r="U386" s="769">
        <f t="shared" ca="1" si="405"/>
        <v>2.262</v>
      </c>
      <c r="V386" s="769">
        <f t="shared" ca="1" si="406"/>
        <v>0</v>
      </c>
      <c r="W386" s="769">
        <f t="shared" ca="1" si="407"/>
        <v>4.7620000000000005</v>
      </c>
      <c r="X386" s="794">
        <f t="shared" si="408"/>
        <v>3</v>
      </c>
      <c r="Y386" s="769">
        <f t="shared" ca="1" si="409"/>
        <v>0.54772255750516607</v>
      </c>
      <c r="Z386" s="769">
        <f t="shared" ca="1" si="410"/>
        <v>0</v>
      </c>
      <c r="AA386" s="795">
        <f t="shared" ca="1" si="411"/>
        <v>0</v>
      </c>
      <c r="AB386" s="769">
        <f t="shared" ca="1" si="412"/>
        <v>0</v>
      </c>
      <c r="AC386" s="769">
        <f t="shared" ca="1" si="413"/>
        <v>0</v>
      </c>
      <c r="AD386" s="769">
        <f t="shared" ca="1" si="414"/>
        <v>0</v>
      </c>
      <c r="AE386" s="794">
        <f t="shared" ca="1" si="415"/>
        <v>0</v>
      </c>
      <c r="AF386" s="769">
        <f t="shared" ca="1" si="416"/>
        <v>0</v>
      </c>
      <c r="AG386" s="769">
        <f t="shared" ca="1" si="417"/>
        <v>0</v>
      </c>
      <c r="AH386" s="799">
        <f t="shared" ca="1" si="418"/>
        <v>0</v>
      </c>
      <c r="AI386" s="801">
        <f t="shared" ca="1" si="419"/>
        <v>1</v>
      </c>
      <c r="AJ386" s="794">
        <f t="shared" ca="1" si="420"/>
        <v>0</v>
      </c>
      <c r="AK386" s="769">
        <f t="shared" ca="1" si="421"/>
        <v>0</v>
      </c>
      <c r="AL386" s="769">
        <f t="shared" ca="1" si="422"/>
        <v>0</v>
      </c>
      <c r="AM386" s="804">
        <f t="shared" ca="1" si="372"/>
        <v>0</v>
      </c>
      <c r="AN386" s="795">
        <f t="shared" ca="1" si="373"/>
        <v>0</v>
      </c>
      <c r="AO386" s="251"/>
      <c r="AP386" s="770">
        <f t="shared" si="423"/>
        <v>0</v>
      </c>
      <c r="AQ386" s="771">
        <f t="shared" ca="1" si="424"/>
        <v>0</v>
      </c>
      <c r="AR386" s="771">
        <f t="shared" ca="1" si="425"/>
        <v>0</v>
      </c>
      <c r="AS386" s="772">
        <f t="shared" ca="1" si="426"/>
        <v>0</v>
      </c>
      <c r="AT386" s="231"/>
      <c r="AU386" s="770">
        <f>'Main Results - IRR DC Operator'!$F$16</f>
        <v>2</v>
      </c>
      <c r="AV386" s="773">
        <f>'Main Results - IRR DC Operator'!$F$15</f>
        <v>1</v>
      </c>
      <c r="AW386" s="771">
        <f t="shared" ca="1" si="427"/>
        <v>0</v>
      </c>
      <c r="AX386" s="772">
        <f t="shared" si="428"/>
        <v>0</v>
      </c>
      <c r="AY386" s="231"/>
      <c r="AZ386" s="770" cm="1">
        <f t="array" aca="1" ref="AZ386" ca="1">INDIRECT("'Definition of Typical Day'!"&amp; ADDRESS($D386+29*(AZ$16-1),$E386))+$AZ$17</f>
        <v>11</v>
      </c>
      <c r="BA386" s="771" cm="1">
        <f t="array" aca="1" ref="BA386" ca="1">INDIRECT("'Definition of Typical Day'!"&amp; ADDRESS($D386+29*(BA$16-1),$E386))+$BA$17</f>
        <v>11</v>
      </c>
      <c r="BB386" s="772" cm="1">
        <f t="array" aca="1" ref="BB386" ca="1">INDIRECT("'Definition of Typical Day'!"&amp;ADDRESS(BB$16,$E386))</f>
        <v>0</v>
      </c>
      <c r="BC386" s="776" cm="1">
        <f t="array" aca="1" ref="BC386" ca="1">INDIRECT("'Definition of Typical Day'!"&amp; ADDRESS($D386+29*(BC$16-1),$E386))</f>
        <v>0</v>
      </c>
      <c r="BD386" s="777" cm="1">
        <f t="array" aca="1" ref="BD386" ca="1">INDIRECT("'Definition of Typical Day'!"&amp; ADDRESS($D386+29*(BD$16-1),$E386))</f>
        <v>0</v>
      </c>
      <c r="BE386" s="776">
        <f t="shared" si="429"/>
        <v>0</v>
      </c>
      <c r="BF386" s="771">
        <f t="shared" ca="1" si="430"/>
        <v>0</v>
      </c>
      <c r="BG386" s="771">
        <f t="shared" ca="1" si="431"/>
        <v>0</v>
      </c>
      <c r="BH386" s="771">
        <f t="shared" ca="1" si="432"/>
        <v>0</v>
      </c>
      <c r="BI386" s="776">
        <f t="shared" ca="1" si="433"/>
        <v>0</v>
      </c>
      <c r="BJ386" s="776">
        <f t="shared" ca="1" si="434"/>
        <v>0</v>
      </c>
      <c r="BK386" s="776">
        <f t="shared" ca="1" si="435"/>
        <v>0</v>
      </c>
      <c r="BL386" s="776">
        <f t="shared" ca="1" si="436"/>
        <v>0</v>
      </c>
      <c r="BM386" s="135"/>
      <c r="BN386" s="776">
        <f t="shared" ca="1" si="437"/>
        <v>0</v>
      </c>
      <c r="BO386" s="778">
        <f t="shared" ca="1" si="374"/>
        <v>0</v>
      </c>
      <c r="BP386" s="770">
        <f t="shared" ca="1" si="375"/>
        <v>0</v>
      </c>
      <c r="BQ386" s="771">
        <f t="shared" ca="1" si="376"/>
        <v>0</v>
      </c>
      <c r="BR386" s="771">
        <f t="shared" ca="1" si="377"/>
        <v>0</v>
      </c>
      <c r="BS386" s="776">
        <f t="shared" ca="1" si="438"/>
        <v>0</v>
      </c>
      <c r="BT386" s="776">
        <f t="shared" ca="1" si="378"/>
        <v>0</v>
      </c>
      <c r="BU386" s="783">
        <f t="shared" ca="1" si="379"/>
        <v>0</v>
      </c>
      <c r="BV386" s="783">
        <f t="shared" ca="1" si="380"/>
        <v>0</v>
      </c>
      <c r="BW386" s="1019">
        <f t="shared" ca="1" si="439"/>
        <v>0</v>
      </c>
      <c r="BX386" s="771" cm="1">
        <f t="array" aca="1" ref="BX386" ca="1">INDIRECT("'Definition of Typical Day'!"&amp; ADDRESS($D386+29*(BX$16-1),$E386))</f>
        <v>0</v>
      </c>
      <c r="BY386" s="771">
        <f t="shared" ca="1" si="440"/>
        <v>0</v>
      </c>
      <c r="BZ386" s="781">
        <f t="shared" ca="1" si="381"/>
        <v>0</v>
      </c>
      <c r="CA386" s="781">
        <f t="shared" ca="1" si="382"/>
        <v>0</v>
      </c>
      <c r="CB386" s="776">
        <f t="shared" ca="1" si="383"/>
        <v>0</v>
      </c>
      <c r="CC386" s="782">
        <f t="shared" si="384"/>
        <v>16</v>
      </c>
      <c r="CD386" s="782">
        <f t="shared" si="385"/>
        <v>6</v>
      </c>
      <c r="CE386" s="784" cm="1">
        <f t="array" aca="1" ref="CE386" ca="1">INDIRECT("'Definition of Typical Day'!"&amp;ADDRESS(CE$16,$E386))</f>
        <v>16</v>
      </c>
      <c r="CF386" s="232"/>
      <c r="CG386" s="232"/>
      <c r="CH386" s="776">
        <f t="shared" ca="1" si="386"/>
        <v>0</v>
      </c>
      <c r="CI386" s="806">
        <f t="shared" ca="1" si="387"/>
        <v>0</v>
      </c>
      <c r="CJ386" s="770">
        <f t="shared" ca="1" si="388"/>
        <v>0</v>
      </c>
      <c r="CK386" s="771">
        <f t="shared" ca="1" si="389"/>
        <v>0</v>
      </c>
      <c r="CL386" s="771">
        <f t="shared" ca="1" si="390"/>
        <v>0</v>
      </c>
      <c r="CM386" s="772">
        <f t="shared" ca="1" si="391"/>
        <v>0</v>
      </c>
      <c r="CN386" s="135"/>
      <c r="CO386" s="770">
        <f t="shared" ca="1" si="441"/>
        <v>1.05</v>
      </c>
      <c r="CP386" s="771">
        <f t="shared" ca="1" si="392"/>
        <v>0.02</v>
      </c>
      <c r="CQ386" s="771">
        <f t="shared" ca="1" si="393"/>
        <v>-2.5000000000000001E-2</v>
      </c>
      <c r="CR386" s="771">
        <f t="shared" ca="1" si="394"/>
        <v>0.95</v>
      </c>
      <c r="CS386" s="771">
        <f t="shared" ca="1" si="395"/>
        <v>0.03</v>
      </c>
      <c r="CT386" s="772">
        <f t="shared" ca="1" si="396"/>
        <v>0.02</v>
      </c>
      <c r="CU386" s="135"/>
      <c r="CV386" s="135"/>
      <c r="CW386" s="135"/>
      <c r="CX386" s="135"/>
      <c r="CY386" s="135"/>
      <c r="CZ386" s="135"/>
      <c r="DA386" s="135"/>
      <c r="DB386" s="135"/>
      <c r="DC386" s="135"/>
      <c r="DD386" s="135"/>
      <c r="DE386" s="135"/>
      <c r="DF386" s="135"/>
      <c r="DG386" s="135"/>
      <c r="DH386" s="135"/>
      <c r="DI386" s="135"/>
      <c r="DJ386" s="135"/>
      <c r="DK386" s="135"/>
      <c r="DL386" s="135"/>
      <c r="DX386" s="135"/>
      <c r="DY386" s="135"/>
      <c r="DZ386" s="135"/>
      <c r="EA386" s="135"/>
      <c r="EB386" s="135"/>
      <c r="EC386" s="135"/>
      <c r="ED386" s="135"/>
      <c r="EE386" s="135"/>
      <c r="EF386" s="135"/>
      <c r="EG386" s="135"/>
      <c r="EH386" s="135"/>
      <c r="EI386" s="135"/>
      <c r="EJ386" s="135"/>
      <c r="EK386" s="135"/>
      <c r="EL386" s="135"/>
      <c r="EM386" s="135"/>
      <c r="EN386" s="135"/>
      <c r="EO386" s="135"/>
      <c r="EP386" s="135"/>
      <c r="EQ386" s="135"/>
      <c r="ER386" s="135"/>
      <c r="ES386" s="135"/>
      <c r="ET386" s="135"/>
      <c r="EU386" s="135"/>
      <c r="EV386" s="135"/>
      <c r="EW386" s="135"/>
      <c r="EX386" s="135"/>
      <c r="EY386" s="135"/>
      <c r="EZ386" s="135"/>
      <c r="FA386" s="135"/>
      <c r="FB386" s="135"/>
      <c r="FC386" s="135"/>
      <c r="FD386" s="135"/>
      <c r="FE386" s="135"/>
      <c r="FF386" s="135"/>
      <c r="FG386" s="135"/>
    </row>
    <row r="387" spans="1:163" s="57" customFormat="1" ht="11.25" outlineLevel="1">
      <c r="A387" s="765">
        <f t="shared" si="442"/>
        <v>16</v>
      </c>
      <c r="B387" s="715" cm="1">
        <f t="array" aca="1" ref="B387" ca="1">INDIRECT("'Definition of Typical Day'!"&amp;ADDRESS(B$16,$E387))</f>
        <v>16</v>
      </c>
      <c r="C387" s="766">
        <f t="shared" si="443"/>
        <v>7</v>
      </c>
      <c r="D387" s="715">
        <f t="shared" si="443"/>
        <v>41</v>
      </c>
      <c r="E387" s="715">
        <f t="shared" si="371"/>
        <v>20</v>
      </c>
      <c r="F387" s="767" cm="1">
        <f t="array" aca="1" ref="F387" ca="1">INDIRECT("'Definition of Typical Day'!D"&amp;D387)</f>
        <v>7</v>
      </c>
      <c r="G387" s="767" cm="1">
        <f t="array" aca="1" ref="G387" ca="1">INDIRECT("'Definition of Typical Day'!"&amp;ADDRESS(13,E387))</f>
        <v>16</v>
      </c>
      <c r="H387" s="768" cm="1">
        <f t="array" aca="1" ref="H387" ca="1">INDIRECT("'Definition of Typical Day'!"&amp; ADDRESS($D387+28*(H$16-1),$E387))</f>
        <v>0</v>
      </c>
      <c r="I387" s="715" cm="1">
        <f t="array" aca="1" ref="I387" ca="1">INDIRECT("'Definition of Typical Day'!"&amp; ADDRESS($D387+29*(I$16-1),$E387))</f>
        <v>0</v>
      </c>
      <c r="J387" s="715">
        <f t="shared" ca="1" si="397"/>
        <v>0</v>
      </c>
      <c r="K387" s="785">
        <f t="shared" si="398"/>
        <v>28</v>
      </c>
      <c r="L387" s="786" cm="1">
        <f t="array" aca="1" ref="L387" ca="1">INDIRECT("'Definition of Typical Day'!"&amp; ADDRESS($D387+29*(L$16-1),$E387))</f>
        <v>0</v>
      </c>
      <c r="M387" s="768" cm="1">
        <f t="array" aca="1" ref="M387" ca="1">INDIRECT("'Definition of Typical Day'!"&amp; ADDRESS($D387+29*(M$16-1),$E387))</f>
        <v>0</v>
      </c>
      <c r="N387" s="715">
        <f t="shared" si="399"/>
        <v>3</v>
      </c>
      <c r="O387" s="715">
        <f t="shared" ca="1" si="400"/>
        <v>3</v>
      </c>
      <c r="P387" s="715" cm="1">
        <f t="array" aca="1" ref="P387" ca="1">INDIRECT("'Definition of Typical Day'!"&amp; ADDRESS($D387+29*(P$16-1),$E387))</f>
        <v>0</v>
      </c>
      <c r="Q387" s="787">
        <f t="shared" ca="1" si="401"/>
        <v>3</v>
      </c>
      <c r="R387" s="792">
        <f t="shared" ca="1" si="402"/>
        <v>3</v>
      </c>
      <c r="S387" s="769">
        <f t="shared" si="403"/>
        <v>3</v>
      </c>
      <c r="T387" s="769">
        <f t="shared" ca="1" si="404"/>
        <v>-0.5</v>
      </c>
      <c r="U387" s="769">
        <f t="shared" ca="1" si="405"/>
        <v>2.262</v>
      </c>
      <c r="V387" s="769">
        <f t="shared" ca="1" si="406"/>
        <v>0</v>
      </c>
      <c r="W387" s="769">
        <f t="shared" ca="1" si="407"/>
        <v>4.7620000000000005</v>
      </c>
      <c r="X387" s="794">
        <f t="shared" si="408"/>
        <v>3</v>
      </c>
      <c r="Y387" s="769">
        <f t="shared" ca="1" si="409"/>
        <v>0.54772255750516607</v>
      </c>
      <c r="Z387" s="769">
        <f t="shared" ca="1" si="410"/>
        <v>0</v>
      </c>
      <c r="AA387" s="795">
        <f t="shared" ca="1" si="411"/>
        <v>0</v>
      </c>
      <c r="AB387" s="769">
        <f t="shared" ca="1" si="412"/>
        <v>0</v>
      </c>
      <c r="AC387" s="769">
        <f t="shared" ca="1" si="413"/>
        <v>0</v>
      </c>
      <c r="AD387" s="769">
        <f t="shared" ca="1" si="414"/>
        <v>0</v>
      </c>
      <c r="AE387" s="794">
        <f t="shared" ca="1" si="415"/>
        <v>0</v>
      </c>
      <c r="AF387" s="769">
        <f t="shared" ca="1" si="416"/>
        <v>0</v>
      </c>
      <c r="AG387" s="769">
        <f t="shared" ca="1" si="417"/>
        <v>0</v>
      </c>
      <c r="AH387" s="799">
        <f t="shared" ca="1" si="418"/>
        <v>0</v>
      </c>
      <c r="AI387" s="801">
        <f t="shared" ca="1" si="419"/>
        <v>1</v>
      </c>
      <c r="AJ387" s="794">
        <f t="shared" ca="1" si="420"/>
        <v>0</v>
      </c>
      <c r="AK387" s="769">
        <f t="shared" ca="1" si="421"/>
        <v>0</v>
      </c>
      <c r="AL387" s="769">
        <f t="shared" ca="1" si="422"/>
        <v>0</v>
      </c>
      <c r="AM387" s="804">
        <f t="shared" ca="1" si="372"/>
        <v>0</v>
      </c>
      <c r="AN387" s="795">
        <f t="shared" ca="1" si="373"/>
        <v>0</v>
      </c>
      <c r="AO387" s="251"/>
      <c r="AP387" s="770">
        <f t="shared" si="423"/>
        <v>0</v>
      </c>
      <c r="AQ387" s="771">
        <f t="shared" ca="1" si="424"/>
        <v>0</v>
      </c>
      <c r="AR387" s="771">
        <f t="shared" ca="1" si="425"/>
        <v>0</v>
      </c>
      <c r="AS387" s="772">
        <f t="shared" ca="1" si="426"/>
        <v>0</v>
      </c>
      <c r="AT387" s="231"/>
      <c r="AU387" s="770">
        <f>'Main Results - IRR DC Operator'!$F$16</f>
        <v>2</v>
      </c>
      <c r="AV387" s="773">
        <f>'Main Results - IRR DC Operator'!$F$15</f>
        <v>1</v>
      </c>
      <c r="AW387" s="771">
        <f t="shared" ca="1" si="427"/>
        <v>0</v>
      </c>
      <c r="AX387" s="772">
        <f t="shared" si="428"/>
        <v>0</v>
      </c>
      <c r="AY387" s="231"/>
      <c r="AZ387" s="770" cm="1">
        <f t="array" aca="1" ref="AZ387" ca="1">INDIRECT("'Definition of Typical Day'!"&amp; ADDRESS($D387+29*(AZ$16-1),$E387))+$AZ$17</f>
        <v>11</v>
      </c>
      <c r="BA387" s="771" cm="1">
        <f t="array" aca="1" ref="BA387" ca="1">INDIRECT("'Definition of Typical Day'!"&amp; ADDRESS($D387+29*(BA$16-1),$E387))+$BA$17</f>
        <v>11</v>
      </c>
      <c r="BB387" s="772" cm="1">
        <f t="array" aca="1" ref="BB387" ca="1">INDIRECT("'Definition of Typical Day'!"&amp;ADDRESS(BB$16,$E387))</f>
        <v>0</v>
      </c>
      <c r="BC387" s="776" cm="1">
        <f t="array" aca="1" ref="BC387" ca="1">INDIRECT("'Definition of Typical Day'!"&amp; ADDRESS($D387+29*(BC$16-1),$E387))</f>
        <v>0</v>
      </c>
      <c r="BD387" s="777" cm="1">
        <f t="array" aca="1" ref="BD387" ca="1">INDIRECT("'Definition of Typical Day'!"&amp; ADDRESS($D387+29*(BD$16-1),$E387))</f>
        <v>0</v>
      </c>
      <c r="BE387" s="776">
        <f t="shared" si="429"/>
        <v>0</v>
      </c>
      <c r="BF387" s="771">
        <f t="shared" ca="1" si="430"/>
        <v>0</v>
      </c>
      <c r="BG387" s="771">
        <f t="shared" ca="1" si="431"/>
        <v>0</v>
      </c>
      <c r="BH387" s="771">
        <f t="shared" ca="1" si="432"/>
        <v>0</v>
      </c>
      <c r="BI387" s="776">
        <f t="shared" ca="1" si="433"/>
        <v>0</v>
      </c>
      <c r="BJ387" s="776">
        <f t="shared" ca="1" si="434"/>
        <v>0</v>
      </c>
      <c r="BK387" s="776">
        <f t="shared" ca="1" si="435"/>
        <v>0</v>
      </c>
      <c r="BL387" s="776">
        <f t="shared" ca="1" si="436"/>
        <v>0</v>
      </c>
      <c r="BM387" s="135"/>
      <c r="BN387" s="776">
        <f t="shared" ca="1" si="437"/>
        <v>0</v>
      </c>
      <c r="BO387" s="778">
        <f t="shared" ca="1" si="374"/>
        <v>0</v>
      </c>
      <c r="BP387" s="770">
        <f t="shared" ca="1" si="375"/>
        <v>0</v>
      </c>
      <c r="BQ387" s="771">
        <f t="shared" ca="1" si="376"/>
        <v>0</v>
      </c>
      <c r="BR387" s="771">
        <f t="shared" ca="1" si="377"/>
        <v>0</v>
      </c>
      <c r="BS387" s="776">
        <f t="shared" ca="1" si="438"/>
        <v>0</v>
      </c>
      <c r="BT387" s="776">
        <f t="shared" ca="1" si="378"/>
        <v>0</v>
      </c>
      <c r="BU387" s="783">
        <f t="shared" ca="1" si="379"/>
        <v>0</v>
      </c>
      <c r="BV387" s="783">
        <f t="shared" ca="1" si="380"/>
        <v>0</v>
      </c>
      <c r="BW387" s="1019">
        <f t="shared" ca="1" si="439"/>
        <v>0</v>
      </c>
      <c r="BX387" s="771" cm="1">
        <f t="array" aca="1" ref="BX387" ca="1">INDIRECT("'Definition of Typical Day'!"&amp; ADDRESS($D387+29*(BX$16-1),$E387))</f>
        <v>0</v>
      </c>
      <c r="BY387" s="771">
        <f t="shared" ca="1" si="440"/>
        <v>0</v>
      </c>
      <c r="BZ387" s="781">
        <f t="shared" ca="1" si="381"/>
        <v>0</v>
      </c>
      <c r="CA387" s="781">
        <f t="shared" ca="1" si="382"/>
        <v>0</v>
      </c>
      <c r="CB387" s="776">
        <f t="shared" ca="1" si="383"/>
        <v>0</v>
      </c>
      <c r="CC387" s="782">
        <f t="shared" si="384"/>
        <v>16</v>
      </c>
      <c r="CD387" s="782">
        <f t="shared" si="385"/>
        <v>7</v>
      </c>
      <c r="CE387" s="784" cm="1">
        <f t="array" aca="1" ref="CE387" ca="1">INDIRECT("'Definition of Typical Day'!"&amp;ADDRESS(CE$16,$E387))</f>
        <v>16</v>
      </c>
      <c r="CF387" s="232"/>
      <c r="CG387" s="232"/>
      <c r="CH387" s="776">
        <f t="shared" ca="1" si="386"/>
        <v>0</v>
      </c>
      <c r="CI387" s="806">
        <f t="shared" ca="1" si="387"/>
        <v>0</v>
      </c>
      <c r="CJ387" s="770">
        <f t="shared" ca="1" si="388"/>
        <v>0</v>
      </c>
      <c r="CK387" s="771">
        <f t="shared" ca="1" si="389"/>
        <v>0</v>
      </c>
      <c r="CL387" s="771">
        <f t="shared" ca="1" si="390"/>
        <v>0</v>
      </c>
      <c r="CM387" s="772">
        <f t="shared" ca="1" si="391"/>
        <v>0</v>
      </c>
      <c r="CN387" s="135"/>
      <c r="CO387" s="770">
        <f t="shared" ca="1" si="441"/>
        <v>1.05</v>
      </c>
      <c r="CP387" s="771">
        <f t="shared" ca="1" si="392"/>
        <v>0.02</v>
      </c>
      <c r="CQ387" s="771">
        <f t="shared" ca="1" si="393"/>
        <v>-2.5000000000000001E-2</v>
      </c>
      <c r="CR387" s="771">
        <f t="shared" ca="1" si="394"/>
        <v>0.95</v>
      </c>
      <c r="CS387" s="771">
        <f t="shared" ca="1" si="395"/>
        <v>0.03</v>
      </c>
      <c r="CT387" s="772">
        <f t="shared" ca="1" si="396"/>
        <v>0.02</v>
      </c>
      <c r="CU387" s="135"/>
      <c r="CV387" s="135"/>
      <c r="CW387" s="135"/>
      <c r="CX387" s="135"/>
      <c r="CY387" s="135"/>
      <c r="CZ387" s="135"/>
      <c r="DA387" s="135"/>
      <c r="DB387" s="135"/>
      <c r="DC387" s="135"/>
      <c r="DD387" s="135"/>
      <c r="DE387" s="135"/>
      <c r="DF387" s="135"/>
      <c r="DG387" s="135"/>
      <c r="DH387" s="135"/>
      <c r="DI387" s="135"/>
      <c r="DJ387" s="135"/>
      <c r="DK387" s="135"/>
      <c r="DL387" s="135"/>
      <c r="DX387" s="135"/>
      <c r="DY387" s="135"/>
      <c r="DZ387" s="135"/>
      <c r="EA387" s="135"/>
      <c r="EB387" s="135"/>
      <c r="EC387" s="135"/>
      <c r="ED387" s="135"/>
      <c r="EE387" s="135"/>
      <c r="EF387" s="135"/>
      <c r="EG387" s="135"/>
      <c r="EH387" s="135"/>
      <c r="EI387" s="135"/>
      <c r="EJ387" s="135"/>
      <c r="EK387" s="135"/>
      <c r="EL387" s="135"/>
      <c r="EM387" s="135"/>
      <c r="EN387" s="135"/>
      <c r="EO387" s="135"/>
      <c r="EP387" s="135"/>
      <c r="EQ387" s="135"/>
      <c r="ER387" s="135"/>
      <c r="ES387" s="135"/>
      <c r="ET387" s="135"/>
      <c r="EU387" s="135"/>
      <c r="EV387" s="135"/>
      <c r="EW387" s="135"/>
      <c r="EX387" s="135"/>
      <c r="EY387" s="135"/>
      <c r="EZ387" s="135"/>
      <c r="FA387" s="135"/>
      <c r="FB387" s="135"/>
      <c r="FC387" s="135"/>
      <c r="FD387" s="135"/>
      <c r="FE387" s="135"/>
      <c r="FF387" s="135"/>
      <c r="FG387" s="135"/>
    </row>
    <row r="388" spans="1:163" s="57" customFormat="1" ht="11.25" outlineLevel="1">
      <c r="A388" s="765">
        <f t="shared" si="442"/>
        <v>16</v>
      </c>
      <c r="B388" s="715" cm="1">
        <f t="array" aca="1" ref="B388" ca="1">INDIRECT("'Definition of Typical Day'!"&amp;ADDRESS(B$16,$E388))</f>
        <v>16</v>
      </c>
      <c r="C388" s="766">
        <f t="shared" si="443"/>
        <v>8</v>
      </c>
      <c r="D388" s="715">
        <f t="shared" si="443"/>
        <v>42</v>
      </c>
      <c r="E388" s="715">
        <f t="shared" si="371"/>
        <v>20</v>
      </c>
      <c r="F388" s="767" cm="1">
        <f t="array" aca="1" ref="F388" ca="1">INDIRECT("'Definition of Typical Day'!D"&amp;D388)</f>
        <v>8</v>
      </c>
      <c r="G388" s="767" cm="1">
        <f t="array" aca="1" ref="G388" ca="1">INDIRECT("'Definition of Typical Day'!"&amp;ADDRESS(13,E388))</f>
        <v>16</v>
      </c>
      <c r="H388" s="768" cm="1">
        <f t="array" aca="1" ref="H388" ca="1">INDIRECT("'Definition of Typical Day'!"&amp; ADDRESS($D388+28*(H$16-1),$E388))</f>
        <v>0</v>
      </c>
      <c r="I388" s="715" cm="1">
        <f t="array" aca="1" ref="I388" ca="1">INDIRECT("'Definition of Typical Day'!"&amp; ADDRESS($D388+29*(I$16-1),$E388))</f>
        <v>0</v>
      </c>
      <c r="J388" s="715">
        <f t="shared" ca="1" si="397"/>
        <v>0</v>
      </c>
      <c r="K388" s="785">
        <f t="shared" si="398"/>
        <v>28</v>
      </c>
      <c r="L388" s="786" cm="1">
        <f t="array" aca="1" ref="L388" ca="1">INDIRECT("'Definition of Typical Day'!"&amp; ADDRESS($D388+29*(L$16-1),$E388))</f>
        <v>0</v>
      </c>
      <c r="M388" s="768" cm="1">
        <f t="array" aca="1" ref="M388" ca="1">INDIRECT("'Definition of Typical Day'!"&amp; ADDRESS($D388+29*(M$16-1),$E388))</f>
        <v>0</v>
      </c>
      <c r="N388" s="715">
        <f t="shared" si="399"/>
        <v>3</v>
      </c>
      <c r="O388" s="715">
        <f t="shared" ca="1" si="400"/>
        <v>3</v>
      </c>
      <c r="P388" s="715" cm="1">
        <f t="array" aca="1" ref="P388" ca="1">INDIRECT("'Definition of Typical Day'!"&amp; ADDRESS($D388+29*(P$16-1),$E388))</f>
        <v>0</v>
      </c>
      <c r="Q388" s="787">
        <f t="shared" ca="1" si="401"/>
        <v>3</v>
      </c>
      <c r="R388" s="792">
        <f t="shared" ca="1" si="402"/>
        <v>3</v>
      </c>
      <c r="S388" s="769">
        <f t="shared" si="403"/>
        <v>3</v>
      </c>
      <c r="T388" s="769">
        <f t="shared" ca="1" si="404"/>
        <v>-0.5</v>
      </c>
      <c r="U388" s="769">
        <f t="shared" ca="1" si="405"/>
        <v>2.262</v>
      </c>
      <c r="V388" s="769">
        <f t="shared" ca="1" si="406"/>
        <v>0</v>
      </c>
      <c r="W388" s="769">
        <f t="shared" ca="1" si="407"/>
        <v>4.7620000000000005</v>
      </c>
      <c r="X388" s="794">
        <f t="shared" si="408"/>
        <v>3</v>
      </c>
      <c r="Y388" s="769">
        <f t="shared" ca="1" si="409"/>
        <v>0.54772255750516607</v>
      </c>
      <c r="Z388" s="769">
        <f t="shared" ca="1" si="410"/>
        <v>0</v>
      </c>
      <c r="AA388" s="795">
        <f t="shared" ca="1" si="411"/>
        <v>0</v>
      </c>
      <c r="AB388" s="769">
        <f t="shared" ca="1" si="412"/>
        <v>0</v>
      </c>
      <c r="AC388" s="769">
        <f t="shared" ca="1" si="413"/>
        <v>0</v>
      </c>
      <c r="AD388" s="769">
        <f t="shared" ca="1" si="414"/>
        <v>0</v>
      </c>
      <c r="AE388" s="794">
        <f t="shared" ca="1" si="415"/>
        <v>0</v>
      </c>
      <c r="AF388" s="769">
        <f t="shared" ca="1" si="416"/>
        <v>0</v>
      </c>
      <c r="AG388" s="769">
        <f t="shared" ca="1" si="417"/>
        <v>0</v>
      </c>
      <c r="AH388" s="799">
        <f t="shared" ca="1" si="418"/>
        <v>0</v>
      </c>
      <c r="AI388" s="801">
        <f t="shared" ca="1" si="419"/>
        <v>1</v>
      </c>
      <c r="AJ388" s="794">
        <f t="shared" ca="1" si="420"/>
        <v>0</v>
      </c>
      <c r="AK388" s="769">
        <f t="shared" ca="1" si="421"/>
        <v>0</v>
      </c>
      <c r="AL388" s="769">
        <f t="shared" ca="1" si="422"/>
        <v>0</v>
      </c>
      <c r="AM388" s="804">
        <f t="shared" ca="1" si="372"/>
        <v>0</v>
      </c>
      <c r="AN388" s="795">
        <f t="shared" ca="1" si="373"/>
        <v>0</v>
      </c>
      <c r="AO388" s="251"/>
      <c r="AP388" s="770">
        <f t="shared" si="423"/>
        <v>0</v>
      </c>
      <c r="AQ388" s="771">
        <f t="shared" ca="1" si="424"/>
        <v>0</v>
      </c>
      <c r="AR388" s="771">
        <f t="shared" ca="1" si="425"/>
        <v>0</v>
      </c>
      <c r="AS388" s="772">
        <f t="shared" ca="1" si="426"/>
        <v>0</v>
      </c>
      <c r="AT388" s="231"/>
      <c r="AU388" s="770">
        <f>'Main Results - IRR DC Operator'!$F$16</f>
        <v>2</v>
      </c>
      <c r="AV388" s="773">
        <f>'Main Results - IRR DC Operator'!$F$15</f>
        <v>1</v>
      </c>
      <c r="AW388" s="771">
        <f t="shared" ca="1" si="427"/>
        <v>0</v>
      </c>
      <c r="AX388" s="772">
        <f t="shared" si="428"/>
        <v>0</v>
      </c>
      <c r="AY388" s="231"/>
      <c r="AZ388" s="770" cm="1">
        <f t="array" aca="1" ref="AZ388" ca="1">INDIRECT("'Definition of Typical Day'!"&amp; ADDRESS($D388+29*(AZ$16-1),$E388))+$AZ$17</f>
        <v>11</v>
      </c>
      <c r="BA388" s="771" cm="1">
        <f t="array" aca="1" ref="BA388" ca="1">INDIRECT("'Definition of Typical Day'!"&amp; ADDRESS($D388+29*(BA$16-1),$E388))+$BA$17</f>
        <v>11</v>
      </c>
      <c r="BB388" s="772" cm="1">
        <f t="array" aca="1" ref="BB388" ca="1">INDIRECT("'Definition of Typical Day'!"&amp;ADDRESS(BB$16,$E388))</f>
        <v>0</v>
      </c>
      <c r="BC388" s="776" cm="1">
        <f t="array" aca="1" ref="BC388" ca="1">INDIRECT("'Definition of Typical Day'!"&amp; ADDRESS($D388+29*(BC$16-1),$E388))</f>
        <v>0</v>
      </c>
      <c r="BD388" s="777" cm="1">
        <f t="array" aca="1" ref="BD388" ca="1">INDIRECT("'Definition of Typical Day'!"&amp; ADDRESS($D388+29*(BD$16-1),$E388))</f>
        <v>0</v>
      </c>
      <c r="BE388" s="776">
        <f t="shared" si="429"/>
        <v>0</v>
      </c>
      <c r="BF388" s="771">
        <f t="shared" ca="1" si="430"/>
        <v>0</v>
      </c>
      <c r="BG388" s="771">
        <f t="shared" ca="1" si="431"/>
        <v>0</v>
      </c>
      <c r="BH388" s="771">
        <f t="shared" ca="1" si="432"/>
        <v>0</v>
      </c>
      <c r="BI388" s="776">
        <f t="shared" ca="1" si="433"/>
        <v>0</v>
      </c>
      <c r="BJ388" s="776">
        <f t="shared" ca="1" si="434"/>
        <v>0</v>
      </c>
      <c r="BK388" s="776">
        <f t="shared" ca="1" si="435"/>
        <v>0</v>
      </c>
      <c r="BL388" s="776">
        <f t="shared" ca="1" si="436"/>
        <v>0</v>
      </c>
      <c r="BM388" s="135"/>
      <c r="BN388" s="776">
        <f t="shared" ca="1" si="437"/>
        <v>0</v>
      </c>
      <c r="BO388" s="778">
        <f t="shared" ca="1" si="374"/>
        <v>0</v>
      </c>
      <c r="BP388" s="770">
        <f t="shared" ca="1" si="375"/>
        <v>0</v>
      </c>
      <c r="BQ388" s="771">
        <f t="shared" ca="1" si="376"/>
        <v>0</v>
      </c>
      <c r="BR388" s="771">
        <f t="shared" ca="1" si="377"/>
        <v>0</v>
      </c>
      <c r="BS388" s="776">
        <f t="shared" ca="1" si="438"/>
        <v>0</v>
      </c>
      <c r="BT388" s="776">
        <f t="shared" ca="1" si="378"/>
        <v>0</v>
      </c>
      <c r="BU388" s="783">
        <f t="shared" ca="1" si="379"/>
        <v>0</v>
      </c>
      <c r="BV388" s="783">
        <f t="shared" ca="1" si="380"/>
        <v>0</v>
      </c>
      <c r="BW388" s="1019">
        <f t="shared" ca="1" si="439"/>
        <v>0</v>
      </c>
      <c r="BX388" s="771" cm="1">
        <f t="array" aca="1" ref="BX388" ca="1">INDIRECT("'Definition of Typical Day'!"&amp; ADDRESS($D388+29*(BX$16-1),$E388))</f>
        <v>0</v>
      </c>
      <c r="BY388" s="771">
        <f t="shared" ca="1" si="440"/>
        <v>0</v>
      </c>
      <c r="BZ388" s="781">
        <f t="shared" ca="1" si="381"/>
        <v>0</v>
      </c>
      <c r="CA388" s="781">
        <f t="shared" ca="1" si="382"/>
        <v>0</v>
      </c>
      <c r="CB388" s="776">
        <f t="shared" ca="1" si="383"/>
        <v>0</v>
      </c>
      <c r="CC388" s="782">
        <f t="shared" si="384"/>
        <v>16</v>
      </c>
      <c r="CD388" s="782">
        <f t="shared" si="385"/>
        <v>8</v>
      </c>
      <c r="CE388" s="784" cm="1">
        <f t="array" aca="1" ref="CE388" ca="1">INDIRECT("'Definition of Typical Day'!"&amp;ADDRESS(CE$16,$E388))</f>
        <v>16</v>
      </c>
      <c r="CF388" s="232"/>
      <c r="CG388" s="232"/>
      <c r="CH388" s="776">
        <f t="shared" ca="1" si="386"/>
        <v>0</v>
      </c>
      <c r="CI388" s="806">
        <f t="shared" ca="1" si="387"/>
        <v>0</v>
      </c>
      <c r="CJ388" s="770">
        <f t="shared" ca="1" si="388"/>
        <v>0</v>
      </c>
      <c r="CK388" s="771">
        <f t="shared" ca="1" si="389"/>
        <v>0</v>
      </c>
      <c r="CL388" s="771">
        <f t="shared" ca="1" si="390"/>
        <v>0</v>
      </c>
      <c r="CM388" s="772">
        <f t="shared" ca="1" si="391"/>
        <v>0</v>
      </c>
      <c r="CN388" s="135"/>
      <c r="CO388" s="770">
        <f t="shared" ca="1" si="441"/>
        <v>1.05</v>
      </c>
      <c r="CP388" s="771">
        <f t="shared" ca="1" si="392"/>
        <v>0.02</v>
      </c>
      <c r="CQ388" s="771">
        <f t="shared" ca="1" si="393"/>
        <v>-2.5000000000000001E-2</v>
      </c>
      <c r="CR388" s="771">
        <f t="shared" ca="1" si="394"/>
        <v>0.95</v>
      </c>
      <c r="CS388" s="771">
        <f t="shared" ca="1" si="395"/>
        <v>0.03</v>
      </c>
      <c r="CT388" s="772">
        <f t="shared" ca="1" si="396"/>
        <v>0.02</v>
      </c>
      <c r="CU388" s="135"/>
      <c r="CV388" s="135"/>
      <c r="CW388" s="135"/>
      <c r="CX388" s="135"/>
      <c r="CY388" s="135"/>
      <c r="CZ388" s="135"/>
      <c r="DA388" s="135"/>
      <c r="DB388" s="135"/>
      <c r="DC388" s="135"/>
      <c r="DD388" s="135"/>
      <c r="DE388" s="135"/>
      <c r="DF388" s="135"/>
      <c r="DG388" s="135"/>
      <c r="DH388" s="135"/>
      <c r="DI388" s="135"/>
      <c r="DJ388" s="135"/>
      <c r="DK388" s="135"/>
      <c r="DL388" s="135"/>
      <c r="DX388" s="135"/>
      <c r="DY388" s="135"/>
      <c r="DZ388" s="135"/>
      <c r="EA388" s="135"/>
      <c r="EB388" s="135"/>
      <c r="EC388" s="135"/>
      <c r="ED388" s="135"/>
      <c r="EE388" s="135"/>
      <c r="EF388" s="135"/>
      <c r="EG388" s="135"/>
      <c r="EH388" s="135"/>
      <c r="EI388" s="135"/>
      <c r="EJ388" s="135"/>
      <c r="EK388" s="135"/>
      <c r="EL388" s="135"/>
      <c r="EM388" s="135"/>
      <c r="EN388" s="135"/>
      <c r="EO388" s="135"/>
      <c r="EP388" s="135"/>
      <c r="EQ388" s="135"/>
      <c r="ER388" s="135"/>
      <c r="ES388" s="135"/>
      <c r="ET388" s="135"/>
      <c r="EU388" s="135"/>
      <c r="EV388" s="135"/>
      <c r="EW388" s="135"/>
      <c r="EX388" s="135"/>
      <c r="EY388" s="135"/>
      <c r="EZ388" s="135"/>
      <c r="FA388" s="135"/>
      <c r="FB388" s="135"/>
      <c r="FC388" s="135"/>
      <c r="FD388" s="135"/>
      <c r="FE388" s="135"/>
      <c r="FF388" s="135"/>
      <c r="FG388" s="135"/>
    </row>
    <row r="389" spans="1:163" s="57" customFormat="1" ht="11.25" outlineLevel="1">
      <c r="A389" s="765">
        <f t="shared" si="442"/>
        <v>16</v>
      </c>
      <c r="B389" s="715" cm="1">
        <f t="array" aca="1" ref="B389" ca="1">INDIRECT("'Definition of Typical Day'!"&amp;ADDRESS(B$16,$E389))</f>
        <v>16</v>
      </c>
      <c r="C389" s="766">
        <f t="shared" si="443"/>
        <v>9</v>
      </c>
      <c r="D389" s="715">
        <f t="shared" si="443"/>
        <v>43</v>
      </c>
      <c r="E389" s="715">
        <f t="shared" si="371"/>
        <v>20</v>
      </c>
      <c r="F389" s="767" cm="1">
        <f t="array" aca="1" ref="F389" ca="1">INDIRECT("'Definition of Typical Day'!D"&amp;D389)</f>
        <v>9</v>
      </c>
      <c r="G389" s="767" cm="1">
        <f t="array" aca="1" ref="G389" ca="1">INDIRECT("'Definition of Typical Day'!"&amp;ADDRESS(13,E389))</f>
        <v>16</v>
      </c>
      <c r="H389" s="768" cm="1">
        <f t="array" aca="1" ref="H389" ca="1">INDIRECT("'Definition of Typical Day'!"&amp; ADDRESS($D389+28*(H$16-1),$E389))</f>
        <v>0</v>
      </c>
      <c r="I389" s="715" cm="1">
        <f t="array" aca="1" ref="I389" ca="1">INDIRECT("'Definition of Typical Day'!"&amp; ADDRESS($D389+29*(I$16-1),$E389))</f>
        <v>0</v>
      </c>
      <c r="J389" s="715">
        <f t="shared" ca="1" si="397"/>
        <v>0</v>
      </c>
      <c r="K389" s="785">
        <f t="shared" si="398"/>
        <v>28</v>
      </c>
      <c r="L389" s="786" cm="1">
        <f t="array" aca="1" ref="L389" ca="1">INDIRECT("'Definition of Typical Day'!"&amp; ADDRESS($D389+29*(L$16-1),$E389))</f>
        <v>0</v>
      </c>
      <c r="M389" s="768" cm="1">
        <f t="array" aca="1" ref="M389" ca="1">INDIRECT("'Definition of Typical Day'!"&amp; ADDRESS($D389+29*(M$16-1),$E389))</f>
        <v>0</v>
      </c>
      <c r="N389" s="715">
        <f t="shared" si="399"/>
        <v>3</v>
      </c>
      <c r="O389" s="715">
        <f t="shared" ca="1" si="400"/>
        <v>3</v>
      </c>
      <c r="P389" s="715" cm="1">
        <f t="array" aca="1" ref="P389" ca="1">INDIRECT("'Definition of Typical Day'!"&amp; ADDRESS($D389+29*(P$16-1),$E389))</f>
        <v>0</v>
      </c>
      <c r="Q389" s="787">
        <f t="shared" ca="1" si="401"/>
        <v>3</v>
      </c>
      <c r="R389" s="792">
        <f t="shared" ca="1" si="402"/>
        <v>3</v>
      </c>
      <c r="S389" s="769">
        <f t="shared" si="403"/>
        <v>3</v>
      </c>
      <c r="T389" s="769">
        <f t="shared" ca="1" si="404"/>
        <v>-0.5</v>
      </c>
      <c r="U389" s="769">
        <f t="shared" ca="1" si="405"/>
        <v>2.262</v>
      </c>
      <c r="V389" s="769">
        <f t="shared" ca="1" si="406"/>
        <v>0</v>
      </c>
      <c r="W389" s="769">
        <f t="shared" ca="1" si="407"/>
        <v>4.7620000000000005</v>
      </c>
      <c r="X389" s="794">
        <f t="shared" si="408"/>
        <v>3</v>
      </c>
      <c r="Y389" s="769">
        <f t="shared" ca="1" si="409"/>
        <v>0.54772255750516607</v>
      </c>
      <c r="Z389" s="769">
        <f t="shared" ca="1" si="410"/>
        <v>0</v>
      </c>
      <c r="AA389" s="795">
        <f t="shared" ca="1" si="411"/>
        <v>0</v>
      </c>
      <c r="AB389" s="769">
        <f t="shared" ca="1" si="412"/>
        <v>0</v>
      </c>
      <c r="AC389" s="769">
        <f t="shared" ca="1" si="413"/>
        <v>0</v>
      </c>
      <c r="AD389" s="769">
        <f t="shared" ca="1" si="414"/>
        <v>0</v>
      </c>
      <c r="AE389" s="794">
        <f t="shared" ca="1" si="415"/>
        <v>0</v>
      </c>
      <c r="AF389" s="769">
        <f t="shared" ca="1" si="416"/>
        <v>0</v>
      </c>
      <c r="AG389" s="769">
        <f t="shared" ca="1" si="417"/>
        <v>0</v>
      </c>
      <c r="AH389" s="799">
        <f t="shared" ca="1" si="418"/>
        <v>0</v>
      </c>
      <c r="AI389" s="801">
        <f t="shared" ca="1" si="419"/>
        <v>1</v>
      </c>
      <c r="AJ389" s="794">
        <f t="shared" ca="1" si="420"/>
        <v>0</v>
      </c>
      <c r="AK389" s="769">
        <f t="shared" ca="1" si="421"/>
        <v>0</v>
      </c>
      <c r="AL389" s="769">
        <f t="shared" ca="1" si="422"/>
        <v>0</v>
      </c>
      <c r="AM389" s="804">
        <f t="shared" ca="1" si="372"/>
        <v>0</v>
      </c>
      <c r="AN389" s="795">
        <f t="shared" ca="1" si="373"/>
        <v>0</v>
      </c>
      <c r="AO389" s="251"/>
      <c r="AP389" s="770">
        <f t="shared" si="423"/>
        <v>0</v>
      </c>
      <c r="AQ389" s="771">
        <f t="shared" ca="1" si="424"/>
        <v>0</v>
      </c>
      <c r="AR389" s="771">
        <f t="shared" ca="1" si="425"/>
        <v>0</v>
      </c>
      <c r="AS389" s="772">
        <f t="shared" ca="1" si="426"/>
        <v>0</v>
      </c>
      <c r="AT389" s="231"/>
      <c r="AU389" s="770">
        <f>'Main Results - IRR DC Operator'!$F$16</f>
        <v>2</v>
      </c>
      <c r="AV389" s="773">
        <f>'Main Results - IRR DC Operator'!$F$15</f>
        <v>1</v>
      </c>
      <c r="AW389" s="771">
        <f t="shared" ca="1" si="427"/>
        <v>0</v>
      </c>
      <c r="AX389" s="772">
        <f t="shared" si="428"/>
        <v>0</v>
      </c>
      <c r="AY389" s="231"/>
      <c r="AZ389" s="770" cm="1">
        <f t="array" aca="1" ref="AZ389" ca="1">INDIRECT("'Definition of Typical Day'!"&amp; ADDRESS($D389+29*(AZ$16-1),$E389))+$AZ$17</f>
        <v>11</v>
      </c>
      <c r="BA389" s="771" cm="1">
        <f t="array" aca="1" ref="BA389" ca="1">INDIRECT("'Definition of Typical Day'!"&amp; ADDRESS($D389+29*(BA$16-1),$E389))+$BA$17</f>
        <v>11</v>
      </c>
      <c r="BB389" s="772" cm="1">
        <f t="array" aca="1" ref="BB389" ca="1">INDIRECT("'Definition of Typical Day'!"&amp;ADDRESS(BB$16,$E389))</f>
        <v>0</v>
      </c>
      <c r="BC389" s="776" cm="1">
        <f t="array" aca="1" ref="BC389" ca="1">INDIRECT("'Definition of Typical Day'!"&amp; ADDRESS($D389+29*(BC$16-1),$E389))</f>
        <v>0</v>
      </c>
      <c r="BD389" s="777" cm="1">
        <f t="array" aca="1" ref="BD389" ca="1">INDIRECT("'Definition of Typical Day'!"&amp; ADDRESS($D389+29*(BD$16-1),$E389))</f>
        <v>0</v>
      </c>
      <c r="BE389" s="776">
        <f t="shared" si="429"/>
        <v>0</v>
      </c>
      <c r="BF389" s="771">
        <f t="shared" ca="1" si="430"/>
        <v>0</v>
      </c>
      <c r="BG389" s="771">
        <f t="shared" ca="1" si="431"/>
        <v>0</v>
      </c>
      <c r="BH389" s="771">
        <f t="shared" ca="1" si="432"/>
        <v>0</v>
      </c>
      <c r="BI389" s="776">
        <f t="shared" ca="1" si="433"/>
        <v>0</v>
      </c>
      <c r="BJ389" s="776">
        <f t="shared" ca="1" si="434"/>
        <v>0</v>
      </c>
      <c r="BK389" s="776">
        <f t="shared" ca="1" si="435"/>
        <v>0</v>
      </c>
      <c r="BL389" s="776">
        <f t="shared" ca="1" si="436"/>
        <v>0</v>
      </c>
      <c r="BM389" s="135"/>
      <c r="BN389" s="776">
        <f t="shared" ca="1" si="437"/>
        <v>0</v>
      </c>
      <c r="BO389" s="778">
        <f t="shared" ca="1" si="374"/>
        <v>0</v>
      </c>
      <c r="BP389" s="770">
        <f t="shared" ca="1" si="375"/>
        <v>0</v>
      </c>
      <c r="BQ389" s="771">
        <f t="shared" ca="1" si="376"/>
        <v>0</v>
      </c>
      <c r="BR389" s="771">
        <f t="shared" ca="1" si="377"/>
        <v>0</v>
      </c>
      <c r="BS389" s="776">
        <f t="shared" ca="1" si="438"/>
        <v>0</v>
      </c>
      <c r="BT389" s="776">
        <f t="shared" ca="1" si="378"/>
        <v>0</v>
      </c>
      <c r="BU389" s="783">
        <f t="shared" ca="1" si="379"/>
        <v>0</v>
      </c>
      <c r="BV389" s="783">
        <f t="shared" ca="1" si="380"/>
        <v>0</v>
      </c>
      <c r="BW389" s="1019">
        <f t="shared" ca="1" si="439"/>
        <v>0</v>
      </c>
      <c r="BX389" s="771" cm="1">
        <f t="array" aca="1" ref="BX389" ca="1">INDIRECT("'Definition of Typical Day'!"&amp; ADDRESS($D389+29*(BX$16-1),$E389))</f>
        <v>0</v>
      </c>
      <c r="BY389" s="771">
        <f t="shared" ca="1" si="440"/>
        <v>0</v>
      </c>
      <c r="BZ389" s="781">
        <f t="shared" ca="1" si="381"/>
        <v>0</v>
      </c>
      <c r="CA389" s="781">
        <f t="shared" ca="1" si="382"/>
        <v>0</v>
      </c>
      <c r="CB389" s="776">
        <f t="shared" ca="1" si="383"/>
        <v>0</v>
      </c>
      <c r="CC389" s="782">
        <f t="shared" si="384"/>
        <v>16</v>
      </c>
      <c r="CD389" s="782">
        <f t="shared" si="385"/>
        <v>9</v>
      </c>
      <c r="CE389" s="784" cm="1">
        <f t="array" aca="1" ref="CE389" ca="1">INDIRECT("'Definition of Typical Day'!"&amp;ADDRESS(CE$16,$E389))</f>
        <v>16</v>
      </c>
      <c r="CF389" s="232"/>
      <c r="CG389" s="232"/>
      <c r="CH389" s="776">
        <f t="shared" ca="1" si="386"/>
        <v>0</v>
      </c>
      <c r="CI389" s="806">
        <f t="shared" ca="1" si="387"/>
        <v>0</v>
      </c>
      <c r="CJ389" s="770">
        <f t="shared" ca="1" si="388"/>
        <v>0</v>
      </c>
      <c r="CK389" s="771">
        <f t="shared" ca="1" si="389"/>
        <v>0</v>
      </c>
      <c r="CL389" s="771">
        <f t="shared" ca="1" si="390"/>
        <v>0</v>
      </c>
      <c r="CM389" s="772">
        <f t="shared" ca="1" si="391"/>
        <v>0</v>
      </c>
      <c r="CN389" s="135"/>
      <c r="CO389" s="770">
        <f t="shared" ca="1" si="441"/>
        <v>1.05</v>
      </c>
      <c r="CP389" s="771">
        <f t="shared" ca="1" si="392"/>
        <v>0.02</v>
      </c>
      <c r="CQ389" s="771">
        <f t="shared" ca="1" si="393"/>
        <v>-2.5000000000000001E-2</v>
      </c>
      <c r="CR389" s="771">
        <f t="shared" ca="1" si="394"/>
        <v>0.95</v>
      </c>
      <c r="CS389" s="771">
        <f t="shared" ca="1" si="395"/>
        <v>0.03</v>
      </c>
      <c r="CT389" s="772">
        <f t="shared" ca="1" si="396"/>
        <v>0.02</v>
      </c>
      <c r="CU389" s="135"/>
      <c r="CV389" s="135"/>
      <c r="CW389" s="135"/>
      <c r="CX389" s="135"/>
      <c r="CY389" s="135"/>
      <c r="CZ389" s="135"/>
      <c r="DA389" s="135"/>
      <c r="DB389" s="135"/>
      <c r="DC389" s="135"/>
      <c r="DD389" s="135"/>
      <c r="DE389" s="135"/>
      <c r="DF389" s="135"/>
      <c r="DG389" s="135"/>
      <c r="DH389" s="135"/>
      <c r="DI389" s="135"/>
      <c r="DJ389" s="135"/>
      <c r="DK389" s="135"/>
      <c r="DL389" s="135"/>
      <c r="DX389" s="135"/>
      <c r="DY389" s="135"/>
      <c r="DZ389" s="135"/>
      <c r="EA389" s="135"/>
      <c r="EB389" s="135"/>
      <c r="EC389" s="135"/>
      <c r="ED389" s="135"/>
      <c r="EE389" s="135"/>
      <c r="EF389" s="135"/>
      <c r="EG389" s="135"/>
      <c r="EH389" s="135"/>
      <c r="EI389" s="135"/>
      <c r="EJ389" s="135"/>
      <c r="EK389" s="135"/>
      <c r="EL389" s="135"/>
      <c r="EM389" s="135"/>
      <c r="EN389" s="135"/>
      <c r="EO389" s="135"/>
      <c r="EP389" s="135"/>
      <c r="EQ389" s="135"/>
      <c r="ER389" s="135"/>
      <c r="ES389" s="135"/>
      <c r="ET389" s="135"/>
      <c r="EU389" s="135"/>
      <c r="EV389" s="135"/>
      <c r="EW389" s="135"/>
      <c r="EX389" s="135"/>
      <c r="EY389" s="135"/>
      <c r="EZ389" s="135"/>
      <c r="FA389" s="135"/>
      <c r="FB389" s="135"/>
      <c r="FC389" s="135"/>
      <c r="FD389" s="135"/>
      <c r="FE389" s="135"/>
      <c r="FF389" s="135"/>
      <c r="FG389" s="135"/>
    </row>
    <row r="390" spans="1:163" s="57" customFormat="1" ht="11.25" outlineLevel="1">
      <c r="A390" s="765">
        <f t="shared" si="442"/>
        <v>16</v>
      </c>
      <c r="B390" s="715" cm="1">
        <f t="array" aca="1" ref="B390" ca="1">INDIRECT("'Definition of Typical Day'!"&amp;ADDRESS(B$16,$E390))</f>
        <v>16</v>
      </c>
      <c r="C390" s="766">
        <f t="shared" si="443"/>
        <v>10</v>
      </c>
      <c r="D390" s="715">
        <f t="shared" si="443"/>
        <v>44</v>
      </c>
      <c r="E390" s="715">
        <f t="shared" si="371"/>
        <v>20</v>
      </c>
      <c r="F390" s="767" cm="1">
        <f t="array" aca="1" ref="F390" ca="1">INDIRECT("'Definition of Typical Day'!D"&amp;D390)</f>
        <v>10</v>
      </c>
      <c r="G390" s="767" cm="1">
        <f t="array" aca="1" ref="G390" ca="1">INDIRECT("'Definition of Typical Day'!"&amp;ADDRESS(13,E390))</f>
        <v>16</v>
      </c>
      <c r="H390" s="768" cm="1">
        <f t="array" aca="1" ref="H390" ca="1">INDIRECT("'Definition of Typical Day'!"&amp; ADDRESS($D390+28*(H$16-1),$E390))</f>
        <v>0</v>
      </c>
      <c r="I390" s="715" cm="1">
        <f t="array" aca="1" ref="I390" ca="1">INDIRECT("'Definition of Typical Day'!"&amp; ADDRESS($D390+29*(I$16-1),$E390))</f>
        <v>0</v>
      </c>
      <c r="J390" s="715">
        <f t="shared" ca="1" si="397"/>
        <v>0</v>
      </c>
      <c r="K390" s="785">
        <f t="shared" si="398"/>
        <v>28</v>
      </c>
      <c r="L390" s="786" cm="1">
        <f t="array" aca="1" ref="L390" ca="1">INDIRECT("'Definition of Typical Day'!"&amp; ADDRESS($D390+29*(L$16-1),$E390))</f>
        <v>0</v>
      </c>
      <c r="M390" s="768" cm="1">
        <f t="array" aca="1" ref="M390" ca="1">INDIRECT("'Definition of Typical Day'!"&amp; ADDRESS($D390+29*(M$16-1),$E390))</f>
        <v>0</v>
      </c>
      <c r="N390" s="715">
        <f t="shared" si="399"/>
        <v>3</v>
      </c>
      <c r="O390" s="715">
        <f t="shared" ca="1" si="400"/>
        <v>3</v>
      </c>
      <c r="P390" s="715" cm="1">
        <f t="array" aca="1" ref="P390" ca="1">INDIRECT("'Definition of Typical Day'!"&amp; ADDRESS($D390+29*(P$16-1),$E390))</f>
        <v>0</v>
      </c>
      <c r="Q390" s="787">
        <f t="shared" ca="1" si="401"/>
        <v>3</v>
      </c>
      <c r="R390" s="792">
        <f t="shared" ca="1" si="402"/>
        <v>3</v>
      </c>
      <c r="S390" s="769">
        <f t="shared" si="403"/>
        <v>3</v>
      </c>
      <c r="T390" s="769">
        <f t="shared" ca="1" si="404"/>
        <v>-0.5</v>
      </c>
      <c r="U390" s="769">
        <f t="shared" ca="1" si="405"/>
        <v>2.262</v>
      </c>
      <c r="V390" s="769">
        <f t="shared" ca="1" si="406"/>
        <v>0</v>
      </c>
      <c r="W390" s="769">
        <f t="shared" ca="1" si="407"/>
        <v>4.7620000000000005</v>
      </c>
      <c r="X390" s="794">
        <f t="shared" si="408"/>
        <v>3</v>
      </c>
      <c r="Y390" s="769">
        <f t="shared" ca="1" si="409"/>
        <v>0.54772255750516607</v>
      </c>
      <c r="Z390" s="769">
        <f t="shared" ca="1" si="410"/>
        <v>0</v>
      </c>
      <c r="AA390" s="795">
        <f t="shared" ca="1" si="411"/>
        <v>0</v>
      </c>
      <c r="AB390" s="769">
        <f t="shared" ca="1" si="412"/>
        <v>0</v>
      </c>
      <c r="AC390" s="769">
        <f t="shared" ca="1" si="413"/>
        <v>0</v>
      </c>
      <c r="AD390" s="769">
        <f t="shared" ca="1" si="414"/>
        <v>0</v>
      </c>
      <c r="AE390" s="794">
        <f t="shared" ca="1" si="415"/>
        <v>0</v>
      </c>
      <c r="AF390" s="769">
        <f t="shared" ca="1" si="416"/>
        <v>0</v>
      </c>
      <c r="AG390" s="769">
        <f t="shared" ca="1" si="417"/>
        <v>0</v>
      </c>
      <c r="AH390" s="799">
        <f t="shared" ca="1" si="418"/>
        <v>0</v>
      </c>
      <c r="AI390" s="801">
        <f t="shared" ca="1" si="419"/>
        <v>1</v>
      </c>
      <c r="AJ390" s="794">
        <f t="shared" ca="1" si="420"/>
        <v>0</v>
      </c>
      <c r="AK390" s="769">
        <f t="shared" ca="1" si="421"/>
        <v>0</v>
      </c>
      <c r="AL390" s="769">
        <f t="shared" ca="1" si="422"/>
        <v>0</v>
      </c>
      <c r="AM390" s="804">
        <f t="shared" ca="1" si="372"/>
        <v>0</v>
      </c>
      <c r="AN390" s="795">
        <f t="shared" ca="1" si="373"/>
        <v>0</v>
      </c>
      <c r="AO390" s="251"/>
      <c r="AP390" s="770">
        <f t="shared" si="423"/>
        <v>0</v>
      </c>
      <c r="AQ390" s="771">
        <f t="shared" ca="1" si="424"/>
        <v>0</v>
      </c>
      <c r="AR390" s="771">
        <f t="shared" ca="1" si="425"/>
        <v>0</v>
      </c>
      <c r="AS390" s="772">
        <f t="shared" ca="1" si="426"/>
        <v>0</v>
      </c>
      <c r="AT390" s="231"/>
      <c r="AU390" s="770">
        <f>'Main Results - IRR DC Operator'!$F$16</f>
        <v>2</v>
      </c>
      <c r="AV390" s="773">
        <f>'Main Results - IRR DC Operator'!$F$15</f>
        <v>1</v>
      </c>
      <c r="AW390" s="771">
        <f t="shared" ca="1" si="427"/>
        <v>0</v>
      </c>
      <c r="AX390" s="772">
        <f t="shared" si="428"/>
        <v>0</v>
      </c>
      <c r="AY390" s="231"/>
      <c r="AZ390" s="770" cm="1">
        <f t="array" aca="1" ref="AZ390" ca="1">INDIRECT("'Definition of Typical Day'!"&amp; ADDRESS($D390+29*(AZ$16-1),$E390))+$AZ$17</f>
        <v>11</v>
      </c>
      <c r="BA390" s="771" cm="1">
        <f t="array" aca="1" ref="BA390" ca="1">INDIRECT("'Definition of Typical Day'!"&amp; ADDRESS($D390+29*(BA$16-1),$E390))+$BA$17</f>
        <v>11</v>
      </c>
      <c r="BB390" s="772" cm="1">
        <f t="array" aca="1" ref="BB390" ca="1">INDIRECT("'Definition of Typical Day'!"&amp;ADDRESS(BB$16,$E390))</f>
        <v>0</v>
      </c>
      <c r="BC390" s="776" cm="1">
        <f t="array" aca="1" ref="BC390" ca="1">INDIRECT("'Definition of Typical Day'!"&amp; ADDRESS($D390+29*(BC$16-1),$E390))</f>
        <v>0</v>
      </c>
      <c r="BD390" s="777" cm="1">
        <f t="array" aca="1" ref="BD390" ca="1">INDIRECT("'Definition of Typical Day'!"&amp; ADDRESS($D390+29*(BD$16-1),$E390))</f>
        <v>0</v>
      </c>
      <c r="BE390" s="776">
        <f t="shared" si="429"/>
        <v>0</v>
      </c>
      <c r="BF390" s="771">
        <f t="shared" ca="1" si="430"/>
        <v>0</v>
      </c>
      <c r="BG390" s="771">
        <f t="shared" ca="1" si="431"/>
        <v>0</v>
      </c>
      <c r="BH390" s="771">
        <f t="shared" ca="1" si="432"/>
        <v>0</v>
      </c>
      <c r="BI390" s="776">
        <f t="shared" ca="1" si="433"/>
        <v>0</v>
      </c>
      <c r="BJ390" s="776">
        <f t="shared" ca="1" si="434"/>
        <v>0</v>
      </c>
      <c r="BK390" s="776">
        <f t="shared" ca="1" si="435"/>
        <v>0</v>
      </c>
      <c r="BL390" s="776">
        <f t="shared" ca="1" si="436"/>
        <v>0</v>
      </c>
      <c r="BM390" s="135"/>
      <c r="BN390" s="776">
        <f t="shared" ca="1" si="437"/>
        <v>0</v>
      </c>
      <c r="BO390" s="778">
        <f t="shared" ca="1" si="374"/>
        <v>0</v>
      </c>
      <c r="BP390" s="770">
        <f t="shared" ca="1" si="375"/>
        <v>0</v>
      </c>
      <c r="BQ390" s="771">
        <f t="shared" ca="1" si="376"/>
        <v>0</v>
      </c>
      <c r="BR390" s="771">
        <f t="shared" ca="1" si="377"/>
        <v>0</v>
      </c>
      <c r="BS390" s="776">
        <f t="shared" ca="1" si="438"/>
        <v>0</v>
      </c>
      <c r="BT390" s="776">
        <f t="shared" ca="1" si="378"/>
        <v>0</v>
      </c>
      <c r="BU390" s="783">
        <f t="shared" ca="1" si="379"/>
        <v>0</v>
      </c>
      <c r="BV390" s="783">
        <f t="shared" ca="1" si="380"/>
        <v>0</v>
      </c>
      <c r="BW390" s="1019">
        <f t="shared" ca="1" si="439"/>
        <v>0</v>
      </c>
      <c r="BX390" s="771" cm="1">
        <f t="array" aca="1" ref="BX390" ca="1">INDIRECT("'Definition of Typical Day'!"&amp; ADDRESS($D390+29*(BX$16-1),$E390))</f>
        <v>0</v>
      </c>
      <c r="BY390" s="771">
        <f t="shared" ca="1" si="440"/>
        <v>0</v>
      </c>
      <c r="BZ390" s="781">
        <f t="shared" ca="1" si="381"/>
        <v>0</v>
      </c>
      <c r="CA390" s="781">
        <f t="shared" ca="1" si="382"/>
        <v>0</v>
      </c>
      <c r="CB390" s="776">
        <f t="shared" ca="1" si="383"/>
        <v>0</v>
      </c>
      <c r="CC390" s="782">
        <f t="shared" si="384"/>
        <v>16</v>
      </c>
      <c r="CD390" s="782">
        <f t="shared" si="385"/>
        <v>10</v>
      </c>
      <c r="CE390" s="784" cm="1">
        <f t="array" aca="1" ref="CE390" ca="1">INDIRECT("'Definition of Typical Day'!"&amp;ADDRESS(CE$16,$E390))</f>
        <v>16</v>
      </c>
      <c r="CF390" s="232"/>
      <c r="CG390" s="232"/>
      <c r="CH390" s="776">
        <f t="shared" ca="1" si="386"/>
        <v>0</v>
      </c>
      <c r="CI390" s="806">
        <f t="shared" ca="1" si="387"/>
        <v>0</v>
      </c>
      <c r="CJ390" s="770">
        <f t="shared" ca="1" si="388"/>
        <v>0</v>
      </c>
      <c r="CK390" s="771">
        <f t="shared" ca="1" si="389"/>
        <v>0</v>
      </c>
      <c r="CL390" s="771">
        <f t="shared" ca="1" si="390"/>
        <v>0</v>
      </c>
      <c r="CM390" s="772">
        <f t="shared" ca="1" si="391"/>
        <v>0</v>
      </c>
      <c r="CN390" s="135"/>
      <c r="CO390" s="770">
        <f t="shared" ca="1" si="441"/>
        <v>1.05</v>
      </c>
      <c r="CP390" s="771">
        <f t="shared" ca="1" si="392"/>
        <v>0.02</v>
      </c>
      <c r="CQ390" s="771">
        <f t="shared" ca="1" si="393"/>
        <v>-2.5000000000000001E-2</v>
      </c>
      <c r="CR390" s="771">
        <f t="shared" ca="1" si="394"/>
        <v>0.95</v>
      </c>
      <c r="CS390" s="771">
        <f t="shared" ca="1" si="395"/>
        <v>0.03</v>
      </c>
      <c r="CT390" s="772">
        <f t="shared" ca="1" si="396"/>
        <v>0.02</v>
      </c>
      <c r="CU390" s="135"/>
      <c r="CV390" s="135"/>
      <c r="CW390" s="135"/>
      <c r="CX390" s="135"/>
      <c r="CY390" s="135"/>
      <c r="CZ390" s="135"/>
      <c r="DA390" s="135"/>
      <c r="DB390" s="135"/>
      <c r="DC390" s="135"/>
      <c r="DD390" s="135"/>
      <c r="DE390" s="135"/>
      <c r="DF390" s="135"/>
      <c r="DG390" s="135"/>
      <c r="DH390" s="135"/>
      <c r="DI390" s="135"/>
      <c r="DJ390" s="135"/>
      <c r="DK390" s="135"/>
      <c r="DL390" s="135"/>
      <c r="DX390" s="135"/>
      <c r="DY390" s="135"/>
      <c r="DZ390" s="135"/>
      <c r="EA390" s="135"/>
      <c r="EB390" s="135"/>
      <c r="EC390" s="135"/>
      <c r="ED390" s="135"/>
      <c r="EE390" s="135"/>
      <c r="EF390" s="135"/>
      <c r="EG390" s="135"/>
      <c r="EH390" s="135"/>
      <c r="EI390" s="135"/>
      <c r="EJ390" s="135"/>
      <c r="EK390" s="135"/>
      <c r="EL390" s="135"/>
      <c r="EM390" s="135"/>
      <c r="EN390" s="135"/>
      <c r="EO390" s="135"/>
      <c r="EP390" s="135"/>
      <c r="EQ390" s="135"/>
      <c r="ER390" s="135"/>
      <c r="ES390" s="135"/>
      <c r="ET390" s="135"/>
      <c r="EU390" s="135"/>
      <c r="EV390" s="135"/>
      <c r="EW390" s="135"/>
      <c r="EX390" s="135"/>
      <c r="EY390" s="135"/>
      <c r="EZ390" s="135"/>
      <c r="FA390" s="135"/>
      <c r="FB390" s="135"/>
      <c r="FC390" s="135"/>
      <c r="FD390" s="135"/>
      <c r="FE390" s="135"/>
      <c r="FF390" s="135"/>
      <c r="FG390" s="135"/>
    </row>
    <row r="391" spans="1:163" s="57" customFormat="1" ht="11.25" outlineLevel="1">
      <c r="A391" s="765">
        <f t="shared" si="442"/>
        <v>16</v>
      </c>
      <c r="B391" s="715" cm="1">
        <f t="array" aca="1" ref="B391" ca="1">INDIRECT("'Definition of Typical Day'!"&amp;ADDRESS(B$16,$E391))</f>
        <v>16</v>
      </c>
      <c r="C391" s="766">
        <f t="shared" si="443"/>
        <v>11</v>
      </c>
      <c r="D391" s="715">
        <f t="shared" si="443"/>
        <v>45</v>
      </c>
      <c r="E391" s="715">
        <f t="shared" si="371"/>
        <v>20</v>
      </c>
      <c r="F391" s="767" cm="1">
        <f t="array" aca="1" ref="F391" ca="1">INDIRECT("'Definition of Typical Day'!D"&amp;D391)</f>
        <v>11</v>
      </c>
      <c r="G391" s="767" cm="1">
        <f t="array" aca="1" ref="G391" ca="1">INDIRECT("'Definition of Typical Day'!"&amp;ADDRESS(13,E391))</f>
        <v>16</v>
      </c>
      <c r="H391" s="768" cm="1">
        <f t="array" aca="1" ref="H391" ca="1">INDIRECT("'Definition of Typical Day'!"&amp; ADDRESS($D391+28*(H$16-1),$E391))</f>
        <v>0</v>
      </c>
      <c r="I391" s="715" cm="1">
        <f t="array" aca="1" ref="I391" ca="1">INDIRECT("'Definition of Typical Day'!"&amp; ADDRESS($D391+29*(I$16-1),$E391))</f>
        <v>0</v>
      </c>
      <c r="J391" s="715">
        <f t="shared" ca="1" si="397"/>
        <v>0</v>
      </c>
      <c r="K391" s="785">
        <f t="shared" si="398"/>
        <v>28</v>
      </c>
      <c r="L391" s="786" cm="1">
        <f t="array" aca="1" ref="L391" ca="1">INDIRECT("'Definition of Typical Day'!"&amp; ADDRESS($D391+29*(L$16-1),$E391))</f>
        <v>0</v>
      </c>
      <c r="M391" s="768" cm="1">
        <f t="array" aca="1" ref="M391" ca="1">INDIRECT("'Definition of Typical Day'!"&amp; ADDRESS($D391+29*(M$16-1),$E391))</f>
        <v>0</v>
      </c>
      <c r="N391" s="715">
        <f t="shared" si="399"/>
        <v>3</v>
      </c>
      <c r="O391" s="715">
        <f t="shared" ca="1" si="400"/>
        <v>3</v>
      </c>
      <c r="P391" s="715" cm="1">
        <f t="array" aca="1" ref="P391" ca="1">INDIRECT("'Definition of Typical Day'!"&amp; ADDRESS($D391+29*(P$16-1),$E391))</f>
        <v>0</v>
      </c>
      <c r="Q391" s="787">
        <f t="shared" ca="1" si="401"/>
        <v>3</v>
      </c>
      <c r="R391" s="792">
        <f t="shared" ca="1" si="402"/>
        <v>3</v>
      </c>
      <c r="S391" s="769">
        <f t="shared" si="403"/>
        <v>3</v>
      </c>
      <c r="T391" s="769">
        <f t="shared" ca="1" si="404"/>
        <v>-0.5</v>
      </c>
      <c r="U391" s="769">
        <f t="shared" ca="1" si="405"/>
        <v>2.262</v>
      </c>
      <c r="V391" s="769">
        <f t="shared" ca="1" si="406"/>
        <v>0</v>
      </c>
      <c r="W391" s="769">
        <f t="shared" ca="1" si="407"/>
        <v>4.7620000000000005</v>
      </c>
      <c r="X391" s="794">
        <f t="shared" si="408"/>
        <v>3</v>
      </c>
      <c r="Y391" s="769">
        <f t="shared" ca="1" si="409"/>
        <v>0.54772255750516607</v>
      </c>
      <c r="Z391" s="769">
        <f t="shared" ca="1" si="410"/>
        <v>0</v>
      </c>
      <c r="AA391" s="795">
        <f t="shared" ca="1" si="411"/>
        <v>0</v>
      </c>
      <c r="AB391" s="769">
        <f t="shared" ca="1" si="412"/>
        <v>0</v>
      </c>
      <c r="AC391" s="769">
        <f t="shared" ca="1" si="413"/>
        <v>0</v>
      </c>
      <c r="AD391" s="769">
        <f t="shared" ca="1" si="414"/>
        <v>0</v>
      </c>
      <c r="AE391" s="794">
        <f t="shared" ca="1" si="415"/>
        <v>0</v>
      </c>
      <c r="AF391" s="769">
        <f t="shared" ca="1" si="416"/>
        <v>0</v>
      </c>
      <c r="AG391" s="769">
        <f t="shared" ca="1" si="417"/>
        <v>0</v>
      </c>
      <c r="AH391" s="799">
        <f t="shared" ca="1" si="418"/>
        <v>0</v>
      </c>
      <c r="AI391" s="801">
        <f t="shared" ca="1" si="419"/>
        <v>1</v>
      </c>
      <c r="AJ391" s="794">
        <f t="shared" ca="1" si="420"/>
        <v>0</v>
      </c>
      <c r="AK391" s="769">
        <f t="shared" ca="1" si="421"/>
        <v>0</v>
      </c>
      <c r="AL391" s="769">
        <f t="shared" ca="1" si="422"/>
        <v>0</v>
      </c>
      <c r="AM391" s="804">
        <f t="shared" ca="1" si="372"/>
        <v>0</v>
      </c>
      <c r="AN391" s="795">
        <f t="shared" ca="1" si="373"/>
        <v>0</v>
      </c>
      <c r="AO391" s="251"/>
      <c r="AP391" s="770">
        <f t="shared" si="423"/>
        <v>0</v>
      </c>
      <c r="AQ391" s="771">
        <f t="shared" ca="1" si="424"/>
        <v>0</v>
      </c>
      <c r="AR391" s="771">
        <f t="shared" ca="1" si="425"/>
        <v>0</v>
      </c>
      <c r="AS391" s="772">
        <f t="shared" ca="1" si="426"/>
        <v>0</v>
      </c>
      <c r="AT391" s="231"/>
      <c r="AU391" s="770">
        <f>'Main Results - IRR DC Operator'!$F$16</f>
        <v>2</v>
      </c>
      <c r="AV391" s="773">
        <f>'Main Results - IRR DC Operator'!$F$15</f>
        <v>1</v>
      </c>
      <c r="AW391" s="771">
        <f t="shared" ca="1" si="427"/>
        <v>0</v>
      </c>
      <c r="AX391" s="772">
        <f t="shared" si="428"/>
        <v>0</v>
      </c>
      <c r="AY391" s="231"/>
      <c r="AZ391" s="770" cm="1">
        <f t="array" aca="1" ref="AZ391" ca="1">INDIRECT("'Definition of Typical Day'!"&amp; ADDRESS($D391+29*(AZ$16-1),$E391))+$AZ$17</f>
        <v>11</v>
      </c>
      <c r="BA391" s="771" cm="1">
        <f t="array" aca="1" ref="BA391" ca="1">INDIRECT("'Definition of Typical Day'!"&amp; ADDRESS($D391+29*(BA$16-1),$E391))+$BA$17</f>
        <v>11</v>
      </c>
      <c r="BB391" s="772" cm="1">
        <f t="array" aca="1" ref="BB391" ca="1">INDIRECT("'Definition of Typical Day'!"&amp;ADDRESS(BB$16,$E391))</f>
        <v>0</v>
      </c>
      <c r="BC391" s="776" cm="1">
        <f t="array" aca="1" ref="BC391" ca="1">INDIRECT("'Definition of Typical Day'!"&amp; ADDRESS($D391+29*(BC$16-1),$E391))</f>
        <v>0</v>
      </c>
      <c r="BD391" s="777" cm="1">
        <f t="array" aca="1" ref="BD391" ca="1">INDIRECT("'Definition of Typical Day'!"&amp; ADDRESS($D391+29*(BD$16-1),$E391))</f>
        <v>0</v>
      </c>
      <c r="BE391" s="776">
        <f t="shared" si="429"/>
        <v>0</v>
      </c>
      <c r="BF391" s="771">
        <f t="shared" ca="1" si="430"/>
        <v>0</v>
      </c>
      <c r="BG391" s="771">
        <f t="shared" ca="1" si="431"/>
        <v>0</v>
      </c>
      <c r="BH391" s="771">
        <f t="shared" ca="1" si="432"/>
        <v>0</v>
      </c>
      <c r="BI391" s="776">
        <f t="shared" ca="1" si="433"/>
        <v>0</v>
      </c>
      <c r="BJ391" s="776">
        <f t="shared" ca="1" si="434"/>
        <v>0</v>
      </c>
      <c r="BK391" s="776">
        <f t="shared" ca="1" si="435"/>
        <v>0</v>
      </c>
      <c r="BL391" s="776">
        <f t="shared" ca="1" si="436"/>
        <v>0</v>
      </c>
      <c r="BM391" s="135"/>
      <c r="BN391" s="776">
        <f t="shared" ca="1" si="437"/>
        <v>0</v>
      </c>
      <c r="BO391" s="778">
        <f t="shared" ca="1" si="374"/>
        <v>0</v>
      </c>
      <c r="BP391" s="770">
        <f t="shared" ca="1" si="375"/>
        <v>0</v>
      </c>
      <c r="BQ391" s="771">
        <f t="shared" ca="1" si="376"/>
        <v>0</v>
      </c>
      <c r="BR391" s="771">
        <f t="shared" ca="1" si="377"/>
        <v>0</v>
      </c>
      <c r="BS391" s="776">
        <f t="shared" ca="1" si="438"/>
        <v>0</v>
      </c>
      <c r="BT391" s="776">
        <f t="shared" ca="1" si="378"/>
        <v>0</v>
      </c>
      <c r="BU391" s="783">
        <f t="shared" ca="1" si="379"/>
        <v>0</v>
      </c>
      <c r="BV391" s="783">
        <f t="shared" ca="1" si="380"/>
        <v>0</v>
      </c>
      <c r="BW391" s="1019">
        <f t="shared" ca="1" si="439"/>
        <v>0</v>
      </c>
      <c r="BX391" s="771" cm="1">
        <f t="array" aca="1" ref="BX391" ca="1">INDIRECT("'Definition of Typical Day'!"&amp; ADDRESS($D391+29*(BX$16-1),$E391))</f>
        <v>0</v>
      </c>
      <c r="BY391" s="771">
        <f t="shared" ca="1" si="440"/>
        <v>0</v>
      </c>
      <c r="BZ391" s="781">
        <f t="shared" ca="1" si="381"/>
        <v>0</v>
      </c>
      <c r="CA391" s="781">
        <f t="shared" ca="1" si="382"/>
        <v>0</v>
      </c>
      <c r="CB391" s="776">
        <f t="shared" ca="1" si="383"/>
        <v>0</v>
      </c>
      <c r="CC391" s="782">
        <f t="shared" si="384"/>
        <v>16</v>
      </c>
      <c r="CD391" s="782">
        <f t="shared" si="385"/>
        <v>11</v>
      </c>
      <c r="CE391" s="784" cm="1">
        <f t="array" aca="1" ref="CE391" ca="1">INDIRECT("'Definition of Typical Day'!"&amp;ADDRESS(CE$16,$E391))</f>
        <v>16</v>
      </c>
      <c r="CF391" s="232"/>
      <c r="CG391" s="232"/>
      <c r="CH391" s="776">
        <f t="shared" ca="1" si="386"/>
        <v>0</v>
      </c>
      <c r="CI391" s="806">
        <f t="shared" ca="1" si="387"/>
        <v>0</v>
      </c>
      <c r="CJ391" s="770">
        <f t="shared" ca="1" si="388"/>
        <v>0</v>
      </c>
      <c r="CK391" s="771">
        <f t="shared" ca="1" si="389"/>
        <v>0</v>
      </c>
      <c r="CL391" s="771">
        <f t="shared" ca="1" si="390"/>
        <v>0</v>
      </c>
      <c r="CM391" s="772">
        <f t="shared" ca="1" si="391"/>
        <v>0</v>
      </c>
      <c r="CN391" s="135"/>
      <c r="CO391" s="770">
        <f t="shared" ca="1" si="441"/>
        <v>1.05</v>
      </c>
      <c r="CP391" s="771">
        <f t="shared" ca="1" si="392"/>
        <v>0.02</v>
      </c>
      <c r="CQ391" s="771">
        <f t="shared" ca="1" si="393"/>
        <v>-2.5000000000000001E-2</v>
      </c>
      <c r="CR391" s="771">
        <f t="shared" ca="1" si="394"/>
        <v>0.95</v>
      </c>
      <c r="CS391" s="771">
        <f t="shared" ca="1" si="395"/>
        <v>0.03</v>
      </c>
      <c r="CT391" s="772">
        <f t="shared" ca="1" si="396"/>
        <v>0.02</v>
      </c>
      <c r="CU391" s="135"/>
      <c r="CV391" s="135"/>
      <c r="CW391" s="135"/>
      <c r="CX391" s="135"/>
      <c r="CY391" s="135"/>
      <c r="CZ391" s="135"/>
      <c r="DA391" s="135"/>
      <c r="DB391" s="135"/>
      <c r="DC391" s="135"/>
      <c r="DD391" s="135"/>
      <c r="DE391" s="135"/>
      <c r="DF391" s="135"/>
      <c r="DG391" s="135"/>
      <c r="DH391" s="135"/>
      <c r="DI391" s="135"/>
      <c r="DJ391" s="135"/>
      <c r="DK391" s="135"/>
      <c r="DL391" s="135"/>
      <c r="DX391" s="135"/>
      <c r="DY391" s="135"/>
      <c r="DZ391" s="135"/>
      <c r="EA391" s="135"/>
      <c r="EB391" s="135"/>
      <c r="EC391" s="135"/>
      <c r="ED391" s="135"/>
      <c r="EE391" s="135"/>
      <c r="EF391" s="135"/>
      <c r="EG391" s="135"/>
      <c r="EH391" s="135"/>
      <c r="EI391" s="135"/>
      <c r="EJ391" s="135"/>
      <c r="EK391" s="135"/>
      <c r="EL391" s="135"/>
      <c r="EM391" s="135"/>
      <c r="EN391" s="135"/>
      <c r="EO391" s="135"/>
      <c r="EP391" s="135"/>
      <c r="EQ391" s="135"/>
      <c r="ER391" s="135"/>
      <c r="ES391" s="135"/>
      <c r="ET391" s="135"/>
      <c r="EU391" s="135"/>
      <c r="EV391" s="135"/>
      <c r="EW391" s="135"/>
      <c r="EX391" s="135"/>
      <c r="EY391" s="135"/>
      <c r="EZ391" s="135"/>
      <c r="FA391" s="135"/>
      <c r="FB391" s="135"/>
      <c r="FC391" s="135"/>
      <c r="FD391" s="135"/>
      <c r="FE391" s="135"/>
      <c r="FF391" s="135"/>
      <c r="FG391" s="135"/>
    </row>
    <row r="392" spans="1:163" s="57" customFormat="1" ht="11.25" outlineLevel="1">
      <c r="A392" s="765">
        <f t="shared" si="442"/>
        <v>16</v>
      </c>
      <c r="B392" s="715" cm="1">
        <f t="array" aca="1" ref="B392" ca="1">INDIRECT("'Definition of Typical Day'!"&amp;ADDRESS(B$16,$E392))</f>
        <v>16</v>
      </c>
      <c r="C392" s="766">
        <f t="shared" si="443"/>
        <v>12</v>
      </c>
      <c r="D392" s="715">
        <f t="shared" si="443"/>
        <v>46</v>
      </c>
      <c r="E392" s="715">
        <f t="shared" si="371"/>
        <v>20</v>
      </c>
      <c r="F392" s="767" cm="1">
        <f t="array" aca="1" ref="F392" ca="1">INDIRECT("'Definition of Typical Day'!D"&amp;D392)</f>
        <v>12</v>
      </c>
      <c r="G392" s="767" cm="1">
        <f t="array" aca="1" ref="G392" ca="1">INDIRECT("'Definition of Typical Day'!"&amp;ADDRESS(13,E392))</f>
        <v>16</v>
      </c>
      <c r="H392" s="768" cm="1">
        <f t="array" aca="1" ref="H392" ca="1">INDIRECT("'Definition of Typical Day'!"&amp; ADDRESS($D392+28*(H$16-1),$E392))</f>
        <v>0</v>
      </c>
      <c r="I392" s="715" cm="1">
        <f t="array" aca="1" ref="I392" ca="1">INDIRECT("'Definition of Typical Day'!"&amp; ADDRESS($D392+29*(I$16-1),$E392))</f>
        <v>0</v>
      </c>
      <c r="J392" s="715">
        <f t="shared" ca="1" si="397"/>
        <v>0</v>
      </c>
      <c r="K392" s="785">
        <f t="shared" si="398"/>
        <v>28</v>
      </c>
      <c r="L392" s="786" cm="1">
        <f t="array" aca="1" ref="L392" ca="1">INDIRECT("'Definition of Typical Day'!"&amp; ADDRESS($D392+29*(L$16-1),$E392))</f>
        <v>0</v>
      </c>
      <c r="M392" s="768" cm="1">
        <f t="array" aca="1" ref="M392" ca="1">INDIRECT("'Definition of Typical Day'!"&amp; ADDRESS($D392+29*(M$16-1),$E392))</f>
        <v>0</v>
      </c>
      <c r="N392" s="715">
        <f t="shared" si="399"/>
        <v>3</v>
      </c>
      <c r="O392" s="715">
        <f t="shared" ca="1" si="400"/>
        <v>3</v>
      </c>
      <c r="P392" s="715" cm="1">
        <f t="array" aca="1" ref="P392" ca="1">INDIRECT("'Definition of Typical Day'!"&amp; ADDRESS($D392+29*(P$16-1),$E392))</f>
        <v>0</v>
      </c>
      <c r="Q392" s="787">
        <f t="shared" ca="1" si="401"/>
        <v>3</v>
      </c>
      <c r="R392" s="792">
        <f t="shared" ca="1" si="402"/>
        <v>3</v>
      </c>
      <c r="S392" s="769">
        <f t="shared" si="403"/>
        <v>3</v>
      </c>
      <c r="T392" s="769">
        <f t="shared" ca="1" si="404"/>
        <v>-0.5</v>
      </c>
      <c r="U392" s="769">
        <f t="shared" ca="1" si="405"/>
        <v>2.262</v>
      </c>
      <c r="V392" s="769">
        <f t="shared" ca="1" si="406"/>
        <v>0</v>
      </c>
      <c r="W392" s="769">
        <f t="shared" ca="1" si="407"/>
        <v>4.7620000000000005</v>
      </c>
      <c r="X392" s="794">
        <f t="shared" si="408"/>
        <v>3</v>
      </c>
      <c r="Y392" s="769">
        <f t="shared" ca="1" si="409"/>
        <v>0.54772255750516607</v>
      </c>
      <c r="Z392" s="769">
        <f t="shared" ca="1" si="410"/>
        <v>0</v>
      </c>
      <c r="AA392" s="795">
        <f t="shared" ca="1" si="411"/>
        <v>0</v>
      </c>
      <c r="AB392" s="769">
        <f t="shared" ca="1" si="412"/>
        <v>0</v>
      </c>
      <c r="AC392" s="769">
        <f t="shared" ca="1" si="413"/>
        <v>0</v>
      </c>
      <c r="AD392" s="769">
        <f t="shared" ca="1" si="414"/>
        <v>0</v>
      </c>
      <c r="AE392" s="794">
        <f t="shared" ca="1" si="415"/>
        <v>0</v>
      </c>
      <c r="AF392" s="769">
        <f t="shared" ca="1" si="416"/>
        <v>0</v>
      </c>
      <c r="AG392" s="769">
        <f t="shared" ca="1" si="417"/>
        <v>0</v>
      </c>
      <c r="AH392" s="799">
        <f t="shared" ca="1" si="418"/>
        <v>0</v>
      </c>
      <c r="AI392" s="801">
        <f t="shared" ca="1" si="419"/>
        <v>1</v>
      </c>
      <c r="AJ392" s="794">
        <f t="shared" ca="1" si="420"/>
        <v>0</v>
      </c>
      <c r="AK392" s="769">
        <f t="shared" ca="1" si="421"/>
        <v>0</v>
      </c>
      <c r="AL392" s="769">
        <f t="shared" ca="1" si="422"/>
        <v>0</v>
      </c>
      <c r="AM392" s="804">
        <f t="shared" ca="1" si="372"/>
        <v>0</v>
      </c>
      <c r="AN392" s="795">
        <f t="shared" ca="1" si="373"/>
        <v>0</v>
      </c>
      <c r="AO392" s="251"/>
      <c r="AP392" s="770">
        <f t="shared" si="423"/>
        <v>0</v>
      </c>
      <c r="AQ392" s="771">
        <f t="shared" ca="1" si="424"/>
        <v>0</v>
      </c>
      <c r="AR392" s="771">
        <f t="shared" ca="1" si="425"/>
        <v>0</v>
      </c>
      <c r="AS392" s="772">
        <f t="shared" ca="1" si="426"/>
        <v>0</v>
      </c>
      <c r="AT392" s="231"/>
      <c r="AU392" s="770">
        <f>'Main Results - IRR DC Operator'!$F$16</f>
        <v>2</v>
      </c>
      <c r="AV392" s="773">
        <f>'Main Results - IRR DC Operator'!$F$15</f>
        <v>1</v>
      </c>
      <c r="AW392" s="771">
        <f t="shared" ca="1" si="427"/>
        <v>0</v>
      </c>
      <c r="AX392" s="772">
        <f t="shared" si="428"/>
        <v>0</v>
      </c>
      <c r="AY392" s="231"/>
      <c r="AZ392" s="770" cm="1">
        <f t="array" aca="1" ref="AZ392" ca="1">INDIRECT("'Definition of Typical Day'!"&amp; ADDRESS($D392+29*(AZ$16-1),$E392))+$AZ$17</f>
        <v>11</v>
      </c>
      <c r="BA392" s="771" cm="1">
        <f t="array" aca="1" ref="BA392" ca="1">INDIRECT("'Definition of Typical Day'!"&amp; ADDRESS($D392+29*(BA$16-1),$E392))+$BA$17</f>
        <v>11</v>
      </c>
      <c r="BB392" s="772" cm="1">
        <f t="array" aca="1" ref="BB392" ca="1">INDIRECT("'Definition of Typical Day'!"&amp;ADDRESS(BB$16,$E392))</f>
        <v>0</v>
      </c>
      <c r="BC392" s="776" cm="1">
        <f t="array" aca="1" ref="BC392" ca="1">INDIRECT("'Definition of Typical Day'!"&amp; ADDRESS($D392+29*(BC$16-1),$E392))</f>
        <v>0</v>
      </c>
      <c r="BD392" s="777" cm="1">
        <f t="array" aca="1" ref="BD392" ca="1">INDIRECT("'Definition of Typical Day'!"&amp; ADDRESS($D392+29*(BD$16-1),$E392))</f>
        <v>0</v>
      </c>
      <c r="BE392" s="776">
        <f t="shared" si="429"/>
        <v>0</v>
      </c>
      <c r="BF392" s="771">
        <f t="shared" ca="1" si="430"/>
        <v>0</v>
      </c>
      <c r="BG392" s="771">
        <f t="shared" ca="1" si="431"/>
        <v>0</v>
      </c>
      <c r="BH392" s="771">
        <f t="shared" ca="1" si="432"/>
        <v>0</v>
      </c>
      <c r="BI392" s="776">
        <f t="shared" ca="1" si="433"/>
        <v>0</v>
      </c>
      <c r="BJ392" s="776">
        <f t="shared" ca="1" si="434"/>
        <v>0</v>
      </c>
      <c r="BK392" s="776">
        <f t="shared" ca="1" si="435"/>
        <v>0</v>
      </c>
      <c r="BL392" s="776">
        <f t="shared" ca="1" si="436"/>
        <v>0</v>
      </c>
      <c r="BM392" s="135"/>
      <c r="BN392" s="776">
        <f t="shared" ca="1" si="437"/>
        <v>0</v>
      </c>
      <c r="BO392" s="778">
        <f t="shared" ca="1" si="374"/>
        <v>0</v>
      </c>
      <c r="BP392" s="770">
        <f t="shared" ca="1" si="375"/>
        <v>0</v>
      </c>
      <c r="BQ392" s="771">
        <f t="shared" ca="1" si="376"/>
        <v>0</v>
      </c>
      <c r="BR392" s="771">
        <f t="shared" ca="1" si="377"/>
        <v>0</v>
      </c>
      <c r="BS392" s="776">
        <f t="shared" ca="1" si="438"/>
        <v>0</v>
      </c>
      <c r="BT392" s="776">
        <f t="shared" ca="1" si="378"/>
        <v>0</v>
      </c>
      <c r="BU392" s="783">
        <f t="shared" ca="1" si="379"/>
        <v>0</v>
      </c>
      <c r="BV392" s="783">
        <f t="shared" ca="1" si="380"/>
        <v>0</v>
      </c>
      <c r="BW392" s="1019">
        <f t="shared" ca="1" si="439"/>
        <v>0</v>
      </c>
      <c r="BX392" s="771" cm="1">
        <f t="array" aca="1" ref="BX392" ca="1">INDIRECT("'Definition of Typical Day'!"&amp; ADDRESS($D392+29*(BX$16-1),$E392))</f>
        <v>0</v>
      </c>
      <c r="BY392" s="771">
        <f t="shared" ca="1" si="440"/>
        <v>0</v>
      </c>
      <c r="BZ392" s="781">
        <f t="shared" ca="1" si="381"/>
        <v>0</v>
      </c>
      <c r="CA392" s="781">
        <f t="shared" ca="1" si="382"/>
        <v>0</v>
      </c>
      <c r="CB392" s="776">
        <f t="shared" ca="1" si="383"/>
        <v>0</v>
      </c>
      <c r="CC392" s="782">
        <f t="shared" si="384"/>
        <v>16</v>
      </c>
      <c r="CD392" s="782">
        <f t="shared" si="385"/>
        <v>12</v>
      </c>
      <c r="CE392" s="784" cm="1">
        <f t="array" aca="1" ref="CE392" ca="1">INDIRECT("'Definition of Typical Day'!"&amp;ADDRESS(CE$16,$E392))</f>
        <v>16</v>
      </c>
      <c r="CF392" s="232"/>
      <c r="CG392" s="232"/>
      <c r="CH392" s="776">
        <f t="shared" ca="1" si="386"/>
        <v>0</v>
      </c>
      <c r="CI392" s="806">
        <f t="shared" ca="1" si="387"/>
        <v>0</v>
      </c>
      <c r="CJ392" s="770">
        <f t="shared" ca="1" si="388"/>
        <v>0</v>
      </c>
      <c r="CK392" s="771">
        <f t="shared" ca="1" si="389"/>
        <v>0</v>
      </c>
      <c r="CL392" s="771">
        <f t="shared" ca="1" si="390"/>
        <v>0</v>
      </c>
      <c r="CM392" s="772">
        <f t="shared" ca="1" si="391"/>
        <v>0</v>
      </c>
      <c r="CN392" s="135"/>
      <c r="CO392" s="770">
        <f t="shared" ca="1" si="441"/>
        <v>1.05</v>
      </c>
      <c r="CP392" s="771">
        <f t="shared" ca="1" si="392"/>
        <v>0.02</v>
      </c>
      <c r="CQ392" s="771">
        <f t="shared" ca="1" si="393"/>
        <v>-2.5000000000000001E-2</v>
      </c>
      <c r="CR392" s="771">
        <f t="shared" ca="1" si="394"/>
        <v>0.95</v>
      </c>
      <c r="CS392" s="771">
        <f t="shared" ca="1" si="395"/>
        <v>0.03</v>
      </c>
      <c r="CT392" s="772">
        <f t="shared" ca="1" si="396"/>
        <v>0.02</v>
      </c>
      <c r="CU392" s="135"/>
      <c r="CV392" s="135"/>
      <c r="CW392" s="135"/>
      <c r="CX392" s="135"/>
      <c r="CY392" s="135"/>
      <c r="CZ392" s="135"/>
      <c r="DA392" s="135"/>
      <c r="DB392" s="135"/>
      <c r="DC392" s="135"/>
      <c r="DD392" s="135"/>
      <c r="DE392" s="135"/>
      <c r="DF392" s="135"/>
      <c r="DG392" s="135"/>
      <c r="DH392" s="135"/>
      <c r="DI392" s="135"/>
      <c r="DJ392" s="135"/>
      <c r="DK392" s="135"/>
      <c r="DL392" s="135"/>
      <c r="DX392" s="135"/>
      <c r="DY392" s="135"/>
      <c r="DZ392" s="135"/>
      <c r="EA392" s="135"/>
      <c r="EB392" s="135"/>
      <c r="EC392" s="135"/>
      <c r="ED392" s="135"/>
      <c r="EE392" s="135"/>
      <c r="EF392" s="135"/>
      <c r="EG392" s="135"/>
      <c r="EH392" s="135"/>
      <c r="EI392" s="135"/>
      <c r="EJ392" s="135"/>
      <c r="EK392" s="135"/>
      <c r="EL392" s="135"/>
      <c r="EM392" s="135"/>
      <c r="EN392" s="135"/>
      <c r="EO392" s="135"/>
      <c r="EP392" s="135"/>
      <c r="EQ392" s="135"/>
      <c r="ER392" s="135"/>
      <c r="ES392" s="135"/>
      <c r="ET392" s="135"/>
      <c r="EU392" s="135"/>
      <c r="EV392" s="135"/>
      <c r="EW392" s="135"/>
      <c r="EX392" s="135"/>
      <c r="EY392" s="135"/>
      <c r="EZ392" s="135"/>
      <c r="FA392" s="135"/>
      <c r="FB392" s="135"/>
      <c r="FC392" s="135"/>
      <c r="FD392" s="135"/>
      <c r="FE392" s="135"/>
      <c r="FF392" s="135"/>
      <c r="FG392" s="135"/>
    </row>
    <row r="393" spans="1:163" s="57" customFormat="1" ht="11.25" outlineLevel="1">
      <c r="A393" s="765">
        <f t="shared" si="442"/>
        <v>16</v>
      </c>
      <c r="B393" s="715" cm="1">
        <f t="array" aca="1" ref="B393" ca="1">INDIRECT("'Definition of Typical Day'!"&amp;ADDRESS(B$16,$E393))</f>
        <v>16</v>
      </c>
      <c r="C393" s="766">
        <f t="shared" si="443"/>
        <v>13</v>
      </c>
      <c r="D393" s="715">
        <f t="shared" si="443"/>
        <v>47</v>
      </c>
      <c r="E393" s="715">
        <f t="shared" si="371"/>
        <v>20</v>
      </c>
      <c r="F393" s="767" cm="1">
        <f t="array" aca="1" ref="F393" ca="1">INDIRECT("'Definition of Typical Day'!D"&amp;D393)</f>
        <v>13</v>
      </c>
      <c r="G393" s="767" cm="1">
        <f t="array" aca="1" ref="G393" ca="1">INDIRECT("'Definition of Typical Day'!"&amp;ADDRESS(13,E393))</f>
        <v>16</v>
      </c>
      <c r="H393" s="768" cm="1">
        <f t="array" aca="1" ref="H393" ca="1">INDIRECT("'Definition of Typical Day'!"&amp; ADDRESS($D393+28*(H$16-1),$E393))</f>
        <v>0</v>
      </c>
      <c r="I393" s="715" cm="1">
        <f t="array" aca="1" ref="I393" ca="1">INDIRECT("'Definition of Typical Day'!"&amp; ADDRESS($D393+29*(I$16-1),$E393))</f>
        <v>0</v>
      </c>
      <c r="J393" s="715">
        <f t="shared" ca="1" si="397"/>
        <v>0</v>
      </c>
      <c r="K393" s="785">
        <f t="shared" si="398"/>
        <v>28</v>
      </c>
      <c r="L393" s="786" cm="1">
        <f t="array" aca="1" ref="L393" ca="1">INDIRECT("'Definition of Typical Day'!"&amp; ADDRESS($D393+29*(L$16-1),$E393))</f>
        <v>0</v>
      </c>
      <c r="M393" s="768" cm="1">
        <f t="array" aca="1" ref="M393" ca="1">INDIRECT("'Definition of Typical Day'!"&amp; ADDRESS($D393+29*(M$16-1),$E393))</f>
        <v>0</v>
      </c>
      <c r="N393" s="715">
        <f t="shared" si="399"/>
        <v>3</v>
      </c>
      <c r="O393" s="715">
        <f t="shared" ca="1" si="400"/>
        <v>3</v>
      </c>
      <c r="P393" s="715" cm="1">
        <f t="array" aca="1" ref="P393" ca="1">INDIRECT("'Definition of Typical Day'!"&amp; ADDRESS($D393+29*(P$16-1),$E393))</f>
        <v>0</v>
      </c>
      <c r="Q393" s="787">
        <f t="shared" ca="1" si="401"/>
        <v>3</v>
      </c>
      <c r="R393" s="792">
        <f t="shared" ca="1" si="402"/>
        <v>3</v>
      </c>
      <c r="S393" s="769">
        <f t="shared" si="403"/>
        <v>3</v>
      </c>
      <c r="T393" s="769">
        <f t="shared" ca="1" si="404"/>
        <v>-0.5</v>
      </c>
      <c r="U393" s="769">
        <f t="shared" ca="1" si="405"/>
        <v>2.262</v>
      </c>
      <c r="V393" s="769">
        <f t="shared" ca="1" si="406"/>
        <v>0</v>
      </c>
      <c r="W393" s="769">
        <f t="shared" ca="1" si="407"/>
        <v>4.7620000000000005</v>
      </c>
      <c r="X393" s="794">
        <f t="shared" si="408"/>
        <v>3</v>
      </c>
      <c r="Y393" s="769">
        <f t="shared" ca="1" si="409"/>
        <v>0.54772255750516607</v>
      </c>
      <c r="Z393" s="769">
        <f t="shared" ca="1" si="410"/>
        <v>0</v>
      </c>
      <c r="AA393" s="795">
        <f t="shared" ca="1" si="411"/>
        <v>0</v>
      </c>
      <c r="AB393" s="769">
        <f t="shared" ca="1" si="412"/>
        <v>0</v>
      </c>
      <c r="AC393" s="769">
        <f t="shared" ca="1" si="413"/>
        <v>0</v>
      </c>
      <c r="AD393" s="769">
        <f t="shared" ca="1" si="414"/>
        <v>0</v>
      </c>
      <c r="AE393" s="794">
        <f t="shared" ca="1" si="415"/>
        <v>0</v>
      </c>
      <c r="AF393" s="769">
        <f t="shared" ca="1" si="416"/>
        <v>0</v>
      </c>
      <c r="AG393" s="769">
        <f t="shared" ca="1" si="417"/>
        <v>0</v>
      </c>
      <c r="AH393" s="799">
        <f t="shared" ca="1" si="418"/>
        <v>0</v>
      </c>
      <c r="AI393" s="801">
        <f t="shared" ca="1" si="419"/>
        <v>1</v>
      </c>
      <c r="AJ393" s="794">
        <f t="shared" ca="1" si="420"/>
        <v>0</v>
      </c>
      <c r="AK393" s="769">
        <f t="shared" ca="1" si="421"/>
        <v>0</v>
      </c>
      <c r="AL393" s="769">
        <f t="shared" ca="1" si="422"/>
        <v>0</v>
      </c>
      <c r="AM393" s="804">
        <f t="shared" ca="1" si="372"/>
        <v>0</v>
      </c>
      <c r="AN393" s="795">
        <f t="shared" ca="1" si="373"/>
        <v>0</v>
      </c>
      <c r="AO393" s="251"/>
      <c r="AP393" s="770">
        <f t="shared" si="423"/>
        <v>0</v>
      </c>
      <c r="AQ393" s="771">
        <f t="shared" ca="1" si="424"/>
        <v>0</v>
      </c>
      <c r="AR393" s="771">
        <f t="shared" ca="1" si="425"/>
        <v>0</v>
      </c>
      <c r="AS393" s="772">
        <f t="shared" ca="1" si="426"/>
        <v>0</v>
      </c>
      <c r="AT393" s="231"/>
      <c r="AU393" s="770">
        <f>'Main Results - IRR DC Operator'!$F$16</f>
        <v>2</v>
      </c>
      <c r="AV393" s="773">
        <f>'Main Results - IRR DC Operator'!$F$15</f>
        <v>1</v>
      </c>
      <c r="AW393" s="771">
        <f t="shared" ca="1" si="427"/>
        <v>0</v>
      </c>
      <c r="AX393" s="772">
        <f t="shared" si="428"/>
        <v>0</v>
      </c>
      <c r="AY393" s="231"/>
      <c r="AZ393" s="770" cm="1">
        <f t="array" aca="1" ref="AZ393" ca="1">INDIRECT("'Definition of Typical Day'!"&amp; ADDRESS($D393+29*(AZ$16-1),$E393))+$AZ$17</f>
        <v>11</v>
      </c>
      <c r="BA393" s="771" cm="1">
        <f t="array" aca="1" ref="BA393" ca="1">INDIRECT("'Definition of Typical Day'!"&amp; ADDRESS($D393+29*(BA$16-1),$E393))+$BA$17</f>
        <v>11</v>
      </c>
      <c r="BB393" s="772" cm="1">
        <f t="array" aca="1" ref="BB393" ca="1">INDIRECT("'Definition of Typical Day'!"&amp;ADDRESS(BB$16,$E393))</f>
        <v>0</v>
      </c>
      <c r="BC393" s="776" cm="1">
        <f t="array" aca="1" ref="BC393" ca="1">INDIRECT("'Definition of Typical Day'!"&amp; ADDRESS($D393+29*(BC$16-1),$E393))</f>
        <v>0</v>
      </c>
      <c r="BD393" s="777" cm="1">
        <f t="array" aca="1" ref="BD393" ca="1">INDIRECT("'Definition of Typical Day'!"&amp; ADDRESS($D393+29*(BD$16-1),$E393))</f>
        <v>0</v>
      </c>
      <c r="BE393" s="776">
        <f t="shared" si="429"/>
        <v>0</v>
      </c>
      <c r="BF393" s="771">
        <f t="shared" ca="1" si="430"/>
        <v>0</v>
      </c>
      <c r="BG393" s="771">
        <f t="shared" ca="1" si="431"/>
        <v>0</v>
      </c>
      <c r="BH393" s="771">
        <f t="shared" ca="1" si="432"/>
        <v>0</v>
      </c>
      <c r="BI393" s="776">
        <f t="shared" ca="1" si="433"/>
        <v>0</v>
      </c>
      <c r="BJ393" s="776">
        <f t="shared" ca="1" si="434"/>
        <v>0</v>
      </c>
      <c r="BK393" s="776">
        <f t="shared" ca="1" si="435"/>
        <v>0</v>
      </c>
      <c r="BL393" s="776">
        <f t="shared" ca="1" si="436"/>
        <v>0</v>
      </c>
      <c r="BM393" s="135"/>
      <c r="BN393" s="776">
        <f t="shared" ca="1" si="437"/>
        <v>0</v>
      </c>
      <c r="BO393" s="778">
        <f t="shared" ca="1" si="374"/>
        <v>0</v>
      </c>
      <c r="BP393" s="770">
        <f t="shared" ca="1" si="375"/>
        <v>0</v>
      </c>
      <c r="BQ393" s="771">
        <f t="shared" ca="1" si="376"/>
        <v>0</v>
      </c>
      <c r="BR393" s="771">
        <f t="shared" ca="1" si="377"/>
        <v>0</v>
      </c>
      <c r="BS393" s="776">
        <f t="shared" ca="1" si="438"/>
        <v>0</v>
      </c>
      <c r="BT393" s="776">
        <f t="shared" ca="1" si="378"/>
        <v>0</v>
      </c>
      <c r="BU393" s="783">
        <f t="shared" ca="1" si="379"/>
        <v>0</v>
      </c>
      <c r="BV393" s="783">
        <f t="shared" ca="1" si="380"/>
        <v>0</v>
      </c>
      <c r="BW393" s="1019">
        <f t="shared" ca="1" si="439"/>
        <v>0</v>
      </c>
      <c r="BX393" s="771" cm="1">
        <f t="array" aca="1" ref="BX393" ca="1">INDIRECT("'Definition of Typical Day'!"&amp; ADDRESS($D393+29*(BX$16-1),$E393))</f>
        <v>0</v>
      </c>
      <c r="BY393" s="771">
        <f t="shared" ca="1" si="440"/>
        <v>0</v>
      </c>
      <c r="BZ393" s="781">
        <f t="shared" ca="1" si="381"/>
        <v>0</v>
      </c>
      <c r="CA393" s="781">
        <f t="shared" ca="1" si="382"/>
        <v>0</v>
      </c>
      <c r="CB393" s="776">
        <f t="shared" ca="1" si="383"/>
        <v>0</v>
      </c>
      <c r="CC393" s="782">
        <f t="shared" si="384"/>
        <v>16</v>
      </c>
      <c r="CD393" s="782">
        <f t="shared" si="385"/>
        <v>13</v>
      </c>
      <c r="CE393" s="784" cm="1">
        <f t="array" aca="1" ref="CE393" ca="1">INDIRECT("'Definition of Typical Day'!"&amp;ADDRESS(CE$16,$E393))</f>
        <v>16</v>
      </c>
      <c r="CF393" s="232"/>
      <c r="CG393" s="232"/>
      <c r="CH393" s="776">
        <f t="shared" ca="1" si="386"/>
        <v>0</v>
      </c>
      <c r="CI393" s="806">
        <f t="shared" ca="1" si="387"/>
        <v>0</v>
      </c>
      <c r="CJ393" s="770">
        <f t="shared" ca="1" si="388"/>
        <v>0</v>
      </c>
      <c r="CK393" s="771">
        <f t="shared" ca="1" si="389"/>
        <v>0</v>
      </c>
      <c r="CL393" s="771">
        <f t="shared" ca="1" si="390"/>
        <v>0</v>
      </c>
      <c r="CM393" s="772">
        <f t="shared" ca="1" si="391"/>
        <v>0</v>
      </c>
      <c r="CN393" s="135"/>
      <c r="CO393" s="770">
        <f t="shared" ca="1" si="441"/>
        <v>1.05</v>
      </c>
      <c r="CP393" s="771">
        <f t="shared" ca="1" si="392"/>
        <v>0.02</v>
      </c>
      <c r="CQ393" s="771">
        <f t="shared" ca="1" si="393"/>
        <v>-2.5000000000000001E-2</v>
      </c>
      <c r="CR393" s="771">
        <f t="shared" ca="1" si="394"/>
        <v>0.95</v>
      </c>
      <c r="CS393" s="771">
        <f t="shared" ca="1" si="395"/>
        <v>0.03</v>
      </c>
      <c r="CT393" s="772">
        <f t="shared" ca="1" si="396"/>
        <v>0.02</v>
      </c>
      <c r="CU393" s="135"/>
      <c r="CV393" s="135"/>
      <c r="CW393" s="135"/>
      <c r="CX393" s="135"/>
      <c r="CY393" s="135"/>
      <c r="CZ393" s="135"/>
      <c r="DA393" s="135"/>
      <c r="DB393" s="135"/>
      <c r="DC393" s="135"/>
      <c r="DD393" s="135"/>
      <c r="DE393" s="135"/>
      <c r="DF393" s="135"/>
      <c r="DG393" s="135"/>
      <c r="DH393" s="135"/>
      <c r="DI393" s="135"/>
      <c r="DJ393" s="135"/>
      <c r="DK393" s="135"/>
      <c r="DL393" s="135"/>
      <c r="DX393" s="135"/>
      <c r="DY393" s="135"/>
      <c r="DZ393" s="135"/>
      <c r="EA393" s="135"/>
      <c r="EB393" s="135"/>
      <c r="EC393" s="135"/>
      <c r="ED393" s="135"/>
      <c r="EE393" s="135"/>
      <c r="EF393" s="135"/>
      <c r="EG393" s="135"/>
      <c r="EH393" s="135"/>
      <c r="EI393" s="135"/>
      <c r="EJ393" s="135"/>
      <c r="EK393" s="135"/>
      <c r="EL393" s="135"/>
      <c r="EM393" s="135"/>
      <c r="EN393" s="135"/>
      <c r="EO393" s="135"/>
      <c r="EP393" s="135"/>
      <c r="EQ393" s="135"/>
      <c r="ER393" s="135"/>
      <c r="ES393" s="135"/>
      <c r="ET393" s="135"/>
      <c r="EU393" s="135"/>
      <c r="EV393" s="135"/>
      <c r="EW393" s="135"/>
      <c r="EX393" s="135"/>
      <c r="EY393" s="135"/>
      <c r="EZ393" s="135"/>
      <c r="FA393" s="135"/>
      <c r="FB393" s="135"/>
      <c r="FC393" s="135"/>
      <c r="FD393" s="135"/>
      <c r="FE393" s="135"/>
      <c r="FF393" s="135"/>
      <c r="FG393" s="135"/>
    </row>
    <row r="394" spans="1:163" s="57" customFormat="1" ht="11.25" outlineLevel="1">
      <c r="A394" s="765">
        <f t="shared" si="442"/>
        <v>16</v>
      </c>
      <c r="B394" s="715" cm="1">
        <f t="array" aca="1" ref="B394" ca="1">INDIRECT("'Definition of Typical Day'!"&amp;ADDRESS(B$16,$E394))</f>
        <v>16</v>
      </c>
      <c r="C394" s="766">
        <f t="shared" si="443"/>
        <v>14</v>
      </c>
      <c r="D394" s="715">
        <f t="shared" si="443"/>
        <v>48</v>
      </c>
      <c r="E394" s="715">
        <f t="shared" si="371"/>
        <v>20</v>
      </c>
      <c r="F394" s="767" cm="1">
        <f t="array" aca="1" ref="F394" ca="1">INDIRECT("'Definition of Typical Day'!D"&amp;D394)</f>
        <v>14</v>
      </c>
      <c r="G394" s="767" cm="1">
        <f t="array" aca="1" ref="G394" ca="1">INDIRECT("'Definition of Typical Day'!"&amp;ADDRESS(13,E394))</f>
        <v>16</v>
      </c>
      <c r="H394" s="768" cm="1">
        <f t="array" aca="1" ref="H394" ca="1">INDIRECT("'Definition of Typical Day'!"&amp; ADDRESS($D394+28*(H$16-1),$E394))</f>
        <v>0</v>
      </c>
      <c r="I394" s="715" cm="1">
        <f t="array" aca="1" ref="I394" ca="1">INDIRECT("'Definition of Typical Day'!"&amp; ADDRESS($D394+29*(I$16-1),$E394))</f>
        <v>0</v>
      </c>
      <c r="J394" s="715">
        <f t="shared" ca="1" si="397"/>
        <v>0</v>
      </c>
      <c r="K394" s="785">
        <f t="shared" si="398"/>
        <v>28</v>
      </c>
      <c r="L394" s="786" cm="1">
        <f t="array" aca="1" ref="L394" ca="1">INDIRECT("'Definition of Typical Day'!"&amp; ADDRESS($D394+29*(L$16-1),$E394))</f>
        <v>0</v>
      </c>
      <c r="M394" s="768" cm="1">
        <f t="array" aca="1" ref="M394" ca="1">INDIRECT("'Definition of Typical Day'!"&amp; ADDRESS($D394+29*(M$16-1),$E394))</f>
        <v>0</v>
      </c>
      <c r="N394" s="715">
        <f t="shared" si="399"/>
        <v>3</v>
      </c>
      <c r="O394" s="715">
        <f t="shared" ca="1" si="400"/>
        <v>3</v>
      </c>
      <c r="P394" s="715" cm="1">
        <f t="array" aca="1" ref="P394" ca="1">INDIRECT("'Definition of Typical Day'!"&amp; ADDRESS($D394+29*(P$16-1),$E394))</f>
        <v>0</v>
      </c>
      <c r="Q394" s="787">
        <f t="shared" ca="1" si="401"/>
        <v>3</v>
      </c>
      <c r="R394" s="792">
        <f t="shared" ca="1" si="402"/>
        <v>3</v>
      </c>
      <c r="S394" s="769">
        <f t="shared" si="403"/>
        <v>3</v>
      </c>
      <c r="T394" s="769">
        <f t="shared" ca="1" si="404"/>
        <v>-0.5</v>
      </c>
      <c r="U394" s="769">
        <f t="shared" ca="1" si="405"/>
        <v>2.262</v>
      </c>
      <c r="V394" s="769">
        <f t="shared" ca="1" si="406"/>
        <v>0</v>
      </c>
      <c r="W394" s="769">
        <f t="shared" ca="1" si="407"/>
        <v>4.7620000000000005</v>
      </c>
      <c r="X394" s="794">
        <f t="shared" si="408"/>
        <v>3</v>
      </c>
      <c r="Y394" s="769">
        <f t="shared" ca="1" si="409"/>
        <v>0.54772255750516607</v>
      </c>
      <c r="Z394" s="769">
        <f t="shared" ca="1" si="410"/>
        <v>0</v>
      </c>
      <c r="AA394" s="795">
        <f t="shared" ca="1" si="411"/>
        <v>0</v>
      </c>
      <c r="AB394" s="769">
        <f t="shared" ca="1" si="412"/>
        <v>0</v>
      </c>
      <c r="AC394" s="769">
        <f t="shared" ca="1" si="413"/>
        <v>0</v>
      </c>
      <c r="AD394" s="769">
        <f t="shared" ca="1" si="414"/>
        <v>0</v>
      </c>
      <c r="AE394" s="794">
        <f t="shared" ca="1" si="415"/>
        <v>0</v>
      </c>
      <c r="AF394" s="769">
        <f t="shared" ca="1" si="416"/>
        <v>0</v>
      </c>
      <c r="AG394" s="769">
        <f t="shared" ca="1" si="417"/>
        <v>0</v>
      </c>
      <c r="AH394" s="799">
        <f t="shared" ca="1" si="418"/>
        <v>0</v>
      </c>
      <c r="AI394" s="801">
        <f t="shared" ca="1" si="419"/>
        <v>1</v>
      </c>
      <c r="AJ394" s="794">
        <f t="shared" ca="1" si="420"/>
        <v>0</v>
      </c>
      <c r="AK394" s="769">
        <f t="shared" ca="1" si="421"/>
        <v>0</v>
      </c>
      <c r="AL394" s="769">
        <f t="shared" ca="1" si="422"/>
        <v>0</v>
      </c>
      <c r="AM394" s="804">
        <f t="shared" ca="1" si="372"/>
        <v>0</v>
      </c>
      <c r="AN394" s="795">
        <f t="shared" ca="1" si="373"/>
        <v>0</v>
      </c>
      <c r="AO394" s="251"/>
      <c r="AP394" s="770">
        <f t="shared" si="423"/>
        <v>0</v>
      </c>
      <c r="AQ394" s="771">
        <f t="shared" ca="1" si="424"/>
        <v>0</v>
      </c>
      <c r="AR394" s="771">
        <f t="shared" ca="1" si="425"/>
        <v>0</v>
      </c>
      <c r="AS394" s="772">
        <f t="shared" ca="1" si="426"/>
        <v>0</v>
      </c>
      <c r="AT394" s="231"/>
      <c r="AU394" s="770">
        <f>'Main Results - IRR DC Operator'!$F$16</f>
        <v>2</v>
      </c>
      <c r="AV394" s="773">
        <f>'Main Results - IRR DC Operator'!$F$15</f>
        <v>1</v>
      </c>
      <c r="AW394" s="771">
        <f t="shared" ca="1" si="427"/>
        <v>0</v>
      </c>
      <c r="AX394" s="772">
        <f t="shared" si="428"/>
        <v>0</v>
      </c>
      <c r="AY394" s="231"/>
      <c r="AZ394" s="770" cm="1">
        <f t="array" aca="1" ref="AZ394" ca="1">INDIRECT("'Definition of Typical Day'!"&amp; ADDRESS($D394+29*(AZ$16-1),$E394))+$AZ$17</f>
        <v>11</v>
      </c>
      <c r="BA394" s="771" cm="1">
        <f t="array" aca="1" ref="BA394" ca="1">INDIRECT("'Definition of Typical Day'!"&amp; ADDRESS($D394+29*(BA$16-1),$E394))+$BA$17</f>
        <v>11</v>
      </c>
      <c r="BB394" s="772" cm="1">
        <f t="array" aca="1" ref="BB394" ca="1">INDIRECT("'Definition of Typical Day'!"&amp;ADDRESS(BB$16,$E394))</f>
        <v>0</v>
      </c>
      <c r="BC394" s="776" cm="1">
        <f t="array" aca="1" ref="BC394" ca="1">INDIRECT("'Definition of Typical Day'!"&amp; ADDRESS($D394+29*(BC$16-1),$E394))</f>
        <v>0</v>
      </c>
      <c r="BD394" s="777" cm="1">
        <f t="array" aca="1" ref="BD394" ca="1">INDIRECT("'Definition of Typical Day'!"&amp; ADDRESS($D394+29*(BD$16-1),$E394))</f>
        <v>0</v>
      </c>
      <c r="BE394" s="776">
        <f t="shared" si="429"/>
        <v>0</v>
      </c>
      <c r="BF394" s="771">
        <f t="shared" ca="1" si="430"/>
        <v>0</v>
      </c>
      <c r="BG394" s="771">
        <f t="shared" ca="1" si="431"/>
        <v>0</v>
      </c>
      <c r="BH394" s="771">
        <f t="shared" ca="1" si="432"/>
        <v>0</v>
      </c>
      <c r="BI394" s="776">
        <f t="shared" ca="1" si="433"/>
        <v>0</v>
      </c>
      <c r="BJ394" s="776">
        <f t="shared" ca="1" si="434"/>
        <v>0</v>
      </c>
      <c r="BK394" s="776">
        <f t="shared" ca="1" si="435"/>
        <v>0</v>
      </c>
      <c r="BL394" s="776">
        <f t="shared" ca="1" si="436"/>
        <v>0</v>
      </c>
      <c r="BM394" s="135"/>
      <c r="BN394" s="776">
        <f t="shared" ca="1" si="437"/>
        <v>0</v>
      </c>
      <c r="BO394" s="778">
        <f t="shared" ca="1" si="374"/>
        <v>0</v>
      </c>
      <c r="BP394" s="770">
        <f t="shared" ca="1" si="375"/>
        <v>0</v>
      </c>
      <c r="BQ394" s="771">
        <f t="shared" ca="1" si="376"/>
        <v>0</v>
      </c>
      <c r="BR394" s="771">
        <f t="shared" ca="1" si="377"/>
        <v>0</v>
      </c>
      <c r="BS394" s="776">
        <f t="shared" ca="1" si="438"/>
        <v>0</v>
      </c>
      <c r="BT394" s="776">
        <f t="shared" ca="1" si="378"/>
        <v>0</v>
      </c>
      <c r="BU394" s="783">
        <f t="shared" ca="1" si="379"/>
        <v>0</v>
      </c>
      <c r="BV394" s="783">
        <f t="shared" ca="1" si="380"/>
        <v>0</v>
      </c>
      <c r="BW394" s="1019">
        <f t="shared" ca="1" si="439"/>
        <v>0</v>
      </c>
      <c r="BX394" s="771" cm="1">
        <f t="array" aca="1" ref="BX394" ca="1">INDIRECT("'Definition of Typical Day'!"&amp; ADDRESS($D394+29*(BX$16-1),$E394))</f>
        <v>0</v>
      </c>
      <c r="BY394" s="771">
        <f t="shared" ca="1" si="440"/>
        <v>0</v>
      </c>
      <c r="BZ394" s="781">
        <f t="shared" ca="1" si="381"/>
        <v>0</v>
      </c>
      <c r="CA394" s="781">
        <f t="shared" ca="1" si="382"/>
        <v>0</v>
      </c>
      <c r="CB394" s="776">
        <f t="shared" ca="1" si="383"/>
        <v>0</v>
      </c>
      <c r="CC394" s="782">
        <f t="shared" si="384"/>
        <v>16</v>
      </c>
      <c r="CD394" s="782">
        <f t="shared" si="385"/>
        <v>14</v>
      </c>
      <c r="CE394" s="784" cm="1">
        <f t="array" aca="1" ref="CE394" ca="1">INDIRECT("'Definition of Typical Day'!"&amp;ADDRESS(CE$16,$E394))</f>
        <v>16</v>
      </c>
      <c r="CF394" s="232"/>
      <c r="CG394" s="232"/>
      <c r="CH394" s="776">
        <f t="shared" ca="1" si="386"/>
        <v>0</v>
      </c>
      <c r="CI394" s="806">
        <f t="shared" ca="1" si="387"/>
        <v>0</v>
      </c>
      <c r="CJ394" s="770">
        <f t="shared" ca="1" si="388"/>
        <v>0</v>
      </c>
      <c r="CK394" s="771">
        <f t="shared" ca="1" si="389"/>
        <v>0</v>
      </c>
      <c r="CL394" s="771">
        <f t="shared" ca="1" si="390"/>
        <v>0</v>
      </c>
      <c r="CM394" s="772">
        <f t="shared" ca="1" si="391"/>
        <v>0</v>
      </c>
      <c r="CN394" s="135"/>
      <c r="CO394" s="770">
        <f t="shared" ca="1" si="441"/>
        <v>1.05</v>
      </c>
      <c r="CP394" s="771">
        <f t="shared" ca="1" si="392"/>
        <v>0.02</v>
      </c>
      <c r="CQ394" s="771">
        <f t="shared" ca="1" si="393"/>
        <v>-2.5000000000000001E-2</v>
      </c>
      <c r="CR394" s="771">
        <f t="shared" ca="1" si="394"/>
        <v>0.95</v>
      </c>
      <c r="CS394" s="771">
        <f t="shared" ca="1" si="395"/>
        <v>0.03</v>
      </c>
      <c r="CT394" s="772">
        <f t="shared" ca="1" si="396"/>
        <v>0.02</v>
      </c>
      <c r="CU394" s="135"/>
      <c r="CV394" s="135"/>
      <c r="CW394" s="135"/>
      <c r="CX394" s="135"/>
      <c r="CY394" s="135"/>
      <c r="CZ394" s="135"/>
      <c r="DA394" s="135"/>
      <c r="DB394" s="135"/>
      <c r="DC394" s="135"/>
      <c r="DD394" s="135"/>
      <c r="DE394" s="135"/>
      <c r="DF394" s="135"/>
      <c r="DG394" s="135"/>
      <c r="DH394" s="135"/>
      <c r="DI394" s="135"/>
      <c r="DJ394" s="135"/>
      <c r="DK394" s="135"/>
      <c r="DL394" s="135"/>
      <c r="DX394" s="135"/>
      <c r="DY394" s="135"/>
      <c r="DZ394" s="135"/>
      <c r="EA394" s="135"/>
      <c r="EB394" s="135"/>
      <c r="EC394" s="135"/>
      <c r="ED394" s="135"/>
      <c r="EE394" s="135"/>
      <c r="EF394" s="135"/>
      <c r="EG394" s="135"/>
      <c r="EH394" s="135"/>
      <c r="EI394" s="135"/>
      <c r="EJ394" s="135"/>
      <c r="EK394" s="135"/>
      <c r="EL394" s="135"/>
      <c r="EM394" s="135"/>
      <c r="EN394" s="135"/>
      <c r="EO394" s="135"/>
      <c r="EP394" s="135"/>
      <c r="EQ394" s="135"/>
      <c r="ER394" s="135"/>
      <c r="ES394" s="135"/>
      <c r="ET394" s="135"/>
      <c r="EU394" s="135"/>
      <c r="EV394" s="135"/>
      <c r="EW394" s="135"/>
      <c r="EX394" s="135"/>
      <c r="EY394" s="135"/>
      <c r="EZ394" s="135"/>
      <c r="FA394" s="135"/>
      <c r="FB394" s="135"/>
      <c r="FC394" s="135"/>
      <c r="FD394" s="135"/>
      <c r="FE394" s="135"/>
      <c r="FF394" s="135"/>
      <c r="FG394" s="135"/>
    </row>
    <row r="395" spans="1:163" s="57" customFormat="1" ht="11.25" outlineLevel="1">
      <c r="A395" s="765">
        <f t="shared" si="442"/>
        <v>16</v>
      </c>
      <c r="B395" s="715" cm="1">
        <f t="array" aca="1" ref="B395" ca="1">INDIRECT("'Definition of Typical Day'!"&amp;ADDRESS(B$16,$E395))</f>
        <v>16</v>
      </c>
      <c r="C395" s="766">
        <f t="shared" si="443"/>
        <v>15</v>
      </c>
      <c r="D395" s="715">
        <f t="shared" si="443"/>
        <v>49</v>
      </c>
      <c r="E395" s="715">
        <f t="shared" si="371"/>
        <v>20</v>
      </c>
      <c r="F395" s="767" cm="1">
        <f t="array" aca="1" ref="F395" ca="1">INDIRECT("'Definition of Typical Day'!D"&amp;D395)</f>
        <v>15</v>
      </c>
      <c r="G395" s="767" cm="1">
        <f t="array" aca="1" ref="G395" ca="1">INDIRECT("'Definition of Typical Day'!"&amp;ADDRESS(13,E395))</f>
        <v>16</v>
      </c>
      <c r="H395" s="768" cm="1">
        <f t="array" aca="1" ref="H395" ca="1">INDIRECT("'Definition of Typical Day'!"&amp; ADDRESS($D395+28*(H$16-1),$E395))</f>
        <v>0</v>
      </c>
      <c r="I395" s="715" cm="1">
        <f t="array" aca="1" ref="I395" ca="1">INDIRECT("'Definition of Typical Day'!"&amp; ADDRESS($D395+29*(I$16-1),$E395))</f>
        <v>0</v>
      </c>
      <c r="J395" s="715">
        <f t="shared" ca="1" si="397"/>
        <v>0</v>
      </c>
      <c r="K395" s="785">
        <f t="shared" si="398"/>
        <v>28</v>
      </c>
      <c r="L395" s="786" cm="1">
        <f t="array" aca="1" ref="L395" ca="1">INDIRECT("'Definition of Typical Day'!"&amp; ADDRESS($D395+29*(L$16-1),$E395))</f>
        <v>0</v>
      </c>
      <c r="M395" s="768" cm="1">
        <f t="array" aca="1" ref="M395" ca="1">INDIRECT("'Definition of Typical Day'!"&amp; ADDRESS($D395+29*(M$16-1),$E395))</f>
        <v>0</v>
      </c>
      <c r="N395" s="715">
        <f t="shared" si="399"/>
        <v>3</v>
      </c>
      <c r="O395" s="715">
        <f t="shared" ca="1" si="400"/>
        <v>3</v>
      </c>
      <c r="P395" s="715" cm="1">
        <f t="array" aca="1" ref="P395" ca="1">INDIRECT("'Definition of Typical Day'!"&amp; ADDRESS($D395+29*(P$16-1),$E395))</f>
        <v>0</v>
      </c>
      <c r="Q395" s="787">
        <f t="shared" ca="1" si="401"/>
        <v>3</v>
      </c>
      <c r="R395" s="792">
        <f t="shared" ca="1" si="402"/>
        <v>3</v>
      </c>
      <c r="S395" s="769">
        <f t="shared" si="403"/>
        <v>3</v>
      </c>
      <c r="T395" s="769">
        <f t="shared" ca="1" si="404"/>
        <v>-0.5</v>
      </c>
      <c r="U395" s="769">
        <f t="shared" ca="1" si="405"/>
        <v>2.262</v>
      </c>
      <c r="V395" s="769">
        <f t="shared" ca="1" si="406"/>
        <v>0</v>
      </c>
      <c r="W395" s="769">
        <f t="shared" ca="1" si="407"/>
        <v>4.7620000000000005</v>
      </c>
      <c r="X395" s="794">
        <f t="shared" si="408"/>
        <v>3</v>
      </c>
      <c r="Y395" s="769">
        <f t="shared" ca="1" si="409"/>
        <v>0.54772255750516607</v>
      </c>
      <c r="Z395" s="769">
        <f t="shared" ca="1" si="410"/>
        <v>0</v>
      </c>
      <c r="AA395" s="795">
        <f t="shared" ca="1" si="411"/>
        <v>0</v>
      </c>
      <c r="AB395" s="769">
        <f t="shared" ca="1" si="412"/>
        <v>0</v>
      </c>
      <c r="AC395" s="769">
        <f t="shared" ca="1" si="413"/>
        <v>0</v>
      </c>
      <c r="AD395" s="769">
        <f t="shared" ca="1" si="414"/>
        <v>0</v>
      </c>
      <c r="AE395" s="794">
        <f t="shared" ca="1" si="415"/>
        <v>0</v>
      </c>
      <c r="AF395" s="769">
        <f t="shared" ca="1" si="416"/>
        <v>0</v>
      </c>
      <c r="AG395" s="769">
        <f t="shared" ca="1" si="417"/>
        <v>0</v>
      </c>
      <c r="AH395" s="799">
        <f t="shared" ca="1" si="418"/>
        <v>0</v>
      </c>
      <c r="AI395" s="801">
        <f t="shared" ca="1" si="419"/>
        <v>1</v>
      </c>
      <c r="AJ395" s="794">
        <f t="shared" ca="1" si="420"/>
        <v>0</v>
      </c>
      <c r="AK395" s="769">
        <f t="shared" ca="1" si="421"/>
        <v>0</v>
      </c>
      <c r="AL395" s="769">
        <f t="shared" ca="1" si="422"/>
        <v>0</v>
      </c>
      <c r="AM395" s="804">
        <f t="shared" ca="1" si="372"/>
        <v>0</v>
      </c>
      <c r="AN395" s="795">
        <f t="shared" ca="1" si="373"/>
        <v>0</v>
      </c>
      <c r="AO395" s="251"/>
      <c r="AP395" s="770">
        <f t="shared" si="423"/>
        <v>0</v>
      </c>
      <c r="AQ395" s="771">
        <f t="shared" ca="1" si="424"/>
        <v>0</v>
      </c>
      <c r="AR395" s="771">
        <f t="shared" ca="1" si="425"/>
        <v>0</v>
      </c>
      <c r="AS395" s="772">
        <f t="shared" ca="1" si="426"/>
        <v>0</v>
      </c>
      <c r="AT395" s="231"/>
      <c r="AU395" s="770">
        <f>'Main Results - IRR DC Operator'!$F$16</f>
        <v>2</v>
      </c>
      <c r="AV395" s="773">
        <f>'Main Results - IRR DC Operator'!$F$15</f>
        <v>1</v>
      </c>
      <c r="AW395" s="771">
        <f t="shared" ca="1" si="427"/>
        <v>0</v>
      </c>
      <c r="AX395" s="772">
        <f t="shared" si="428"/>
        <v>0</v>
      </c>
      <c r="AY395" s="231"/>
      <c r="AZ395" s="770" cm="1">
        <f t="array" aca="1" ref="AZ395" ca="1">INDIRECT("'Definition of Typical Day'!"&amp; ADDRESS($D395+29*(AZ$16-1),$E395))+$AZ$17</f>
        <v>11</v>
      </c>
      <c r="BA395" s="771" cm="1">
        <f t="array" aca="1" ref="BA395" ca="1">INDIRECT("'Definition of Typical Day'!"&amp; ADDRESS($D395+29*(BA$16-1),$E395))+$BA$17</f>
        <v>11</v>
      </c>
      <c r="BB395" s="772" cm="1">
        <f t="array" aca="1" ref="BB395" ca="1">INDIRECT("'Definition of Typical Day'!"&amp;ADDRESS(BB$16,$E395))</f>
        <v>0</v>
      </c>
      <c r="BC395" s="776" cm="1">
        <f t="array" aca="1" ref="BC395" ca="1">INDIRECT("'Definition of Typical Day'!"&amp; ADDRESS($D395+29*(BC$16-1),$E395))</f>
        <v>0</v>
      </c>
      <c r="BD395" s="777" cm="1">
        <f t="array" aca="1" ref="BD395" ca="1">INDIRECT("'Definition of Typical Day'!"&amp; ADDRESS($D395+29*(BD$16-1),$E395))</f>
        <v>0</v>
      </c>
      <c r="BE395" s="776">
        <f t="shared" si="429"/>
        <v>0</v>
      </c>
      <c r="BF395" s="771">
        <f t="shared" ca="1" si="430"/>
        <v>0</v>
      </c>
      <c r="BG395" s="771">
        <f t="shared" ca="1" si="431"/>
        <v>0</v>
      </c>
      <c r="BH395" s="771">
        <f t="shared" ca="1" si="432"/>
        <v>0</v>
      </c>
      <c r="BI395" s="776">
        <f t="shared" ca="1" si="433"/>
        <v>0</v>
      </c>
      <c r="BJ395" s="776">
        <f t="shared" ca="1" si="434"/>
        <v>0</v>
      </c>
      <c r="BK395" s="776">
        <f t="shared" ca="1" si="435"/>
        <v>0</v>
      </c>
      <c r="BL395" s="776">
        <f t="shared" ca="1" si="436"/>
        <v>0</v>
      </c>
      <c r="BM395" s="135"/>
      <c r="BN395" s="776">
        <f t="shared" ca="1" si="437"/>
        <v>0</v>
      </c>
      <c r="BO395" s="778">
        <f t="shared" ca="1" si="374"/>
        <v>0</v>
      </c>
      <c r="BP395" s="770">
        <f t="shared" ca="1" si="375"/>
        <v>0</v>
      </c>
      <c r="BQ395" s="771">
        <f t="shared" ca="1" si="376"/>
        <v>0</v>
      </c>
      <c r="BR395" s="771">
        <f t="shared" ca="1" si="377"/>
        <v>0</v>
      </c>
      <c r="BS395" s="776">
        <f t="shared" ca="1" si="438"/>
        <v>0</v>
      </c>
      <c r="BT395" s="776">
        <f t="shared" ca="1" si="378"/>
        <v>0</v>
      </c>
      <c r="BU395" s="783">
        <f t="shared" ca="1" si="379"/>
        <v>0</v>
      </c>
      <c r="BV395" s="783">
        <f t="shared" ca="1" si="380"/>
        <v>0</v>
      </c>
      <c r="BW395" s="1019">
        <f t="shared" ca="1" si="439"/>
        <v>0</v>
      </c>
      <c r="BX395" s="771" cm="1">
        <f t="array" aca="1" ref="BX395" ca="1">INDIRECT("'Definition of Typical Day'!"&amp; ADDRESS($D395+29*(BX$16-1),$E395))</f>
        <v>0</v>
      </c>
      <c r="BY395" s="771">
        <f t="shared" ca="1" si="440"/>
        <v>0</v>
      </c>
      <c r="BZ395" s="781">
        <f t="shared" ca="1" si="381"/>
        <v>0</v>
      </c>
      <c r="CA395" s="781">
        <f t="shared" ca="1" si="382"/>
        <v>0</v>
      </c>
      <c r="CB395" s="776">
        <f t="shared" ca="1" si="383"/>
        <v>0</v>
      </c>
      <c r="CC395" s="782">
        <f t="shared" si="384"/>
        <v>16</v>
      </c>
      <c r="CD395" s="782">
        <f t="shared" si="385"/>
        <v>15</v>
      </c>
      <c r="CE395" s="784" cm="1">
        <f t="array" aca="1" ref="CE395" ca="1">INDIRECT("'Definition of Typical Day'!"&amp;ADDRESS(CE$16,$E395))</f>
        <v>16</v>
      </c>
      <c r="CF395" s="232"/>
      <c r="CG395" s="232"/>
      <c r="CH395" s="776">
        <f t="shared" ca="1" si="386"/>
        <v>0</v>
      </c>
      <c r="CI395" s="806">
        <f t="shared" ca="1" si="387"/>
        <v>0</v>
      </c>
      <c r="CJ395" s="770">
        <f t="shared" ca="1" si="388"/>
        <v>0</v>
      </c>
      <c r="CK395" s="771">
        <f t="shared" ca="1" si="389"/>
        <v>0</v>
      </c>
      <c r="CL395" s="771">
        <f t="shared" ca="1" si="390"/>
        <v>0</v>
      </c>
      <c r="CM395" s="772">
        <f t="shared" ca="1" si="391"/>
        <v>0</v>
      </c>
      <c r="CN395" s="135"/>
      <c r="CO395" s="770">
        <f t="shared" ca="1" si="441"/>
        <v>1.05</v>
      </c>
      <c r="CP395" s="771">
        <f t="shared" ca="1" si="392"/>
        <v>0.02</v>
      </c>
      <c r="CQ395" s="771">
        <f t="shared" ca="1" si="393"/>
        <v>-2.5000000000000001E-2</v>
      </c>
      <c r="CR395" s="771">
        <f t="shared" ca="1" si="394"/>
        <v>0.95</v>
      </c>
      <c r="CS395" s="771">
        <f t="shared" ca="1" si="395"/>
        <v>0.03</v>
      </c>
      <c r="CT395" s="772">
        <f t="shared" ca="1" si="396"/>
        <v>0.02</v>
      </c>
      <c r="CU395" s="135"/>
      <c r="CV395" s="135"/>
      <c r="CW395" s="135"/>
      <c r="CX395" s="135"/>
      <c r="CY395" s="135"/>
      <c r="CZ395" s="135"/>
      <c r="DA395" s="135"/>
      <c r="DB395" s="135"/>
      <c r="DC395" s="135"/>
      <c r="DD395" s="135"/>
      <c r="DE395" s="135"/>
      <c r="DF395" s="135"/>
      <c r="DG395" s="135"/>
      <c r="DH395" s="135"/>
      <c r="DI395" s="135"/>
      <c r="DJ395" s="135"/>
      <c r="DK395" s="135"/>
      <c r="DL395" s="135"/>
      <c r="DX395" s="135"/>
      <c r="DY395" s="135"/>
      <c r="DZ395" s="135"/>
      <c r="EA395" s="135"/>
      <c r="EB395" s="135"/>
      <c r="EC395" s="135"/>
      <c r="ED395" s="135"/>
      <c r="EE395" s="135"/>
      <c r="EF395" s="135"/>
      <c r="EG395" s="135"/>
      <c r="EH395" s="135"/>
      <c r="EI395" s="135"/>
      <c r="EJ395" s="135"/>
      <c r="EK395" s="135"/>
      <c r="EL395" s="135"/>
      <c r="EM395" s="135"/>
      <c r="EN395" s="135"/>
      <c r="EO395" s="135"/>
      <c r="EP395" s="135"/>
      <c r="EQ395" s="135"/>
      <c r="ER395" s="135"/>
      <c r="ES395" s="135"/>
      <c r="ET395" s="135"/>
      <c r="EU395" s="135"/>
      <c r="EV395" s="135"/>
      <c r="EW395" s="135"/>
      <c r="EX395" s="135"/>
      <c r="EY395" s="135"/>
      <c r="EZ395" s="135"/>
      <c r="FA395" s="135"/>
      <c r="FB395" s="135"/>
      <c r="FC395" s="135"/>
      <c r="FD395" s="135"/>
      <c r="FE395" s="135"/>
      <c r="FF395" s="135"/>
      <c r="FG395" s="135"/>
    </row>
    <row r="396" spans="1:163" s="57" customFormat="1" ht="11.25" outlineLevel="1">
      <c r="A396" s="765">
        <f t="shared" si="442"/>
        <v>16</v>
      </c>
      <c r="B396" s="715" cm="1">
        <f t="array" aca="1" ref="B396" ca="1">INDIRECT("'Definition of Typical Day'!"&amp;ADDRESS(B$16,$E396))</f>
        <v>16</v>
      </c>
      <c r="C396" s="766">
        <f t="shared" si="443"/>
        <v>16</v>
      </c>
      <c r="D396" s="715">
        <f t="shared" si="443"/>
        <v>50</v>
      </c>
      <c r="E396" s="715">
        <f t="shared" si="371"/>
        <v>20</v>
      </c>
      <c r="F396" s="767" cm="1">
        <f t="array" aca="1" ref="F396" ca="1">INDIRECT("'Definition of Typical Day'!D"&amp;D396)</f>
        <v>16</v>
      </c>
      <c r="G396" s="767" cm="1">
        <f t="array" aca="1" ref="G396" ca="1">INDIRECT("'Definition of Typical Day'!"&amp;ADDRESS(13,E396))</f>
        <v>16</v>
      </c>
      <c r="H396" s="768" cm="1">
        <f t="array" aca="1" ref="H396" ca="1">INDIRECT("'Definition of Typical Day'!"&amp; ADDRESS($D396+28*(H$16-1),$E396))</f>
        <v>0</v>
      </c>
      <c r="I396" s="715" cm="1">
        <f t="array" aca="1" ref="I396" ca="1">INDIRECT("'Definition of Typical Day'!"&amp; ADDRESS($D396+29*(I$16-1),$E396))</f>
        <v>0</v>
      </c>
      <c r="J396" s="715">
        <f t="shared" ca="1" si="397"/>
        <v>0</v>
      </c>
      <c r="K396" s="785">
        <f t="shared" si="398"/>
        <v>28</v>
      </c>
      <c r="L396" s="786" cm="1">
        <f t="array" aca="1" ref="L396" ca="1">INDIRECT("'Definition of Typical Day'!"&amp; ADDRESS($D396+29*(L$16-1),$E396))</f>
        <v>0</v>
      </c>
      <c r="M396" s="768" cm="1">
        <f t="array" aca="1" ref="M396" ca="1">INDIRECT("'Definition of Typical Day'!"&amp; ADDRESS($D396+29*(M$16-1),$E396))</f>
        <v>0</v>
      </c>
      <c r="N396" s="715">
        <f t="shared" si="399"/>
        <v>3</v>
      </c>
      <c r="O396" s="715">
        <f t="shared" ca="1" si="400"/>
        <v>3</v>
      </c>
      <c r="P396" s="715" cm="1">
        <f t="array" aca="1" ref="P396" ca="1">INDIRECT("'Definition of Typical Day'!"&amp; ADDRESS($D396+29*(P$16-1),$E396))</f>
        <v>0</v>
      </c>
      <c r="Q396" s="787">
        <f t="shared" ca="1" si="401"/>
        <v>3</v>
      </c>
      <c r="R396" s="792">
        <f t="shared" ca="1" si="402"/>
        <v>3</v>
      </c>
      <c r="S396" s="769">
        <f t="shared" si="403"/>
        <v>3</v>
      </c>
      <c r="T396" s="769">
        <f t="shared" ca="1" si="404"/>
        <v>-0.5</v>
      </c>
      <c r="U396" s="769">
        <f t="shared" ca="1" si="405"/>
        <v>2.262</v>
      </c>
      <c r="V396" s="769">
        <f t="shared" ca="1" si="406"/>
        <v>0</v>
      </c>
      <c r="W396" s="769">
        <f t="shared" ca="1" si="407"/>
        <v>4.7620000000000005</v>
      </c>
      <c r="X396" s="794">
        <f t="shared" si="408"/>
        <v>3</v>
      </c>
      <c r="Y396" s="769">
        <f t="shared" ca="1" si="409"/>
        <v>0.54772255750516607</v>
      </c>
      <c r="Z396" s="769">
        <f t="shared" ca="1" si="410"/>
        <v>0</v>
      </c>
      <c r="AA396" s="795">
        <f t="shared" ca="1" si="411"/>
        <v>0</v>
      </c>
      <c r="AB396" s="769">
        <f t="shared" ca="1" si="412"/>
        <v>0</v>
      </c>
      <c r="AC396" s="769">
        <f t="shared" ca="1" si="413"/>
        <v>0</v>
      </c>
      <c r="AD396" s="769">
        <f t="shared" ca="1" si="414"/>
        <v>0</v>
      </c>
      <c r="AE396" s="794">
        <f t="shared" ca="1" si="415"/>
        <v>0</v>
      </c>
      <c r="AF396" s="769">
        <f t="shared" ca="1" si="416"/>
        <v>0</v>
      </c>
      <c r="AG396" s="769">
        <f t="shared" ca="1" si="417"/>
        <v>0</v>
      </c>
      <c r="AH396" s="799">
        <f t="shared" ca="1" si="418"/>
        <v>0</v>
      </c>
      <c r="AI396" s="801">
        <f t="shared" ca="1" si="419"/>
        <v>1</v>
      </c>
      <c r="AJ396" s="794">
        <f t="shared" ca="1" si="420"/>
        <v>0</v>
      </c>
      <c r="AK396" s="769">
        <f t="shared" ca="1" si="421"/>
        <v>0</v>
      </c>
      <c r="AL396" s="769">
        <f t="shared" ca="1" si="422"/>
        <v>0</v>
      </c>
      <c r="AM396" s="804">
        <f t="shared" ca="1" si="372"/>
        <v>0</v>
      </c>
      <c r="AN396" s="795">
        <f t="shared" ca="1" si="373"/>
        <v>0</v>
      </c>
      <c r="AO396" s="251"/>
      <c r="AP396" s="770">
        <f t="shared" si="423"/>
        <v>0</v>
      </c>
      <c r="AQ396" s="771">
        <f t="shared" ca="1" si="424"/>
        <v>0</v>
      </c>
      <c r="AR396" s="771">
        <f t="shared" ca="1" si="425"/>
        <v>0</v>
      </c>
      <c r="AS396" s="772">
        <f t="shared" ca="1" si="426"/>
        <v>0</v>
      </c>
      <c r="AT396" s="231"/>
      <c r="AU396" s="770">
        <f>'Main Results - IRR DC Operator'!$F$16</f>
        <v>2</v>
      </c>
      <c r="AV396" s="773">
        <f>'Main Results - IRR DC Operator'!$F$15</f>
        <v>1</v>
      </c>
      <c r="AW396" s="771">
        <f t="shared" ca="1" si="427"/>
        <v>0</v>
      </c>
      <c r="AX396" s="772">
        <f t="shared" si="428"/>
        <v>0</v>
      </c>
      <c r="AY396" s="231"/>
      <c r="AZ396" s="770" cm="1">
        <f t="array" aca="1" ref="AZ396" ca="1">INDIRECT("'Definition of Typical Day'!"&amp; ADDRESS($D396+29*(AZ$16-1),$E396))+$AZ$17</f>
        <v>11</v>
      </c>
      <c r="BA396" s="771" cm="1">
        <f t="array" aca="1" ref="BA396" ca="1">INDIRECT("'Definition of Typical Day'!"&amp; ADDRESS($D396+29*(BA$16-1),$E396))+$BA$17</f>
        <v>11</v>
      </c>
      <c r="BB396" s="772" cm="1">
        <f t="array" aca="1" ref="BB396" ca="1">INDIRECT("'Definition of Typical Day'!"&amp;ADDRESS(BB$16,$E396))</f>
        <v>0</v>
      </c>
      <c r="BC396" s="776" cm="1">
        <f t="array" aca="1" ref="BC396" ca="1">INDIRECT("'Definition of Typical Day'!"&amp; ADDRESS($D396+29*(BC$16-1),$E396))</f>
        <v>0</v>
      </c>
      <c r="BD396" s="777" cm="1">
        <f t="array" aca="1" ref="BD396" ca="1">INDIRECT("'Definition of Typical Day'!"&amp; ADDRESS($D396+29*(BD$16-1),$E396))</f>
        <v>0</v>
      </c>
      <c r="BE396" s="776">
        <f t="shared" si="429"/>
        <v>0</v>
      </c>
      <c r="BF396" s="771">
        <f t="shared" ca="1" si="430"/>
        <v>0</v>
      </c>
      <c r="BG396" s="771">
        <f t="shared" ca="1" si="431"/>
        <v>0</v>
      </c>
      <c r="BH396" s="771">
        <f t="shared" ca="1" si="432"/>
        <v>0</v>
      </c>
      <c r="BI396" s="776">
        <f t="shared" ca="1" si="433"/>
        <v>0</v>
      </c>
      <c r="BJ396" s="776">
        <f t="shared" ca="1" si="434"/>
        <v>0</v>
      </c>
      <c r="BK396" s="776">
        <f t="shared" ca="1" si="435"/>
        <v>0</v>
      </c>
      <c r="BL396" s="776">
        <f t="shared" ca="1" si="436"/>
        <v>0</v>
      </c>
      <c r="BM396" s="135"/>
      <c r="BN396" s="776">
        <f t="shared" ca="1" si="437"/>
        <v>0</v>
      </c>
      <c r="BO396" s="778">
        <f t="shared" ca="1" si="374"/>
        <v>0</v>
      </c>
      <c r="BP396" s="770">
        <f t="shared" ca="1" si="375"/>
        <v>0</v>
      </c>
      <c r="BQ396" s="771">
        <f t="shared" ca="1" si="376"/>
        <v>0</v>
      </c>
      <c r="BR396" s="771">
        <f t="shared" ca="1" si="377"/>
        <v>0</v>
      </c>
      <c r="BS396" s="776">
        <f t="shared" ca="1" si="438"/>
        <v>0</v>
      </c>
      <c r="BT396" s="776">
        <f t="shared" ca="1" si="378"/>
        <v>0</v>
      </c>
      <c r="BU396" s="783">
        <f t="shared" ca="1" si="379"/>
        <v>0</v>
      </c>
      <c r="BV396" s="783">
        <f t="shared" ca="1" si="380"/>
        <v>0</v>
      </c>
      <c r="BW396" s="1019">
        <f t="shared" ca="1" si="439"/>
        <v>0</v>
      </c>
      <c r="BX396" s="771" cm="1">
        <f t="array" aca="1" ref="BX396" ca="1">INDIRECT("'Definition of Typical Day'!"&amp; ADDRESS($D396+29*(BX$16-1),$E396))</f>
        <v>0</v>
      </c>
      <c r="BY396" s="771">
        <f t="shared" ca="1" si="440"/>
        <v>0</v>
      </c>
      <c r="BZ396" s="781">
        <f t="shared" ca="1" si="381"/>
        <v>0</v>
      </c>
      <c r="CA396" s="781">
        <f t="shared" ca="1" si="382"/>
        <v>0</v>
      </c>
      <c r="CB396" s="776">
        <f t="shared" ca="1" si="383"/>
        <v>0</v>
      </c>
      <c r="CC396" s="782">
        <f t="shared" si="384"/>
        <v>16</v>
      </c>
      <c r="CD396" s="782">
        <f t="shared" si="385"/>
        <v>16</v>
      </c>
      <c r="CE396" s="784" cm="1">
        <f t="array" aca="1" ref="CE396" ca="1">INDIRECT("'Definition of Typical Day'!"&amp;ADDRESS(CE$16,$E396))</f>
        <v>16</v>
      </c>
      <c r="CF396" s="232"/>
      <c r="CG396" s="232"/>
      <c r="CH396" s="776">
        <f t="shared" ca="1" si="386"/>
        <v>0</v>
      </c>
      <c r="CI396" s="806">
        <f t="shared" ca="1" si="387"/>
        <v>0</v>
      </c>
      <c r="CJ396" s="770">
        <f t="shared" ca="1" si="388"/>
        <v>0</v>
      </c>
      <c r="CK396" s="771">
        <f t="shared" ca="1" si="389"/>
        <v>0</v>
      </c>
      <c r="CL396" s="771">
        <f t="shared" ca="1" si="390"/>
        <v>0</v>
      </c>
      <c r="CM396" s="772">
        <f t="shared" ca="1" si="391"/>
        <v>0</v>
      </c>
      <c r="CN396" s="135"/>
      <c r="CO396" s="770">
        <f t="shared" ca="1" si="441"/>
        <v>1.05</v>
      </c>
      <c r="CP396" s="771">
        <f t="shared" ca="1" si="392"/>
        <v>0.02</v>
      </c>
      <c r="CQ396" s="771">
        <f t="shared" ca="1" si="393"/>
        <v>-2.5000000000000001E-2</v>
      </c>
      <c r="CR396" s="771">
        <f t="shared" ca="1" si="394"/>
        <v>0.95</v>
      </c>
      <c r="CS396" s="771">
        <f t="shared" ca="1" si="395"/>
        <v>0.03</v>
      </c>
      <c r="CT396" s="772">
        <f t="shared" ca="1" si="396"/>
        <v>0.02</v>
      </c>
      <c r="CU396" s="135"/>
      <c r="CV396" s="135"/>
      <c r="CW396" s="135"/>
      <c r="CX396" s="135"/>
      <c r="CY396" s="135"/>
      <c r="CZ396" s="135"/>
      <c r="DA396" s="135"/>
      <c r="DB396" s="135"/>
      <c r="DC396" s="135"/>
      <c r="DD396" s="135"/>
      <c r="DE396" s="135"/>
      <c r="DF396" s="135"/>
      <c r="DG396" s="135"/>
      <c r="DH396" s="135"/>
      <c r="DI396" s="135"/>
      <c r="DJ396" s="135"/>
      <c r="DK396" s="135"/>
      <c r="DL396" s="135"/>
      <c r="DX396" s="135"/>
      <c r="DY396" s="135"/>
      <c r="DZ396" s="135"/>
      <c r="EA396" s="135"/>
      <c r="EB396" s="135"/>
      <c r="EC396" s="135"/>
      <c r="ED396" s="135"/>
      <c r="EE396" s="135"/>
      <c r="EF396" s="135"/>
      <c r="EG396" s="135"/>
      <c r="EH396" s="135"/>
      <c r="EI396" s="135"/>
      <c r="EJ396" s="135"/>
      <c r="EK396" s="135"/>
      <c r="EL396" s="135"/>
      <c r="EM396" s="135"/>
      <c r="EN396" s="135"/>
      <c r="EO396" s="135"/>
      <c r="EP396" s="135"/>
      <c r="EQ396" s="135"/>
      <c r="ER396" s="135"/>
      <c r="ES396" s="135"/>
      <c r="ET396" s="135"/>
      <c r="EU396" s="135"/>
      <c r="EV396" s="135"/>
      <c r="EW396" s="135"/>
      <c r="EX396" s="135"/>
      <c r="EY396" s="135"/>
      <c r="EZ396" s="135"/>
      <c r="FA396" s="135"/>
      <c r="FB396" s="135"/>
      <c r="FC396" s="135"/>
      <c r="FD396" s="135"/>
      <c r="FE396" s="135"/>
      <c r="FF396" s="135"/>
      <c r="FG396" s="135"/>
    </row>
    <row r="397" spans="1:163" s="57" customFormat="1" ht="11.25" outlineLevel="1">
      <c r="A397" s="765">
        <f t="shared" si="442"/>
        <v>16</v>
      </c>
      <c r="B397" s="715" cm="1">
        <f t="array" aca="1" ref="B397" ca="1">INDIRECT("'Definition of Typical Day'!"&amp;ADDRESS(B$16,$E397))</f>
        <v>16</v>
      </c>
      <c r="C397" s="766">
        <f t="shared" si="443"/>
        <v>17</v>
      </c>
      <c r="D397" s="715">
        <f t="shared" si="443"/>
        <v>51</v>
      </c>
      <c r="E397" s="715">
        <f t="shared" si="371"/>
        <v>20</v>
      </c>
      <c r="F397" s="767" cm="1">
        <f t="array" aca="1" ref="F397" ca="1">INDIRECT("'Definition of Typical Day'!D"&amp;D397)</f>
        <v>17</v>
      </c>
      <c r="G397" s="767" cm="1">
        <f t="array" aca="1" ref="G397" ca="1">INDIRECT("'Definition of Typical Day'!"&amp;ADDRESS(13,E397))</f>
        <v>16</v>
      </c>
      <c r="H397" s="768" cm="1">
        <f t="array" aca="1" ref="H397" ca="1">INDIRECT("'Definition of Typical Day'!"&amp; ADDRESS($D397+28*(H$16-1),$E397))</f>
        <v>0</v>
      </c>
      <c r="I397" s="715" cm="1">
        <f t="array" aca="1" ref="I397" ca="1">INDIRECT("'Definition of Typical Day'!"&amp; ADDRESS($D397+29*(I$16-1),$E397))</f>
        <v>0</v>
      </c>
      <c r="J397" s="715">
        <f t="shared" ca="1" si="397"/>
        <v>0</v>
      </c>
      <c r="K397" s="785">
        <f t="shared" si="398"/>
        <v>28</v>
      </c>
      <c r="L397" s="786" cm="1">
        <f t="array" aca="1" ref="L397" ca="1">INDIRECT("'Definition of Typical Day'!"&amp; ADDRESS($D397+29*(L$16-1),$E397))</f>
        <v>0</v>
      </c>
      <c r="M397" s="768" cm="1">
        <f t="array" aca="1" ref="M397" ca="1">INDIRECT("'Definition of Typical Day'!"&amp; ADDRESS($D397+29*(M$16-1),$E397))</f>
        <v>0</v>
      </c>
      <c r="N397" s="715">
        <f t="shared" si="399"/>
        <v>3</v>
      </c>
      <c r="O397" s="715">
        <f t="shared" ca="1" si="400"/>
        <v>3</v>
      </c>
      <c r="P397" s="715" cm="1">
        <f t="array" aca="1" ref="P397" ca="1">INDIRECT("'Definition of Typical Day'!"&amp; ADDRESS($D397+29*(P$16-1),$E397))</f>
        <v>0</v>
      </c>
      <c r="Q397" s="787">
        <f t="shared" ca="1" si="401"/>
        <v>3</v>
      </c>
      <c r="R397" s="792">
        <f t="shared" ca="1" si="402"/>
        <v>3</v>
      </c>
      <c r="S397" s="769">
        <f t="shared" si="403"/>
        <v>3</v>
      </c>
      <c r="T397" s="769">
        <f t="shared" ca="1" si="404"/>
        <v>-0.5</v>
      </c>
      <c r="U397" s="769">
        <f t="shared" ca="1" si="405"/>
        <v>2.262</v>
      </c>
      <c r="V397" s="769">
        <f t="shared" ca="1" si="406"/>
        <v>0</v>
      </c>
      <c r="W397" s="769">
        <f t="shared" ca="1" si="407"/>
        <v>4.7620000000000005</v>
      </c>
      <c r="X397" s="794">
        <f t="shared" si="408"/>
        <v>3</v>
      </c>
      <c r="Y397" s="769">
        <f t="shared" ca="1" si="409"/>
        <v>0.54772255750516607</v>
      </c>
      <c r="Z397" s="769">
        <f t="shared" ca="1" si="410"/>
        <v>0</v>
      </c>
      <c r="AA397" s="795">
        <f t="shared" ca="1" si="411"/>
        <v>0</v>
      </c>
      <c r="AB397" s="769">
        <f t="shared" ca="1" si="412"/>
        <v>0</v>
      </c>
      <c r="AC397" s="769">
        <f t="shared" ca="1" si="413"/>
        <v>0</v>
      </c>
      <c r="AD397" s="769">
        <f t="shared" ca="1" si="414"/>
        <v>0</v>
      </c>
      <c r="AE397" s="794">
        <f t="shared" ca="1" si="415"/>
        <v>0</v>
      </c>
      <c r="AF397" s="769">
        <f t="shared" ca="1" si="416"/>
        <v>0</v>
      </c>
      <c r="AG397" s="769">
        <f t="shared" ca="1" si="417"/>
        <v>0</v>
      </c>
      <c r="AH397" s="799">
        <f t="shared" ca="1" si="418"/>
        <v>0</v>
      </c>
      <c r="AI397" s="801">
        <f t="shared" ca="1" si="419"/>
        <v>1</v>
      </c>
      <c r="AJ397" s="794">
        <f t="shared" ca="1" si="420"/>
        <v>0</v>
      </c>
      <c r="AK397" s="769">
        <f t="shared" ca="1" si="421"/>
        <v>0</v>
      </c>
      <c r="AL397" s="769">
        <f t="shared" ca="1" si="422"/>
        <v>0</v>
      </c>
      <c r="AM397" s="804">
        <f t="shared" ca="1" si="372"/>
        <v>0</v>
      </c>
      <c r="AN397" s="795">
        <f t="shared" ca="1" si="373"/>
        <v>0</v>
      </c>
      <c r="AO397" s="251"/>
      <c r="AP397" s="770">
        <f t="shared" si="423"/>
        <v>0</v>
      </c>
      <c r="AQ397" s="771">
        <f t="shared" ca="1" si="424"/>
        <v>0</v>
      </c>
      <c r="AR397" s="771">
        <f t="shared" ca="1" si="425"/>
        <v>0</v>
      </c>
      <c r="AS397" s="772">
        <f t="shared" ca="1" si="426"/>
        <v>0</v>
      </c>
      <c r="AT397" s="231"/>
      <c r="AU397" s="770">
        <f>'Main Results - IRR DC Operator'!$F$16</f>
        <v>2</v>
      </c>
      <c r="AV397" s="773">
        <f>'Main Results - IRR DC Operator'!$F$15</f>
        <v>1</v>
      </c>
      <c r="AW397" s="771">
        <f t="shared" ca="1" si="427"/>
        <v>0</v>
      </c>
      <c r="AX397" s="772">
        <f t="shared" si="428"/>
        <v>0</v>
      </c>
      <c r="AY397" s="231"/>
      <c r="AZ397" s="770" cm="1">
        <f t="array" aca="1" ref="AZ397" ca="1">INDIRECT("'Definition of Typical Day'!"&amp; ADDRESS($D397+29*(AZ$16-1),$E397))+$AZ$17</f>
        <v>11</v>
      </c>
      <c r="BA397" s="771" cm="1">
        <f t="array" aca="1" ref="BA397" ca="1">INDIRECT("'Definition of Typical Day'!"&amp; ADDRESS($D397+29*(BA$16-1),$E397))+$BA$17</f>
        <v>11</v>
      </c>
      <c r="BB397" s="772" cm="1">
        <f t="array" aca="1" ref="BB397" ca="1">INDIRECT("'Definition of Typical Day'!"&amp;ADDRESS(BB$16,$E397))</f>
        <v>0</v>
      </c>
      <c r="BC397" s="776" cm="1">
        <f t="array" aca="1" ref="BC397" ca="1">INDIRECT("'Definition of Typical Day'!"&amp; ADDRESS($D397+29*(BC$16-1),$E397))</f>
        <v>0</v>
      </c>
      <c r="BD397" s="777" cm="1">
        <f t="array" aca="1" ref="BD397" ca="1">INDIRECT("'Definition of Typical Day'!"&amp; ADDRESS($D397+29*(BD$16-1),$E397))</f>
        <v>0</v>
      </c>
      <c r="BE397" s="776">
        <f t="shared" si="429"/>
        <v>0</v>
      </c>
      <c r="BF397" s="771">
        <f t="shared" ca="1" si="430"/>
        <v>0</v>
      </c>
      <c r="BG397" s="771">
        <f t="shared" ca="1" si="431"/>
        <v>0</v>
      </c>
      <c r="BH397" s="771">
        <f t="shared" ca="1" si="432"/>
        <v>0</v>
      </c>
      <c r="BI397" s="776">
        <f t="shared" ca="1" si="433"/>
        <v>0</v>
      </c>
      <c r="BJ397" s="776">
        <f t="shared" ca="1" si="434"/>
        <v>0</v>
      </c>
      <c r="BK397" s="776">
        <f t="shared" ca="1" si="435"/>
        <v>0</v>
      </c>
      <c r="BL397" s="776">
        <f t="shared" ca="1" si="436"/>
        <v>0</v>
      </c>
      <c r="BM397" s="135"/>
      <c r="BN397" s="776">
        <f t="shared" ca="1" si="437"/>
        <v>0</v>
      </c>
      <c r="BO397" s="778">
        <f t="shared" ca="1" si="374"/>
        <v>0</v>
      </c>
      <c r="BP397" s="770">
        <f t="shared" ca="1" si="375"/>
        <v>0</v>
      </c>
      <c r="BQ397" s="771">
        <f t="shared" ca="1" si="376"/>
        <v>0</v>
      </c>
      <c r="BR397" s="771">
        <f t="shared" ca="1" si="377"/>
        <v>0</v>
      </c>
      <c r="BS397" s="776">
        <f t="shared" ca="1" si="438"/>
        <v>0</v>
      </c>
      <c r="BT397" s="776">
        <f t="shared" ca="1" si="378"/>
        <v>0</v>
      </c>
      <c r="BU397" s="783">
        <f t="shared" ca="1" si="379"/>
        <v>0</v>
      </c>
      <c r="BV397" s="783">
        <f t="shared" ca="1" si="380"/>
        <v>0</v>
      </c>
      <c r="BW397" s="1019">
        <f t="shared" ca="1" si="439"/>
        <v>0</v>
      </c>
      <c r="BX397" s="771" cm="1">
        <f t="array" aca="1" ref="BX397" ca="1">INDIRECT("'Definition of Typical Day'!"&amp; ADDRESS($D397+29*(BX$16-1),$E397))</f>
        <v>0</v>
      </c>
      <c r="BY397" s="771">
        <f t="shared" ca="1" si="440"/>
        <v>0</v>
      </c>
      <c r="BZ397" s="781">
        <f t="shared" ca="1" si="381"/>
        <v>0</v>
      </c>
      <c r="CA397" s="781">
        <f t="shared" ca="1" si="382"/>
        <v>0</v>
      </c>
      <c r="CB397" s="776">
        <f t="shared" ca="1" si="383"/>
        <v>0</v>
      </c>
      <c r="CC397" s="782">
        <f t="shared" si="384"/>
        <v>16</v>
      </c>
      <c r="CD397" s="782">
        <f t="shared" si="385"/>
        <v>17</v>
      </c>
      <c r="CE397" s="784" cm="1">
        <f t="array" aca="1" ref="CE397" ca="1">INDIRECT("'Definition of Typical Day'!"&amp;ADDRESS(CE$16,$E397))</f>
        <v>16</v>
      </c>
      <c r="CF397" s="232"/>
      <c r="CG397" s="232"/>
      <c r="CH397" s="776">
        <f t="shared" ca="1" si="386"/>
        <v>0</v>
      </c>
      <c r="CI397" s="806">
        <f t="shared" ca="1" si="387"/>
        <v>0</v>
      </c>
      <c r="CJ397" s="770">
        <f t="shared" ca="1" si="388"/>
        <v>0</v>
      </c>
      <c r="CK397" s="771">
        <f t="shared" ca="1" si="389"/>
        <v>0</v>
      </c>
      <c r="CL397" s="771">
        <f t="shared" ca="1" si="390"/>
        <v>0</v>
      </c>
      <c r="CM397" s="772">
        <f t="shared" ca="1" si="391"/>
        <v>0</v>
      </c>
      <c r="CN397" s="135"/>
      <c r="CO397" s="770">
        <f t="shared" ca="1" si="441"/>
        <v>1.05</v>
      </c>
      <c r="CP397" s="771">
        <f t="shared" ca="1" si="392"/>
        <v>0.02</v>
      </c>
      <c r="CQ397" s="771">
        <f t="shared" ca="1" si="393"/>
        <v>-2.5000000000000001E-2</v>
      </c>
      <c r="CR397" s="771">
        <f t="shared" ca="1" si="394"/>
        <v>0.95</v>
      </c>
      <c r="CS397" s="771">
        <f t="shared" ca="1" si="395"/>
        <v>0.03</v>
      </c>
      <c r="CT397" s="772">
        <f t="shared" ca="1" si="396"/>
        <v>0.02</v>
      </c>
      <c r="CU397" s="135"/>
      <c r="CV397" s="135"/>
      <c r="CW397" s="135"/>
      <c r="CX397" s="135"/>
      <c r="CY397" s="135"/>
      <c r="CZ397" s="135"/>
      <c r="DA397" s="135"/>
      <c r="DB397" s="135"/>
      <c r="DC397" s="135"/>
      <c r="DD397" s="135"/>
      <c r="DE397" s="135"/>
      <c r="DF397" s="135"/>
      <c r="DG397" s="135"/>
      <c r="DH397" s="135"/>
      <c r="DI397" s="135"/>
      <c r="DJ397" s="135"/>
      <c r="DK397" s="135"/>
      <c r="DL397" s="135"/>
      <c r="DX397" s="135"/>
      <c r="DY397" s="135"/>
      <c r="DZ397" s="135"/>
      <c r="EA397" s="135"/>
      <c r="EB397" s="135"/>
      <c r="EC397" s="135"/>
      <c r="ED397" s="135"/>
      <c r="EE397" s="135"/>
      <c r="EF397" s="135"/>
      <c r="EG397" s="135"/>
      <c r="EH397" s="135"/>
      <c r="EI397" s="135"/>
      <c r="EJ397" s="135"/>
      <c r="EK397" s="135"/>
      <c r="EL397" s="135"/>
      <c r="EM397" s="135"/>
      <c r="EN397" s="135"/>
      <c r="EO397" s="135"/>
      <c r="EP397" s="135"/>
      <c r="EQ397" s="135"/>
      <c r="ER397" s="135"/>
      <c r="ES397" s="135"/>
      <c r="ET397" s="135"/>
      <c r="EU397" s="135"/>
      <c r="EV397" s="135"/>
      <c r="EW397" s="135"/>
      <c r="EX397" s="135"/>
      <c r="EY397" s="135"/>
      <c r="EZ397" s="135"/>
      <c r="FA397" s="135"/>
      <c r="FB397" s="135"/>
      <c r="FC397" s="135"/>
      <c r="FD397" s="135"/>
      <c r="FE397" s="135"/>
      <c r="FF397" s="135"/>
      <c r="FG397" s="135"/>
    </row>
    <row r="398" spans="1:163" s="57" customFormat="1" ht="11.25" outlineLevel="1">
      <c r="A398" s="765">
        <f t="shared" si="442"/>
        <v>16</v>
      </c>
      <c r="B398" s="715" cm="1">
        <f t="array" aca="1" ref="B398" ca="1">INDIRECT("'Definition of Typical Day'!"&amp;ADDRESS(B$16,$E398))</f>
        <v>16</v>
      </c>
      <c r="C398" s="766">
        <f t="shared" si="443"/>
        <v>18</v>
      </c>
      <c r="D398" s="715">
        <f t="shared" si="443"/>
        <v>52</v>
      </c>
      <c r="E398" s="715">
        <f t="shared" si="371"/>
        <v>20</v>
      </c>
      <c r="F398" s="767" cm="1">
        <f t="array" aca="1" ref="F398" ca="1">INDIRECT("'Definition of Typical Day'!D"&amp;D398)</f>
        <v>18</v>
      </c>
      <c r="G398" s="767" cm="1">
        <f t="array" aca="1" ref="G398" ca="1">INDIRECT("'Definition of Typical Day'!"&amp;ADDRESS(13,E398))</f>
        <v>16</v>
      </c>
      <c r="H398" s="768" cm="1">
        <f t="array" aca="1" ref="H398" ca="1">INDIRECT("'Definition of Typical Day'!"&amp; ADDRESS($D398+28*(H$16-1),$E398))</f>
        <v>0</v>
      </c>
      <c r="I398" s="715" cm="1">
        <f t="array" aca="1" ref="I398" ca="1">INDIRECT("'Definition of Typical Day'!"&amp; ADDRESS($D398+29*(I$16-1),$E398))</f>
        <v>0</v>
      </c>
      <c r="J398" s="715">
        <f t="shared" ca="1" si="397"/>
        <v>0</v>
      </c>
      <c r="K398" s="785">
        <f t="shared" si="398"/>
        <v>28</v>
      </c>
      <c r="L398" s="786" cm="1">
        <f t="array" aca="1" ref="L398" ca="1">INDIRECT("'Definition of Typical Day'!"&amp; ADDRESS($D398+29*(L$16-1),$E398))</f>
        <v>0</v>
      </c>
      <c r="M398" s="768" cm="1">
        <f t="array" aca="1" ref="M398" ca="1">INDIRECT("'Definition of Typical Day'!"&amp; ADDRESS($D398+29*(M$16-1),$E398))</f>
        <v>0</v>
      </c>
      <c r="N398" s="715">
        <f t="shared" si="399"/>
        <v>3</v>
      </c>
      <c r="O398" s="715">
        <f t="shared" ca="1" si="400"/>
        <v>3</v>
      </c>
      <c r="P398" s="715" cm="1">
        <f t="array" aca="1" ref="P398" ca="1">INDIRECT("'Definition of Typical Day'!"&amp; ADDRESS($D398+29*(P$16-1),$E398))</f>
        <v>0</v>
      </c>
      <c r="Q398" s="787">
        <f t="shared" ca="1" si="401"/>
        <v>3</v>
      </c>
      <c r="R398" s="792">
        <f t="shared" ca="1" si="402"/>
        <v>3</v>
      </c>
      <c r="S398" s="769">
        <f t="shared" si="403"/>
        <v>3</v>
      </c>
      <c r="T398" s="769">
        <f t="shared" ca="1" si="404"/>
        <v>-0.5</v>
      </c>
      <c r="U398" s="769">
        <f t="shared" ca="1" si="405"/>
        <v>2.262</v>
      </c>
      <c r="V398" s="769">
        <f t="shared" ca="1" si="406"/>
        <v>0</v>
      </c>
      <c r="W398" s="769">
        <f t="shared" ca="1" si="407"/>
        <v>4.7620000000000005</v>
      </c>
      <c r="X398" s="794">
        <f t="shared" si="408"/>
        <v>3</v>
      </c>
      <c r="Y398" s="769">
        <f t="shared" ca="1" si="409"/>
        <v>0.54772255750516607</v>
      </c>
      <c r="Z398" s="769">
        <f t="shared" ca="1" si="410"/>
        <v>0</v>
      </c>
      <c r="AA398" s="795">
        <f t="shared" ca="1" si="411"/>
        <v>0</v>
      </c>
      <c r="AB398" s="769">
        <f t="shared" ca="1" si="412"/>
        <v>0</v>
      </c>
      <c r="AC398" s="769">
        <f t="shared" ca="1" si="413"/>
        <v>0</v>
      </c>
      <c r="AD398" s="769">
        <f t="shared" ca="1" si="414"/>
        <v>0</v>
      </c>
      <c r="AE398" s="794">
        <f t="shared" ca="1" si="415"/>
        <v>0</v>
      </c>
      <c r="AF398" s="769">
        <f t="shared" ca="1" si="416"/>
        <v>0</v>
      </c>
      <c r="AG398" s="769">
        <f t="shared" ca="1" si="417"/>
        <v>0</v>
      </c>
      <c r="AH398" s="799">
        <f t="shared" ca="1" si="418"/>
        <v>0</v>
      </c>
      <c r="AI398" s="801">
        <f t="shared" ca="1" si="419"/>
        <v>1</v>
      </c>
      <c r="AJ398" s="794">
        <f t="shared" ca="1" si="420"/>
        <v>0</v>
      </c>
      <c r="AK398" s="769">
        <f t="shared" ca="1" si="421"/>
        <v>0</v>
      </c>
      <c r="AL398" s="769">
        <f t="shared" ca="1" si="422"/>
        <v>0</v>
      </c>
      <c r="AM398" s="804">
        <f t="shared" ca="1" si="372"/>
        <v>0</v>
      </c>
      <c r="AN398" s="795">
        <f t="shared" ca="1" si="373"/>
        <v>0</v>
      </c>
      <c r="AO398" s="251"/>
      <c r="AP398" s="770">
        <f t="shared" si="423"/>
        <v>0</v>
      </c>
      <c r="AQ398" s="771">
        <f t="shared" ca="1" si="424"/>
        <v>0</v>
      </c>
      <c r="AR398" s="771">
        <f t="shared" ca="1" si="425"/>
        <v>0</v>
      </c>
      <c r="AS398" s="772">
        <f t="shared" ca="1" si="426"/>
        <v>0</v>
      </c>
      <c r="AT398" s="231"/>
      <c r="AU398" s="770">
        <f>'Main Results - IRR DC Operator'!$F$16</f>
        <v>2</v>
      </c>
      <c r="AV398" s="773">
        <f>'Main Results - IRR DC Operator'!$F$15</f>
        <v>1</v>
      </c>
      <c r="AW398" s="771">
        <f t="shared" ca="1" si="427"/>
        <v>0</v>
      </c>
      <c r="AX398" s="772">
        <f t="shared" si="428"/>
        <v>0</v>
      </c>
      <c r="AY398" s="231"/>
      <c r="AZ398" s="770" cm="1">
        <f t="array" aca="1" ref="AZ398" ca="1">INDIRECT("'Definition of Typical Day'!"&amp; ADDRESS($D398+29*(AZ$16-1),$E398))+$AZ$17</f>
        <v>11</v>
      </c>
      <c r="BA398" s="771" cm="1">
        <f t="array" aca="1" ref="BA398" ca="1">INDIRECT("'Definition of Typical Day'!"&amp; ADDRESS($D398+29*(BA$16-1),$E398))+$BA$17</f>
        <v>11</v>
      </c>
      <c r="BB398" s="772" cm="1">
        <f t="array" aca="1" ref="BB398" ca="1">INDIRECT("'Definition of Typical Day'!"&amp;ADDRESS(BB$16,$E398))</f>
        <v>0</v>
      </c>
      <c r="BC398" s="776" cm="1">
        <f t="array" aca="1" ref="BC398" ca="1">INDIRECT("'Definition of Typical Day'!"&amp; ADDRESS($D398+29*(BC$16-1),$E398))</f>
        <v>0</v>
      </c>
      <c r="BD398" s="777" cm="1">
        <f t="array" aca="1" ref="BD398" ca="1">INDIRECT("'Definition of Typical Day'!"&amp; ADDRESS($D398+29*(BD$16-1),$E398))</f>
        <v>0</v>
      </c>
      <c r="BE398" s="776">
        <f t="shared" si="429"/>
        <v>0</v>
      </c>
      <c r="BF398" s="771">
        <f t="shared" ca="1" si="430"/>
        <v>0</v>
      </c>
      <c r="BG398" s="771">
        <f t="shared" ca="1" si="431"/>
        <v>0</v>
      </c>
      <c r="BH398" s="771">
        <f t="shared" ca="1" si="432"/>
        <v>0</v>
      </c>
      <c r="BI398" s="776">
        <f t="shared" ca="1" si="433"/>
        <v>0</v>
      </c>
      <c r="BJ398" s="776">
        <f t="shared" ca="1" si="434"/>
        <v>0</v>
      </c>
      <c r="BK398" s="776">
        <f t="shared" ca="1" si="435"/>
        <v>0</v>
      </c>
      <c r="BL398" s="776">
        <f t="shared" ca="1" si="436"/>
        <v>0</v>
      </c>
      <c r="BM398" s="135"/>
      <c r="BN398" s="776">
        <f t="shared" ca="1" si="437"/>
        <v>0</v>
      </c>
      <c r="BO398" s="778">
        <f t="shared" ca="1" si="374"/>
        <v>0</v>
      </c>
      <c r="BP398" s="770">
        <f t="shared" ca="1" si="375"/>
        <v>0</v>
      </c>
      <c r="BQ398" s="771">
        <f t="shared" ca="1" si="376"/>
        <v>0</v>
      </c>
      <c r="BR398" s="771">
        <f t="shared" ca="1" si="377"/>
        <v>0</v>
      </c>
      <c r="BS398" s="776">
        <f t="shared" ca="1" si="438"/>
        <v>0</v>
      </c>
      <c r="BT398" s="776">
        <f t="shared" ca="1" si="378"/>
        <v>0</v>
      </c>
      <c r="BU398" s="783">
        <f t="shared" ca="1" si="379"/>
        <v>0</v>
      </c>
      <c r="BV398" s="783">
        <f t="shared" ca="1" si="380"/>
        <v>0</v>
      </c>
      <c r="BW398" s="1019">
        <f t="shared" ca="1" si="439"/>
        <v>0</v>
      </c>
      <c r="BX398" s="771" cm="1">
        <f t="array" aca="1" ref="BX398" ca="1">INDIRECT("'Definition of Typical Day'!"&amp; ADDRESS($D398+29*(BX$16-1),$E398))</f>
        <v>0</v>
      </c>
      <c r="BY398" s="771">
        <f t="shared" ca="1" si="440"/>
        <v>0</v>
      </c>
      <c r="BZ398" s="781">
        <f t="shared" ca="1" si="381"/>
        <v>0</v>
      </c>
      <c r="CA398" s="781">
        <f t="shared" ca="1" si="382"/>
        <v>0</v>
      </c>
      <c r="CB398" s="776">
        <f t="shared" ca="1" si="383"/>
        <v>0</v>
      </c>
      <c r="CC398" s="782">
        <f t="shared" si="384"/>
        <v>16</v>
      </c>
      <c r="CD398" s="782">
        <f t="shared" si="385"/>
        <v>18</v>
      </c>
      <c r="CE398" s="784" cm="1">
        <f t="array" aca="1" ref="CE398" ca="1">INDIRECT("'Definition of Typical Day'!"&amp;ADDRESS(CE$16,$E398))</f>
        <v>16</v>
      </c>
      <c r="CF398" s="232"/>
      <c r="CG398" s="232"/>
      <c r="CH398" s="776">
        <f t="shared" ca="1" si="386"/>
        <v>0</v>
      </c>
      <c r="CI398" s="806">
        <f t="shared" ca="1" si="387"/>
        <v>0</v>
      </c>
      <c r="CJ398" s="770">
        <f t="shared" ca="1" si="388"/>
        <v>0</v>
      </c>
      <c r="CK398" s="771">
        <f t="shared" ca="1" si="389"/>
        <v>0</v>
      </c>
      <c r="CL398" s="771">
        <f t="shared" ca="1" si="390"/>
        <v>0</v>
      </c>
      <c r="CM398" s="772">
        <f t="shared" ca="1" si="391"/>
        <v>0</v>
      </c>
      <c r="CN398" s="135"/>
      <c r="CO398" s="770">
        <f t="shared" ca="1" si="441"/>
        <v>1.05</v>
      </c>
      <c r="CP398" s="771">
        <f t="shared" ca="1" si="392"/>
        <v>0.02</v>
      </c>
      <c r="CQ398" s="771">
        <f t="shared" ca="1" si="393"/>
        <v>-2.5000000000000001E-2</v>
      </c>
      <c r="CR398" s="771">
        <f t="shared" ca="1" si="394"/>
        <v>0.95</v>
      </c>
      <c r="CS398" s="771">
        <f t="shared" ca="1" si="395"/>
        <v>0.03</v>
      </c>
      <c r="CT398" s="772">
        <f t="shared" ca="1" si="396"/>
        <v>0.02</v>
      </c>
      <c r="CU398" s="135"/>
      <c r="CV398" s="135"/>
      <c r="CW398" s="135"/>
      <c r="CX398" s="135"/>
      <c r="CY398" s="135"/>
      <c r="CZ398" s="135"/>
      <c r="DA398" s="135"/>
      <c r="DB398" s="135"/>
      <c r="DC398" s="135"/>
      <c r="DD398" s="135"/>
      <c r="DE398" s="135"/>
      <c r="DF398" s="135"/>
      <c r="DG398" s="135"/>
      <c r="DH398" s="135"/>
      <c r="DI398" s="135"/>
      <c r="DJ398" s="135"/>
      <c r="DK398" s="135"/>
      <c r="DL398" s="135"/>
      <c r="DX398" s="135"/>
      <c r="DY398" s="135"/>
      <c r="DZ398" s="135"/>
      <c r="EA398" s="135"/>
      <c r="EB398" s="135"/>
      <c r="EC398" s="135"/>
      <c r="ED398" s="135"/>
      <c r="EE398" s="135"/>
      <c r="EF398" s="135"/>
      <c r="EG398" s="135"/>
      <c r="EH398" s="135"/>
      <c r="EI398" s="135"/>
      <c r="EJ398" s="135"/>
      <c r="EK398" s="135"/>
      <c r="EL398" s="135"/>
      <c r="EM398" s="135"/>
      <c r="EN398" s="135"/>
      <c r="EO398" s="135"/>
      <c r="EP398" s="135"/>
      <c r="EQ398" s="135"/>
      <c r="ER398" s="135"/>
      <c r="ES398" s="135"/>
      <c r="ET398" s="135"/>
      <c r="EU398" s="135"/>
      <c r="EV398" s="135"/>
      <c r="EW398" s="135"/>
      <c r="EX398" s="135"/>
      <c r="EY398" s="135"/>
      <c r="EZ398" s="135"/>
      <c r="FA398" s="135"/>
      <c r="FB398" s="135"/>
      <c r="FC398" s="135"/>
      <c r="FD398" s="135"/>
      <c r="FE398" s="135"/>
      <c r="FF398" s="135"/>
      <c r="FG398" s="135"/>
    </row>
    <row r="399" spans="1:163" s="57" customFormat="1" ht="11.25" outlineLevel="1">
      <c r="A399" s="765">
        <f t="shared" si="442"/>
        <v>16</v>
      </c>
      <c r="B399" s="715" cm="1">
        <f t="array" aca="1" ref="B399" ca="1">INDIRECT("'Definition of Typical Day'!"&amp;ADDRESS(B$16,$E399))</f>
        <v>16</v>
      </c>
      <c r="C399" s="766">
        <f t="shared" si="443"/>
        <v>19</v>
      </c>
      <c r="D399" s="715">
        <f t="shared" si="443"/>
        <v>53</v>
      </c>
      <c r="E399" s="715">
        <f t="shared" si="371"/>
        <v>20</v>
      </c>
      <c r="F399" s="767" cm="1">
        <f t="array" aca="1" ref="F399" ca="1">INDIRECT("'Definition of Typical Day'!D"&amp;D399)</f>
        <v>19</v>
      </c>
      <c r="G399" s="767" cm="1">
        <f t="array" aca="1" ref="G399" ca="1">INDIRECT("'Definition of Typical Day'!"&amp;ADDRESS(13,E399))</f>
        <v>16</v>
      </c>
      <c r="H399" s="768" cm="1">
        <f t="array" aca="1" ref="H399" ca="1">INDIRECT("'Definition of Typical Day'!"&amp; ADDRESS($D399+28*(H$16-1),$E399))</f>
        <v>0</v>
      </c>
      <c r="I399" s="715" cm="1">
        <f t="array" aca="1" ref="I399" ca="1">INDIRECT("'Definition of Typical Day'!"&amp; ADDRESS($D399+29*(I$16-1),$E399))</f>
        <v>0</v>
      </c>
      <c r="J399" s="715">
        <f t="shared" ca="1" si="397"/>
        <v>0</v>
      </c>
      <c r="K399" s="785">
        <f t="shared" si="398"/>
        <v>28</v>
      </c>
      <c r="L399" s="786" cm="1">
        <f t="array" aca="1" ref="L399" ca="1">INDIRECT("'Definition of Typical Day'!"&amp; ADDRESS($D399+29*(L$16-1),$E399))</f>
        <v>0</v>
      </c>
      <c r="M399" s="768" cm="1">
        <f t="array" aca="1" ref="M399" ca="1">INDIRECT("'Definition of Typical Day'!"&amp; ADDRESS($D399+29*(M$16-1),$E399))</f>
        <v>0</v>
      </c>
      <c r="N399" s="715">
        <f t="shared" si="399"/>
        <v>3</v>
      </c>
      <c r="O399" s="715">
        <f t="shared" ca="1" si="400"/>
        <v>3</v>
      </c>
      <c r="P399" s="715" cm="1">
        <f t="array" aca="1" ref="P399" ca="1">INDIRECT("'Definition of Typical Day'!"&amp; ADDRESS($D399+29*(P$16-1),$E399))</f>
        <v>0</v>
      </c>
      <c r="Q399" s="787">
        <f t="shared" ca="1" si="401"/>
        <v>3</v>
      </c>
      <c r="R399" s="792">
        <f t="shared" ca="1" si="402"/>
        <v>3</v>
      </c>
      <c r="S399" s="769">
        <f t="shared" si="403"/>
        <v>3</v>
      </c>
      <c r="T399" s="769">
        <f t="shared" ca="1" si="404"/>
        <v>-0.5</v>
      </c>
      <c r="U399" s="769">
        <f t="shared" ca="1" si="405"/>
        <v>2.262</v>
      </c>
      <c r="V399" s="769">
        <f t="shared" ca="1" si="406"/>
        <v>0</v>
      </c>
      <c r="W399" s="769">
        <f t="shared" ca="1" si="407"/>
        <v>4.7620000000000005</v>
      </c>
      <c r="X399" s="794">
        <f t="shared" si="408"/>
        <v>3</v>
      </c>
      <c r="Y399" s="769">
        <f t="shared" ca="1" si="409"/>
        <v>0.54772255750516607</v>
      </c>
      <c r="Z399" s="769">
        <f t="shared" ca="1" si="410"/>
        <v>0</v>
      </c>
      <c r="AA399" s="795">
        <f t="shared" ca="1" si="411"/>
        <v>0</v>
      </c>
      <c r="AB399" s="769">
        <f t="shared" ca="1" si="412"/>
        <v>0</v>
      </c>
      <c r="AC399" s="769">
        <f t="shared" ca="1" si="413"/>
        <v>0</v>
      </c>
      <c r="AD399" s="769">
        <f t="shared" ca="1" si="414"/>
        <v>0</v>
      </c>
      <c r="AE399" s="794">
        <f t="shared" ca="1" si="415"/>
        <v>0</v>
      </c>
      <c r="AF399" s="769">
        <f t="shared" ca="1" si="416"/>
        <v>0</v>
      </c>
      <c r="AG399" s="769">
        <f t="shared" ca="1" si="417"/>
        <v>0</v>
      </c>
      <c r="AH399" s="799">
        <f t="shared" ca="1" si="418"/>
        <v>0</v>
      </c>
      <c r="AI399" s="801">
        <f t="shared" ca="1" si="419"/>
        <v>1</v>
      </c>
      <c r="AJ399" s="794">
        <f t="shared" ca="1" si="420"/>
        <v>0</v>
      </c>
      <c r="AK399" s="769">
        <f t="shared" ca="1" si="421"/>
        <v>0</v>
      </c>
      <c r="AL399" s="769">
        <f t="shared" ca="1" si="422"/>
        <v>0</v>
      </c>
      <c r="AM399" s="804">
        <f t="shared" ca="1" si="372"/>
        <v>0</v>
      </c>
      <c r="AN399" s="795">
        <f t="shared" ca="1" si="373"/>
        <v>0</v>
      </c>
      <c r="AO399" s="251"/>
      <c r="AP399" s="770">
        <f t="shared" si="423"/>
        <v>0</v>
      </c>
      <c r="AQ399" s="771">
        <f t="shared" ca="1" si="424"/>
        <v>0</v>
      </c>
      <c r="AR399" s="771">
        <f t="shared" ca="1" si="425"/>
        <v>0</v>
      </c>
      <c r="AS399" s="772">
        <f t="shared" ca="1" si="426"/>
        <v>0</v>
      </c>
      <c r="AT399" s="231"/>
      <c r="AU399" s="770">
        <f>'Main Results - IRR DC Operator'!$F$16</f>
        <v>2</v>
      </c>
      <c r="AV399" s="773">
        <f>'Main Results - IRR DC Operator'!$F$15</f>
        <v>1</v>
      </c>
      <c r="AW399" s="771">
        <f t="shared" ca="1" si="427"/>
        <v>0</v>
      </c>
      <c r="AX399" s="772">
        <f t="shared" si="428"/>
        <v>0</v>
      </c>
      <c r="AY399" s="231"/>
      <c r="AZ399" s="770" cm="1">
        <f t="array" aca="1" ref="AZ399" ca="1">INDIRECT("'Definition of Typical Day'!"&amp; ADDRESS($D399+29*(AZ$16-1),$E399))+$AZ$17</f>
        <v>11</v>
      </c>
      <c r="BA399" s="771" cm="1">
        <f t="array" aca="1" ref="BA399" ca="1">INDIRECT("'Definition of Typical Day'!"&amp; ADDRESS($D399+29*(BA$16-1),$E399))+$BA$17</f>
        <v>11</v>
      </c>
      <c r="BB399" s="772" cm="1">
        <f t="array" aca="1" ref="BB399" ca="1">INDIRECT("'Definition of Typical Day'!"&amp;ADDRESS(BB$16,$E399))</f>
        <v>0</v>
      </c>
      <c r="BC399" s="776" cm="1">
        <f t="array" aca="1" ref="BC399" ca="1">INDIRECT("'Definition of Typical Day'!"&amp; ADDRESS($D399+29*(BC$16-1),$E399))</f>
        <v>0</v>
      </c>
      <c r="BD399" s="777" cm="1">
        <f t="array" aca="1" ref="BD399" ca="1">INDIRECT("'Definition of Typical Day'!"&amp; ADDRESS($D399+29*(BD$16-1),$E399))</f>
        <v>0</v>
      </c>
      <c r="BE399" s="776">
        <f t="shared" si="429"/>
        <v>0</v>
      </c>
      <c r="BF399" s="771">
        <f t="shared" ca="1" si="430"/>
        <v>0</v>
      </c>
      <c r="BG399" s="771">
        <f t="shared" ca="1" si="431"/>
        <v>0</v>
      </c>
      <c r="BH399" s="771">
        <f t="shared" ca="1" si="432"/>
        <v>0</v>
      </c>
      <c r="BI399" s="776">
        <f t="shared" ca="1" si="433"/>
        <v>0</v>
      </c>
      <c r="BJ399" s="776">
        <f t="shared" ca="1" si="434"/>
        <v>0</v>
      </c>
      <c r="BK399" s="776">
        <f t="shared" ca="1" si="435"/>
        <v>0</v>
      </c>
      <c r="BL399" s="776">
        <f t="shared" ca="1" si="436"/>
        <v>0</v>
      </c>
      <c r="BM399" s="135"/>
      <c r="BN399" s="776">
        <f t="shared" ca="1" si="437"/>
        <v>0</v>
      </c>
      <c r="BO399" s="778">
        <f t="shared" ca="1" si="374"/>
        <v>0</v>
      </c>
      <c r="BP399" s="770">
        <f t="shared" ca="1" si="375"/>
        <v>0</v>
      </c>
      <c r="BQ399" s="771">
        <f t="shared" ca="1" si="376"/>
        <v>0</v>
      </c>
      <c r="BR399" s="771">
        <f t="shared" ca="1" si="377"/>
        <v>0</v>
      </c>
      <c r="BS399" s="776">
        <f t="shared" ca="1" si="438"/>
        <v>0</v>
      </c>
      <c r="BT399" s="776">
        <f t="shared" ca="1" si="378"/>
        <v>0</v>
      </c>
      <c r="BU399" s="783">
        <f t="shared" ca="1" si="379"/>
        <v>0</v>
      </c>
      <c r="BV399" s="783">
        <f t="shared" ca="1" si="380"/>
        <v>0</v>
      </c>
      <c r="BW399" s="1019">
        <f t="shared" ca="1" si="439"/>
        <v>0</v>
      </c>
      <c r="BX399" s="771" cm="1">
        <f t="array" aca="1" ref="BX399" ca="1">INDIRECT("'Definition of Typical Day'!"&amp; ADDRESS($D399+29*(BX$16-1),$E399))</f>
        <v>0</v>
      </c>
      <c r="BY399" s="771">
        <f t="shared" ca="1" si="440"/>
        <v>0</v>
      </c>
      <c r="BZ399" s="781">
        <f t="shared" ca="1" si="381"/>
        <v>0</v>
      </c>
      <c r="CA399" s="781">
        <f t="shared" ca="1" si="382"/>
        <v>0</v>
      </c>
      <c r="CB399" s="776">
        <f t="shared" ca="1" si="383"/>
        <v>0</v>
      </c>
      <c r="CC399" s="782">
        <f t="shared" si="384"/>
        <v>16</v>
      </c>
      <c r="CD399" s="782">
        <f t="shared" si="385"/>
        <v>19</v>
      </c>
      <c r="CE399" s="784" cm="1">
        <f t="array" aca="1" ref="CE399" ca="1">INDIRECT("'Definition of Typical Day'!"&amp;ADDRESS(CE$16,$E399))</f>
        <v>16</v>
      </c>
      <c r="CF399" s="232"/>
      <c r="CG399" s="232"/>
      <c r="CH399" s="776">
        <f t="shared" ca="1" si="386"/>
        <v>0</v>
      </c>
      <c r="CI399" s="806">
        <f t="shared" ca="1" si="387"/>
        <v>0</v>
      </c>
      <c r="CJ399" s="770">
        <f t="shared" ca="1" si="388"/>
        <v>0</v>
      </c>
      <c r="CK399" s="771">
        <f t="shared" ca="1" si="389"/>
        <v>0</v>
      </c>
      <c r="CL399" s="771">
        <f t="shared" ca="1" si="390"/>
        <v>0</v>
      </c>
      <c r="CM399" s="772">
        <f t="shared" ca="1" si="391"/>
        <v>0</v>
      </c>
      <c r="CN399" s="135"/>
      <c r="CO399" s="770">
        <f t="shared" ca="1" si="441"/>
        <v>1.05</v>
      </c>
      <c r="CP399" s="771">
        <f t="shared" ca="1" si="392"/>
        <v>0.02</v>
      </c>
      <c r="CQ399" s="771">
        <f t="shared" ca="1" si="393"/>
        <v>-2.5000000000000001E-2</v>
      </c>
      <c r="CR399" s="771">
        <f t="shared" ca="1" si="394"/>
        <v>0.95</v>
      </c>
      <c r="CS399" s="771">
        <f t="shared" ca="1" si="395"/>
        <v>0.03</v>
      </c>
      <c r="CT399" s="772">
        <f t="shared" ca="1" si="396"/>
        <v>0.02</v>
      </c>
      <c r="CU399" s="135"/>
      <c r="CV399" s="135"/>
      <c r="CW399" s="135"/>
      <c r="CX399" s="135"/>
      <c r="CY399" s="135"/>
      <c r="CZ399" s="135"/>
      <c r="DA399" s="135"/>
      <c r="DB399" s="135"/>
      <c r="DC399" s="135"/>
      <c r="DD399" s="135"/>
      <c r="DE399" s="135"/>
      <c r="DF399" s="135"/>
      <c r="DG399" s="135"/>
      <c r="DH399" s="135"/>
      <c r="DI399" s="135"/>
      <c r="DJ399" s="135"/>
      <c r="DK399" s="135"/>
      <c r="DL399" s="135"/>
      <c r="DX399" s="135"/>
      <c r="DY399" s="135"/>
      <c r="DZ399" s="135"/>
      <c r="EA399" s="135"/>
      <c r="EB399" s="135"/>
      <c r="EC399" s="135"/>
      <c r="ED399" s="135"/>
      <c r="EE399" s="135"/>
      <c r="EF399" s="135"/>
      <c r="EG399" s="135"/>
      <c r="EH399" s="135"/>
      <c r="EI399" s="135"/>
      <c r="EJ399" s="135"/>
      <c r="EK399" s="135"/>
      <c r="EL399" s="135"/>
      <c r="EM399" s="135"/>
      <c r="EN399" s="135"/>
      <c r="EO399" s="135"/>
      <c r="EP399" s="135"/>
      <c r="EQ399" s="135"/>
      <c r="ER399" s="135"/>
      <c r="ES399" s="135"/>
      <c r="ET399" s="135"/>
      <c r="EU399" s="135"/>
      <c r="EV399" s="135"/>
      <c r="EW399" s="135"/>
      <c r="EX399" s="135"/>
      <c r="EY399" s="135"/>
      <c r="EZ399" s="135"/>
      <c r="FA399" s="135"/>
      <c r="FB399" s="135"/>
      <c r="FC399" s="135"/>
      <c r="FD399" s="135"/>
      <c r="FE399" s="135"/>
      <c r="FF399" s="135"/>
      <c r="FG399" s="135"/>
    </row>
    <row r="400" spans="1:163" s="57" customFormat="1" ht="11.25" outlineLevel="1">
      <c r="A400" s="765">
        <f t="shared" si="442"/>
        <v>16</v>
      </c>
      <c r="B400" s="715" cm="1">
        <f t="array" aca="1" ref="B400" ca="1">INDIRECT("'Definition of Typical Day'!"&amp;ADDRESS(B$16,$E400))</f>
        <v>16</v>
      </c>
      <c r="C400" s="766">
        <f t="shared" si="443"/>
        <v>20</v>
      </c>
      <c r="D400" s="715">
        <f t="shared" si="443"/>
        <v>54</v>
      </c>
      <c r="E400" s="715">
        <f t="shared" si="371"/>
        <v>20</v>
      </c>
      <c r="F400" s="767" cm="1">
        <f t="array" aca="1" ref="F400" ca="1">INDIRECT("'Definition of Typical Day'!D"&amp;D400)</f>
        <v>20</v>
      </c>
      <c r="G400" s="767" cm="1">
        <f t="array" aca="1" ref="G400" ca="1">INDIRECT("'Definition of Typical Day'!"&amp;ADDRESS(13,E400))</f>
        <v>16</v>
      </c>
      <c r="H400" s="768" cm="1">
        <f t="array" aca="1" ref="H400" ca="1">INDIRECT("'Definition of Typical Day'!"&amp; ADDRESS($D400+28*(H$16-1),$E400))</f>
        <v>0</v>
      </c>
      <c r="I400" s="715" cm="1">
        <f t="array" aca="1" ref="I400" ca="1">INDIRECT("'Definition of Typical Day'!"&amp; ADDRESS($D400+29*(I$16-1),$E400))</f>
        <v>0</v>
      </c>
      <c r="J400" s="715">
        <f t="shared" ca="1" si="397"/>
        <v>0</v>
      </c>
      <c r="K400" s="785">
        <f t="shared" si="398"/>
        <v>28</v>
      </c>
      <c r="L400" s="786" cm="1">
        <f t="array" aca="1" ref="L400" ca="1">INDIRECT("'Definition of Typical Day'!"&amp; ADDRESS($D400+29*(L$16-1),$E400))</f>
        <v>0</v>
      </c>
      <c r="M400" s="768" cm="1">
        <f t="array" aca="1" ref="M400" ca="1">INDIRECT("'Definition of Typical Day'!"&amp; ADDRESS($D400+29*(M$16-1),$E400))</f>
        <v>0</v>
      </c>
      <c r="N400" s="715">
        <f t="shared" si="399"/>
        <v>3</v>
      </c>
      <c r="O400" s="715">
        <f t="shared" ca="1" si="400"/>
        <v>3</v>
      </c>
      <c r="P400" s="715" cm="1">
        <f t="array" aca="1" ref="P400" ca="1">INDIRECT("'Definition of Typical Day'!"&amp; ADDRESS($D400+29*(P$16-1),$E400))</f>
        <v>0</v>
      </c>
      <c r="Q400" s="787">
        <f t="shared" ca="1" si="401"/>
        <v>3</v>
      </c>
      <c r="R400" s="792">
        <f t="shared" ca="1" si="402"/>
        <v>3</v>
      </c>
      <c r="S400" s="769">
        <f t="shared" si="403"/>
        <v>3</v>
      </c>
      <c r="T400" s="769">
        <f t="shared" ca="1" si="404"/>
        <v>-0.5</v>
      </c>
      <c r="U400" s="769">
        <f t="shared" ca="1" si="405"/>
        <v>2.262</v>
      </c>
      <c r="V400" s="769">
        <f t="shared" ca="1" si="406"/>
        <v>0</v>
      </c>
      <c r="W400" s="769">
        <f t="shared" ca="1" si="407"/>
        <v>4.7620000000000005</v>
      </c>
      <c r="X400" s="794">
        <f t="shared" si="408"/>
        <v>3</v>
      </c>
      <c r="Y400" s="769">
        <f t="shared" ca="1" si="409"/>
        <v>0.54772255750516607</v>
      </c>
      <c r="Z400" s="769">
        <f t="shared" ca="1" si="410"/>
        <v>0</v>
      </c>
      <c r="AA400" s="795">
        <f t="shared" ca="1" si="411"/>
        <v>0</v>
      </c>
      <c r="AB400" s="769">
        <f t="shared" ca="1" si="412"/>
        <v>0</v>
      </c>
      <c r="AC400" s="769">
        <f t="shared" ca="1" si="413"/>
        <v>0</v>
      </c>
      <c r="AD400" s="769">
        <f t="shared" ca="1" si="414"/>
        <v>0</v>
      </c>
      <c r="AE400" s="794">
        <f t="shared" ca="1" si="415"/>
        <v>0</v>
      </c>
      <c r="AF400" s="769">
        <f t="shared" ca="1" si="416"/>
        <v>0</v>
      </c>
      <c r="AG400" s="769">
        <f t="shared" ca="1" si="417"/>
        <v>0</v>
      </c>
      <c r="AH400" s="799">
        <f t="shared" ca="1" si="418"/>
        <v>0</v>
      </c>
      <c r="AI400" s="801">
        <f t="shared" ca="1" si="419"/>
        <v>1</v>
      </c>
      <c r="AJ400" s="794">
        <f t="shared" ca="1" si="420"/>
        <v>0</v>
      </c>
      <c r="AK400" s="769">
        <f t="shared" ca="1" si="421"/>
        <v>0</v>
      </c>
      <c r="AL400" s="769">
        <f t="shared" ca="1" si="422"/>
        <v>0</v>
      </c>
      <c r="AM400" s="804">
        <f t="shared" ca="1" si="372"/>
        <v>0</v>
      </c>
      <c r="AN400" s="795">
        <f t="shared" ca="1" si="373"/>
        <v>0</v>
      </c>
      <c r="AO400" s="251"/>
      <c r="AP400" s="770">
        <f t="shared" si="423"/>
        <v>0</v>
      </c>
      <c r="AQ400" s="771">
        <f t="shared" ca="1" si="424"/>
        <v>0</v>
      </c>
      <c r="AR400" s="771">
        <f t="shared" ca="1" si="425"/>
        <v>0</v>
      </c>
      <c r="AS400" s="772">
        <f t="shared" ca="1" si="426"/>
        <v>0</v>
      </c>
      <c r="AT400" s="231"/>
      <c r="AU400" s="770">
        <f>'Main Results - IRR DC Operator'!$F$16</f>
        <v>2</v>
      </c>
      <c r="AV400" s="773">
        <f>'Main Results - IRR DC Operator'!$F$15</f>
        <v>1</v>
      </c>
      <c r="AW400" s="771">
        <f t="shared" ca="1" si="427"/>
        <v>0</v>
      </c>
      <c r="AX400" s="772">
        <f t="shared" si="428"/>
        <v>0</v>
      </c>
      <c r="AY400" s="231"/>
      <c r="AZ400" s="770" cm="1">
        <f t="array" aca="1" ref="AZ400" ca="1">INDIRECT("'Definition of Typical Day'!"&amp; ADDRESS($D400+29*(AZ$16-1),$E400))+$AZ$17</f>
        <v>11</v>
      </c>
      <c r="BA400" s="771" cm="1">
        <f t="array" aca="1" ref="BA400" ca="1">INDIRECT("'Definition of Typical Day'!"&amp; ADDRESS($D400+29*(BA$16-1),$E400))+$BA$17</f>
        <v>11</v>
      </c>
      <c r="BB400" s="772" cm="1">
        <f t="array" aca="1" ref="BB400" ca="1">INDIRECT("'Definition of Typical Day'!"&amp;ADDRESS(BB$16,$E400))</f>
        <v>0</v>
      </c>
      <c r="BC400" s="776" cm="1">
        <f t="array" aca="1" ref="BC400" ca="1">INDIRECT("'Definition of Typical Day'!"&amp; ADDRESS($D400+29*(BC$16-1),$E400))</f>
        <v>0</v>
      </c>
      <c r="BD400" s="777" cm="1">
        <f t="array" aca="1" ref="BD400" ca="1">INDIRECT("'Definition of Typical Day'!"&amp; ADDRESS($D400+29*(BD$16-1),$E400))</f>
        <v>0</v>
      </c>
      <c r="BE400" s="776">
        <f t="shared" si="429"/>
        <v>0</v>
      </c>
      <c r="BF400" s="771">
        <f t="shared" ca="1" si="430"/>
        <v>0</v>
      </c>
      <c r="BG400" s="771">
        <f t="shared" ca="1" si="431"/>
        <v>0</v>
      </c>
      <c r="BH400" s="771">
        <f t="shared" ca="1" si="432"/>
        <v>0</v>
      </c>
      <c r="BI400" s="776">
        <f t="shared" ca="1" si="433"/>
        <v>0</v>
      </c>
      <c r="BJ400" s="776">
        <f t="shared" ca="1" si="434"/>
        <v>0</v>
      </c>
      <c r="BK400" s="776">
        <f t="shared" ca="1" si="435"/>
        <v>0</v>
      </c>
      <c r="BL400" s="776">
        <f t="shared" ca="1" si="436"/>
        <v>0</v>
      </c>
      <c r="BM400" s="135"/>
      <c r="BN400" s="776">
        <f t="shared" ca="1" si="437"/>
        <v>0</v>
      </c>
      <c r="BO400" s="778">
        <f t="shared" ca="1" si="374"/>
        <v>0</v>
      </c>
      <c r="BP400" s="770">
        <f t="shared" ca="1" si="375"/>
        <v>0</v>
      </c>
      <c r="BQ400" s="771">
        <f t="shared" ca="1" si="376"/>
        <v>0</v>
      </c>
      <c r="BR400" s="771">
        <f t="shared" ca="1" si="377"/>
        <v>0</v>
      </c>
      <c r="BS400" s="776">
        <f t="shared" ca="1" si="438"/>
        <v>0</v>
      </c>
      <c r="BT400" s="776">
        <f t="shared" ca="1" si="378"/>
        <v>0</v>
      </c>
      <c r="BU400" s="783">
        <f t="shared" ca="1" si="379"/>
        <v>0</v>
      </c>
      <c r="BV400" s="783">
        <f t="shared" ca="1" si="380"/>
        <v>0</v>
      </c>
      <c r="BW400" s="1019">
        <f t="shared" ca="1" si="439"/>
        <v>0</v>
      </c>
      <c r="BX400" s="771" cm="1">
        <f t="array" aca="1" ref="BX400" ca="1">INDIRECT("'Definition of Typical Day'!"&amp; ADDRESS($D400+29*(BX$16-1),$E400))</f>
        <v>0</v>
      </c>
      <c r="BY400" s="771">
        <f t="shared" ca="1" si="440"/>
        <v>0</v>
      </c>
      <c r="BZ400" s="781">
        <f t="shared" ca="1" si="381"/>
        <v>0</v>
      </c>
      <c r="CA400" s="781">
        <f t="shared" ca="1" si="382"/>
        <v>0</v>
      </c>
      <c r="CB400" s="776">
        <f t="shared" ca="1" si="383"/>
        <v>0</v>
      </c>
      <c r="CC400" s="782">
        <f t="shared" si="384"/>
        <v>16</v>
      </c>
      <c r="CD400" s="782">
        <f t="shared" si="385"/>
        <v>20</v>
      </c>
      <c r="CE400" s="784" cm="1">
        <f t="array" aca="1" ref="CE400" ca="1">INDIRECT("'Definition of Typical Day'!"&amp;ADDRESS(CE$16,$E400))</f>
        <v>16</v>
      </c>
      <c r="CF400" s="232"/>
      <c r="CG400" s="232"/>
      <c r="CH400" s="776">
        <f t="shared" ca="1" si="386"/>
        <v>0</v>
      </c>
      <c r="CI400" s="806">
        <f t="shared" ca="1" si="387"/>
        <v>0</v>
      </c>
      <c r="CJ400" s="770">
        <f t="shared" ca="1" si="388"/>
        <v>0</v>
      </c>
      <c r="CK400" s="771">
        <f t="shared" ca="1" si="389"/>
        <v>0</v>
      </c>
      <c r="CL400" s="771">
        <f t="shared" ca="1" si="390"/>
        <v>0</v>
      </c>
      <c r="CM400" s="772">
        <f t="shared" ca="1" si="391"/>
        <v>0</v>
      </c>
      <c r="CN400" s="135"/>
      <c r="CO400" s="770">
        <f t="shared" ca="1" si="441"/>
        <v>1.05</v>
      </c>
      <c r="CP400" s="771">
        <f t="shared" ca="1" si="392"/>
        <v>0.02</v>
      </c>
      <c r="CQ400" s="771">
        <f t="shared" ca="1" si="393"/>
        <v>-2.5000000000000001E-2</v>
      </c>
      <c r="CR400" s="771">
        <f t="shared" ca="1" si="394"/>
        <v>0.95</v>
      </c>
      <c r="CS400" s="771">
        <f t="shared" ca="1" si="395"/>
        <v>0.03</v>
      </c>
      <c r="CT400" s="772">
        <f t="shared" ca="1" si="396"/>
        <v>0.02</v>
      </c>
      <c r="CU400" s="135"/>
      <c r="CV400" s="135"/>
      <c r="CW400" s="135"/>
      <c r="CX400" s="135"/>
      <c r="CY400" s="135"/>
      <c r="CZ400" s="135"/>
      <c r="DA400" s="135"/>
      <c r="DB400" s="135"/>
      <c r="DC400" s="135"/>
      <c r="DD400" s="135"/>
      <c r="DE400" s="135"/>
      <c r="DF400" s="135"/>
      <c r="DG400" s="135"/>
      <c r="DH400" s="135"/>
      <c r="DI400" s="135"/>
      <c r="DJ400" s="135"/>
      <c r="DK400" s="135"/>
      <c r="DL400" s="135"/>
      <c r="DX400" s="135"/>
      <c r="DY400" s="135"/>
      <c r="DZ400" s="135"/>
      <c r="EA400" s="135"/>
      <c r="EB400" s="135"/>
      <c r="EC400" s="135"/>
      <c r="ED400" s="135"/>
      <c r="EE400" s="135"/>
      <c r="EF400" s="135"/>
      <c r="EG400" s="135"/>
      <c r="EH400" s="135"/>
      <c r="EI400" s="135"/>
      <c r="EJ400" s="135"/>
      <c r="EK400" s="135"/>
      <c r="EL400" s="135"/>
      <c r="EM400" s="135"/>
      <c r="EN400" s="135"/>
      <c r="EO400" s="135"/>
      <c r="EP400" s="135"/>
      <c r="EQ400" s="135"/>
      <c r="ER400" s="135"/>
      <c r="ES400" s="135"/>
      <c r="ET400" s="135"/>
      <c r="EU400" s="135"/>
      <c r="EV400" s="135"/>
      <c r="EW400" s="135"/>
      <c r="EX400" s="135"/>
      <c r="EY400" s="135"/>
      <c r="EZ400" s="135"/>
      <c r="FA400" s="135"/>
      <c r="FB400" s="135"/>
      <c r="FC400" s="135"/>
      <c r="FD400" s="135"/>
      <c r="FE400" s="135"/>
      <c r="FF400" s="135"/>
      <c r="FG400" s="135"/>
    </row>
    <row r="401" spans="1:163" s="57" customFormat="1" ht="11.25" outlineLevel="1">
      <c r="A401" s="765">
        <f t="shared" si="442"/>
        <v>16</v>
      </c>
      <c r="B401" s="715" cm="1">
        <f t="array" aca="1" ref="B401" ca="1">INDIRECT("'Definition of Typical Day'!"&amp;ADDRESS(B$16,$E401))</f>
        <v>16</v>
      </c>
      <c r="C401" s="766">
        <f t="shared" si="443"/>
        <v>21</v>
      </c>
      <c r="D401" s="715">
        <f t="shared" si="443"/>
        <v>55</v>
      </c>
      <c r="E401" s="715">
        <f t="shared" si="371"/>
        <v>20</v>
      </c>
      <c r="F401" s="767" cm="1">
        <f t="array" aca="1" ref="F401" ca="1">INDIRECT("'Definition of Typical Day'!D"&amp;D401)</f>
        <v>21</v>
      </c>
      <c r="G401" s="767" cm="1">
        <f t="array" aca="1" ref="G401" ca="1">INDIRECT("'Definition of Typical Day'!"&amp;ADDRESS(13,E401))</f>
        <v>16</v>
      </c>
      <c r="H401" s="768" cm="1">
        <f t="array" aca="1" ref="H401" ca="1">INDIRECT("'Definition of Typical Day'!"&amp; ADDRESS($D401+28*(H$16-1),$E401))</f>
        <v>0</v>
      </c>
      <c r="I401" s="715" cm="1">
        <f t="array" aca="1" ref="I401" ca="1">INDIRECT("'Definition of Typical Day'!"&amp; ADDRESS($D401+29*(I$16-1),$E401))</f>
        <v>0</v>
      </c>
      <c r="J401" s="715">
        <f t="shared" ca="1" si="397"/>
        <v>0</v>
      </c>
      <c r="K401" s="785">
        <f t="shared" si="398"/>
        <v>28</v>
      </c>
      <c r="L401" s="786" cm="1">
        <f t="array" aca="1" ref="L401" ca="1">INDIRECT("'Definition of Typical Day'!"&amp; ADDRESS($D401+29*(L$16-1),$E401))</f>
        <v>0</v>
      </c>
      <c r="M401" s="768" cm="1">
        <f t="array" aca="1" ref="M401" ca="1">INDIRECT("'Definition of Typical Day'!"&amp; ADDRESS($D401+29*(M$16-1),$E401))</f>
        <v>0</v>
      </c>
      <c r="N401" s="715">
        <f t="shared" si="399"/>
        <v>3</v>
      </c>
      <c r="O401" s="715">
        <f t="shared" ca="1" si="400"/>
        <v>3</v>
      </c>
      <c r="P401" s="715" cm="1">
        <f t="array" aca="1" ref="P401" ca="1">INDIRECT("'Definition of Typical Day'!"&amp; ADDRESS($D401+29*(P$16-1),$E401))</f>
        <v>0</v>
      </c>
      <c r="Q401" s="787">
        <f t="shared" ca="1" si="401"/>
        <v>3</v>
      </c>
      <c r="R401" s="792">
        <f t="shared" ca="1" si="402"/>
        <v>3</v>
      </c>
      <c r="S401" s="769">
        <f t="shared" si="403"/>
        <v>3</v>
      </c>
      <c r="T401" s="769">
        <f t="shared" ca="1" si="404"/>
        <v>-0.5</v>
      </c>
      <c r="U401" s="769">
        <f t="shared" ca="1" si="405"/>
        <v>2.262</v>
      </c>
      <c r="V401" s="769">
        <f t="shared" ca="1" si="406"/>
        <v>0</v>
      </c>
      <c r="W401" s="769">
        <f t="shared" ca="1" si="407"/>
        <v>4.7620000000000005</v>
      </c>
      <c r="X401" s="794">
        <f t="shared" si="408"/>
        <v>3</v>
      </c>
      <c r="Y401" s="769">
        <f t="shared" ca="1" si="409"/>
        <v>0.54772255750516607</v>
      </c>
      <c r="Z401" s="769">
        <f t="shared" ca="1" si="410"/>
        <v>0</v>
      </c>
      <c r="AA401" s="795">
        <f t="shared" ca="1" si="411"/>
        <v>0</v>
      </c>
      <c r="AB401" s="769">
        <f t="shared" ca="1" si="412"/>
        <v>0</v>
      </c>
      <c r="AC401" s="769">
        <f t="shared" ca="1" si="413"/>
        <v>0</v>
      </c>
      <c r="AD401" s="769">
        <f t="shared" ca="1" si="414"/>
        <v>0</v>
      </c>
      <c r="AE401" s="794">
        <f t="shared" ca="1" si="415"/>
        <v>0</v>
      </c>
      <c r="AF401" s="769">
        <f t="shared" ca="1" si="416"/>
        <v>0</v>
      </c>
      <c r="AG401" s="769">
        <f t="shared" ca="1" si="417"/>
        <v>0</v>
      </c>
      <c r="AH401" s="799">
        <f t="shared" ca="1" si="418"/>
        <v>0</v>
      </c>
      <c r="AI401" s="801">
        <f t="shared" ca="1" si="419"/>
        <v>1</v>
      </c>
      <c r="AJ401" s="794">
        <f t="shared" ca="1" si="420"/>
        <v>0</v>
      </c>
      <c r="AK401" s="769">
        <f t="shared" ca="1" si="421"/>
        <v>0</v>
      </c>
      <c r="AL401" s="769">
        <f t="shared" ca="1" si="422"/>
        <v>0</v>
      </c>
      <c r="AM401" s="804">
        <f t="shared" ca="1" si="372"/>
        <v>0</v>
      </c>
      <c r="AN401" s="795">
        <f t="shared" ca="1" si="373"/>
        <v>0</v>
      </c>
      <c r="AO401" s="251"/>
      <c r="AP401" s="770">
        <f t="shared" si="423"/>
        <v>0</v>
      </c>
      <c r="AQ401" s="771">
        <f t="shared" ca="1" si="424"/>
        <v>0</v>
      </c>
      <c r="AR401" s="771">
        <f t="shared" ca="1" si="425"/>
        <v>0</v>
      </c>
      <c r="AS401" s="772">
        <f t="shared" ca="1" si="426"/>
        <v>0</v>
      </c>
      <c r="AT401" s="231"/>
      <c r="AU401" s="770">
        <f>'Main Results - IRR DC Operator'!$F$16</f>
        <v>2</v>
      </c>
      <c r="AV401" s="773">
        <f>'Main Results - IRR DC Operator'!$F$15</f>
        <v>1</v>
      </c>
      <c r="AW401" s="771">
        <f t="shared" ca="1" si="427"/>
        <v>0</v>
      </c>
      <c r="AX401" s="772">
        <f t="shared" si="428"/>
        <v>0</v>
      </c>
      <c r="AY401" s="231"/>
      <c r="AZ401" s="770" cm="1">
        <f t="array" aca="1" ref="AZ401" ca="1">INDIRECT("'Definition of Typical Day'!"&amp; ADDRESS($D401+29*(AZ$16-1),$E401))+$AZ$17</f>
        <v>11</v>
      </c>
      <c r="BA401" s="771" cm="1">
        <f t="array" aca="1" ref="BA401" ca="1">INDIRECT("'Definition of Typical Day'!"&amp; ADDRESS($D401+29*(BA$16-1),$E401))+$BA$17</f>
        <v>11</v>
      </c>
      <c r="BB401" s="772" cm="1">
        <f t="array" aca="1" ref="BB401" ca="1">INDIRECT("'Definition of Typical Day'!"&amp;ADDRESS(BB$16,$E401))</f>
        <v>0</v>
      </c>
      <c r="BC401" s="776" cm="1">
        <f t="array" aca="1" ref="BC401" ca="1">INDIRECT("'Definition of Typical Day'!"&amp; ADDRESS($D401+29*(BC$16-1),$E401))</f>
        <v>0</v>
      </c>
      <c r="BD401" s="777" cm="1">
        <f t="array" aca="1" ref="BD401" ca="1">INDIRECT("'Definition of Typical Day'!"&amp; ADDRESS($D401+29*(BD$16-1),$E401))</f>
        <v>0</v>
      </c>
      <c r="BE401" s="776">
        <f t="shared" si="429"/>
        <v>0</v>
      </c>
      <c r="BF401" s="771">
        <f t="shared" ca="1" si="430"/>
        <v>0</v>
      </c>
      <c r="BG401" s="771">
        <f t="shared" ca="1" si="431"/>
        <v>0</v>
      </c>
      <c r="BH401" s="771">
        <f t="shared" ca="1" si="432"/>
        <v>0</v>
      </c>
      <c r="BI401" s="776">
        <f t="shared" ca="1" si="433"/>
        <v>0</v>
      </c>
      <c r="BJ401" s="776">
        <f t="shared" ca="1" si="434"/>
        <v>0</v>
      </c>
      <c r="BK401" s="776">
        <f t="shared" ca="1" si="435"/>
        <v>0</v>
      </c>
      <c r="BL401" s="776">
        <f t="shared" ca="1" si="436"/>
        <v>0</v>
      </c>
      <c r="BM401" s="135"/>
      <c r="BN401" s="776">
        <f t="shared" ca="1" si="437"/>
        <v>0</v>
      </c>
      <c r="BO401" s="778">
        <f t="shared" ca="1" si="374"/>
        <v>0</v>
      </c>
      <c r="BP401" s="770">
        <f t="shared" ca="1" si="375"/>
        <v>0</v>
      </c>
      <c r="BQ401" s="771">
        <f t="shared" ca="1" si="376"/>
        <v>0</v>
      </c>
      <c r="BR401" s="771">
        <f t="shared" ca="1" si="377"/>
        <v>0</v>
      </c>
      <c r="BS401" s="776">
        <f t="shared" ca="1" si="438"/>
        <v>0</v>
      </c>
      <c r="BT401" s="776">
        <f t="shared" ca="1" si="378"/>
        <v>0</v>
      </c>
      <c r="BU401" s="783">
        <f t="shared" ca="1" si="379"/>
        <v>0</v>
      </c>
      <c r="BV401" s="783">
        <f t="shared" ca="1" si="380"/>
        <v>0</v>
      </c>
      <c r="BW401" s="1019">
        <f t="shared" ca="1" si="439"/>
        <v>0</v>
      </c>
      <c r="BX401" s="771" cm="1">
        <f t="array" aca="1" ref="BX401" ca="1">INDIRECT("'Definition of Typical Day'!"&amp; ADDRESS($D401+29*(BX$16-1),$E401))</f>
        <v>0</v>
      </c>
      <c r="BY401" s="771">
        <f t="shared" ca="1" si="440"/>
        <v>0</v>
      </c>
      <c r="BZ401" s="781">
        <f t="shared" ca="1" si="381"/>
        <v>0</v>
      </c>
      <c r="CA401" s="781">
        <f t="shared" ca="1" si="382"/>
        <v>0</v>
      </c>
      <c r="CB401" s="776">
        <f t="shared" ca="1" si="383"/>
        <v>0</v>
      </c>
      <c r="CC401" s="782">
        <f t="shared" si="384"/>
        <v>16</v>
      </c>
      <c r="CD401" s="782">
        <f t="shared" si="385"/>
        <v>21</v>
      </c>
      <c r="CE401" s="784" cm="1">
        <f t="array" aca="1" ref="CE401" ca="1">INDIRECT("'Definition of Typical Day'!"&amp;ADDRESS(CE$16,$E401))</f>
        <v>16</v>
      </c>
      <c r="CF401" s="232"/>
      <c r="CG401" s="232"/>
      <c r="CH401" s="776">
        <f t="shared" ca="1" si="386"/>
        <v>0</v>
      </c>
      <c r="CI401" s="806">
        <f t="shared" ca="1" si="387"/>
        <v>0</v>
      </c>
      <c r="CJ401" s="770">
        <f t="shared" ca="1" si="388"/>
        <v>0</v>
      </c>
      <c r="CK401" s="771">
        <f t="shared" ca="1" si="389"/>
        <v>0</v>
      </c>
      <c r="CL401" s="771">
        <f t="shared" ca="1" si="390"/>
        <v>0</v>
      </c>
      <c r="CM401" s="772">
        <f t="shared" ca="1" si="391"/>
        <v>0</v>
      </c>
      <c r="CN401" s="135"/>
      <c r="CO401" s="770">
        <f t="shared" ca="1" si="441"/>
        <v>1.05</v>
      </c>
      <c r="CP401" s="771">
        <f t="shared" ca="1" si="392"/>
        <v>0.02</v>
      </c>
      <c r="CQ401" s="771">
        <f t="shared" ca="1" si="393"/>
        <v>-2.5000000000000001E-2</v>
      </c>
      <c r="CR401" s="771">
        <f t="shared" ca="1" si="394"/>
        <v>0.95</v>
      </c>
      <c r="CS401" s="771">
        <f t="shared" ca="1" si="395"/>
        <v>0.03</v>
      </c>
      <c r="CT401" s="772">
        <f t="shared" ca="1" si="396"/>
        <v>0.02</v>
      </c>
      <c r="CU401" s="135"/>
      <c r="CV401" s="135"/>
      <c r="CW401" s="135"/>
      <c r="CX401" s="135"/>
      <c r="CY401" s="135"/>
      <c r="CZ401" s="135"/>
      <c r="DA401" s="135"/>
      <c r="DB401" s="135"/>
      <c r="DC401" s="135"/>
      <c r="DD401" s="135"/>
      <c r="DE401" s="135"/>
      <c r="DF401" s="135"/>
      <c r="DG401" s="135"/>
      <c r="DH401" s="135"/>
      <c r="DI401" s="135"/>
      <c r="DJ401" s="135"/>
      <c r="DK401" s="135"/>
      <c r="DL401" s="135"/>
      <c r="DX401" s="135"/>
      <c r="DY401" s="135"/>
      <c r="DZ401" s="135"/>
      <c r="EA401" s="135"/>
      <c r="EB401" s="135"/>
      <c r="EC401" s="135"/>
      <c r="ED401" s="135"/>
      <c r="EE401" s="135"/>
      <c r="EF401" s="135"/>
      <c r="EG401" s="135"/>
      <c r="EH401" s="135"/>
      <c r="EI401" s="135"/>
      <c r="EJ401" s="135"/>
      <c r="EK401" s="135"/>
      <c r="EL401" s="135"/>
      <c r="EM401" s="135"/>
      <c r="EN401" s="135"/>
      <c r="EO401" s="135"/>
      <c r="EP401" s="135"/>
      <c r="EQ401" s="135"/>
      <c r="ER401" s="135"/>
      <c r="ES401" s="135"/>
      <c r="ET401" s="135"/>
      <c r="EU401" s="135"/>
      <c r="EV401" s="135"/>
      <c r="EW401" s="135"/>
      <c r="EX401" s="135"/>
      <c r="EY401" s="135"/>
      <c r="EZ401" s="135"/>
      <c r="FA401" s="135"/>
      <c r="FB401" s="135"/>
      <c r="FC401" s="135"/>
      <c r="FD401" s="135"/>
      <c r="FE401" s="135"/>
      <c r="FF401" s="135"/>
      <c r="FG401" s="135"/>
    </row>
    <row r="402" spans="1:163" s="57" customFormat="1" ht="11.25" outlineLevel="1">
      <c r="A402" s="765">
        <f t="shared" si="442"/>
        <v>16</v>
      </c>
      <c r="B402" s="715" cm="1">
        <f t="array" aca="1" ref="B402" ca="1">INDIRECT("'Definition of Typical Day'!"&amp;ADDRESS(B$16,$E402))</f>
        <v>16</v>
      </c>
      <c r="C402" s="766">
        <f t="shared" si="443"/>
        <v>22</v>
      </c>
      <c r="D402" s="715">
        <f t="shared" si="443"/>
        <v>56</v>
      </c>
      <c r="E402" s="715">
        <f t="shared" si="371"/>
        <v>20</v>
      </c>
      <c r="F402" s="767" cm="1">
        <f t="array" aca="1" ref="F402" ca="1">INDIRECT("'Definition of Typical Day'!D"&amp;D402)</f>
        <v>22</v>
      </c>
      <c r="G402" s="767" cm="1">
        <f t="array" aca="1" ref="G402" ca="1">INDIRECT("'Definition of Typical Day'!"&amp;ADDRESS(13,E402))</f>
        <v>16</v>
      </c>
      <c r="H402" s="768" cm="1">
        <f t="array" aca="1" ref="H402" ca="1">INDIRECT("'Definition of Typical Day'!"&amp; ADDRESS($D402+28*(H$16-1),$E402))</f>
        <v>0</v>
      </c>
      <c r="I402" s="715" cm="1">
        <f t="array" aca="1" ref="I402" ca="1">INDIRECT("'Definition of Typical Day'!"&amp; ADDRESS($D402+29*(I$16-1),$E402))</f>
        <v>0</v>
      </c>
      <c r="J402" s="715">
        <f t="shared" ca="1" si="397"/>
        <v>0</v>
      </c>
      <c r="K402" s="785">
        <f t="shared" si="398"/>
        <v>28</v>
      </c>
      <c r="L402" s="786" cm="1">
        <f t="array" aca="1" ref="L402" ca="1">INDIRECT("'Definition of Typical Day'!"&amp; ADDRESS($D402+29*(L$16-1),$E402))</f>
        <v>0</v>
      </c>
      <c r="M402" s="768" cm="1">
        <f t="array" aca="1" ref="M402" ca="1">INDIRECT("'Definition of Typical Day'!"&amp; ADDRESS($D402+29*(M$16-1),$E402))</f>
        <v>0</v>
      </c>
      <c r="N402" s="715">
        <f t="shared" si="399"/>
        <v>3</v>
      </c>
      <c r="O402" s="715">
        <f t="shared" ca="1" si="400"/>
        <v>3</v>
      </c>
      <c r="P402" s="715" cm="1">
        <f t="array" aca="1" ref="P402" ca="1">INDIRECT("'Definition of Typical Day'!"&amp; ADDRESS($D402+29*(P$16-1),$E402))</f>
        <v>0</v>
      </c>
      <c r="Q402" s="787">
        <f t="shared" ca="1" si="401"/>
        <v>3</v>
      </c>
      <c r="R402" s="792">
        <f t="shared" ca="1" si="402"/>
        <v>3</v>
      </c>
      <c r="S402" s="769">
        <f t="shared" si="403"/>
        <v>3</v>
      </c>
      <c r="T402" s="769">
        <f t="shared" ca="1" si="404"/>
        <v>-0.5</v>
      </c>
      <c r="U402" s="769">
        <f t="shared" ca="1" si="405"/>
        <v>2.262</v>
      </c>
      <c r="V402" s="769">
        <f t="shared" ca="1" si="406"/>
        <v>0</v>
      </c>
      <c r="W402" s="769">
        <f t="shared" ca="1" si="407"/>
        <v>4.7620000000000005</v>
      </c>
      <c r="X402" s="794">
        <f t="shared" si="408"/>
        <v>3</v>
      </c>
      <c r="Y402" s="769">
        <f t="shared" ca="1" si="409"/>
        <v>0.54772255750516607</v>
      </c>
      <c r="Z402" s="769">
        <f t="shared" ca="1" si="410"/>
        <v>0</v>
      </c>
      <c r="AA402" s="795">
        <f t="shared" ca="1" si="411"/>
        <v>0</v>
      </c>
      <c r="AB402" s="769">
        <f t="shared" ca="1" si="412"/>
        <v>0</v>
      </c>
      <c r="AC402" s="769">
        <f t="shared" ca="1" si="413"/>
        <v>0</v>
      </c>
      <c r="AD402" s="769">
        <f t="shared" ca="1" si="414"/>
        <v>0</v>
      </c>
      <c r="AE402" s="794">
        <f t="shared" ca="1" si="415"/>
        <v>0</v>
      </c>
      <c r="AF402" s="769">
        <f t="shared" ca="1" si="416"/>
        <v>0</v>
      </c>
      <c r="AG402" s="769">
        <f t="shared" ca="1" si="417"/>
        <v>0</v>
      </c>
      <c r="AH402" s="799">
        <f t="shared" ca="1" si="418"/>
        <v>0</v>
      </c>
      <c r="AI402" s="801">
        <f t="shared" ca="1" si="419"/>
        <v>1</v>
      </c>
      <c r="AJ402" s="794">
        <f t="shared" ca="1" si="420"/>
        <v>0</v>
      </c>
      <c r="AK402" s="769">
        <f t="shared" ca="1" si="421"/>
        <v>0</v>
      </c>
      <c r="AL402" s="769">
        <f t="shared" ca="1" si="422"/>
        <v>0</v>
      </c>
      <c r="AM402" s="804">
        <f t="shared" ca="1" si="372"/>
        <v>0</v>
      </c>
      <c r="AN402" s="795">
        <f t="shared" ca="1" si="373"/>
        <v>0</v>
      </c>
      <c r="AO402" s="251"/>
      <c r="AP402" s="770">
        <f t="shared" si="423"/>
        <v>0</v>
      </c>
      <c r="AQ402" s="771">
        <f t="shared" ca="1" si="424"/>
        <v>0</v>
      </c>
      <c r="AR402" s="771">
        <f t="shared" ca="1" si="425"/>
        <v>0</v>
      </c>
      <c r="AS402" s="772">
        <f t="shared" ca="1" si="426"/>
        <v>0</v>
      </c>
      <c r="AT402" s="231"/>
      <c r="AU402" s="770">
        <f>'Main Results - IRR DC Operator'!$F$16</f>
        <v>2</v>
      </c>
      <c r="AV402" s="773">
        <f>'Main Results - IRR DC Operator'!$F$15</f>
        <v>1</v>
      </c>
      <c r="AW402" s="771">
        <f t="shared" ca="1" si="427"/>
        <v>0</v>
      </c>
      <c r="AX402" s="772">
        <f t="shared" si="428"/>
        <v>0</v>
      </c>
      <c r="AY402" s="231"/>
      <c r="AZ402" s="770" cm="1">
        <f t="array" aca="1" ref="AZ402" ca="1">INDIRECT("'Definition of Typical Day'!"&amp; ADDRESS($D402+29*(AZ$16-1),$E402))+$AZ$17</f>
        <v>11</v>
      </c>
      <c r="BA402" s="771" cm="1">
        <f t="array" aca="1" ref="BA402" ca="1">INDIRECT("'Definition of Typical Day'!"&amp; ADDRESS($D402+29*(BA$16-1),$E402))+$BA$17</f>
        <v>11</v>
      </c>
      <c r="BB402" s="772" cm="1">
        <f t="array" aca="1" ref="BB402" ca="1">INDIRECT("'Definition of Typical Day'!"&amp;ADDRESS(BB$16,$E402))</f>
        <v>0</v>
      </c>
      <c r="BC402" s="776" cm="1">
        <f t="array" aca="1" ref="BC402" ca="1">INDIRECT("'Definition of Typical Day'!"&amp; ADDRESS($D402+29*(BC$16-1),$E402))</f>
        <v>0</v>
      </c>
      <c r="BD402" s="777" cm="1">
        <f t="array" aca="1" ref="BD402" ca="1">INDIRECT("'Definition of Typical Day'!"&amp; ADDRESS($D402+29*(BD$16-1),$E402))</f>
        <v>0</v>
      </c>
      <c r="BE402" s="776">
        <f t="shared" si="429"/>
        <v>0</v>
      </c>
      <c r="BF402" s="771">
        <f t="shared" ca="1" si="430"/>
        <v>0</v>
      </c>
      <c r="BG402" s="771">
        <f t="shared" ca="1" si="431"/>
        <v>0</v>
      </c>
      <c r="BH402" s="771">
        <f t="shared" ca="1" si="432"/>
        <v>0</v>
      </c>
      <c r="BI402" s="776">
        <f t="shared" ca="1" si="433"/>
        <v>0</v>
      </c>
      <c r="BJ402" s="776">
        <f t="shared" ca="1" si="434"/>
        <v>0</v>
      </c>
      <c r="BK402" s="776">
        <f t="shared" ca="1" si="435"/>
        <v>0</v>
      </c>
      <c r="BL402" s="776">
        <f t="shared" ca="1" si="436"/>
        <v>0</v>
      </c>
      <c r="BM402" s="135"/>
      <c r="BN402" s="776">
        <f t="shared" ca="1" si="437"/>
        <v>0</v>
      </c>
      <c r="BO402" s="778">
        <f t="shared" ca="1" si="374"/>
        <v>0</v>
      </c>
      <c r="BP402" s="770">
        <f t="shared" ca="1" si="375"/>
        <v>0</v>
      </c>
      <c r="BQ402" s="771">
        <f t="shared" ca="1" si="376"/>
        <v>0</v>
      </c>
      <c r="BR402" s="771">
        <f t="shared" ca="1" si="377"/>
        <v>0</v>
      </c>
      <c r="BS402" s="776">
        <f t="shared" ca="1" si="438"/>
        <v>0</v>
      </c>
      <c r="BT402" s="776">
        <f t="shared" ca="1" si="378"/>
        <v>0</v>
      </c>
      <c r="BU402" s="783">
        <f t="shared" ca="1" si="379"/>
        <v>0</v>
      </c>
      <c r="BV402" s="783">
        <f t="shared" ca="1" si="380"/>
        <v>0</v>
      </c>
      <c r="BW402" s="1019">
        <f t="shared" ca="1" si="439"/>
        <v>0</v>
      </c>
      <c r="BX402" s="771" cm="1">
        <f t="array" aca="1" ref="BX402" ca="1">INDIRECT("'Definition of Typical Day'!"&amp; ADDRESS($D402+29*(BX$16-1),$E402))</f>
        <v>0</v>
      </c>
      <c r="BY402" s="771">
        <f t="shared" ca="1" si="440"/>
        <v>0</v>
      </c>
      <c r="BZ402" s="781">
        <f t="shared" ca="1" si="381"/>
        <v>0</v>
      </c>
      <c r="CA402" s="781">
        <f t="shared" ca="1" si="382"/>
        <v>0</v>
      </c>
      <c r="CB402" s="776">
        <f t="shared" ca="1" si="383"/>
        <v>0</v>
      </c>
      <c r="CC402" s="782">
        <f t="shared" si="384"/>
        <v>16</v>
      </c>
      <c r="CD402" s="782">
        <f t="shared" si="385"/>
        <v>22</v>
      </c>
      <c r="CE402" s="784" cm="1">
        <f t="array" aca="1" ref="CE402" ca="1">INDIRECT("'Definition of Typical Day'!"&amp;ADDRESS(CE$16,$E402))</f>
        <v>16</v>
      </c>
      <c r="CF402" s="232"/>
      <c r="CG402" s="232"/>
      <c r="CH402" s="776">
        <f t="shared" ca="1" si="386"/>
        <v>0</v>
      </c>
      <c r="CI402" s="806">
        <f t="shared" ca="1" si="387"/>
        <v>0</v>
      </c>
      <c r="CJ402" s="770">
        <f t="shared" ca="1" si="388"/>
        <v>0</v>
      </c>
      <c r="CK402" s="771">
        <f t="shared" ca="1" si="389"/>
        <v>0</v>
      </c>
      <c r="CL402" s="771">
        <f t="shared" ca="1" si="390"/>
        <v>0</v>
      </c>
      <c r="CM402" s="772">
        <f t="shared" ca="1" si="391"/>
        <v>0</v>
      </c>
      <c r="CN402" s="135"/>
      <c r="CO402" s="770">
        <f t="shared" ca="1" si="441"/>
        <v>1.05</v>
      </c>
      <c r="CP402" s="771">
        <f t="shared" ca="1" si="392"/>
        <v>0.02</v>
      </c>
      <c r="CQ402" s="771">
        <f t="shared" ca="1" si="393"/>
        <v>-2.5000000000000001E-2</v>
      </c>
      <c r="CR402" s="771">
        <f t="shared" ca="1" si="394"/>
        <v>0.95</v>
      </c>
      <c r="CS402" s="771">
        <f t="shared" ca="1" si="395"/>
        <v>0.03</v>
      </c>
      <c r="CT402" s="772">
        <f t="shared" ca="1" si="396"/>
        <v>0.02</v>
      </c>
      <c r="CU402" s="135"/>
      <c r="CV402" s="135"/>
      <c r="CW402" s="135"/>
      <c r="CX402" s="135"/>
      <c r="CY402" s="135"/>
      <c r="CZ402" s="135"/>
      <c r="DA402" s="135"/>
      <c r="DB402" s="135"/>
      <c r="DC402" s="135"/>
      <c r="DD402" s="135"/>
      <c r="DE402" s="135"/>
      <c r="DF402" s="135"/>
      <c r="DG402" s="135"/>
      <c r="DH402" s="135"/>
      <c r="DI402" s="135"/>
      <c r="DJ402" s="135"/>
      <c r="DK402" s="135"/>
      <c r="DL402" s="135"/>
      <c r="DX402" s="135"/>
      <c r="DY402" s="135"/>
      <c r="DZ402" s="135"/>
      <c r="EA402" s="135"/>
      <c r="EB402" s="135"/>
      <c r="EC402" s="135"/>
      <c r="ED402" s="135"/>
      <c r="EE402" s="135"/>
      <c r="EF402" s="135"/>
      <c r="EG402" s="135"/>
      <c r="EH402" s="135"/>
      <c r="EI402" s="135"/>
      <c r="EJ402" s="135"/>
      <c r="EK402" s="135"/>
      <c r="EL402" s="135"/>
      <c r="EM402" s="135"/>
      <c r="EN402" s="135"/>
      <c r="EO402" s="135"/>
      <c r="EP402" s="135"/>
      <c r="EQ402" s="135"/>
      <c r="ER402" s="135"/>
      <c r="ES402" s="135"/>
      <c r="ET402" s="135"/>
      <c r="EU402" s="135"/>
      <c r="EV402" s="135"/>
      <c r="EW402" s="135"/>
      <c r="EX402" s="135"/>
      <c r="EY402" s="135"/>
      <c r="EZ402" s="135"/>
      <c r="FA402" s="135"/>
      <c r="FB402" s="135"/>
      <c r="FC402" s="135"/>
      <c r="FD402" s="135"/>
      <c r="FE402" s="135"/>
      <c r="FF402" s="135"/>
      <c r="FG402" s="135"/>
    </row>
    <row r="403" spans="1:163" s="57" customFormat="1" ht="11.25" outlineLevel="1">
      <c r="A403" s="765">
        <f t="shared" si="442"/>
        <v>16</v>
      </c>
      <c r="B403" s="715" cm="1">
        <f t="array" aca="1" ref="B403" ca="1">INDIRECT("'Definition of Typical Day'!"&amp;ADDRESS(B$16,$E403))</f>
        <v>16</v>
      </c>
      <c r="C403" s="766">
        <f t="shared" si="443"/>
        <v>23</v>
      </c>
      <c r="D403" s="715">
        <f t="shared" si="443"/>
        <v>57</v>
      </c>
      <c r="E403" s="715">
        <f t="shared" si="371"/>
        <v>20</v>
      </c>
      <c r="F403" s="767" cm="1">
        <f t="array" aca="1" ref="F403" ca="1">INDIRECT("'Definition of Typical Day'!D"&amp;D403)</f>
        <v>23</v>
      </c>
      <c r="G403" s="767" cm="1">
        <f t="array" aca="1" ref="G403" ca="1">INDIRECT("'Definition of Typical Day'!"&amp;ADDRESS(13,E403))</f>
        <v>16</v>
      </c>
      <c r="H403" s="768" cm="1">
        <f t="array" aca="1" ref="H403" ca="1">INDIRECT("'Definition of Typical Day'!"&amp; ADDRESS($D403+28*(H$16-1),$E403))</f>
        <v>0</v>
      </c>
      <c r="I403" s="715" cm="1">
        <f t="array" aca="1" ref="I403" ca="1">INDIRECT("'Definition of Typical Day'!"&amp; ADDRESS($D403+29*(I$16-1),$E403))</f>
        <v>0</v>
      </c>
      <c r="J403" s="715">
        <f t="shared" ca="1" si="397"/>
        <v>0</v>
      </c>
      <c r="K403" s="785">
        <f t="shared" si="398"/>
        <v>28</v>
      </c>
      <c r="L403" s="786" cm="1">
        <f t="array" aca="1" ref="L403" ca="1">INDIRECT("'Definition of Typical Day'!"&amp; ADDRESS($D403+29*(L$16-1),$E403))</f>
        <v>0</v>
      </c>
      <c r="M403" s="768" cm="1">
        <f t="array" aca="1" ref="M403" ca="1">INDIRECT("'Definition of Typical Day'!"&amp; ADDRESS($D403+29*(M$16-1),$E403))</f>
        <v>0</v>
      </c>
      <c r="N403" s="715">
        <f t="shared" si="399"/>
        <v>3</v>
      </c>
      <c r="O403" s="715">
        <f t="shared" ca="1" si="400"/>
        <v>3</v>
      </c>
      <c r="P403" s="715" cm="1">
        <f t="array" aca="1" ref="P403" ca="1">INDIRECT("'Definition of Typical Day'!"&amp; ADDRESS($D403+29*(P$16-1),$E403))</f>
        <v>0</v>
      </c>
      <c r="Q403" s="787">
        <f t="shared" ca="1" si="401"/>
        <v>3</v>
      </c>
      <c r="R403" s="792">
        <f t="shared" ca="1" si="402"/>
        <v>3</v>
      </c>
      <c r="S403" s="769">
        <f t="shared" si="403"/>
        <v>3</v>
      </c>
      <c r="T403" s="769">
        <f t="shared" ca="1" si="404"/>
        <v>-0.5</v>
      </c>
      <c r="U403" s="769">
        <f t="shared" ca="1" si="405"/>
        <v>2.262</v>
      </c>
      <c r="V403" s="769">
        <f t="shared" ca="1" si="406"/>
        <v>0</v>
      </c>
      <c r="W403" s="769">
        <f t="shared" ca="1" si="407"/>
        <v>4.7620000000000005</v>
      </c>
      <c r="X403" s="794">
        <f t="shared" si="408"/>
        <v>3</v>
      </c>
      <c r="Y403" s="769">
        <f t="shared" ca="1" si="409"/>
        <v>0.54772255750516607</v>
      </c>
      <c r="Z403" s="769">
        <f t="shared" ca="1" si="410"/>
        <v>0</v>
      </c>
      <c r="AA403" s="795">
        <f t="shared" ca="1" si="411"/>
        <v>0</v>
      </c>
      <c r="AB403" s="769">
        <f t="shared" ca="1" si="412"/>
        <v>0</v>
      </c>
      <c r="AC403" s="769">
        <f t="shared" ca="1" si="413"/>
        <v>0</v>
      </c>
      <c r="AD403" s="769">
        <f t="shared" ca="1" si="414"/>
        <v>0</v>
      </c>
      <c r="AE403" s="794">
        <f t="shared" ca="1" si="415"/>
        <v>0</v>
      </c>
      <c r="AF403" s="769">
        <f t="shared" ca="1" si="416"/>
        <v>0</v>
      </c>
      <c r="AG403" s="769">
        <f t="shared" ca="1" si="417"/>
        <v>0</v>
      </c>
      <c r="AH403" s="799">
        <f t="shared" ca="1" si="418"/>
        <v>0</v>
      </c>
      <c r="AI403" s="801">
        <f t="shared" ca="1" si="419"/>
        <v>1</v>
      </c>
      <c r="AJ403" s="794">
        <f t="shared" ca="1" si="420"/>
        <v>0</v>
      </c>
      <c r="AK403" s="769">
        <f t="shared" ca="1" si="421"/>
        <v>0</v>
      </c>
      <c r="AL403" s="769">
        <f t="shared" ca="1" si="422"/>
        <v>0</v>
      </c>
      <c r="AM403" s="804">
        <f t="shared" ca="1" si="372"/>
        <v>0</v>
      </c>
      <c r="AN403" s="795">
        <f t="shared" ca="1" si="373"/>
        <v>0</v>
      </c>
      <c r="AO403" s="251"/>
      <c r="AP403" s="770">
        <f t="shared" si="423"/>
        <v>0</v>
      </c>
      <c r="AQ403" s="771">
        <f t="shared" ca="1" si="424"/>
        <v>0</v>
      </c>
      <c r="AR403" s="771">
        <f t="shared" ca="1" si="425"/>
        <v>0</v>
      </c>
      <c r="AS403" s="772">
        <f t="shared" ca="1" si="426"/>
        <v>0</v>
      </c>
      <c r="AT403" s="231"/>
      <c r="AU403" s="770">
        <f>'Main Results - IRR DC Operator'!$F$16</f>
        <v>2</v>
      </c>
      <c r="AV403" s="773">
        <f>'Main Results - IRR DC Operator'!$F$15</f>
        <v>1</v>
      </c>
      <c r="AW403" s="771">
        <f t="shared" ca="1" si="427"/>
        <v>0</v>
      </c>
      <c r="AX403" s="772">
        <f t="shared" si="428"/>
        <v>0</v>
      </c>
      <c r="AY403" s="231"/>
      <c r="AZ403" s="770" cm="1">
        <f t="array" aca="1" ref="AZ403" ca="1">INDIRECT("'Definition of Typical Day'!"&amp; ADDRESS($D403+29*(AZ$16-1),$E403))+$AZ$17</f>
        <v>11</v>
      </c>
      <c r="BA403" s="771" cm="1">
        <f t="array" aca="1" ref="BA403" ca="1">INDIRECT("'Definition of Typical Day'!"&amp; ADDRESS($D403+29*(BA$16-1),$E403))+$BA$17</f>
        <v>11</v>
      </c>
      <c r="BB403" s="772" cm="1">
        <f t="array" aca="1" ref="BB403" ca="1">INDIRECT("'Definition of Typical Day'!"&amp;ADDRESS(BB$16,$E403))</f>
        <v>0</v>
      </c>
      <c r="BC403" s="776" cm="1">
        <f t="array" aca="1" ref="BC403" ca="1">INDIRECT("'Definition of Typical Day'!"&amp; ADDRESS($D403+29*(BC$16-1),$E403))</f>
        <v>0</v>
      </c>
      <c r="BD403" s="777" cm="1">
        <f t="array" aca="1" ref="BD403" ca="1">INDIRECT("'Definition of Typical Day'!"&amp; ADDRESS($D403+29*(BD$16-1),$E403))</f>
        <v>0</v>
      </c>
      <c r="BE403" s="776">
        <f t="shared" si="429"/>
        <v>0</v>
      </c>
      <c r="BF403" s="771">
        <f t="shared" ca="1" si="430"/>
        <v>0</v>
      </c>
      <c r="BG403" s="771">
        <f t="shared" ca="1" si="431"/>
        <v>0</v>
      </c>
      <c r="BH403" s="771">
        <f t="shared" ca="1" si="432"/>
        <v>0</v>
      </c>
      <c r="BI403" s="776">
        <f t="shared" ca="1" si="433"/>
        <v>0</v>
      </c>
      <c r="BJ403" s="776">
        <f t="shared" ca="1" si="434"/>
        <v>0</v>
      </c>
      <c r="BK403" s="776">
        <f t="shared" ca="1" si="435"/>
        <v>0</v>
      </c>
      <c r="BL403" s="776">
        <f t="shared" ca="1" si="436"/>
        <v>0</v>
      </c>
      <c r="BM403" s="135"/>
      <c r="BN403" s="776">
        <f t="shared" ca="1" si="437"/>
        <v>0</v>
      </c>
      <c r="BO403" s="778">
        <f t="shared" ca="1" si="374"/>
        <v>0</v>
      </c>
      <c r="BP403" s="770">
        <f t="shared" ca="1" si="375"/>
        <v>0</v>
      </c>
      <c r="BQ403" s="771">
        <f t="shared" ca="1" si="376"/>
        <v>0</v>
      </c>
      <c r="BR403" s="771">
        <f t="shared" ca="1" si="377"/>
        <v>0</v>
      </c>
      <c r="BS403" s="776">
        <f t="shared" ca="1" si="438"/>
        <v>0</v>
      </c>
      <c r="BT403" s="776">
        <f t="shared" ca="1" si="378"/>
        <v>0</v>
      </c>
      <c r="BU403" s="783">
        <f t="shared" ca="1" si="379"/>
        <v>0</v>
      </c>
      <c r="BV403" s="783">
        <f t="shared" ca="1" si="380"/>
        <v>0</v>
      </c>
      <c r="BW403" s="1019">
        <f t="shared" ca="1" si="439"/>
        <v>0</v>
      </c>
      <c r="BX403" s="771" cm="1">
        <f t="array" aca="1" ref="BX403" ca="1">INDIRECT("'Definition of Typical Day'!"&amp; ADDRESS($D403+29*(BX$16-1),$E403))</f>
        <v>0</v>
      </c>
      <c r="BY403" s="771">
        <f t="shared" ca="1" si="440"/>
        <v>0</v>
      </c>
      <c r="BZ403" s="781">
        <f t="shared" ca="1" si="381"/>
        <v>0</v>
      </c>
      <c r="CA403" s="781">
        <f t="shared" ca="1" si="382"/>
        <v>0</v>
      </c>
      <c r="CB403" s="776">
        <f t="shared" ca="1" si="383"/>
        <v>0</v>
      </c>
      <c r="CC403" s="782">
        <f t="shared" si="384"/>
        <v>16</v>
      </c>
      <c r="CD403" s="782">
        <f t="shared" si="385"/>
        <v>23</v>
      </c>
      <c r="CE403" s="784" cm="1">
        <f t="array" aca="1" ref="CE403" ca="1">INDIRECT("'Definition of Typical Day'!"&amp;ADDRESS(CE$16,$E403))</f>
        <v>16</v>
      </c>
      <c r="CF403" s="232"/>
      <c r="CG403" s="232"/>
      <c r="CH403" s="776">
        <f t="shared" ca="1" si="386"/>
        <v>0</v>
      </c>
      <c r="CI403" s="806">
        <f t="shared" ca="1" si="387"/>
        <v>0</v>
      </c>
      <c r="CJ403" s="770">
        <f t="shared" ca="1" si="388"/>
        <v>0</v>
      </c>
      <c r="CK403" s="771">
        <f t="shared" ca="1" si="389"/>
        <v>0</v>
      </c>
      <c r="CL403" s="771">
        <f t="shared" ca="1" si="390"/>
        <v>0</v>
      </c>
      <c r="CM403" s="772">
        <f t="shared" ca="1" si="391"/>
        <v>0</v>
      </c>
      <c r="CN403" s="135"/>
      <c r="CO403" s="770">
        <f t="shared" ca="1" si="441"/>
        <v>1.05</v>
      </c>
      <c r="CP403" s="771">
        <f t="shared" ca="1" si="392"/>
        <v>0.02</v>
      </c>
      <c r="CQ403" s="771">
        <f t="shared" ca="1" si="393"/>
        <v>-2.5000000000000001E-2</v>
      </c>
      <c r="CR403" s="771">
        <f t="shared" ca="1" si="394"/>
        <v>0.95</v>
      </c>
      <c r="CS403" s="771">
        <f t="shared" ca="1" si="395"/>
        <v>0.03</v>
      </c>
      <c r="CT403" s="772">
        <f t="shared" ca="1" si="396"/>
        <v>0.02</v>
      </c>
      <c r="CU403" s="135"/>
      <c r="CV403" s="135"/>
      <c r="CW403" s="135"/>
      <c r="CX403" s="135"/>
      <c r="CY403" s="135"/>
      <c r="CZ403" s="135"/>
      <c r="DA403" s="135"/>
      <c r="DB403" s="135"/>
      <c r="DC403" s="135"/>
      <c r="DD403" s="135"/>
      <c r="DE403" s="135"/>
      <c r="DF403" s="135"/>
      <c r="DG403" s="135"/>
      <c r="DH403" s="135"/>
      <c r="DI403" s="135"/>
      <c r="DJ403" s="135"/>
      <c r="DK403" s="135"/>
      <c r="DL403" s="135"/>
      <c r="DX403" s="135"/>
      <c r="DY403" s="135"/>
      <c r="DZ403" s="135"/>
      <c r="EA403" s="135"/>
      <c r="EB403" s="135"/>
      <c r="EC403" s="135"/>
      <c r="ED403" s="135"/>
      <c r="EE403" s="135"/>
      <c r="EF403" s="135"/>
      <c r="EG403" s="135"/>
      <c r="EH403" s="135"/>
      <c r="EI403" s="135"/>
      <c r="EJ403" s="135"/>
      <c r="EK403" s="135"/>
      <c r="EL403" s="135"/>
      <c r="EM403" s="135"/>
      <c r="EN403" s="135"/>
      <c r="EO403" s="135"/>
      <c r="EP403" s="135"/>
      <c r="EQ403" s="135"/>
      <c r="ER403" s="135"/>
      <c r="ES403" s="135"/>
      <c r="ET403" s="135"/>
      <c r="EU403" s="135"/>
      <c r="EV403" s="135"/>
      <c r="EW403" s="135"/>
      <c r="EX403" s="135"/>
      <c r="EY403" s="135"/>
      <c r="EZ403" s="135"/>
      <c r="FA403" s="135"/>
      <c r="FB403" s="135"/>
      <c r="FC403" s="135"/>
      <c r="FD403" s="135"/>
      <c r="FE403" s="135"/>
      <c r="FF403" s="135"/>
      <c r="FG403" s="135"/>
    </row>
    <row r="404" spans="1:163" s="57" customFormat="1" ht="11.25" outlineLevel="1">
      <c r="A404" s="765">
        <f t="shared" si="442"/>
        <v>16</v>
      </c>
      <c r="B404" s="715" cm="1">
        <f t="array" aca="1" ref="B404" ca="1">INDIRECT("'Definition of Typical Day'!"&amp;ADDRESS(B$16,$E404))</f>
        <v>16</v>
      </c>
      <c r="C404" s="766">
        <f t="shared" si="443"/>
        <v>24</v>
      </c>
      <c r="D404" s="715">
        <f t="shared" si="443"/>
        <v>58</v>
      </c>
      <c r="E404" s="715">
        <f t="shared" si="371"/>
        <v>20</v>
      </c>
      <c r="F404" s="767" cm="1">
        <f t="array" aca="1" ref="F404" ca="1">INDIRECT("'Definition of Typical Day'!D"&amp;D404)</f>
        <v>24</v>
      </c>
      <c r="G404" s="767" cm="1">
        <f t="array" aca="1" ref="G404" ca="1">INDIRECT("'Definition of Typical Day'!"&amp;ADDRESS(13,E404))</f>
        <v>16</v>
      </c>
      <c r="H404" s="768" cm="1">
        <f t="array" aca="1" ref="H404" ca="1">INDIRECT("'Definition of Typical Day'!"&amp; ADDRESS($D404+28*(H$16-1),$E404))</f>
        <v>0</v>
      </c>
      <c r="I404" s="715" cm="1">
        <f t="array" aca="1" ref="I404" ca="1">INDIRECT("'Definition of Typical Day'!"&amp; ADDRESS($D404+29*(I$16-1),$E404))</f>
        <v>0</v>
      </c>
      <c r="J404" s="715">
        <f t="shared" ca="1" si="397"/>
        <v>0</v>
      </c>
      <c r="K404" s="785">
        <f t="shared" si="398"/>
        <v>28</v>
      </c>
      <c r="L404" s="786" cm="1">
        <f t="array" aca="1" ref="L404" ca="1">INDIRECT("'Definition of Typical Day'!"&amp; ADDRESS($D404+29*(L$16-1),$E404))</f>
        <v>0</v>
      </c>
      <c r="M404" s="768" cm="1">
        <f t="array" aca="1" ref="M404" ca="1">INDIRECT("'Definition of Typical Day'!"&amp; ADDRESS($D404+29*(M$16-1),$E404))</f>
        <v>0</v>
      </c>
      <c r="N404" s="715">
        <f t="shared" si="399"/>
        <v>3</v>
      </c>
      <c r="O404" s="715">
        <f t="shared" ca="1" si="400"/>
        <v>3</v>
      </c>
      <c r="P404" s="715" cm="1">
        <f t="array" aca="1" ref="P404" ca="1">INDIRECT("'Definition of Typical Day'!"&amp; ADDRESS($D404+29*(P$16-1),$E404))</f>
        <v>0</v>
      </c>
      <c r="Q404" s="787">
        <f t="shared" ca="1" si="401"/>
        <v>3</v>
      </c>
      <c r="R404" s="792">
        <f t="shared" ca="1" si="402"/>
        <v>3</v>
      </c>
      <c r="S404" s="769">
        <f t="shared" si="403"/>
        <v>3</v>
      </c>
      <c r="T404" s="769">
        <f t="shared" ca="1" si="404"/>
        <v>-0.5</v>
      </c>
      <c r="U404" s="769">
        <f t="shared" ca="1" si="405"/>
        <v>2.262</v>
      </c>
      <c r="V404" s="769">
        <f t="shared" ca="1" si="406"/>
        <v>0</v>
      </c>
      <c r="W404" s="769">
        <f t="shared" ca="1" si="407"/>
        <v>4.7620000000000005</v>
      </c>
      <c r="X404" s="794">
        <f t="shared" si="408"/>
        <v>3</v>
      </c>
      <c r="Y404" s="769">
        <f t="shared" ca="1" si="409"/>
        <v>0.54772255750516607</v>
      </c>
      <c r="Z404" s="769">
        <f t="shared" ca="1" si="410"/>
        <v>0</v>
      </c>
      <c r="AA404" s="795">
        <f t="shared" ca="1" si="411"/>
        <v>0</v>
      </c>
      <c r="AB404" s="769">
        <f t="shared" ca="1" si="412"/>
        <v>0</v>
      </c>
      <c r="AC404" s="769">
        <f t="shared" ca="1" si="413"/>
        <v>0</v>
      </c>
      <c r="AD404" s="769">
        <f t="shared" ca="1" si="414"/>
        <v>0</v>
      </c>
      <c r="AE404" s="794">
        <f t="shared" ca="1" si="415"/>
        <v>0</v>
      </c>
      <c r="AF404" s="769">
        <f t="shared" ca="1" si="416"/>
        <v>0</v>
      </c>
      <c r="AG404" s="769">
        <f t="shared" ca="1" si="417"/>
        <v>0</v>
      </c>
      <c r="AH404" s="799">
        <f t="shared" ca="1" si="418"/>
        <v>0</v>
      </c>
      <c r="AI404" s="801">
        <f t="shared" ca="1" si="419"/>
        <v>1</v>
      </c>
      <c r="AJ404" s="794">
        <f t="shared" ca="1" si="420"/>
        <v>0</v>
      </c>
      <c r="AK404" s="769">
        <f t="shared" ca="1" si="421"/>
        <v>0</v>
      </c>
      <c r="AL404" s="769">
        <f t="shared" ca="1" si="422"/>
        <v>0</v>
      </c>
      <c r="AM404" s="804">
        <f t="shared" ca="1" si="372"/>
        <v>0</v>
      </c>
      <c r="AN404" s="795">
        <f t="shared" ca="1" si="373"/>
        <v>0</v>
      </c>
      <c r="AO404" s="251"/>
      <c r="AP404" s="770">
        <f t="shared" si="423"/>
        <v>0</v>
      </c>
      <c r="AQ404" s="771">
        <f t="shared" ca="1" si="424"/>
        <v>0</v>
      </c>
      <c r="AR404" s="771">
        <f t="shared" ca="1" si="425"/>
        <v>0</v>
      </c>
      <c r="AS404" s="772">
        <f t="shared" ca="1" si="426"/>
        <v>0</v>
      </c>
      <c r="AT404" s="231"/>
      <c r="AU404" s="770">
        <f>'Main Results - IRR DC Operator'!$F$16</f>
        <v>2</v>
      </c>
      <c r="AV404" s="773">
        <f>'Main Results - IRR DC Operator'!$F$15</f>
        <v>1</v>
      </c>
      <c r="AW404" s="771">
        <f t="shared" ca="1" si="427"/>
        <v>0</v>
      </c>
      <c r="AX404" s="772">
        <f t="shared" si="428"/>
        <v>0</v>
      </c>
      <c r="AY404" s="231"/>
      <c r="AZ404" s="770" cm="1">
        <f t="array" aca="1" ref="AZ404" ca="1">INDIRECT("'Definition of Typical Day'!"&amp; ADDRESS($D404+29*(AZ$16-1),$E404))+$AZ$17</f>
        <v>11</v>
      </c>
      <c r="BA404" s="771" cm="1">
        <f t="array" aca="1" ref="BA404" ca="1">INDIRECT("'Definition of Typical Day'!"&amp; ADDRESS($D404+29*(BA$16-1),$E404))+$BA$17</f>
        <v>11</v>
      </c>
      <c r="BB404" s="772" cm="1">
        <f t="array" aca="1" ref="BB404" ca="1">INDIRECT("'Definition of Typical Day'!"&amp;ADDRESS(BB$16,$E404))</f>
        <v>0</v>
      </c>
      <c r="BC404" s="776" cm="1">
        <f t="array" aca="1" ref="BC404" ca="1">INDIRECT("'Definition of Typical Day'!"&amp; ADDRESS($D404+29*(BC$16-1),$E404))</f>
        <v>0</v>
      </c>
      <c r="BD404" s="777" cm="1">
        <f t="array" aca="1" ref="BD404" ca="1">INDIRECT("'Definition of Typical Day'!"&amp; ADDRESS($D404+29*(BD$16-1),$E404))</f>
        <v>0</v>
      </c>
      <c r="BE404" s="776">
        <f t="shared" si="429"/>
        <v>0</v>
      </c>
      <c r="BF404" s="771">
        <f t="shared" ca="1" si="430"/>
        <v>0</v>
      </c>
      <c r="BG404" s="771">
        <f t="shared" ca="1" si="431"/>
        <v>0</v>
      </c>
      <c r="BH404" s="771">
        <f t="shared" ca="1" si="432"/>
        <v>0</v>
      </c>
      <c r="BI404" s="776">
        <f t="shared" ca="1" si="433"/>
        <v>0</v>
      </c>
      <c r="BJ404" s="776">
        <f t="shared" ca="1" si="434"/>
        <v>0</v>
      </c>
      <c r="BK404" s="776">
        <f t="shared" ca="1" si="435"/>
        <v>0</v>
      </c>
      <c r="BL404" s="776">
        <f t="shared" ca="1" si="436"/>
        <v>0</v>
      </c>
      <c r="BM404" s="135"/>
      <c r="BN404" s="776">
        <f t="shared" ca="1" si="437"/>
        <v>0</v>
      </c>
      <c r="BO404" s="778">
        <f t="shared" ca="1" si="374"/>
        <v>0</v>
      </c>
      <c r="BP404" s="770">
        <f t="shared" ca="1" si="375"/>
        <v>0</v>
      </c>
      <c r="BQ404" s="771">
        <f t="shared" ca="1" si="376"/>
        <v>0</v>
      </c>
      <c r="BR404" s="771">
        <f t="shared" ca="1" si="377"/>
        <v>0</v>
      </c>
      <c r="BS404" s="776">
        <f t="shared" ca="1" si="438"/>
        <v>0</v>
      </c>
      <c r="BT404" s="776">
        <f t="shared" ca="1" si="378"/>
        <v>0</v>
      </c>
      <c r="BU404" s="783">
        <f t="shared" ca="1" si="379"/>
        <v>0</v>
      </c>
      <c r="BV404" s="783">
        <f t="shared" ca="1" si="380"/>
        <v>0</v>
      </c>
      <c r="BW404" s="1019">
        <f t="shared" ca="1" si="439"/>
        <v>0</v>
      </c>
      <c r="BX404" s="771" cm="1">
        <f t="array" aca="1" ref="BX404" ca="1">INDIRECT("'Definition of Typical Day'!"&amp; ADDRESS($D404+29*(BX$16-1),$E404))</f>
        <v>0</v>
      </c>
      <c r="BY404" s="771">
        <f t="shared" ca="1" si="440"/>
        <v>0</v>
      </c>
      <c r="BZ404" s="781">
        <f t="shared" ca="1" si="381"/>
        <v>0</v>
      </c>
      <c r="CA404" s="781">
        <f t="shared" ca="1" si="382"/>
        <v>0</v>
      </c>
      <c r="CB404" s="776">
        <f t="shared" ca="1" si="383"/>
        <v>0</v>
      </c>
      <c r="CC404" s="782">
        <f t="shared" si="384"/>
        <v>16</v>
      </c>
      <c r="CD404" s="782">
        <f t="shared" si="385"/>
        <v>24</v>
      </c>
      <c r="CE404" s="784" cm="1">
        <f t="array" aca="1" ref="CE404" ca="1">INDIRECT("'Definition of Typical Day'!"&amp;ADDRESS(CE$16,$E404))</f>
        <v>16</v>
      </c>
      <c r="CF404" s="232"/>
      <c r="CG404" s="232"/>
      <c r="CH404" s="776">
        <f t="shared" ca="1" si="386"/>
        <v>0</v>
      </c>
      <c r="CI404" s="806">
        <f t="shared" ca="1" si="387"/>
        <v>0</v>
      </c>
      <c r="CJ404" s="770">
        <f t="shared" ca="1" si="388"/>
        <v>0</v>
      </c>
      <c r="CK404" s="771">
        <f t="shared" ca="1" si="389"/>
        <v>0</v>
      </c>
      <c r="CL404" s="771">
        <f t="shared" ca="1" si="390"/>
        <v>0</v>
      </c>
      <c r="CM404" s="772">
        <f t="shared" ca="1" si="391"/>
        <v>0</v>
      </c>
      <c r="CN404" s="135"/>
      <c r="CO404" s="770">
        <f t="shared" ca="1" si="441"/>
        <v>1.05</v>
      </c>
      <c r="CP404" s="771">
        <f t="shared" ca="1" si="392"/>
        <v>0.02</v>
      </c>
      <c r="CQ404" s="771">
        <f t="shared" ca="1" si="393"/>
        <v>-2.5000000000000001E-2</v>
      </c>
      <c r="CR404" s="771">
        <f t="shared" ca="1" si="394"/>
        <v>0.95</v>
      </c>
      <c r="CS404" s="771">
        <f t="shared" ca="1" si="395"/>
        <v>0.03</v>
      </c>
      <c r="CT404" s="772">
        <f t="shared" ca="1" si="396"/>
        <v>0.02</v>
      </c>
      <c r="CU404" s="135"/>
      <c r="CV404" s="135"/>
      <c r="CW404" s="135"/>
      <c r="CX404" s="135"/>
      <c r="CY404" s="135"/>
      <c r="CZ404" s="135"/>
      <c r="DA404" s="135"/>
      <c r="DB404" s="135"/>
      <c r="DC404" s="135"/>
      <c r="DD404" s="135"/>
      <c r="DE404" s="135"/>
      <c r="DF404" s="135"/>
      <c r="DG404" s="135"/>
      <c r="DH404" s="135"/>
      <c r="DI404" s="135"/>
      <c r="DJ404" s="135"/>
      <c r="DK404" s="135"/>
      <c r="DL404" s="135"/>
      <c r="DX404" s="135"/>
      <c r="DY404" s="135"/>
      <c r="DZ404" s="135"/>
      <c r="EA404" s="135"/>
      <c r="EB404" s="135"/>
      <c r="EC404" s="135"/>
      <c r="ED404" s="135"/>
      <c r="EE404" s="135"/>
      <c r="EF404" s="135"/>
      <c r="EG404" s="135"/>
      <c r="EH404" s="135"/>
      <c r="EI404" s="135"/>
      <c r="EJ404" s="135"/>
      <c r="EK404" s="135"/>
      <c r="EL404" s="135"/>
      <c r="EM404" s="135"/>
      <c r="EN404" s="135"/>
      <c r="EO404" s="135"/>
      <c r="EP404" s="135"/>
      <c r="EQ404" s="135"/>
      <c r="ER404" s="135"/>
      <c r="ES404" s="135"/>
      <c r="ET404" s="135"/>
      <c r="EU404" s="135"/>
      <c r="EV404" s="135"/>
      <c r="EW404" s="135"/>
      <c r="EX404" s="135"/>
      <c r="EY404" s="135"/>
      <c r="EZ404" s="135"/>
      <c r="FA404" s="135"/>
      <c r="FB404" s="135"/>
      <c r="FC404" s="135"/>
      <c r="FD404" s="135"/>
      <c r="FE404" s="135"/>
      <c r="FF404" s="135"/>
      <c r="FG404" s="135"/>
    </row>
    <row r="405" spans="1:163" s="57" customFormat="1" ht="11.25" outlineLevel="1">
      <c r="A405" s="765">
        <f t="shared" si="442"/>
        <v>17</v>
      </c>
      <c r="B405" s="715" cm="1">
        <f t="array" aca="1" ref="B405" ca="1">INDIRECT("'Definition of Typical Day'!"&amp;ADDRESS(B$16,$E405))</f>
        <v>17</v>
      </c>
      <c r="C405" s="766">
        <f t="shared" si="443"/>
        <v>1</v>
      </c>
      <c r="D405" s="715">
        <f t="shared" si="443"/>
        <v>35</v>
      </c>
      <c r="E405" s="715">
        <f t="shared" ref="E405:E468" si="444">A405+4</f>
        <v>21</v>
      </c>
      <c r="F405" s="767" cm="1">
        <f t="array" aca="1" ref="F405" ca="1">INDIRECT("'Definition of Typical Day'!D"&amp;D405)</f>
        <v>1</v>
      </c>
      <c r="G405" s="767" cm="1">
        <f t="array" aca="1" ref="G405" ca="1">INDIRECT("'Definition of Typical Day'!"&amp;ADDRESS(13,E405))</f>
        <v>17</v>
      </c>
      <c r="H405" s="768" cm="1">
        <f t="array" aca="1" ref="H405" ca="1">INDIRECT("'Definition of Typical Day'!"&amp; ADDRESS($D405+28*(H$16-1),$E405))</f>
        <v>0</v>
      </c>
      <c r="I405" s="715" cm="1">
        <f t="array" aca="1" ref="I405" ca="1">INDIRECT("'Definition of Typical Day'!"&amp; ADDRESS($D405+29*(I$16-1),$E405))</f>
        <v>0</v>
      </c>
      <c r="J405" s="715">
        <f t="shared" ca="1" si="397"/>
        <v>0</v>
      </c>
      <c r="K405" s="785">
        <f t="shared" si="398"/>
        <v>28</v>
      </c>
      <c r="L405" s="786" cm="1">
        <f t="array" aca="1" ref="L405" ca="1">INDIRECT("'Definition of Typical Day'!"&amp; ADDRESS($D405+29*(L$16-1),$E405))</f>
        <v>0</v>
      </c>
      <c r="M405" s="768" cm="1">
        <f t="array" aca="1" ref="M405" ca="1">INDIRECT("'Definition of Typical Day'!"&amp; ADDRESS($D405+29*(M$16-1),$E405))</f>
        <v>0</v>
      </c>
      <c r="N405" s="715">
        <f t="shared" si="399"/>
        <v>3</v>
      </c>
      <c r="O405" s="715">
        <f t="shared" ca="1" si="400"/>
        <v>3</v>
      </c>
      <c r="P405" s="715" cm="1">
        <f t="array" aca="1" ref="P405" ca="1">INDIRECT("'Definition of Typical Day'!"&amp; ADDRESS($D405+29*(P$16-1),$E405))</f>
        <v>0</v>
      </c>
      <c r="Q405" s="787">
        <f t="shared" ca="1" si="401"/>
        <v>3</v>
      </c>
      <c r="R405" s="792">
        <f t="shared" ca="1" si="402"/>
        <v>3</v>
      </c>
      <c r="S405" s="769">
        <f t="shared" si="403"/>
        <v>3</v>
      </c>
      <c r="T405" s="769">
        <f t="shared" ca="1" si="404"/>
        <v>-0.5</v>
      </c>
      <c r="U405" s="769">
        <f t="shared" ca="1" si="405"/>
        <v>2.262</v>
      </c>
      <c r="V405" s="769">
        <f t="shared" ca="1" si="406"/>
        <v>0</v>
      </c>
      <c r="W405" s="769">
        <f t="shared" ca="1" si="407"/>
        <v>4.7620000000000005</v>
      </c>
      <c r="X405" s="794">
        <f t="shared" si="408"/>
        <v>3</v>
      </c>
      <c r="Y405" s="769">
        <f t="shared" ca="1" si="409"/>
        <v>0.54772255750516607</v>
      </c>
      <c r="Z405" s="769">
        <f t="shared" ca="1" si="410"/>
        <v>0</v>
      </c>
      <c r="AA405" s="795">
        <f t="shared" ca="1" si="411"/>
        <v>0</v>
      </c>
      <c r="AB405" s="769">
        <f t="shared" ca="1" si="412"/>
        <v>0</v>
      </c>
      <c r="AC405" s="769">
        <f t="shared" ca="1" si="413"/>
        <v>0</v>
      </c>
      <c r="AD405" s="769">
        <f t="shared" ca="1" si="414"/>
        <v>0</v>
      </c>
      <c r="AE405" s="794">
        <f t="shared" ca="1" si="415"/>
        <v>0</v>
      </c>
      <c r="AF405" s="769">
        <f t="shared" ca="1" si="416"/>
        <v>0</v>
      </c>
      <c r="AG405" s="769">
        <f t="shared" ca="1" si="417"/>
        <v>0</v>
      </c>
      <c r="AH405" s="799">
        <f t="shared" ca="1" si="418"/>
        <v>0</v>
      </c>
      <c r="AI405" s="801">
        <f t="shared" ca="1" si="419"/>
        <v>1</v>
      </c>
      <c r="AJ405" s="794">
        <f t="shared" ca="1" si="420"/>
        <v>0</v>
      </c>
      <c r="AK405" s="769">
        <f t="shared" ca="1" si="421"/>
        <v>0</v>
      </c>
      <c r="AL405" s="769">
        <f t="shared" ca="1" si="422"/>
        <v>0</v>
      </c>
      <c r="AM405" s="804">
        <f t="shared" ref="AM405:AM468" ca="1" si="445">IF($BY405=1,$AJ405,0)*$BD405/AM$16</f>
        <v>0</v>
      </c>
      <c r="AN405" s="795">
        <f t="shared" ref="AN405:AN468" ca="1" si="446">(H405-IF($BY405=1,$AJ405,0))*$BD405/AN$16</f>
        <v>0</v>
      </c>
      <c r="AO405" s="251"/>
      <c r="AP405" s="770">
        <f t="shared" si="423"/>
        <v>0</v>
      </c>
      <c r="AQ405" s="771">
        <f t="shared" ca="1" si="424"/>
        <v>0</v>
      </c>
      <c r="AR405" s="771">
        <f t="shared" ca="1" si="425"/>
        <v>0</v>
      </c>
      <c r="AS405" s="772">
        <f t="shared" ca="1" si="426"/>
        <v>0</v>
      </c>
      <c r="AT405" s="231"/>
      <c r="AU405" s="770">
        <f>'Main Results - IRR DC Operator'!$F$16</f>
        <v>2</v>
      </c>
      <c r="AV405" s="773">
        <f>'Main Results - IRR DC Operator'!$F$15</f>
        <v>1</v>
      </c>
      <c r="AW405" s="771">
        <f t="shared" ca="1" si="427"/>
        <v>0</v>
      </c>
      <c r="AX405" s="772">
        <f t="shared" si="428"/>
        <v>0</v>
      </c>
      <c r="AY405" s="231"/>
      <c r="AZ405" s="770" cm="1">
        <f t="array" aca="1" ref="AZ405" ca="1">INDIRECT("'Definition of Typical Day'!"&amp; ADDRESS($D405+29*(AZ$16-1),$E405))+$AZ$17</f>
        <v>11</v>
      </c>
      <c r="BA405" s="771" cm="1">
        <f t="array" aca="1" ref="BA405" ca="1">INDIRECT("'Definition of Typical Day'!"&amp; ADDRESS($D405+29*(BA$16-1),$E405))+$BA$17</f>
        <v>11</v>
      </c>
      <c r="BB405" s="772" cm="1">
        <f t="array" aca="1" ref="BB405" ca="1">INDIRECT("'Definition of Typical Day'!"&amp;ADDRESS(BB$16,$E405))</f>
        <v>0</v>
      </c>
      <c r="BC405" s="776" cm="1">
        <f t="array" aca="1" ref="BC405" ca="1">INDIRECT("'Definition of Typical Day'!"&amp; ADDRESS($D405+29*(BC$16-1),$E405))</f>
        <v>0</v>
      </c>
      <c r="BD405" s="777" cm="1">
        <f t="array" aca="1" ref="BD405" ca="1">INDIRECT("'Definition of Typical Day'!"&amp; ADDRESS($D405+29*(BD$16-1),$E405))</f>
        <v>0</v>
      </c>
      <c r="BE405" s="776">
        <f t="shared" si="429"/>
        <v>0</v>
      </c>
      <c r="BF405" s="771">
        <f t="shared" ca="1" si="430"/>
        <v>0</v>
      </c>
      <c r="BG405" s="771">
        <f t="shared" ca="1" si="431"/>
        <v>0</v>
      </c>
      <c r="BH405" s="771">
        <f t="shared" ca="1" si="432"/>
        <v>0</v>
      </c>
      <c r="BI405" s="776">
        <f t="shared" ca="1" si="433"/>
        <v>0</v>
      </c>
      <c r="BJ405" s="776">
        <f t="shared" ca="1" si="434"/>
        <v>0</v>
      </c>
      <c r="BK405" s="776">
        <f t="shared" ca="1" si="435"/>
        <v>0</v>
      </c>
      <c r="BL405" s="776">
        <f t="shared" ca="1" si="436"/>
        <v>0</v>
      </c>
      <c r="BM405" s="135"/>
      <c r="BN405" s="776">
        <f t="shared" ca="1" si="437"/>
        <v>0</v>
      </c>
      <c r="BO405" s="778">
        <f t="shared" ref="BO405:BO468" ca="1" si="447">BN405/MAX(0.0001,AH405)</f>
        <v>0</v>
      </c>
      <c r="BP405" s="770">
        <f t="shared" ref="BP405:BP468" ca="1" si="448">SUM(AX405,BF405:BH405)</f>
        <v>0</v>
      </c>
      <c r="BQ405" s="771">
        <f t="shared" ref="BQ405:BQ468" ca="1" si="449">$BQ$16*AH405</f>
        <v>0</v>
      </c>
      <c r="BR405" s="771">
        <f t="shared" ref="BR405:BR468" ca="1" si="450">$BR$16*AD405</f>
        <v>0</v>
      </c>
      <c r="BS405" s="776">
        <f t="shared" ca="1" si="438"/>
        <v>0</v>
      </c>
      <c r="BT405" s="776">
        <f t="shared" ref="BT405:BT468" ca="1" si="451">BP405+BQ405+BR405</f>
        <v>0</v>
      </c>
      <c r="BU405" s="783">
        <f t="shared" ref="BU405:BU468" ca="1" si="452">BT405/MAX(0.0001,AH405)</f>
        <v>0</v>
      </c>
      <c r="BV405" s="783">
        <f t="shared" ref="BV405:BV468" ca="1" si="453">(BT405-BL405)/MAX(0.0001,AH405)</f>
        <v>0</v>
      </c>
      <c r="BW405" s="1019">
        <f t="shared" ca="1" si="439"/>
        <v>0</v>
      </c>
      <c r="BX405" s="771" cm="1">
        <f t="array" aca="1" ref="BX405" ca="1">INDIRECT("'Definition of Typical Day'!"&amp; ADDRESS($D405+29*(BX$16-1),$E405))</f>
        <v>0</v>
      </c>
      <c r="BY405" s="771">
        <f t="shared" ca="1" si="440"/>
        <v>0</v>
      </c>
      <c r="BZ405" s="781">
        <f t="shared" ref="BZ405:BZ468" ca="1" si="454">IF(AND(AJ405&gt;0,BY405&gt;0),1,0)</f>
        <v>0</v>
      </c>
      <c r="CA405" s="781">
        <f t="shared" ref="CA405:CA468" ca="1" si="455">IF(BY405&gt;0,(AJ405+AK405)/X$16,0)</f>
        <v>0</v>
      </c>
      <c r="CB405" s="776">
        <f t="shared" ref="CB405:CB468" ca="1" si="456">BX405*AH405</f>
        <v>0</v>
      </c>
      <c r="CC405" s="782">
        <f t="shared" ref="CC405:CC468" si="457">A405</f>
        <v>17</v>
      </c>
      <c r="CD405" s="782">
        <f t="shared" ref="CD405:CD468" si="458">C405</f>
        <v>1</v>
      </c>
      <c r="CE405" s="784" cm="1">
        <f t="array" aca="1" ref="CE405" ca="1">INDIRECT("'Definition of Typical Day'!"&amp;ADDRESS(CE$16,$E405))</f>
        <v>17</v>
      </c>
      <c r="CF405" s="232"/>
      <c r="CG405" s="232"/>
      <c r="CH405" s="776">
        <f t="shared" ref="CH405:CH468" ca="1" si="459">H405</f>
        <v>0</v>
      </c>
      <c r="CI405" s="806">
        <f t="shared" ref="CI405:CI468" ca="1" si="460">L405</f>
        <v>0</v>
      </c>
      <c r="CJ405" s="770">
        <f t="shared" ref="CJ405:CJ468" ca="1" si="461">AH405*$BY405</f>
        <v>0</v>
      </c>
      <c r="CK405" s="771">
        <f t="shared" ref="CK405:CK468" ca="1" si="462">AJ405*$BY405</f>
        <v>0</v>
      </c>
      <c r="CL405" s="771">
        <f t="shared" ref="CL405:CL468" ca="1" si="463">AK405*$BY405</f>
        <v>0</v>
      </c>
      <c r="CM405" s="772">
        <f t="shared" ref="CM405:CM468" ca="1" si="464">AL405*$BY405</f>
        <v>0</v>
      </c>
      <c r="CN405" s="135"/>
      <c r="CO405" s="770">
        <f t="shared" ca="1" si="441"/>
        <v>1.05</v>
      </c>
      <c r="CP405" s="771">
        <f t="shared" ref="CP405:CP468" ca="1" si="465">IF(L405&lt;0.01,2%,98%)</f>
        <v>0.02</v>
      </c>
      <c r="CQ405" s="771">
        <f t="shared" ref="CQ405:CQ468" ca="1" si="466">IF(H405&lt;0.01,-2.5%,96%)</f>
        <v>-2.5000000000000001E-2</v>
      </c>
      <c r="CR405" s="771">
        <f t="shared" ref="CR405:CR468" ca="1" si="467">IF(OR(AB405=0,AD405&gt;0),95%,5%)</f>
        <v>0.95</v>
      </c>
      <c r="CS405" s="771">
        <f t="shared" ref="CS405:CS468" ca="1" si="468">IF(AJ405&gt;0.01,102%,3%)</f>
        <v>0.03</v>
      </c>
      <c r="CT405" s="772">
        <f t="shared" ref="CT405:CT468" ca="1" si="469">IF(AL405&gt;0.01,101%,2%)</f>
        <v>0.02</v>
      </c>
      <c r="CU405" s="135"/>
      <c r="CV405" s="135"/>
      <c r="CW405" s="135"/>
      <c r="CX405" s="135"/>
      <c r="CY405" s="135"/>
      <c r="CZ405" s="135"/>
      <c r="DA405" s="135"/>
      <c r="DB405" s="135"/>
      <c r="DC405" s="135"/>
      <c r="DD405" s="135"/>
      <c r="DE405" s="135"/>
      <c r="DF405" s="135"/>
      <c r="DG405" s="135"/>
      <c r="DH405" s="135"/>
      <c r="DI405" s="135"/>
      <c r="DJ405" s="135"/>
      <c r="DK405" s="135"/>
      <c r="DL405" s="135"/>
      <c r="DX405" s="135"/>
      <c r="DY405" s="135"/>
      <c r="DZ405" s="135"/>
      <c r="EA405" s="135"/>
      <c r="EB405" s="135"/>
      <c r="EC405" s="135"/>
      <c r="ED405" s="135"/>
      <c r="EE405" s="135"/>
      <c r="EF405" s="135"/>
      <c r="EG405" s="135"/>
      <c r="EH405" s="135"/>
      <c r="EI405" s="135"/>
      <c r="EJ405" s="135"/>
      <c r="EK405" s="135"/>
      <c r="EL405" s="135"/>
      <c r="EM405" s="135"/>
      <c r="EN405" s="135"/>
      <c r="EO405" s="135"/>
      <c r="EP405" s="135"/>
      <c r="EQ405" s="135"/>
      <c r="ER405" s="135"/>
      <c r="ES405" s="135"/>
      <c r="ET405" s="135"/>
      <c r="EU405" s="135"/>
      <c r="EV405" s="135"/>
      <c r="EW405" s="135"/>
      <c r="EX405" s="135"/>
      <c r="EY405" s="135"/>
      <c r="EZ405" s="135"/>
      <c r="FA405" s="135"/>
      <c r="FB405" s="135"/>
      <c r="FC405" s="135"/>
      <c r="FD405" s="135"/>
      <c r="FE405" s="135"/>
      <c r="FF405" s="135"/>
      <c r="FG405" s="135"/>
    </row>
    <row r="406" spans="1:163" s="57" customFormat="1" ht="11.25" outlineLevel="1">
      <c r="A406" s="765">
        <f t="shared" si="442"/>
        <v>17</v>
      </c>
      <c r="B406" s="715" cm="1">
        <f t="array" aca="1" ref="B406" ca="1">INDIRECT("'Definition of Typical Day'!"&amp;ADDRESS(B$16,$E406))</f>
        <v>17</v>
      </c>
      <c r="C406" s="766">
        <f t="shared" si="443"/>
        <v>2</v>
      </c>
      <c r="D406" s="715">
        <f t="shared" si="443"/>
        <v>36</v>
      </c>
      <c r="E406" s="715">
        <f t="shared" si="444"/>
        <v>21</v>
      </c>
      <c r="F406" s="767" cm="1">
        <f t="array" aca="1" ref="F406" ca="1">INDIRECT("'Definition of Typical Day'!D"&amp;D406)</f>
        <v>2</v>
      </c>
      <c r="G406" s="767" cm="1">
        <f t="array" aca="1" ref="G406" ca="1">INDIRECT("'Definition of Typical Day'!"&amp;ADDRESS(13,E406))</f>
        <v>17</v>
      </c>
      <c r="H406" s="768" cm="1">
        <f t="array" aca="1" ref="H406" ca="1">INDIRECT("'Definition of Typical Day'!"&amp; ADDRESS($D406+28*(H$16-1),$E406))</f>
        <v>0</v>
      </c>
      <c r="I406" s="715" cm="1">
        <f t="array" aca="1" ref="I406" ca="1">INDIRECT("'Definition of Typical Day'!"&amp; ADDRESS($D406+29*(I$16-1),$E406))</f>
        <v>0</v>
      </c>
      <c r="J406" s="715">
        <f t="shared" ref="J406:J469" ca="1" si="470">IF(I406&lt;K406,0,I406-$J$16)</f>
        <v>0</v>
      </c>
      <c r="K406" s="785">
        <f t="shared" ref="K406:K469" si="471">$K$16</f>
        <v>28</v>
      </c>
      <c r="L406" s="786" cm="1">
        <f t="array" aca="1" ref="L406" ca="1">INDIRECT("'Definition of Typical Day'!"&amp; ADDRESS($D406+29*(L$16-1),$E406))</f>
        <v>0</v>
      </c>
      <c r="M406" s="768" cm="1">
        <f t="array" aca="1" ref="M406" ca="1">INDIRECT("'Definition of Typical Day'!"&amp; ADDRESS($D406+29*(M$16-1),$E406))</f>
        <v>0</v>
      </c>
      <c r="N406" s="715">
        <f t="shared" ref="N406:N469" si="472">$N$16</f>
        <v>3</v>
      </c>
      <c r="O406" s="715">
        <f t="shared" ref="O406:O469" ca="1" si="473">N406+M406</f>
        <v>3</v>
      </c>
      <c r="P406" s="715" cm="1">
        <f t="array" aca="1" ref="P406" ca="1">INDIRECT("'Definition of Typical Day'!"&amp; ADDRESS($D406+29*(P$16-1),$E406))</f>
        <v>0</v>
      </c>
      <c r="Q406" s="787">
        <f t="shared" ref="Q406:Q469" ca="1" si="474">P406+N406</f>
        <v>3</v>
      </c>
      <c r="R406" s="792">
        <f t="shared" ref="R406:R469" ca="1" si="475">MIN($R$16,O406)</f>
        <v>3</v>
      </c>
      <c r="S406" s="769">
        <f t="shared" ref="S406:S469" si="476">$S$16</f>
        <v>3</v>
      </c>
      <c r="T406" s="769">
        <f t="shared" ref="T406:T469" ca="1" si="477">ABS($T$16)*(J406-$T$17)</f>
        <v>-0.5</v>
      </c>
      <c r="U406" s="769">
        <f t="shared" ref="U406:U469" ca="1" si="478">ABS($U$16)*($U$17-R406)</f>
        <v>2.262</v>
      </c>
      <c r="V406" s="769">
        <f t="shared" ref="V406:V469" ca="1" si="479">($V$16)*(Q406-$V$17)</f>
        <v>0</v>
      </c>
      <c r="W406" s="769">
        <f t="shared" ref="W406:W469" ca="1" si="480">SUM(S406:V406)</f>
        <v>4.7620000000000005</v>
      </c>
      <c r="X406" s="794">
        <f t="shared" ref="X406:X469" si="481">$X$16</f>
        <v>3</v>
      </c>
      <c r="Y406" s="769">
        <f t="shared" ref="Y406:Y469" ca="1" si="482">X406*MIN(1,(MAX(1,R406-Q406)/$Y$16)^$Y$17)</f>
        <v>0.54772255750516607</v>
      </c>
      <c r="Z406" s="769">
        <f t="shared" ref="Z406:Z469" ca="1" si="483">MIN(H406*W406/(W406-1),Y406)</f>
        <v>0</v>
      </c>
      <c r="AA406" s="795">
        <f t="shared" ref="AA406:AA469" ca="1" si="484">(0.00001 + AD406)/(0.00001+AC406)*Z406</f>
        <v>0</v>
      </c>
      <c r="AB406" s="769">
        <f t="shared" ref="AB406:AB469" ca="1" si="485">MAX(0, O406-R406)</f>
        <v>0</v>
      </c>
      <c r="AC406" s="769">
        <f t="shared" ref="AC406:AC469" ca="1" si="486">(AB406/MAX(1,R406-Q406)*Z406)</f>
        <v>0</v>
      </c>
      <c r="AD406" s="769">
        <f t="shared" ref="AD406:AD469" ca="1" si="487">MIN(AC406,$AD$16)</f>
        <v>0</v>
      </c>
      <c r="AE406" s="794">
        <f t="shared" ref="AE406:AE469" ca="1" si="488">AD406+AA406</f>
        <v>0</v>
      </c>
      <c r="AF406" s="769">
        <f t="shared" ref="AF406:AF469" ca="1" si="489">AE406*$AF$16/100</f>
        <v>0</v>
      </c>
      <c r="AG406" s="769">
        <f t="shared" ref="AG406:AG469" ca="1" si="490">AE406-AF406</f>
        <v>0</v>
      </c>
      <c r="AH406" s="799">
        <f t="shared" ref="AH406:AH469" ca="1" si="491">MIN(AG406,L406)</f>
        <v>0</v>
      </c>
      <c r="AI406" s="801">
        <f t="shared" ref="AI406:AI469" ca="1" si="492">(0.00001 + AH406)/(0.00001+AG406)</f>
        <v>1</v>
      </c>
      <c r="AJ406" s="794">
        <f t="shared" ref="AJ406:AJ469" ca="1" si="493">AA406*(W406-1)/(W406)*$AI406</f>
        <v>0</v>
      </c>
      <c r="AK406" s="769">
        <f t="shared" ref="AK406:AK469" ca="1" si="494">AA406/(W406)*$AI406</f>
        <v>0</v>
      </c>
      <c r="AL406" s="769">
        <f t="shared" ref="AL406:AL469" ca="1" si="495">AD406/MAX(0.001, $AL$16/100)*$AI406</f>
        <v>0</v>
      </c>
      <c r="AM406" s="804">
        <f t="shared" ca="1" si="445"/>
        <v>0</v>
      </c>
      <c r="AN406" s="795">
        <f t="shared" ca="1" si="446"/>
        <v>0</v>
      </c>
      <c r="AO406" s="251"/>
      <c r="AP406" s="770">
        <f t="shared" ref="AP406:AP469" si="496">$AP$16</f>
        <v>0</v>
      </c>
      <c r="AQ406" s="771">
        <f t="shared" ref="AQ406:AQ469" ca="1" si="497">AP406*H406</f>
        <v>0</v>
      </c>
      <c r="AR406" s="771">
        <f t="shared" ref="AR406:AR469" ca="1" si="498">$AR$16*AJ406</f>
        <v>0</v>
      </c>
      <c r="AS406" s="772">
        <f t="shared" ref="AS406:AS469" ca="1" si="499">AR406+AQ406</f>
        <v>0</v>
      </c>
      <c r="AT406" s="231"/>
      <c r="AU406" s="770">
        <f>'Main Results - IRR DC Operator'!$F$16</f>
        <v>2</v>
      </c>
      <c r="AV406" s="773">
        <f>'Main Results - IRR DC Operator'!$F$15</f>
        <v>1</v>
      </c>
      <c r="AW406" s="771">
        <f t="shared" ref="AW406:AW469" ca="1" si="500">IF(AV406=1,H406*AU406,0)</f>
        <v>0</v>
      </c>
      <c r="AX406" s="772">
        <f t="shared" ref="AX406:AX469" si="501">IF(AV406=2,AJ406*AU406,0)</f>
        <v>0</v>
      </c>
      <c r="AY406" s="231"/>
      <c r="AZ406" s="770" cm="1">
        <f t="array" aca="1" ref="AZ406" ca="1">INDIRECT("'Definition of Typical Day'!"&amp; ADDRESS($D406+29*(AZ$16-1),$E406))+$AZ$17</f>
        <v>11</v>
      </c>
      <c r="BA406" s="771" cm="1">
        <f t="array" aca="1" ref="BA406" ca="1">INDIRECT("'Definition of Typical Day'!"&amp; ADDRESS($D406+29*(BA$16-1),$E406))+$BA$17</f>
        <v>11</v>
      </c>
      <c r="BB406" s="772" cm="1">
        <f t="array" aca="1" ref="BB406" ca="1">INDIRECT("'Definition of Typical Day'!"&amp;ADDRESS(BB$16,$E406))</f>
        <v>0</v>
      </c>
      <c r="BC406" s="776" cm="1">
        <f t="array" aca="1" ref="BC406" ca="1">INDIRECT("'Definition of Typical Day'!"&amp; ADDRESS($D406+29*(BC$16-1),$E406))</f>
        <v>0</v>
      </c>
      <c r="BD406" s="777" cm="1">
        <f t="array" aca="1" ref="BD406" ca="1">INDIRECT("'Definition of Typical Day'!"&amp; ADDRESS($D406+29*(BD$16-1),$E406))</f>
        <v>0</v>
      </c>
      <c r="BE406" s="776">
        <f t="shared" ref="BE406:BE469" si="502">$BE$16</f>
        <v>0</v>
      </c>
      <c r="BF406" s="771">
        <f t="shared" ref="BF406:BF469" ca="1" si="503">AZ406*AK406</f>
        <v>0</v>
      </c>
      <c r="BG406" s="771">
        <f t="shared" ref="BG406:BG469" ca="1" si="504">AE406*BG$16/100*BB406*AI406</f>
        <v>0</v>
      </c>
      <c r="BH406" s="771">
        <f t="shared" ref="BH406:BH469" ca="1" si="505">BA406*AL406</f>
        <v>0</v>
      </c>
      <c r="BI406" s="776">
        <f t="shared" ref="BI406:BI469" ca="1" si="506">AM406*$BC406</f>
        <v>0</v>
      </c>
      <c r="BJ406" s="776">
        <f t="shared" ref="BJ406:BJ469" ca="1" si="507">AN406*$BC406</f>
        <v>0</v>
      </c>
      <c r="BK406" s="776">
        <f t="shared" ref="BK406:BK469" ca="1" si="508">BE406*AJ406</f>
        <v>0</v>
      </c>
      <c r="BL406" s="776">
        <f t="shared" ref="BL406:BL469" ca="1" si="509">MIN(MAX(SUM(BF406:BG406),0), BK406)</f>
        <v>0</v>
      </c>
      <c r="BM406" s="135"/>
      <c r="BN406" s="776">
        <f t="shared" ref="BN406:BN469" ca="1" si="510">SUM(AW406:AX406,BF406:BH406)-BL406</f>
        <v>0</v>
      </c>
      <c r="BO406" s="778">
        <f t="shared" ca="1" si="447"/>
        <v>0</v>
      </c>
      <c r="BP406" s="770">
        <f t="shared" ca="1" si="448"/>
        <v>0</v>
      </c>
      <c r="BQ406" s="771">
        <f t="shared" ca="1" si="449"/>
        <v>0</v>
      </c>
      <c r="BR406" s="771">
        <f t="shared" ca="1" si="450"/>
        <v>0</v>
      </c>
      <c r="BS406" s="776">
        <f t="shared" ref="BS406:BS469" ca="1" si="511">BN406+BQ406+BR406</f>
        <v>0</v>
      </c>
      <c r="BT406" s="776">
        <f t="shared" ca="1" si="451"/>
        <v>0</v>
      </c>
      <c r="BU406" s="783">
        <f t="shared" ca="1" si="452"/>
        <v>0</v>
      </c>
      <c r="BV406" s="783">
        <f t="shared" ca="1" si="453"/>
        <v>0</v>
      </c>
      <c r="BW406" s="1019">
        <f t="shared" ref="BW406:BW469" ca="1" si="512">IF(BW$16=1,BV406,BU406)</f>
        <v>0</v>
      </c>
      <c r="BX406" s="771" cm="1">
        <f t="array" aca="1" ref="BX406" ca="1">INDIRECT("'Definition of Typical Day'!"&amp; ADDRESS($D406+29*(BX$16-1),$E406))</f>
        <v>0</v>
      </c>
      <c r="BY406" s="771">
        <f t="shared" ref="BY406:BY469" ca="1" si="513">IF(OR(BW406&gt;BX406,SUM(AJ406:AL406)&lt;0.01),0%,100%)</f>
        <v>0</v>
      </c>
      <c r="BZ406" s="781">
        <f t="shared" ca="1" si="454"/>
        <v>0</v>
      </c>
      <c r="CA406" s="781">
        <f t="shared" ca="1" si="455"/>
        <v>0</v>
      </c>
      <c r="CB406" s="776">
        <f t="shared" ca="1" si="456"/>
        <v>0</v>
      </c>
      <c r="CC406" s="782">
        <f t="shared" si="457"/>
        <v>17</v>
      </c>
      <c r="CD406" s="782">
        <f t="shared" si="458"/>
        <v>2</v>
      </c>
      <c r="CE406" s="784" cm="1">
        <f t="array" aca="1" ref="CE406" ca="1">INDIRECT("'Definition of Typical Day'!"&amp;ADDRESS(CE$16,$E406))</f>
        <v>17</v>
      </c>
      <c r="CF406" s="232"/>
      <c r="CG406" s="232"/>
      <c r="CH406" s="776">
        <f t="shared" ca="1" si="459"/>
        <v>0</v>
      </c>
      <c r="CI406" s="806">
        <f t="shared" ca="1" si="460"/>
        <v>0</v>
      </c>
      <c r="CJ406" s="770">
        <f t="shared" ca="1" si="461"/>
        <v>0</v>
      </c>
      <c r="CK406" s="771">
        <f t="shared" ca="1" si="462"/>
        <v>0</v>
      </c>
      <c r="CL406" s="771">
        <f t="shared" ca="1" si="463"/>
        <v>0</v>
      </c>
      <c r="CM406" s="772">
        <f t="shared" ca="1" si="464"/>
        <v>0</v>
      </c>
      <c r="CN406" s="135"/>
      <c r="CO406" s="770">
        <f t="shared" ca="1" si="441"/>
        <v>1.05</v>
      </c>
      <c r="CP406" s="771">
        <f t="shared" ca="1" si="465"/>
        <v>0.02</v>
      </c>
      <c r="CQ406" s="771">
        <f t="shared" ca="1" si="466"/>
        <v>-2.5000000000000001E-2</v>
      </c>
      <c r="CR406" s="771">
        <f t="shared" ca="1" si="467"/>
        <v>0.95</v>
      </c>
      <c r="CS406" s="771">
        <f t="shared" ca="1" si="468"/>
        <v>0.03</v>
      </c>
      <c r="CT406" s="772">
        <f t="shared" ca="1" si="469"/>
        <v>0.02</v>
      </c>
      <c r="CU406" s="135"/>
      <c r="CV406" s="135"/>
      <c r="CW406" s="135"/>
      <c r="CX406" s="135"/>
      <c r="CY406" s="135"/>
      <c r="CZ406" s="135"/>
      <c r="DA406" s="135"/>
      <c r="DB406" s="135"/>
      <c r="DC406" s="135"/>
      <c r="DD406" s="135"/>
      <c r="DE406" s="135"/>
      <c r="DF406" s="135"/>
      <c r="DG406" s="135"/>
      <c r="DH406" s="135"/>
      <c r="DI406" s="135"/>
      <c r="DJ406" s="135"/>
      <c r="DK406" s="135"/>
      <c r="DL406" s="135"/>
      <c r="DX406" s="135"/>
      <c r="DY406" s="135"/>
      <c r="DZ406" s="135"/>
      <c r="EA406" s="135"/>
      <c r="EB406" s="135"/>
      <c r="EC406" s="135"/>
      <c r="ED406" s="135"/>
      <c r="EE406" s="135"/>
      <c r="EF406" s="135"/>
      <c r="EG406" s="135"/>
      <c r="EH406" s="135"/>
      <c r="EI406" s="135"/>
      <c r="EJ406" s="135"/>
      <c r="EK406" s="135"/>
      <c r="EL406" s="135"/>
      <c r="EM406" s="135"/>
      <c r="EN406" s="135"/>
      <c r="EO406" s="135"/>
      <c r="EP406" s="135"/>
      <c r="EQ406" s="135"/>
      <c r="ER406" s="135"/>
      <c r="ES406" s="135"/>
      <c r="ET406" s="135"/>
      <c r="EU406" s="135"/>
      <c r="EV406" s="135"/>
      <c r="EW406" s="135"/>
      <c r="EX406" s="135"/>
      <c r="EY406" s="135"/>
      <c r="EZ406" s="135"/>
      <c r="FA406" s="135"/>
      <c r="FB406" s="135"/>
      <c r="FC406" s="135"/>
      <c r="FD406" s="135"/>
      <c r="FE406" s="135"/>
      <c r="FF406" s="135"/>
      <c r="FG406" s="135"/>
    </row>
    <row r="407" spans="1:163" s="57" customFormat="1" ht="11.25" outlineLevel="1">
      <c r="A407" s="765">
        <f t="shared" si="442"/>
        <v>17</v>
      </c>
      <c r="B407" s="715" cm="1">
        <f t="array" aca="1" ref="B407" ca="1">INDIRECT("'Definition of Typical Day'!"&amp;ADDRESS(B$16,$E407))</f>
        <v>17</v>
      </c>
      <c r="C407" s="766">
        <f t="shared" si="443"/>
        <v>3</v>
      </c>
      <c r="D407" s="715">
        <f t="shared" si="443"/>
        <v>37</v>
      </c>
      <c r="E407" s="715">
        <f t="shared" si="444"/>
        <v>21</v>
      </c>
      <c r="F407" s="767" cm="1">
        <f t="array" aca="1" ref="F407" ca="1">INDIRECT("'Definition of Typical Day'!D"&amp;D407)</f>
        <v>3</v>
      </c>
      <c r="G407" s="767" cm="1">
        <f t="array" aca="1" ref="G407" ca="1">INDIRECT("'Definition of Typical Day'!"&amp;ADDRESS(13,E407))</f>
        <v>17</v>
      </c>
      <c r="H407" s="768" cm="1">
        <f t="array" aca="1" ref="H407" ca="1">INDIRECT("'Definition of Typical Day'!"&amp; ADDRESS($D407+28*(H$16-1),$E407))</f>
        <v>0</v>
      </c>
      <c r="I407" s="715" cm="1">
        <f t="array" aca="1" ref="I407" ca="1">INDIRECT("'Definition of Typical Day'!"&amp; ADDRESS($D407+29*(I$16-1),$E407))</f>
        <v>0</v>
      </c>
      <c r="J407" s="715">
        <f t="shared" ca="1" si="470"/>
        <v>0</v>
      </c>
      <c r="K407" s="785">
        <f t="shared" si="471"/>
        <v>28</v>
      </c>
      <c r="L407" s="786" cm="1">
        <f t="array" aca="1" ref="L407" ca="1">INDIRECT("'Definition of Typical Day'!"&amp; ADDRESS($D407+29*(L$16-1),$E407))</f>
        <v>0</v>
      </c>
      <c r="M407" s="768" cm="1">
        <f t="array" aca="1" ref="M407" ca="1">INDIRECT("'Definition of Typical Day'!"&amp; ADDRESS($D407+29*(M$16-1),$E407))</f>
        <v>0</v>
      </c>
      <c r="N407" s="715">
        <f t="shared" si="472"/>
        <v>3</v>
      </c>
      <c r="O407" s="715">
        <f t="shared" ca="1" si="473"/>
        <v>3</v>
      </c>
      <c r="P407" s="715" cm="1">
        <f t="array" aca="1" ref="P407" ca="1">INDIRECT("'Definition of Typical Day'!"&amp; ADDRESS($D407+29*(P$16-1),$E407))</f>
        <v>0</v>
      </c>
      <c r="Q407" s="787">
        <f t="shared" ca="1" si="474"/>
        <v>3</v>
      </c>
      <c r="R407" s="792">
        <f t="shared" ca="1" si="475"/>
        <v>3</v>
      </c>
      <c r="S407" s="769">
        <f t="shared" si="476"/>
        <v>3</v>
      </c>
      <c r="T407" s="769">
        <f t="shared" ca="1" si="477"/>
        <v>-0.5</v>
      </c>
      <c r="U407" s="769">
        <f t="shared" ca="1" si="478"/>
        <v>2.262</v>
      </c>
      <c r="V407" s="769">
        <f t="shared" ca="1" si="479"/>
        <v>0</v>
      </c>
      <c r="W407" s="769">
        <f t="shared" ca="1" si="480"/>
        <v>4.7620000000000005</v>
      </c>
      <c r="X407" s="794">
        <f t="shared" si="481"/>
        <v>3</v>
      </c>
      <c r="Y407" s="769">
        <f t="shared" ca="1" si="482"/>
        <v>0.54772255750516607</v>
      </c>
      <c r="Z407" s="769">
        <f t="shared" ca="1" si="483"/>
        <v>0</v>
      </c>
      <c r="AA407" s="795">
        <f t="shared" ca="1" si="484"/>
        <v>0</v>
      </c>
      <c r="AB407" s="769">
        <f t="shared" ca="1" si="485"/>
        <v>0</v>
      </c>
      <c r="AC407" s="769">
        <f t="shared" ca="1" si="486"/>
        <v>0</v>
      </c>
      <c r="AD407" s="769">
        <f t="shared" ca="1" si="487"/>
        <v>0</v>
      </c>
      <c r="AE407" s="794">
        <f t="shared" ca="1" si="488"/>
        <v>0</v>
      </c>
      <c r="AF407" s="769">
        <f t="shared" ca="1" si="489"/>
        <v>0</v>
      </c>
      <c r="AG407" s="769">
        <f t="shared" ca="1" si="490"/>
        <v>0</v>
      </c>
      <c r="AH407" s="799">
        <f t="shared" ca="1" si="491"/>
        <v>0</v>
      </c>
      <c r="AI407" s="801">
        <f t="shared" ca="1" si="492"/>
        <v>1</v>
      </c>
      <c r="AJ407" s="794">
        <f t="shared" ca="1" si="493"/>
        <v>0</v>
      </c>
      <c r="AK407" s="769">
        <f t="shared" ca="1" si="494"/>
        <v>0</v>
      </c>
      <c r="AL407" s="769">
        <f t="shared" ca="1" si="495"/>
        <v>0</v>
      </c>
      <c r="AM407" s="804">
        <f t="shared" ca="1" si="445"/>
        <v>0</v>
      </c>
      <c r="AN407" s="795">
        <f t="shared" ca="1" si="446"/>
        <v>0</v>
      </c>
      <c r="AO407" s="251"/>
      <c r="AP407" s="770">
        <f t="shared" si="496"/>
        <v>0</v>
      </c>
      <c r="AQ407" s="771">
        <f t="shared" ca="1" si="497"/>
        <v>0</v>
      </c>
      <c r="AR407" s="771">
        <f t="shared" ca="1" si="498"/>
        <v>0</v>
      </c>
      <c r="AS407" s="772">
        <f t="shared" ca="1" si="499"/>
        <v>0</v>
      </c>
      <c r="AT407" s="231"/>
      <c r="AU407" s="770">
        <f>'Main Results - IRR DC Operator'!$F$16</f>
        <v>2</v>
      </c>
      <c r="AV407" s="773">
        <f>'Main Results - IRR DC Operator'!$F$15</f>
        <v>1</v>
      </c>
      <c r="AW407" s="771">
        <f t="shared" ca="1" si="500"/>
        <v>0</v>
      </c>
      <c r="AX407" s="772">
        <f t="shared" si="501"/>
        <v>0</v>
      </c>
      <c r="AY407" s="231"/>
      <c r="AZ407" s="770" cm="1">
        <f t="array" aca="1" ref="AZ407" ca="1">INDIRECT("'Definition of Typical Day'!"&amp; ADDRESS($D407+29*(AZ$16-1),$E407))+$AZ$17</f>
        <v>11</v>
      </c>
      <c r="BA407" s="771" cm="1">
        <f t="array" aca="1" ref="BA407" ca="1">INDIRECT("'Definition of Typical Day'!"&amp; ADDRESS($D407+29*(BA$16-1),$E407))+$BA$17</f>
        <v>11</v>
      </c>
      <c r="BB407" s="772" cm="1">
        <f t="array" aca="1" ref="BB407" ca="1">INDIRECT("'Definition of Typical Day'!"&amp;ADDRESS(BB$16,$E407))</f>
        <v>0</v>
      </c>
      <c r="BC407" s="776" cm="1">
        <f t="array" aca="1" ref="BC407" ca="1">INDIRECT("'Definition of Typical Day'!"&amp; ADDRESS($D407+29*(BC$16-1),$E407))</f>
        <v>0</v>
      </c>
      <c r="BD407" s="777" cm="1">
        <f t="array" aca="1" ref="BD407" ca="1">INDIRECT("'Definition of Typical Day'!"&amp; ADDRESS($D407+29*(BD$16-1),$E407))</f>
        <v>0</v>
      </c>
      <c r="BE407" s="776">
        <f t="shared" si="502"/>
        <v>0</v>
      </c>
      <c r="BF407" s="771">
        <f t="shared" ca="1" si="503"/>
        <v>0</v>
      </c>
      <c r="BG407" s="771">
        <f t="shared" ca="1" si="504"/>
        <v>0</v>
      </c>
      <c r="BH407" s="771">
        <f t="shared" ca="1" si="505"/>
        <v>0</v>
      </c>
      <c r="BI407" s="776">
        <f t="shared" ca="1" si="506"/>
        <v>0</v>
      </c>
      <c r="BJ407" s="776">
        <f t="shared" ca="1" si="507"/>
        <v>0</v>
      </c>
      <c r="BK407" s="776">
        <f t="shared" ca="1" si="508"/>
        <v>0</v>
      </c>
      <c r="BL407" s="776">
        <f t="shared" ca="1" si="509"/>
        <v>0</v>
      </c>
      <c r="BM407" s="135"/>
      <c r="BN407" s="776">
        <f t="shared" ca="1" si="510"/>
        <v>0</v>
      </c>
      <c r="BO407" s="778">
        <f t="shared" ca="1" si="447"/>
        <v>0</v>
      </c>
      <c r="BP407" s="770">
        <f t="shared" ca="1" si="448"/>
        <v>0</v>
      </c>
      <c r="BQ407" s="771">
        <f t="shared" ca="1" si="449"/>
        <v>0</v>
      </c>
      <c r="BR407" s="771">
        <f t="shared" ca="1" si="450"/>
        <v>0</v>
      </c>
      <c r="BS407" s="776">
        <f t="shared" ca="1" si="511"/>
        <v>0</v>
      </c>
      <c r="BT407" s="776">
        <f t="shared" ca="1" si="451"/>
        <v>0</v>
      </c>
      <c r="BU407" s="783">
        <f t="shared" ca="1" si="452"/>
        <v>0</v>
      </c>
      <c r="BV407" s="783">
        <f t="shared" ca="1" si="453"/>
        <v>0</v>
      </c>
      <c r="BW407" s="1019">
        <f t="shared" ca="1" si="512"/>
        <v>0</v>
      </c>
      <c r="BX407" s="771" cm="1">
        <f t="array" aca="1" ref="BX407" ca="1">INDIRECT("'Definition of Typical Day'!"&amp; ADDRESS($D407+29*(BX$16-1),$E407))</f>
        <v>0</v>
      </c>
      <c r="BY407" s="771">
        <f t="shared" ca="1" si="513"/>
        <v>0</v>
      </c>
      <c r="BZ407" s="781">
        <f t="shared" ca="1" si="454"/>
        <v>0</v>
      </c>
      <c r="CA407" s="781">
        <f t="shared" ca="1" si="455"/>
        <v>0</v>
      </c>
      <c r="CB407" s="776">
        <f t="shared" ca="1" si="456"/>
        <v>0</v>
      </c>
      <c r="CC407" s="782">
        <f t="shared" si="457"/>
        <v>17</v>
      </c>
      <c r="CD407" s="782">
        <f t="shared" si="458"/>
        <v>3</v>
      </c>
      <c r="CE407" s="784" cm="1">
        <f t="array" aca="1" ref="CE407" ca="1">INDIRECT("'Definition of Typical Day'!"&amp;ADDRESS(CE$16,$E407))</f>
        <v>17</v>
      </c>
      <c r="CF407" s="232"/>
      <c r="CG407" s="232"/>
      <c r="CH407" s="776">
        <f t="shared" ca="1" si="459"/>
        <v>0</v>
      </c>
      <c r="CI407" s="806">
        <f t="shared" ca="1" si="460"/>
        <v>0</v>
      </c>
      <c r="CJ407" s="770">
        <f t="shared" ca="1" si="461"/>
        <v>0</v>
      </c>
      <c r="CK407" s="771">
        <f t="shared" ca="1" si="462"/>
        <v>0</v>
      </c>
      <c r="CL407" s="771">
        <f t="shared" ca="1" si="463"/>
        <v>0</v>
      </c>
      <c r="CM407" s="772">
        <f t="shared" ca="1" si="464"/>
        <v>0</v>
      </c>
      <c r="CN407" s="135"/>
      <c r="CO407" s="770">
        <f t="shared" ca="1" si="441"/>
        <v>1.05</v>
      </c>
      <c r="CP407" s="771">
        <f t="shared" ca="1" si="465"/>
        <v>0.02</v>
      </c>
      <c r="CQ407" s="771">
        <f t="shared" ca="1" si="466"/>
        <v>-2.5000000000000001E-2</v>
      </c>
      <c r="CR407" s="771">
        <f t="shared" ca="1" si="467"/>
        <v>0.95</v>
      </c>
      <c r="CS407" s="771">
        <f t="shared" ca="1" si="468"/>
        <v>0.03</v>
      </c>
      <c r="CT407" s="772">
        <f t="shared" ca="1" si="469"/>
        <v>0.02</v>
      </c>
      <c r="CU407" s="135"/>
      <c r="CV407" s="135"/>
      <c r="CW407" s="135"/>
      <c r="CX407" s="135"/>
      <c r="CY407" s="135"/>
      <c r="CZ407" s="135"/>
      <c r="DA407" s="135"/>
      <c r="DB407" s="135"/>
      <c r="DC407" s="135"/>
      <c r="DD407" s="135"/>
      <c r="DE407" s="135"/>
      <c r="DF407" s="135"/>
      <c r="DG407" s="135"/>
      <c r="DH407" s="135"/>
      <c r="DI407" s="135"/>
      <c r="DJ407" s="135"/>
      <c r="DK407" s="135"/>
      <c r="DL407" s="135"/>
      <c r="DX407" s="135"/>
      <c r="DY407" s="135"/>
      <c r="DZ407" s="135"/>
      <c r="EA407" s="135"/>
      <c r="EB407" s="135"/>
      <c r="EC407" s="135"/>
      <c r="ED407" s="135"/>
      <c r="EE407" s="135"/>
      <c r="EF407" s="135"/>
      <c r="EG407" s="135"/>
      <c r="EH407" s="135"/>
      <c r="EI407" s="135"/>
      <c r="EJ407" s="135"/>
      <c r="EK407" s="135"/>
      <c r="EL407" s="135"/>
      <c r="EM407" s="135"/>
      <c r="EN407" s="135"/>
      <c r="EO407" s="135"/>
      <c r="EP407" s="135"/>
      <c r="EQ407" s="135"/>
      <c r="ER407" s="135"/>
      <c r="ES407" s="135"/>
      <c r="ET407" s="135"/>
      <c r="EU407" s="135"/>
      <c r="EV407" s="135"/>
      <c r="EW407" s="135"/>
      <c r="EX407" s="135"/>
      <c r="EY407" s="135"/>
      <c r="EZ407" s="135"/>
      <c r="FA407" s="135"/>
      <c r="FB407" s="135"/>
      <c r="FC407" s="135"/>
      <c r="FD407" s="135"/>
      <c r="FE407" s="135"/>
      <c r="FF407" s="135"/>
      <c r="FG407" s="135"/>
    </row>
    <row r="408" spans="1:163" s="57" customFormat="1" ht="11.25" outlineLevel="1">
      <c r="A408" s="765">
        <f t="shared" si="442"/>
        <v>17</v>
      </c>
      <c r="B408" s="715" cm="1">
        <f t="array" aca="1" ref="B408" ca="1">INDIRECT("'Definition of Typical Day'!"&amp;ADDRESS(B$16,$E408))</f>
        <v>17</v>
      </c>
      <c r="C408" s="766">
        <f t="shared" si="443"/>
        <v>4</v>
      </c>
      <c r="D408" s="715">
        <f t="shared" si="443"/>
        <v>38</v>
      </c>
      <c r="E408" s="715">
        <f t="shared" si="444"/>
        <v>21</v>
      </c>
      <c r="F408" s="767" cm="1">
        <f t="array" aca="1" ref="F408" ca="1">INDIRECT("'Definition of Typical Day'!D"&amp;D408)</f>
        <v>4</v>
      </c>
      <c r="G408" s="767" cm="1">
        <f t="array" aca="1" ref="G408" ca="1">INDIRECT("'Definition of Typical Day'!"&amp;ADDRESS(13,E408))</f>
        <v>17</v>
      </c>
      <c r="H408" s="768" cm="1">
        <f t="array" aca="1" ref="H408" ca="1">INDIRECT("'Definition of Typical Day'!"&amp; ADDRESS($D408+28*(H$16-1),$E408))</f>
        <v>0</v>
      </c>
      <c r="I408" s="715" cm="1">
        <f t="array" aca="1" ref="I408" ca="1">INDIRECT("'Definition of Typical Day'!"&amp; ADDRESS($D408+29*(I$16-1),$E408))</f>
        <v>0</v>
      </c>
      <c r="J408" s="715">
        <f t="shared" ca="1" si="470"/>
        <v>0</v>
      </c>
      <c r="K408" s="785">
        <f t="shared" si="471"/>
        <v>28</v>
      </c>
      <c r="L408" s="786" cm="1">
        <f t="array" aca="1" ref="L408" ca="1">INDIRECT("'Definition of Typical Day'!"&amp; ADDRESS($D408+29*(L$16-1),$E408))</f>
        <v>0</v>
      </c>
      <c r="M408" s="768" cm="1">
        <f t="array" aca="1" ref="M408" ca="1">INDIRECT("'Definition of Typical Day'!"&amp; ADDRESS($D408+29*(M$16-1),$E408))</f>
        <v>0</v>
      </c>
      <c r="N408" s="715">
        <f t="shared" si="472"/>
        <v>3</v>
      </c>
      <c r="O408" s="715">
        <f t="shared" ca="1" si="473"/>
        <v>3</v>
      </c>
      <c r="P408" s="715" cm="1">
        <f t="array" aca="1" ref="P408" ca="1">INDIRECT("'Definition of Typical Day'!"&amp; ADDRESS($D408+29*(P$16-1),$E408))</f>
        <v>0</v>
      </c>
      <c r="Q408" s="787">
        <f t="shared" ca="1" si="474"/>
        <v>3</v>
      </c>
      <c r="R408" s="792">
        <f t="shared" ca="1" si="475"/>
        <v>3</v>
      </c>
      <c r="S408" s="769">
        <f t="shared" si="476"/>
        <v>3</v>
      </c>
      <c r="T408" s="769">
        <f t="shared" ca="1" si="477"/>
        <v>-0.5</v>
      </c>
      <c r="U408" s="769">
        <f t="shared" ca="1" si="478"/>
        <v>2.262</v>
      </c>
      <c r="V408" s="769">
        <f t="shared" ca="1" si="479"/>
        <v>0</v>
      </c>
      <c r="W408" s="769">
        <f t="shared" ca="1" si="480"/>
        <v>4.7620000000000005</v>
      </c>
      <c r="X408" s="794">
        <f t="shared" si="481"/>
        <v>3</v>
      </c>
      <c r="Y408" s="769">
        <f t="shared" ca="1" si="482"/>
        <v>0.54772255750516607</v>
      </c>
      <c r="Z408" s="769">
        <f t="shared" ca="1" si="483"/>
        <v>0</v>
      </c>
      <c r="AA408" s="795">
        <f t="shared" ca="1" si="484"/>
        <v>0</v>
      </c>
      <c r="AB408" s="769">
        <f t="shared" ca="1" si="485"/>
        <v>0</v>
      </c>
      <c r="AC408" s="769">
        <f t="shared" ca="1" si="486"/>
        <v>0</v>
      </c>
      <c r="AD408" s="769">
        <f t="shared" ca="1" si="487"/>
        <v>0</v>
      </c>
      <c r="AE408" s="794">
        <f t="shared" ca="1" si="488"/>
        <v>0</v>
      </c>
      <c r="AF408" s="769">
        <f t="shared" ca="1" si="489"/>
        <v>0</v>
      </c>
      <c r="AG408" s="769">
        <f t="shared" ca="1" si="490"/>
        <v>0</v>
      </c>
      <c r="AH408" s="799">
        <f t="shared" ca="1" si="491"/>
        <v>0</v>
      </c>
      <c r="AI408" s="801">
        <f t="shared" ca="1" si="492"/>
        <v>1</v>
      </c>
      <c r="AJ408" s="794">
        <f t="shared" ca="1" si="493"/>
        <v>0</v>
      </c>
      <c r="AK408" s="769">
        <f t="shared" ca="1" si="494"/>
        <v>0</v>
      </c>
      <c r="AL408" s="769">
        <f t="shared" ca="1" si="495"/>
        <v>0</v>
      </c>
      <c r="AM408" s="804">
        <f t="shared" ca="1" si="445"/>
        <v>0</v>
      </c>
      <c r="AN408" s="795">
        <f t="shared" ca="1" si="446"/>
        <v>0</v>
      </c>
      <c r="AO408" s="251"/>
      <c r="AP408" s="770">
        <f t="shared" si="496"/>
        <v>0</v>
      </c>
      <c r="AQ408" s="771">
        <f t="shared" ca="1" si="497"/>
        <v>0</v>
      </c>
      <c r="AR408" s="771">
        <f t="shared" ca="1" si="498"/>
        <v>0</v>
      </c>
      <c r="AS408" s="772">
        <f t="shared" ca="1" si="499"/>
        <v>0</v>
      </c>
      <c r="AT408" s="231"/>
      <c r="AU408" s="770">
        <f>'Main Results - IRR DC Operator'!$F$16</f>
        <v>2</v>
      </c>
      <c r="AV408" s="773">
        <f>'Main Results - IRR DC Operator'!$F$15</f>
        <v>1</v>
      </c>
      <c r="AW408" s="771">
        <f t="shared" ca="1" si="500"/>
        <v>0</v>
      </c>
      <c r="AX408" s="772">
        <f t="shared" si="501"/>
        <v>0</v>
      </c>
      <c r="AY408" s="231"/>
      <c r="AZ408" s="770" cm="1">
        <f t="array" aca="1" ref="AZ408" ca="1">INDIRECT("'Definition of Typical Day'!"&amp; ADDRESS($D408+29*(AZ$16-1),$E408))+$AZ$17</f>
        <v>11</v>
      </c>
      <c r="BA408" s="771" cm="1">
        <f t="array" aca="1" ref="BA408" ca="1">INDIRECT("'Definition of Typical Day'!"&amp; ADDRESS($D408+29*(BA$16-1),$E408))+$BA$17</f>
        <v>11</v>
      </c>
      <c r="BB408" s="772" cm="1">
        <f t="array" aca="1" ref="BB408" ca="1">INDIRECT("'Definition of Typical Day'!"&amp;ADDRESS(BB$16,$E408))</f>
        <v>0</v>
      </c>
      <c r="BC408" s="776" cm="1">
        <f t="array" aca="1" ref="BC408" ca="1">INDIRECT("'Definition of Typical Day'!"&amp; ADDRESS($D408+29*(BC$16-1),$E408))</f>
        <v>0</v>
      </c>
      <c r="BD408" s="777" cm="1">
        <f t="array" aca="1" ref="BD408" ca="1">INDIRECT("'Definition of Typical Day'!"&amp; ADDRESS($D408+29*(BD$16-1),$E408))</f>
        <v>0</v>
      </c>
      <c r="BE408" s="776">
        <f t="shared" si="502"/>
        <v>0</v>
      </c>
      <c r="BF408" s="771">
        <f t="shared" ca="1" si="503"/>
        <v>0</v>
      </c>
      <c r="BG408" s="771">
        <f t="shared" ca="1" si="504"/>
        <v>0</v>
      </c>
      <c r="BH408" s="771">
        <f t="shared" ca="1" si="505"/>
        <v>0</v>
      </c>
      <c r="BI408" s="776">
        <f t="shared" ca="1" si="506"/>
        <v>0</v>
      </c>
      <c r="BJ408" s="776">
        <f t="shared" ca="1" si="507"/>
        <v>0</v>
      </c>
      <c r="BK408" s="776">
        <f t="shared" ca="1" si="508"/>
        <v>0</v>
      </c>
      <c r="BL408" s="776">
        <f t="shared" ca="1" si="509"/>
        <v>0</v>
      </c>
      <c r="BM408" s="135"/>
      <c r="BN408" s="776">
        <f t="shared" ca="1" si="510"/>
        <v>0</v>
      </c>
      <c r="BO408" s="778">
        <f t="shared" ca="1" si="447"/>
        <v>0</v>
      </c>
      <c r="BP408" s="770">
        <f t="shared" ca="1" si="448"/>
        <v>0</v>
      </c>
      <c r="BQ408" s="771">
        <f t="shared" ca="1" si="449"/>
        <v>0</v>
      </c>
      <c r="BR408" s="771">
        <f t="shared" ca="1" si="450"/>
        <v>0</v>
      </c>
      <c r="BS408" s="776">
        <f t="shared" ca="1" si="511"/>
        <v>0</v>
      </c>
      <c r="BT408" s="776">
        <f t="shared" ca="1" si="451"/>
        <v>0</v>
      </c>
      <c r="BU408" s="783">
        <f t="shared" ca="1" si="452"/>
        <v>0</v>
      </c>
      <c r="BV408" s="783">
        <f t="shared" ca="1" si="453"/>
        <v>0</v>
      </c>
      <c r="BW408" s="1019">
        <f t="shared" ca="1" si="512"/>
        <v>0</v>
      </c>
      <c r="BX408" s="771" cm="1">
        <f t="array" aca="1" ref="BX408" ca="1">INDIRECT("'Definition of Typical Day'!"&amp; ADDRESS($D408+29*(BX$16-1),$E408))</f>
        <v>0</v>
      </c>
      <c r="BY408" s="771">
        <f t="shared" ca="1" si="513"/>
        <v>0</v>
      </c>
      <c r="BZ408" s="781">
        <f t="shared" ca="1" si="454"/>
        <v>0</v>
      </c>
      <c r="CA408" s="781">
        <f t="shared" ca="1" si="455"/>
        <v>0</v>
      </c>
      <c r="CB408" s="776">
        <f t="shared" ca="1" si="456"/>
        <v>0</v>
      </c>
      <c r="CC408" s="782">
        <f t="shared" si="457"/>
        <v>17</v>
      </c>
      <c r="CD408" s="782">
        <f t="shared" si="458"/>
        <v>4</v>
      </c>
      <c r="CE408" s="784" cm="1">
        <f t="array" aca="1" ref="CE408" ca="1">INDIRECT("'Definition of Typical Day'!"&amp;ADDRESS(CE$16,$E408))</f>
        <v>17</v>
      </c>
      <c r="CF408" s="232"/>
      <c r="CG408" s="232"/>
      <c r="CH408" s="776">
        <f t="shared" ca="1" si="459"/>
        <v>0</v>
      </c>
      <c r="CI408" s="806">
        <f t="shared" ca="1" si="460"/>
        <v>0</v>
      </c>
      <c r="CJ408" s="770">
        <f t="shared" ca="1" si="461"/>
        <v>0</v>
      </c>
      <c r="CK408" s="771">
        <f t="shared" ca="1" si="462"/>
        <v>0</v>
      </c>
      <c r="CL408" s="771">
        <f t="shared" ca="1" si="463"/>
        <v>0</v>
      </c>
      <c r="CM408" s="772">
        <f t="shared" ca="1" si="464"/>
        <v>0</v>
      </c>
      <c r="CN408" s="135"/>
      <c r="CO408" s="770">
        <f t="shared" ca="1" si="441"/>
        <v>1.05</v>
      </c>
      <c r="CP408" s="771">
        <f t="shared" ca="1" si="465"/>
        <v>0.02</v>
      </c>
      <c r="CQ408" s="771">
        <f t="shared" ca="1" si="466"/>
        <v>-2.5000000000000001E-2</v>
      </c>
      <c r="CR408" s="771">
        <f t="shared" ca="1" si="467"/>
        <v>0.95</v>
      </c>
      <c r="CS408" s="771">
        <f t="shared" ca="1" si="468"/>
        <v>0.03</v>
      </c>
      <c r="CT408" s="772">
        <f t="shared" ca="1" si="469"/>
        <v>0.02</v>
      </c>
      <c r="CU408" s="135"/>
      <c r="CV408" s="135"/>
      <c r="CW408" s="135"/>
      <c r="CX408" s="135"/>
      <c r="CY408" s="135"/>
      <c r="CZ408" s="135"/>
      <c r="DA408" s="135"/>
      <c r="DB408" s="135"/>
      <c r="DC408" s="135"/>
      <c r="DD408" s="135"/>
      <c r="DE408" s="135"/>
      <c r="DF408" s="135"/>
      <c r="DG408" s="135"/>
      <c r="DH408" s="135"/>
      <c r="DI408" s="135"/>
      <c r="DJ408" s="135"/>
      <c r="DK408" s="135"/>
      <c r="DL408" s="135"/>
      <c r="DX408" s="135"/>
      <c r="DY408" s="135"/>
      <c r="DZ408" s="135"/>
      <c r="EA408" s="135"/>
      <c r="EB408" s="135"/>
      <c r="EC408" s="135"/>
      <c r="ED408" s="135"/>
      <c r="EE408" s="135"/>
      <c r="EF408" s="135"/>
      <c r="EG408" s="135"/>
      <c r="EH408" s="135"/>
      <c r="EI408" s="135"/>
      <c r="EJ408" s="135"/>
      <c r="EK408" s="135"/>
      <c r="EL408" s="135"/>
      <c r="EM408" s="135"/>
      <c r="EN408" s="135"/>
      <c r="EO408" s="135"/>
      <c r="EP408" s="135"/>
      <c r="EQ408" s="135"/>
      <c r="ER408" s="135"/>
      <c r="ES408" s="135"/>
      <c r="ET408" s="135"/>
      <c r="EU408" s="135"/>
      <c r="EV408" s="135"/>
      <c r="EW408" s="135"/>
      <c r="EX408" s="135"/>
      <c r="EY408" s="135"/>
      <c r="EZ408" s="135"/>
      <c r="FA408" s="135"/>
      <c r="FB408" s="135"/>
      <c r="FC408" s="135"/>
      <c r="FD408" s="135"/>
      <c r="FE408" s="135"/>
      <c r="FF408" s="135"/>
      <c r="FG408" s="135"/>
    </row>
    <row r="409" spans="1:163" s="57" customFormat="1" ht="11.25" outlineLevel="1">
      <c r="A409" s="765">
        <f t="shared" si="442"/>
        <v>17</v>
      </c>
      <c r="B409" s="715" cm="1">
        <f t="array" aca="1" ref="B409" ca="1">INDIRECT("'Definition of Typical Day'!"&amp;ADDRESS(B$16,$E409))</f>
        <v>17</v>
      </c>
      <c r="C409" s="766">
        <f t="shared" si="443"/>
        <v>5</v>
      </c>
      <c r="D409" s="715">
        <f t="shared" si="443"/>
        <v>39</v>
      </c>
      <c r="E409" s="715">
        <f t="shared" si="444"/>
        <v>21</v>
      </c>
      <c r="F409" s="767" cm="1">
        <f t="array" aca="1" ref="F409" ca="1">INDIRECT("'Definition of Typical Day'!D"&amp;D409)</f>
        <v>5</v>
      </c>
      <c r="G409" s="767" cm="1">
        <f t="array" aca="1" ref="G409" ca="1">INDIRECT("'Definition of Typical Day'!"&amp;ADDRESS(13,E409))</f>
        <v>17</v>
      </c>
      <c r="H409" s="768" cm="1">
        <f t="array" aca="1" ref="H409" ca="1">INDIRECT("'Definition of Typical Day'!"&amp; ADDRESS($D409+28*(H$16-1),$E409))</f>
        <v>0</v>
      </c>
      <c r="I409" s="715" cm="1">
        <f t="array" aca="1" ref="I409" ca="1">INDIRECT("'Definition of Typical Day'!"&amp; ADDRESS($D409+29*(I$16-1),$E409))</f>
        <v>0</v>
      </c>
      <c r="J409" s="715">
        <f t="shared" ca="1" si="470"/>
        <v>0</v>
      </c>
      <c r="K409" s="785">
        <f t="shared" si="471"/>
        <v>28</v>
      </c>
      <c r="L409" s="786" cm="1">
        <f t="array" aca="1" ref="L409" ca="1">INDIRECT("'Definition of Typical Day'!"&amp; ADDRESS($D409+29*(L$16-1),$E409))</f>
        <v>0</v>
      </c>
      <c r="M409" s="768" cm="1">
        <f t="array" aca="1" ref="M409" ca="1">INDIRECT("'Definition of Typical Day'!"&amp; ADDRESS($D409+29*(M$16-1),$E409))</f>
        <v>0</v>
      </c>
      <c r="N409" s="715">
        <f t="shared" si="472"/>
        <v>3</v>
      </c>
      <c r="O409" s="715">
        <f t="shared" ca="1" si="473"/>
        <v>3</v>
      </c>
      <c r="P409" s="715" cm="1">
        <f t="array" aca="1" ref="P409" ca="1">INDIRECT("'Definition of Typical Day'!"&amp; ADDRESS($D409+29*(P$16-1),$E409))</f>
        <v>0</v>
      </c>
      <c r="Q409" s="787">
        <f t="shared" ca="1" si="474"/>
        <v>3</v>
      </c>
      <c r="R409" s="792">
        <f t="shared" ca="1" si="475"/>
        <v>3</v>
      </c>
      <c r="S409" s="769">
        <f t="shared" si="476"/>
        <v>3</v>
      </c>
      <c r="T409" s="769">
        <f t="shared" ca="1" si="477"/>
        <v>-0.5</v>
      </c>
      <c r="U409" s="769">
        <f t="shared" ca="1" si="478"/>
        <v>2.262</v>
      </c>
      <c r="V409" s="769">
        <f t="shared" ca="1" si="479"/>
        <v>0</v>
      </c>
      <c r="W409" s="769">
        <f t="shared" ca="1" si="480"/>
        <v>4.7620000000000005</v>
      </c>
      <c r="X409" s="794">
        <f t="shared" si="481"/>
        <v>3</v>
      </c>
      <c r="Y409" s="769">
        <f t="shared" ca="1" si="482"/>
        <v>0.54772255750516607</v>
      </c>
      <c r="Z409" s="769">
        <f t="shared" ca="1" si="483"/>
        <v>0</v>
      </c>
      <c r="AA409" s="795">
        <f t="shared" ca="1" si="484"/>
        <v>0</v>
      </c>
      <c r="AB409" s="769">
        <f t="shared" ca="1" si="485"/>
        <v>0</v>
      </c>
      <c r="AC409" s="769">
        <f t="shared" ca="1" si="486"/>
        <v>0</v>
      </c>
      <c r="AD409" s="769">
        <f t="shared" ca="1" si="487"/>
        <v>0</v>
      </c>
      <c r="AE409" s="794">
        <f t="shared" ca="1" si="488"/>
        <v>0</v>
      </c>
      <c r="AF409" s="769">
        <f t="shared" ca="1" si="489"/>
        <v>0</v>
      </c>
      <c r="AG409" s="769">
        <f t="shared" ca="1" si="490"/>
        <v>0</v>
      </c>
      <c r="AH409" s="799">
        <f t="shared" ca="1" si="491"/>
        <v>0</v>
      </c>
      <c r="AI409" s="801">
        <f t="shared" ca="1" si="492"/>
        <v>1</v>
      </c>
      <c r="AJ409" s="794">
        <f t="shared" ca="1" si="493"/>
        <v>0</v>
      </c>
      <c r="AK409" s="769">
        <f t="shared" ca="1" si="494"/>
        <v>0</v>
      </c>
      <c r="AL409" s="769">
        <f t="shared" ca="1" si="495"/>
        <v>0</v>
      </c>
      <c r="AM409" s="804">
        <f t="shared" ca="1" si="445"/>
        <v>0</v>
      </c>
      <c r="AN409" s="795">
        <f t="shared" ca="1" si="446"/>
        <v>0</v>
      </c>
      <c r="AO409" s="251"/>
      <c r="AP409" s="770">
        <f t="shared" si="496"/>
        <v>0</v>
      </c>
      <c r="AQ409" s="771">
        <f t="shared" ca="1" si="497"/>
        <v>0</v>
      </c>
      <c r="AR409" s="771">
        <f t="shared" ca="1" si="498"/>
        <v>0</v>
      </c>
      <c r="AS409" s="772">
        <f t="shared" ca="1" si="499"/>
        <v>0</v>
      </c>
      <c r="AT409" s="231"/>
      <c r="AU409" s="770">
        <f>'Main Results - IRR DC Operator'!$F$16</f>
        <v>2</v>
      </c>
      <c r="AV409" s="773">
        <f>'Main Results - IRR DC Operator'!$F$15</f>
        <v>1</v>
      </c>
      <c r="AW409" s="771">
        <f t="shared" ca="1" si="500"/>
        <v>0</v>
      </c>
      <c r="AX409" s="772">
        <f t="shared" si="501"/>
        <v>0</v>
      </c>
      <c r="AY409" s="231"/>
      <c r="AZ409" s="770" cm="1">
        <f t="array" aca="1" ref="AZ409" ca="1">INDIRECT("'Definition of Typical Day'!"&amp; ADDRESS($D409+29*(AZ$16-1),$E409))+$AZ$17</f>
        <v>11</v>
      </c>
      <c r="BA409" s="771" cm="1">
        <f t="array" aca="1" ref="BA409" ca="1">INDIRECT("'Definition of Typical Day'!"&amp; ADDRESS($D409+29*(BA$16-1),$E409))+$BA$17</f>
        <v>11</v>
      </c>
      <c r="BB409" s="772" cm="1">
        <f t="array" aca="1" ref="BB409" ca="1">INDIRECT("'Definition of Typical Day'!"&amp;ADDRESS(BB$16,$E409))</f>
        <v>0</v>
      </c>
      <c r="BC409" s="776" cm="1">
        <f t="array" aca="1" ref="BC409" ca="1">INDIRECT("'Definition of Typical Day'!"&amp; ADDRESS($D409+29*(BC$16-1),$E409))</f>
        <v>0</v>
      </c>
      <c r="BD409" s="777" cm="1">
        <f t="array" aca="1" ref="BD409" ca="1">INDIRECT("'Definition of Typical Day'!"&amp; ADDRESS($D409+29*(BD$16-1),$E409))</f>
        <v>0</v>
      </c>
      <c r="BE409" s="776">
        <f t="shared" si="502"/>
        <v>0</v>
      </c>
      <c r="BF409" s="771">
        <f t="shared" ca="1" si="503"/>
        <v>0</v>
      </c>
      <c r="BG409" s="771">
        <f t="shared" ca="1" si="504"/>
        <v>0</v>
      </c>
      <c r="BH409" s="771">
        <f t="shared" ca="1" si="505"/>
        <v>0</v>
      </c>
      <c r="BI409" s="776">
        <f t="shared" ca="1" si="506"/>
        <v>0</v>
      </c>
      <c r="BJ409" s="776">
        <f t="shared" ca="1" si="507"/>
        <v>0</v>
      </c>
      <c r="BK409" s="776">
        <f t="shared" ca="1" si="508"/>
        <v>0</v>
      </c>
      <c r="BL409" s="776">
        <f t="shared" ca="1" si="509"/>
        <v>0</v>
      </c>
      <c r="BM409" s="135"/>
      <c r="BN409" s="776">
        <f t="shared" ca="1" si="510"/>
        <v>0</v>
      </c>
      <c r="BO409" s="778">
        <f t="shared" ca="1" si="447"/>
        <v>0</v>
      </c>
      <c r="BP409" s="770">
        <f t="shared" ca="1" si="448"/>
        <v>0</v>
      </c>
      <c r="BQ409" s="771">
        <f t="shared" ca="1" si="449"/>
        <v>0</v>
      </c>
      <c r="BR409" s="771">
        <f t="shared" ca="1" si="450"/>
        <v>0</v>
      </c>
      <c r="BS409" s="776">
        <f t="shared" ca="1" si="511"/>
        <v>0</v>
      </c>
      <c r="BT409" s="776">
        <f t="shared" ca="1" si="451"/>
        <v>0</v>
      </c>
      <c r="BU409" s="783">
        <f t="shared" ca="1" si="452"/>
        <v>0</v>
      </c>
      <c r="BV409" s="783">
        <f t="shared" ca="1" si="453"/>
        <v>0</v>
      </c>
      <c r="BW409" s="1019">
        <f t="shared" ca="1" si="512"/>
        <v>0</v>
      </c>
      <c r="BX409" s="771" cm="1">
        <f t="array" aca="1" ref="BX409" ca="1">INDIRECT("'Definition of Typical Day'!"&amp; ADDRESS($D409+29*(BX$16-1),$E409))</f>
        <v>0</v>
      </c>
      <c r="BY409" s="771">
        <f t="shared" ca="1" si="513"/>
        <v>0</v>
      </c>
      <c r="BZ409" s="781">
        <f t="shared" ca="1" si="454"/>
        <v>0</v>
      </c>
      <c r="CA409" s="781">
        <f t="shared" ca="1" si="455"/>
        <v>0</v>
      </c>
      <c r="CB409" s="776">
        <f t="shared" ca="1" si="456"/>
        <v>0</v>
      </c>
      <c r="CC409" s="782">
        <f t="shared" si="457"/>
        <v>17</v>
      </c>
      <c r="CD409" s="782">
        <f t="shared" si="458"/>
        <v>5</v>
      </c>
      <c r="CE409" s="784" cm="1">
        <f t="array" aca="1" ref="CE409" ca="1">INDIRECT("'Definition of Typical Day'!"&amp;ADDRESS(CE$16,$E409))</f>
        <v>17</v>
      </c>
      <c r="CF409" s="232"/>
      <c r="CG409" s="232"/>
      <c r="CH409" s="776">
        <f t="shared" ca="1" si="459"/>
        <v>0</v>
      </c>
      <c r="CI409" s="806">
        <f t="shared" ca="1" si="460"/>
        <v>0</v>
      </c>
      <c r="CJ409" s="770">
        <f t="shared" ca="1" si="461"/>
        <v>0</v>
      </c>
      <c r="CK409" s="771">
        <f t="shared" ca="1" si="462"/>
        <v>0</v>
      </c>
      <c r="CL409" s="771">
        <f t="shared" ca="1" si="463"/>
        <v>0</v>
      </c>
      <c r="CM409" s="772">
        <f t="shared" ca="1" si="464"/>
        <v>0</v>
      </c>
      <c r="CN409" s="135"/>
      <c r="CO409" s="770">
        <f t="shared" ca="1" si="441"/>
        <v>1.05</v>
      </c>
      <c r="CP409" s="771">
        <f t="shared" ca="1" si="465"/>
        <v>0.02</v>
      </c>
      <c r="CQ409" s="771">
        <f t="shared" ca="1" si="466"/>
        <v>-2.5000000000000001E-2</v>
      </c>
      <c r="CR409" s="771">
        <f t="shared" ca="1" si="467"/>
        <v>0.95</v>
      </c>
      <c r="CS409" s="771">
        <f t="shared" ca="1" si="468"/>
        <v>0.03</v>
      </c>
      <c r="CT409" s="772">
        <f t="shared" ca="1" si="469"/>
        <v>0.02</v>
      </c>
      <c r="CU409" s="135"/>
      <c r="CV409" s="135"/>
      <c r="CW409" s="135"/>
      <c r="CX409" s="135"/>
      <c r="CY409" s="135"/>
      <c r="CZ409" s="135"/>
      <c r="DA409" s="135"/>
      <c r="DB409" s="135"/>
      <c r="DC409" s="135"/>
      <c r="DD409" s="135"/>
      <c r="DE409" s="135"/>
      <c r="DF409" s="135"/>
      <c r="DG409" s="135"/>
      <c r="DH409" s="135"/>
      <c r="DI409" s="135"/>
      <c r="DJ409" s="135"/>
      <c r="DK409" s="135"/>
      <c r="DL409" s="135"/>
      <c r="DX409" s="135"/>
      <c r="DY409" s="135"/>
      <c r="DZ409" s="135"/>
      <c r="EA409" s="135"/>
      <c r="EB409" s="135"/>
      <c r="EC409" s="135"/>
      <c r="ED409" s="135"/>
      <c r="EE409" s="135"/>
      <c r="EF409" s="135"/>
      <c r="EG409" s="135"/>
      <c r="EH409" s="135"/>
      <c r="EI409" s="135"/>
      <c r="EJ409" s="135"/>
      <c r="EK409" s="135"/>
      <c r="EL409" s="135"/>
      <c r="EM409" s="135"/>
      <c r="EN409" s="135"/>
      <c r="EO409" s="135"/>
      <c r="EP409" s="135"/>
      <c r="EQ409" s="135"/>
      <c r="ER409" s="135"/>
      <c r="ES409" s="135"/>
      <c r="ET409" s="135"/>
      <c r="EU409" s="135"/>
      <c r="EV409" s="135"/>
      <c r="EW409" s="135"/>
      <c r="EX409" s="135"/>
      <c r="EY409" s="135"/>
      <c r="EZ409" s="135"/>
      <c r="FA409" s="135"/>
      <c r="FB409" s="135"/>
      <c r="FC409" s="135"/>
      <c r="FD409" s="135"/>
      <c r="FE409" s="135"/>
      <c r="FF409" s="135"/>
      <c r="FG409" s="135"/>
    </row>
    <row r="410" spans="1:163" s="57" customFormat="1" ht="11.25" outlineLevel="1">
      <c r="A410" s="765">
        <f t="shared" si="442"/>
        <v>17</v>
      </c>
      <c r="B410" s="715" cm="1">
        <f t="array" aca="1" ref="B410" ca="1">INDIRECT("'Definition of Typical Day'!"&amp;ADDRESS(B$16,$E410))</f>
        <v>17</v>
      </c>
      <c r="C410" s="766">
        <f t="shared" si="443"/>
        <v>6</v>
      </c>
      <c r="D410" s="715">
        <f t="shared" si="443"/>
        <v>40</v>
      </c>
      <c r="E410" s="715">
        <f t="shared" si="444"/>
        <v>21</v>
      </c>
      <c r="F410" s="767" cm="1">
        <f t="array" aca="1" ref="F410" ca="1">INDIRECT("'Definition of Typical Day'!D"&amp;D410)</f>
        <v>6</v>
      </c>
      <c r="G410" s="767" cm="1">
        <f t="array" aca="1" ref="G410" ca="1">INDIRECT("'Definition of Typical Day'!"&amp;ADDRESS(13,E410))</f>
        <v>17</v>
      </c>
      <c r="H410" s="768" cm="1">
        <f t="array" aca="1" ref="H410" ca="1">INDIRECT("'Definition of Typical Day'!"&amp; ADDRESS($D410+28*(H$16-1),$E410))</f>
        <v>0</v>
      </c>
      <c r="I410" s="715" cm="1">
        <f t="array" aca="1" ref="I410" ca="1">INDIRECT("'Definition of Typical Day'!"&amp; ADDRESS($D410+29*(I$16-1),$E410))</f>
        <v>0</v>
      </c>
      <c r="J410" s="715">
        <f t="shared" ca="1" si="470"/>
        <v>0</v>
      </c>
      <c r="K410" s="785">
        <f t="shared" si="471"/>
        <v>28</v>
      </c>
      <c r="L410" s="786" cm="1">
        <f t="array" aca="1" ref="L410" ca="1">INDIRECT("'Definition of Typical Day'!"&amp; ADDRESS($D410+29*(L$16-1),$E410))</f>
        <v>0</v>
      </c>
      <c r="M410" s="768" cm="1">
        <f t="array" aca="1" ref="M410" ca="1">INDIRECT("'Definition of Typical Day'!"&amp; ADDRESS($D410+29*(M$16-1),$E410))</f>
        <v>0</v>
      </c>
      <c r="N410" s="715">
        <f t="shared" si="472"/>
        <v>3</v>
      </c>
      <c r="O410" s="715">
        <f t="shared" ca="1" si="473"/>
        <v>3</v>
      </c>
      <c r="P410" s="715" cm="1">
        <f t="array" aca="1" ref="P410" ca="1">INDIRECT("'Definition of Typical Day'!"&amp; ADDRESS($D410+29*(P$16-1),$E410))</f>
        <v>0</v>
      </c>
      <c r="Q410" s="787">
        <f t="shared" ca="1" si="474"/>
        <v>3</v>
      </c>
      <c r="R410" s="792">
        <f t="shared" ca="1" si="475"/>
        <v>3</v>
      </c>
      <c r="S410" s="769">
        <f t="shared" si="476"/>
        <v>3</v>
      </c>
      <c r="T410" s="769">
        <f t="shared" ca="1" si="477"/>
        <v>-0.5</v>
      </c>
      <c r="U410" s="769">
        <f t="shared" ca="1" si="478"/>
        <v>2.262</v>
      </c>
      <c r="V410" s="769">
        <f t="shared" ca="1" si="479"/>
        <v>0</v>
      </c>
      <c r="W410" s="769">
        <f t="shared" ca="1" si="480"/>
        <v>4.7620000000000005</v>
      </c>
      <c r="X410" s="794">
        <f t="shared" si="481"/>
        <v>3</v>
      </c>
      <c r="Y410" s="769">
        <f t="shared" ca="1" si="482"/>
        <v>0.54772255750516607</v>
      </c>
      <c r="Z410" s="769">
        <f t="shared" ca="1" si="483"/>
        <v>0</v>
      </c>
      <c r="AA410" s="795">
        <f t="shared" ca="1" si="484"/>
        <v>0</v>
      </c>
      <c r="AB410" s="769">
        <f t="shared" ca="1" si="485"/>
        <v>0</v>
      </c>
      <c r="AC410" s="769">
        <f t="shared" ca="1" si="486"/>
        <v>0</v>
      </c>
      <c r="AD410" s="769">
        <f t="shared" ca="1" si="487"/>
        <v>0</v>
      </c>
      <c r="AE410" s="794">
        <f t="shared" ca="1" si="488"/>
        <v>0</v>
      </c>
      <c r="AF410" s="769">
        <f t="shared" ca="1" si="489"/>
        <v>0</v>
      </c>
      <c r="AG410" s="769">
        <f t="shared" ca="1" si="490"/>
        <v>0</v>
      </c>
      <c r="AH410" s="799">
        <f t="shared" ca="1" si="491"/>
        <v>0</v>
      </c>
      <c r="AI410" s="801">
        <f t="shared" ca="1" si="492"/>
        <v>1</v>
      </c>
      <c r="AJ410" s="794">
        <f t="shared" ca="1" si="493"/>
        <v>0</v>
      </c>
      <c r="AK410" s="769">
        <f t="shared" ca="1" si="494"/>
        <v>0</v>
      </c>
      <c r="AL410" s="769">
        <f t="shared" ca="1" si="495"/>
        <v>0</v>
      </c>
      <c r="AM410" s="804">
        <f t="shared" ca="1" si="445"/>
        <v>0</v>
      </c>
      <c r="AN410" s="795">
        <f t="shared" ca="1" si="446"/>
        <v>0</v>
      </c>
      <c r="AO410" s="251"/>
      <c r="AP410" s="770">
        <f t="shared" si="496"/>
        <v>0</v>
      </c>
      <c r="AQ410" s="771">
        <f t="shared" ca="1" si="497"/>
        <v>0</v>
      </c>
      <c r="AR410" s="771">
        <f t="shared" ca="1" si="498"/>
        <v>0</v>
      </c>
      <c r="AS410" s="772">
        <f t="shared" ca="1" si="499"/>
        <v>0</v>
      </c>
      <c r="AT410" s="231"/>
      <c r="AU410" s="770">
        <f>'Main Results - IRR DC Operator'!$F$16</f>
        <v>2</v>
      </c>
      <c r="AV410" s="773">
        <f>'Main Results - IRR DC Operator'!$F$15</f>
        <v>1</v>
      </c>
      <c r="AW410" s="771">
        <f t="shared" ca="1" si="500"/>
        <v>0</v>
      </c>
      <c r="AX410" s="772">
        <f t="shared" si="501"/>
        <v>0</v>
      </c>
      <c r="AY410" s="231"/>
      <c r="AZ410" s="770" cm="1">
        <f t="array" aca="1" ref="AZ410" ca="1">INDIRECT("'Definition of Typical Day'!"&amp; ADDRESS($D410+29*(AZ$16-1),$E410))+$AZ$17</f>
        <v>11</v>
      </c>
      <c r="BA410" s="771" cm="1">
        <f t="array" aca="1" ref="BA410" ca="1">INDIRECT("'Definition of Typical Day'!"&amp; ADDRESS($D410+29*(BA$16-1),$E410))+$BA$17</f>
        <v>11</v>
      </c>
      <c r="BB410" s="772" cm="1">
        <f t="array" aca="1" ref="BB410" ca="1">INDIRECT("'Definition of Typical Day'!"&amp;ADDRESS(BB$16,$E410))</f>
        <v>0</v>
      </c>
      <c r="BC410" s="776" cm="1">
        <f t="array" aca="1" ref="BC410" ca="1">INDIRECT("'Definition of Typical Day'!"&amp; ADDRESS($D410+29*(BC$16-1),$E410))</f>
        <v>0</v>
      </c>
      <c r="BD410" s="777" cm="1">
        <f t="array" aca="1" ref="BD410" ca="1">INDIRECT("'Definition of Typical Day'!"&amp; ADDRESS($D410+29*(BD$16-1),$E410))</f>
        <v>0</v>
      </c>
      <c r="BE410" s="776">
        <f t="shared" si="502"/>
        <v>0</v>
      </c>
      <c r="BF410" s="771">
        <f t="shared" ca="1" si="503"/>
        <v>0</v>
      </c>
      <c r="BG410" s="771">
        <f t="shared" ca="1" si="504"/>
        <v>0</v>
      </c>
      <c r="BH410" s="771">
        <f t="shared" ca="1" si="505"/>
        <v>0</v>
      </c>
      <c r="BI410" s="776">
        <f t="shared" ca="1" si="506"/>
        <v>0</v>
      </c>
      <c r="BJ410" s="776">
        <f t="shared" ca="1" si="507"/>
        <v>0</v>
      </c>
      <c r="BK410" s="776">
        <f t="shared" ca="1" si="508"/>
        <v>0</v>
      </c>
      <c r="BL410" s="776">
        <f t="shared" ca="1" si="509"/>
        <v>0</v>
      </c>
      <c r="BM410" s="135"/>
      <c r="BN410" s="776">
        <f t="shared" ca="1" si="510"/>
        <v>0</v>
      </c>
      <c r="BO410" s="778">
        <f t="shared" ca="1" si="447"/>
        <v>0</v>
      </c>
      <c r="BP410" s="770">
        <f t="shared" ca="1" si="448"/>
        <v>0</v>
      </c>
      <c r="BQ410" s="771">
        <f t="shared" ca="1" si="449"/>
        <v>0</v>
      </c>
      <c r="BR410" s="771">
        <f t="shared" ca="1" si="450"/>
        <v>0</v>
      </c>
      <c r="BS410" s="776">
        <f t="shared" ca="1" si="511"/>
        <v>0</v>
      </c>
      <c r="BT410" s="776">
        <f t="shared" ca="1" si="451"/>
        <v>0</v>
      </c>
      <c r="BU410" s="783">
        <f t="shared" ca="1" si="452"/>
        <v>0</v>
      </c>
      <c r="BV410" s="783">
        <f t="shared" ca="1" si="453"/>
        <v>0</v>
      </c>
      <c r="BW410" s="1019">
        <f t="shared" ca="1" si="512"/>
        <v>0</v>
      </c>
      <c r="BX410" s="771" cm="1">
        <f t="array" aca="1" ref="BX410" ca="1">INDIRECT("'Definition of Typical Day'!"&amp; ADDRESS($D410+29*(BX$16-1),$E410))</f>
        <v>0</v>
      </c>
      <c r="BY410" s="771">
        <f t="shared" ca="1" si="513"/>
        <v>0</v>
      </c>
      <c r="BZ410" s="781">
        <f t="shared" ca="1" si="454"/>
        <v>0</v>
      </c>
      <c r="CA410" s="781">
        <f t="shared" ca="1" si="455"/>
        <v>0</v>
      </c>
      <c r="CB410" s="776">
        <f t="shared" ca="1" si="456"/>
        <v>0</v>
      </c>
      <c r="CC410" s="782">
        <f t="shared" si="457"/>
        <v>17</v>
      </c>
      <c r="CD410" s="782">
        <f t="shared" si="458"/>
        <v>6</v>
      </c>
      <c r="CE410" s="784" cm="1">
        <f t="array" aca="1" ref="CE410" ca="1">INDIRECT("'Definition of Typical Day'!"&amp;ADDRESS(CE$16,$E410))</f>
        <v>17</v>
      </c>
      <c r="CF410" s="232"/>
      <c r="CG410" s="232"/>
      <c r="CH410" s="776">
        <f t="shared" ca="1" si="459"/>
        <v>0</v>
      </c>
      <c r="CI410" s="806">
        <f t="shared" ca="1" si="460"/>
        <v>0</v>
      </c>
      <c r="CJ410" s="770">
        <f t="shared" ca="1" si="461"/>
        <v>0</v>
      </c>
      <c r="CK410" s="771">
        <f t="shared" ca="1" si="462"/>
        <v>0</v>
      </c>
      <c r="CL410" s="771">
        <f t="shared" ca="1" si="463"/>
        <v>0</v>
      </c>
      <c r="CM410" s="772">
        <f t="shared" ca="1" si="464"/>
        <v>0</v>
      </c>
      <c r="CN410" s="135"/>
      <c r="CO410" s="770">
        <f t="shared" ca="1" si="441"/>
        <v>1.05</v>
      </c>
      <c r="CP410" s="771">
        <f t="shared" ca="1" si="465"/>
        <v>0.02</v>
      </c>
      <c r="CQ410" s="771">
        <f t="shared" ca="1" si="466"/>
        <v>-2.5000000000000001E-2</v>
      </c>
      <c r="CR410" s="771">
        <f t="shared" ca="1" si="467"/>
        <v>0.95</v>
      </c>
      <c r="CS410" s="771">
        <f t="shared" ca="1" si="468"/>
        <v>0.03</v>
      </c>
      <c r="CT410" s="772">
        <f t="shared" ca="1" si="469"/>
        <v>0.02</v>
      </c>
      <c r="CU410" s="135"/>
      <c r="CV410" s="135"/>
      <c r="CW410" s="135"/>
      <c r="CX410" s="135"/>
      <c r="CY410" s="135"/>
      <c r="CZ410" s="135"/>
      <c r="DA410" s="135"/>
      <c r="DB410" s="135"/>
      <c r="DC410" s="135"/>
      <c r="DD410" s="135"/>
      <c r="DE410" s="135"/>
      <c r="DF410" s="135"/>
      <c r="DG410" s="135"/>
      <c r="DH410" s="135"/>
      <c r="DI410" s="135"/>
      <c r="DJ410" s="135"/>
      <c r="DK410" s="135"/>
      <c r="DL410" s="135"/>
      <c r="DX410" s="135"/>
      <c r="DY410" s="135"/>
      <c r="DZ410" s="135"/>
      <c r="EA410" s="135"/>
      <c r="EB410" s="135"/>
      <c r="EC410" s="135"/>
      <c r="ED410" s="135"/>
      <c r="EE410" s="135"/>
      <c r="EF410" s="135"/>
      <c r="EG410" s="135"/>
      <c r="EH410" s="135"/>
      <c r="EI410" s="135"/>
      <c r="EJ410" s="135"/>
      <c r="EK410" s="135"/>
      <c r="EL410" s="135"/>
      <c r="EM410" s="135"/>
      <c r="EN410" s="135"/>
      <c r="EO410" s="135"/>
      <c r="EP410" s="135"/>
      <c r="EQ410" s="135"/>
      <c r="ER410" s="135"/>
      <c r="ES410" s="135"/>
      <c r="ET410" s="135"/>
      <c r="EU410" s="135"/>
      <c r="EV410" s="135"/>
      <c r="EW410" s="135"/>
      <c r="EX410" s="135"/>
      <c r="EY410" s="135"/>
      <c r="EZ410" s="135"/>
      <c r="FA410" s="135"/>
      <c r="FB410" s="135"/>
      <c r="FC410" s="135"/>
      <c r="FD410" s="135"/>
      <c r="FE410" s="135"/>
      <c r="FF410" s="135"/>
      <c r="FG410" s="135"/>
    </row>
    <row r="411" spans="1:163" s="57" customFormat="1" ht="11.25" outlineLevel="1">
      <c r="A411" s="765">
        <f t="shared" si="442"/>
        <v>17</v>
      </c>
      <c r="B411" s="715" cm="1">
        <f t="array" aca="1" ref="B411" ca="1">INDIRECT("'Definition of Typical Day'!"&amp;ADDRESS(B$16,$E411))</f>
        <v>17</v>
      </c>
      <c r="C411" s="766">
        <f t="shared" si="443"/>
        <v>7</v>
      </c>
      <c r="D411" s="715">
        <f t="shared" si="443"/>
        <v>41</v>
      </c>
      <c r="E411" s="715">
        <f t="shared" si="444"/>
        <v>21</v>
      </c>
      <c r="F411" s="767" cm="1">
        <f t="array" aca="1" ref="F411" ca="1">INDIRECT("'Definition of Typical Day'!D"&amp;D411)</f>
        <v>7</v>
      </c>
      <c r="G411" s="767" cm="1">
        <f t="array" aca="1" ref="G411" ca="1">INDIRECT("'Definition of Typical Day'!"&amp;ADDRESS(13,E411))</f>
        <v>17</v>
      </c>
      <c r="H411" s="768" cm="1">
        <f t="array" aca="1" ref="H411" ca="1">INDIRECT("'Definition of Typical Day'!"&amp; ADDRESS($D411+28*(H$16-1),$E411))</f>
        <v>0</v>
      </c>
      <c r="I411" s="715" cm="1">
        <f t="array" aca="1" ref="I411" ca="1">INDIRECT("'Definition of Typical Day'!"&amp; ADDRESS($D411+29*(I$16-1),$E411))</f>
        <v>0</v>
      </c>
      <c r="J411" s="715">
        <f t="shared" ca="1" si="470"/>
        <v>0</v>
      </c>
      <c r="K411" s="785">
        <f t="shared" si="471"/>
        <v>28</v>
      </c>
      <c r="L411" s="786" cm="1">
        <f t="array" aca="1" ref="L411" ca="1">INDIRECT("'Definition of Typical Day'!"&amp; ADDRESS($D411+29*(L$16-1),$E411))</f>
        <v>0</v>
      </c>
      <c r="M411" s="768" cm="1">
        <f t="array" aca="1" ref="M411" ca="1">INDIRECT("'Definition of Typical Day'!"&amp; ADDRESS($D411+29*(M$16-1),$E411))</f>
        <v>0</v>
      </c>
      <c r="N411" s="715">
        <f t="shared" si="472"/>
        <v>3</v>
      </c>
      <c r="O411" s="715">
        <f t="shared" ca="1" si="473"/>
        <v>3</v>
      </c>
      <c r="P411" s="715" cm="1">
        <f t="array" aca="1" ref="P411" ca="1">INDIRECT("'Definition of Typical Day'!"&amp; ADDRESS($D411+29*(P$16-1),$E411))</f>
        <v>0</v>
      </c>
      <c r="Q411" s="787">
        <f t="shared" ca="1" si="474"/>
        <v>3</v>
      </c>
      <c r="R411" s="792">
        <f t="shared" ca="1" si="475"/>
        <v>3</v>
      </c>
      <c r="S411" s="769">
        <f t="shared" si="476"/>
        <v>3</v>
      </c>
      <c r="T411" s="769">
        <f t="shared" ca="1" si="477"/>
        <v>-0.5</v>
      </c>
      <c r="U411" s="769">
        <f t="shared" ca="1" si="478"/>
        <v>2.262</v>
      </c>
      <c r="V411" s="769">
        <f t="shared" ca="1" si="479"/>
        <v>0</v>
      </c>
      <c r="W411" s="769">
        <f t="shared" ca="1" si="480"/>
        <v>4.7620000000000005</v>
      </c>
      <c r="X411" s="794">
        <f t="shared" si="481"/>
        <v>3</v>
      </c>
      <c r="Y411" s="769">
        <f t="shared" ca="1" si="482"/>
        <v>0.54772255750516607</v>
      </c>
      <c r="Z411" s="769">
        <f t="shared" ca="1" si="483"/>
        <v>0</v>
      </c>
      <c r="AA411" s="795">
        <f t="shared" ca="1" si="484"/>
        <v>0</v>
      </c>
      <c r="AB411" s="769">
        <f t="shared" ca="1" si="485"/>
        <v>0</v>
      </c>
      <c r="AC411" s="769">
        <f t="shared" ca="1" si="486"/>
        <v>0</v>
      </c>
      <c r="AD411" s="769">
        <f t="shared" ca="1" si="487"/>
        <v>0</v>
      </c>
      <c r="AE411" s="794">
        <f t="shared" ca="1" si="488"/>
        <v>0</v>
      </c>
      <c r="AF411" s="769">
        <f t="shared" ca="1" si="489"/>
        <v>0</v>
      </c>
      <c r="AG411" s="769">
        <f t="shared" ca="1" si="490"/>
        <v>0</v>
      </c>
      <c r="AH411" s="799">
        <f t="shared" ca="1" si="491"/>
        <v>0</v>
      </c>
      <c r="AI411" s="801">
        <f t="shared" ca="1" si="492"/>
        <v>1</v>
      </c>
      <c r="AJ411" s="794">
        <f t="shared" ca="1" si="493"/>
        <v>0</v>
      </c>
      <c r="AK411" s="769">
        <f t="shared" ca="1" si="494"/>
        <v>0</v>
      </c>
      <c r="AL411" s="769">
        <f t="shared" ca="1" si="495"/>
        <v>0</v>
      </c>
      <c r="AM411" s="804">
        <f t="shared" ca="1" si="445"/>
        <v>0</v>
      </c>
      <c r="AN411" s="795">
        <f t="shared" ca="1" si="446"/>
        <v>0</v>
      </c>
      <c r="AO411" s="251"/>
      <c r="AP411" s="770">
        <f t="shared" si="496"/>
        <v>0</v>
      </c>
      <c r="AQ411" s="771">
        <f t="shared" ca="1" si="497"/>
        <v>0</v>
      </c>
      <c r="AR411" s="771">
        <f t="shared" ca="1" si="498"/>
        <v>0</v>
      </c>
      <c r="AS411" s="772">
        <f t="shared" ca="1" si="499"/>
        <v>0</v>
      </c>
      <c r="AT411" s="231"/>
      <c r="AU411" s="770">
        <f>'Main Results - IRR DC Operator'!$F$16</f>
        <v>2</v>
      </c>
      <c r="AV411" s="773">
        <f>'Main Results - IRR DC Operator'!$F$15</f>
        <v>1</v>
      </c>
      <c r="AW411" s="771">
        <f t="shared" ca="1" si="500"/>
        <v>0</v>
      </c>
      <c r="AX411" s="772">
        <f t="shared" si="501"/>
        <v>0</v>
      </c>
      <c r="AY411" s="231"/>
      <c r="AZ411" s="770" cm="1">
        <f t="array" aca="1" ref="AZ411" ca="1">INDIRECT("'Definition of Typical Day'!"&amp; ADDRESS($D411+29*(AZ$16-1),$E411))+$AZ$17</f>
        <v>11</v>
      </c>
      <c r="BA411" s="771" cm="1">
        <f t="array" aca="1" ref="BA411" ca="1">INDIRECT("'Definition of Typical Day'!"&amp; ADDRESS($D411+29*(BA$16-1),$E411))+$BA$17</f>
        <v>11</v>
      </c>
      <c r="BB411" s="772" cm="1">
        <f t="array" aca="1" ref="BB411" ca="1">INDIRECT("'Definition of Typical Day'!"&amp;ADDRESS(BB$16,$E411))</f>
        <v>0</v>
      </c>
      <c r="BC411" s="776" cm="1">
        <f t="array" aca="1" ref="BC411" ca="1">INDIRECT("'Definition of Typical Day'!"&amp; ADDRESS($D411+29*(BC$16-1),$E411))</f>
        <v>0</v>
      </c>
      <c r="BD411" s="777" cm="1">
        <f t="array" aca="1" ref="BD411" ca="1">INDIRECT("'Definition of Typical Day'!"&amp; ADDRESS($D411+29*(BD$16-1),$E411))</f>
        <v>0</v>
      </c>
      <c r="BE411" s="776">
        <f t="shared" si="502"/>
        <v>0</v>
      </c>
      <c r="BF411" s="771">
        <f t="shared" ca="1" si="503"/>
        <v>0</v>
      </c>
      <c r="BG411" s="771">
        <f t="shared" ca="1" si="504"/>
        <v>0</v>
      </c>
      <c r="BH411" s="771">
        <f t="shared" ca="1" si="505"/>
        <v>0</v>
      </c>
      <c r="BI411" s="776">
        <f t="shared" ca="1" si="506"/>
        <v>0</v>
      </c>
      <c r="BJ411" s="776">
        <f t="shared" ca="1" si="507"/>
        <v>0</v>
      </c>
      <c r="BK411" s="776">
        <f t="shared" ca="1" si="508"/>
        <v>0</v>
      </c>
      <c r="BL411" s="776">
        <f t="shared" ca="1" si="509"/>
        <v>0</v>
      </c>
      <c r="BM411" s="135"/>
      <c r="BN411" s="776">
        <f t="shared" ca="1" si="510"/>
        <v>0</v>
      </c>
      <c r="BO411" s="778">
        <f t="shared" ca="1" si="447"/>
        <v>0</v>
      </c>
      <c r="BP411" s="770">
        <f t="shared" ca="1" si="448"/>
        <v>0</v>
      </c>
      <c r="BQ411" s="771">
        <f t="shared" ca="1" si="449"/>
        <v>0</v>
      </c>
      <c r="BR411" s="771">
        <f t="shared" ca="1" si="450"/>
        <v>0</v>
      </c>
      <c r="BS411" s="776">
        <f t="shared" ca="1" si="511"/>
        <v>0</v>
      </c>
      <c r="BT411" s="776">
        <f t="shared" ca="1" si="451"/>
        <v>0</v>
      </c>
      <c r="BU411" s="783">
        <f t="shared" ca="1" si="452"/>
        <v>0</v>
      </c>
      <c r="BV411" s="783">
        <f t="shared" ca="1" si="453"/>
        <v>0</v>
      </c>
      <c r="BW411" s="1019">
        <f t="shared" ca="1" si="512"/>
        <v>0</v>
      </c>
      <c r="BX411" s="771" cm="1">
        <f t="array" aca="1" ref="BX411" ca="1">INDIRECT("'Definition of Typical Day'!"&amp; ADDRESS($D411+29*(BX$16-1),$E411))</f>
        <v>0</v>
      </c>
      <c r="BY411" s="771">
        <f t="shared" ca="1" si="513"/>
        <v>0</v>
      </c>
      <c r="BZ411" s="781">
        <f t="shared" ca="1" si="454"/>
        <v>0</v>
      </c>
      <c r="CA411" s="781">
        <f t="shared" ca="1" si="455"/>
        <v>0</v>
      </c>
      <c r="CB411" s="776">
        <f t="shared" ca="1" si="456"/>
        <v>0</v>
      </c>
      <c r="CC411" s="782">
        <f t="shared" si="457"/>
        <v>17</v>
      </c>
      <c r="CD411" s="782">
        <f t="shared" si="458"/>
        <v>7</v>
      </c>
      <c r="CE411" s="784" cm="1">
        <f t="array" aca="1" ref="CE411" ca="1">INDIRECT("'Definition of Typical Day'!"&amp;ADDRESS(CE$16,$E411))</f>
        <v>17</v>
      </c>
      <c r="CF411" s="232"/>
      <c r="CG411" s="232"/>
      <c r="CH411" s="776">
        <f t="shared" ca="1" si="459"/>
        <v>0</v>
      </c>
      <c r="CI411" s="806">
        <f t="shared" ca="1" si="460"/>
        <v>0</v>
      </c>
      <c r="CJ411" s="770">
        <f t="shared" ca="1" si="461"/>
        <v>0</v>
      </c>
      <c r="CK411" s="771">
        <f t="shared" ca="1" si="462"/>
        <v>0</v>
      </c>
      <c r="CL411" s="771">
        <f t="shared" ca="1" si="463"/>
        <v>0</v>
      </c>
      <c r="CM411" s="772">
        <f t="shared" ca="1" si="464"/>
        <v>0</v>
      </c>
      <c r="CN411" s="135"/>
      <c r="CO411" s="770">
        <f t="shared" ca="1" si="441"/>
        <v>1.05</v>
      </c>
      <c r="CP411" s="771">
        <f t="shared" ca="1" si="465"/>
        <v>0.02</v>
      </c>
      <c r="CQ411" s="771">
        <f t="shared" ca="1" si="466"/>
        <v>-2.5000000000000001E-2</v>
      </c>
      <c r="CR411" s="771">
        <f t="shared" ca="1" si="467"/>
        <v>0.95</v>
      </c>
      <c r="CS411" s="771">
        <f t="shared" ca="1" si="468"/>
        <v>0.03</v>
      </c>
      <c r="CT411" s="772">
        <f t="shared" ca="1" si="469"/>
        <v>0.02</v>
      </c>
      <c r="CU411" s="135"/>
      <c r="CV411" s="135"/>
      <c r="CW411" s="135"/>
      <c r="CX411" s="135"/>
      <c r="CY411" s="135"/>
      <c r="CZ411" s="135"/>
      <c r="DA411" s="135"/>
      <c r="DB411" s="135"/>
      <c r="DC411" s="135"/>
      <c r="DD411" s="135"/>
      <c r="DE411" s="135"/>
      <c r="DF411" s="135"/>
      <c r="DG411" s="135"/>
      <c r="DH411" s="135"/>
      <c r="DI411" s="135"/>
      <c r="DJ411" s="135"/>
      <c r="DK411" s="135"/>
      <c r="DL411" s="135"/>
      <c r="DX411" s="135"/>
      <c r="DY411" s="135"/>
      <c r="DZ411" s="135"/>
      <c r="EA411" s="135"/>
      <c r="EB411" s="135"/>
      <c r="EC411" s="135"/>
      <c r="ED411" s="135"/>
      <c r="EE411" s="135"/>
      <c r="EF411" s="135"/>
      <c r="EG411" s="135"/>
      <c r="EH411" s="135"/>
      <c r="EI411" s="135"/>
      <c r="EJ411" s="135"/>
      <c r="EK411" s="135"/>
      <c r="EL411" s="135"/>
      <c r="EM411" s="135"/>
      <c r="EN411" s="135"/>
      <c r="EO411" s="135"/>
      <c r="EP411" s="135"/>
      <c r="EQ411" s="135"/>
      <c r="ER411" s="135"/>
      <c r="ES411" s="135"/>
      <c r="ET411" s="135"/>
      <c r="EU411" s="135"/>
      <c r="EV411" s="135"/>
      <c r="EW411" s="135"/>
      <c r="EX411" s="135"/>
      <c r="EY411" s="135"/>
      <c r="EZ411" s="135"/>
      <c r="FA411" s="135"/>
      <c r="FB411" s="135"/>
      <c r="FC411" s="135"/>
      <c r="FD411" s="135"/>
      <c r="FE411" s="135"/>
      <c r="FF411" s="135"/>
      <c r="FG411" s="135"/>
    </row>
    <row r="412" spans="1:163" s="57" customFormat="1" ht="11.25" outlineLevel="1">
      <c r="A412" s="765">
        <f t="shared" si="442"/>
        <v>17</v>
      </c>
      <c r="B412" s="715" cm="1">
        <f t="array" aca="1" ref="B412" ca="1">INDIRECT("'Definition of Typical Day'!"&amp;ADDRESS(B$16,$E412))</f>
        <v>17</v>
      </c>
      <c r="C412" s="766">
        <f t="shared" si="443"/>
        <v>8</v>
      </c>
      <c r="D412" s="715">
        <f t="shared" si="443"/>
        <v>42</v>
      </c>
      <c r="E412" s="715">
        <f t="shared" si="444"/>
        <v>21</v>
      </c>
      <c r="F412" s="767" cm="1">
        <f t="array" aca="1" ref="F412" ca="1">INDIRECT("'Definition of Typical Day'!D"&amp;D412)</f>
        <v>8</v>
      </c>
      <c r="G412" s="767" cm="1">
        <f t="array" aca="1" ref="G412" ca="1">INDIRECT("'Definition of Typical Day'!"&amp;ADDRESS(13,E412))</f>
        <v>17</v>
      </c>
      <c r="H412" s="768" cm="1">
        <f t="array" aca="1" ref="H412" ca="1">INDIRECT("'Definition of Typical Day'!"&amp; ADDRESS($D412+28*(H$16-1),$E412))</f>
        <v>0</v>
      </c>
      <c r="I412" s="715" cm="1">
        <f t="array" aca="1" ref="I412" ca="1">INDIRECT("'Definition of Typical Day'!"&amp; ADDRESS($D412+29*(I$16-1),$E412))</f>
        <v>0</v>
      </c>
      <c r="J412" s="715">
        <f t="shared" ca="1" si="470"/>
        <v>0</v>
      </c>
      <c r="K412" s="785">
        <f t="shared" si="471"/>
        <v>28</v>
      </c>
      <c r="L412" s="786" cm="1">
        <f t="array" aca="1" ref="L412" ca="1">INDIRECT("'Definition of Typical Day'!"&amp; ADDRESS($D412+29*(L$16-1),$E412))</f>
        <v>0</v>
      </c>
      <c r="M412" s="768" cm="1">
        <f t="array" aca="1" ref="M412" ca="1">INDIRECT("'Definition of Typical Day'!"&amp; ADDRESS($D412+29*(M$16-1),$E412))</f>
        <v>0</v>
      </c>
      <c r="N412" s="715">
        <f t="shared" si="472"/>
        <v>3</v>
      </c>
      <c r="O412" s="715">
        <f t="shared" ca="1" si="473"/>
        <v>3</v>
      </c>
      <c r="P412" s="715" cm="1">
        <f t="array" aca="1" ref="P412" ca="1">INDIRECT("'Definition of Typical Day'!"&amp; ADDRESS($D412+29*(P$16-1),$E412))</f>
        <v>0</v>
      </c>
      <c r="Q412" s="787">
        <f t="shared" ca="1" si="474"/>
        <v>3</v>
      </c>
      <c r="R412" s="792">
        <f t="shared" ca="1" si="475"/>
        <v>3</v>
      </c>
      <c r="S412" s="769">
        <f t="shared" si="476"/>
        <v>3</v>
      </c>
      <c r="T412" s="769">
        <f t="shared" ca="1" si="477"/>
        <v>-0.5</v>
      </c>
      <c r="U412" s="769">
        <f t="shared" ca="1" si="478"/>
        <v>2.262</v>
      </c>
      <c r="V412" s="769">
        <f t="shared" ca="1" si="479"/>
        <v>0</v>
      </c>
      <c r="W412" s="769">
        <f t="shared" ca="1" si="480"/>
        <v>4.7620000000000005</v>
      </c>
      <c r="X412" s="794">
        <f t="shared" si="481"/>
        <v>3</v>
      </c>
      <c r="Y412" s="769">
        <f t="shared" ca="1" si="482"/>
        <v>0.54772255750516607</v>
      </c>
      <c r="Z412" s="769">
        <f t="shared" ca="1" si="483"/>
        <v>0</v>
      </c>
      <c r="AA412" s="795">
        <f t="shared" ca="1" si="484"/>
        <v>0</v>
      </c>
      <c r="AB412" s="769">
        <f t="shared" ca="1" si="485"/>
        <v>0</v>
      </c>
      <c r="AC412" s="769">
        <f t="shared" ca="1" si="486"/>
        <v>0</v>
      </c>
      <c r="AD412" s="769">
        <f t="shared" ca="1" si="487"/>
        <v>0</v>
      </c>
      <c r="AE412" s="794">
        <f t="shared" ca="1" si="488"/>
        <v>0</v>
      </c>
      <c r="AF412" s="769">
        <f t="shared" ca="1" si="489"/>
        <v>0</v>
      </c>
      <c r="AG412" s="769">
        <f t="shared" ca="1" si="490"/>
        <v>0</v>
      </c>
      <c r="AH412" s="799">
        <f t="shared" ca="1" si="491"/>
        <v>0</v>
      </c>
      <c r="AI412" s="801">
        <f t="shared" ca="1" si="492"/>
        <v>1</v>
      </c>
      <c r="AJ412" s="794">
        <f t="shared" ca="1" si="493"/>
        <v>0</v>
      </c>
      <c r="AK412" s="769">
        <f t="shared" ca="1" si="494"/>
        <v>0</v>
      </c>
      <c r="AL412" s="769">
        <f t="shared" ca="1" si="495"/>
        <v>0</v>
      </c>
      <c r="AM412" s="804">
        <f t="shared" ca="1" si="445"/>
        <v>0</v>
      </c>
      <c r="AN412" s="795">
        <f t="shared" ca="1" si="446"/>
        <v>0</v>
      </c>
      <c r="AO412" s="251"/>
      <c r="AP412" s="770">
        <f t="shared" si="496"/>
        <v>0</v>
      </c>
      <c r="AQ412" s="771">
        <f t="shared" ca="1" si="497"/>
        <v>0</v>
      </c>
      <c r="AR412" s="771">
        <f t="shared" ca="1" si="498"/>
        <v>0</v>
      </c>
      <c r="AS412" s="772">
        <f t="shared" ca="1" si="499"/>
        <v>0</v>
      </c>
      <c r="AT412" s="231"/>
      <c r="AU412" s="770">
        <f>'Main Results - IRR DC Operator'!$F$16</f>
        <v>2</v>
      </c>
      <c r="AV412" s="773">
        <f>'Main Results - IRR DC Operator'!$F$15</f>
        <v>1</v>
      </c>
      <c r="AW412" s="771">
        <f t="shared" ca="1" si="500"/>
        <v>0</v>
      </c>
      <c r="AX412" s="772">
        <f t="shared" si="501"/>
        <v>0</v>
      </c>
      <c r="AY412" s="231"/>
      <c r="AZ412" s="770" cm="1">
        <f t="array" aca="1" ref="AZ412" ca="1">INDIRECT("'Definition of Typical Day'!"&amp; ADDRESS($D412+29*(AZ$16-1),$E412))+$AZ$17</f>
        <v>11</v>
      </c>
      <c r="BA412" s="771" cm="1">
        <f t="array" aca="1" ref="BA412" ca="1">INDIRECT("'Definition of Typical Day'!"&amp; ADDRESS($D412+29*(BA$16-1),$E412))+$BA$17</f>
        <v>11</v>
      </c>
      <c r="BB412" s="772" cm="1">
        <f t="array" aca="1" ref="BB412" ca="1">INDIRECT("'Definition of Typical Day'!"&amp;ADDRESS(BB$16,$E412))</f>
        <v>0</v>
      </c>
      <c r="BC412" s="776" cm="1">
        <f t="array" aca="1" ref="BC412" ca="1">INDIRECT("'Definition of Typical Day'!"&amp; ADDRESS($D412+29*(BC$16-1),$E412))</f>
        <v>0</v>
      </c>
      <c r="BD412" s="777" cm="1">
        <f t="array" aca="1" ref="BD412" ca="1">INDIRECT("'Definition of Typical Day'!"&amp; ADDRESS($D412+29*(BD$16-1),$E412))</f>
        <v>0</v>
      </c>
      <c r="BE412" s="776">
        <f t="shared" si="502"/>
        <v>0</v>
      </c>
      <c r="BF412" s="771">
        <f t="shared" ca="1" si="503"/>
        <v>0</v>
      </c>
      <c r="BG412" s="771">
        <f t="shared" ca="1" si="504"/>
        <v>0</v>
      </c>
      <c r="BH412" s="771">
        <f t="shared" ca="1" si="505"/>
        <v>0</v>
      </c>
      <c r="BI412" s="776">
        <f t="shared" ca="1" si="506"/>
        <v>0</v>
      </c>
      <c r="BJ412" s="776">
        <f t="shared" ca="1" si="507"/>
        <v>0</v>
      </c>
      <c r="BK412" s="776">
        <f t="shared" ca="1" si="508"/>
        <v>0</v>
      </c>
      <c r="BL412" s="776">
        <f t="shared" ca="1" si="509"/>
        <v>0</v>
      </c>
      <c r="BM412" s="135"/>
      <c r="BN412" s="776">
        <f t="shared" ca="1" si="510"/>
        <v>0</v>
      </c>
      <c r="BO412" s="778">
        <f t="shared" ca="1" si="447"/>
        <v>0</v>
      </c>
      <c r="BP412" s="770">
        <f t="shared" ca="1" si="448"/>
        <v>0</v>
      </c>
      <c r="BQ412" s="771">
        <f t="shared" ca="1" si="449"/>
        <v>0</v>
      </c>
      <c r="BR412" s="771">
        <f t="shared" ca="1" si="450"/>
        <v>0</v>
      </c>
      <c r="BS412" s="776">
        <f t="shared" ca="1" si="511"/>
        <v>0</v>
      </c>
      <c r="BT412" s="776">
        <f t="shared" ca="1" si="451"/>
        <v>0</v>
      </c>
      <c r="BU412" s="783">
        <f t="shared" ca="1" si="452"/>
        <v>0</v>
      </c>
      <c r="BV412" s="783">
        <f t="shared" ca="1" si="453"/>
        <v>0</v>
      </c>
      <c r="BW412" s="1019">
        <f t="shared" ca="1" si="512"/>
        <v>0</v>
      </c>
      <c r="BX412" s="771" cm="1">
        <f t="array" aca="1" ref="BX412" ca="1">INDIRECT("'Definition of Typical Day'!"&amp; ADDRESS($D412+29*(BX$16-1),$E412))</f>
        <v>0</v>
      </c>
      <c r="BY412" s="771">
        <f t="shared" ca="1" si="513"/>
        <v>0</v>
      </c>
      <c r="BZ412" s="781">
        <f t="shared" ca="1" si="454"/>
        <v>0</v>
      </c>
      <c r="CA412" s="781">
        <f t="shared" ca="1" si="455"/>
        <v>0</v>
      </c>
      <c r="CB412" s="776">
        <f t="shared" ca="1" si="456"/>
        <v>0</v>
      </c>
      <c r="CC412" s="782">
        <f t="shared" si="457"/>
        <v>17</v>
      </c>
      <c r="CD412" s="782">
        <f t="shared" si="458"/>
        <v>8</v>
      </c>
      <c r="CE412" s="784" cm="1">
        <f t="array" aca="1" ref="CE412" ca="1">INDIRECT("'Definition of Typical Day'!"&amp;ADDRESS(CE$16,$E412))</f>
        <v>17</v>
      </c>
      <c r="CF412" s="232"/>
      <c r="CG412" s="232"/>
      <c r="CH412" s="776">
        <f t="shared" ca="1" si="459"/>
        <v>0</v>
      </c>
      <c r="CI412" s="806">
        <f t="shared" ca="1" si="460"/>
        <v>0</v>
      </c>
      <c r="CJ412" s="770">
        <f t="shared" ca="1" si="461"/>
        <v>0</v>
      </c>
      <c r="CK412" s="771">
        <f t="shared" ca="1" si="462"/>
        <v>0</v>
      </c>
      <c r="CL412" s="771">
        <f t="shared" ca="1" si="463"/>
        <v>0</v>
      </c>
      <c r="CM412" s="772">
        <f t="shared" ca="1" si="464"/>
        <v>0</v>
      </c>
      <c r="CN412" s="135"/>
      <c r="CO412" s="770">
        <f t="shared" ca="1" si="441"/>
        <v>1.05</v>
      </c>
      <c r="CP412" s="771">
        <f t="shared" ca="1" si="465"/>
        <v>0.02</v>
      </c>
      <c r="CQ412" s="771">
        <f t="shared" ca="1" si="466"/>
        <v>-2.5000000000000001E-2</v>
      </c>
      <c r="CR412" s="771">
        <f t="shared" ca="1" si="467"/>
        <v>0.95</v>
      </c>
      <c r="CS412" s="771">
        <f t="shared" ca="1" si="468"/>
        <v>0.03</v>
      </c>
      <c r="CT412" s="772">
        <f t="shared" ca="1" si="469"/>
        <v>0.02</v>
      </c>
      <c r="CU412" s="135"/>
      <c r="CV412" s="135"/>
      <c r="CW412" s="135"/>
      <c r="CX412" s="135"/>
      <c r="CY412" s="135"/>
      <c r="CZ412" s="135"/>
      <c r="DA412" s="135"/>
      <c r="DB412" s="135"/>
      <c r="DC412" s="135"/>
      <c r="DD412" s="135"/>
      <c r="DE412" s="135"/>
      <c r="DF412" s="135"/>
      <c r="DG412" s="135"/>
      <c r="DH412" s="135"/>
      <c r="DI412" s="135"/>
      <c r="DJ412" s="135"/>
      <c r="DK412" s="135"/>
      <c r="DL412" s="135"/>
      <c r="DX412" s="135"/>
      <c r="DY412" s="135"/>
      <c r="DZ412" s="135"/>
      <c r="EA412" s="135"/>
      <c r="EB412" s="135"/>
      <c r="EC412" s="135"/>
      <c r="ED412" s="135"/>
      <c r="EE412" s="135"/>
      <c r="EF412" s="135"/>
      <c r="EG412" s="135"/>
      <c r="EH412" s="135"/>
      <c r="EI412" s="135"/>
      <c r="EJ412" s="135"/>
      <c r="EK412" s="135"/>
      <c r="EL412" s="135"/>
      <c r="EM412" s="135"/>
      <c r="EN412" s="135"/>
      <c r="EO412" s="135"/>
      <c r="EP412" s="135"/>
      <c r="EQ412" s="135"/>
      <c r="ER412" s="135"/>
      <c r="ES412" s="135"/>
      <c r="ET412" s="135"/>
      <c r="EU412" s="135"/>
      <c r="EV412" s="135"/>
      <c r="EW412" s="135"/>
      <c r="EX412" s="135"/>
      <c r="EY412" s="135"/>
      <c r="EZ412" s="135"/>
      <c r="FA412" s="135"/>
      <c r="FB412" s="135"/>
      <c r="FC412" s="135"/>
      <c r="FD412" s="135"/>
      <c r="FE412" s="135"/>
      <c r="FF412" s="135"/>
      <c r="FG412" s="135"/>
    </row>
    <row r="413" spans="1:163" s="57" customFormat="1" ht="11.25" outlineLevel="1">
      <c r="A413" s="765">
        <f t="shared" si="442"/>
        <v>17</v>
      </c>
      <c r="B413" s="715" cm="1">
        <f t="array" aca="1" ref="B413" ca="1">INDIRECT("'Definition of Typical Day'!"&amp;ADDRESS(B$16,$E413))</f>
        <v>17</v>
      </c>
      <c r="C413" s="766">
        <f t="shared" si="443"/>
        <v>9</v>
      </c>
      <c r="D413" s="715">
        <f t="shared" si="443"/>
        <v>43</v>
      </c>
      <c r="E413" s="715">
        <f t="shared" si="444"/>
        <v>21</v>
      </c>
      <c r="F413" s="767" cm="1">
        <f t="array" aca="1" ref="F413" ca="1">INDIRECT("'Definition of Typical Day'!D"&amp;D413)</f>
        <v>9</v>
      </c>
      <c r="G413" s="767" cm="1">
        <f t="array" aca="1" ref="G413" ca="1">INDIRECT("'Definition of Typical Day'!"&amp;ADDRESS(13,E413))</f>
        <v>17</v>
      </c>
      <c r="H413" s="768" cm="1">
        <f t="array" aca="1" ref="H413" ca="1">INDIRECT("'Definition of Typical Day'!"&amp; ADDRESS($D413+28*(H$16-1),$E413))</f>
        <v>0</v>
      </c>
      <c r="I413" s="715" cm="1">
        <f t="array" aca="1" ref="I413" ca="1">INDIRECT("'Definition of Typical Day'!"&amp; ADDRESS($D413+29*(I$16-1),$E413))</f>
        <v>0</v>
      </c>
      <c r="J413" s="715">
        <f t="shared" ca="1" si="470"/>
        <v>0</v>
      </c>
      <c r="K413" s="785">
        <f t="shared" si="471"/>
        <v>28</v>
      </c>
      <c r="L413" s="786" cm="1">
        <f t="array" aca="1" ref="L413" ca="1">INDIRECT("'Definition of Typical Day'!"&amp; ADDRESS($D413+29*(L$16-1),$E413))</f>
        <v>0</v>
      </c>
      <c r="M413" s="768" cm="1">
        <f t="array" aca="1" ref="M413" ca="1">INDIRECT("'Definition of Typical Day'!"&amp; ADDRESS($D413+29*(M$16-1),$E413))</f>
        <v>0</v>
      </c>
      <c r="N413" s="715">
        <f t="shared" si="472"/>
        <v>3</v>
      </c>
      <c r="O413" s="715">
        <f t="shared" ca="1" si="473"/>
        <v>3</v>
      </c>
      <c r="P413" s="715" cm="1">
        <f t="array" aca="1" ref="P413" ca="1">INDIRECT("'Definition of Typical Day'!"&amp; ADDRESS($D413+29*(P$16-1),$E413))</f>
        <v>0</v>
      </c>
      <c r="Q413" s="787">
        <f t="shared" ca="1" si="474"/>
        <v>3</v>
      </c>
      <c r="R413" s="792">
        <f t="shared" ca="1" si="475"/>
        <v>3</v>
      </c>
      <c r="S413" s="769">
        <f t="shared" si="476"/>
        <v>3</v>
      </c>
      <c r="T413" s="769">
        <f t="shared" ca="1" si="477"/>
        <v>-0.5</v>
      </c>
      <c r="U413" s="769">
        <f t="shared" ca="1" si="478"/>
        <v>2.262</v>
      </c>
      <c r="V413" s="769">
        <f t="shared" ca="1" si="479"/>
        <v>0</v>
      </c>
      <c r="W413" s="769">
        <f t="shared" ca="1" si="480"/>
        <v>4.7620000000000005</v>
      </c>
      <c r="X413" s="794">
        <f t="shared" si="481"/>
        <v>3</v>
      </c>
      <c r="Y413" s="769">
        <f t="shared" ca="1" si="482"/>
        <v>0.54772255750516607</v>
      </c>
      <c r="Z413" s="769">
        <f t="shared" ca="1" si="483"/>
        <v>0</v>
      </c>
      <c r="AA413" s="795">
        <f t="shared" ca="1" si="484"/>
        <v>0</v>
      </c>
      <c r="AB413" s="769">
        <f t="shared" ca="1" si="485"/>
        <v>0</v>
      </c>
      <c r="AC413" s="769">
        <f t="shared" ca="1" si="486"/>
        <v>0</v>
      </c>
      <c r="AD413" s="769">
        <f t="shared" ca="1" si="487"/>
        <v>0</v>
      </c>
      <c r="AE413" s="794">
        <f t="shared" ca="1" si="488"/>
        <v>0</v>
      </c>
      <c r="AF413" s="769">
        <f t="shared" ca="1" si="489"/>
        <v>0</v>
      </c>
      <c r="AG413" s="769">
        <f t="shared" ca="1" si="490"/>
        <v>0</v>
      </c>
      <c r="AH413" s="799">
        <f t="shared" ca="1" si="491"/>
        <v>0</v>
      </c>
      <c r="AI413" s="801">
        <f t="shared" ca="1" si="492"/>
        <v>1</v>
      </c>
      <c r="AJ413" s="794">
        <f t="shared" ca="1" si="493"/>
        <v>0</v>
      </c>
      <c r="AK413" s="769">
        <f t="shared" ca="1" si="494"/>
        <v>0</v>
      </c>
      <c r="AL413" s="769">
        <f t="shared" ca="1" si="495"/>
        <v>0</v>
      </c>
      <c r="AM413" s="804">
        <f t="shared" ca="1" si="445"/>
        <v>0</v>
      </c>
      <c r="AN413" s="795">
        <f t="shared" ca="1" si="446"/>
        <v>0</v>
      </c>
      <c r="AO413" s="251"/>
      <c r="AP413" s="770">
        <f t="shared" si="496"/>
        <v>0</v>
      </c>
      <c r="AQ413" s="771">
        <f t="shared" ca="1" si="497"/>
        <v>0</v>
      </c>
      <c r="AR413" s="771">
        <f t="shared" ca="1" si="498"/>
        <v>0</v>
      </c>
      <c r="AS413" s="772">
        <f t="shared" ca="1" si="499"/>
        <v>0</v>
      </c>
      <c r="AT413" s="231"/>
      <c r="AU413" s="770">
        <f>'Main Results - IRR DC Operator'!$F$16</f>
        <v>2</v>
      </c>
      <c r="AV413" s="773">
        <f>'Main Results - IRR DC Operator'!$F$15</f>
        <v>1</v>
      </c>
      <c r="AW413" s="771">
        <f t="shared" ca="1" si="500"/>
        <v>0</v>
      </c>
      <c r="AX413" s="772">
        <f t="shared" si="501"/>
        <v>0</v>
      </c>
      <c r="AY413" s="231"/>
      <c r="AZ413" s="770" cm="1">
        <f t="array" aca="1" ref="AZ413" ca="1">INDIRECT("'Definition of Typical Day'!"&amp; ADDRESS($D413+29*(AZ$16-1),$E413))+$AZ$17</f>
        <v>11</v>
      </c>
      <c r="BA413" s="771" cm="1">
        <f t="array" aca="1" ref="BA413" ca="1">INDIRECT("'Definition of Typical Day'!"&amp; ADDRESS($D413+29*(BA$16-1),$E413))+$BA$17</f>
        <v>11</v>
      </c>
      <c r="BB413" s="772" cm="1">
        <f t="array" aca="1" ref="BB413" ca="1">INDIRECT("'Definition of Typical Day'!"&amp;ADDRESS(BB$16,$E413))</f>
        <v>0</v>
      </c>
      <c r="BC413" s="776" cm="1">
        <f t="array" aca="1" ref="BC413" ca="1">INDIRECT("'Definition of Typical Day'!"&amp; ADDRESS($D413+29*(BC$16-1),$E413))</f>
        <v>0</v>
      </c>
      <c r="BD413" s="777" cm="1">
        <f t="array" aca="1" ref="BD413" ca="1">INDIRECT("'Definition of Typical Day'!"&amp; ADDRESS($D413+29*(BD$16-1),$E413))</f>
        <v>0</v>
      </c>
      <c r="BE413" s="776">
        <f t="shared" si="502"/>
        <v>0</v>
      </c>
      <c r="BF413" s="771">
        <f t="shared" ca="1" si="503"/>
        <v>0</v>
      </c>
      <c r="BG413" s="771">
        <f t="shared" ca="1" si="504"/>
        <v>0</v>
      </c>
      <c r="BH413" s="771">
        <f t="shared" ca="1" si="505"/>
        <v>0</v>
      </c>
      <c r="BI413" s="776">
        <f t="shared" ca="1" si="506"/>
        <v>0</v>
      </c>
      <c r="BJ413" s="776">
        <f t="shared" ca="1" si="507"/>
        <v>0</v>
      </c>
      <c r="BK413" s="776">
        <f t="shared" ca="1" si="508"/>
        <v>0</v>
      </c>
      <c r="BL413" s="776">
        <f t="shared" ca="1" si="509"/>
        <v>0</v>
      </c>
      <c r="BM413" s="135"/>
      <c r="BN413" s="776">
        <f t="shared" ca="1" si="510"/>
        <v>0</v>
      </c>
      <c r="BO413" s="778">
        <f t="shared" ca="1" si="447"/>
        <v>0</v>
      </c>
      <c r="BP413" s="770">
        <f t="shared" ca="1" si="448"/>
        <v>0</v>
      </c>
      <c r="BQ413" s="771">
        <f t="shared" ca="1" si="449"/>
        <v>0</v>
      </c>
      <c r="BR413" s="771">
        <f t="shared" ca="1" si="450"/>
        <v>0</v>
      </c>
      <c r="BS413" s="776">
        <f t="shared" ca="1" si="511"/>
        <v>0</v>
      </c>
      <c r="BT413" s="776">
        <f t="shared" ca="1" si="451"/>
        <v>0</v>
      </c>
      <c r="BU413" s="783">
        <f t="shared" ca="1" si="452"/>
        <v>0</v>
      </c>
      <c r="BV413" s="783">
        <f t="shared" ca="1" si="453"/>
        <v>0</v>
      </c>
      <c r="BW413" s="1019">
        <f t="shared" ca="1" si="512"/>
        <v>0</v>
      </c>
      <c r="BX413" s="771" cm="1">
        <f t="array" aca="1" ref="BX413" ca="1">INDIRECT("'Definition of Typical Day'!"&amp; ADDRESS($D413+29*(BX$16-1),$E413))</f>
        <v>0</v>
      </c>
      <c r="BY413" s="771">
        <f t="shared" ca="1" si="513"/>
        <v>0</v>
      </c>
      <c r="BZ413" s="781">
        <f t="shared" ca="1" si="454"/>
        <v>0</v>
      </c>
      <c r="CA413" s="781">
        <f t="shared" ca="1" si="455"/>
        <v>0</v>
      </c>
      <c r="CB413" s="776">
        <f t="shared" ca="1" si="456"/>
        <v>0</v>
      </c>
      <c r="CC413" s="782">
        <f t="shared" si="457"/>
        <v>17</v>
      </c>
      <c r="CD413" s="782">
        <f t="shared" si="458"/>
        <v>9</v>
      </c>
      <c r="CE413" s="784" cm="1">
        <f t="array" aca="1" ref="CE413" ca="1">INDIRECT("'Definition of Typical Day'!"&amp;ADDRESS(CE$16,$E413))</f>
        <v>17</v>
      </c>
      <c r="CF413" s="232"/>
      <c r="CG413" s="232"/>
      <c r="CH413" s="776">
        <f t="shared" ca="1" si="459"/>
        <v>0</v>
      </c>
      <c r="CI413" s="806">
        <f t="shared" ca="1" si="460"/>
        <v>0</v>
      </c>
      <c r="CJ413" s="770">
        <f t="shared" ca="1" si="461"/>
        <v>0</v>
      </c>
      <c r="CK413" s="771">
        <f t="shared" ca="1" si="462"/>
        <v>0</v>
      </c>
      <c r="CL413" s="771">
        <f t="shared" ca="1" si="463"/>
        <v>0</v>
      </c>
      <c r="CM413" s="772">
        <f t="shared" ca="1" si="464"/>
        <v>0</v>
      </c>
      <c r="CN413" s="135"/>
      <c r="CO413" s="770">
        <f t="shared" ca="1" si="441"/>
        <v>1.05</v>
      </c>
      <c r="CP413" s="771">
        <f t="shared" ca="1" si="465"/>
        <v>0.02</v>
      </c>
      <c r="CQ413" s="771">
        <f t="shared" ca="1" si="466"/>
        <v>-2.5000000000000001E-2</v>
      </c>
      <c r="CR413" s="771">
        <f t="shared" ca="1" si="467"/>
        <v>0.95</v>
      </c>
      <c r="CS413" s="771">
        <f t="shared" ca="1" si="468"/>
        <v>0.03</v>
      </c>
      <c r="CT413" s="772">
        <f t="shared" ca="1" si="469"/>
        <v>0.02</v>
      </c>
      <c r="CU413" s="135"/>
      <c r="CV413" s="135"/>
      <c r="CW413" s="135"/>
      <c r="CX413" s="135"/>
      <c r="CY413" s="135"/>
      <c r="CZ413" s="135"/>
      <c r="DA413" s="135"/>
      <c r="DB413" s="135"/>
      <c r="DC413" s="135"/>
      <c r="DD413" s="135"/>
      <c r="DE413" s="135"/>
      <c r="DF413" s="135"/>
      <c r="DG413" s="135"/>
      <c r="DH413" s="135"/>
      <c r="DI413" s="135"/>
      <c r="DJ413" s="135"/>
      <c r="DK413" s="135"/>
      <c r="DL413" s="135"/>
      <c r="DX413" s="135"/>
      <c r="DY413" s="135"/>
      <c r="DZ413" s="135"/>
      <c r="EA413" s="135"/>
      <c r="EB413" s="135"/>
      <c r="EC413" s="135"/>
      <c r="ED413" s="135"/>
      <c r="EE413" s="135"/>
      <c r="EF413" s="135"/>
      <c r="EG413" s="135"/>
      <c r="EH413" s="135"/>
      <c r="EI413" s="135"/>
      <c r="EJ413" s="135"/>
      <c r="EK413" s="135"/>
      <c r="EL413" s="135"/>
      <c r="EM413" s="135"/>
      <c r="EN413" s="135"/>
      <c r="EO413" s="135"/>
      <c r="EP413" s="135"/>
      <c r="EQ413" s="135"/>
      <c r="ER413" s="135"/>
      <c r="ES413" s="135"/>
      <c r="ET413" s="135"/>
      <c r="EU413" s="135"/>
      <c r="EV413" s="135"/>
      <c r="EW413" s="135"/>
      <c r="EX413" s="135"/>
      <c r="EY413" s="135"/>
      <c r="EZ413" s="135"/>
      <c r="FA413" s="135"/>
      <c r="FB413" s="135"/>
      <c r="FC413" s="135"/>
      <c r="FD413" s="135"/>
      <c r="FE413" s="135"/>
      <c r="FF413" s="135"/>
      <c r="FG413" s="135"/>
    </row>
    <row r="414" spans="1:163" s="57" customFormat="1" ht="11.25" outlineLevel="1">
      <c r="A414" s="765">
        <f t="shared" si="442"/>
        <v>17</v>
      </c>
      <c r="B414" s="715" cm="1">
        <f t="array" aca="1" ref="B414" ca="1">INDIRECT("'Definition of Typical Day'!"&amp;ADDRESS(B$16,$E414))</f>
        <v>17</v>
      </c>
      <c r="C414" s="766">
        <f t="shared" si="443"/>
        <v>10</v>
      </c>
      <c r="D414" s="715">
        <f t="shared" si="443"/>
        <v>44</v>
      </c>
      <c r="E414" s="715">
        <f t="shared" si="444"/>
        <v>21</v>
      </c>
      <c r="F414" s="767" cm="1">
        <f t="array" aca="1" ref="F414" ca="1">INDIRECT("'Definition of Typical Day'!D"&amp;D414)</f>
        <v>10</v>
      </c>
      <c r="G414" s="767" cm="1">
        <f t="array" aca="1" ref="G414" ca="1">INDIRECT("'Definition of Typical Day'!"&amp;ADDRESS(13,E414))</f>
        <v>17</v>
      </c>
      <c r="H414" s="768" cm="1">
        <f t="array" aca="1" ref="H414" ca="1">INDIRECT("'Definition of Typical Day'!"&amp; ADDRESS($D414+28*(H$16-1),$E414))</f>
        <v>0</v>
      </c>
      <c r="I414" s="715" cm="1">
        <f t="array" aca="1" ref="I414" ca="1">INDIRECT("'Definition of Typical Day'!"&amp; ADDRESS($D414+29*(I$16-1),$E414))</f>
        <v>0</v>
      </c>
      <c r="J414" s="715">
        <f t="shared" ca="1" si="470"/>
        <v>0</v>
      </c>
      <c r="K414" s="785">
        <f t="shared" si="471"/>
        <v>28</v>
      </c>
      <c r="L414" s="786" cm="1">
        <f t="array" aca="1" ref="L414" ca="1">INDIRECT("'Definition of Typical Day'!"&amp; ADDRESS($D414+29*(L$16-1),$E414))</f>
        <v>0</v>
      </c>
      <c r="M414" s="768" cm="1">
        <f t="array" aca="1" ref="M414" ca="1">INDIRECT("'Definition of Typical Day'!"&amp; ADDRESS($D414+29*(M$16-1),$E414))</f>
        <v>0</v>
      </c>
      <c r="N414" s="715">
        <f t="shared" si="472"/>
        <v>3</v>
      </c>
      <c r="O414" s="715">
        <f t="shared" ca="1" si="473"/>
        <v>3</v>
      </c>
      <c r="P414" s="715" cm="1">
        <f t="array" aca="1" ref="P414" ca="1">INDIRECT("'Definition of Typical Day'!"&amp; ADDRESS($D414+29*(P$16-1),$E414))</f>
        <v>0</v>
      </c>
      <c r="Q414" s="787">
        <f t="shared" ca="1" si="474"/>
        <v>3</v>
      </c>
      <c r="R414" s="792">
        <f t="shared" ca="1" si="475"/>
        <v>3</v>
      </c>
      <c r="S414" s="769">
        <f t="shared" si="476"/>
        <v>3</v>
      </c>
      <c r="T414" s="769">
        <f t="shared" ca="1" si="477"/>
        <v>-0.5</v>
      </c>
      <c r="U414" s="769">
        <f t="shared" ca="1" si="478"/>
        <v>2.262</v>
      </c>
      <c r="V414" s="769">
        <f t="shared" ca="1" si="479"/>
        <v>0</v>
      </c>
      <c r="W414" s="769">
        <f t="shared" ca="1" si="480"/>
        <v>4.7620000000000005</v>
      </c>
      <c r="X414" s="794">
        <f t="shared" si="481"/>
        <v>3</v>
      </c>
      <c r="Y414" s="769">
        <f t="shared" ca="1" si="482"/>
        <v>0.54772255750516607</v>
      </c>
      <c r="Z414" s="769">
        <f t="shared" ca="1" si="483"/>
        <v>0</v>
      </c>
      <c r="AA414" s="795">
        <f t="shared" ca="1" si="484"/>
        <v>0</v>
      </c>
      <c r="AB414" s="769">
        <f t="shared" ca="1" si="485"/>
        <v>0</v>
      </c>
      <c r="AC414" s="769">
        <f t="shared" ca="1" si="486"/>
        <v>0</v>
      </c>
      <c r="AD414" s="769">
        <f t="shared" ca="1" si="487"/>
        <v>0</v>
      </c>
      <c r="AE414" s="794">
        <f t="shared" ca="1" si="488"/>
        <v>0</v>
      </c>
      <c r="AF414" s="769">
        <f t="shared" ca="1" si="489"/>
        <v>0</v>
      </c>
      <c r="AG414" s="769">
        <f t="shared" ca="1" si="490"/>
        <v>0</v>
      </c>
      <c r="AH414" s="799">
        <f t="shared" ca="1" si="491"/>
        <v>0</v>
      </c>
      <c r="AI414" s="801">
        <f t="shared" ca="1" si="492"/>
        <v>1</v>
      </c>
      <c r="AJ414" s="794">
        <f t="shared" ca="1" si="493"/>
        <v>0</v>
      </c>
      <c r="AK414" s="769">
        <f t="shared" ca="1" si="494"/>
        <v>0</v>
      </c>
      <c r="AL414" s="769">
        <f t="shared" ca="1" si="495"/>
        <v>0</v>
      </c>
      <c r="AM414" s="804">
        <f t="shared" ca="1" si="445"/>
        <v>0</v>
      </c>
      <c r="AN414" s="795">
        <f t="shared" ca="1" si="446"/>
        <v>0</v>
      </c>
      <c r="AO414" s="251"/>
      <c r="AP414" s="770">
        <f t="shared" si="496"/>
        <v>0</v>
      </c>
      <c r="AQ414" s="771">
        <f t="shared" ca="1" si="497"/>
        <v>0</v>
      </c>
      <c r="AR414" s="771">
        <f t="shared" ca="1" si="498"/>
        <v>0</v>
      </c>
      <c r="AS414" s="772">
        <f t="shared" ca="1" si="499"/>
        <v>0</v>
      </c>
      <c r="AT414" s="231"/>
      <c r="AU414" s="770">
        <f>'Main Results - IRR DC Operator'!$F$16</f>
        <v>2</v>
      </c>
      <c r="AV414" s="773">
        <f>'Main Results - IRR DC Operator'!$F$15</f>
        <v>1</v>
      </c>
      <c r="AW414" s="771">
        <f t="shared" ca="1" si="500"/>
        <v>0</v>
      </c>
      <c r="AX414" s="772">
        <f t="shared" si="501"/>
        <v>0</v>
      </c>
      <c r="AY414" s="231"/>
      <c r="AZ414" s="770" cm="1">
        <f t="array" aca="1" ref="AZ414" ca="1">INDIRECT("'Definition of Typical Day'!"&amp; ADDRESS($D414+29*(AZ$16-1),$E414))+$AZ$17</f>
        <v>11</v>
      </c>
      <c r="BA414" s="771" cm="1">
        <f t="array" aca="1" ref="BA414" ca="1">INDIRECT("'Definition of Typical Day'!"&amp; ADDRESS($D414+29*(BA$16-1),$E414))+$BA$17</f>
        <v>11</v>
      </c>
      <c r="BB414" s="772" cm="1">
        <f t="array" aca="1" ref="BB414" ca="1">INDIRECT("'Definition of Typical Day'!"&amp;ADDRESS(BB$16,$E414))</f>
        <v>0</v>
      </c>
      <c r="BC414" s="776" cm="1">
        <f t="array" aca="1" ref="BC414" ca="1">INDIRECT("'Definition of Typical Day'!"&amp; ADDRESS($D414+29*(BC$16-1),$E414))</f>
        <v>0</v>
      </c>
      <c r="BD414" s="777" cm="1">
        <f t="array" aca="1" ref="BD414" ca="1">INDIRECT("'Definition of Typical Day'!"&amp; ADDRESS($D414+29*(BD$16-1),$E414))</f>
        <v>0</v>
      </c>
      <c r="BE414" s="776">
        <f t="shared" si="502"/>
        <v>0</v>
      </c>
      <c r="BF414" s="771">
        <f t="shared" ca="1" si="503"/>
        <v>0</v>
      </c>
      <c r="BG414" s="771">
        <f t="shared" ca="1" si="504"/>
        <v>0</v>
      </c>
      <c r="BH414" s="771">
        <f t="shared" ca="1" si="505"/>
        <v>0</v>
      </c>
      <c r="BI414" s="776">
        <f t="shared" ca="1" si="506"/>
        <v>0</v>
      </c>
      <c r="BJ414" s="776">
        <f t="shared" ca="1" si="507"/>
        <v>0</v>
      </c>
      <c r="BK414" s="776">
        <f t="shared" ca="1" si="508"/>
        <v>0</v>
      </c>
      <c r="BL414" s="776">
        <f t="shared" ca="1" si="509"/>
        <v>0</v>
      </c>
      <c r="BM414" s="135"/>
      <c r="BN414" s="776">
        <f t="shared" ca="1" si="510"/>
        <v>0</v>
      </c>
      <c r="BO414" s="778">
        <f t="shared" ca="1" si="447"/>
        <v>0</v>
      </c>
      <c r="BP414" s="770">
        <f t="shared" ca="1" si="448"/>
        <v>0</v>
      </c>
      <c r="BQ414" s="771">
        <f t="shared" ca="1" si="449"/>
        <v>0</v>
      </c>
      <c r="BR414" s="771">
        <f t="shared" ca="1" si="450"/>
        <v>0</v>
      </c>
      <c r="BS414" s="776">
        <f t="shared" ca="1" si="511"/>
        <v>0</v>
      </c>
      <c r="BT414" s="776">
        <f t="shared" ca="1" si="451"/>
        <v>0</v>
      </c>
      <c r="BU414" s="783">
        <f t="shared" ca="1" si="452"/>
        <v>0</v>
      </c>
      <c r="BV414" s="783">
        <f t="shared" ca="1" si="453"/>
        <v>0</v>
      </c>
      <c r="BW414" s="1019">
        <f t="shared" ca="1" si="512"/>
        <v>0</v>
      </c>
      <c r="BX414" s="771" cm="1">
        <f t="array" aca="1" ref="BX414" ca="1">INDIRECT("'Definition of Typical Day'!"&amp; ADDRESS($D414+29*(BX$16-1),$E414))</f>
        <v>0</v>
      </c>
      <c r="BY414" s="771">
        <f t="shared" ca="1" si="513"/>
        <v>0</v>
      </c>
      <c r="BZ414" s="781">
        <f t="shared" ca="1" si="454"/>
        <v>0</v>
      </c>
      <c r="CA414" s="781">
        <f t="shared" ca="1" si="455"/>
        <v>0</v>
      </c>
      <c r="CB414" s="776">
        <f t="shared" ca="1" si="456"/>
        <v>0</v>
      </c>
      <c r="CC414" s="782">
        <f t="shared" si="457"/>
        <v>17</v>
      </c>
      <c r="CD414" s="782">
        <f t="shared" si="458"/>
        <v>10</v>
      </c>
      <c r="CE414" s="784" cm="1">
        <f t="array" aca="1" ref="CE414" ca="1">INDIRECT("'Definition of Typical Day'!"&amp;ADDRESS(CE$16,$E414))</f>
        <v>17</v>
      </c>
      <c r="CF414" s="232"/>
      <c r="CG414" s="232"/>
      <c r="CH414" s="776">
        <f t="shared" ca="1" si="459"/>
        <v>0</v>
      </c>
      <c r="CI414" s="806">
        <f t="shared" ca="1" si="460"/>
        <v>0</v>
      </c>
      <c r="CJ414" s="770">
        <f t="shared" ca="1" si="461"/>
        <v>0</v>
      </c>
      <c r="CK414" s="771">
        <f t="shared" ca="1" si="462"/>
        <v>0</v>
      </c>
      <c r="CL414" s="771">
        <f t="shared" ca="1" si="463"/>
        <v>0</v>
      </c>
      <c r="CM414" s="772">
        <f t="shared" ca="1" si="464"/>
        <v>0</v>
      </c>
      <c r="CN414" s="135"/>
      <c r="CO414" s="770">
        <f t="shared" ca="1" si="441"/>
        <v>1.05</v>
      </c>
      <c r="CP414" s="771">
        <f t="shared" ca="1" si="465"/>
        <v>0.02</v>
      </c>
      <c r="CQ414" s="771">
        <f t="shared" ca="1" si="466"/>
        <v>-2.5000000000000001E-2</v>
      </c>
      <c r="CR414" s="771">
        <f t="shared" ca="1" si="467"/>
        <v>0.95</v>
      </c>
      <c r="CS414" s="771">
        <f t="shared" ca="1" si="468"/>
        <v>0.03</v>
      </c>
      <c r="CT414" s="772">
        <f t="shared" ca="1" si="469"/>
        <v>0.02</v>
      </c>
      <c r="CU414" s="135"/>
      <c r="CV414" s="135"/>
      <c r="CW414" s="135"/>
      <c r="CX414" s="135"/>
      <c r="CY414" s="135"/>
      <c r="CZ414" s="135"/>
      <c r="DA414" s="135"/>
      <c r="DB414" s="135"/>
      <c r="DC414" s="135"/>
      <c r="DD414" s="135"/>
      <c r="DE414" s="135"/>
      <c r="DF414" s="135"/>
      <c r="DG414" s="135"/>
      <c r="DH414" s="135"/>
      <c r="DI414" s="135"/>
      <c r="DJ414" s="135"/>
      <c r="DK414" s="135"/>
      <c r="DL414" s="135"/>
      <c r="DX414" s="135"/>
      <c r="DY414" s="135"/>
      <c r="DZ414" s="135"/>
      <c r="EA414" s="135"/>
      <c r="EB414" s="135"/>
      <c r="EC414" s="135"/>
      <c r="ED414" s="135"/>
      <c r="EE414" s="135"/>
      <c r="EF414" s="135"/>
      <c r="EG414" s="135"/>
      <c r="EH414" s="135"/>
      <c r="EI414" s="135"/>
      <c r="EJ414" s="135"/>
      <c r="EK414" s="135"/>
      <c r="EL414" s="135"/>
      <c r="EM414" s="135"/>
      <c r="EN414" s="135"/>
      <c r="EO414" s="135"/>
      <c r="EP414" s="135"/>
      <c r="EQ414" s="135"/>
      <c r="ER414" s="135"/>
      <c r="ES414" s="135"/>
      <c r="ET414" s="135"/>
      <c r="EU414" s="135"/>
      <c r="EV414" s="135"/>
      <c r="EW414" s="135"/>
      <c r="EX414" s="135"/>
      <c r="EY414" s="135"/>
      <c r="EZ414" s="135"/>
      <c r="FA414" s="135"/>
      <c r="FB414" s="135"/>
      <c r="FC414" s="135"/>
      <c r="FD414" s="135"/>
      <c r="FE414" s="135"/>
      <c r="FF414" s="135"/>
      <c r="FG414" s="135"/>
    </row>
    <row r="415" spans="1:163" s="57" customFormat="1" ht="11.25" outlineLevel="1">
      <c r="A415" s="765">
        <f t="shared" si="442"/>
        <v>17</v>
      </c>
      <c r="B415" s="715" cm="1">
        <f t="array" aca="1" ref="B415" ca="1">INDIRECT("'Definition of Typical Day'!"&amp;ADDRESS(B$16,$E415))</f>
        <v>17</v>
      </c>
      <c r="C415" s="766">
        <f t="shared" si="443"/>
        <v>11</v>
      </c>
      <c r="D415" s="715">
        <f t="shared" si="443"/>
        <v>45</v>
      </c>
      <c r="E415" s="715">
        <f t="shared" si="444"/>
        <v>21</v>
      </c>
      <c r="F415" s="767" cm="1">
        <f t="array" aca="1" ref="F415" ca="1">INDIRECT("'Definition of Typical Day'!D"&amp;D415)</f>
        <v>11</v>
      </c>
      <c r="G415" s="767" cm="1">
        <f t="array" aca="1" ref="G415" ca="1">INDIRECT("'Definition of Typical Day'!"&amp;ADDRESS(13,E415))</f>
        <v>17</v>
      </c>
      <c r="H415" s="768" cm="1">
        <f t="array" aca="1" ref="H415" ca="1">INDIRECT("'Definition of Typical Day'!"&amp; ADDRESS($D415+28*(H$16-1),$E415))</f>
        <v>0</v>
      </c>
      <c r="I415" s="715" cm="1">
        <f t="array" aca="1" ref="I415" ca="1">INDIRECT("'Definition of Typical Day'!"&amp; ADDRESS($D415+29*(I$16-1),$E415))</f>
        <v>0</v>
      </c>
      <c r="J415" s="715">
        <f t="shared" ca="1" si="470"/>
        <v>0</v>
      </c>
      <c r="K415" s="785">
        <f t="shared" si="471"/>
        <v>28</v>
      </c>
      <c r="L415" s="786" cm="1">
        <f t="array" aca="1" ref="L415" ca="1">INDIRECT("'Definition of Typical Day'!"&amp; ADDRESS($D415+29*(L$16-1),$E415))</f>
        <v>0</v>
      </c>
      <c r="M415" s="768" cm="1">
        <f t="array" aca="1" ref="M415" ca="1">INDIRECT("'Definition of Typical Day'!"&amp; ADDRESS($D415+29*(M$16-1),$E415))</f>
        <v>0</v>
      </c>
      <c r="N415" s="715">
        <f t="shared" si="472"/>
        <v>3</v>
      </c>
      <c r="O415" s="715">
        <f t="shared" ca="1" si="473"/>
        <v>3</v>
      </c>
      <c r="P415" s="715" cm="1">
        <f t="array" aca="1" ref="P415" ca="1">INDIRECT("'Definition of Typical Day'!"&amp; ADDRESS($D415+29*(P$16-1),$E415))</f>
        <v>0</v>
      </c>
      <c r="Q415" s="787">
        <f t="shared" ca="1" si="474"/>
        <v>3</v>
      </c>
      <c r="R415" s="792">
        <f t="shared" ca="1" si="475"/>
        <v>3</v>
      </c>
      <c r="S415" s="769">
        <f t="shared" si="476"/>
        <v>3</v>
      </c>
      <c r="T415" s="769">
        <f t="shared" ca="1" si="477"/>
        <v>-0.5</v>
      </c>
      <c r="U415" s="769">
        <f t="shared" ca="1" si="478"/>
        <v>2.262</v>
      </c>
      <c r="V415" s="769">
        <f t="shared" ca="1" si="479"/>
        <v>0</v>
      </c>
      <c r="W415" s="769">
        <f t="shared" ca="1" si="480"/>
        <v>4.7620000000000005</v>
      </c>
      <c r="X415" s="794">
        <f t="shared" si="481"/>
        <v>3</v>
      </c>
      <c r="Y415" s="769">
        <f t="shared" ca="1" si="482"/>
        <v>0.54772255750516607</v>
      </c>
      <c r="Z415" s="769">
        <f t="shared" ca="1" si="483"/>
        <v>0</v>
      </c>
      <c r="AA415" s="795">
        <f t="shared" ca="1" si="484"/>
        <v>0</v>
      </c>
      <c r="AB415" s="769">
        <f t="shared" ca="1" si="485"/>
        <v>0</v>
      </c>
      <c r="AC415" s="769">
        <f t="shared" ca="1" si="486"/>
        <v>0</v>
      </c>
      <c r="AD415" s="769">
        <f t="shared" ca="1" si="487"/>
        <v>0</v>
      </c>
      <c r="AE415" s="794">
        <f t="shared" ca="1" si="488"/>
        <v>0</v>
      </c>
      <c r="AF415" s="769">
        <f t="shared" ca="1" si="489"/>
        <v>0</v>
      </c>
      <c r="AG415" s="769">
        <f t="shared" ca="1" si="490"/>
        <v>0</v>
      </c>
      <c r="AH415" s="799">
        <f t="shared" ca="1" si="491"/>
        <v>0</v>
      </c>
      <c r="AI415" s="801">
        <f t="shared" ca="1" si="492"/>
        <v>1</v>
      </c>
      <c r="AJ415" s="794">
        <f t="shared" ca="1" si="493"/>
        <v>0</v>
      </c>
      <c r="AK415" s="769">
        <f t="shared" ca="1" si="494"/>
        <v>0</v>
      </c>
      <c r="AL415" s="769">
        <f t="shared" ca="1" si="495"/>
        <v>0</v>
      </c>
      <c r="AM415" s="804">
        <f t="shared" ca="1" si="445"/>
        <v>0</v>
      </c>
      <c r="AN415" s="795">
        <f t="shared" ca="1" si="446"/>
        <v>0</v>
      </c>
      <c r="AO415" s="251"/>
      <c r="AP415" s="770">
        <f t="shared" si="496"/>
        <v>0</v>
      </c>
      <c r="AQ415" s="771">
        <f t="shared" ca="1" si="497"/>
        <v>0</v>
      </c>
      <c r="AR415" s="771">
        <f t="shared" ca="1" si="498"/>
        <v>0</v>
      </c>
      <c r="AS415" s="772">
        <f t="shared" ca="1" si="499"/>
        <v>0</v>
      </c>
      <c r="AT415" s="231"/>
      <c r="AU415" s="770">
        <f>'Main Results - IRR DC Operator'!$F$16</f>
        <v>2</v>
      </c>
      <c r="AV415" s="773">
        <f>'Main Results - IRR DC Operator'!$F$15</f>
        <v>1</v>
      </c>
      <c r="AW415" s="771">
        <f t="shared" ca="1" si="500"/>
        <v>0</v>
      </c>
      <c r="AX415" s="772">
        <f t="shared" si="501"/>
        <v>0</v>
      </c>
      <c r="AY415" s="231"/>
      <c r="AZ415" s="770" cm="1">
        <f t="array" aca="1" ref="AZ415" ca="1">INDIRECT("'Definition of Typical Day'!"&amp; ADDRESS($D415+29*(AZ$16-1),$E415))+$AZ$17</f>
        <v>11</v>
      </c>
      <c r="BA415" s="771" cm="1">
        <f t="array" aca="1" ref="BA415" ca="1">INDIRECT("'Definition of Typical Day'!"&amp; ADDRESS($D415+29*(BA$16-1),$E415))+$BA$17</f>
        <v>11</v>
      </c>
      <c r="BB415" s="772" cm="1">
        <f t="array" aca="1" ref="BB415" ca="1">INDIRECT("'Definition of Typical Day'!"&amp;ADDRESS(BB$16,$E415))</f>
        <v>0</v>
      </c>
      <c r="BC415" s="776" cm="1">
        <f t="array" aca="1" ref="BC415" ca="1">INDIRECT("'Definition of Typical Day'!"&amp; ADDRESS($D415+29*(BC$16-1),$E415))</f>
        <v>0</v>
      </c>
      <c r="BD415" s="777" cm="1">
        <f t="array" aca="1" ref="BD415" ca="1">INDIRECT("'Definition of Typical Day'!"&amp; ADDRESS($D415+29*(BD$16-1),$E415))</f>
        <v>0</v>
      </c>
      <c r="BE415" s="776">
        <f t="shared" si="502"/>
        <v>0</v>
      </c>
      <c r="BF415" s="771">
        <f t="shared" ca="1" si="503"/>
        <v>0</v>
      </c>
      <c r="BG415" s="771">
        <f t="shared" ca="1" si="504"/>
        <v>0</v>
      </c>
      <c r="BH415" s="771">
        <f t="shared" ca="1" si="505"/>
        <v>0</v>
      </c>
      <c r="BI415" s="776">
        <f t="shared" ca="1" si="506"/>
        <v>0</v>
      </c>
      <c r="BJ415" s="776">
        <f t="shared" ca="1" si="507"/>
        <v>0</v>
      </c>
      <c r="BK415" s="776">
        <f t="shared" ca="1" si="508"/>
        <v>0</v>
      </c>
      <c r="BL415" s="776">
        <f t="shared" ca="1" si="509"/>
        <v>0</v>
      </c>
      <c r="BM415" s="135"/>
      <c r="BN415" s="776">
        <f t="shared" ca="1" si="510"/>
        <v>0</v>
      </c>
      <c r="BO415" s="778">
        <f t="shared" ca="1" si="447"/>
        <v>0</v>
      </c>
      <c r="BP415" s="770">
        <f t="shared" ca="1" si="448"/>
        <v>0</v>
      </c>
      <c r="BQ415" s="771">
        <f t="shared" ca="1" si="449"/>
        <v>0</v>
      </c>
      <c r="BR415" s="771">
        <f t="shared" ca="1" si="450"/>
        <v>0</v>
      </c>
      <c r="BS415" s="776">
        <f t="shared" ca="1" si="511"/>
        <v>0</v>
      </c>
      <c r="BT415" s="776">
        <f t="shared" ca="1" si="451"/>
        <v>0</v>
      </c>
      <c r="BU415" s="783">
        <f t="shared" ca="1" si="452"/>
        <v>0</v>
      </c>
      <c r="BV415" s="783">
        <f t="shared" ca="1" si="453"/>
        <v>0</v>
      </c>
      <c r="BW415" s="1019">
        <f t="shared" ca="1" si="512"/>
        <v>0</v>
      </c>
      <c r="BX415" s="771" cm="1">
        <f t="array" aca="1" ref="BX415" ca="1">INDIRECT("'Definition of Typical Day'!"&amp; ADDRESS($D415+29*(BX$16-1),$E415))</f>
        <v>0</v>
      </c>
      <c r="BY415" s="771">
        <f t="shared" ca="1" si="513"/>
        <v>0</v>
      </c>
      <c r="BZ415" s="781">
        <f t="shared" ca="1" si="454"/>
        <v>0</v>
      </c>
      <c r="CA415" s="781">
        <f t="shared" ca="1" si="455"/>
        <v>0</v>
      </c>
      <c r="CB415" s="776">
        <f t="shared" ca="1" si="456"/>
        <v>0</v>
      </c>
      <c r="CC415" s="782">
        <f t="shared" si="457"/>
        <v>17</v>
      </c>
      <c r="CD415" s="782">
        <f t="shared" si="458"/>
        <v>11</v>
      </c>
      <c r="CE415" s="784" cm="1">
        <f t="array" aca="1" ref="CE415" ca="1">INDIRECT("'Definition of Typical Day'!"&amp;ADDRESS(CE$16,$E415))</f>
        <v>17</v>
      </c>
      <c r="CF415" s="232"/>
      <c r="CG415" s="232"/>
      <c r="CH415" s="776">
        <f t="shared" ca="1" si="459"/>
        <v>0</v>
      </c>
      <c r="CI415" s="806">
        <f t="shared" ca="1" si="460"/>
        <v>0</v>
      </c>
      <c r="CJ415" s="770">
        <f t="shared" ca="1" si="461"/>
        <v>0</v>
      </c>
      <c r="CK415" s="771">
        <f t="shared" ca="1" si="462"/>
        <v>0</v>
      </c>
      <c r="CL415" s="771">
        <f t="shared" ca="1" si="463"/>
        <v>0</v>
      </c>
      <c r="CM415" s="772">
        <f t="shared" ca="1" si="464"/>
        <v>0</v>
      </c>
      <c r="CN415" s="135"/>
      <c r="CO415" s="770">
        <f t="shared" ref="CO415:CO478" ca="1" si="514">IF(BU415&gt;BX415,3%,105%)</f>
        <v>1.05</v>
      </c>
      <c r="CP415" s="771">
        <f t="shared" ca="1" si="465"/>
        <v>0.02</v>
      </c>
      <c r="CQ415" s="771">
        <f t="shared" ca="1" si="466"/>
        <v>-2.5000000000000001E-2</v>
      </c>
      <c r="CR415" s="771">
        <f t="shared" ca="1" si="467"/>
        <v>0.95</v>
      </c>
      <c r="CS415" s="771">
        <f t="shared" ca="1" si="468"/>
        <v>0.03</v>
      </c>
      <c r="CT415" s="772">
        <f t="shared" ca="1" si="469"/>
        <v>0.02</v>
      </c>
      <c r="CU415" s="135"/>
      <c r="CV415" s="135"/>
      <c r="CW415" s="135"/>
      <c r="CX415" s="135"/>
      <c r="CY415" s="135"/>
      <c r="CZ415" s="135"/>
      <c r="DA415" s="135"/>
      <c r="DB415" s="135"/>
      <c r="DC415" s="135"/>
      <c r="DD415" s="135"/>
      <c r="DE415" s="135"/>
      <c r="DF415" s="135"/>
      <c r="DG415" s="135"/>
      <c r="DH415" s="135"/>
      <c r="DI415" s="135"/>
      <c r="DJ415" s="135"/>
      <c r="DK415" s="135"/>
      <c r="DL415" s="135"/>
      <c r="DX415" s="135"/>
      <c r="DY415" s="135"/>
      <c r="DZ415" s="135"/>
      <c r="EA415" s="135"/>
      <c r="EB415" s="135"/>
      <c r="EC415" s="135"/>
      <c r="ED415" s="135"/>
      <c r="EE415" s="135"/>
      <c r="EF415" s="135"/>
      <c r="EG415" s="135"/>
      <c r="EH415" s="135"/>
      <c r="EI415" s="135"/>
      <c r="EJ415" s="135"/>
      <c r="EK415" s="135"/>
      <c r="EL415" s="135"/>
      <c r="EM415" s="135"/>
      <c r="EN415" s="135"/>
      <c r="EO415" s="135"/>
      <c r="EP415" s="135"/>
      <c r="EQ415" s="135"/>
      <c r="ER415" s="135"/>
      <c r="ES415" s="135"/>
      <c r="ET415" s="135"/>
      <c r="EU415" s="135"/>
      <c r="EV415" s="135"/>
      <c r="EW415" s="135"/>
      <c r="EX415" s="135"/>
      <c r="EY415" s="135"/>
      <c r="EZ415" s="135"/>
      <c r="FA415" s="135"/>
      <c r="FB415" s="135"/>
      <c r="FC415" s="135"/>
      <c r="FD415" s="135"/>
      <c r="FE415" s="135"/>
      <c r="FF415" s="135"/>
      <c r="FG415" s="135"/>
    </row>
    <row r="416" spans="1:163" s="57" customFormat="1" ht="11.25" outlineLevel="1">
      <c r="A416" s="765">
        <f t="shared" si="442"/>
        <v>17</v>
      </c>
      <c r="B416" s="715" cm="1">
        <f t="array" aca="1" ref="B416" ca="1">INDIRECT("'Definition of Typical Day'!"&amp;ADDRESS(B$16,$E416))</f>
        <v>17</v>
      </c>
      <c r="C416" s="766">
        <f t="shared" si="443"/>
        <v>12</v>
      </c>
      <c r="D416" s="715">
        <f t="shared" si="443"/>
        <v>46</v>
      </c>
      <c r="E416" s="715">
        <f t="shared" si="444"/>
        <v>21</v>
      </c>
      <c r="F416" s="767" cm="1">
        <f t="array" aca="1" ref="F416" ca="1">INDIRECT("'Definition of Typical Day'!D"&amp;D416)</f>
        <v>12</v>
      </c>
      <c r="G416" s="767" cm="1">
        <f t="array" aca="1" ref="G416" ca="1">INDIRECT("'Definition of Typical Day'!"&amp;ADDRESS(13,E416))</f>
        <v>17</v>
      </c>
      <c r="H416" s="768" cm="1">
        <f t="array" aca="1" ref="H416" ca="1">INDIRECT("'Definition of Typical Day'!"&amp; ADDRESS($D416+28*(H$16-1),$E416))</f>
        <v>0</v>
      </c>
      <c r="I416" s="715" cm="1">
        <f t="array" aca="1" ref="I416" ca="1">INDIRECT("'Definition of Typical Day'!"&amp; ADDRESS($D416+29*(I$16-1),$E416))</f>
        <v>0</v>
      </c>
      <c r="J416" s="715">
        <f t="shared" ca="1" si="470"/>
        <v>0</v>
      </c>
      <c r="K416" s="785">
        <f t="shared" si="471"/>
        <v>28</v>
      </c>
      <c r="L416" s="786" cm="1">
        <f t="array" aca="1" ref="L416" ca="1">INDIRECT("'Definition of Typical Day'!"&amp; ADDRESS($D416+29*(L$16-1),$E416))</f>
        <v>0</v>
      </c>
      <c r="M416" s="768" cm="1">
        <f t="array" aca="1" ref="M416" ca="1">INDIRECT("'Definition of Typical Day'!"&amp; ADDRESS($D416+29*(M$16-1),$E416))</f>
        <v>0</v>
      </c>
      <c r="N416" s="715">
        <f t="shared" si="472"/>
        <v>3</v>
      </c>
      <c r="O416" s="715">
        <f t="shared" ca="1" si="473"/>
        <v>3</v>
      </c>
      <c r="P416" s="715" cm="1">
        <f t="array" aca="1" ref="P416" ca="1">INDIRECT("'Definition of Typical Day'!"&amp; ADDRESS($D416+29*(P$16-1),$E416))</f>
        <v>0</v>
      </c>
      <c r="Q416" s="787">
        <f t="shared" ca="1" si="474"/>
        <v>3</v>
      </c>
      <c r="R416" s="792">
        <f t="shared" ca="1" si="475"/>
        <v>3</v>
      </c>
      <c r="S416" s="769">
        <f t="shared" si="476"/>
        <v>3</v>
      </c>
      <c r="T416" s="769">
        <f t="shared" ca="1" si="477"/>
        <v>-0.5</v>
      </c>
      <c r="U416" s="769">
        <f t="shared" ca="1" si="478"/>
        <v>2.262</v>
      </c>
      <c r="V416" s="769">
        <f t="shared" ca="1" si="479"/>
        <v>0</v>
      </c>
      <c r="W416" s="769">
        <f t="shared" ca="1" si="480"/>
        <v>4.7620000000000005</v>
      </c>
      <c r="X416" s="794">
        <f t="shared" si="481"/>
        <v>3</v>
      </c>
      <c r="Y416" s="769">
        <f t="shared" ca="1" si="482"/>
        <v>0.54772255750516607</v>
      </c>
      <c r="Z416" s="769">
        <f t="shared" ca="1" si="483"/>
        <v>0</v>
      </c>
      <c r="AA416" s="795">
        <f t="shared" ca="1" si="484"/>
        <v>0</v>
      </c>
      <c r="AB416" s="769">
        <f t="shared" ca="1" si="485"/>
        <v>0</v>
      </c>
      <c r="AC416" s="769">
        <f t="shared" ca="1" si="486"/>
        <v>0</v>
      </c>
      <c r="AD416" s="769">
        <f t="shared" ca="1" si="487"/>
        <v>0</v>
      </c>
      <c r="AE416" s="794">
        <f t="shared" ca="1" si="488"/>
        <v>0</v>
      </c>
      <c r="AF416" s="769">
        <f t="shared" ca="1" si="489"/>
        <v>0</v>
      </c>
      <c r="AG416" s="769">
        <f t="shared" ca="1" si="490"/>
        <v>0</v>
      </c>
      <c r="AH416" s="799">
        <f t="shared" ca="1" si="491"/>
        <v>0</v>
      </c>
      <c r="AI416" s="801">
        <f t="shared" ca="1" si="492"/>
        <v>1</v>
      </c>
      <c r="AJ416" s="794">
        <f t="shared" ca="1" si="493"/>
        <v>0</v>
      </c>
      <c r="AK416" s="769">
        <f t="shared" ca="1" si="494"/>
        <v>0</v>
      </c>
      <c r="AL416" s="769">
        <f t="shared" ca="1" si="495"/>
        <v>0</v>
      </c>
      <c r="AM416" s="804">
        <f t="shared" ca="1" si="445"/>
        <v>0</v>
      </c>
      <c r="AN416" s="795">
        <f t="shared" ca="1" si="446"/>
        <v>0</v>
      </c>
      <c r="AO416" s="251"/>
      <c r="AP416" s="770">
        <f t="shared" si="496"/>
        <v>0</v>
      </c>
      <c r="AQ416" s="771">
        <f t="shared" ca="1" si="497"/>
        <v>0</v>
      </c>
      <c r="AR416" s="771">
        <f t="shared" ca="1" si="498"/>
        <v>0</v>
      </c>
      <c r="AS416" s="772">
        <f t="shared" ca="1" si="499"/>
        <v>0</v>
      </c>
      <c r="AT416" s="231"/>
      <c r="AU416" s="770">
        <f>'Main Results - IRR DC Operator'!$F$16</f>
        <v>2</v>
      </c>
      <c r="AV416" s="773">
        <f>'Main Results - IRR DC Operator'!$F$15</f>
        <v>1</v>
      </c>
      <c r="AW416" s="771">
        <f t="shared" ca="1" si="500"/>
        <v>0</v>
      </c>
      <c r="AX416" s="772">
        <f t="shared" si="501"/>
        <v>0</v>
      </c>
      <c r="AY416" s="231"/>
      <c r="AZ416" s="770" cm="1">
        <f t="array" aca="1" ref="AZ416" ca="1">INDIRECT("'Definition of Typical Day'!"&amp; ADDRESS($D416+29*(AZ$16-1),$E416))+$AZ$17</f>
        <v>11</v>
      </c>
      <c r="BA416" s="771" cm="1">
        <f t="array" aca="1" ref="BA416" ca="1">INDIRECT("'Definition of Typical Day'!"&amp; ADDRESS($D416+29*(BA$16-1),$E416))+$BA$17</f>
        <v>11</v>
      </c>
      <c r="BB416" s="772" cm="1">
        <f t="array" aca="1" ref="BB416" ca="1">INDIRECT("'Definition of Typical Day'!"&amp;ADDRESS(BB$16,$E416))</f>
        <v>0</v>
      </c>
      <c r="BC416" s="776" cm="1">
        <f t="array" aca="1" ref="BC416" ca="1">INDIRECT("'Definition of Typical Day'!"&amp; ADDRESS($D416+29*(BC$16-1),$E416))</f>
        <v>0</v>
      </c>
      <c r="BD416" s="777" cm="1">
        <f t="array" aca="1" ref="BD416" ca="1">INDIRECT("'Definition of Typical Day'!"&amp; ADDRESS($D416+29*(BD$16-1),$E416))</f>
        <v>0</v>
      </c>
      <c r="BE416" s="776">
        <f t="shared" si="502"/>
        <v>0</v>
      </c>
      <c r="BF416" s="771">
        <f t="shared" ca="1" si="503"/>
        <v>0</v>
      </c>
      <c r="BG416" s="771">
        <f t="shared" ca="1" si="504"/>
        <v>0</v>
      </c>
      <c r="BH416" s="771">
        <f t="shared" ca="1" si="505"/>
        <v>0</v>
      </c>
      <c r="BI416" s="776">
        <f t="shared" ca="1" si="506"/>
        <v>0</v>
      </c>
      <c r="BJ416" s="776">
        <f t="shared" ca="1" si="507"/>
        <v>0</v>
      </c>
      <c r="BK416" s="776">
        <f t="shared" ca="1" si="508"/>
        <v>0</v>
      </c>
      <c r="BL416" s="776">
        <f t="shared" ca="1" si="509"/>
        <v>0</v>
      </c>
      <c r="BM416" s="135"/>
      <c r="BN416" s="776">
        <f t="shared" ca="1" si="510"/>
        <v>0</v>
      </c>
      <c r="BO416" s="778">
        <f t="shared" ca="1" si="447"/>
        <v>0</v>
      </c>
      <c r="BP416" s="770">
        <f t="shared" ca="1" si="448"/>
        <v>0</v>
      </c>
      <c r="BQ416" s="771">
        <f t="shared" ca="1" si="449"/>
        <v>0</v>
      </c>
      <c r="BR416" s="771">
        <f t="shared" ca="1" si="450"/>
        <v>0</v>
      </c>
      <c r="BS416" s="776">
        <f t="shared" ca="1" si="511"/>
        <v>0</v>
      </c>
      <c r="BT416" s="776">
        <f t="shared" ca="1" si="451"/>
        <v>0</v>
      </c>
      <c r="BU416" s="783">
        <f t="shared" ca="1" si="452"/>
        <v>0</v>
      </c>
      <c r="BV416" s="783">
        <f t="shared" ca="1" si="453"/>
        <v>0</v>
      </c>
      <c r="BW416" s="1019">
        <f t="shared" ca="1" si="512"/>
        <v>0</v>
      </c>
      <c r="BX416" s="771" cm="1">
        <f t="array" aca="1" ref="BX416" ca="1">INDIRECT("'Definition of Typical Day'!"&amp; ADDRESS($D416+29*(BX$16-1),$E416))</f>
        <v>0</v>
      </c>
      <c r="BY416" s="771">
        <f t="shared" ca="1" si="513"/>
        <v>0</v>
      </c>
      <c r="BZ416" s="781">
        <f t="shared" ca="1" si="454"/>
        <v>0</v>
      </c>
      <c r="CA416" s="781">
        <f t="shared" ca="1" si="455"/>
        <v>0</v>
      </c>
      <c r="CB416" s="776">
        <f t="shared" ca="1" si="456"/>
        <v>0</v>
      </c>
      <c r="CC416" s="782">
        <f t="shared" si="457"/>
        <v>17</v>
      </c>
      <c r="CD416" s="782">
        <f t="shared" si="458"/>
        <v>12</v>
      </c>
      <c r="CE416" s="784" cm="1">
        <f t="array" aca="1" ref="CE416" ca="1">INDIRECT("'Definition of Typical Day'!"&amp;ADDRESS(CE$16,$E416))</f>
        <v>17</v>
      </c>
      <c r="CF416" s="232"/>
      <c r="CG416" s="232"/>
      <c r="CH416" s="776">
        <f t="shared" ca="1" si="459"/>
        <v>0</v>
      </c>
      <c r="CI416" s="806">
        <f t="shared" ca="1" si="460"/>
        <v>0</v>
      </c>
      <c r="CJ416" s="770">
        <f t="shared" ca="1" si="461"/>
        <v>0</v>
      </c>
      <c r="CK416" s="771">
        <f t="shared" ca="1" si="462"/>
        <v>0</v>
      </c>
      <c r="CL416" s="771">
        <f t="shared" ca="1" si="463"/>
        <v>0</v>
      </c>
      <c r="CM416" s="772">
        <f t="shared" ca="1" si="464"/>
        <v>0</v>
      </c>
      <c r="CN416" s="135"/>
      <c r="CO416" s="770">
        <f t="shared" ca="1" si="514"/>
        <v>1.05</v>
      </c>
      <c r="CP416" s="771">
        <f t="shared" ca="1" si="465"/>
        <v>0.02</v>
      </c>
      <c r="CQ416" s="771">
        <f t="shared" ca="1" si="466"/>
        <v>-2.5000000000000001E-2</v>
      </c>
      <c r="CR416" s="771">
        <f t="shared" ca="1" si="467"/>
        <v>0.95</v>
      </c>
      <c r="CS416" s="771">
        <f t="shared" ca="1" si="468"/>
        <v>0.03</v>
      </c>
      <c r="CT416" s="772">
        <f t="shared" ca="1" si="469"/>
        <v>0.02</v>
      </c>
      <c r="CU416" s="135"/>
      <c r="CV416" s="135"/>
      <c r="CW416" s="135"/>
      <c r="CX416" s="135"/>
      <c r="CY416" s="135"/>
      <c r="CZ416" s="135"/>
      <c r="DA416" s="135"/>
      <c r="DB416" s="135"/>
      <c r="DC416" s="135"/>
      <c r="DD416" s="135"/>
      <c r="DE416" s="135"/>
      <c r="DF416" s="135"/>
      <c r="DG416" s="135"/>
      <c r="DH416" s="135"/>
      <c r="DI416" s="135"/>
      <c r="DJ416" s="135"/>
      <c r="DK416" s="135"/>
      <c r="DL416" s="135"/>
      <c r="DX416" s="135"/>
      <c r="DY416" s="135"/>
      <c r="DZ416" s="135"/>
      <c r="EA416" s="135"/>
      <c r="EB416" s="135"/>
      <c r="EC416" s="135"/>
      <c r="ED416" s="135"/>
      <c r="EE416" s="135"/>
      <c r="EF416" s="135"/>
      <c r="EG416" s="135"/>
      <c r="EH416" s="135"/>
      <c r="EI416" s="135"/>
      <c r="EJ416" s="135"/>
      <c r="EK416" s="135"/>
      <c r="EL416" s="135"/>
      <c r="EM416" s="135"/>
      <c r="EN416" s="135"/>
      <c r="EO416" s="135"/>
      <c r="EP416" s="135"/>
      <c r="EQ416" s="135"/>
      <c r="ER416" s="135"/>
      <c r="ES416" s="135"/>
      <c r="ET416" s="135"/>
      <c r="EU416" s="135"/>
      <c r="EV416" s="135"/>
      <c r="EW416" s="135"/>
      <c r="EX416" s="135"/>
      <c r="EY416" s="135"/>
      <c r="EZ416" s="135"/>
      <c r="FA416" s="135"/>
      <c r="FB416" s="135"/>
      <c r="FC416" s="135"/>
      <c r="FD416" s="135"/>
      <c r="FE416" s="135"/>
      <c r="FF416" s="135"/>
      <c r="FG416" s="135"/>
    </row>
    <row r="417" spans="1:163" s="57" customFormat="1" ht="11.25" outlineLevel="1">
      <c r="A417" s="765">
        <f t="shared" si="442"/>
        <v>17</v>
      </c>
      <c r="B417" s="715" cm="1">
        <f t="array" aca="1" ref="B417" ca="1">INDIRECT("'Definition of Typical Day'!"&amp;ADDRESS(B$16,$E417))</f>
        <v>17</v>
      </c>
      <c r="C417" s="766">
        <f t="shared" si="443"/>
        <v>13</v>
      </c>
      <c r="D417" s="715">
        <f t="shared" si="443"/>
        <v>47</v>
      </c>
      <c r="E417" s="715">
        <f t="shared" si="444"/>
        <v>21</v>
      </c>
      <c r="F417" s="767" cm="1">
        <f t="array" aca="1" ref="F417" ca="1">INDIRECT("'Definition of Typical Day'!D"&amp;D417)</f>
        <v>13</v>
      </c>
      <c r="G417" s="767" cm="1">
        <f t="array" aca="1" ref="G417" ca="1">INDIRECT("'Definition of Typical Day'!"&amp;ADDRESS(13,E417))</f>
        <v>17</v>
      </c>
      <c r="H417" s="768" cm="1">
        <f t="array" aca="1" ref="H417" ca="1">INDIRECT("'Definition of Typical Day'!"&amp; ADDRESS($D417+28*(H$16-1),$E417))</f>
        <v>0</v>
      </c>
      <c r="I417" s="715" cm="1">
        <f t="array" aca="1" ref="I417" ca="1">INDIRECT("'Definition of Typical Day'!"&amp; ADDRESS($D417+29*(I$16-1),$E417))</f>
        <v>0</v>
      </c>
      <c r="J417" s="715">
        <f t="shared" ca="1" si="470"/>
        <v>0</v>
      </c>
      <c r="K417" s="785">
        <f t="shared" si="471"/>
        <v>28</v>
      </c>
      <c r="L417" s="786" cm="1">
        <f t="array" aca="1" ref="L417" ca="1">INDIRECT("'Definition of Typical Day'!"&amp; ADDRESS($D417+29*(L$16-1),$E417))</f>
        <v>0</v>
      </c>
      <c r="M417" s="768" cm="1">
        <f t="array" aca="1" ref="M417" ca="1">INDIRECT("'Definition of Typical Day'!"&amp; ADDRESS($D417+29*(M$16-1),$E417))</f>
        <v>0</v>
      </c>
      <c r="N417" s="715">
        <f t="shared" si="472"/>
        <v>3</v>
      </c>
      <c r="O417" s="715">
        <f t="shared" ca="1" si="473"/>
        <v>3</v>
      </c>
      <c r="P417" s="715" cm="1">
        <f t="array" aca="1" ref="P417" ca="1">INDIRECT("'Definition of Typical Day'!"&amp; ADDRESS($D417+29*(P$16-1),$E417))</f>
        <v>0</v>
      </c>
      <c r="Q417" s="787">
        <f t="shared" ca="1" si="474"/>
        <v>3</v>
      </c>
      <c r="R417" s="792">
        <f t="shared" ca="1" si="475"/>
        <v>3</v>
      </c>
      <c r="S417" s="769">
        <f t="shared" si="476"/>
        <v>3</v>
      </c>
      <c r="T417" s="769">
        <f t="shared" ca="1" si="477"/>
        <v>-0.5</v>
      </c>
      <c r="U417" s="769">
        <f t="shared" ca="1" si="478"/>
        <v>2.262</v>
      </c>
      <c r="V417" s="769">
        <f t="shared" ca="1" si="479"/>
        <v>0</v>
      </c>
      <c r="W417" s="769">
        <f t="shared" ca="1" si="480"/>
        <v>4.7620000000000005</v>
      </c>
      <c r="X417" s="794">
        <f t="shared" si="481"/>
        <v>3</v>
      </c>
      <c r="Y417" s="769">
        <f t="shared" ca="1" si="482"/>
        <v>0.54772255750516607</v>
      </c>
      <c r="Z417" s="769">
        <f t="shared" ca="1" si="483"/>
        <v>0</v>
      </c>
      <c r="AA417" s="795">
        <f t="shared" ca="1" si="484"/>
        <v>0</v>
      </c>
      <c r="AB417" s="769">
        <f t="shared" ca="1" si="485"/>
        <v>0</v>
      </c>
      <c r="AC417" s="769">
        <f t="shared" ca="1" si="486"/>
        <v>0</v>
      </c>
      <c r="AD417" s="769">
        <f t="shared" ca="1" si="487"/>
        <v>0</v>
      </c>
      <c r="AE417" s="794">
        <f t="shared" ca="1" si="488"/>
        <v>0</v>
      </c>
      <c r="AF417" s="769">
        <f t="shared" ca="1" si="489"/>
        <v>0</v>
      </c>
      <c r="AG417" s="769">
        <f t="shared" ca="1" si="490"/>
        <v>0</v>
      </c>
      <c r="AH417" s="799">
        <f t="shared" ca="1" si="491"/>
        <v>0</v>
      </c>
      <c r="AI417" s="801">
        <f t="shared" ca="1" si="492"/>
        <v>1</v>
      </c>
      <c r="AJ417" s="794">
        <f t="shared" ca="1" si="493"/>
        <v>0</v>
      </c>
      <c r="AK417" s="769">
        <f t="shared" ca="1" si="494"/>
        <v>0</v>
      </c>
      <c r="AL417" s="769">
        <f t="shared" ca="1" si="495"/>
        <v>0</v>
      </c>
      <c r="AM417" s="804">
        <f t="shared" ca="1" si="445"/>
        <v>0</v>
      </c>
      <c r="AN417" s="795">
        <f t="shared" ca="1" si="446"/>
        <v>0</v>
      </c>
      <c r="AO417" s="251"/>
      <c r="AP417" s="770">
        <f t="shared" si="496"/>
        <v>0</v>
      </c>
      <c r="AQ417" s="771">
        <f t="shared" ca="1" si="497"/>
        <v>0</v>
      </c>
      <c r="AR417" s="771">
        <f t="shared" ca="1" si="498"/>
        <v>0</v>
      </c>
      <c r="AS417" s="772">
        <f t="shared" ca="1" si="499"/>
        <v>0</v>
      </c>
      <c r="AT417" s="231"/>
      <c r="AU417" s="770">
        <f>'Main Results - IRR DC Operator'!$F$16</f>
        <v>2</v>
      </c>
      <c r="AV417" s="773">
        <f>'Main Results - IRR DC Operator'!$F$15</f>
        <v>1</v>
      </c>
      <c r="AW417" s="771">
        <f t="shared" ca="1" si="500"/>
        <v>0</v>
      </c>
      <c r="AX417" s="772">
        <f t="shared" si="501"/>
        <v>0</v>
      </c>
      <c r="AY417" s="231"/>
      <c r="AZ417" s="770" cm="1">
        <f t="array" aca="1" ref="AZ417" ca="1">INDIRECT("'Definition of Typical Day'!"&amp; ADDRESS($D417+29*(AZ$16-1),$E417))+$AZ$17</f>
        <v>11</v>
      </c>
      <c r="BA417" s="771" cm="1">
        <f t="array" aca="1" ref="BA417" ca="1">INDIRECT("'Definition of Typical Day'!"&amp; ADDRESS($D417+29*(BA$16-1),$E417))+$BA$17</f>
        <v>11</v>
      </c>
      <c r="BB417" s="772" cm="1">
        <f t="array" aca="1" ref="BB417" ca="1">INDIRECT("'Definition of Typical Day'!"&amp;ADDRESS(BB$16,$E417))</f>
        <v>0</v>
      </c>
      <c r="BC417" s="776" cm="1">
        <f t="array" aca="1" ref="BC417" ca="1">INDIRECT("'Definition of Typical Day'!"&amp; ADDRESS($D417+29*(BC$16-1),$E417))</f>
        <v>0</v>
      </c>
      <c r="BD417" s="777" cm="1">
        <f t="array" aca="1" ref="BD417" ca="1">INDIRECT("'Definition of Typical Day'!"&amp; ADDRESS($D417+29*(BD$16-1),$E417))</f>
        <v>0</v>
      </c>
      <c r="BE417" s="776">
        <f t="shared" si="502"/>
        <v>0</v>
      </c>
      <c r="BF417" s="771">
        <f t="shared" ca="1" si="503"/>
        <v>0</v>
      </c>
      <c r="BG417" s="771">
        <f t="shared" ca="1" si="504"/>
        <v>0</v>
      </c>
      <c r="BH417" s="771">
        <f t="shared" ca="1" si="505"/>
        <v>0</v>
      </c>
      <c r="BI417" s="776">
        <f t="shared" ca="1" si="506"/>
        <v>0</v>
      </c>
      <c r="BJ417" s="776">
        <f t="shared" ca="1" si="507"/>
        <v>0</v>
      </c>
      <c r="BK417" s="776">
        <f t="shared" ca="1" si="508"/>
        <v>0</v>
      </c>
      <c r="BL417" s="776">
        <f t="shared" ca="1" si="509"/>
        <v>0</v>
      </c>
      <c r="BM417" s="135"/>
      <c r="BN417" s="776">
        <f t="shared" ca="1" si="510"/>
        <v>0</v>
      </c>
      <c r="BO417" s="778">
        <f t="shared" ca="1" si="447"/>
        <v>0</v>
      </c>
      <c r="BP417" s="770">
        <f t="shared" ca="1" si="448"/>
        <v>0</v>
      </c>
      <c r="BQ417" s="771">
        <f t="shared" ca="1" si="449"/>
        <v>0</v>
      </c>
      <c r="BR417" s="771">
        <f t="shared" ca="1" si="450"/>
        <v>0</v>
      </c>
      <c r="BS417" s="776">
        <f t="shared" ca="1" si="511"/>
        <v>0</v>
      </c>
      <c r="BT417" s="776">
        <f t="shared" ca="1" si="451"/>
        <v>0</v>
      </c>
      <c r="BU417" s="783">
        <f t="shared" ca="1" si="452"/>
        <v>0</v>
      </c>
      <c r="BV417" s="783">
        <f t="shared" ca="1" si="453"/>
        <v>0</v>
      </c>
      <c r="BW417" s="1019">
        <f t="shared" ca="1" si="512"/>
        <v>0</v>
      </c>
      <c r="BX417" s="771" cm="1">
        <f t="array" aca="1" ref="BX417" ca="1">INDIRECT("'Definition of Typical Day'!"&amp; ADDRESS($D417+29*(BX$16-1),$E417))</f>
        <v>0</v>
      </c>
      <c r="BY417" s="771">
        <f t="shared" ca="1" si="513"/>
        <v>0</v>
      </c>
      <c r="BZ417" s="781">
        <f t="shared" ca="1" si="454"/>
        <v>0</v>
      </c>
      <c r="CA417" s="781">
        <f t="shared" ca="1" si="455"/>
        <v>0</v>
      </c>
      <c r="CB417" s="776">
        <f t="shared" ca="1" si="456"/>
        <v>0</v>
      </c>
      <c r="CC417" s="782">
        <f t="shared" si="457"/>
        <v>17</v>
      </c>
      <c r="CD417" s="782">
        <f t="shared" si="458"/>
        <v>13</v>
      </c>
      <c r="CE417" s="784" cm="1">
        <f t="array" aca="1" ref="CE417" ca="1">INDIRECT("'Definition of Typical Day'!"&amp;ADDRESS(CE$16,$E417))</f>
        <v>17</v>
      </c>
      <c r="CF417" s="232"/>
      <c r="CG417" s="232"/>
      <c r="CH417" s="776">
        <f t="shared" ca="1" si="459"/>
        <v>0</v>
      </c>
      <c r="CI417" s="806">
        <f t="shared" ca="1" si="460"/>
        <v>0</v>
      </c>
      <c r="CJ417" s="770">
        <f t="shared" ca="1" si="461"/>
        <v>0</v>
      </c>
      <c r="CK417" s="771">
        <f t="shared" ca="1" si="462"/>
        <v>0</v>
      </c>
      <c r="CL417" s="771">
        <f t="shared" ca="1" si="463"/>
        <v>0</v>
      </c>
      <c r="CM417" s="772">
        <f t="shared" ca="1" si="464"/>
        <v>0</v>
      </c>
      <c r="CN417" s="135"/>
      <c r="CO417" s="770">
        <f t="shared" ca="1" si="514"/>
        <v>1.05</v>
      </c>
      <c r="CP417" s="771">
        <f t="shared" ca="1" si="465"/>
        <v>0.02</v>
      </c>
      <c r="CQ417" s="771">
        <f t="shared" ca="1" si="466"/>
        <v>-2.5000000000000001E-2</v>
      </c>
      <c r="CR417" s="771">
        <f t="shared" ca="1" si="467"/>
        <v>0.95</v>
      </c>
      <c r="CS417" s="771">
        <f t="shared" ca="1" si="468"/>
        <v>0.03</v>
      </c>
      <c r="CT417" s="772">
        <f t="shared" ca="1" si="469"/>
        <v>0.02</v>
      </c>
      <c r="CU417" s="135"/>
      <c r="CV417" s="135"/>
      <c r="CW417" s="135"/>
      <c r="CX417" s="135"/>
      <c r="CY417" s="135"/>
      <c r="CZ417" s="135"/>
      <c r="DA417" s="135"/>
      <c r="DB417" s="135"/>
      <c r="DC417" s="135"/>
      <c r="DD417" s="135"/>
      <c r="DE417" s="135"/>
      <c r="DF417" s="135"/>
      <c r="DG417" s="135"/>
      <c r="DH417" s="135"/>
      <c r="DI417" s="135"/>
      <c r="DJ417" s="135"/>
      <c r="DK417" s="135"/>
      <c r="DL417" s="135"/>
      <c r="DX417" s="135"/>
      <c r="DY417" s="135"/>
      <c r="DZ417" s="135"/>
      <c r="EA417" s="135"/>
      <c r="EB417" s="135"/>
      <c r="EC417" s="135"/>
      <c r="ED417" s="135"/>
      <c r="EE417" s="135"/>
      <c r="EF417" s="135"/>
      <c r="EG417" s="135"/>
      <c r="EH417" s="135"/>
      <c r="EI417" s="135"/>
      <c r="EJ417" s="135"/>
      <c r="EK417" s="135"/>
      <c r="EL417" s="135"/>
      <c r="EM417" s="135"/>
      <c r="EN417" s="135"/>
      <c r="EO417" s="135"/>
      <c r="EP417" s="135"/>
      <c r="EQ417" s="135"/>
      <c r="ER417" s="135"/>
      <c r="ES417" s="135"/>
      <c r="ET417" s="135"/>
      <c r="EU417" s="135"/>
      <c r="EV417" s="135"/>
      <c r="EW417" s="135"/>
      <c r="EX417" s="135"/>
      <c r="EY417" s="135"/>
      <c r="EZ417" s="135"/>
      <c r="FA417" s="135"/>
      <c r="FB417" s="135"/>
      <c r="FC417" s="135"/>
      <c r="FD417" s="135"/>
      <c r="FE417" s="135"/>
      <c r="FF417" s="135"/>
      <c r="FG417" s="135"/>
    </row>
    <row r="418" spans="1:163" s="57" customFormat="1" ht="11.25" outlineLevel="1">
      <c r="A418" s="765">
        <f t="shared" si="442"/>
        <v>17</v>
      </c>
      <c r="B418" s="715" cm="1">
        <f t="array" aca="1" ref="B418" ca="1">INDIRECT("'Definition of Typical Day'!"&amp;ADDRESS(B$16,$E418))</f>
        <v>17</v>
      </c>
      <c r="C418" s="766">
        <f t="shared" si="443"/>
        <v>14</v>
      </c>
      <c r="D418" s="715">
        <f t="shared" si="443"/>
        <v>48</v>
      </c>
      <c r="E418" s="715">
        <f t="shared" si="444"/>
        <v>21</v>
      </c>
      <c r="F418" s="767" cm="1">
        <f t="array" aca="1" ref="F418" ca="1">INDIRECT("'Definition of Typical Day'!D"&amp;D418)</f>
        <v>14</v>
      </c>
      <c r="G418" s="767" cm="1">
        <f t="array" aca="1" ref="G418" ca="1">INDIRECT("'Definition of Typical Day'!"&amp;ADDRESS(13,E418))</f>
        <v>17</v>
      </c>
      <c r="H418" s="768" cm="1">
        <f t="array" aca="1" ref="H418" ca="1">INDIRECT("'Definition of Typical Day'!"&amp; ADDRESS($D418+28*(H$16-1),$E418))</f>
        <v>0</v>
      </c>
      <c r="I418" s="715" cm="1">
        <f t="array" aca="1" ref="I418" ca="1">INDIRECT("'Definition of Typical Day'!"&amp; ADDRESS($D418+29*(I$16-1),$E418))</f>
        <v>0</v>
      </c>
      <c r="J418" s="715">
        <f t="shared" ca="1" si="470"/>
        <v>0</v>
      </c>
      <c r="K418" s="785">
        <f t="shared" si="471"/>
        <v>28</v>
      </c>
      <c r="L418" s="786" cm="1">
        <f t="array" aca="1" ref="L418" ca="1">INDIRECT("'Definition of Typical Day'!"&amp; ADDRESS($D418+29*(L$16-1),$E418))</f>
        <v>0</v>
      </c>
      <c r="M418" s="768" cm="1">
        <f t="array" aca="1" ref="M418" ca="1">INDIRECT("'Definition of Typical Day'!"&amp; ADDRESS($D418+29*(M$16-1),$E418))</f>
        <v>0</v>
      </c>
      <c r="N418" s="715">
        <f t="shared" si="472"/>
        <v>3</v>
      </c>
      <c r="O418" s="715">
        <f t="shared" ca="1" si="473"/>
        <v>3</v>
      </c>
      <c r="P418" s="715" cm="1">
        <f t="array" aca="1" ref="P418" ca="1">INDIRECT("'Definition of Typical Day'!"&amp; ADDRESS($D418+29*(P$16-1),$E418))</f>
        <v>0</v>
      </c>
      <c r="Q418" s="787">
        <f t="shared" ca="1" si="474"/>
        <v>3</v>
      </c>
      <c r="R418" s="792">
        <f t="shared" ca="1" si="475"/>
        <v>3</v>
      </c>
      <c r="S418" s="769">
        <f t="shared" si="476"/>
        <v>3</v>
      </c>
      <c r="T418" s="769">
        <f t="shared" ca="1" si="477"/>
        <v>-0.5</v>
      </c>
      <c r="U418" s="769">
        <f t="shared" ca="1" si="478"/>
        <v>2.262</v>
      </c>
      <c r="V418" s="769">
        <f t="shared" ca="1" si="479"/>
        <v>0</v>
      </c>
      <c r="W418" s="769">
        <f t="shared" ca="1" si="480"/>
        <v>4.7620000000000005</v>
      </c>
      <c r="X418" s="794">
        <f t="shared" si="481"/>
        <v>3</v>
      </c>
      <c r="Y418" s="769">
        <f t="shared" ca="1" si="482"/>
        <v>0.54772255750516607</v>
      </c>
      <c r="Z418" s="769">
        <f t="shared" ca="1" si="483"/>
        <v>0</v>
      </c>
      <c r="AA418" s="795">
        <f t="shared" ca="1" si="484"/>
        <v>0</v>
      </c>
      <c r="AB418" s="769">
        <f t="shared" ca="1" si="485"/>
        <v>0</v>
      </c>
      <c r="AC418" s="769">
        <f t="shared" ca="1" si="486"/>
        <v>0</v>
      </c>
      <c r="AD418" s="769">
        <f t="shared" ca="1" si="487"/>
        <v>0</v>
      </c>
      <c r="AE418" s="794">
        <f t="shared" ca="1" si="488"/>
        <v>0</v>
      </c>
      <c r="AF418" s="769">
        <f t="shared" ca="1" si="489"/>
        <v>0</v>
      </c>
      <c r="AG418" s="769">
        <f t="shared" ca="1" si="490"/>
        <v>0</v>
      </c>
      <c r="AH418" s="799">
        <f t="shared" ca="1" si="491"/>
        <v>0</v>
      </c>
      <c r="AI418" s="801">
        <f t="shared" ca="1" si="492"/>
        <v>1</v>
      </c>
      <c r="AJ418" s="794">
        <f t="shared" ca="1" si="493"/>
        <v>0</v>
      </c>
      <c r="AK418" s="769">
        <f t="shared" ca="1" si="494"/>
        <v>0</v>
      </c>
      <c r="AL418" s="769">
        <f t="shared" ca="1" si="495"/>
        <v>0</v>
      </c>
      <c r="AM418" s="804">
        <f t="shared" ca="1" si="445"/>
        <v>0</v>
      </c>
      <c r="AN418" s="795">
        <f t="shared" ca="1" si="446"/>
        <v>0</v>
      </c>
      <c r="AO418" s="251"/>
      <c r="AP418" s="770">
        <f t="shared" si="496"/>
        <v>0</v>
      </c>
      <c r="AQ418" s="771">
        <f t="shared" ca="1" si="497"/>
        <v>0</v>
      </c>
      <c r="AR418" s="771">
        <f t="shared" ca="1" si="498"/>
        <v>0</v>
      </c>
      <c r="AS418" s="772">
        <f t="shared" ca="1" si="499"/>
        <v>0</v>
      </c>
      <c r="AT418" s="231"/>
      <c r="AU418" s="770">
        <f>'Main Results - IRR DC Operator'!$F$16</f>
        <v>2</v>
      </c>
      <c r="AV418" s="773">
        <f>'Main Results - IRR DC Operator'!$F$15</f>
        <v>1</v>
      </c>
      <c r="AW418" s="771">
        <f t="shared" ca="1" si="500"/>
        <v>0</v>
      </c>
      <c r="AX418" s="772">
        <f t="shared" si="501"/>
        <v>0</v>
      </c>
      <c r="AY418" s="231"/>
      <c r="AZ418" s="770" cm="1">
        <f t="array" aca="1" ref="AZ418" ca="1">INDIRECT("'Definition of Typical Day'!"&amp; ADDRESS($D418+29*(AZ$16-1),$E418))+$AZ$17</f>
        <v>11</v>
      </c>
      <c r="BA418" s="771" cm="1">
        <f t="array" aca="1" ref="BA418" ca="1">INDIRECT("'Definition of Typical Day'!"&amp; ADDRESS($D418+29*(BA$16-1),$E418))+$BA$17</f>
        <v>11</v>
      </c>
      <c r="BB418" s="772" cm="1">
        <f t="array" aca="1" ref="BB418" ca="1">INDIRECT("'Definition of Typical Day'!"&amp;ADDRESS(BB$16,$E418))</f>
        <v>0</v>
      </c>
      <c r="BC418" s="776" cm="1">
        <f t="array" aca="1" ref="BC418" ca="1">INDIRECT("'Definition of Typical Day'!"&amp; ADDRESS($D418+29*(BC$16-1),$E418))</f>
        <v>0</v>
      </c>
      <c r="BD418" s="777" cm="1">
        <f t="array" aca="1" ref="BD418" ca="1">INDIRECT("'Definition of Typical Day'!"&amp; ADDRESS($D418+29*(BD$16-1),$E418))</f>
        <v>0</v>
      </c>
      <c r="BE418" s="776">
        <f t="shared" si="502"/>
        <v>0</v>
      </c>
      <c r="BF418" s="771">
        <f t="shared" ca="1" si="503"/>
        <v>0</v>
      </c>
      <c r="BG418" s="771">
        <f t="shared" ca="1" si="504"/>
        <v>0</v>
      </c>
      <c r="BH418" s="771">
        <f t="shared" ca="1" si="505"/>
        <v>0</v>
      </c>
      <c r="BI418" s="776">
        <f t="shared" ca="1" si="506"/>
        <v>0</v>
      </c>
      <c r="BJ418" s="776">
        <f t="shared" ca="1" si="507"/>
        <v>0</v>
      </c>
      <c r="BK418" s="776">
        <f t="shared" ca="1" si="508"/>
        <v>0</v>
      </c>
      <c r="BL418" s="776">
        <f t="shared" ca="1" si="509"/>
        <v>0</v>
      </c>
      <c r="BM418" s="135"/>
      <c r="BN418" s="776">
        <f t="shared" ca="1" si="510"/>
        <v>0</v>
      </c>
      <c r="BO418" s="778">
        <f t="shared" ca="1" si="447"/>
        <v>0</v>
      </c>
      <c r="BP418" s="770">
        <f t="shared" ca="1" si="448"/>
        <v>0</v>
      </c>
      <c r="BQ418" s="771">
        <f t="shared" ca="1" si="449"/>
        <v>0</v>
      </c>
      <c r="BR418" s="771">
        <f t="shared" ca="1" si="450"/>
        <v>0</v>
      </c>
      <c r="BS418" s="776">
        <f t="shared" ca="1" si="511"/>
        <v>0</v>
      </c>
      <c r="BT418" s="776">
        <f t="shared" ca="1" si="451"/>
        <v>0</v>
      </c>
      <c r="BU418" s="783">
        <f t="shared" ca="1" si="452"/>
        <v>0</v>
      </c>
      <c r="BV418" s="783">
        <f t="shared" ca="1" si="453"/>
        <v>0</v>
      </c>
      <c r="BW418" s="1019">
        <f t="shared" ca="1" si="512"/>
        <v>0</v>
      </c>
      <c r="BX418" s="771" cm="1">
        <f t="array" aca="1" ref="BX418" ca="1">INDIRECT("'Definition of Typical Day'!"&amp; ADDRESS($D418+29*(BX$16-1),$E418))</f>
        <v>0</v>
      </c>
      <c r="BY418" s="771">
        <f t="shared" ca="1" si="513"/>
        <v>0</v>
      </c>
      <c r="BZ418" s="781">
        <f t="shared" ca="1" si="454"/>
        <v>0</v>
      </c>
      <c r="CA418" s="781">
        <f t="shared" ca="1" si="455"/>
        <v>0</v>
      </c>
      <c r="CB418" s="776">
        <f t="shared" ca="1" si="456"/>
        <v>0</v>
      </c>
      <c r="CC418" s="782">
        <f t="shared" si="457"/>
        <v>17</v>
      </c>
      <c r="CD418" s="782">
        <f t="shared" si="458"/>
        <v>14</v>
      </c>
      <c r="CE418" s="784" cm="1">
        <f t="array" aca="1" ref="CE418" ca="1">INDIRECT("'Definition of Typical Day'!"&amp;ADDRESS(CE$16,$E418))</f>
        <v>17</v>
      </c>
      <c r="CF418" s="232"/>
      <c r="CG418" s="232"/>
      <c r="CH418" s="776">
        <f t="shared" ca="1" si="459"/>
        <v>0</v>
      </c>
      <c r="CI418" s="806">
        <f t="shared" ca="1" si="460"/>
        <v>0</v>
      </c>
      <c r="CJ418" s="770">
        <f t="shared" ca="1" si="461"/>
        <v>0</v>
      </c>
      <c r="CK418" s="771">
        <f t="shared" ca="1" si="462"/>
        <v>0</v>
      </c>
      <c r="CL418" s="771">
        <f t="shared" ca="1" si="463"/>
        <v>0</v>
      </c>
      <c r="CM418" s="772">
        <f t="shared" ca="1" si="464"/>
        <v>0</v>
      </c>
      <c r="CN418" s="135"/>
      <c r="CO418" s="770">
        <f t="shared" ca="1" si="514"/>
        <v>1.05</v>
      </c>
      <c r="CP418" s="771">
        <f t="shared" ca="1" si="465"/>
        <v>0.02</v>
      </c>
      <c r="CQ418" s="771">
        <f t="shared" ca="1" si="466"/>
        <v>-2.5000000000000001E-2</v>
      </c>
      <c r="CR418" s="771">
        <f t="shared" ca="1" si="467"/>
        <v>0.95</v>
      </c>
      <c r="CS418" s="771">
        <f t="shared" ca="1" si="468"/>
        <v>0.03</v>
      </c>
      <c r="CT418" s="772">
        <f t="shared" ca="1" si="469"/>
        <v>0.02</v>
      </c>
      <c r="CU418" s="135"/>
      <c r="CV418" s="135"/>
      <c r="CW418" s="135"/>
      <c r="CX418" s="135"/>
      <c r="CY418" s="135"/>
      <c r="CZ418" s="135"/>
      <c r="DA418" s="135"/>
      <c r="DB418" s="135"/>
      <c r="DC418" s="135"/>
      <c r="DD418" s="135"/>
      <c r="DE418" s="135"/>
      <c r="DF418" s="135"/>
      <c r="DG418" s="135"/>
      <c r="DH418" s="135"/>
      <c r="DI418" s="135"/>
      <c r="DJ418" s="135"/>
      <c r="DK418" s="135"/>
      <c r="DL418" s="135"/>
      <c r="DX418" s="135"/>
      <c r="DY418" s="135"/>
      <c r="DZ418" s="135"/>
      <c r="EA418" s="135"/>
      <c r="EB418" s="135"/>
      <c r="EC418" s="135"/>
      <c r="ED418" s="135"/>
      <c r="EE418" s="135"/>
      <c r="EF418" s="135"/>
      <c r="EG418" s="135"/>
      <c r="EH418" s="135"/>
      <c r="EI418" s="135"/>
      <c r="EJ418" s="135"/>
      <c r="EK418" s="135"/>
      <c r="EL418" s="135"/>
      <c r="EM418" s="135"/>
      <c r="EN418" s="135"/>
      <c r="EO418" s="135"/>
      <c r="EP418" s="135"/>
      <c r="EQ418" s="135"/>
      <c r="ER418" s="135"/>
      <c r="ES418" s="135"/>
      <c r="ET418" s="135"/>
      <c r="EU418" s="135"/>
      <c r="EV418" s="135"/>
      <c r="EW418" s="135"/>
      <c r="EX418" s="135"/>
      <c r="EY418" s="135"/>
      <c r="EZ418" s="135"/>
      <c r="FA418" s="135"/>
      <c r="FB418" s="135"/>
      <c r="FC418" s="135"/>
      <c r="FD418" s="135"/>
      <c r="FE418" s="135"/>
      <c r="FF418" s="135"/>
      <c r="FG418" s="135"/>
    </row>
    <row r="419" spans="1:163" s="57" customFormat="1" ht="11.25" outlineLevel="1">
      <c r="A419" s="765">
        <f t="shared" si="442"/>
        <v>17</v>
      </c>
      <c r="B419" s="715" cm="1">
        <f t="array" aca="1" ref="B419" ca="1">INDIRECT("'Definition of Typical Day'!"&amp;ADDRESS(B$16,$E419))</f>
        <v>17</v>
      </c>
      <c r="C419" s="766">
        <f t="shared" si="443"/>
        <v>15</v>
      </c>
      <c r="D419" s="715">
        <f t="shared" si="443"/>
        <v>49</v>
      </c>
      <c r="E419" s="715">
        <f t="shared" si="444"/>
        <v>21</v>
      </c>
      <c r="F419" s="767" cm="1">
        <f t="array" aca="1" ref="F419" ca="1">INDIRECT("'Definition of Typical Day'!D"&amp;D419)</f>
        <v>15</v>
      </c>
      <c r="G419" s="767" cm="1">
        <f t="array" aca="1" ref="G419" ca="1">INDIRECT("'Definition of Typical Day'!"&amp;ADDRESS(13,E419))</f>
        <v>17</v>
      </c>
      <c r="H419" s="768" cm="1">
        <f t="array" aca="1" ref="H419" ca="1">INDIRECT("'Definition of Typical Day'!"&amp; ADDRESS($D419+28*(H$16-1),$E419))</f>
        <v>0</v>
      </c>
      <c r="I419" s="715" cm="1">
        <f t="array" aca="1" ref="I419" ca="1">INDIRECT("'Definition of Typical Day'!"&amp; ADDRESS($D419+29*(I$16-1),$E419))</f>
        <v>0</v>
      </c>
      <c r="J419" s="715">
        <f t="shared" ca="1" si="470"/>
        <v>0</v>
      </c>
      <c r="K419" s="785">
        <f t="shared" si="471"/>
        <v>28</v>
      </c>
      <c r="L419" s="786" cm="1">
        <f t="array" aca="1" ref="L419" ca="1">INDIRECT("'Definition of Typical Day'!"&amp; ADDRESS($D419+29*(L$16-1),$E419))</f>
        <v>0</v>
      </c>
      <c r="M419" s="768" cm="1">
        <f t="array" aca="1" ref="M419" ca="1">INDIRECT("'Definition of Typical Day'!"&amp; ADDRESS($D419+29*(M$16-1),$E419))</f>
        <v>0</v>
      </c>
      <c r="N419" s="715">
        <f t="shared" si="472"/>
        <v>3</v>
      </c>
      <c r="O419" s="715">
        <f t="shared" ca="1" si="473"/>
        <v>3</v>
      </c>
      <c r="P419" s="715" cm="1">
        <f t="array" aca="1" ref="P419" ca="1">INDIRECT("'Definition of Typical Day'!"&amp; ADDRESS($D419+29*(P$16-1),$E419))</f>
        <v>0</v>
      </c>
      <c r="Q419" s="787">
        <f t="shared" ca="1" si="474"/>
        <v>3</v>
      </c>
      <c r="R419" s="792">
        <f t="shared" ca="1" si="475"/>
        <v>3</v>
      </c>
      <c r="S419" s="769">
        <f t="shared" si="476"/>
        <v>3</v>
      </c>
      <c r="T419" s="769">
        <f t="shared" ca="1" si="477"/>
        <v>-0.5</v>
      </c>
      <c r="U419" s="769">
        <f t="shared" ca="1" si="478"/>
        <v>2.262</v>
      </c>
      <c r="V419" s="769">
        <f t="shared" ca="1" si="479"/>
        <v>0</v>
      </c>
      <c r="W419" s="769">
        <f t="shared" ca="1" si="480"/>
        <v>4.7620000000000005</v>
      </c>
      <c r="X419" s="794">
        <f t="shared" si="481"/>
        <v>3</v>
      </c>
      <c r="Y419" s="769">
        <f t="shared" ca="1" si="482"/>
        <v>0.54772255750516607</v>
      </c>
      <c r="Z419" s="769">
        <f t="shared" ca="1" si="483"/>
        <v>0</v>
      </c>
      <c r="AA419" s="795">
        <f t="shared" ca="1" si="484"/>
        <v>0</v>
      </c>
      <c r="AB419" s="769">
        <f t="shared" ca="1" si="485"/>
        <v>0</v>
      </c>
      <c r="AC419" s="769">
        <f t="shared" ca="1" si="486"/>
        <v>0</v>
      </c>
      <c r="AD419" s="769">
        <f t="shared" ca="1" si="487"/>
        <v>0</v>
      </c>
      <c r="AE419" s="794">
        <f t="shared" ca="1" si="488"/>
        <v>0</v>
      </c>
      <c r="AF419" s="769">
        <f t="shared" ca="1" si="489"/>
        <v>0</v>
      </c>
      <c r="AG419" s="769">
        <f t="shared" ca="1" si="490"/>
        <v>0</v>
      </c>
      <c r="AH419" s="799">
        <f t="shared" ca="1" si="491"/>
        <v>0</v>
      </c>
      <c r="AI419" s="801">
        <f t="shared" ca="1" si="492"/>
        <v>1</v>
      </c>
      <c r="AJ419" s="794">
        <f t="shared" ca="1" si="493"/>
        <v>0</v>
      </c>
      <c r="AK419" s="769">
        <f t="shared" ca="1" si="494"/>
        <v>0</v>
      </c>
      <c r="AL419" s="769">
        <f t="shared" ca="1" si="495"/>
        <v>0</v>
      </c>
      <c r="AM419" s="804">
        <f t="shared" ca="1" si="445"/>
        <v>0</v>
      </c>
      <c r="AN419" s="795">
        <f t="shared" ca="1" si="446"/>
        <v>0</v>
      </c>
      <c r="AO419" s="251"/>
      <c r="AP419" s="770">
        <f t="shared" si="496"/>
        <v>0</v>
      </c>
      <c r="AQ419" s="771">
        <f t="shared" ca="1" si="497"/>
        <v>0</v>
      </c>
      <c r="AR419" s="771">
        <f t="shared" ca="1" si="498"/>
        <v>0</v>
      </c>
      <c r="AS419" s="772">
        <f t="shared" ca="1" si="499"/>
        <v>0</v>
      </c>
      <c r="AT419" s="231"/>
      <c r="AU419" s="770">
        <f>'Main Results - IRR DC Operator'!$F$16</f>
        <v>2</v>
      </c>
      <c r="AV419" s="773">
        <f>'Main Results - IRR DC Operator'!$F$15</f>
        <v>1</v>
      </c>
      <c r="AW419" s="771">
        <f t="shared" ca="1" si="500"/>
        <v>0</v>
      </c>
      <c r="AX419" s="772">
        <f t="shared" si="501"/>
        <v>0</v>
      </c>
      <c r="AY419" s="231"/>
      <c r="AZ419" s="770" cm="1">
        <f t="array" aca="1" ref="AZ419" ca="1">INDIRECT("'Definition of Typical Day'!"&amp; ADDRESS($D419+29*(AZ$16-1),$E419))+$AZ$17</f>
        <v>11</v>
      </c>
      <c r="BA419" s="771" cm="1">
        <f t="array" aca="1" ref="BA419" ca="1">INDIRECT("'Definition of Typical Day'!"&amp; ADDRESS($D419+29*(BA$16-1),$E419))+$BA$17</f>
        <v>11</v>
      </c>
      <c r="BB419" s="772" cm="1">
        <f t="array" aca="1" ref="BB419" ca="1">INDIRECT("'Definition of Typical Day'!"&amp;ADDRESS(BB$16,$E419))</f>
        <v>0</v>
      </c>
      <c r="BC419" s="776" cm="1">
        <f t="array" aca="1" ref="BC419" ca="1">INDIRECT("'Definition of Typical Day'!"&amp; ADDRESS($D419+29*(BC$16-1),$E419))</f>
        <v>0</v>
      </c>
      <c r="BD419" s="777" cm="1">
        <f t="array" aca="1" ref="BD419" ca="1">INDIRECT("'Definition of Typical Day'!"&amp; ADDRESS($D419+29*(BD$16-1),$E419))</f>
        <v>0</v>
      </c>
      <c r="BE419" s="776">
        <f t="shared" si="502"/>
        <v>0</v>
      </c>
      <c r="BF419" s="771">
        <f t="shared" ca="1" si="503"/>
        <v>0</v>
      </c>
      <c r="BG419" s="771">
        <f t="shared" ca="1" si="504"/>
        <v>0</v>
      </c>
      <c r="BH419" s="771">
        <f t="shared" ca="1" si="505"/>
        <v>0</v>
      </c>
      <c r="BI419" s="776">
        <f t="shared" ca="1" si="506"/>
        <v>0</v>
      </c>
      <c r="BJ419" s="776">
        <f t="shared" ca="1" si="507"/>
        <v>0</v>
      </c>
      <c r="BK419" s="776">
        <f t="shared" ca="1" si="508"/>
        <v>0</v>
      </c>
      <c r="BL419" s="776">
        <f t="shared" ca="1" si="509"/>
        <v>0</v>
      </c>
      <c r="BM419" s="135"/>
      <c r="BN419" s="776">
        <f t="shared" ca="1" si="510"/>
        <v>0</v>
      </c>
      <c r="BO419" s="778">
        <f t="shared" ca="1" si="447"/>
        <v>0</v>
      </c>
      <c r="BP419" s="770">
        <f t="shared" ca="1" si="448"/>
        <v>0</v>
      </c>
      <c r="BQ419" s="771">
        <f t="shared" ca="1" si="449"/>
        <v>0</v>
      </c>
      <c r="BR419" s="771">
        <f t="shared" ca="1" si="450"/>
        <v>0</v>
      </c>
      <c r="BS419" s="776">
        <f t="shared" ca="1" si="511"/>
        <v>0</v>
      </c>
      <c r="BT419" s="776">
        <f t="shared" ca="1" si="451"/>
        <v>0</v>
      </c>
      <c r="BU419" s="783">
        <f t="shared" ca="1" si="452"/>
        <v>0</v>
      </c>
      <c r="BV419" s="783">
        <f t="shared" ca="1" si="453"/>
        <v>0</v>
      </c>
      <c r="BW419" s="1019">
        <f t="shared" ca="1" si="512"/>
        <v>0</v>
      </c>
      <c r="BX419" s="771" cm="1">
        <f t="array" aca="1" ref="BX419" ca="1">INDIRECT("'Definition of Typical Day'!"&amp; ADDRESS($D419+29*(BX$16-1),$E419))</f>
        <v>0</v>
      </c>
      <c r="BY419" s="771">
        <f t="shared" ca="1" si="513"/>
        <v>0</v>
      </c>
      <c r="BZ419" s="781">
        <f t="shared" ca="1" si="454"/>
        <v>0</v>
      </c>
      <c r="CA419" s="781">
        <f t="shared" ca="1" si="455"/>
        <v>0</v>
      </c>
      <c r="CB419" s="776">
        <f t="shared" ca="1" si="456"/>
        <v>0</v>
      </c>
      <c r="CC419" s="782">
        <f t="shared" si="457"/>
        <v>17</v>
      </c>
      <c r="CD419" s="782">
        <f t="shared" si="458"/>
        <v>15</v>
      </c>
      <c r="CE419" s="784" cm="1">
        <f t="array" aca="1" ref="CE419" ca="1">INDIRECT("'Definition of Typical Day'!"&amp;ADDRESS(CE$16,$E419))</f>
        <v>17</v>
      </c>
      <c r="CF419" s="232"/>
      <c r="CG419" s="232"/>
      <c r="CH419" s="776">
        <f t="shared" ca="1" si="459"/>
        <v>0</v>
      </c>
      <c r="CI419" s="806">
        <f t="shared" ca="1" si="460"/>
        <v>0</v>
      </c>
      <c r="CJ419" s="770">
        <f t="shared" ca="1" si="461"/>
        <v>0</v>
      </c>
      <c r="CK419" s="771">
        <f t="shared" ca="1" si="462"/>
        <v>0</v>
      </c>
      <c r="CL419" s="771">
        <f t="shared" ca="1" si="463"/>
        <v>0</v>
      </c>
      <c r="CM419" s="772">
        <f t="shared" ca="1" si="464"/>
        <v>0</v>
      </c>
      <c r="CN419" s="135"/>
      <c r="CO419" s="770">
        <f t="shared" ca="1" si="514"/>
        <v>1.05</v>
      </c>
      <c r="CP419" s="771">
        <f t="shared" ca="1" si="465"/>
        <v>0.02</v>
      </c>
      <c r="CQ419" s="771">
        <f t="shared" ca="1" si="466"/>
        <v>-2.5000000000000001E-2</v>
      </c>
      <c r="CR419" s="771">
        <f t="shared" ca="1" si="467"/>
        <v>0.95</v>
      </c>
      <c r="CS419" s="771">
        <f t="shared" ca="1" si="468"/>
        <v>0.03</v>
      </c>
      <c r="CT419" s="772">
        <f t="shared" ca="1" si="469"/>
        <v>0.02</v>
      </c>
      <c r="CU419" s="135"/>
      <c r="CV419" s="135"/>
      <c r="CW419" s="135"/>
      <c r="CX419" s="135"/>
      <c r="CY419" s="135"/>
      <c r="CZ419" s="135"/>
      <c r="DA419" s="135"/>
      <c r="DB419" s="135"/>
      <c r="DC419" s="135"/>
      <c r="DD419" s="135"/>
      <c r="DE419" s="135"/>
      <c r="DF419" s="135"/>
      <c r="DG419" s="135"/>
      <c r="DH419" s="135"/>
      <c r="DI419" s="135"/>
      <c r="DJ419" s="135"/>
      <c r="DK419" s="135"/>
      <c r="DL419" s="135"/>
      <c r="DX419" s="135"/>
      <c r="DY419" s="135"/>
      <c r="DZ419" s="135"/>
      <c r="EA419" s="135"/>
      <c r="EB419" s="135"/>
      <c r="EC419" s="135"/>
      <c r="ED419" s="135"/>
      <c r="EE419" s="135"/>
      <c r="EF419" s="135"/>
      <c r="EG419" s="135"/>
      <c r="EH419" s="135"/>
      <c r="EI419" s="135"/>
      <c r="EJ419" s="135"/>
      <c r="EK419" s="135"/>
      <c r="EL419" s="135"/>
      <c r="EM419" s="135"/>
      <c r="EN419" s="135"/>
      <c r="EO419" s="135"/>
      <c r="EP419" s="135"/>
      <c r="EQ419" s="135"/>
      <c r="ER419" s="135"/>
      <c r="ES419" s="135"/>
      <c r="ET419" s="135"/>
      <c r="EU419" s="135"/>
      <c r="EV419" s="135"/>
      <c r="EW419" s="135"/>
      <c r="EX419" s="135"/>
      <c r="EY419" s="135"/>
      <c r="EZ419" s="135"/>
      <c r="FA419" s="135"/>
      <c r="FB419" s="135"/>
      <c r="FC419" s="135"/>
      <c r="FD419" s="135"/>
      <c r="FE419" s="135"/>
      <c r="FF419" s="135"/>
      <c r="FG419" s="135"/>
    </row>
    <row r="420" spans="1:163" s="57" customFormat="1" ht="11.25" outlineLevel="1">
      <c r="A420" s="765">
        <f t="shared" si="442"/>
        <v>17</v>
      </c>
      <c r="B420" s="715" cm="1">
        <f t="array" aca="1" ref="B420" ca="1">INDIRECT("'Definition of Typical Day'!"&amp;ADDRESS(B$16,$E420))</f>
        <v>17</v>
      </c>
      <c r="C420" s="766">
        <f t="shared" si="443"/>
        <v>16</v>
      </c>
      <c r="D420" s="715">
        <f t="shared" si="443"/>
        <v>50</v>
      </c>
      <c r="E420" s="715">
        <f t="shared" si="444"/>
        <v>21</v>
      </c>
      <c r="F420" s="767" cm="1">
        <f t="array" aca="1" ref="F420" ca="1">INDIRECT("'Definition of Typical Day'!D"&amp;D420)</f>
        <v>16</v>
      </c>
      <c r="G420" s="767" cm="1">
        <f t="array" aca="1" ref="G420" ca="1">INDIRECT("'Definition of Typical Day'!"&amp;ADDRESS(13,E420))</f>
        <v>17</v>
      </c>
      <c r="H420" s="768" cm="1">
        <f t="array" aca="1" ref="H420" ca="1">INDIRECT("'Definition of Typical Day'!"&amp; ADDRESS($D420+28*(H$16-1),$E420))</f>
        <v>0</v>
      </c>
      <c r="I420" s="715" cm="1">
        <f t="array" aca="1" ref="I420" ca="1">INDIRECT("'Definition of Typical Day'!"&amp; ADDRESS($D420+29*(I$16-1),$E420))</f>
        <v>0</v>
      </c>
      <c r="J420" s="715">
        <f t="shared" ca="1" si="470"/>
        <v>0</v>
      </c>
      <c r="K420" s="785">
        <f t="shared" si="471"/>
        <v>28</v>
      </c>
      <c r="L420" s="786" cm="1">
        <f t="array" aca="1" ref="L420" ca="1">INDIRECT("'Definition of Typical Day'!"&amp; ADDRESS($D420+29*(L$16-1),$E420))</f>
        <v>0</v>
      </c>
      <c r="M420" s="768" cm="1">
        <f t="array" aca="1" ref="M420" ca="1">INDIRECT("'Definition of Typical Day'!"&amp; ADDRESS($D420+29*(M$16-1),$E420))</f>
        <v>0</v>
      </c>
      <c r="N420" s="715">
        <f t="shared" si="472"/>
        <v>3</v>
      </c>
      <c r="O420" s="715">
        <f t="shared" ca="1" si="473"/>
        <v>3</v>
      </c>
      <c r="P420" s="715" cm="1">
        <f t="array" aca="1" ref="P420" ca="1">INDIRECT("'Definition of Typical Day'!"&amp; ADDRESS($D420+29*(P$16-1),$E420))</f>
        <v>0</v>
      </c>
      <c r="Q420" s="787">
        <f t="shared" ca="1" si="474"/>
        <v>3</v>
      </c>
      <c r="R420" s="792">
        <f t="shared" ca="1" si="475"/>
        <v>3</v>
      </c>
      <c r="S420" s="769">
        <f t="shared" si="476"/>
        <v>3</v>
      </c>
      <c r="T420" s="769">
        <f t="shared" ca="1" si="477"/>
        <v>-0.5</v>
      </c>
      <c r="U420" s="769">
        <f t="shared" ca="1" si="478"/>
        <v>2.262</v>
      </c>
      <c r="V420" s="769">
        <f t="shared" ca="1" si="479"/>
        <v>0</v>
      </c>
      <c r="W420" s="769">
        <f t="shared" ca="1" si="480"/>
        <v>4.7620000000000005</v>
      </c>
      <c r="X420" s="794">
        <f t="shared" si="481"/>
        <v>3</v>
      </c>
      <c r="Y420" s="769">
        <f t="shared" ca="1" si="482"/>
        <v>0.54772255750516607</v>
      </c>
      <c r="Z420" s="769">
        <f t="shared" ca="1" si="483"/>
        <v>0</v>
      </c>
      <c r="AA420" s="795">
        <f t="shared" ca="1" si="484"/>
        <v>0</v>
      </c>
      <c r="AB420" s="769">
        <f t="shared" ca="1" si="485"/>
        <v>0</v>
      </c>
      <c r="AC420" s="769">
        <f t="shared" ca="1" si="486"/>
        <v>0</v>
      </c>
      <c r="AD420" s="769">
        <f t="shared" ca="1" si="487"/>
        <v>0</v>
      </c>
      <c r="AE420" s="794">
        <f t="shared" ca="1" si="488"/>
        <v>0</v>
      </c>
      <c r="AF420" s="769">
        <f t="shared" ca="1" si="489"/>
        <v>0</v>
      </c>
      <c r="AG420" s="769">
        <f t="shared" ca="1" si="490"/>
        <v>0</v>
      </c>
      <c r="AH420" s="799">
        <f t="shared" ca="1" si="491"/>
        <v>0</v>
      </c>
      <c r="AI420" s="801">
        <f t="shared" ca="1" si="492"/>
        <v>1</v>
      </c>
      <c r="AJ420" s="794">
        <f t="shared" ca="1" si="493"/>
        <v>0</v>
      </c>
      <c r="AK420" s="769">
        <f t="shared" ca="1" si="494"/>
        <v>0</v>
      </c>
      <c r="AL420" s="769">
        <f t="shared" ca="1" si="495"/>
        <v>0</v>
      </c>
      <c r="AM420" s="804">
        <f t="shared" ca="1" si="445"/>
        <v>0</v>
      </c>
      <c r="AN420" s="795">
        <f t="shared" ca="1" si="446"/>
        <v>0</v>
      </c>
      <c r="AO420" s="251"/>
      <c r="AP420" s="770">
        <f t="shared" si="496"/>
        <v>0</v>
      </c>
      <c r="AQ420" s="771">
        <f t="shared" ca="1" si="497"/>
        <v>0</v>
      </c>
      <c r="AR420" s="771">
        <f t="shared" ca="1" si="498"/>
        <v>0</v>
      </c>
      <c r="AS420" s="772">
        <f t="shared" ca="1" si="499"/>
        <v>0</v>
      </c>
      <c r="AT420" s="231"/>
      <c r="AU420" s="770">
        <f>'Main Results - IRR DC Operator'!$F$16</f>
        <v>2</v>
      </c>
      <c r="AV420" s="773">
        <f>'Main Results - IRR DC Operator'!$F$15</f>
        <v>1</v>
      </c>
      <c r="AW420" s="771">
        <f t="shared" ca="1" si="500"/>
        <v>0</v>
      </c>
      <c r="AX420" s="772">
        <f t="shared" si="501"/>
        <v>0</v>
      </c>
      <c r="AY420" s="231"/>
      <c r="AZ420" s="770" cm="1">
        <f t="array" aca="1" ref="AZ420" ca="1">INDIRECT("'Definition of Typical Day'!"&amp; ADDRESS($D420+29*(AZ$16-1),$E420))+$AZ$17</f>
        <v>11</v>
      </c>
      <c r="BA420" s="771" cm="1">
        <f t="array" aca="1" ref="BA420" ca="1">INDIRECT("'Definition of Typical Day'!"&amp; ADDRESS($D420+29*(BA$16-1),$E420))+$BA$17</f>
        <v>11</v>
      </c>
      <c r="BB420" s="772" cm="1">
        <f t="array" aca="1" ref="BB420" ca="1">INDIRECT("'Definition of Typical Day'!"&amp;ADDRESS(BB$16,$E420))</f>
        <v>0</v>
      </c>
      <c r="BC420" s="776" cm="1">
        <f t="array" aca="1" ref="BC420" ca="1">INDIRECT("'Definition of Typical Day'!"&amp; ADDRESS($D420+29*(BC$16-1),$E420))</f>
        <v>0</v>
      </c>
      <c r="BD420" s="777" cm="1">
        <f t="array" aca="1" ref="BD420" ca="1">INDIRECT("'Definition of Typical Day'!"&amp; ADDRESS($D420+29*(BD$16-1),$E420))</f>
        <v>0</v>
      </c>
      <c r="BE420" s="776">
        <f t="shared" si="502"/>
        <v>0</v>
      </c>
      <c r="BF420" s="771">
        <f t="shared" ca="1" si="503"/>
        <v>0</v>
      </c>
      <c r="BG420" s="771">
        <f t="shared" ca="1" si="504"/>
        <v>0</v>
      </c>
      <c r="BH420" s="771">
        <f t="shared" ca="1" si="505"/>
        <v>0</v>
      </c>
      <c r="BI420" s="776">
        <f t="shared" ca="1" si="506"/>
        <v>0</v>
      </c>
      <c r="BJ420" s="776">
        <f t="shared" ca="1" si="507"/>
        <v>0</v>
      </c>
      <c r="BK420" s="776">
        <f t="shared" ca="1" si="508"/>
        <v>0</v>
      </c>
      <c r="BL420" s="776">
        <f t="shared" ca="1" si="509"/>
        <v>0</v>
      </c>
      <c r="BM420" s="135"/>
      <c r="BN420" s="776">
        <f t="shared" ca="1" si="510"/>
        <v>0</v>
      </c>
      <c r="BO420" s="778">
        <f t="shared" ca="1" si="447"/>
        <v>0</v>
      </c>
      <c r="BP420" s="770">
        <f t="shared" ca="1" si="448"/>
        <v>0</v>
      </c>
      <c r="BQ420" s="771">
        <f t="shared" ca="1" si="449"/>
        <v>0</v>
      </c>
      <c r="BR420" s="771">
        <f t="shared" ca="1" si="450"/>
        <v>0</v>
      </c>
      <c r="BS420" s="776">
        <f t="shared" ca="1" si="511"/>
        <v>0</v>
      </c>
      <c r="BT420" s="776">
        <f t="shared" ca="1" si="451"/>
        <v>0</v>
      </c>
      <c r="BU420" s="783">
        <f t="shared" ca="1" si="452"/>
        <v>0</v>
      </c>
      <c r="BV420" s="783">
        <f t="shared" ca="1" si="453"/>
        <v>0</v>
      </c>
      <c r="BW420" s="1019">
        <f t="shared" ca="1" si="512"/>
        <v>0</v>
      </c>
      <c r="BX420" s="771" cm="1">
        <f t="array" aca="1" ref="BX420" ca="1">INDIRECT("'Definition of Typical Day'!"&amp; ADDRESS($D420+29*(BX$16-1),$E420))</f>
        <v>0</v>
      </c>
      <c r="BY420" s="771">
        <f t="shared" ca="1" si="513"/>
        <v>0</v>
      </c>
      <c r="BZ420" s="781">
        <f t="shared" ca="1" si="454"/>
        <v>0</v>
      </c>
      <c r="CA420" s="781">
        <f t="shared" ca="1" si="455"/>
        <v>0</v>
      </c>
      <c r="CB420" s="776">
        <f t="shared" ca="1" si="456"/>
        <v>0</v>
      </c>
      <c r="CC420" s="782">
        <f t="shared" si="457"/>
        <v>17</v>
      </c>
      <c r="CD420" s="782">
        <f t="shared" si="458"/>
        <v>16</v>
      </c>
      <c r="CE420" s="784" cm="1">
        <f t="array" aca="1" ref="CE420" ca="1">INDIRECT("'Definition of Typical Day'!"&amp;ADDRESS(CE$16,$E420))</f>
        <v>17</v>
      </c>
      <c r="CF420" s="232"/>
      <c r="CG420" s="232"/>
      <c r="CH420" s="776">
        <f t="shared" ca="1" si="459"/>
        <v>0</v>
      </c>
      <c r="CI420" s="806">
        <f t="shared" ca="1" si="460"/>
        <v>0</v>
      </c>
      <c r="CJ420" s="770">
        <f t="shared" ca="1" si="461"/>
        <v>0</v>
      </c>
      <c r="CK420" s="771">
        <f t="shared" ca="1" si="462"/>
        <v>0</v>
      </c>
      <c r="CL420" s="771">
        <f t="shared" ca="1" si="463"/>
        <v>0</v>
      </c>
      <c r="CM420" s="772">
        <f t="shared" ca="1" si="464"/>
        <v>0</v>
      </c>
      <c r="CN420" s="135"/>
      <c r="CO420" s="770">
        <f t="shared" ca="1" si="514"/>
        <v>1.05</v>
      </c>
      <c r="CP420" s="771">
        <f t="shared" ca="1" si="465"/>
        <v>0.02</v>
      </c>
      <c r="CQ420" s="771">
        <f t="shared" ca="1" si="466"/>
        <v>-2.5000000000000001E-2</v>
      </c>
      <c r="CR420" s="771">
        <f t="shared" ca="1" si="467"/>
        <v>0.95</v>
      </c>
      <c r="CS420" s="771">
        <f t="shared" ca="1" si="468"/>
        <v>0.03</v>
      </c>
      <c r="CT420" s="772">
        <f t="shared" ca="1" si="469"/>
        <v>0.02</v>
      </c>
      <c r="CU420" s="135"/>
      <c r="CV420" s="135"/>
      <c r="CW420" s="135"/>
      <c r="CX420" s="135"/>
      <c r="CY420" s="135"/>
      <c r="CZ420" s="135"/>
      <c r="DA420" s="135"/>
      <c r="DB420" s="135"/>
      <c r="DC420" s="135"/>
      <c r="DD420" s="135"/>
      <c r="DE420" s="135"/>
      <c r="DF420" s="135"/>
      <c r="DG420" s="135"/>
      <c r="DH420" s="135"/>
      <c r="DI420" s="135"/>
      <c r="DJ420" s="135"/>
      <c r="DK420" s="135"/>
      <c r="DL420" s="135"/>
      <c r="DX420" s="135"/>
      <c r="DY420" s="135"/>
      <c r="DZ420" s="135"/>
      <c r="EA420" s="135"/>
      <c r="EB420" s="135"/>
      <c r="EC420" s="135"/>
      <c r="ED420" s="135"/>
      <c r="EE420" s="135"/>
      <c r="EF420" s="135"/>
      <c r="EG420" s="135"/>
      <c r="EH420" s="135"/>
      <c r="EI420" s="135"/>
      <c r="EJ420" s="135"/>
      <c r="EK420" s="135"/>
      <c r="EL420" s="135"/>
      <c r="EM420" s="135"/>
      <c r="EN420" s="135"/>
      <c r="EO420" s="135"/>
      <c r="EP420" s="135"/>
      <c r="EQ420" s="135"/>
      <c r="ER420" s="135"/>
      <c r="ES420" s="135"/>
      <c r="ET420" s="135"/>
      <c r="EU420" s="135"/>
      <c r="EV420" s="135"/>
      <c r="EW420" s="135"/>
      <c r="EX420" s="135"/>
      <c r="EY420" s="135"/>
      <c r="EZ420" s="135"/>
      <c r="FA420" s="135"/>
      <c r="FB420" s="135"/>
      <c r="FC420" s="135"/>
      <c r="FD420" s="135"/>
      <c r="FE420" s="135"/>
      <c r="FF420" s="135"/>
      <c r="FG420" s="135"/>
    </row>
    <row r="421" spans="1:163" s="57" customFormat="1" ht="11.25" outlineLevel="1">
      <c r="A421" s="765">
        <f t="shared" si="442"/>
        <v>17</v>
      </c>
      <c r="B421" s="715" cm="1">
        <f t="array" aca="1" ref="B421" ca="1">INDIRECT("'Definition of Typical Day'!"&amp;ADDRESS(B$16,$E421))</f>
        <v>17</v>
      </c>
      <c r="C421" s="766">
        <f t="shared" si="443"/>
        <v>17</v>
      </c>
      <c r="D421" s="715">
        <f t="shared" si="443"/>
        <v>51</v>
      </c>
      <c r="E421" s="715">
        <f t="shared" si="444"/>
        <v>21</v>
      </c>
      <c r="F421" s="767" cm="1">
        <f t="array" aca="1" ref="F421" ca="1">INDIRECT("'Definition of Typical Day'!D"&amp;D421)</f>
        <v>17</v>
      </c>
      <c r="G421" s="767" cm="1">
        <f t="array" aca="1" ref="G421" ca="1">INDIRECT("'Definition of Typical Day'!"&amp;ADDRESS(13,E421))</f>
        <v>17</v>
      </c>
      <c r="H421" s="768" cm="1">
        <f t="array" aca="1" ref="H421" ca="1">INDIRECT("'Definition of Typical Day'!"&amp; ADDRESS($D421+28*(H$16-1),$E421))</f>
        <v>0</v>
      </c>
      <c r="I421" s="715" cm="1">
        <f t="array" aca="1" ref="I421" ca="1">INDIRECT("'Definition of Typical Day'!"&amp; ADDRESS($D421+29*(I$16-1),$E421))</f>
        <v>0</v>
      </c>
      <c r="J421" s="715">
        <f t="shared" ca="1" si="470"/>
        <v>0</v>
      </c>
      <c r="K421" s="785">
        <f t="shared" si="471"/>
        <v>28</v>
      </c>
      <c r="L421" s="786" cm="1">
        <f t="array" aca="1" ref="L421" ca="1">INDIRECT("'Definition of Typical Day'!"&amp; ADDRESS($D421+29*(L$16-1),$E421))</f>
        <v>0</v>
      </c>
      <c r="M421" s="768" cm="1">
        <f t="array" aca="1" ref="M421" ca="1">INDIRECT("'Definition of Typical Day'!"&amp; ADDRESS($D421+29*(M$16-1),$E421))</f>
        <v>0</v>
      </c>
      <c r="N421" s="715">
        <f t="shared" si="472"/>
        <v>3</v>
      </c>
      <c r="O421" s="715">
        <f t="shared" ca="1" si="473"/>
        <v>3</v>
      </c>
      <c r="P421" s="715" cm="1">
        <f t="array" aca="1" ref="P421" ca="1">INDIRECT("'Definition of Typical Day'!"&amp; ADDRESS($D421+29*(P$16-1),$E421))</f>
        <v>0</v>
      </c>
      <c r="Q421" s="787">
        <f t="shared" ca="1" si="474"/>
        <v>3</v>
      </c>
      <c r="R421" s="792">
        <f t="shared" ca="1" si="475"/>
        <v>3</v>
      </c>
      <c r="S421" s="769">
        <f t="shared" si="476"/>
        <v>3</v>
      </c>
      <c r="T421" s="769">
        <f t="shared" ca="1" si="477"/>
        <v>-0.5</v>
      </c>
      <c r="U421" s="769">
        <f t="shared" ca="1" si="478"/>
        <v>2.262</v>
      </c>
      <c r="V421" s="769">
        <f t="shared" ca="1" si="479"/>
        <v>0</v>
      </c>
      <c r="W421" s="769">
        <f t="shared" ca="1" si="480"/>
        <v>4.7620000000000005</v>
      </c>
      <c r="X421" s="794">
        <f t="shared" si="481"/>
        <v>3</v>
      </c>
      <c r="Y421" s="769">
        <f t="shared" ca="1" si="482"/>
        <v>0.54772255750516607</v>
      </c>
      <c r="Z421" s="769">
        <f t="shared" ca="1" si="483"/>
        <v>0</v>
      </c>
      <c r="AA421" s="795">
        <f t="shared" ca="1" si="484"/>
        <v>0</v>
      </c>
      <c r="AB421" s="769">
        <f t="shared" ca="1" si="485"/>
        <v>0</v>
      </c>
      <c r="AC421" s="769">
        <f t="shared" ca="1" si="486"/>
        <v>0</v>
      </c>
      <c r="AD421" s="769">
        <f t="shared" ca="1" si="487"/>
        <v>0</v>
      </c>
      <c r="AE421" s="794">
        <f t="shared" ca="1" si="488"/>
        <v>0</v>
      </c>
      <c r="AF421" s="769">
        <f t="shared" ca="1" si="489"/>
        <v>0</v>
      </c>
      <c r="AG421" s="769">
        <f t="shared" ca="1" si="490"/>
        <v>0</v>
      </c>
      <c r="AH421" s="799">
        <f t="shared" ca="1" si="491"/>
        <v>0</v>
      </c>
      <c r="AI421" s="801">
        <f t="shared" ca="1" si="492"/>
        <v>1</v>
      </c>
      <c r="AJ421" s="794">
        <f t="shared" ca="1" si="493"/>
        <v>0</v>
      </c>
      <c r="AK421" s="769">
        <f t="shared" ca="1" si="494"/>
        <v>0</v>
      </c>
      <c r="AL421" s="769">
        <f t="shared" ca="1" si="495"/>
        <v>0</v>
      </c>
      <c r="AM421" s="804">
        <f t="shared" ca="1" si="445"/>
        <v>0</v>
      </c>
      <c r="AN421" s="795">
        <f t="shared" ca="1" si="446"/>
        <v>0</v>
      </c>
      <c r="AO421" s="251"/>
      <c r="AP421" s="770">
        <f t="shared" si="496"/>
        <v>0</v>
      </c>
      <c r="AQ421" s="771">
        <f t="shared" ca="1" si="497"/>
        <v>0</v>
      </c>
      <c r="AR421" s="771">
        <f t="shared" ca="1" si="498"/>
        <v>0</v>
      </c>
      <c r="AS421" s="772">
        <f t="shared" ca="1" si="499"/>
        <v>0</v>
      </c>
      <c r="AT421" s="231"/>
      <c r="AU421" s="770">
        <f>'Main Results - IRR DC Operator'!$F$16</f>
        <v>2</v>
      </c>
      <c r="AV421" s="773">
        <f>'Main Results - IRR DC Operator'!$F$15</f>
        <v>1</v>
      </c>
      <c r="AW421" s="771">
        <f t="shared" ca="1" si="500"/>
        <v>0</v>
      </c>
      <c r="AX421" s="772">
        <f t="shared" si="501"/>
        <v>0</v>
      </c>
      <c r="AY421" s="231"/>
      <c r="AZ421" s="770" cm="1">
        <f t="array" aca="1" ref="AZ421" ca="1">INDIRECT("'Definition of Typical Day'!"&amp; ADDRESS($D421+29*(AZ$16-1),$E421))+$AZ$17</f>
        <v>11</v>
      </c>
      <c r="BA421" s="771" cm="1">
        <f t="array" aca="1" ref="BA421" ca="1">INDIRECT("'Definition of Typical Day'!"&amp; ADDRESS($D421+29*(BA$16-1),$E421))+$BA$17</f>
        <v>11</v>
      </c>
      <c r="BB421" s="772" cm="1">
        <f t="array" aca="1" ref="BB421" ca="1">INDIRECT("'Definition of Typical Day'!"&amp;ADDRESS(BB$16,$E421))</f>
        <v>0</v>
      </c>
      <c r="BC421" s="776" cm="1">
        <f t="array" aca="1" ref="BC421" ca="1">INDIRECT("'Definition of Typical Day'!"&amp; ADDRESS($D421+29*(BC$16-1),$E421))</f>
        <v>0</v>
      </c>
      <c r="BD421" s="777" cm="1">
        <f t="array" aca="1" ref="BD421" ca="1">INDIRECT("'Definition of Typical Day'!"&amp; ADDRESS($D421+29*(BD$16-1),$E421))</f>
        <v>0</v>
      </c>
      <c r="BE421" s="776">
        <f t="shared" si="502"/>
        <v>0</v>
      </c>
      <c r="BF421" s="771">
        <f t="shared" ca="1" si="503"/>
        <v>0</v>
      </c>
      <c r="BG421" s="771">
        <f t="shared" ca="1" si="504"/>
        <v>0</v>
      </c>
      <c r="BH421" s="771">
        <f t="shared" ca="1" si="505"/>
        <v>0</v>
      </c>
      <c r="BI421" s="776">
        <f t="shared" ca="1" si="506"/>
        <v>0</v>
      </c>
      <c r="BJ421" s="776">
        <f t="shared" ca="1" si="507"/>
        <v>0</v>
      </c>
      <c r="BK421" s="776">
        <f t="shared" ca="1" si="508"/>
        <v>0</v>
      </c>
      <c r="BL421" s="776">
        <f t="shared" ca="1" si="509"/>
        <v>0</v>
      </c>
      <c r="BM421" s="135"/>
      <c r="BN421" s="776">
        <f t="shared" ca="1" si="510"/>
        <v>0</v>
      </c>
      <c r="BO421" s="778">
        <f t="shared" ca="1" si="447"/>
        <v>0</v>
      </c>
      <c r="BP421" s="770">
        <f t="shared" ca="1" si="448"/>
        <v>0</v>
      </c>
      <c r="BQ421" s="771">
        <f t="shared" ca="1" si="449"/>
        <v>0</v>
      </c>
      <c r="BR421" s="771">
        <f t="shared" ca="1" si="450"/>
        <v>0</v>
      </c>
      <c r="BS421" s="776">
        <f t="shared" ca="1" si="511"/>
        <v>0</v>
      </c>
      <c r="BT421" s="776">
        <f t="shared" ca="1" si="451"/>
        <v>0</v>
      </c>
      <c r="BU421" s="783">
        <f t="shared" ca="1" si="452"/>
        <v>0</v>
      </c>
      <c r="BV421" s="783">
        <f t="shared" ca="1" si="453"/>
        <v>0</v>
      </c>
      <c r="BW421" s="1019">
        <f t="shared" ca="1" si="512"/>
        <v>0</v>
      </c>
      <c r="BX421" s="771" cm="1">
        <f t="array" aca="1" ref="BX421" ca="1">INDIRECT("'Definition of Typical Day'!"&amp; ADDRESS($D421+29*(BX$16-1),$E421))</f>
        <v>0</v>
      </c>
      <c r="BY421" s="771">
        <f t="shared" ca="1" si="513"/>
        <v>0</v>
      </c>
      <c r="BZ421" s="781">
        <f t="shared" ca="1" si="454"/>
        <v>0</v>
      </c>
      <c r="CA421" s="781">
        <f t="shared" ca="1" si="455"/>
        <v>0</v>
      </c>
      <c r="CB421" s="776">
        <f t="shared" ca="1" si="456"/>
        <v>0</v>
      </c>
      <c r="CC421" s="782">
        <f t="shared" si="457"/>
        <v>17</v>
      </c>
      <c r="CD421" s="782">
        <f t="shared" si="458"/>
        <v>17</v>
      </c>
      <c r="CE421" s="784" cm="1">
        <f t="array" aca="1" ref="CE421" ca="1">INDIRECT("'Definition of Typical Day'!"&amp;ADDRESS(CE$16,$E421))</f>
        <v>17</v>
      </c>
      <c r="CF421" s="232"/>
      <c r="CG421" s="232"/>
      <c r="CH421" s="776">
        <f t="shared" ca="1" si="459"/>
        <v>0</v>
      </c>
      <c r="CI421" s="806">
        <f t="shared" ca="1" si="460"/>
        <v>0</v>
      </c>
      <c r="CJ421" s="770">
        <f t="shared" ca="1" si="461"/>
        <v>0</v>
      </c>
      <c r="CK421" s="771">
        <f t="shared" ca="1" si="462"/>
        <v>0</v>
      </c>
      <c r="CL421" s="771">
        <f t="shared" ca="1" si="463"/>
        <v>0</v>
      </c>
      <c r="CM421" s="772">
        <f t="shared" ca="1" si="464"/>
        <v>0</v>
      </c>
      <c r="CN421" s="135"/>
      <c r="CO421" s="770">
        <f t="shared" ca="1" si="514"/>
        <v>1.05</v>
      </c>
      <c r="CP421" s="771">
        <f t="shared" ca="1" si="465"/>
        <v>0.02</v>
      </c>
      <c r="CQ421" s="771">
        <f t="shared" ca="1" si="466"/>
        <v>-2.5000000000000001E-2</v>
      </c>
      <c r="CR421" s="771">
        <f t="shared" ca="1" si="467"/>
        <v>0.95</v>
      </c>
      <c r="CS421" s="771">
        <f t="shared" ca="1" si="468"/>
        <v>0.03</v>
      </c>
      <c r="CT421" s="772">
        <f t="shared" ca="1" si="469"/>
        <v>0.02</v>
      </c>
      <c r="CU421" s="135"/>
      <c r="CV421" s="135"/>
      <c r="CW421" s="135"/>
      <c r="CX421" s="135"/>
      <c r="CY421" s="135"/>
      <c r="CZ421" s="135"/>
      <c r="DA421" s="135"/>
      <c r="DB421" s="135"/>
      <c r="DC421" s="135"/>
      <c r="DD421" s="135"/>
      <c r="DE421" s="135"/>
      <c r="DF421" s="135"/>
      <c r="DG421" s="135"/>
      <c r="DH421" s="135"/>
      <c r="DI421" s="135"/>
      <c r="DJ421" s="135"/>
      <c r="DK421" s="135"/>
      <c r="DL421" s="135"/>
      <c r="DX421" s="135"/>
      <c r="DY421" s="135"/>
      <c r="DZ421" s="135"/>
      <c r="EA421" s="135"/>
      <c r="EB421" s="135"/>
      <c r="EC421" s="135"/>
      <c r="ED421" s="135"/>
      <c r="EE421" s="135"/>
      <c r="EF421" s="135"/>
      <c r="EG421" s="135"/>
      <c r="EH421" s="135"/>
      <c r="EI421" s="135"/>
      <c r="EJ421" s="135"/>
      <c r="EK421" s="135"/>
      <c r="EL421" s="135"/>
      <c r="EM421" s="135"/>
      <c r="EN421" s="135"/>
      <c r="EO421" s="135"/>
      <c r="EP421" s="135"/>
      <c r="EQ421" s="135"/>
      <c r="ER421" s="135"/>
      <c r="ES421" s="135"/>
      <c r="ET421" s="135"/>
      <c r="EU421" s="135"/>
      <c r="EV421" s="135"/>
      <c r="EW421" s="135"/>
      <c r="EX421" s="135"/>
      <c r="EY421" s="135"/>
      <c r="EZ421" s="135"/>
      <c r="FA421" s="135"/>
      <c r="FB421" s="135"/>
      <c r="FC421" s="135"/>
      <c r="FD421" s="135"/>
      <c r="FE421" s="135"/>
      <c r="FF421" s="135"/>
      <c r="FG421" s="135"/>
    </row>
    <row r="422" spans="1:163" s="57" customFormat="1" ht="11.25" outlineLevel="1">
      <c r="A422" s="765">
        <f t="shared" si="442"/>
        <v>17</v>
      </c>
      <c r="B422" s="715" cm="1">
        <f t="array" aca="1" ref="B422" ca="1">INDIRECT("'Definition of Typical Day'!"&amp;ADDRESS(B$16,$E422))</f>
        <v>17</v>
      </c>
      <c r="C422" s="766">
        <f t="shared" si="443"/>
        <v>18</v>
      </c>
      <c r="D422" s="715">
        <f t="shared" si="443"/>
        <v>52</v>
      </c>
      <c r="E422" s="715">
        <f t="shared" si="444"/>
        <v>21</v>
      </c>
      <c r="F422" s="767" cm="1">
        <f t="array" aca="1" ref="F422" ca="1">INDIRECT("'Definition of Typical Day'!D"&amp;D422)</f>
        <v>18</v>
      </c>
      <c r="G422" s="767" cm="1">
        <f t="array" aca="1" ref="G422" ca="1">INDIRECT("'Definition of Typical Day'!"&amp;ADDRESS(13,E422))</f>
        <v>17</v>
      </c>
      <c r="H422" s="768" cm="1">
        <f t="array" aca="1" ref="H422" ca="1">INDIRECT("'Definition of Typical Day'!"&amp; ADDRESS($D422+28*(H$16-1),$E422))</f>
        <v>0</v>
      </c>
      <c r="I422" s="715" cm="1">
        <f t="array" aca="1" ref="I422" ca="1">INDIRECT("'Definition of Typical Day'!"&amp; ADDRESS($D422+29*(I$16-1),$E422))</f>
        <v>0</v>
      </c>
      <c r="J422" s="715">
        <f t="shared" ca="1" si="470"/>
        <v>0</v>
      </c>
      <c r="K422" s="785">
        <f t="shared" si="471"/>
        <v>28</v>
      </c>
      <c r="L422" s="786" cm="1">
        <f t="array" aca="1" ref="L422" ca="1">INDIRECT("'Definition of Typical Day'!"&amp; ADDRESS($D422+29*(L$16-1),$E422))</f>
        <v>0</v>
      </c>
      <c r="M422" s="768" cm="1">
        <f t="array" aca="1" ref="M422" ca="1">INDIRECT("'Definition of Typical Day'!"&amp; ADDRESS($D422+29*(M$16-1),$E422))</f>
        <v>0</v>
      </c>
      <c r="N422" s="715">
        <f t="shared" si="472"/>
        <v>3</v>
      </c>
      <c r="O422" s="715">
        <f t="shared" ca="1" si="473"/>
        <v>3</v>
      </c>
      <c r="P422" s="715" cm="1">
        <f t="array" aca="1" ref="P422" ca="1">INDIRECT("'Definition of Typical Day'!"&amp; ADDRESS($D422+29*(P$16-1),$E422))</f>
        <v>0</v>
      </c>
      <c r="Q422" s="787">
        <f t="shared" ca="1" si="474"/>
        <v>3</v>
      </c>
      <c r="R422" s="792">
        <f t="shared" ca="1" si="475"/>
        <v>3</v>
      </c>
      <c r="S422" s="769">
        <f t="shared" si="476"/>
        <v>3</v>
      </c>
      <c r="T422" s="769">
        <f t="shared" ca="1" si="477"/>
        <v>-0.5</v>
      </c>
      <c r="U422" s="769">
        <f t="shared" ca="1" si="478"/>
        <v>2.262</v>
      </c>
      <c r="V422" s="769">
        <f t="shared" ca="1" si="479"/>
        <v>0</v>
      </c>
      <c r="W422" s="769">
        <f t="shared" ca="1" si="480"/>
        <v>4.7620000000000005</v>
      </c>
      <c r="X422" s="794">
        <f t="shared" si="481"/>
        <v>3</v>
      </c>
      <c r="Y422" s="769">
        <f t="shared" ca="1" si="482"/>
        <v>0.54772255750516607</v>
      </c>
      <c r="Z422" s="769">
        <f t="shared" ca="1" si="483"/>
        <v>0</v>
      </c>
      <c r="AA422" s="795">
        <f t="shared" ca="1" si="484"/>
        <v>0</v>
      </c>
      <c r="AB422" s="769">
        <f t="shared" ca="1" si="485"/>
        <v>0</v>
      </c>
      <c r="AC422" s="769">
        <f t="shared" ca="1" si="486"/>
        <v>0</v>
      </c>
      <c r="AD422" s="769">
        <f t="shared" ca="1" si="487"/>
        <v>0</v>
      </c>
      <c r="AE422" s="794">
        <f t="shared" ca="1" si="488"/>
        <v>0</v>
      </c>
      <c r="AF422" s="769">
        <f t="shared" ca="1" si="489"/>
        <v>0</v>
      </c>
      <c r="AG422" s="769">
        <f t="shared" ca="1" si="490"/>
        <v>0</v>
      </c>
      <c r="AH422" s="799">
        <f t="shared" ca="1" si="491"/>
        <v>0</v>
      </c>
      <c r="AI422" s="801">
        <f t="shared" ca="1" si="492"/>
        <v>1</v>
      </c>
      <c r="AJ422" s="794">
        <f t="shared" ca="1" si="493"/>
        <v>0</v>
      </c>
      <c r="AK422" s="769">
        <f t="shared" ca="1" si="494"/>
        <v>0</v>
      </c>
      <c r="AL422" s="769">
        <f t="shared" ca="1" si="495"/>
        <v>0</v>
      </c>
      <c r="AM422" s="804">
        <f t="shared" ca="1" si="445"/>
        <v>0</v>
      </c>
      <c r="AN422" s="795">
        <f t="shared" ca="1" si="446"/>
        <v>0</v>
      </c>
      <c r="AO422" s="251"/>
      <c r="AP422" s="770">
        <f t="shared" si="496"/>
        <v>0</v>
      </c>
      <c r="AQ422" s="771">
        <f t="shared" ca="1" si="497"/>
        <v>0</v>
      </c>
      <c r="AR422" s="771">
        <f t="shared" ca="1" si="498"/>
        <v>0</v>
      </c>
      <c r="AS422" s="772">
        <f t="shared" ca="1" si="499"/>
        <v>0</v>
      </c>
      <c r="AT422" s="231"/>
      <c r="AU422" s="770">
        <f>'Main Results - IRR DC Operator'!$F$16</f>
        <v>2</v>
      </c>
      <c r="AV422" s="773">
        <f>'Main Results - IRR DC Operator'!$F$15</f>
        <v>1</v>
      </c>
      <c r="AW422" s="771">
        <f t="shared" ca="1" si="500"/>
        <v>0</v>
      </c>
      <c r="AX422" s="772">
        <f t="shared" si="501"/>
        <v>0</v>
      </c>
      <c r="AY422" s="231"/>
      <c r="AZ422" s="770" cm="1">
        <f t="array" aca="1" ref="AZ422" ca="1">INDIRECT("'Definition of Typical Day'!"&amp; ADDRESS($D422+29*(AZ$16-1),$E422))+$AZ$17</f>
        <v>11</v>
      </c>
      <c r="BA422" s="771" cm="1">
        <f t="array" aca="1" ref="BA422" ca="1">INDIRECT("'Definition of Typical Day'!"&amp; ADDRESS($D422+29*(BA$16-1),$E422))+$BA$17</f>
        <v>11</v>
      </c>
      <c r="BB422" s="772" cm="1">
        <f t="array" aca="1" ref="BB422" ca="1">INDIRECT("'Definition of Typical Day'!"&amp;ADDRESS(BB$16,$E422))</f>
        <v>0</v>
      </c>
      <c r="BC422" s="776" cm="1">
        <f t="array" aca="1" ref="BC422" ca="1">INDIRECT("'Definition of Typical Day'!"&amp; ADDRESS($D422+29*(BC$16-1),$E422))</f>
        <v>0</v>
      </c>
      <c r="BD422" s="777" cm="1">
        <f t="array" aca="1" ref="BD422" ca="1">INDIRECT("'Definition of Typical Day'!"&amp; ADDRESS($D422+29*(BD$16-1),$E422))</f>
        <v>0</v>
      </c>
      <c r="BE422" s="776">
        <f t="shared" si="502"/>
        <v>0</v>
      </c>
      <c r="BF422" s="771">
        <f t="shared" ca="1" si="503"/>
        <v>0</v>
      </c>
      <c r="BG422" s="771">
        <f t="shared" ca="1" si="504"/>
        <v>0</v>
      </c>
      <c r="BH422" s="771">
        <f t="shared" ca="1" si="505"/>
        <v>0</v>
      </c>
      <c r="BI422" s="776">
        <f t="shared" ca="1" si="506"/>
        <v>0</v>
      </c>
      <c r="BJ422" s="776">
        <f t="shared" ca="1" si="507"/>
        <v>0</v>
      </c>
      <c r="BK422" s="776">
        <f t="shared" ca="1" si="508"/>
        <v>0</v>
      </c>
      <c r="BL422" s="776">
        <f t="shared" ca="1" si="509"/>
        <v>0</v>
      </c>
      <c r="BM422" s="135"/>
      <c r="BN422" s="776">
        <f t="shared" ca="1" si="510"/>
        <v>0</v>
      </c>
      <c r="BO422" s="778">
        <f t="shared" ca="1" si="447"/>
        <v>0</v>
      </c>
      <c r="BP422" s="770">
        <f t="shared" ca="1" si="448"/>
        <v>0</v>
      </c>
      <c r="BQ422" s="771">
        <f t="shared" ca="1" si="449"/>
        <v>0</v>
      </c>
      <c r="BR422" s="771">
        <f t="shared" ca="1" si="450"/>
        <v>0</v>
      </c>
      <c r="BS422" s="776">
        <f t="shared" ca="1" si="511"/>
        <v>0</v>
      </c>
      <c r="BT422" s="776">
        <f t="shared" ca="1" si="451"/>
        <v>0</v>
      </c>
      <c r="BU422" s="783">
        <f t="shared" ca="1" si="452"/>
        <v>0</v>
      </c>
      <c r="BV422" s="783">
        <f t="shared" ca="1" si="453"/>
        <v>0</v>
      </c>
      <c r="BW422" s="1019">
        <f t="shared" ca="1" si="512"/>
        <v>0</v>
      </c>
      <c r="BX422" s="771" cm="1">
        <f t="array" aca="1" ref="BX422" ca="1">INDIRECT("'Definition of Typical Day'!"&amp; ADDRESS($D422+29*(BX$16-1),$E422))</f>
        <v>0</v>
      </c>
      <c r="BY422" s="771">
        <f t="shared" ca="1" si="513"/>
        <v>0</v>
      </c>
      <c r="BZ422" s="781">
        <f t="shared" ca="1" si="454"/>
        <v>0</v>
      </c>
      <c r="CA422" s="781">
        <f t="shared" ca="1" si="455"/>
        <v>0</v>
      </c>
      <c r="CB422" s="776">
        <f t="shared" ca="1" si="456"/>
        <v>0</v>
      </c>
      <c r="CC422" s="782">
        <f t="shared" si="457"/>
        <v>17</v>
      </c>
      <c r="CD422" s="782">
        <f t="shared" si="458"/>
        <v>18</v>
      </c>
      <c r="CE422" s="784" cm="1">
        <f t="array" aca="1" ref="CE422" ca="1">INDIRECT("'Definition of Typical Day'!"&amp;ADDRESS(CE$16,$E422))</f>
        <v>17</v>
      </c>
      <c r="CF422" s="232"/>
      <c r="CG422" s="232"/>
      <c r="CH422" s="776">
        <f t="shared" ca="1" si="459"/>
        <v>0</v>
      </c>
      <c r="CI422" s="806">
        <f t="shared" ca="1" si="460"/>
        <v>0</v>
      </c>
      <c r="CJ422" s="770">
        <f t="shared" ca="1" si="461"/>
        <v>0</v>
      </c>
      <c r="CK422" s="771">
        <f t="shared" ca="1" si="462"/>
        <v>0</v>
      </c>
      <c r="CL422" s="771">
        <f t="shared" ca="1" si="463"/>
        <v>0</v>
      </c>
      <c r="CM422" s="772">
        <f t="shared" ca="1" si="464"/>
        <v>0</v>
      </c>
      <c r="CN422" s="135"/>
      <c r="CO422" s="770">
        <f t="shared" ca="1" si="514"/>
        <v>1.05</v>
      </c>
      <c r="CP422" s="771">
        <f t="shared" ca="1" si="465"/>
        <v>0.02</v>
      </c>
      <c r="CQ422" s="771">
        <f t="shared" ca="1" si="466"/>
        <v>-2.5000000000000001E-2</v>
      </c>
      <c r="CR422" s="771">
        <f t="shared" ca="1" si="467"/>
        <v>0.95</v>
      </c>
      <c r="CS422" s="771">
        <f t="shared" ca="1" si="468"/>
        <v>0.03</v>
      </c>
      <c r="CT422" s="772">
        <f t="shared" ca="1" si="469"/>
        <v>0.02</v>
      </c>
      <c r="CU422" s="135"/>
      <c r="CV422" s="135"/>
      <c r="CW422" s="135"/>
      <c r="CX422" s="135"/>
      <c r="CY422" s="135"/>
      <c r="CZ422" s="135"/>
      <c r="DA422" s="135"/>
      <c r="DB422" s="135"/>
      <c r="DC422" s="135"/>
      <c r="DD422" s="135"/>
      <c r="DE422" s="135"/>
      <c r="DF422" s="135"/>
      <c r="DG422" s="135"/>
      <c r="DH422" s="135"/>
      <c r="DI422" s="135"/>
      <c r="DJ422" s="135"/>
      <c r="DK422" s="135"/>
      <c r="DL422" s="135"/>
      <c r="DX422" s="135"/>
      <c r="DY422" s="135"/>
      <c r="DZ422" s="135"/>
      <c r="EA422" s="135"/>
      <c r="EB422" s="135"/>
      <c r="EC422" s="135"/>
      <c r="ED422" s="135"/>
      <c r="EE422" s="135"/>
      <c r="EF422" s="135"/>
      <c r="EG422" s="135"/>
      <c r="EH422" s="135"/>
      <c r="EI422" s="135"/>
      <c r="EJ422" s="135"/>
      <c r="EK422" s="135"/>
      <c r="EL422" s="135"/>
      <c r="EM422" s="135"/>
      <c r="EN422" s="135"/>
      <c r="EO422" s="135"/>
      <c r="EP422" s="135"/>
      <c r="EQ422" s="135"/>
      <c r="ER422" s="135"/>
      <c r="ES422" s="135"/>
      <c r="ET422" s="135"/>
      <c r="EU422" s="135"/>
      <c r="EV422" s="135"/>
      <c r="EW422" s="135"/>
      <c r="EX422" s="135"/>
      <c r="EY422" s="135"/>
      <c r="EZ422" s="135"/>
      <c r="FA422" s="135"/>
      <c r="FB422" s="135"/>
      <c r="FC422" s="135"/>
      <c r="FD422" s="135"/>
      <c r="FE422" s="135"/>
      <c r="FF422" s="135"/>
      <c r="FG422" s="135"/>
    </row>
    <row r="423" spans="1:163" s="57" customFormat="1" ht="11.25" outlineLevel="1">
      <c r="A423" s="765">
        <f t="shared" si="442"/>
        <v>17</v>
      </c>
      <c r="B423" s="715" cm="1">
        <f t="array" aca="1" ref="B423" ca="1">INDIRECT("'Definition of Typical Day'!"&amp;ADDRESS(B$16,$E423))</f>
        <v>17</v>
      </c>
      <c r="C423" s="766">
        <f t="shared" si="443"/>
        <v>19</v>
      </c>
      <c r="D423" s="715">
        <f t="shared" si="443"/>
        <v>53</v>
      </c>
      <c r="E423" s="715">
        <f t="shared" si="444"/>
        <v>21</v>
      </c>
      <c r="F423" s="767" cm="1">
        <f t="array" aca="1" ref="F423" ca="1">INDIRECT("'Definition of Typical Day'!D"&amp;D423)</f>
        <v>19</v>
      </c>
      <c r="G423" s="767" cm="1">
        <f t="array" aca="1" ref="G423" ca="1">INDIRECT("'Definition of Typical Day'!"&amp;ADDRESS(13,E423))</f>
        <v>17</v>
      </c>
      <c r="H423" s="768" cm="1">
        <f t="array" aca="1" ref="H423" ca="1">INDIRECT("'Definition of Typical Day'!"&amp; ADDRESS($D423+28*(H$16-1),$E423))</f>
        <v>0</v>
      </c>
      <c r="I423" s="715" cm="1">
        <f t="array" aca="1" ref="I423" ca="1">INDIRECT("'Definition of Typical Day'!"&amp; ADDRESS($D423+29*(I$16-1),$E423))</f>
        <v>0</v>
      </c>
      <c r="J423" s="715">
        <f t="shared" ca="1" si="470"/>
        <v>0</v>
      </c>
      <c r="K423" s="785">
        <f t="shared" si="471"/>
        <v>28</v>
      </c>
      <c r="L423" s="786" cm="1">
        <f t="array" aca="1" ref="L423" ca="1">INDIRECT("'Definition of Typical Day'!"&amp; ADDRESS($D423+29*(L$16-1),$E423))</f>
        <v>0</v>
      </c>
      <c r="M423" s="768" cm="1">
        <f t="array" aca="1" ref="M423" ca="1">INDIRECT("'Definition of Typical Day'!"&amp; ADDRESS($D423+29*(M$16-1),$E423))</f>
        <v>0</v>
      </c>
      <c r="N423" s="715">
        <f t="shared" si="472"/>
        <v>3</v>
      </c>
      <c r="O423" s="715">
        <f t="shared" ca="1" si="473"/>
        <v>3</v>
      </c>
      <c r="P423" s="715" cm="1">
        <f t="array" aca="1" ref="P423" ca="1">INDIRECT("'Definition of Typical Day'!"&amp; ADDRESS($D423+29*(P$16-1),$E423))</f>
        <v>0</v>
      </c>
      <c r="Q423" s="787">
        <f t="shared" ca="1" si="474"/>
        <v>3</v>
      </c>
      <c r="R423" s="792">
        <f t="shared" ca="1" si="475"/>
        <v>3</v>
      </c>
      <c r="S423" s="769">
        <f t="shared" si="476"/>
        <v>3</v>
      </c>
      <c r="T423" s="769">
        <f t="shared" ca="1" si="477"/>
        <v>-0.5</v>
      </c>
      <c r="U423" s="769">
        <f t="shared" ca="1" si="478"/>
        <v>2.262</v>
      </c>
      <c r="V423" s="769">
        <f t="shared" ca="1" si="479"/>
        <v>0</v>
      </c>
      <c r="W423" s="769">
        <f t="shared" ca="1" si="480"/>
        <v>4.7620000000000005</v>
      </c>
      <c r="X423" s="794">
        <f t="shared" si="481"/>
        <v>3</v>
      </c>
      <c r="Y423" s="769">
        <f t="shared" ca="1" si="482"/>
        <v>0.54772255750516607</v>
      </c>
      <c r="Z423" s="769">
        <f t="shared" ca="1" si="483"/>
        <v>0</v>
      </c>
      <c r="AA423" s="795">
        <f t="shared" ca="1" si="484"/>
        <v>0</v>
      </c>
      <c r="AB423" s="769">
        <f t="shared" ca="1" si="485"/>
        <v>0</v>
      </c>
      <c r="AC423" s="769">
        <f t="shared" ca="1" si="486"/>
        <v>0</v>
      </c>
      <c r="AD423" s="769">
        <f t="shared" ca="1" si="487"/>
        <v>0</v>
      </c>
      <c r="AE423" s="794">
        <f t="shared" ca="1" si="488"/>
        <v>0</v>
      </c>
      <c r="AF423" s="769">
        <f t="shared" ca="1" si="489"/>
        <v>0</v>
      </c>
      <c r="AG423" s="769">
        <f t="shared" ca="1" si="490"/>
        <v>0</v>
      </c>
      <c r="AH423" s="799">
        <f t="shared" ca="1" si="491"/>
        <v>0</v>
      </c>
      <c r="AI423" s="801">
        <f t="shared" ca="1" si="492"/>
        <v>1</v>
      </c>
      <c r="AJ423" s="794">
        <f t="shared" ca="1" si="493"/>
        <v>0</v>
      </c>
      <c r="AK423" s="769">
        <f t="shared" ca="1" si="494"/>
        <v>0</v>
      </c>
      <c r="AL423" s="769">
        <f t="shared" ca="1" si="495"/>
        <v>0</v>
      </c>
      <c r="AM423" s="804">
        <f t="shared" ca="1" si="445"/>
        <v>0</v>
      </c>
      <c r="AN423" s="795">
        <f t="shared" ca="1" si="446"/>
        <v>0</v>
      </c>
      <c r="AO423" s="251"/>
      <c r="AP423" s="770">
        <f t="shared" si="496"/>
        <v>0</v>
      </c>
      <c r="AQ423" s="771">
        <f t="shared" ca="1" si="497"/>
        <v>0</v>
      </c>
      <c r="AR423" s="771">
        <f t="shared" ca="1" si="498"/>
        <v>0</v>
      </c>
      <c r="AS423" s="772">
        <f t="shared" ca="1" si="499"/>
        <v>0</v>
      </c>
      <c r="AT423" s="231"/>
      <c r="AU423" s="770">
        <f>'Main Results - IRR DC Operator'!$F$16</f>
        <v>2</v>
      </c>
      <c r="AV423" s="773">
        <f>'Main Results - IRR DC Operator'!$F$15</f>
        <v>1</v>
      </c>
      <c r="AW423" s="771">
        <f t="shared" ca="1" si="500"/>
        <v>0</v>
      </c>
      <c r="AX423" s="772">
        <f t="shared" si="501"/>
        <v>0</v>
      </c>
      <c r="AY423" s="231"/>
      <c r="AZ423" s="770" cm="1">
        <f t="array" aca="1" ref="AZ423" ca="1">INDIRECT("'Definition of Typical Day'!"&amp; ADDRESS($D423+29*(AZ$16-1),$E423))+$AZ$17</f>
        <v>11</v>
      </c>
      <c r="BA423" s="771" cm="1">
        <f t="array" aca="1" ref="BA423" ca="1">INDIRECT("'Definition of Typical Day'!"&amp; ADDRESS($D423+29*(BA$16-1),$E423))+$BA$17</f>
        <v>11</v>
      </c>
      <c r="BB423" s="772" cm="1">
        <f t="array" aca="1" ref="BB423" ca="1">INDIRECT("'Definition of Typical Day'!"&amp;ADDRESS(BB$16,$E423))</f>
        <v>0</v>
      </c>
      <c r="BC423" s="776" cm="1">
        <f t="array" aca="1" ref="BC423" ca="1">INDIRECT("'Definition of Typical Day'!"&amp; ADDRESS($D423+29*(BC$16-1),$E423))</f>
        <v>0</v>
      </c>
      <c r="BD423" s="777" cm="1">
        <f t="array" aca="1" ref="BD423" ca="1">INDIRECT("'Definition of Typical Day'!"&amp; ADDRESS($D423+29*(BD$16-1),$E423))</f>
        <v>0</v>
      </c>
      <c r="BE423" s="776">
        <f t="shared" si="502"/>
        <v>0</v>
      </c>
      <c r="BF423" s="771">
        <f t="shared" ca="1" si="503"/>
        <v>0</v>
      </c>
      <c r="BG423" s="771">
        <f t="shared" ca="1" si="504"/>
        <v>0</v>
      </c>
      <c r="BH423" s="771">
        <f t="shared" ca="1" si="505"/>
        <v>0</v>
      </c>
      <c r="BI423" s="776">
        <f t="shared" ca="1" si="506"/>
        <v>0</v>
      </c>
      <c r="BJ423" s="776">
        <f t="shared" ca="1" si="507"/>
        <v>0</v>
      </c>
      <c r="BK423" s="776">
        <f t="shared" ca="1" si="508"/>
        <v>0</v>
      </c>
      <c r="BL423" s="776">
        <f t="shared" ca="1" si="509"/>
        <v>0</v>
      </c>
      <c r="BM423" s="135"/>
      <c r="BN423" s="776">
        <f t="shared" ca="1" si="510"/>
        <v>0</v>
      </c>
      <c r="BO423" s="778">
        <f t="shared" ca="1" si="447"/>
        <v>0</v>
      </c>
      <c r="BP423" s="770">
        <f t="shared" ca="1" si="448"/>
        <v>0</v>
      </c>
      <c r="BQ423" s="771">
        <f t="shared" ca="1" si="449"/>
        <v>0</v>
      </c>
      <c r="BR423" s="771">
        <f t="shared" ca="1" si="450"/>
        <v>0</v>
      </c>
      <c r="BS423" s="776">
        <f t="shared" ca="1" si="511"/>
        <v>0</v>
      </c>
      <c r="BT423" s="776">
        <f t="shared" ca="1" si="451"/>
        <v>0</v>
      </c>
      <c r="BU423" s="783">
        <f t="shared" ca="1" si="452"/>
        <v>0</v>
      </c>
      <c r="BV423" s="783">
        <f t="shared" ca="1" si="453"/>
        <v>0</v>
      </c>
      <c r="BW423" s="1019">
        <f t="shared" ca="1" si="512"/>
        <v>0</v>
      </c>
      <c r="BX423" s="771" cm="1">
        <f t="array" aca="1" ref="BX423" ca="1">INDIRECT("'Definition of Typical Day'!"&amp; ADDRESS($D423+29*(BX$16-1),$E423))</f>
        <v>0</v>
      </c>
      <c r="BY423" s="771">
        <f t="shared" ca="1" si="513"/>
        <v>0</v>
      </c>
      <c r="BZ423" s="781">
        <f t="shared" ca="1" si="454"/>
        <v>0</v>
      </c>
      <c r="CA423" s="781">
        <f t="shared" ca="1" si="455"/>
        <v>0</v>
      </c>
      <c r="CB423" s="776">
        <f t="shared" ca="1" si="456"/>
        <v>0</v>
      </c>
      <c r="CC423" s="782">
        <f t="shared" si="457"/>
        <v>17</v>
      </c>
      <c r="CD423" s="782">
        <f t="shared" si="458"/>
        <v>19</v>
      </c>
      <c r="CE423" s="784" cm="1">
        <f t="array" aca="1" ref="CE423" ca="1">INDIRECT("'Definition of Typical Day'!"&amp;ADDRESS(CE$16,$E423))</f>
        <v>17</v>
      </c>
      <c r="CF423" s="232"/>
      <c r="CG423" s="232"/>
      <c r="CH423" s="776">
        <f t="shared" ca="1" si="459"/>
        <v>0</v>
      </c>
      <c r="CI423" s="806">
        <f t="shared" ca="1" si="460"/>
        <v>0</v>
      </c>
      <c r="CJ423" s="770">
        <f t="shared" ca="1" si="461"/>
        <v>0</v>
      </c>
      <c r="CK423" s="771">
        <f t="shared" ca="1" si="462"/>
        <v>0</v>
      </c>
      <c r="CL423" s="771">
        <f t="shared" ca="1" si="463"/>
        <v>0</v>
      </c>
      <c r="CM423" s="772">
        <f t="shared" ca="1" si="464"/>
        <v>0</v>
      </c>
      <c r="CN423" s="135"/>
      <c r="CO423" s="770">
        <f t="shared" ca="1" si="514"/>
        <v>1.05</v>
      </c>
      <c r="CP423" s="771">
        <f t="shared" ca="1" si="465"/>
        <v>0.02</v>
      </c>
      <c r="CQ423" s="771">
        <f t="shared" ca="1" si="466"/>
        <v>-2.5000000000000001E-2</v>
      </c>
      <c r="CR423" s="771">
        <f t="shared" ca="1" si="467"/>
        <v>0.95</v>
      </c>
      <c r="CS423" s="771">
        <f t="shared" ca="1" si="468"/>
        <v>0.03</v>
      </c>
      <c r="CT423" s="772">
        <f t="shared" ca="1" si="469"/>
        <v>0.02</v>
      </c>
      <c r="CU423" s="135"/>
      <c r="CV423" s="135"/>
      <c r="CW423" s="135"/>
      <c r="CX423" s="135"/>
      <c r="CY423" s="135"/>
      <c r="CZ423" s="135"/>
      <c r="DA423" s="135"/>
      <c r="DB423" s="135"/>
      <c r="DC423" s="135"/>
      <c r="DD423" s="135"/>
      <c r="DE423" s="135"/>
      <c r="DF423" s="135"/>
      <c r="DG423" s="135"/>
      <c r="DH423" s="135"/>
      <c r="DI423" s="135"/>
      <c r="DJ423" s="135"/>
      <c r="DK423" s="135"/>
      <c r="DL423" s="135"/>
      <c r="DX423" s="135"/>
      <c r="DY423" s="135"/>
      <c r="DZ423" s="135"/>
      <c r="EA423" s="135"/>
      <c r="EB423" s="135"/>
      <c r="EC423" s="135"/>
      <c r="ED423" s="135"/>
      <c r="EE423" s="135"/>
      <c r="EF423" s="135"/>
      <c r="EG423" s="135"/>
      <c r="EH423" s="135"/>
      <c r="EI423" s="135"/>
      <c r="EJ423" s="135"/>
      <c r="EK423" s="135"/>
      <c r="EL423" s="135"/>
      <c r="EM423" s="135"/>
      <c r="EN423" s="135"/>
      <c r="EO423" s="135"/>
      <c r="EP423" s="135"/>
      <c r="EQ423" s="135"/>
      <c r="ER423" s="135"/>
      <c r="ES423" s="135"/>
      <c r="ET423" s="135"/>
      <c r="EU423" s="135"/>
      <c r="EV423" s="135"/>
      <c r="EW423" s="135"/>
      <c r="EX423" s="135"/>
      <c r="EY423" s="135"/>
      <c r="EZ423" s="135"/>
      <c r="FA423" s="135"/>
      <c r="FB423" s="135"/>
      <c r="FC423" s="135"/>
      <c r="FD423" s="135"/>
      <c r="FE423" s="135"/>
      <c r="FF423" s="135"/>
      <c r="FG423" s="135"/>
    </row>
    <row r="424" spans="1:163" s="57" customFormat="1" ht="11.25" outlineLevel="1">
      <c r="A424" s="765">
        <f t="shared" si="442"/>
        <v>17</v>
      </c>
      <c r="B424" s="715" cm="1">
        <f t="array" aca="1" ref="B424" ca="1">INDIRECT("'Definition of Typical Day'!"&amp;ADDRESS(B$16,$E424))</f>
        <v>17</v>
      </c>
      <c r="C424" s="766">
        <f t="shared" si="443"/>
        <v>20</v>
      </c>
      <c r="D424" s="715">
        <f t="shared" si="443"/>
        <v>54</v>
      </c>
      <c r="E424" s="715">
        <f t="shared" si="444"/>
        <v>21</v>
      </c>
      <c r="F424" s="767" cm="1">
        <f t="array" aca="1" ref="F424" ca="1">INDIRECT("'Definition of Typical Day'!D"&amp;D424)</f>
        <v>20</v>
      </c>
      <c r="G424" s="767" cm="1">
        <f t="array" aca="1" ref="G424" ca="1">INDIRECT("'Definition of Typical Day'!"&amp;ADDRESS(13,E424))</f>
        <v>17</v>
      </c>
      <c r="H424" s="768" cm="1">
        <f t="array" aca="1" ref="H424" ca="1">INDIRECT("'Definition of Typical Day'!"&amp; ADDRESS($D424+28*(H$16-1),$E424))</f>
        <v>0</v>
      </c>
      <c r="I424" s="715" cm="1">
        <f t="array" aca="1" ref="I424" ca="1">INDIRECT("'Definition of Typical Day'!"&amp; ADDRESS($D424+29*(I$16-1),$E424))</f>
        <v>0</v>
      </c>
      <c r="J424" s="715">
        <f t="shared" ca="1" si="470"/>
        <v>0</v>
      </c>
      <c r="K424" s="785">
        <f t="shared" si="471"/>
        <v>28</v>
      </c>
      <c r="L424" s="786" cm="1">
        <f t="array" aca="1" ref="L424" ca="1">INDIRECT("'Definition of Typical Day'!"&amp; ADDRESS($D424+29*(L$16-1),$E424))</f>
        <v>0</v>
      </c>
      <c r="M424" s="768" cm="1">
        <f t="array" aca="1" ref="M424" ca="1">INDIRECT("'Definition of Typical Day'!"&amp; ADDRESS($D424+29*(M$16-1),$E424))</f>
        <v>0</v>
      </c>
      <c r="N424" s="715">
        <f t="shared" si="472"/>
        <v>3</v>
      </c>
      <c r="O424" s="715">
        <f t="shared" ca="1" si="473"/>
        <v>3</v>
      </c>
      <c r="P424" s="715" cm="1">
        <f t="array" aca="1" ref="P424" ca="1">INDIRECT("'Definition of Typical Day'!"&amp; ADDRESS($D424+29*(P$16-1),$E424))</f>
        <v>0</v>
      </c>
      <c r="Q424" s="787">
        <f t="shared" ca="1" si="474"/>
        <v>3</v>
      </c>
      <c r="R424" s="792">
        <f t="shared" ca="1" si="475"/>
        <v>3</v>
      </c>
      <c r="S424" s="769">
        <f t="shared" si="476"/>
        <v>3</v>
      </c>
      <c r="T424" s="769">
        <f t="shared" ca="1" si="477"/>
        <v>-0.5</v>
      </c>
      <c r="U424" s="769">
        <f t="shared" ca="1" si="478"/>
        <v>2.262</v>
      </c>
      <c r="V424" s="769">
        <f t="shared" ca="1" si="479"/>
        <v>0</v>
      </c>
      <c r="W424" s="769">
        <f t="shared" ca="1" si="480"/>
        <v>4.7620000000000005</v>
      </c>
      <c r="X424" s="794">
        <f t="shared" si="481"/>
        <v>3</v>
      </c>
      <c r="Y424" s="769">
        <f t="shared" ca="1" si="482"/>
        <v>0.54772255750516607</v>
      </c>
      <c r="Z424" s="769">
        <f t="shared" ca="1" si="483"/>
        <v>0</v>
      </c>
      <c r="AA424" s="795">
        <f t="shared" ca="1" si="484"/>
        <v>0</v>
      </c>
      <c r="AB424" s="769">
        <f t="shared" ca="1" si="485"/>
        <v>0</v>
      </c>
      <c r="AC424" s="769">
        <f t="shared" ca="1" si="486"/>
        <v>0</v>
      </c>
      <c r="AD424" s="769">
        <f t="shared" ca="1" si="487"/>
        <v>0</v>
      </c>
      <c r="AE424" s="794">
        <f t="shared" ca="1" si="488"/>
        <v>0</v>
      </c>
      <c r="AF424" s="769">
        <f t="shared" ca="1" si="489"/>
        <v>0</v>
      </c>
      <c r="AG424" s="769">
        <f t="shared" ca="1" si="490"/>
        <v>0</v>
      </c>
      <c r="AH424" s="799">
        <f t="shared" ca="1" si="491"/>
        <v>0</v>
      </c>
      <c r="AI424" s="801">
        <f t="shared" ca="1" si="492"/>
        <v>1</v>
      </c>
      <c r="AJ424" s="794">
        <f t="shared" ca="1" si="493"/>
        <v>0</v>
      </c>
      <c r="AK424" s="769">
        <f t="shared" ca="1" si="494"/>
        <v>0</v>
      </c>
      <c r="AL424" s="769">
        <f t="shared" ca="1" si="495"/>
        <v>0</v>
      </c>
      <c r="AM424" s="804">
        <f t="shared" ca="1" si="445"/>
        <v>0</v>
      </c>
      <c r="AN424" s="795">
        <f t="shared" ca="1" si="446"/>
        <v>0</v>
      </c>
      <c r="AO424" s="251"/>
      <c r="AP424" s="770">
        <f t="shared" si="496"/>
        <v>0</v>
      </c>
      <c r="AQ424" s="771">
        <f t="shared" ca="1" si="497"/>
        <v>0</v>
      </c>
      <c r="AR424" s="771">
        <f t="shared" ca="1" si="498"/>
        <v>0</v>
      </c>
      <c r="AS424" s="772">
        <f t="shared" ca="1" si="499"/>
        <v>0</v>
      </c>
      <c r="AT424" s="231"/>
      <c r="AU424" s="770">
        <f>'Main Results - IRR DC Operator'!$F$16</f>
        <v>2</v>
      </c>
      <c r="AV424" s="773">
        <f>'Main Results - IRR DC Operator'!$F$15</f>
        <v>1</v>
      </c>
      <c r="AW424" s="771">
        <f t="shared" ca="1" si="500"/>
        <v>0</v>
      </c>
      <c r="AX424" s="772">
        <f t="shared" si="501"/>
        <v>0</v>
      </c>
      <c r="AY424" s="231"/>
      <c r="AZ424" s="770" cm="1">
        <f t="array" aca="1" ref="AZ424" ca="1">INDIRECT("'Definition of Typical Day'!"&amp; ADDRESS($D424+29*(AZ$16-1),$E424))+$AZ$17</f>
        <v>11</v>
      </c>
      <c r="BA424" s="771" cm="1">
        <f t="array" aca="1" ref="BA424" ca="1">INDIRECT("'Definition of Typical Day'!"&amp; ADDRESS($D424+29*(BA$16-1),$E424))+$BA$17</f>
        <v>11</v>
      </c>
      <c r="BB424" s="772" cm="1">
        <f t="array" aca="1" ref="BB424" ca="1">INDIRECT("'Definition of Typical Day'!"&amp;ADDRESS(BB$16,$E424))</f>
        <v>0</v>
      </c>
      <c r="BC424" s="776" cm="1">
        <f t="array" aca="1" ref="BC424" ca="1">INDIRECT("'Definition of Typical Day'!"&amp; ADDRESS($D424+29*(BC$16-1),$E424))</f>
        <v>0</v>
      </c>
      <c r="BD424" s="777" cm="1">
        <f t="array" aca="1" ref="BD424" ca="1">INDIRECT("'Definition of Typical Day'!"&amp; ADDRESS($D424+29*(BD$16-1),$E424))</f>
        <v>0</v>
      </c>
      <c r="BE424" s="776">
        <f t="shared" si="502"/>
        <v>0</v>
      </c>
      <c r="BF424" s="771">
        <f t="shared" ca="1" si="503"/>
        <v>0</v>
      </c>
      <c r="BG424" s="771">
        <f t="shared" ca="1" si="504"/>
        <v>0</v>
      </c>
      <c r="BH424" s="771">
        <f t="shared" ca="1" si="505"/>
        <v>0</v>
      </c>
      <c r="BI424" s="776">
        <f t="shared" ca="1" si="506"/>
        <v>0</v>
      </c>
      <c r="BJ424" s="776">
        <f t="shared" ca="1" si="507"/>
        <v>0</v>
      </c>
      <c r="BK424" s="776">
        <f t="shared" ca="1" si="508"/>
        <v>0</v>
      </c>
      <c r="BL424" s="776">
        <f t="shared" ca="1" si="509"/>
        <v>0</v>
      </c>
      <c r="BM424" s="135"/>
      <c r="BN424" s="776">
        <f t="shared" ca="1" si="510"/>
        <v>0</v>
      </c>
      <c r="BO424" s="778">
        <f t="shared" ca="1" si="447"/>
        <v>0</v>
      </c>
      <c r="BP424" s="770">
        <f t="shared" ca="1" si="448"/>
        <v>0</v>
      </c>
      <c r="BQ424" s="771">
        <f t="shared" ca="1" si="449"/>
        <v>0</v>
      </c>
      <c r="BR424" s="771">
        <f t="shared" ca="1" si="450"/>
        <v>0</v>
      </c>
      <c r="BS424" s="776">
        <f t="shared" ca="1" si="511"/>
        <v>0</v>
      </c>
      <c r="BT424" s="776">
        <f t="shared" ca="1" si="451"/>
        <v>0</v>
      </c>
      <c r="BU424" s="783">
        <f t="shared" ca="1" si="452"/>
        <v>0</v>
      </c>
      <c r="BV424" s="783">
        <f t="shared" ca="1" si="453"/>
        <v>0</v>
      </c>
      <c r="BW424" s="1019">
        <f t="shared" ca="1" si="512"/>
        <v>0</v>
      </c>
      <c r="BX424" s="771" cm="1">
        <f t="array" aca="1" ref="BX424" ca="1">INDIRECT("'Definition of Typical Day'!"&amp; ADDRESS($D424+29*(BX$16-1),$E424))</f>
        <v>0</v>
      </c>
      <c r="BY424" s="771">
        <f t="shared" ca="1" si="513"/>
        <v>0</v>
      </c>
      <c r="BZ424" s="781">
        <f t="shared" ca="1" si="454"/>
        <v>0</v>
      </c>
      <c r="CA424" s="781">
        <f t="shared" ca="1" si="455"/>
        <v>0</v>
      </c>
      <c r="CB424" s="776">
        <f t="shared" ca="1" si="456"/>
        <v>0</v>
      </c>
      <c r="CC424" s="782">
        <f t="shared" si="457"/>
        <v>17</v>
      </c>
      <c r="CD424" s="782">
        <f t="shared" si="458"/>
        <v>20</v>
      </c>
      <c r="CE424" s="784" cm="1">
        <f t="array" aca="1" ref="CE424" ca="1">INDIRECT("'Definition of Typical Day'!"&amp;ADDRESS(CE$16,$E424))</f>
        <v>17</v>
      </c>
      <c r="CF424" s="232"/>
      <c r="CG424" s="232"/>
      <c r="CH424" s="776">
        <f t="shared" ca="1" si="459"/>
        <v>0</v>
      </c>
      <c r="CI424" s="806">
        <f t="shared" ca="1" si="460"/>
        <v>0</v>
      </c>
      <c r="CJ424" s="770">
        <f t="shared" ca="1" si="461"/>
        <v>0</v>
      </c>
      <c r="CK424" s="771">
        <f t="shared" ca="1" si="462"/>
        <v>0</v>
      </c>
      <c r="CL424" s="771">
        <f t="shared" ca="1" si="463"/>
        <v>0</v>
      </c>
      <c r="CM424" s="772">
        <f t="shared" ca="1" si="464"/>
        <v>0</v>
      </c>
      <c r="CN424" s="135"/>
      <c r="CO424" s="770">
        <f t="shared" ca="1" si="514"/>
        <v>1.05</v>
      </c>
      <c r="CP424" s="771">
        <f t="shared" ca="1" si="465"/>
        <v>0.02</v>
      </c>
      <c r="CQ424" s="771">
        <f t="shared" ca="1" si="466"/>
        <v>-2.5000000000000001E-2</v>
      </c>
      <c r="CR424" s="771">
        <f t="shared" ca="1" si="467"/>
        <v>0.95</v>
      </c>
      <c r="CS424" s="771">
        <f t="shared" ca="1" si="468"/>
        <v>0.03</v>
      </c>
      <c r="CT424" s="772">
        <f t="shared" ca="1" si="469"/>
        <v>0.02</v>
      </c>
      <c r="CU424" s="135"/>
      <c r="CV424" s="135"/>
      <c r="CW424" s="135"/>
      <c r="CX424" s="135"/>
      <c r="CY424" s="135"/>
      <c r="CZ424" s="135"/>
      <c r="DA424" s="135"/>
      <c r="DB424" s="135"/>
      <c r="DC424" s="135"/>
      <c r="DD424" s="135"/>
      <c r="DE424" s="135"/>
      <c r="DF424" s="135"/>
      <c r="DG424" s="135"/>
      <c r="DH424" s="135"/>
      <c r="DI424" s="135"/>
      <c r="DJ424" s="135"/>
      <c r="DK424" s="135"/>
      <c r="DL424" s="135"/>
      <c r="DX424" s="135"/>
      <c r="DY424" s="135"/>
      <c r="DZ424" s="135"/>
      <c r="EA424" s="135"/>
      <c r="EB424" s="135"/>
      <c r="EC424" s="135"/>
      <c r="ED424" s="135"/>
      <c r="EE424" s="135"/>
      <c r="EF424" s="135"/>
      <c r="EG424" s="135"/>
      <c r="EH424" s="135"/>
      <c r="EI424" s="135"/>
      <c r="EJ424" s="135"/>
      <c r="EK424" s="135"/>
      <c r="EL424" s="135"/>
      <c r="EM424" s="135"/>
      <c r="EN424" s="135"/>
      <c r="EO424" s="135"/>
      <c r="EP424" s="135"/>
      <c r="EQ424" s="135"/>
      <c r="ER424" s="135"/>
      <c r="ES424" s="135"/>
      <c r="ET424" s="135"/>
      <c r="EU424" s="135"/>
      <c r="EV424" s="135"/>
      <c r="EW424" s="135"/>
      <c r="EX424" s="135"/>
      <c r="EY424" s="135"/>
      <c r="EZ424" s="135"/>
      <c r="FA424" s="135"/>
      <c r="FB424" s="135"/>
      <c r="FC424" s="135"/>
      <c r="FD424" s="135"/>
      <c r="FE424" s="135"/>
      <c r="FF424" s="135"/>
      <c r="FG424" s="135"/>
    </row>
    <row r="425" spans="1:163" s="57" customFormat="1" ht="11.25" outlineLevel="1">
      <c r="A425" s="765">
        <f t="shared" si="442"/>
        <v>17</v>
      </c>
      <c r="B425" s="715" cm="1">
        <f t="array" aca="1" ref="B425" ca="1">INDIRECT("'Definition of Typical Day'!"&amp;ADDRESS(B$16,$E425))</f>
        <v>17</v>
      </c>
      <c r="C425" s="766">
        <f t="shared" si="443"/>
        <v>21</v>
      </c>
      <c r="D425" s="715">
        <f t="shared" si="443"/>
        <v>55</v>
      </c>
      <c r="E425" s="715">
        <f t="shared" si="444"/>
        <v>21</v>
      </c>
      <c r="F425" s="767" cm="1">
        <f t="array" aca="1" ref="F425" ca="1">INDIRECT("'Definition of Typical Day'!D"&amp;D425)</f>
        <v>21</v>
      </c>
      <c r="G425" s="767" cm="1">
        <f t="array" aca="1" ref="G425" ca="1">INDIRECT("'Definition of Typical Day'!"&amp;ADDRESS(13,E425))</f>
        <v>17</v>
      </c>
      <c r="H425" s="768" cm="1">
        <f t="array" aca="1" ref="H425" ca="1">INDIRECT("'Definition of Typical Day'!"&amp; ADDRESS($D425+28*(H$16-1),$E425))</f>
        <v>0</v>
      </c>
      <c r="I425" s="715" cm="1">
        <f t="array" aca="1" ref="I425" ca="1">INDIRECT("'Definition of Typical Day'!"&amp; ADDRESS($D425+29*(I$16-1),$E425))</f>
        <v>0</v>
      </c>
      <c r="J425" s="715">
        <f t="shared" ca="1" si="470"/>
        <v>0</v>
      </c>
      <c r="K425" s="785">
        <f t="shared" si="471"/>
        <v>28</v>
      </c>
      <c r="L425" s="786" cm="1">
        <f t="array" aca="1" ref="L425" ca="1">INDIRECT("'Definition of Typical Day'!"&amp; ADDRESS($D425+29*(L$16-1),$E425))</f>
        <v>0</v>
      </c>
      <c r="M425" s="768" cm="1">
        <f t="array" aca="1" ref="M425" ca="1">INDIRECT("'Definition of Typical Day'!"&amp; ADDRESS($D425+29*(M$16-1),$E425))</f>
        <v>0</v>
      </c>
      <c r="N425" s="715">
        <f t="shared" si="472"/>
        <v>3</v>
      </c>
      <c r="O425" s="715">
        <f t="shared" ca="1" si="473"/>
        <v>3</v>
      </c>
      <c r="P425" s="715" cm="1">
        <f t="array" aca="1" ref="P425" ca="1">INDIRECT("'Definition of Typical Day'!"&amp; ADDRESS($D425+29*(P$16-1),$E425))</f>
        <v>0</v>
      </c>
      <c r="Q425" s="787">
        <f t="shared" ca="1" si="474"/>
        <v>3</v>
      </c>
      <c r="R425" s="792">
        <f t="shared" ca="1" si="475"/>
        <v>3</v>
      </c>
      <c r="S425" s="769">
        <f t="shared" si="476"/>
        <v>3</v>
      </c>
      <c r="T425" s="769">
        <f t="shared" ca="1" si="477"/>
        <v>-0.5</v>
      </c>
      <c r="U425" s="769">
        <f t="shared" ca="1" si="478"/>
        <v>2.262</v>
      </c>
      <c r="V425" s="769">
        <f t="shared" ca="1" si="479"/>
        <v>0</v>
      </c>
      <c r="W425" s="769">
        <f t="shared" ca="1" si="480"/>
        <v>4.7620000000000005</v>
      </c>
      <c r="X425" s="794">
        <f t="shared" si="481"/>
        <v>3</v>
      </c>
      <c r="Y425" s="769">
        <f t="shared" ca="1" si="482"/>
        <v>0.54772255750516607</v>
      </c>
      <c r="Z425" s="769">
        <f t="shared" ca="1" si="483"/>
        <v>0</v>
      </c>
      <c r="AA425" s="795">
        <f t="shared" ca="1" si="484"/>
        <v>0</v>
      </c>
      <c r="AB425" s="769">
        <f t="shared" ca="1" si="485"/>
        <v>0</v>
      </c>
      <c r="AC425" s="769">
        <f t="shared" ca="1" si="486"/>
        <v>0</v>
      </c>
      <c r="AD425" s="769">
        <f t="shared" ca="1" si="487"/>
        <v>0</v>
      </c>
      <c r="AE425" s="794">
        <f t="shared" ca="1" si="488"/>
        <v>0</v>
      </c>
      <c r="AF425" s="769">
        <f t="shared" ca="1" si="489"/>
        <v>0</v>
      </c>
      <c r="AG425" s="769">
        <f t="shared" ca="1" si="490"/>
        <v>0</v>
      </c>
      <c r="AH425" s="799">
        <f t="shared" ca="1" si="491"/>
        <v>0</v>
      </c>
      <c r="AI425" s="801">
        <f t="shared" ca="1" si="492"/>
        <v>1</v>
      </c>
      <c r="AJ425" s="794">
        <f t="shared" ca="1" si="493"/>
        <v>0</v>
      </c>
      <c r="AK425" s="769">
        <f t="shared" ca="1" si="494"/>
        <v>0</v>
      </c>
      <c r="AL425" s="769">
        <f t="shared" ca="1" si="495"/>
        <v>0</v>
      </c>
      <c r="AM425" s="804">
        <f t="shared" ca="1" si="445"/>
        <v>0</v>
      </c>
      <c r="AN425" s="795">
        <f t="shared" ca="1" si="446"/>
        <v>0</v>
      </c>
      <c r="AO425" s="251"/>
      <c r="AP425" s="770">
        <f t="shared" si="496"/>
        <v>0</v>
      </c>
      <c r="AQ425" s="771">
        <f t="shared" ca="1" si="497"/>
        <v>0</v>
      </c>
      <c r="AR425" s="771">
        <f t="shared" ca="1" si="498"/>
        <v>0</v>
      </c>
      <c r="AS425" s="772">
        <f t="shared" ca="1" si="499"/>
        <v>0</v>
      </c>
      <c r="AT425" s="231"/>
      <c r="AU425" s="770">
        <f>'Main Results - IRR DC Operator'!$F$16</f>
        <v>2</v>
      </c>
      <c r="AV425" s="773">
        <f>'Main Results - IRR DC Operator'!$F$15</f>
        <v>1</v>
      </c>
      <c r="AW425" s="771">
        <f t="shared" ca="1" si="500"/>
        <v>0</v>
      </c>
      <c r="AX425" s="772">
        <f t="shared" si="501"/>
        <v>0</v>
      </c>
      <c r="AY425" s="231"/>
      <c r="AZ425" s="770" cm="1">
        <f t="array" aca="1" ref="AZ425" ca="1">INDIRECT("'Definition of Typical Day'!"&amp; ADDRESS($D425+29*(AZ$16-1),$E425))+$AZ$17</f>
        <v>11</v>
      </c>
      <c r="BA425" s="771" cm="1">
        <f t="array" aca="1" ref="BA425" ca="1">INDIRECT("'Definition of Typical Day'!"&amp; ADDRESS($D425+29*(BA$16-1),$E425))+$BA$17</f>
        <v>11</v>
      </c>
      <c r="BB425" s="772" cm="1">
        <f t="array" aca="1" ref="BB425" ca="1">INDIRECT("'Definition of Typical Day'!"&amp;ADDRESS(BB$16,$E425))</f>
        <v>0</v>
      </c>
      <c r="BC425" s="776" cm="1">
        <f t="array" aca="1" ref="BC425" ca="1">INDIRECT("'Definition of Typical Day'!"&amp; ADDRESS($D425+29*(BC$16-1),$E425))</f>
        <v>0</v>
      </c>
      <c r="BD425" s="777" cm="1">
        <f t="array" aca="1" ref="BD425" ca="1">INDIRECT("'Definition of Typical Day'!"&amp; ADDRESS($D425+29*(BD$16-1),$E425))</f>
        <v>0</v>
      </c>
      <c r="BE425" s="776">
        <f t="shared" si="502"/>
        <v>0</v>
      </c>
      <c r="BF425" s="771">
        <f t="shared" ca="1" si="503"/>
        <v>0</v>
      </c>
      <c r="BG425" s="771">
        <f t="shared" ca="1" si="504"/>
        <v>0</v>
      </c>
      <c r="BH425" s="771">
        <f t="shared" ca="1" si="505"/>
        <v>0</v>
      </c>
      <c r="BI425" s="776">
        <f t="shared" ca="1" si="506"/>
        <v>0</v>
      </c>
      <c r="BJ425" s="776">
        <f t="shared" ca="1" si="507"/>
        <v>0</v>
      </c>
      <c r="BK425" s="776">
        <f t="shared" ca="1" si="508"/>
        <v>0</v>
      </c>
      <c r="BL425" s="776">
        <f t="shared" ca="1" si="509"/>
        <v>0</v>
      </c>
      <c r="BM425" s="135"/>
      <c r="BN425" s="776">
        <f t="shared" ca="1" si="510"/>
        <v>0</v>
      </c>
      <c r="BO425" s="778">
        <f t="shared" ca="1" si="447"/>
        <v>0</v>
      </c>
      <c r="BP425" s="770">
        <f t="shared" ca="1" si="448"/>
        <v>0</v>
      </c>
      <c r="BQ425" s="771">
        <f t="shared" ca="1" si="449"/>
        <v>0</v>
      </c>
      <c r="BR425" s="771">
        <f t="shared" ca="1" si="450"/>
        <v>0</v>
      </c>
      <c r="BS425" s="776">
        <f t="shared" ca="1" si="511"/>
        <v>0</v>
      </c>
      <c r="BT425" s="776">
        <f t="shared" ca="1" si="451"/>
        <v>0</v>
      </c>
      <c r="BU425" s="783">
        <f t="shared" ca="1" si="452"/>
        <v>0</v>
      </c>
      <c r="BV425" s="783">
        <f t="shared" ca="1" si="453"/>
        <v>0</v>
      </c>
      <c r="BW425" s="1019">
        <f t="shared" ca="1" si="512"/>
        <v>0</v>
      </c>
      <c r="BX425" s="771" cm="1">
        <f t="array" aca="1" ref="BX425" ca="1">INDIRECT("'Definition of Typical Day'!"&amp; ADDRESS($D425+29*(BX$16-1),$E425))</f>
        <v>0</v>
      </c>
      <c r="BY425" s="771">
        <f t="shared" ca="1" si="513"/>
        <v>0</v>
      </c>
      <c r="BZ425" s="781">
        <f t="shared" ca="1" si="454"/>
        <v>0</v>
      </c>
      <c r="CA425" s="781">
        <f t="shared" ca="1" si="455"/>
        <v>0</v>
      </c>
      <c r="CB425" s="776">
        <f t="shared" ca="1" si="456"/>
        <v>0</v>
      </c>
      <c r="CC425" s="782">
        <f t="shared" si="457"/>
        <v>17</v>
      </c>
      <c r="CD425" s="782">
        <f t="shared" si="458"/>
        <v>21</v>
      </c>
      <c r="CE425" s="784" cm="1">
        <f t="array" aca="1" ref="CE425" ca="1">INDIRECT("'Definition of Typical Day'!"&amp;ADDRESS(CE$16,$E425))</f>
        <v>17</v>
      </c>
      <c r="CF425" s="232"/>
      <c r="CG425" s="232"/>
      <c r="CH425" s="776">
        <f t="shared" ca="1" si="459"/>
        <v>0</v>
      </c>
      <c r="CI425" s="806">
        <f t="shared" ca="1" si="460"/>
        <v>0</v>
      </c>
      <c r="CJ425" s="770">
        <f t="shared" ca="1" si="461"/>
        <v>0</v>
      </c>
      <c r="CK425" s="771">
        <f t="shared" ca="1" si="462"/>
        <v>0</v>
      </c>
      <c r="CL425" s="771">
        <f t="shared" ca="1" si="463"/>
        <v>0</v>
      </c>
      <c r="CM425" s="772">
        <f t="shared" ca="1" si="464"/>
        <v>0</v>
      </c>
      <c r="CN425" s="135"/>
      <c r="CO425" s="770">
        <f t="shared" ca="1" si="514"/>
        <v>1.05</v>
      </c>
      <c r="CP425" s="771">
        <f t="shared" ca="1" si="465"/>
        <v>0.02</v>
      </c>
      <c r="CQ425" s="771">
        <f t="shared" ca="1" si="466"/>
        <v>-2.5000000000000001E-2</v>
      </c>
      <c r="CR425" s="771">
        <f t="shared" ca="1" si="467"/>
        <v>0.95</v>
      </c>
      <c r="CS425" s="771">
        <f t="shared" ca="1" si="468"/>
        <v>0.03</v>
      </c>
      <c r="CT425" s="772">
        <f t="shared" ca="1" si="469"/>
        <v>0.02</v>
      </c>
      <c r="CU425" s="135"/>
      <c r="CV425" s="135"/>
      <c r="CW425" s="135"/>
      <c r="CX425" s="135"/>
      <c r="CY425" s="135"/>
      <c r="CZ425" s="135"/>
      <c r="DA425" s="135"/>
      <c r="DB425" s="135"/>
      <c r="DC425" s="135"/>
      <c r="DD425" s="135"/>
      <c r="DE425" s="135"/>
      <c r="DF425" s="135"/>
      <c r="DG425" s="135"/>
      <c r="DH425" s="135"/>
      <c r="DI425" s="135"/>
      <c r="DJ425" s="135"/>
      <c r="DK425" s="135"/>
      <c r="DL425" s="135"/>
      <c r="DX425" s="135"/>
      <c r="DY425" s="135"/>
      <c r="DZ425" s="135"/>
      <c r="EA425" s="135"/>
      <c r="EB425" s="135"/>
      <c r="EC425" s="135"/>
      <c r="ED425" s="135"/>
      <c r="EE425" s="135"/>
      <c r="EF425" s="135"/>
      <c r="EG425" s="135"/>
      <c r="EH425" s="135"/>
      <c r="EI425" s="135"/>
      <c r="EJ425" s="135"/>
      <c r="EK425" s="135"/>
      <c r="EL425" s="135"/>
      <c r="EM425" s="135"/>
      <c r="EN425" s="135"/>
      <c r="EO425" s="135"/>
      <c r="EP425" s="135"/>
      <c r="EQ425" s="135"/>
      <c r="ER425" s="135"/>
      <c r="ES425" s="135"/>
      <c r="ET425" s="135"/>
      <c r="EU425" s="135"/>
      <c r="EV425" s="135"/>
      <c r="EW425" s="135"/>
      <c r="EX425" s="135"/>
      <c r="EY425" s="135"/>
      <c r="EZ425" s="135"/>
      <c r="FA425" s="135"/>
      <c r="FB425" s="135"/>
      <c r="FC425" s="135"/>
      <c r="FD425" s="135"/>
      <c r="FE425" s="135"/>
      <c r="FF425" s="135"/>
      <c r="FG425" s="135"/>
    </row>
    <row r="426" spans="1:163" s="57" customFormat="1" ht="11.25" outlineLevel="1">
      <c r="A426" s="765">
        <f t="shared" si="442"/>
        <v>17</v>
      </c>
      <c r="B426" s="715" cm="1">
        <f t="array" aca="1" ref="B426" ca="1">INDIRECT("'Definition of Typical Day'!"&amp;ADDRESS(B$16,$E426))</f>
        <v>17</v>
      </c>
      <c r="C426" s="766">
        <f t="shared" si="443"/>
        <v>22</v>
      </c>
      <c r="D426" s="715">
        <f t="shared" si="443"/>
        <v>56</v>
      </c>
      <c r="E426" s="715">
        <f t="shared" si="444"/>
        <v>21</v>
      </c>
      <c r="F426" s="767" cm="1">
        <f t="array" aca="1" ref="F426" ca="1">INDIRECT("'Definition of Typical Day'!D"&amp;D426)</f>
        <v>22</v>
      </c>
      <c r="G426" s="767" cm="1">
        <f t="array" aca="1" ref="G426" ca="1">INDIRECT("'Definition of Typical Day'!"&amp;ADDRESS(13,E426))</f>
        <v>17</v>
      </c>
      <c r="H426" s="768" cm="1">
        <f t="array" aca="1" ref="H426" ca="1">INDIRECT("'Definition of Typical Day'!"&amp; ADDRESS($D426+28*(H$16-1),$E426))</f>
        <v>0</v>
      </c>
      <c r="I426" s="715" cm="1">
        <f t="array" aca="1" ref="I426" ca="1">INDIRECT("'Definition of Typical Day'!"&amp; ADDRESS($D426+29*(I$16-1),$E426))</f>
        <v>0</v>
      </c>
      <c r="J426" s="715">
        <f t="shared" ca="1" si="470"/>
        <v>0</v>
      </c>
      <c r="K426" s="785">
        <f t="shared" si="471"/>
        <v>28</v>
      </c>
      <c r="L426" s="786" cm="1">
        <f t="array" aca="1" ref="L426" ca="1">INDIRECT("'Definition of Typical Day'!"&amp; ADDRESS($D426+29*(L$16-1),$E426))</f>
        <v>0</v>
      </c>
      <c r="M426" s="768" cm="1">
        <f t="array" aca="1" ref="M426" ca="1">INDIRECT("'Definition of Typical Day'!"&amp; ADDRESS($D426+29*(M$16-1),$E426))</f>
        <v>0</v>
      </c>
      <c r="N426" s="715">
        <f t="shared" si="472"/>
        <v>3</v>
      </c>
      <c r="O426" s="715">
        <f t="shared" ca="1" si="473"/>
        <v>3</v>
      </c>
      <c r="P426" s="715" cm="1">
        <f t="array" aca="1" ref="P426" ca="1">INDIRECT("'Definition of Typical Day'!"&amp; ADDRESS($D426+29*(P$16-1),$E426))</f>
        <v>0</v>
      </c>
      <c r="Q426" s="787">
        <f t="shared" ca="1" si="474"/>
        <v>3</v>
      </c>
      <c r="R426" s="792">
        <f t="shared" ca="1" si="475"/>
        <v>3</v>
      </c>
      <c r="S426" s="769">
        <f t="shared" si="476"/>
        <v>3</v>
      </c>
      <c r="T426" s="769">
        <f t="shared" ca="1" si="477"/>
        <v>-0.5</v>
      </c>
      <c r="U426" s="769">
        <f t="shared" ca="1" si="478"/>
        <v>2.262</v>
      </c>
      <c r="V426" s="769">
        <f t="shared" ca="1" si="479"/>
        <v>0</v>
      </c>
      <c r="W426" s="769">
        <f t="shared" ca="1" si="480"/>
        <v>4.7620000000000005</v>
      </c>
      <c r="X426" s="794">
        <f t="shared" si="481"/>
        <v>3</v>
      </c>
      <c r="Y426" s="769">
        <f t="shared" ca="1" si="482"/>
        <v>0.54772255750516607</v>
      </c>
      <c r="Z426" s="769">
        <f t="shared" ca="1" si="483"/>
        <v>0</v>
      </c>
      <c r="AA426" s="795">
        <f t="shared" ca="1" si="484"/>
        <v>0</v>
      </c>
      <c r="AB426" s="769">
        <f t="shared" ca="1" si="485"/>
        <v>0</v>
      </c>
      <c r="AC426" s="769">
        <f t="shared" ca="1" si="486"/>
        <v>0</v>
      </c>
      <c r="AD426" s="769">
        <f t="shared" ca="1" si="487"/>
        <v>0</v>
      </c>
      <c r="AE426" s="794">
        <f t="shared" ca="1" si="488"/>
        <v>0</v>
      </c>
      <c r="AF426" s="769">
        <f t="shared" ca="1" si="489"/>
        <v>0</v>
      </c>
      <c r="AG426" s="769">
        <f t="shared" ca="1" si="490"/>
        <v>0</v>
      </c>
      <c r="AH426" s="799">
        <f t="shared" ca="1" si="491"/>
        <v>0</v>
      </c>
      <c r="AI426" s="801">
        <f t="shared" ca="1" si="492"/>
        <v>1</v>
      </c>
      <c r="AJ426" s="794">
        <f t="shared" ca="1" si="493"/>
        <v>0</v>
      </c>
      <c r="AK426" s="769">
        <f t="shared" ca="1" si="494"/>
        <v>0</v>
      </c>
      <c r="AL426" s="769">
        <f t="shared" ca="1" si="495"/>
        <v>0</v>
      </c>
      <c r="AM426" s="804">
        <f t="shared" ca="1" si="445"/>
        <v>0</v>
      </c>
      <c r="AN426" s="795">
        <f t="shared" ca="1" si="446"/>
        <v>0</v>
      </c>
      <c r="AO426" s="251"/>
      <c r="AP426" s="770">
        <f t="shared" si="496"/>
        <v>0</v>
      </c>
      <c r="AQ426" s="771">
        <f t="shared" ca="1" si="497"/>
        <v>0</v>
      </c>
      <c r="AR426" s="771">
        <f t="shared" ca="1" si="498"/>
        <v>0</v>
      </c>
      <c r="AS426" s="772">
        <f t="shared" ca="1" si="499"/>
        <v>0</v>
      </c>
      <c r="AT426" s="231"/>
      <c r="AU426" s="770">
        <f>'Main Results - IRR DC Operator'!$F$16</f>
        <v>2</v>
      </c>
      <c r="AV426" s="773">
        <f>'Main Results - IRR DC Operator'!$F$15</f>
        <v>1</v>
      </c>
      <c r="AW426" s="771">
        <f t="shared" ca="1" si="500"/>
        <v>0</v>
      </c>
      <c r="AX426" s="772">
        <f t="shared" si="501"/>
        <v>0</v>
      </c>
      <c r="AY426" s="231"/>
      <c r="AZ426" s="770" cm="1">
        <f t="array" aca="1" ref="AZ426" ca="1">INDIRECT("'Definition of Typical Day'!"&amp; ADDRESS($D426+29*(AZ$16-1),$E426))+$AZ$17</f>
        <v>11</v>
      </c>
      <c r="BA426" s="771" cm="1">
        <f t="array" aca="1" ref="BA426" ca="1">INDIRECT("'Definition of Typical Day'!"&amp; ADDRESS($D426+29*(BA$16-1),$E426))+$BA$17</f>
        <v>11</v>
      </c>
      <c r="BB426" s="772" cm="1">
        <f t="array" aca="1" ref="BB426" ca="1">INDIRECT("'Definition of Typical Day'!"&amp;ADDRESS(BB$16,$E426))</f>
        <v>0</v>
      </c>
      <c r="BC426" s="776" cm="1">
        <f t="array" aca="1" ref="BC426" ca="1">INDIRECT("'Definition of Typical Day'!"&amp; ADDRESS($D426+29*(BC$16-1),$E426))</f>
        <v>0</v>
      </c>
      <c r="BD426" s="777" cm="1">
        <f t="array" aca="1" ref="BD426" ca="1">INDIRECT("'Definition of Typical Day'!"&amp; ADDRESS($D426+29*(BD$16-1),$E426))</f>
        <v>0</v>
      </c>
      <c r="BE426" s="776">
        <f t="shared" si="502"/>
        <v>0</v>
      </c>
      <c r="BF426" s="771">
        <f t="shared" ca="1" si="503"/>
        <v>0</v>
      </c>
      <c r="BG426" s="771">
        <f t="shared" ca="1" si="504"/>
        <v>0</v>
      </c>
      <c r="BH426" s="771">
        <f t="shared" ca="1" si="505"/>
        <v>0</v>
      </c>
      <c r="BI426" s="776">
        <f t="shared" ca="1" si="506"/>
        <v>0</v>
      </c>
      <c r="BJ426" s="776">
        <f t="shared" ca="1" si="507"/>
        <v>0</v>
      </c>
      <c r="BK426" s="776">
        <f t="shared" ca="1" si="508"/>
        <v>0</v>
      </c>
      <c r="BL426" s="776">
        <f t="shared" ca="1" si="509"/>
        <v>0</v>
      </c>
      <c r="BM426" s="135"/>
      <c r="BN426" s="776">
        <f t="shared" ca="1" si="510"/>
        <v>0</v>
      </c>
      <c r="BO426" s="778">
        <f t="shared" ca="1" si="447"/>
        <v>0</v>
      </c>
      <c r="BP426" s="770">
        <f t="shared" ca="1" si="448"/>
        <v>0</v>
      </c>
      <c r="BQ426" s="771">
        <f t="shared" ca="1" si="449"/>
        <v>0</v>
      </c>
      <c r="BR426" s="771">
        <f t="shared" ca="1" si="450"/>
        <v>0</v>
      </c>
      <c r="BS426" s="776">
        <f t="shared" ca="1" si="511"/>
        <v>0</v>
      </c>
      <c r="BT426" s="776">
        <f t="shared" ca="1" si="451"/>
        <v>0</v>
      </c>
      <c r="BU426" s="783">
        <f t="shared" ca="1" si="452"/>
        <v>0</v>
      </c>
      <c r="BV426" s="783">
        <f t="shared" ca="1" si="453"/>
        <v>0</v>
      </c>
      <c r="BW426" s="1019">
        <f t="shared" ca="1" si="512"/>
        <v>0</v>
      </c>
      <c r="BX426" s="771" cm="1">
        <f t="array" aca="1" ref="BX426" ca="1">INDIRECT("'Definition of Typical Day'!"&amp; ADDRESS($D426+29*(BX$16-1),$E426))</f>
        <v>0</v>
      </c>
      <c r="BY426" s="771">
        <f t="shared" ca="1" si="513"/>
        <v>0</v>
      </c>
      <c r="BZ426" s="781">
        <f t="shared" ca="1" si="454"/>
        <v>0</v>
      </c>
      <c r="CA426" s="781">
        <f t="shared" ca="1" si="455"/>
        <v>0</v>
      </c>
      <c r="CB426" s="776">
        <f t="shared" ca="1" si="456"/>
        <v>0</v>
      </c>
      <c r="CC426" s="782">
        <f t="shared" si="457"/>
        <v>17</v>
      </c>
      <c r="CD426" s="782">
        <f t="shared" si="458"/>
        <v>22</v>
      </c>
      <c r="CE426" s="784" cm="1">
        <f t="array" aca="1" ref="CE426" ca="1">INDIRECT("'Definition of Typical Day'!"&amp;ADDRESS(CE$16,$E426))</f>
        <v>17</v>
      </c>
      <c r="CF426" s="232"/>
      <c r="CG426" s="232"/>
      <c r="CH426" s="776">
        <f t="shared" ca="1" si="459"/>
        <v>0</v>
      </c>
      <c r="CI426" s="806">
        <f t="shared" ca="1" si="460"/>
        <v>0</v>
      </c>
      <c r="CJ426" s="770">
        <f t="shared" ca="1" si="461"/>
        <v>0</v>
      </c>
      <c r="CK426" s="771">
        <f t="shared" ca="1" si="462"/>
        <v>0</v>
      </c>
      <c r="CL426" s="771">
        <f t="shared" ca="1" si="463"/>
        <v>0</v>
      </c>
      <c r="CM426" s="772">
        <f t="shared" ca="1" si="464"/>
        <v>0</v>
      </c>
      <c r="CN426" s="135"/>
      <c r="CO426" s="770">
        <f t="shared" ca="1" si="514"/>
        <v>1.05</v>
      </c>
      <c r="CP426" s="771">
        <f t="shared" ca="1" si="465"/>
        <v>0.02</v>
      </c>
      <c r="CQ426" s="771">
        <f t="shared" ca="1" si="466"/>
        <v>-2.5000000000000001E-2</v>
      </c>
      <c r="CR426" s="771">
        <f t="shared" ca="1" si="467"/>
        <v>0.95</v>
      </c>
      <c r="CS426" s="771">
        <f t="shared" ca="1" si="468"/>
        <v>0.03</v>
      </c>
      <c r="CT426" s="772">
        <f t="shared" ca="1" si="469"/>
        <v>0.02</v>
      </c>
      <c r="CU426" s="135"/>
      <c r="CV426" s="135"/>
      <c r="CW426" s="135"/>
      <c r="CX426" s="135"/>
      <c r="CY426" s="135"/>
      <c r="CZ426" s="135"/>
      <c r="DA426" s="135"/>
      <c r="DB426" s="135"/>
      <c r="DC426" s="135"/>
      <c r="DD426" s="135"/>
      <c r="DE426" s="135"/>
      <c r="DF426" s="135"/>
      <c r="DG426" s="135"/>
      <c r="DH426" s="135"/>
      <c r="DI426" s="135"/>
      <c r="DJ426" s="135"/>
      <c r="DK426" s="135"/>
      <c r="DL426" s="135"/>
      <c r="DX426" s="135"/>
      <c r="DY426" s="135"/>
      <c r="DZ426" s="135"/>
      <c r="EA426" s="135"/>
      <c r="EB426" s="135"/>
      <c r="EC426" s="135"/>
      <c r="ED426" s="135"/>
      <c r="EE426" s="135"/>
      <c r="EF426" s="135"/>
      <c r="EG426" s="135"/>
      <c r="EH426" s="135"/>
      <c r="EI426" s="135"/>
      <c r="EJ426" s="135"/>
      <c r="EK426" s="135"/>
      <c r="EL426" s="135"/>
      <c r="EM426" s="135"/>
      <c r="EN426" s="135"/>
      <c r="EO426" s="135"/>
      <c r="EP426" s="135"/>
      <c r="EQ426" s="135"/>
      <c r="ER426" s="135"/>
      <c r="ES426" s="135"/>
      <c r="ET426" s="135"/>
      <c r="EU426" s="135"/>
      <c r="EV426" s="135"/>
      <c r="EW426" s="135"/>
      <c r="EX426" s="135"/>
      <c r="EY426" s="135"/>
      <c r="EZ426" s="135"/>
      <c r="FA426" s="135"/>
      <c r="FB426" s="135"/>
      <c r="FC426" s="135"/>
      <c r="FD426" s="135"/>
      <c r="FE426" s="135"/>
      <c r="FF426" s="135"/>
      <c r="FG426" s="135"/>
    </row>
    <row r="427" spans="1:163" s="57" customFormat="1" ht="11.25" outlineLevel="1">
      <c r="A427" s="765">
        <f t="shared" si="442"/>
        <v>17</v>
      </c>
      <c r="B427" s="715" cm="1">
        <f t="array" aca="1" ref="B427" ca="1">INDIRECT("'Definition of Typical Day'!"&amp;ADDRESS(B$16,$E427))</f>
        <v>17</v>
      </c>
      <c r="C427" s="766">
        <f t="shared" si="443"/>
        <v>23</v>
      </c>
      <c r="D427" s="715">
        <f t="shared" si="443"/>
        <v>57</v>
      </c>
      <c r="E427" s="715">
        <f t="shared" si="444"/>
        <v>21</v>
      </c>
      <c r="F427" s="767" cm="1">
        <f t="array" aca="1" ref="F427" ca="1">INDIRECT("'Definition of Typical Day'!D"&amp;D427)</f>
        <v>23</v>
      </c>
      <c r="G427" s="767" cm="1">
        <f t="array" aca="1" ref="G427" ca="1">INDIRECT("'Definition of Typical Day'!"&amp;ADDRESS(13,E427))</f>
        <v>17</v>
      </c>
      <c r="H427" s="768" cm="1">
        <f t="array" aca="1" ref="H427" ca="1">INDIRECT("'Definition of Typical Day'!"&amp; ADDRESS($D427+28*(H$16-1),$E427))</f>
        <v>0</v>
      </c>
      <c r="I427" s="715" cm="1">
        <f t="array" aca="1" ref="I427" ca="1">INDIRECT("'Definition of Typical Day'!"&amp; ADDRESS($D427+29*(I$16-1),$E427))</f>
        <v>0</v>
      </c>
      <c r="J427" s="715">
        <f t="shared" ca="1" si="470"/>
        <v>0</v>
      </c>
      <c r="K427" s="785">
        <f t="shared" si="471"/>
        <v>28</v>
      </c>
      <c r="L427" s="786" cm="1">
        <f t="array" aca="1" ref="L427" ca="1">INDIRECT("'Definition of Typical Day'!"&amp; ADDRESS($D427+29*(L$16-1),$E427))</f>
        <v>0</v>
      </c>
      <c r="M427" s="768" cm="1">
        <f t="array" aca="1" ref="M427" ca="1">INDIRECT("'Definition of Typical Day'!"&amp; ADDRESS($D427+29*(M$16-1),$E427))</f>
        <v>0</v>
      </c>
      <c r="N427" s="715">
        <f t="shared" si="472"/>
        <v>3</v>
      </c>
      <c r="O427" s="715">
        <f t="shared" ca="1" si="473"/>
        <v>3</v>
      </c>
      <c r="P427" s="715" cm="1">
        <f t="array" aca="1" ref="P427" ca="1">INDIRECT("'Definition of Typical Day'!"&amp; ADDRESS($D427+29*(P$16-1),$E427))</f>
        <v>0</v>
      </c>
      <c r="Q427" s="787">
        <f t="shared" ca="1" si="474"/>
        <v>3</v>
      </c>
      <c r="R427" s="792">
        <f t="shared" ca="1" si="475"/>
        <v>3</v>
      </c>
      <c r="S427" s="769">
        <f t="shared" si="476"/>
        <v>3</v>
      </c>
      <c r="T427" s="769">
        <f t="shared" ca="1" si="477"/>
        <v>-0.5</v>
      </c>
      <c r="U427" s="769">
        <f t="shared" ca="1" si="478"/>
        <v>2.262</v>
      </c>
      <c r="V427" s="769">
        <f t="shared" ca="1" si="479"/>
        <v>0</v>
      </c>
      <c r="W427" s="769">
        <f t="shared" ca="1" si="480"/>
        <v>4.7620000000000005</v>
      </c>
      <c r="X427" s="794">
        <f t="shared" si="481"/>
        <v>3</v>
      </c>
      <c r="Y427" s="769">
        <f t="shared" ca="1" si="482"/>
        <v>0.54772255750516607</v>
      </c>
      <c r="Z427" s="769">
        <f t="shared" ca="1" si="483"/>
        <v>0</v>
      </c>
      <c r="AA427" s="795">
        <f t="shared" ca="1" si="484"/>
        <v>0</v>
      </c>
      <c r="AB427" s="769">
        <f t="shared" ca="1" si="485"/>
        <v>0</v>
      </c>
      <c r="AC427" s="769">
        <f t="shared" ca="1" si="486"/>
        <v>0</v>
      </c>
      <c r="AD427" s="769">
        <f t="shared" ca="1" si="487"/>
        <v>0</v>
      </c>
      <c r="AE427" s="794">
        <f t="shared" ca="1" si="488"/>
        <v>0</v>
      </c>
      <c r="AF427" s="769">
        <f t="shared" ca="1" si="489"/>
        <v>0</v>
      </c>
      <c r="AG427" s="769">
        <f t="shared" ca="1" si="490"/>
        <v>0</v>
      </c>
      <c r="AH427" s="799">
        <f t="shared" ca="1" si="491"/>
        <v>0</v>
      </c>
      <c r="AI427" s="801">
        <f t="shared" ca="1" si="492"/>
        <v>1</v>
      </c>
      <c r="AJ427" s="794">
        <f t="shared" ca="1" si="493"/>
        <v>0</v>
      </c>
      <c r="AK427" s="769">
        <f t="shared" ca="1" si="494"/>
        <v>0</v>
      </c>
      <c r="AL427" s="769">
        <f t="shared" ca="1" si="495"/>
        <v>0</v>
      </c>
      <c r="AM427" s="804">
        <f t="shared" ca="1" si="445"/>
        <v>0</v>
      </c>
      <c r="AN427" s="795">
        <f t="shared" ca="1" si="446"/>
        <v>0</v>
      </c>
      <c r="AO427" s="251"/>
      <c r="AP427" s="770">
        <f t="shared" si="496"/>
        <v>0</v>
      </c>
      <c r="AQ427" s="771">
        <f t="shared" ca="1" si="497"/>
        <v>0</v>
      </c>
      <c r="AR427" s="771">
        <f t="shared" ca="1" si="498"/>
        <v>0</v>
      </c>
      <c r="AS427" s="772">
        <f t="shared" ca="1" si="499"/>
        <v>0</v>
      </c>
      <c r="AT427" s="231"/>
      <c r="AU427" s="770">
        <f>'Main Results - IRR DC Operator'!$F$16</f>
        <v>2</v>
      </c>
      <c r="AV427" s="773">
        <f>'Main Results - IRR DC Operator'!$F$15</f>
        <v>1</v>
      </c>
      <c r="AW427" s="771">
        <f t="shared" ca="1" si="500"/>
        <v>0</v>
      </c>
      <c r="AX427" s="772">
        <f t="shared" si="501"/>
        <v>0</v>
      </c>
      <c r="AY427" s="231"/>
      <c r="AZ427" s="770" cm="1">
        <f t="array" aca="1" ref="AZ427" ca="1">INDIRECT("'Definition of Typical Day'!"&amp; ADDRESS($D427+29*(AZ$16-1),$E427))+$AZ$17</f>
        <v>11</v>
      </c>
      <c r="BA427" s="771" cm="1">
        <f t="array" aca="1" ref="BA427" ca="1">INDIRECT("'Definition of Typical Day'!"&amp; ADDRESS($D427+29*(BA$16-1),$E427))+$BA$17</f>
        <v>11</v>
      </c>
      <c r="BB427" s="772" cm="1">
        <f t="array" aca="1" ref="BB427" ca="1">INDIRECT("'Definition of Typical Day'!"&amp;ADDRESS(BB$16,$E427))</f>
        <v>0</v>
      </c>
      <c r="BC427" s="776" cm="1">
        <f t="array" aca="1" ref="BC427" ca="1">INDIRECT("'Definition of Typical Day'!"&amp; ADDRESS($D427+29*(BC$16-1),$E427))</f>
        <v>0</v>
      </c>
      <c r="BD427" s="777" cm="1">
        <f t="array" aca="1" ref="BD427" ca="1">INDIRECT("'Definition of Typical Day'!"&amp; ADDRESS($D427+29*(BD$16-1),$E427))</f>
        <v>0</v>
      </c>
      <c r="BE427" s="776">
        <f t="shared" si="502"/>
        <v>0</v>
      </c>
      <c r="BF427" s="771">
        <f t="shared" ca="1" si="503"/>
        <v>0</v>
      </c>
      <c r="BG427" s="771">
        <f t="shared" ca="1" si="504"/>
        <v>0</v>
      </c>
      <c r="BH427" s="771">
        <f t="shared" ca="1" si="505"/>
        <v>0</v>
      </c>
      <c r="BI427" s="776">
        <f t="shared" ca="1" si="506"/>
        <v>0</v>
      </c>
      <c r="BJ427" s="776">
        <f t="shared" ca="1" si="507"/>
        <v>0</v>
      </c>
      <c r="BK427" s="776">
        <f t="shared" ca="1" si="508"/>
        <v>0</v>
      </c>
      <c r="BL427" s="776">
        <f t="shared" ca="1" si="509"/>
        <v>0</v>
      </c>
      <c r="BM427" s="135"/>
      <c r="BN427" s="776">
        <f t="shared" ca="1" si="510"/>
        <v>0</v>
      </c>
      <c r="BO427" s="778">
        <f t="shared" ca="1" si="447"/>
        <v>0</v>
      </c>
      <c r="BP427" s="770">
        <f t="shared" ca="1" si="448"/>
        <v>0</v>
      </c>
      <c r="BQ427" s="771">
        <f t="shared" ca="1" si="449"/>
        <v>0</v>
      </c>
      <c r="BR427" s="771">
        <f t="shared" ca="1" si="450"/>
        <v>0</v>
      </c>
      <c r="BS427" s="776">
        <f t="shared" ca="1" si="511"/>
        <v>0</v>
      </c>
      <c r="BT427" s="776">
        <f t="shared" ca="1" si="451"/>
        <v>0</v>
      </c>
      <c r="BU427" s="783">
        <f t="shared" ca="1" si="452"/>
        <v>0</v>
      </c>
      <c r="BV427" s="783">
        <f t="shared" ca="1" si="453"/>
        <v>0</v>
      </c>
      <c r="BW427" s="1019">
        <f t="shared" ca="1" si="512"/>
        <v>0</v>
      </c>
      <c r="BX427" s="771" cm="1">
        <f t="array" aca="1" ref="BX427" ca="1">INDIRECT("'Definition of Typical Day'!"&amp; ADDRESS($D427+29*(BX$16-1),$E427))</f>
        <v>0</v>
      </c>
      <c r="BY427" s="771">
        <f t="shared" ca="1" si="513"/>
        <v>0</v>
      </c>
      <c r="BZ427" s="781">
        <f t="shared" ca="1" si="454"/>
        <v>0</v>
      </c>
      <c r="CA427" s="781">
        <f t="shared" ca="1" si="455"/>
        <v>0</v>
      </c>
      <c r="CB427" s="776">
        <f t="shared" ca="1" si="456"/>
        <v>0</v>
      </c>
      <c r="CC427" s="782">
        <f t="shared" si="457"/>
        <v>17</v>
      </c>
      <c r="CD427" s="782">
        <f t="shared" si="458"/>
        <v>23</v>
      </c>
      <c r="CE427" s="784" cm="1">
        <f t="array" aca="1" ref="CE427" ca="1">INDIRECT("'Definition of Typical Day'!"&amp;ADDRESS(CE$16,$E427))</f>
        <v>17</v>
      </c>
      <c r="CF427" s="232"/>
      <c r="CG427" s="232"/>
      <c r="CH427" s="776">
        <f t="shared" ca="1" si="459"/>
        <v>0</v>
      </c>
      <c r="CI427" s="806">
        <f t="shared" ca="1" si="460"/>
        <v>0</v>
      </c>
      <c r="CJ427" s="770">
        <f t="shared" ca="1" si="461"/>
        <v>0</v>
      </c>
      <c r="CK427" s="771">
        <f t="shared" ca="1" si="462"/>
        <v>0</v>
      </c>
      <c r="CL427" s="771">
        <f t="shared" ca="1" si="463"/>
        <v>0</v>
      </c>
      <c r="CM427" s="772">
        <f t="shared" ca="1" si="464"/>
        <v>0</v>
      </c>
      <c r="CN427" s="135"/>
      <c r="CO427" s="770">
        <f t="shared" ca="1" si="514"/>
        <v>1.05</v>
      </c>
      <c r="CP427" s="771">
        <f t="shared" ca="1" si="465"/>
        <v>0.02</v>
      </c>
      <c r="CQ427" s="771">
        <f t="shared" ca="1" si="466"/>
        <v>-2.5000000000000001E-2</v>
      </c>
      <c r="CR427" s="771">
        <f t="shared" ca="1" si="467"/>
        <v>0.95</v>
      </c>
      <c r="CS427" s="771">
        <f t="shared" ca="1" si="468"/>
        <v>0.03</v>
      </c>
      <c r="CT427" s="772">
        <f t="shared" ca="1" si="469"/>
        <v>0.02</v>
      </c>
      <c r="CU427" s="135"/>
      <c r="CV427" s="135"/>
      <c r="CW427" s="135"/>
      <c r="CX427" s="135"/>
      <c r="CY427" s="135"/>
      <c r="CZ427" s="135"/>
      <c r="DA427" s="135"/>
      <c r="DB427" s="135"/>
      <c r="DC427" s="135"/>
      <c r="DD427" s="135"/>
      <c r="DE427" s="135"/>
      <c r="DF427" s="135"/>
      <c r="DG427" s="135"/>
      <c r="DH427" s="135"/>
      <c r="DI427" s="135"/>
      <c r="DJ427" s="135"/>
      <c r="DK427" s="135"/>
      <c r="DL427" s="135"/>
      <c r="DX427" s="135"/>
      <c r="DY427" s="135"/>
      <c r="DZ427" s="135"/>
      <c r="EA427" s="135"/>
      <c r="EB427" s="135"/>
      <c r="EC427" s="135"/>
      <c r="ED427" s="135"/>
      <c r="EE427" s="135"/>
      <c r="EF427" s="135"/>
      <c r="EG427" s="135"/>
      <c r="EH427" s="135"/>
      <c r="EI427" s="135"/>
      <c r="EJ427" s="135"/>
      <c r="EK427" s="135"/>
      <c r="EL427" s="135"/>
      <c r="EM427" s="135"/>
      <c r="EN427" s="135"/>
      <c r="EO427" s="135"/>
      <c r="EP427" s="135"/>
      <c r="EQ427" s="135"/>
      <c r="ER427" s="135"/>
      <c r="ES427" s="135"/>
      <c r="ET427" s="135"/>
      <c r="EU427" s="135"/>
      <c r="EV427" s="135"/>
      <c r="EW427" s="135"/>
      <c r="EX427" s="135"/>
      <c r="EY427" s="135"/>
      <c r="EZ427" s="135"/>
      <c r="FA427" s="135"/>
      <c r="FB427" s="135"/>
      <c r="FC427" s="135"/>
      <c r="FD427" s="135"/>
      <c r="FE427" s="135"/>
      <c r="FF427" s="135"/>
      <c r="FG427" s="135"/>
    </row>
    <row r="428" spans="1:163" s="57" customFormat="1" ht="11.25" outlineLevel="1">
      <c r="A428" s="765">
        <f t="shared" si="442"/>
        <v>17</v>
      </c>
      <c r="B428" s="715" cm="1">
        <f t="array" aca="1" ref="B428" ca="1">INDIRECT("'Definition of Typical Day'!"&amp;ADDRESS(B$16,$E428))</f>
        <v>17</v>
      </c>
      <c r="C428" s="766">
        <f t="shared" si="443"/>
        <v>24</v>
      </c>
      <c r="D428" s="715">
        <f t="shared" si="443"/>
        <v>58</v>
      </c>
      <c r="E428" s="715">
        <f t="shared" si="444"/>
        <v>21</v>
      </c>
      <c r="F428" s="767" cm="1">
        <f t="array" aca="1" ref="F428" ca="1">INDIRECT("'Definition of Typical Day'!D"&amp;D428)</f>
        <v>24</v>
      </c>
      <c r="G428" s="767" cm="1">
        <f t="array" aca="1" ref="G428" ca="1">INDIRECT("'Definition of Typical Day'!"&amp;ADDRESS(13,E428))</f>
        <v>17</v>
      </c>
      <c r="H428" s="768" cm="1">
        <f t="array" aca="1" ref="H428" ca="1">INDIRECT("'Definition of Typical Day'!"&amp; ADDRESS($D428+28*(H$16-1),$E428))</f>
        <v>0</v>
      </c>
      <c r="I428" s="715" cm="1">
        <f t="array" aca="1" ref="I428" ca="1">INDIRECT("'Definition of Typical Day'!"&amp; ADDRESS($D428+29*(I$16-1),$E428))</f>
        <v>0</v>
      </c>
      <c r="J428" s="715">
        <f t="shared" ca="1" si="470"/>
        <v>0</v>
      </c>
      <c r="K428" s="785">
        <f t="shared" si="471"/>
        <v>28</v>
      </c>
      <c r="L428" s="786" cm="1">
        <f t="array" aca="1" ref="L428" ca="1">INDIRECT("'Definition of Typical Day'!"&amp; ADDRESS($D428+29*(L$16-1),$E428))</f>
        <v>0</v>
      </c>
      <c r="M428" s="768" cm="1">
        <f t="array" aca="1" ref="M428" ca="1">INDIRECT("'Definition of Typical Day'!"&amp; ADDRESS($D428+29*(M$16-1),$E428))</f>
        <v>0</v>
      </c>
      <c r="N428" s="715">
        <f t="shared" si="472"/>
        <v>3</v>
      </c>
      <c r="O428" s="715">
        <f t="shared" ca="1" si="473"/>
        <v>3</v>
      </c>
      <c r="P428" s="715" cm="1">
        <f t="array" aca="1" ref="P428" ca="1">INDIRECT("'Definition of Typical Day'!"&amp; ADDRESS($D428+29*(P$16-1),$E428))</f>
        <v>0</v>
      </c>
      <c r="Q428" s="787">
        <f t="shared" ca="1" si="474"/>
        <v>3</v>
      </c>
      <c r="R428" s="792">
        <f t="shared" ca="1" si="475"/>
        <v>3</v>
      </c>
      <c r="S428" s="769">
        <f t="shared" si="476"/>
        <v>3</v>
      </c>
      <c r="T428" s="769">
        <f t="shared" ca="1" si="477"/>
        <v>-0.5</v>
      </c>
      <c r="U428" s="769">
        <f t="shared" ca="1" si="478"/>
        <v>2.262</v>
      </c>
      <c r="V428" s="769">
        <f t="shared" ca="1" si="479"/>
        <v>0</v>
      </c>
      <c r="W428" s="769">
        <f t="shared" ca="1" si="480"/>
        <v>4.7620000000000005</v>
      </c>
      <c r="X428" s="794">
        <f t="shared" si="481"/>
        <v>3</v>
      </c>
      <c r="Y428" s="769">
        <f t="shared" ca="1" si="482"/>
        <v>0.54772255750516607</v>
      </c>
      <c r="Z428" s="769">
        <f t="shared" ca="1" si="483"/>
        <v>0</v>
      </c>
      <c r="AA428" s="795">
        <f t="shared" ca="1" si="484"/>
        <v>0</v>
      </c>
      <c r="AB428" s="769">
        <f t="shared" ca="1" si="485"/>
        <v>0</v>
      </c>
      <c r="AC428" s="769">
        <f t="shared" ca="1" si="486"/>
        <v>0</v>
      </c>
      <c r="AD428" s="769">
        <f t="shared" ca="1" si="487"/>
        <v>0</v>
      </c>
      <c r="AE428" s="794">
        <f t="shared" ca="1" si="488"/>
        <v>0</v>
      </c>
      <c r="AF428" s="769">
        <f t="shared" ca="1" si="489"/>
        <v>0</v>
      </c>
      <c r="AG428" s="769">
        <f t="shared" ca="1" si="490"/>
        <v>0</v>
      </c>
      <c r="AH428" s="799">
        <f t="shared" ca="1" si="491"/>
        <v>0</v>
      </c>
      <c r="AI428" s="801">
        <f t="shared" ca="1" si="492"/>
        <v>1</v>
      </c>
      <c r="AJ428" s="794">
        <f t="shared" ca="1" si="493"/>
        <v>0</v>
      </c>
      <c r="AK428" s="769">
        <f t="shared" ca="1" si="494"/>
        <v>0</v>
      </c>
      <c r="AL428" s="769">
        <f t="shared" ca="1" si="495"/>
        <v>0</v>
      </c>
      <c r="AM428" s="804">
        <f t="shared" ca="1" si="445"/>
        <v>0</v>
      </c>
      <c r="AN428" s="795">
        <f t="shared" ca="1" si="446"/>
        <v>0</v>
      </c>
      <c r="AO428" s="251"/>
      <c r="AP428" s="770">
        <f t="shared" si="496"/>
        <v>0</v>
      </c>
      <c r="AQ428" s="771">
        <f t="shared" ca="1" si="497"/>
        <v>0</v>
      </c>
      <c r="AR428" s="771">
        <f t="shared" ca="1" si="498"/>
        <v>0</v>
      </c>
      <c r="AS428" s="772">
        <f t="shared" ca="1" si="499"/>
        <v>0</v>
      </c>
      <c r="AT428" s="231"/>
      <c r="AU428" s="770">
        <f>'Main Results - IRR DC Operator'!$F$16</f>
        <v>2</v>
      </c>
      <c r="AV428" s="773">
        <f>'Main Results - IRR DC Operator'!$F$15</f>
        <v>1</v>
      </c>
      <c r="AW428" s="771">
        <f t="shared" ca="1" si="500"/>
        <v>0</v>
      </c>
      <c r="AX428" s="772">
        <f t="shared" si="501"/>
        <v>0</v>
      </c>
      <c r="AY428" s="231"/>
      <c r="AZ428" s="770" cm="1">
        <f t="array" aca="1" ref="AZ428" ca="1">INDIRECT("'Definition of Typical Day'!"&amp; ADDRESS($D428+29*(AZ$16-1),$E428))+$AZ$17</f>
        <v>11</v>
      </c>
      <c r="BA428" s="771" cm="1">
        <f t="array" aca="1" ref="BA428" ca="1">INDIRECT("'Definition of Typical Day'!"&amp; ADDRESS($D428+29*(BA$16-1),$E428))+$BA$17</f>
        <v>11</v>
      </c>
      <c r="BB428" s="772" cm="1">
        <f t="array" aca="1" ref="BB428" ca="1">INDIRECT("'Definition of Typical Day'!"&amp;ADDRESS(BB$16,$E428))</f>
        <v>0</v>
      </c>
      <c r="BC428" s="776" cm="1">
        <f t="array" aca="1" ref="BC428" ca="1">INDIRECT("'Definition of Typical Day'!"&amp; ADDRESS($D428+29*(BC$16-1),$E428))</f>
        <v>0</v>
      </c>
      <c r="BD428" s="777" cm="1">
        <f t="array" aca="1" ref="BD428" ca="1">INDIRECT("'Definition of Typical Day'!"&amp; ADDRESS($D428+29*(BD$16-1),$E428))</f>
        <v>0</v>
      </c>
      <c r="BE428" s="776">
        <f t="shared" si="502"/>
        <v>0</v>
      </c>
      <c r="BF428" s="771">
        <f t="shared" ca="1" si="503"/>
        <v>0</v>
      </c>
      <c r="BG428" s="771">
        <f t="shared" ca="1" si="504"/>
        <v>0</v>
      </c>
      <c r="BH428" s="771">
        <f t="shared" ca="1" si="505"/>
        <v>0</v>
      </c>
      <c r="BI428" s="776">
        <f t="shared" ca="1" si="506"/>
        <v>0</v>
      </c>
      <c r="BJ428" s="776">
        <f t="shared" ca="1" si="507"/>
        <v>0</v>
      </c>
      <c r="BK428" s="776">
        <f t="shared" ca="1" si="508"/>
        <v>0</v>
      </c>
      <c r="BL428" s="776">
        <f t="shared" ca="1" si="509"/>
        <v>0</v>
      </c>
      <c r="BM428" s="135"/>
      <c r="BN428" s="776">
        <f t="shared" ca="1" si="510"/>
        <v>0</v>
      </c>
      <c r="BO428" s="778">
        <f t="shared" ca="1" si="447"/>
        <v>0</v>
      </c>
      <c r="BP428" s="770">
        <f t="shared" ca="1" si="448"/>
        <v>0</v>
      </c>
      <c r="BQ428" s="771">
        <f t="shared" ca="1" si="449"/>
        <v>0</v>
      </c>
      <c r="BR428" s="771">
        <f t="shared" ca="1" si="450"/>
        <v>0</v>
      </c>
      <c r="BS428" s="776">
        <f t="shared" ca="1" si="511"/>
        <v>0</v>
      </c>
      <c r="BT428" s="776">
        <f t="shared" ca="1" si="451"/>
        <v>0</v>
      </c>
      <c r="BU428" s="783">
        <f t="shared" ca="1" si="452"/>
        <v>0</v>
      </c>
      <c r="BV428" s="783">
        <f t="shared" ca="1" si="453"/>
        <v>0</v>
      </c>
      <c r="BW428" s="1019">
        <f t="shared" ca="1" si="512"/>
        <v>0</v>
      </c>
      <c r="BX428" s="771" cm="1">
        <f t="array" aca="1" ref="BX428" ca="1">INDIRECT("'Definition of Typical Day'!"&amp; ADDRESS($D428+29*(BX$16-1),$E428))</f>
        <v>0</v>
      </c>
      <c r="BY428" s="771">
        <f t="shared" ca="1" si="513"/>
        <v>0</v>
      </c>
      <c r="BZ428" s="781">
        <f t="shared" ca="1" si="454"/>
        <v>0</v>
      </c>
      <c r="CA428" s="781">
        <f t="shared" ca="1" si="455"/>
        <v>0</v>
      </c>
      <c r="CB428" s="776">
        <f t="shared" ca="1" si="456"/>
        <v>0</v>
      </c>
      <c r="CC428" s="782">
        <f t="shared" si="457"/>
        <v>17</v>
      </c>
      <c r="CD428" s="782">
        <f t="shared" si="458"/>
        <v>24</v>
      </c>
      <c r="CE428" s="784" cm="1">
        <f t="array" aca="1" ref="CE428" ca="1">INDIRECT("'Definition of Typical Day'!"&amp;ADDRESS(CE$16,$E428))</f>
        <v>17</v>
      </c>
      <c r="CF428" s="232"/>
      <c r="CG428" s="232"/>
      <c r="CH428" s="776">
        <f t="shared" ca="1" si="459"/>
        <v>0</v>
      </c>
      <c r="CI428" s="806">
        <f t="shared" ca="1" si="460"/>
        <v>0</v>
      </c>
      <c r="CJ428" s="770">
        <f t="shared" ca="1" si="461"/>
        <v>0</v>
      </c>
      <c r="CK428" s="771">
        <f t="shared" ca="1" si="462"/>
        <v>0</v>
      </c>
      <c r="CL428" s="771">
        <f t="shared" ca="1" si="463"/>
        <v>0</v>
      </c>
      <c r="CM428" s="772">
        <f t="shared" ca="1" si="464"/>
        <v>0</v>
      </c>
      <c r="CN428" s="135"/>
      <c r="CO428" s="770">
        <f t="shared" ca="1" si="514"/>
        <v>1.05</v>
      </c>
      <c r="CP428" s="771">
        <f t="shared" ca="1" si="465"/>
        <v>0.02</v>
      </c>
      <c r="CQ428" s="771">
        <f t="shared" ca="1" si="466"/>
        <v>-2.5000000000000001E-2</v>
      </c>
      <c r="CR428" s="771">
        <f t="shared" ca="1" si="467"/>
        <v>0.95</v>
      </c>
      <c r="CS428" s="771">
        <f t="shared" ca="1" si="468"/>
        <v>0.03</v>
      </c>
      <c r="CT428" s="772">
        <f t="shared" ca="1" si="469"/>
        <v>0.02</v>
      </c>
      <c r="CU428" s="135"/>
      <c r="CV428" s="135"/>
      <c r="CW428" s="135"/>
      <c r="CX428" s="135"/>
      <c r="CY428" s="135"/>
      <c r="CZ428" s="135"/>
      <c r="DA428" s="135"/>
      <c r="DB428" s="135"/>
      <c r="DC428" s="135"/>
      <c r="DD428" s="135"/>
      <c r="DE428" s="135"/>
      <c r="DF428" s="135"/>
      <c r="DG428" s="135"/>
      <c r="DH428" s="135"/>
      <c r="DI428" s="135"/>
      <c r="DJ428" s="135"/>
      <c r="DK428" s="135"/>
      <c r="DL428" s="135"/>
      <c r="DX428" s="135"/>
      <c r="DY428" s="135"/>
      <c r="DZ428" s="135"/>
      <c r="EA428" s="135"/>
      <c r="EB428" s="135"/>
      <c r="EC428" s="135"/>
      <c r="ED428" s="135"/>
      <c r="EE428" s="135"/>
      <c r="EF428" s="135"/>
      <c r="EG428" s="135"/>
      <c r="EH428" s="135"/>
      <c r="EI428" s="135"/>
      <c r="EJ428" s="135"/>
      <c r="EK428" s="135"/>
      <c r="EL428" s="135"/>
      <c r="EM428" s="135"/>
      <c r="EN428" s="135"/>
      <c r="EO428" s="135"/>
      <c r="EP428" s="135"/>
      <c r="EQ428" s="135"/>
      <c r="ER428" s="135"/>
      <c r="ES428" s="135"/>
      <c r="ET428" s="135"/>
      <c r="EU428" s="135"/>
      <c r="EV428" s="135"/>
      <c r="EW428" s="135"/>
      <c r="EX428" s="135"/>
      <c r="EY428" s="135"/>
      <c r="EZ428" s="135"/>
      <c r="FA428" s="135"/>
      <c r="FB428" s="135"/>
      <c r="FC428" s="135"/>
      <c r="FD428" s="135"/>
      <c r="FE428" s="135"/>
      <c r="FF428" s="135"/>
      <c r="FG428" s="135"/>
    </row>
    <row r="429" spans="1:163" s="57" customFormat="1" ht="11.25" outlineLevel="1">
      <c r="A429" s="765">
        <f t="shared" si="442"/>
        <v>18</v>
      </c>
      <c r="B429" s="715" cm="1">
        <f t="array" aca="1" ref="B429" ca="1">INDIRECT("'Definition of Typical Day'!"&amp;ADDRESS(B$16,$E429))</f>
        <v>18</v>
      </c>
      <c r="C429" s="766">
        <f t="shared" si="443"/>
        <v>1</v>
      </c>
      <c r="D429" s="715">
        <f t="shared" si="443"/>
        <v>35</v>
      </c>
      <c r="E429" s="715">
        <f t="shared" si="444"/>
        <v>22</v>
      </c>
      <c r="F429" s="767" cm="1">
        <f t="array" aca="1" ref="F429" ca="1">INDIRECT("'Definition of Typical Day'!D"&amp;D429)</f>
        <v>1</v>
      </c>
      <c r="G429" s="767" cm="1">
        <f t="array" aca="1" ref="G429" ca="1">INDIRECT("'Definition of Typical Day'!"&amp;ADDRESS(13,E429))</f>
        <v>18</v>
      </c>
      <c r="H429" s="768" cm="1">
        <f t="array" aca="1" ref="H429" ca="1">INDIRECT("'Definition of Typical Day'!"&amp; ADDRESS($D429+28*(H$16-1),$E429))</f>
        <v>0</v>
      </c>
      <c r="I429" s="715" cm="1">
        <f t="array" aca="1" ref="I429" ca="1">INDIRECT("'Definition of Typical Day'!"&amp; ADDRESS($D429+29*(I$16-1),$E429))</f>
        <v>0</v>
      </c>
      <c r="J429" s="715">
        <f t="shared" ca="1" si="470"/>
        <v>0</v>
      </c>
      <c r="K429" s="785">
        <f t="shared" si="471"/>
        <v>28</v>
      </c>
      <c r="L429" s="786" cm="1">
        <f t="array" aca="1" ref="L429" ca="1">INDIRECT("'Definition of Typical Day'!"&amp; ADDRESS($D429+29*(L$16-1),$E429))</f>
        <v>0</v>
      </c>
      <c r="M429" s="768" cm="1">
        <f t="array" aca="1" ref="M429" ca="1">INDIRECT("'Definition of Typical Day'!"&amp; ADDRESS($D429+29*(M$16-1),$E429))</f>
        <v>0</v>
      </c>
      <c r="N429" s="715">
        <f t="shared" si="472"/>
        <v>3</v>
      </c>
      <c r="O429" s="715">
        <f t="shared" ca="1" si="473"/>
        <v>3</v>
      </c>
      <c r="P429" s="715" cm="1">
        <f t="array" aca="1" ref="P429" ca="1">INDIRECT("'Definition of Typical Day'!"&amp; ADDRESS($D429+29*(P$16-1),$E429))</f>
        <v>0</v>
      </c>
      <c r="Q429" s="787">
        <f t="shared" ca="1" si="474"/>
        <v>3</v>
      </c>
      <c r="R429" s="792">
        <f t="shared" ca="1" si="475"/>
        <v>3</v>
      </c>
      <c r="S429" s="769">
        <f t="shared" si="476"/>
        <v>3</v>
      </c>
      <c r="T429" s="769">
        <f t="shared" ca="1" si="477"/>
        <v>-0.5</v>
      </c>
      <c r="U429" s="769">
        <f t="shared" ca="1" si="478"/>
        <v>2.262</v>
      </c>
      <c r="V429" s="769">
        <f t="shared" ca="1" si="479"/>
        <v>0</v>
      </c>
      <c r="W429" s="769">
        <f t="shared" ca="1" si="480"/>
        <v>4.7620000000000005</v>
      </c>
      <c r="X429" s="794">
        <f t="shared" si="481"/>
        <v>3</v>
      </c>
      <c r="Y429" s="769">
        <f t="shared" ca="1" si="482"/>
        <v>0.54772255750516607</v>
      </c>
      <c r="Z429" s="769">
        <f t="shared" ca="1" si="483"/>
        <v>0</v>
      </c>
      <c r="AA429" s="795">
        <f t="shared" ca="1" si="484"/>
        <v>0</v>
      </c>
      <c r="AB429" s="769">
        <f t="shared" ca="1" si="485"/>
        <v>0</v>
      </c>
      <c r="AC429" s="769">
        <f t="shared" ca="1" si="486"/>
        <v>0</v>
      </c>
      <c r="AD429" s="769">
        <f t="shared" ca="1" si="487"/>
        <v>0</v>
      </c>
      <c r="AE429" s="794">
        <f t="shared" ca="1" si="488"/>
        <v>0</v>
      </c>
      <c r="AF429" s="769">
        <f t="shared" ca="1" si="489"/>
        <v>0</v>
      </c>
      <c r="AG429" s="769">
        <f t="shared" ca="1" si="490"/>
        <v>0</v>
      </c>
      <c r="AH429" s="799">
        <f t="shared" ca="1" si="491"/>
        <v>0</v>
      </c>
      <c r="AI429" s="801">
        <f t="shared" ca="1" si="492"/>
        <v>1</v>
      </c>
      <c r="AJ429" s="794">
        <f t="shared" ca="1" si="493"/>
        <v>0</v>
      </c>
      <c r="AK429" s="769">
        <f t="shared" ca="1" si="494"/>
        <v>0</v>
      </c>
      <c r="AL429" s="769">
        <f t="shared" ca="1" si="495"/>
        <v>0</v>
      </c>
      <c r="AM429" s="804">
        <f t="shared" ca="1" si="445"/>
        <v>0</v>
      </c>
      <c r="AN429" s="795">
        <f t="shared" ca="1" si="446"/>
        <v>0</v>
      </c>
      <c r="AO429" s="251"/>
      <c r="AP429" s="770">
        <f t="shared" si="496"/>
        <v>0</v>
      </c>
      <c r="AQ429" s="771">
        <f t="shared" ca="1" si="497"/>
        <v>0</v>
      </c>
      <c r="AR429" s="771">
        <f t="shared" ca="1" si="498"/>
        <v>0</v>
      </c>
      <c r="AS429" s="772">
        <f t="shared" ca="1" si="499"/>
        <v>0</v>
      </c>
      <c r="AT429" s="231"/>
      <c r="AU429" s="770">
        <f>'Main Results - IRR DC Operator'!$F$16</f>
        <v>2</v>
      </c>
      <c r="AV429" s="773">
        <f>'Main Results - IRR DC Operator'!$F$15</f>
        <v>1</v>
      </c>
      <c r="AW429" s="771">
        <f t="shared" ca="1" si="500"/>
        <v>0</v>
      </c>
      <c r="AX429" s="772">
        <f t="shared" si="501"/>
        <v>0</v>
      </c>
      <c r="AY429" s="231"/>
      <c r="AZ429" s="770" cm="1">
        <f t="array" aca="1" ref="AZ429" ca="1">INDIRECT("'Definition of Typical Day'!"&amp; ADDRESS($D429+29*(AZ$16-1),$E429))+$AZ$17</f>
        <v>11</v>
      </c>
      <c r="BA429" s="771" cm="1">
        <f t="array" aca="1" ref="BA429" ca="1">INDIRECT("'Definition of Typical Day'!"&amp; ADDRESS($D429+29*(BA$16-1),$E429))+$BA$17</f>
        <v>11</v>
      </c>
      <c r="BB429" s="772" cm="1">
        <f t="array" aca="1" ref="BB429" ca="1">INDIRECT("'Definition of Typical Day'!"&amp;ADDRESS(BB$16,$E429))</f>
        <v>0</v>
      </c>
      <c r="BC429" s="776" cm="1">
        <f t="array" aca="1" ref="BC429" ca="1">INDIRECT("'Definition of Typical Day'!"&amp; ADDRESS($D429+29*(BC$16-1),$E429))</f>
        <v>0</v>
      </c>
      <c r="BD429" s="777" cm="1">
        <f t="array" aca="1" ref="BD429" ca="1">INDIRECT("'Definition of Typical Day'!"&amp; ADDRESS($D429+29*(BD$16-1),$E429))</f>
        <v>0</v>
      </c>
      <c r="BE429" s="776">
        <f t="shared" si="502"/>
        <v>0</v>
      </c>
      <c r="BF429" s="771">
        <f t="shared" ca="1" si="503"/>
        <v>0</v>
      </c>
      <c r="BG429" s="771">
        <f t="shared" ca="1" si="504"/>
        <v>0</v>
      </c>
      <c r="BH429" s="771">
        <f t="shared" ca="1" si="505"/>
        <v>0</v>
      </c>
      <c r="BI429" s="776">
        <f t="shared" ca="1" si="506"/>
        <v>0</v>
      </c>
      <c r="BJ429" s="776">
        <f t="shared" ca="1" si="507"/>
        <v>0</v>
      </c>
      <c r="BK429" s="776">
        <f t="shared" ca="1" si="508"/>
        <v>0</v>
      </c>
      <c r="BL429" s="776">
        <f t="shared" ca="1" si="509"/>
        <v>0</v>
      </c>
      <c r="BM429" s="135"/>
      <c r="BN429" s="776">
        <f t="shared" ca="1" si="510"/>
        <v>0</v>
      </c>
      <c r="BO429" s="778">
        <f t="shared" ca="1" si="447"/>
        <v>0</v>
      </c>
      <c r="BP429" s="770">
        <f t="shared" ca="1" si="448"/>
        <v>0</v>
      </c>
      <c r="BQ429" s="771">
        <f t="shared" ca="1" si="449"/>
        <v>0</v>
      </c>
      <c r="BR429" s="771">
        <f t="shared" ca="1" si="450"/>
        <v>0</v>
      </c>
      <c r="BS429" s="776">
        <f t="shared" ca="1" si="511"/>
        <v>0</v>
      </c>
      <c r="BT429" s="776">
        <f t="shared" ca="1" si="451"/>
        <v>0</v>
      </c>
      <c r="BU429" s="783">
        <f t="shared" ca="1" si="452"/>
        <v>0</v>
      </c>
      <c r="BV429" s="783">
        <f t="shared" ca="1" si="453"/>
        <v>0</v>
      </c>
      <c r="BW429" s="1019">
        <f t="shared" ca="1" si="512"/>
        <v>0</v>
      </c>
      <c r="BX429" s="771" cm="1">
        <f t="array" aca="1" ref="BX429" ca="1">INDIRECT("'Definition of Typical Day'!"&amp; ADDRESS($D429+29*(BX$16-1),$E429))</f>
        <v>0</v>
      </c>
      <c r="BY429" s="771">
        <f t="shared" ca="1" si="513"/>
        <v>0</v>
      </c>
      <c r="BZ429" s="781">
        <f t="shared" ca="1" si="454"/>
        <v>0</v>
      </c>
      <c r="CA429" s="781">
        <f t="shared" ca="1" si="455"/>
        <v>0</v>
      </c>
      <c r="CB429" s="776">
        <f t="shared" ca="1" si="456"/>
        <v>0</v>
      </c>
      <c r="CC429" s="782">
        <f t="shared" si="457"/>
        <v>18</v>
      </c>
      <c r="CD429" s="782">
        <f t="shared" si="458"/>
        <v>1</v>
      </c>
      <c r="CE429" s="784" cm="1">
        <f t="array" aca="1" ref="CE429" ca="1">INDIRECT("'Definition of Typical Day'!"&amp;ADDRESS(CE$16,$E429))</f>
        <v>18</v>
      </c>
      <c r="CF429" s="232"/>
      <c r="CG429" s="232"/>
      <c r="CH429" s="776">
        <f t="shared" ca="1" si="459"/>
        <v>0</v>
      </c>
      <c r="CI429" s="806">
        <f t="shared" ca="1" si="460"/>
        <v>0</v>
      </c>
      <c r="CJ429" s="770">
        <f t="shared" ca="1" si="461"/>
        <v>0</v>
      </c>
      <c r="CK429" s="771">
        <f t="shared" ca="1" si="462"/>
        <v>0</v>
      </c>
      <c r="CL429" s="771">
        <f t="shared" ca="1" si="463"/>
        <v>0</v>
      </c>
      <c r="CM429" s="772">
        <f t="shared" ca="1" si="464"/>
        <v>0</v>
      </c>
      <c r="CN429" s="135"/>
      <c r="CO429" s="770">
        <f t="shared" ca="1" si="514"/>
        <v>1.05</v>
      </c>
      <c r="CP429" s="771">
        <f t="shared" ca="1" si="465"/>
        <v>0.02</v>
      </c>
      <c r="CQ429" s="771">
        <f t="shared" ca="1" si="466"/>
        <v>-2.5000000000000001E-2</v>
      </c>
      <c r="CR429" s="771">
        <f t="shared" ca="1" si="467"/>
        <v>0.95</v>
      </c>
      <c r="CS429" s="771">
        <f t="shared" ca="1" si="468"/>
        <v>0.03</v>
      </c>
      <c r="CT429" s="772">
        <f t="shared" ca="1" si="469"/>
        <v>0.02</v>
      </c>
      <c r="CU429" s="135"/>
      <c r="CV429" s="135"/>
      <c r="CW429" s="135"/>
      <c r="CX429" s="135"/>
      <c r="CY429" s="135"/>
      <c r="CZ429" s="135"/>
      <c r="DA429" s="135"/>
      <c r="DB429" s="135"/>
      <c r="DC429" s="135"/>
      <c r="DD429" s="135"/>
      <c r="DE429" s="135"/>
      <c r="DF429" s="135"/>
      <c r="DG429" s="135"/>
      <c r="DH429" s="135"/>
      <c r="DI429" s="135"/>
      <c r="DJ429" s="135"/>
      <c r="DK429" s="135"/>
      <c r="DL429" s="135"/>
      <c r="DX429" s="135"/>
      <c r="DY429" s="135"/>
      <c r="DZ429" s="135"/>
      <c r="EA429" s="135"/>
      <c r="EB429" s="135"/>
      <c r="EC429" s="135"/>
      <c r="ED429" s="135"/>
      <c r="EE429" s="135"/>
      <c r="EF429" s="135"/>
      <c r="EG429" s="135"/>
      <c r="EH429" s="135"/>
      <c r="EI429" s="135"/>
      <c r="EJ429" s="135"/>
      <c r="EK429" s="135"/>
      <c r="EL429" s="135"/>
      <c r="EM429" s="135"/>
      <c r="EN429" s="135"/>
      <c r="EO429" s="135"/>
      <c r="EP429" s="135"/>
      <c r="EQ429" s="135"/>
      <c r="ER429" s="135"/>
      <c r="ES429" s="135"/>
      <c r="ET429" s="135"/>
      <c r="EU429" s="135"/>
      <c r="EV429" s="135"/>
      <c r="EW429" s="135"/>
      <c r="EX429" s="135"/>
      <c r="EY429" s="135"/>
      <c r="EZ429" s="135"/>
      <c r="FA429" s="135"/>
      <c r="FB429" s="135"/>
      <c r="FC429" s="135"/>
      <c r="FD429" s="135"/>
      <c r="FE429" s="135"/>
      <c r="FF429" s="135"/>
      <c r="FG429" s="135"/>
    </row>
    <row r="430" spans="1:163" s="57" customFormat="1" ht="11.25" outlineLevel="1">
      <c r="A430" s="765">
        <f t="shared" ref="A430:A493" si="515">A406+1</f>
        <v>18</v>
      </c>
      <c r="B430" s="715" cm="1">
        <f t="array" aca="1" ref="B430" ca="1">INDIRECT("'Definition of Typical Day'!"&amp;ADDRESS(B$16,$E430))</f>
        <v>18</v>
      </c>
      <c r="C430" s="766">
        <f t="shared" ref="C430:D493" si="516">C406</f>
        <v>2</v>
      </c>
      <c r="D430" s="715">
        <f t="shared" si="516"/>
        <v>36</v>
      </c>
      <c r="E430" s="715">
        <f t="shared" si="444"/>
        <v>22</v>
      </c>
      <c r="F430" s="767" cm="1">
        <f t="array" aca="1" ref="F430" ca="1">INDIRECT("'Definition of Typical Day'!D"&amp;D430)</f>
        <v>2</v>
      </c>
      <c r="G430" s="767" cm="1">
        <f t="array" aca="1" ref="G430" ca="1">INDIRECT("'Definition of Typical Day'!"&amp;ADDRESS(13,E430))</f>
        <v>18</v>
      </c>
      <c r="H430" s="768" cm="1">
        <f t="array" aca="1" ref="H430" ca="1">INDIRECT("'Definition of Typical Day'!"&amp; ADDRESS($D430+28*(H$16-1),$E430))</f>
        <v>0</v>
      </c>
      <c r="I430" s="715" cm="1">
        <f t="array" aca="1" ref="I430" ca="1">INDIRECT("'Definition of Typical Day'!"&amp; ADDRESS($D430+29*(I$16-1),$E430))</f>
        <v>0</v>
      </c>
      <c r="J430" s="715">
        <f t="shared" ca="1" si="470"/>
        <v>0</v>
      </c>
      <c r="K430" s="785">
        <f t="shared" si="471"/>
        <v>28</v>
      </c>
      <c r="L430" s="786" cm="1">
        <f t="array" aca="1" ref="L430" ca="1">INDIRECT("'Definition of Typical Day'!"&amp; ADDRESS($D430+29*(L$16-1),$E430))</f>
        <v>0</v>
      </c>
      <c r="M430" s="768" cm="1">
        <f t="array" aca="1" ref="M430" ca="1">INDIRECT("'Definition of Typical Day'!"&amp; ADDRESS($D430+29*(M$16-1),$E430))</f>
        <v>0</v>
      </c>
      <c r="N430" s="715">
        <f t="shared" si="472"/>
        <v>3</v>
      </c>
      <c r="O430" s="715">
        <f t="shared" ca="1" si="473"/>
        <v>3</v>
      </c>
      <c r="P430" s="715" cm="1">
        <f t="array" aca="1" ref="P430" ca="1">INDIRECT("'Definition of Typical Day'!"&amp; ADDRESS($D430+29*(P$16-1),$E430))</f>
        <v>0</v>
      </c>
      <c r="Q430" s="787">
        <f t="shared" ca="1" si="474"/>
        <v>3</v>
      </c>
      <c r="R430" s="792">
        <f t="shared" ca="1" si="475"/>
        <v>3</v>
      </c>
      <c r="S430" s="769">
        <f t="shared" si="476"/>
        <v>3</v>
      </c>
      <c r="T430" s="769">
        <f t="shared" ca="1" si="477"/>
        <v>-0.5</v>
      </c>
      <c r="U430" s="769">
        <f t="shared" ca="1" si="478"/>
        <v>2.262</v>
      </c>
      <c r="V430" s="769">
        <f t="shared" ca="1" si="479"/>
        <v>0</v>
      </c>
      <c r="W430" s="769">
        <f t="shared" ca="1" si="480"/>
        <v>4.7620000000000005</v>
      </c>
      <c r="X430" s="794">
        <f t="shared" si="481"/>
        <v>3</v>
      </c>
      <c r="Y430" s="769">
        <f t="shared" ca="1" si="482"/>
        <v>0.54772255750516607</v>
      </c>
      <c r="Z430" s="769">
        <f t="shared" ca="1" si="483"/>
        <v>0</v>
      </c>
      <c r="AA430" s="795">
        <f t="shared" ca="1" si="484"/>
        <v>0</v>
      </c>
      <c r="AB430" s="769">
        <f t="shared" ca="1" si="485"/>
        <v>0</v>
      </c>
      <c r="AC430" s="769">
        <f t="shared" ca="1" si="486"/>
        <v>0</v>
      </c>
      <c r="AD430" s="769">
        <f t="shared" ca="1" si="487"/>
        <v>0</v>
      </c>
      <c r="AE430" s="794">
        <f t="shared" ca="1" si="488"/>
        <v>0</v>
      </c>
      <c r="AF430" s="769">
        <f t="shared" ca="1" si="489"/>
        <v>0</v>
      </c>
      <c r="AG430" s="769">
        <f t="shared" ca="1" si="490"/>
        <v>0</v>
      </c>
      <c r="AH430" s="799">
        <f t="shared" ca="1" si="491"/>
        <v>0</v>
      </c>
      <c r="AI430" s="801">
        <f t="shared" ca="1" si="492"/>
        <v>1</v>
      </c>
      <c r="AJ430" s="794">
        <f t="shared" ca="1" si="493"/>
        <v>0</v>
      </c>
      <c r="AK430" s="769">
        <f t="shared" ca="1" si="494"/>
        <v>0</v>
      </c>
      <c r="AL430" s="769">
        <f t="shared" ca="1" si="495"/>
        <v>0</v>
      </c>
      <c r="AM430" s="804">
        <f t="shared" ca="1" si="445"/>
        <v>0</v>
      </c>
      <c r="AN430" s="795">
        <f t="shared" ca="1" si="446"/>
        <v>0</v>
      </c>
      <c r="AO430" s="251"/>
      <c r="AP430" s="770">
        <f t="shared" si="496"/>
        <v>0</v>
      </c>
      <c r="AQ430" s="771">
        <f t="shared" ca="1" si="497"/>
        <v>0</v>
      </c>
      <c r="AR430" s="771">
        <f t="shared" ca="1" si="498"/>
        <v>0</v>
      </c>
      <c r="AS430" s="772">
        <f t="shared" ca="1" si="499"/>
        <v>0</v>
      </c>
      <c r="AT430" s="231"/>
      <c r="AU430" s="770">
        <f>'Main Results - IRR DC Operator'!$F$16</f>
        <v>2</v>
      </c>
      <c r="AV430" s="773">
        <f>'Main Results - IRR DC Operator'!$F$15</f>
        <v>1</v>
      </c>
      <c r="AW430" s="771">
        <f t="shared" ca="1" si="500"/>
        <v>0</v>
      </c>
      <c r="AX430" s="772">
        <f t="shared" si="501"/>
        <v>0</v>
      </c>
      <c r="AY430" s="231"/>
      <c r="AZ430" s="770" cm="1">
        <f t="array" aca="1" ref="AZ430" ca="1">INDIRECT("'Definition of Typical Day'!"&amp; ADDRESS($D430+29*(AZ$16-1),$E430))+$AZ$17</f>
        <v>11</v>
      </c>
      <c r="BA430" s="771" cm="1">
        <f t="array" aca="1" ref="BA430" ca="1">INDIRECT("'Definition of Typical Day'!"&amp; ADDRESS($D430+29*(BA$16-1),$E430))+$BA$17</f>
        <v>11</v>
      </c>
      <c r="BB430" s="772" cm="1">
        <f t="array" aca="1" ref="BB430" ca="1">INDIRECT("'Definition of Typical Day'!"&amp;ADDRESS(BB$16,$E430))</f>
        <v>0</v>
      </c>
      <c r="BC430" s="776" cm="1">
        <f t="array" aca="1" ref="BC430" ca="1">INDIRECT("'Definition of Typical Day'!"&amp; ADDRESS($D430+29*(BC$16-1),$E430))</f>
        <v>0</v>
      </c>
      <c r="BD430" s="777" cm="1">
        <f t="array" aca="1" ref="BD430" ca="1">INDIRECT("'Definition of Typical Day'!"&amp; ADDRESS($D430+29*(BD$16-1),$E430))</f>
        <v>0</v>
      </c>
      <c r="BE430" s="776">
        <f t="shared" si="502"/>
        <v>0</v>
      </c>
      <c r="BF430" s="771">
        <f t="shared" ca="1" si="503"/>
        <v>0</v>
      </c>
      <c r="BG430" s="771">
        <f t="shared" ca="1" si="504"/>
        <v>0</v>
      </c>
      <c r="BH430" s="771">
        <f t="shared" ca="1" si="505"/>
        <v>0</v>
      </c>
      <c r="BI430" s="776">
        <f t="shared" ca="1" si="506"/>
        <v>0</v>
      </c>
      <c r="BJ430" s="776">
        <f t="shared" ca="1" si="507"/>
        <v>0</v>
      </c>
      <c r="BK430" s="776">
        <f t="shared" ca="1" si="508"/>
        <v>0</v>
      </c>
      <c r="BL430" s="776">
        <f t="shared" ca="1" si="509"/>
        <v>0</v>
      </c>
      <c r="BM430" s="135"/>
      <c r="BN430" s="776">
        <f t="shared" ca="1" si="510"/>
        <v>0</v>
      </c>
      <c r="BO430" s="778">
        <f t="shared" ca="1" si="447"/>
        <v>0</v>
      </c>
      <c r="BP430" s="770">
        <f t="shared" ca="1" si="448"/>
        <v>0</v>
      </c>
      <c r="BQ430" s="771">
        <f t="shared" ca="1" si="449"/>
        <v>0</v>
      </c>
      <c r="BR430" s="771">
        <f t="shared" ca="1" si="450"/>
        <v>0</v>
      </c>
      <c r="BS430" s="776">
        <f t="shared" ca="1" si="511"/>
        <v>0</v>
      </c>
      <c r="BT430" s="776">
        <f t="shared" ca="1" si="451"/>
        <v>0</v>
      </c>
      <c r="BU430" s="783">
        <f t="shared" ca="1" si="452"/>
        <v>0</v>
      </c>
      <c r="BV430" s="783">
        <f t="shared" ca="1" si="453"/>
        <v>0</v>
      </c>
      <c r="BW430" s="1019">
        <f t="shared" ca="1" si="512"/>
        <v>0</v>
      </c>
      <c r="BX430" s="771" cm="1">
        <f t="array" aca="1" ref="BX430" ca="1">INDIRECT("'Definition of Typical Day'!"&amp; ADDRESS($D430+29*(BX$16-1),$E430))</f>
        <v>0</v>
      </c>
      <c r="BY430" s="771">
        <f t="shared" ca="1" si="513"/>
        <v>0</v>
      </c>
      <c r="BZ430" s="781">
        <f t="shared" ca="1" si="454"/>
        <v>0</v>
      </c>
      <c r="CA430" s="781">
        <f t="shared" ca="1" si="455"/>
        <v>0</v>
      </c>
      <c r="CB430" s="776">
        <f t="shared" ca="1" si="456"/>
        <v>0</v>
      </c>
      <c r="CC430" s="782">
        <f t="shared" si="457"/>
        <v>18</v>
      </c>
      <c r="CD430" s="782">
        <f t="shared" si="458"/>
        <v>2</v>
      </c>
      <c r="CE430" s="784" cm="1">
        <f t="array" aca="1" ref="CE430" ca="1">INDIRECT("'Definition of Typical Day'!"&amp;ADDRESS(CE$16,$E430))</f>
        <v>18</v>
      </c>
      <c r="CF430" s="232"/>
      <c r="CG430" s="232"/>
      <c r="CH430" s="776">
        <f t="shared" ca="1" si="459"/>
        <v>0</v>
      </c>
      <c r="CI430" s="806">
        <f t="shared" ca="1" si="460"/>
        <v>0</v>
      </c>
      <c r="CJ430" s="770">
        <f t="shared" ca="1" si="461"/>
        <v>0</v>
      </c>
      <c r="CK430" s="771">
        <f t="shared" ca="1" si="462"/>
        <v>0</v>
      </c>
      <c r="CL430" s="771">
        <f t="shared" ca="1" si="463"/>
        <v>0</v>
      </c>
      <c r="CM430" s="772">
        <f t="shared" ca="1" si="464"/>
        <v>0</v>
      </c>
      <c r="CN430" s="135"/>
      <c r="CO430" s="770">
        <f t="shared" ca="1" si="514"/>
        <v>1.05</v>
      </c>
      <c r="CP430" s="771">
        <f t="shared" ca="1" si="465"/>
        <v>0.02</v>
      </c>
      <c r="CQ430" s="771">
        <f t="shared" ca="1" si="466"/>
        <v>-2.5000000000000001E-2</v>
      </c>
      <c r="CR430" s="771">
        <f t="shared" ca="1" si="467"/>
        <v>0.95</v>
      </c>
      <c r="CS430" s="771">
        <f t="shared" ca="1" si="468"/>
        <v>0.03</v>
      </c>
      <c r="CT430" s="772">
        <f t="shared" ca="1" si="469"/>
        <v>0.02</v>
      </c>
      <c r="CU430" s="135"/>
      <c r="CV430" s="135"/>
      <c r="CW430" s="135"/>
      <c r="CX430" s="135"/>
      <c r="CY430" s="135"/>
      <c r="CZ430" s="135"/>
      <c r="DA430" s="135"/>
      <c r="DB430" s="135"/>
      <c r="DC430" s="135"/>
      <c r="DD430" s="135"/>
      <c r="DE430" s="135"/>
      <c r="DF430" s="135"/>
      <c r="DG430" s="135"/>
      <c r="DH430" s="135"/>
      <c r="DI430" s="135"/>
      <c r="DJ430" s="135"/>
      <c r="DK430" s="135"/>
      <c r="DL430" s="135"/>
      <c r="DX430" s="135"/>
      <c r="DY430" s="135"/>
      <c r="DZ430" s="135"/>
      <c r="EA430" s="135"/>
      <c r="EB430" s="135"/>
      <c r="EC430" s="135"/>
      <c r="ED430" s="135"/>
      <c r="EE430" s="135"/>
      <c r="EF430" s="135"/>
      <c r="EG430" s="135"/>
      <c r="EH430" s="135"/>
      <c r="EI430" s="135"/>
      <c r="EJ430" s="135"/>
      <c r="EK430" s="135"/>
      <c r="EL430" s="135"/>
      <c r="EM430" s="135"/>
      <c r="EN430" s="135"/>
      <c r="EO430" s="135"/>
      <c r="EP430" s="135"/>
      <c r="EQ430" s="135"/>
      <c r="ER430" s="135"/>
      <c r="ES430" s="135"/>
      <c r="ET430" s="135"/>
      <c r="EU430" s="135"/>
      <c r="EV430" s="135"/>
      <c r="EW430" s="135"/>
      <c r="EX430" s="135"/>
      <c r="EY430" s="135"/>
      <c r="EZ430" s="135"/>
      <c r="FA430" s="135"/>
      <c r="FB430" s="135"/>
      <c r="FC430" s="135"/>
      <c r="FD430" s="135"/>
      <c r="FE430" s="135"/>
      <c r="FF430" s="135"/>
      <c r="FG430" s="135"/>
    </row>
    <row r="431" spans="1:163" s="57" customFormat="1" ht="11.25" outlineLevel="1">
      <c r="A431" s="765">
        <f t="shared" si="515"/>
        <v>18</v>
      </c>
      <c r="B431" s="715" cm="1">
        <f t="array" aca="1" ref="B431" ca="1">INDIRECT("'Definition of Typical Day'!"&amp;ADDRESS(B$16,$E431))</f>
        <v>18</v>
      </c>
      <c r="C431" s="766">
        <f t="shared" si="516"/>
        <v>3</v>
      </c>
      <c r="D431" s="715">
        <f t="shared" si="516"/>
        <v>37</v>
      </c>
      <c r="E431" s="715">
        <f t="shared" si="444"/>
        <v>22</v>
      </c>
      <c r="F431" s="767" cm="1">
        <f t="array" aca="1" ref="F431" ca="1">INDIRECT("'Definition of Typical Day'!D"&amp;D431)</f>
        <v>3</v>
      </c>
      <c r="G431" s="767" cm="1">
        <f t="array" aca="1" ref="G431" ca="1">INDIRECT("'Definition of Typical Day'!"&amp;ADDRESS(13,E431))</f>
        <v>18</v>
      </c>
      <c r="H431" s="768" cm="1">
        <f t="array" aca="1" ref="H431" ca="1">INDIRECT("'Definition of Typical Day'!"&amp; ADDRESS($D431+28*(H$16-1),$E431))</f>
        <v>0</v>
      </c>
      <c r="I431" s="715" cm="1">
        <f t="array" aca="1" ref="I431" ca="1">INDIRECT("'Definition of Typical Day'!"&amp; ADDRESS($D431+29*(I$16-1),$E431))</f>
        <v>0</v>
      </c>
      <c r="J431" s="715">
        <f t="shared" ca="1" si="470"/>
        <v>0</v>
      </c>
      <c r="K431" s="785">
        <f t="shared" si="471"/>
        <v>28</v>
      </c>
      <c r="L431" s="786" cm="1">
        <f t="array" aca="1" ref="L431" ca="1">INDIRECT("'Definition of Typical Day'!"&amp; ADDRESS($D431+29*(L$16-1),$E431))</f>
        <v>0</v>
      </c>
      <c r="M431" s="768" cm="1">
        <f t="array" aca="1" ref="M431" ca="1">INDIRECT("'Definition of Typical Day'!"&amp; ADDRESS($D431+29*(M$16-1),$E431))</f>
        <v>0</v>
      </c>
      <c r="N431" s="715">
        <f t="shared" si="472"/>
        <v>3</v>
      </c>
      <c r="O431" s="715">
        <f t="shared" ca="1" si="473"/>
        <v>3</v>
      </c>
      <c r="P431" s="715" cm="1">
        <f t="array" aca="1" ref="P431" ca="1">INDIRECT("'Definition of Typical Day'!"&amp; ADDRESS($D431+29*(P$16-1),$E431))</f>
        <v>0</v>
      </c>
      <c r="Q431" s="787">
        <f t="shared" ca="1" si="474"/>
        <v>3</v>
      </c>
      <c r="R431" s="792">
        <f t="shared" ca="1" si="475"/>
        <v>3</v>
      </c>
      <c r="S431" s="769">
        <f t="shared" si="476"/>
        <v>3</v>
      </c>
      <c r="T431" s="769">
        <f t="shared" ca="1" si="477"/>
        <v>-0.5</v>
      </c>
      <c r="U431" s="769">
        <f t="shared" ca="1" si="478"/>
        <v>2.262</v>
      </c>
      <c r="V431" s="769">
        <f t="shared" ca="1" si="479"/>
        <v>0</v>
      </c>
      <c r="W431" s="769">
        <f t="shared" ca="1" si="480"/>
        <v>4.7620000000000005</v>
      </c>
      <c r="X431" s="794">
        <f t="shared" si="481"/>
        <v>3</v>
      </c>
      <c r="Y431" s="769">
        <f t="shared" ca="1" si="482"/>
        <v>0.54772255750516607</v>
      </c>
      <c r="Z431" s="769">
        <f t="shared" ca="1" si="483"/>
        <v>0</v>
      </c>
      <c r="AA431" s="795">
        <f t="shared" ca="1" si="484"/>
        <v>0</v>
      </c>
      <c r="AB431" s="769">
        <f t="shared" ca="1" si="485"/>
        <v>0</v>
      </c>
      <c r="AC431" s="769">
        <f t="shared" ca="1" si="486"/>
        <v>0</v>
      </c>
      <c r="AD431" s="769">
        <f t="shared" ca="1" si="487"/>
        <v>0</v>
      </c>
      <c r="AE431" s="794">
        <f t="shared" ca="1" si="488"/>
        <v>0</v>
      </c>
      <c r="AF431" s="769">
        <f t="shared" ca="1" si="489"/>
        <v>0</v>
      </c>
      <c r="AG431" s="769">
        <f t="shared" ca="1" si="490"/>
        <v>0</v>
      </c>
      <c r="AH431" s="799">
        <f t="shared" ca="1" si="491"/>
        <v>0</v>
      </c>
      <c r="AI431" s="801">
        <f t="shared" ca="1" si="492"/>
        <v>1</v>
      </c>
      <c r="AJ431" s="794">
        <f t="shared" ca="1" si="493"/>
        <v>0</v>
      </c>
      <c r="AK431" s="769">
        <f t="shared" ca="1" si="494"/>
        <v>0</v>
      </c>
      <c r="AL431" s="769">
        <f t="shared" ca="1" si="495"/>
        <v>0</v>
      </c>
      <c r="AM431" s="804">
        <f t="shared" ca="1" si="445"/>
        <v>0</v>
      </c>
      <c r="AN431" s="795">
        <f t="shared" ca="1" si="446"/>
        <v>0</v>
      </c>
      <c r="AO431" s="251"/>
      <c r="AP431" s="770">
        <f t="shared" si="496"/>
        <v>0</v>
      </c>
      <c r="AQ431" s="771">
        <f t="shared" ca="1" si="497"/>
        <v>0</v>
      </c>
      <c r="AR431" s="771">
        <f t="shared" ca="1" si="498"/>
        <v>0</v>
      </c>
      <c r="AS431" s="772">
        <f t="shared" ca="1" si="499"/>
        <v>0</v>
      </c>
      <c r="AT431" s="231"/>
      <c r="AU431" s="770">
        <f>'Main Results - IRR DC Operator'!$F$16</f>
        <v>2</v>
      </c>
      <c r="AV431" s="773">
        <f>'Main Results - IRR DC Operator'!$F$15</f>
        <v>1</v>
      </c>
      <c r="AW431" s="771">
        <f t="shared" ca="1" si="500"/>
        <v>0</v>
      </c>
      <c r="AX431" s="772">
        <f t="shared" si="501"/>
        <v>0</v>
      </c>
      <c r="AY431" s="231"/>
      <c r="AZ431" s="770" cm="1">
        <f t="array" aca="1" ref="AZ431" ca="1">INDIRECT("'Definition of Typical Day'!"&amp; ADDRESS($D431+29*(AZ$16-1),$E431))+$AZ$17</f>
        <v>11</v>
      </c>
      <c r="BA431" s="771" cm="1">
        <f t="array" aca="1" ref="BA431" ca="1">INDIRECT("'Definition of Typical Day'!"&amp; ADDRESS($D431+29*(BA$16-1),$E431))+$BA$17</f>
        <v>11</v>
      </c>
      <c r="BB431" s="772" cm="1">
        <f t="array" aca="1" ref="BB431" ca="1">INDIRECT("'Definition of Typical Day'!"&amp;ADDRESS(BB$16,$E431))</f>
        <v>0</v>
      </c>
      <c r="BC431" s="776" cm="1">
        <f t="array" aca="1" ref="BC431" ca="1">INDIRECT("'Definition of Typical Day'!"&amp; ADDRESS($D431+29*(BC$16-1),$E431))</f>
        <v>0</v>
      </c>
      <c r="BD431" s="777" cm="1">
        <f t="array" aca="1" ref="BD431" ca="1">INDIRECT("'Definition of Typical Day'!"&amp; ADDRESS($D431+29*(BD$16-1),$E431))</f>
        <v>0</v>
      </c>
      <c r="BE431" s="776">
        <f t="shared" si="502"/>
        <v>0</v>
      </c>
      <c r="BF431" s="771">
        <f t="shared" ca="1" si="503"/>
        <v>0</v>
      </c>
      <c r="BG431" s="771">
        <f t="shared" ca="1" si="504"/>
        <v>0</v>
      </c>
      <c r="BH431" s="771">
        <f t="shared" ca="1" si="505"/>
        <v>0</v>
      </c>
      <c r="BI431" s="776">
        <f t="shared" ca="1" si="506"/>
        <v>0</v>
      </c>
      <c r="BJ431" s="776">
        <f t="shared" ca="1" si="507"/>
        <v>0</v>
      </c>
      <c r="BK431" s="776">
        <f t="shared" ca="1" si="508"/>
        <v>0</v>
      </c>
      <c r="BL431" s="776">
        <f t="shared" ca="1" si="509"/>
        <v>0</v>
      </c>
      <c r="BM431" s="135"/>
      <c r="BN431" s="776">
        <f t="shared" ca="1" si="510"/>
        <v>0</v>
      </c>
      <c r="BO431" s="778">
        <f t="shared" ca="1" si="447"/>
        <v>0</v>
      </c>
      <c r="BP431" s="770">
        <f t="shared" ca="1" si="448"/>
        <v>0</v>
      </c>
      <c r="BQ431" s="771">
        <f t="shared" ca="1" si="449"/>
        <v>0</v>
      </c>
      <c r="BR431" s="771">
        <f t="shared" ca="1" si="450"/>
        <v>0</v>
      </c>
      <c r="BS431" s="776">
        <f t="shared" ca="1" si="511"/>
        <v>0</v>
      </c>
      <c r="BT431" s="776">
        <f t="shared" ca="1" si="451"/>
        <v>0</v>
      </c>
      <c r="BU431" s="783">
        <f t="shared" ca="1" si="452"/>
        <v>0</v>
      </c>
      <c r="BV431" s="783">
        <f t="shared" ca="1" si="453"/>
        <v>0</v>
      </c>
      <c r="BW431" s="1019">
        <f t="shared" ca="1" si="512"/>
        <v>0</v>
      </c>
      <c r="BX431" s="771" cm="1">
        <f t="array" aca="1" ref="BX431" ca="1">INDIRECT("'Definition of Typical Day'!"&amp; ADDRESS($D431+29*(BX$16-1),$E431))</f>
        <v>0</v>
      </c>
      <c r="BY431" s="771">
        <f t="shared" ca="1" si="513"/>
        <v>0</v>
      </c>
      <c r="BZ431" s="781">
        <f t="shared" ca="1" si="454"/>
        <v>0</v>
      </c>
      <c r="CA431" s="781">
        <f t="shared" ca="1" si="455"/>
        <v>0</v>
      </c>
      <c r="CB431" s="776">
        <f t="shared" ca="1" si="456"/>
        <v>0</v>
      </c>
      <c r="CC431" s="782">
        <f t="shared" si="457"/>
        <v>18</v>
      </c>
      <c r="CD431" s="782">
        <f t="shared" si="458"/>
        <v>3</v>
      </c>
      <c r="CE431" s="784" cm="1">
        <f t="array" aca="1" ref="CE431" ca="1">INDIRECT("'Definition of Typical Day'!"&amp;ADDRESS(CE$16,$E431))</f>
        <v>18</v>
      </c>
      <c r="CF431" s="232"/>
      <c r="CG431" s="232"/>
      <c r="CH431" s="776">
        <f t="shared" ca="1" si="459"/>
        <v>0</v>
      </c>
      <c r="CI431" s="806">
        <f t="shared" ca="1" si="460"/>
        <v>0</v>
      </c>
      <c r="CJ431" s="770">
        <f t="shared" ca="1" si="461"/>
        <v>0</v>
      </c>
      <c r="CK431" s="771">
        <f t="shared" ca="1" si="462"/>
        <v>0</v>
      </c>
      <c r="CL431" s="771">
        <f t="shared" ca="1" si="463"/>
        <v>0</v>
      </c>
      <c r="CM431" s="772">
        <f t="shared" ca="1" si="464"/>
        <v>0</v>
      </c>
      <c r="CN431" s="135"/>
      <c r="CO431" s="770">
        <f t="shared" ca="1" si="514"/>
        <v>1.05</v>
      </c>
      <c r="CP431" s="771">
        <f t="shared" ca="1" si="465"/>
        <v>0.02</v>
      </c>
      <c r="CQ431" s="771">
        <f t="shared" ca="1" si="466"/>
        <v>-2.5000000000000001E-2</v>
      </c>
      <c r="CR431" s="771">
        <f t="shared" ca="1" si="467"/>
        <v>0.95</v>
      </c>
      <c r="CS431" s="771">
        <f t="shared" ca="1" si="468"/>
        <v>0.03</v>
      </c>
      <c r="CT431" s="772">
        <f t="shared" ca="1" si="469"/>
        <v>0.02</v>
      </c>
      <c r="CU431" s="135"/>
      <c r="CV431" s="135"/>
      <c r="CW431" s="135"/>
      <c r="CX431" s="135"/>
      <c r="CY431" s="135"/>
      <c r="CZ431" s="135"/>
      <c r="DA431" s="135"/>
      <c r="DB431" s="135"/>
      <c r="DC431" s="135"/>
      <c r="DD431" s="135"/>
      <c r="DE431" s="135"/>
      <c r="DF431" s="135"/>
      <c r="DG431" s="135"/>
      <c r="DH431" s="135"/>
      <c r="DI431" s="135"/>
      <c r="DJ431" s="135"/>
      <c r="DK431" s="135"/>
      <c r="DL431" s="135"/>
      <c r="DX431" s="135"/>
      <c r="DY431" s="135"/>
      <c r="DZ431" s="135"/>
      <c r="EA431" s="135"/>
      <c r="EB431" s="135"/>
      <c r="EC431" s="135"/>
      <c r="ED431" s="135"/>
      <c r="EE431" s="135"/>
      <c r="EF431" s="135"/>
      <c r="EG431" s="135"/>
      <c r="EH431" s="135"/>
      <c r="EI431" s="135"/>
      <c r="EJ431" s="135"/>
      <c r="EK431" s="135"/>
      <c r="EL431" s="135"/>
      <c r="EM431" s="135"/>
      <c r="EN431" s="135"/>
      <c r="EO431" s="135"/>
      <c r="EP431" s="135"/>
      <c r="EQ431" s="135"/>
      <c r="ER431" s="135"/>
      <c r="ES431" s="135"/>
      <c r="ET431" s="135"/>
      <c r="EU431" s="135"/>
      <c r="EV431" s="135"/>
      <c r="EW431" s="135"/>
      <c r="EX431" s="135"/>
      <c r="EY431" s="135"/>
      <c r="EZ431" s="135"/>
      <c r="FA431" s="135"/>
      <c r="FB431" s="135"/>
      <c r="FC431" s="135"/>
      <c r="FD431" s="135"/>
      <c r="FE431" s="135"/>
      <c r="FF431" s="135"/>
      <c r="FG431" s="135"/>
    </row>
    <row r="432" spans="1:163" s="57" customFormat="1" ht="11.25" outlineLevel="1">
      <c r="A432" s="765">
        <f t="shared" si="515"/>
        <v>18</v>
      </c>
      <c r="B432" s="715" cm="1">
        <f t="array" aca="1" ref="B432" ca="1">INDIRECT("'Definition of Typical Day'!"&amp;ADDRESS(B$16,$E432))</f>
        <v>18</v>
      </c>
      <c r="C432" s="766">
        <f t="shared" si="516"/>
        <v>4</v>
      </c>
      <c r="D432" s="715">
        <f t="shared" si="516"/>
        <v>38</v>
      </c>
      <c r="E432" s="715">
        <f t="shared" si="444"/>
        <v>22</v>
      </c>
      <c r="F432" s="767" cm="1">
        <f t="array" aca="1" ref="F432" ca="1">INDIRECT("'Definition of Typical Day'!D"&amp;D432)</f>
        <v>4</v>
      </c>
      <c r="G432" s="767" cm="1">
        <f t="array" aca="1" ref="G432" ca="1">INDIRECT("'Definition of Typical Day'!"&amp;ADDRESS(13,E432))</f>
        <v>18</v>
      </c>
      <c r="H432" s="768" cm="1">
        <f t="array" aca="1" ref="H432" ca="1">INDIRECT("'Definition of Typical Day'!"&amp; ADDRESS($D432+28*(H$16-1),$E432))</f>
        <v>0</v>
      </c>
      <c r="I432" s="715" cm="1">
        <f t="array" aca="1" ref="I432" ca="1">INDIRECT("'Definition of Typical Day'!"&amp; ADDRESS($D432+29*(I$16-1),$E432))</f>
        <v>0</v>
      </c>
      <c r="J432" s="715">
        <f t="shared" ca="1" si="470"/>
        <v>0</v>
      </c>
      <c r="K432" s="785">
        <f t="shared" si="471"/>
        <v>28</v>
      </c>
      <c r="L432" s="786" cm="1">
        <f t="array" aca="1" ref="L432" ca="1">INDIRECT("'Definition of Typical Day'!"&amp; ADDRESS($D432+29*(L$16-1),$E432))</f>
        <v>0</v>
      </c>
      <c r="M432" s="768" cm="1">
        <f t="array" aca="1" ref="M432" ca="1">INDIRECT("'Definition of Typical Day'!"&amp; ADDRESS($D432+29*(M$16-1),$E432))</f>
        <v>0</v>
      </c>
      <c r="N432" s="715">
        <f t="shared" si="472"/>
        <v>3</v>
      </c>
      <c r="O432" s="715">
        <f t="shared" ca="1" si="473"/>
        <v>3</v>
      </c>
      <c r="P432" s="715" cm="1">
        <f t="array" aca="1" ref="P432" ca="1">INDIRECT("'Definition of Typical Day'!"&amp; ADDRESS($D432+29*(P$16-1),$E432))</f>
        <v>0</v>
      </c>
      <c r="Q432" s="787">
        <f t="shared" ca="1" si="474"/>
        <v>3</v>
      </c>
      <c r="R432" s="792">
        <f t="shared" ca="1" si="475"/>
        <v>3</v>
      </c>
      <c r="S432" s="769">
        <f t="shared" si="476"/>
        <v>3</v>
      </c>
      <c r="T432" s="769">
        <f t="shared" ca="1" si="477"/>
        <v>-0.5</v>
      </c>
      <c r="U432" s="769">
        <f t="shared" ca="1" si="478"/>
        <v>2.262</v>
      </c>
      <c r="V432" s="769">
        <f t="shared" ca="1" si="479"/>
        <v>0</v>
      </c>
      <c r="W432" s="769">
        <f t="shared" ca="1" si="480"/>
        <v>4.7620000000000005</v>
      </c>
      <c r="X432" s="794">
        <f t="shared" si="481"/>
        <v>3</v>
      </c>
      <c r="Y432" s="769">
        <f t="shared" ca="1" si="482"/>
        <v>0.54772255750516607</v>
      </c>
      <c r="Z432" s="769">
        <f t="shared" ca="1" si="483"/>
        <v>0</v>
      </c>
      <c r="AA432" s="795">
        <f t="shared" ca="1" si="484"/>
        <v>0</v>
      </c>
      <c r="AB432" s="769">
        <f t="shared" ca="1" si="485"/>
        <v>0</v>
      </c>
      <c r="AC432" s="769">
        <f t="shared" ca="1" si="486"/>
        <v>0</v>
      </c>
      <c r="AD432" s="769">
        <f t="shared" ca="1" si="487"/>
        <v>0</v>
      </c>
      <c r="AE432" s="794">
        <f t="shared" ca="1" si="488"/>
        <v>0</v>
      </c>
      <c r="AF432" s="769">
        <f t="shared" ca="1" si="489"/>
        <v>0</v>
      </c>
      <c r="AG432" s="769">
        <f t="shared" ca="1" si="490"/>
        <v>0</v>
      </c>
      <c r="AH432" s="799">
        <f t="shared" ca="1" si="491"/>
        <v>0</v>
      </c>
      <c r="AI432" s="801">
        <f t="shared" ca="1" si="492"/>
        <v>1</v>
      </c>
      <c r="AJ432" s="794">
        <f t="shared" ca="1" si="493"/>
        <v>0</v>
      </c>
      <c r="AK432" s="769">
        <f t="shared" ca="1" si="494"/>
        <v>0</v>
      </c>
      <c r="AL432" s="769">
        <f t="shared" ca="1" si="495"/>
        <v>0</v>
      </c>
      <c r="AM432" s="804">
        <f t="shared" ca="1" si="445"/>
        <v>0</v>
      </c>
      <c r="AN432" s="795">
        <f t="shared" ca="1" si="446"/>
        <v>0</v>
      </c>
      <c r="AO432" s="251"/>
      <c r="AP432" s="770">
        <f t="shared" si="496"/>
        <v>0</v>
      </c>
      <c r="AQ432" s="771">
        <f t="shared" ca="1" si="497"/>
        <v>0</v>
      </c>
      <c r="AR432" s="771">
        <f t="shared" ca="1" si="498"/>
        <v>0</v>
      </c>
      <c r="AS432" s="772">
        <f t="shared" ca="1" si="499"/>
        <v>0</v>
      </c>
      <c r="AT432" s="231"/>
      <c r="AU432" s="770">
        <f>'Main Results - IRR DC Operator'!$F$16</f>
        <v>2</v>
      </c>
      <c r="AV432" s="773">
        <f>'Main Results - IRR DC Operator'!$F$15</f>
        <v>1</v>
      </c>
      <c r="AW432" s="771">
        <f t="shared" ca="1" si="500"/>
        <v>0</v>
      </c>
      <c r="AX432" s="772">
        <f t="shared" si="501"/>
        <v>0</v>
      </c>
      <c r="AY432" s="231"/>
      <c r="AZ432" s="770" cm="1">
        <f t="array" aca="1" ref="AZ432" ca="1">INDIRECT("'Definition of Typical Day'!"&amp; ADDRESS($D432+29*(AZ$16-1),$E432))+$AZ$17</f>
        <v>11</v>
      </c>
      <c r="BA432" s="771" cm="1">
        <f t="array" aca="1" ref="BA432" ca="1">INDIRECT("'Definition of Typical Day'!"&amp; ADDRESS($D432+29*(BA$16-1),$E432))+$BA$17</f>
        <v>11</v>
      </c>
      <c r="BB432" s="772" cm="1">
        <f t="array" aca="1" ref="BB432" ca="1">INDIRECT("'Definition of Typical Day'!"&amp;ADDRESS(BB$16,$E432))</f>
        <v>0</v>
      </c>
      <c r="BC432" s="776" cm="1">
        <f t="array" aca="1" ref="BC432" ca="1">INDIRECT("'Definition of Typical Day'!"&amp; ADDRESS($D432+29*(BC$16-1),$E432))</f>
        <v>0</v>
      </c>
      <c r="BD432" s="777" cm="1">
        <f t="array" aca="1" ref="BD432" ca="1">INDIRECT("'Definition of Typical Day'!"&amp; ADDRESS($D432+29*(BD$16-1),$E432))</f>
        <v>0</v>
      </c>
      <c r="BE432" s="776">
        <f t="shared" si="502"/>
        <v>0</v>
      </c>
      <c r="BF432" s="771">
        <f t="shared" ca="1" si="503"/>
        <v>0</v>
      </c>
      <c r="BG432" s="771">
        <f t="shared" ca="1" si="504"/>
        <v>0</v>
      </c>
      <c r="BH432" s="771">
        <f t="shared" ca="1" si="505"/>
        <v>0</v>
      </c>
      <c r="BI432" s="776">
        <f t="shared" ca="1" si="506"/>
        <v>0</v>
      </c>
      <c r="BJ432" s="776">
        <f t="shared" ca="1" si="507"/>
        <v>0</v>
      </c>
      <c r="BK432" s="776">
        <f t="shared" ca="1" si="508"/>
        <v>0</v>
      </c>
      <c r="BL432" s="776">
        <f t="shared" ca="1" si="509"/>
        <v>0</v>
      </c>
      <c r="BM432" s="135"/>
      <c r="BN432" s="776">
        <f t="shared" ca="1" si="510"/>
        <v>0</v>
      </c>
      <c r="BO432" s="778">
        <f t="shared" ca="1" si="447"/>
        <v>0</v>
      </c>
      <c r="BP432" s="770">
        <f t="shared" ca="1" si="448"/>
        <v>0</v>
      </c>
      <c r="BQ432" s="771">
        <f t="shared" ca="1" si="449"/>
        <v>0</v>
      </c>
      <c r="BR432" s="771">
        <f t="shared" ca="1" si="450"/>
        <v>0</v>
      </c>
      <c r="BS432" s="776">
        <f t="shared" ca="1" si="511"/>
        <v>0</v>
      </c>
      <c r="BT432" s="776">
        <f t="shared" ca="1" si="451"/>
        <v>0</v>
      </c>
      <c r="BU432" s="783">
        <f t="shared" ca="1" si="452"/>
        <v>0</v>
      </c>
      <c r="BV432" s="783">
        <f t="shared" ca="1" si="453"/>
        <v>0</v>
      </c>
      <c r="BW432" s="1019">
        <f t="shared" ca="1" si="512"/>
        <v>0</v>
      </c>
      <c r="BX432" s="771" cm="1">
        <f t="array" aca="1" ref="BX432" ca="1">INDIRECT("'Definition of Typical Day'!"&amp; ADDRESS($D432+29*(BX$16-1),$E432))</f>
        <v>0</v>
      </c>
      <c r="BY432" s="771">
        <f t="shared" ca="1" si="513"/>
        <v>0</v>
      </c>
      <c r="BZ432" s="781">
        <f t="shared" ca="1" si="454"/>
        <v>0</v>
      </c>
      <c r="CA432" s="781">
        <f t="shared" ca="1" si="455"/>
        <v>0</v>
      </c>
      <c r="CB432" s="776">
        <f t="shared" ca="1" si="456"/>
        <v>0</v>
      </c>
      <c r="CC432" s="782">
        <f t="shared" si="457"/>
        <v>18</v>
      </c>
      <c r="CD432" s="782">
        <f t="shared" si="458"/>
        <v>4</v>
      </c>
      <c r="CE432" s="784" cm="1">
        <f t="array" aca="1" ref="CE432" ca="1">INDIRECT("'Definition of Typical Day'!"&amp;ADDRESS(CE$16,$E432))</f>
        <v>18</v>
      </c>
      <c r="CF432" s="232"/>
      <c r="CG432" s="232"/>
      <c r="CH432" s="776">
        <f t="shared" ca="1" si="459"/>
        <v>0</v>
      </c>
      <c r="CI432" s="806">
        <f t="shared" ca="1" si="460"/>
        <v>0</v>
      </c>
      <c r="CJ432" s="770">
        <f t="shared" ca="1" si="461"/>
        <v>0</v>
      </c>
      <c r="CK432" s="771">
        <f t="shared" ca="1" si="462"/>
        <v>0</v>
      </c>
      <c r="CL432" s="771">
        <f t="shared" ca="1" si="463"/>
        <v>0</v>
      </c>
      <c r="CM432" s="772">
        <f t="shared" ca="1" si="464"/>
        <v>0</v>
      </c>
      <c r="CN432" s="135"/>
      <c r="CO432" s="770">
        <f t="shared" ca="1" si="514"/>
        <v>1.05</v>
      </c>
      <c r="CP432" s="771">
        <f t="shared" ca="1" si="465"/>
        <v>0.02</v>
      </c>
      <c r="CQ432" s="771">
        <f t="shared" ca="1" si="466"/>
        <v>-2.5000000000000001E-2</v>
      </c>
      <c r="CR432" s="771">
        <f t="shared" ca="1" si="467"/>
        <v>0.95</v>
      </c>
      <c r="CS432" s="771">
        <f t="shared" ca="1" si="468"/>
        <v>0.03</v>
      </c>
      <c r="CT432" s="772">
        <f t="shared" ca="1" si="469"/>
        <v>0.02</v>
      </c>
      <c r="CU432" s="135"/>
      <c r="CV432" s="135"/>
      <c r="CW432" s="135"/>
      <c r="CX432" s="135"/>
      <c r="CY432" s="135"/>
      <c r="CZ432" s="135"/>
      <c r="DA432" s="135"/>
      <c r="DB432" s="135"/>
      <c r="DC432" s="135"/>
      <c r="DD432" s="135"/>
      <c r="DE432" s="135"/>
      <c r="DF432" s="135"/>
      <c r="DG432" s="135"/>
      <c r="DH432" s="135"/>
      <c r="DI432" s="135"/>
      <c r="DJ432" s="135"/>
      <c r="DK432" s="135"/>
      <c r="DL432" s="135"/>
      <c r="DX432" s="135"/>
      <c r="DY432" s="135"/>
      <c r="DZ432" s="135"/>
      <c r="EA432" s="135"/>
      <c r="EB432" s="135"/>
      <c r="EC432" s="135"/>
      <c r="ED432" s="135"/>
      <c r="EE432" s="135"/>
      <c r="EF432" s="135"/>
      <c r="EG432" s="135"/>
      <c r="EH432" s="135"/>
      <c r="EI432" s="135"/>
      <c r="EJ432" s="135"/>
      <c r="EK432" s="135"/>
      <c r="EL432" s="135"/>
      <c r="EM432" s="135"/>
      <c r="EN432" s="135"/>
      <c r="EO432" s="135"/>
      <c r="EP432" s="135"/>
      <c r="EQ432" s="135"/>
      <c r="ER432" s="135"/>
      <c r="ES432" s="135"/>
      <c r="ET432" s="135"/>
      <c r="EU432" s="135"/>
      <c r="EV432" s="135"/>
      <c r="EW432" s="135"/>
      <c r="EX432" s="135"/>
      <c r="EY432" s="135"/>
      <c r="EZ432" s="135"/>
      <c r="FA432" s="135"/>
      <c r="FB432" s="135"/>
      <c r="FC432" s="135"/>
      <c r="FD432" s="135"/>
      <c r="FE432" s="135"/>
      <c r="FF432" s="135"/>
      <c r="FG432" s="135"/>
    </row>
    <row r="433" spans="1:163" s="57" customFormat="1" ht="11.25" outlineLevel="1">
      <c r="A433" s="765">
        <f t="shared" si="515"/>
        <v>18</v>
      </c>
      <c r="B433" s="715" cm="1">
        <f t="array" aca="1" ref="B433" ca="1">INDIRECT("'Definition of Typical Day'!"&amp;ADDRESS(B$16,$E433))</f>
        <v>18</v>
      </c>
      <c r="C433" s="766">
        <f t="shared" si="516"/>
        <v>5</v>
      </c>
      <c r="D433" s="715">
        <f t="shared" si="516"/>
        <v>39</v>
      </c>
      <c r="E433" s="715">
        <f t="shared" si="444"/>
        <v>22</v>
      </c>
      <c r="F433" s="767" cm="1">
        <f t="array" aca="1" ref="F433" ca="1">INDIRECT("'Definition of Typical Day'!D"&amp;D433)</f>
        <v>5</v>
      </c>
      <c r="G433" s="767" cm="1">
        <f t="array" aca="1" ref="G433" ca="1">INDIRECT("'Definition of Typical Day'!"&amp;ADDRESS(13,E433))</f>
        <v>18</v>
      </c>
      <c r="H433" s="768" cm="1">
        <f t="array" aca="1" ref="H433" ca="1">INDIRECT("'Definition of Typical Day'!"&amp; ADDRESS($D433+28*(H$16-1),$E433))</f>
        <v>0</v>
      </c>
      <c r="I433" s="715" cm="1">
        <f t="array" aca="1" ref="I433" ca="1">INDIRECT("'Definition of Typical Day'!"&amp; ADDRESS($D433+29*(I$16-1),$E433))</f>
        <v>0</v>
      </c>
      <c r="J433" s="715">
        <f t="shared" ca="1" si="470"/>
        <v>0</v>
      </c>
      <c r="K433" s="785">
        <f t="shared" si="471"/>
        <v>28</v>
      </c>
      <c r="L433" s="786" cm="1">
        <f t="array" aca="1" ref="L433" ca="1">INDIRECT("'Definition of Typical Day'!"&amp; ADDRESS($D433+29*(L$16-1),$E433))</f>
        <v>0</v>
      </c>
      <c r="M433" s="768" cm="1">
        <f t="array" aca="1" ref="M433" ca="1">INDIRECT("'Definition of Typical Day'!"&amp; ADDRESS($D433+29*(M$16-1),$E433))</f>
        <v>0</v>
      </c>
      <c r="N433" s="715">
        <f t="shared" si="472"/>
        <v>3</v>
      </c>
      <c r="O433" s="715">
        <f t="shared" ca="1" si="473"/>
        <v>3</v>
      </c>
      <c r="P433" s="715" cm="1">
        <f t="array" aca="1" ref="P433" ca="1">INDIRECT("'Definition of Typical Day'!"&amp; ADDRESS($D433+29*(P$16-1),$E433))</f>
        <v>0</v>
      </c>
      <c r="Q433" s="787">
        <f t="shared" ca="1" si="474"/>
        <v>3</v>
      </c>
      <c r="R433" s="792">
        <f t="shared" ca="1" si="475"/>
        <v>3</v>
      </c>
      <c r="S433" s="769">
        <f t="shared" si="476"/>
        <v>3</v>
      </c>
      <c r="T433" s="769">
        <f t="shared" ca="1" si="477"/>
        <v>-0.5</v>
      </c>
      <c r="U433" s="769">
        <f t="shared" ca="1" si="478"/>
        <v>2.262</v>
      </c>
      <c r="V433" s="769">
        <f t="shared" ca="1" si="479"/>
        <v>0</v>
      </c>
      <c r="W433" s="769">
        <f t="shared" ca="1" si="480"/>
        <v>4.7620000000000005</v>
      </c>
      <c r="X433" s="794">
        <f t="shared" si="481"/>
        <v>3</v>
      </c>
      <c r="Y433" s="769">
        <f t="shared" ca="1" si="482"/>
        <v>0.54772255750516607</v>
      </c>
      <c r="Z433" s="769">
        <f t="shared" ca="1" si="483"/>
        <v>0</v>
      </c>
      <c r="AA433" s="795">
        <f t="shared" ca="1" si="484"/>
        <v>0</v>
      </c>
      <c r="AB433" s="769">
        <f t="shared" ca="1" si="485"/>
        <v>0</v>
      </c>
      <c r="AC433" s="769">
        <f t="shared" ca="1" si="486"/>
        <v>0</v>
      </c>
      <c r="AD433" s="769">
        <f t="shared" ca="1" si="487"/>
        <v>0</v>
      </c>
      <c r="AE433" s="794">
        <f t="shared" ca="1" si="488"/>
        <v>0</v>
      </c>
      <c r="AF433" s="769">
        <f t="shared" ca="1" si="489"/>
        <v>0</v>
      </c>
      <c r="AG433" s="769">
        <f t="shared" ca="1" si="490"/>
        <v>0</v>
      </c>
      <c r="AH433" s="799">
        <f t="shared" ca="1" si="491"/>
        <v>0</v>
      </c>
      <c r="AI433" s="801">
        <f t="shared" ca="1" si="492"/>
        <v>1</v>
      </c>
      <c r="AJ433" s="794">
        <f t="shared" ca="1" si="493"/>
        <v>0</v>
      </c>
      <c r="AK433" s="769">
        <f t="shared" ca="1" si="494"/>
        <v>0</v>
      </c>
      <c r="AL433" s="769">
        <f t="shared" ca="1" si="495"/>
        <v>0</v>
      </c>
      <c r="AM433" s="804">
        <f t="shared" ca="1" si="445"/>
        <v>0</v>
      </c>
      <c r="AN433" s="795">
        <f t="shared" ca="1" si="446"/>
        <v>0</v>
      </c>
      <c r="AO433" s="251"/>
      <c r="AP433" s="770">
        <f t="shared" si="496"/>
        <v>0</v>
      </c>
      <c r="AQ433" s="771">
        <f t="shared" ca="1" si="497"/>
        <v>0</v>
      </c>
      <c r="AR433" s="771">
        <f t="shared" ca="1" si="498"/>
        <v>0</v>
      </c>
      <c r="AS433" s="772">
        <f t="shared" ca="1" si="499"/>
        <v>0</v>
      </c>
      <c r="AT433" s="231"/>
      <c r="AU433" s="770">
        <f>'Main Results - IRR DC Operator'!$F$16</f>
        <v>2</v>
      </c>
      <c r="AV433" s="773">
        <f>'Main Results - IRR DC Operator'!$F$15</f>
        <v>1</v>
      </c>
      <c r="AW433" s="771">
        <f t="shared" ca="1" si="500"/>
        <v>0</v>
      </c>
      <c r="AX433" s="772">
        <f t="shared" si="501"/>
        <v>0</v>
      </c>
      <c r="AY433" s="231"/>
      <c r="AZ433" s="770" cm="1">
        <f t="array" aca="1" ref="AZ433" ca="1">INDIRECT("'Definition of Typical Day'!"&amp; ADDRESS($D433+29*(AZ$16-1),$E433))+$AZ$17</f>
        <v>11</v>
      </c>
      <c r="BA433" s="771" cm="1">
        <f t="array" aca="1" ref="BA433" ca="1">INDIRECT("'Definition of Typical Day'!"&amp; ADDRESS($D433+29*(BA$16-1),$E433))+$BA$17</f>
        <v>11</v>
      </c>
      <c r="BB433" s="772" cm="1">
        <f t="array" aca="1" ref="BB433" ca="1">INDIRECT("'Definition of Typical Day'!"&amp;ADDRESS(BB$16,$E433))</f>
        <v>0</v>
      </c>
      <c r="BC433" s="776" cm="1">
        <f t="array" aca="1" ref="BC433" ca="1">INDIRECT("'Definition of Typical Day'!"&amp; ADDRESS($D433+29*(BC$16-1),$E433))</f>
        <v>0</v>
      </c>
      <c r="BD433" s="777" cm="1">
        <f t="array" aca="1" ref="BD433" ca="1">INDIRECT("'Definition of Typical Day'!"&amp; ADDRESS($D433+29*(BD$16-1),$E433))</f>
        <v>0</v>
      </c>
      <c r="BE433" s="776">
        <f t="shared" si="502"/>
        <v>0</v>
      </c>
      <c r="BF433" s="771">
        <f t="shared" ca="1" si="503"/>
        <v>0</v>
      </c>
      <c r="BG433" s="771">
        <f t="shared" ca="1" si="504"/>
        <v>0</v>
      </c>
      <c r="BH433" s="771">
        <f t="shared" ca="1" si="505"/>
        <v>0</v>
      </c>
      <c r="BI433" s="776">
        <f t="shared" ca="1" si="506"/>
        <v>0</v>
      </c>
      <c r="BJ433" s="776">
        <f t="shared" ca="1" si="507"/>
        <v>0</v>
      </c>
      <c r="BK433" s="776">
        <f t="shared" ca="1" si="508"/>
        <v>0</v>
      </c>
      <c r="BL433" s="776">
        <f t="shared" ca="1" si="509"/>
        <v>0</v>
      </c>
      <c r="BM433" s="135"/>
      <c r="BN433" s="776">
        <f t="shared" ca="1" si="510"/>
        <v>0</v>
      </c>
      <c r="BO433" s="778">
        <f t="shared" ca="1" si="447"/>
        <v>0</v>
      </c>
      <c r="BP433" s="770">
        <f t="shared" ca="1" si="448"/>
        <v>0</v>
      </c>
      <c r="BQ433" s="771">
        <f t="shared" ca="1" si="449"/>
        <v>0</v>
      </c>
      <c r="BR433" s="771">
        <f t="shared" ca="1" si="450"/>
        <v>0</v>
      </c>
      <c r="BS433" s="776">
        <f t="shared" ca="1" si="511"/>
        <v>0</v>
      </c>
      <c r="BT433" s="776">
        <f t="shared" ca="1" si="451"/>
        <v>0</v>
      </c>
      <c r="BU433" s="783">
        <f t="shared" ca="1" si="452"/>
        <v>0</v>
      </c>
      <c r="BV433" s="783">
        <f t="shared" ca="1" si="453"/>
        <v>0</v>
      </c>
      <c r="BW433" s="1019">
        <f t="shared" ca="1" si="512"/>
        <v>0</v>
      </c>
      <c r="BX433" s="771" cm="1">
        <f t="array" aca="1" ref="BX433" ca="1">INDIRECT("'Definition of Typical Day'!"&amp; ADDRESS($D433+29*(BX$16-1),$E433))</f>
        <v>0</v>
      </c>
      <c r="BY433" s="771">
        <f t="shared" ca="1" si="513"/>
        <v>0</v>
      </c>
      <c r="BZ433" s="781">
        <f t="shared" ca="1" si="454"/>
        <v>0</v>
      </c>
      <c r="CA433" s="781">
        <f t="shared" ca="1" si="455"/>
        <v>0</v>
      </c>
      <c r="CB433" s="776">
        <f t="shared" ca="1" si="456"/>
        <v>0</v>
      </c>
      <c r="CC433" s="782">
        <f t="shared" si="457"/>
        <v>18</v>
      </c>
      <c r="CD433" s="782">
        <f t="shared" si="458"/>
        <v>5</v>
      </c>
      <c r="CE433" s="784" cm="1">
        <f t="array" aca="1" ref="CE433" ca="1">INDIRECT("'Definition of Typical Day'!"&amp;ADDRESS(CE$16,$E433))</f>
        <v>18</v>
      </c>
      <c r="CF433" s="232"/>
      <c r="CG433" s="232"/>
      <c r="CH433" s="776">
        <f t="shared" ca="1" si="459"/>
        <v>0</v>
      </c>
      <c r="CI433" s="806">
        <f t="shared" ca="1" si="460"/>
        <v>0</v>
      </c>
      <c r="CJ433" s="770">
        <f t="shared" ca="1" si="461"/>
        <v>0</v>
      </c>
      <c r="CK433" s="771">
        <f t="shared" ca="1" si="462"/>
        <v>0</v>
      </c>
      <c r="CL433" s="771">
        <f t="shared" ca="1" si="463"/>
        <v>0</v>
      </c>
      <c r="CM433" s="772">
        <f t="shared" ca="1" si="464"/>
        <v>0</v>
      </c>
      <c r="CN433" s="135"/>
      <c r="CO433" s="770">
        <f t="shared" ca="1" si="514"/>
        <v>1.05</v>
      </c>
      <c r="CP433" s="771">
        <f t="shared" ca="1" si="465"/>
        <v>0.02</v>
      </c>
      <c r="CQ433" s="771">
        <f t="shared" ca="1" si="466"/>
        <v>-2.5000000000000001E-2</v>
      </c>
      <c r="CR433" s="771">
        <f t="shared" ca="1" si="467"/>
        <v>0.95</v>
      </c>
      <c r="CS433" s="771">
        <f t="shared" ca="1" si="468"/>
        <v>0.03</v>
      </c>
      <c r="CT433" s="772">
        <f t="shared" ca="1" si="469"/>
        <v>0.02</v>
      </c>
      <c r="CU433" s="135"/>
      <c r="CV433" s="135"/>
      <c r="CW433" s="135"/>
      <c r="CX433" s="135"/>
      <c r="CY433" s="135"/>
      <c r="CZ433" s="135"/>
      <c r="DA433" s="135"/>
      <c r="DB433" s="135"/>
      <c r="DC433" s="135"/>
      <c r="DD433" s="135"/>
      <c r="DE433" s="135"/>
      <c r="DF433" s="135"/>
      <c r="DG433" s="135"/>
      <c r="DH433" s="135"/>
      <c r="DI433" s="135"/>
      <c r="DJ433" s="135"/>
      <c r="DK433" s="135"/>
      <c r="DL433" s="135"/>
      <c r="DX433" s="135"/>
      <c r="DY433" s="135"/>
      <c r="DZ433" s="135"/>
      <c r="EA433" s="135"/>
      <c r="EB433" s="135"/>
      <c r="EC433" s="135"/>
      <c r="ED433" s="135"/>
      <c r="EE433" s="135"/>
      <c r="EF433" s="135"/>
      <c r="EG433" s="135"/>
      <c r="EH433" s="135"/>
      <c r="EI433" s="135"/>
      <c r="EJ433" s="135"/>
      <c r="EK433" s="135"/>
      <c r="EL433" s="135"/>
      <c r="EM433" s="135"/>
      <c r="EN433" s="135"/>
      <c r="EO433" s="135"/>
      <c r="EP433" s="135"/>
      <c r="EQ433" s="135"/>
      <c r="ER433" s="135"/>
      <c r="ES433" s="135"/>
      <c r="ET433" s="135"/>
      <c r="EU433" s="135"/>
      <c r="EV433" s="135"/>
      <c r="EW433" s="135"/>
      <c r="EX433" s="135"/>
      <c r="EY433" s="135"/>
      <c r="EZ433" s="135"/>
      <c r="FA433" s="135"/>
      <c r="FB433" s="135"/>
      <c r="FC433" s="135"/>
      <c r="FD433" s="135"/>
      <c r="FE433" s="135"/>
      <c r="FF433" s="135"/>
      <c r="FG433" s="135"/>
    </row>
    <row r="434" spans="1:163" s="57" customFormat="1" ht="11.25" outlineLevel="1">
      <c r="A434" s="765">
        <f t="shared" si="515"/>
        <v>18</v>
      </c>
      <c r="B434" s="715" cm="1">
        <f t="array" aca="1" ref="B434" ca="1">INDIRECT("'Definition of Typical Day'!"&amp;ADDRESS(B$16,$E434))</f>
        <v>18</v>
      </c>
      <c r="C434" s="766">
        <f t="shared" si="516"/>
        <v>6</v>
      </c>
      <c r="D434" s="715">
        <f t="shared" si="516"/>
        <v>40</v>
      </c>
      <c r="E434" s="715">
        <f t="shared" si="444"/>
        <v>22</v>
      </c>
      <c r="F434" s="767" cm="1">
        <f t="array" aca="1" ref="F434" ca="1">INDIRECT("'Definition of Typical Day'!D"&amp;D434)</f>
        <v>6</v>
      </c>
      <c r="G434" s="767" cm="1">
        <f t="array" aca="1" ref="G434" ca="1">INDIRECT("'Definition of Typical Day'!"&amp;ADDRESS(13,E434))</f>
        <v>18</v>
      </c>
      <c r="H434" s="768" cm="1">
        <f t="array" aca="1" ref="H434" ca="1">INDIRECT("'Definition of Typical Day'!"&amp; ADDRESS($D434+28*(H$16-1),$E434))</f>
        <v>0</v>
      </c>
      <c r="I434" s="715" cm="1">
        <f t="array" aca="1" ref="I434" ca="1">INDIRECT("'Definition of Typical Day'!"&amp; ADDRESS($D434+29*(I$16-1),$E434))</f>
        <v>0</v>
      </c>
      <c r="J434" s="715">
        <f t="shared" ca="1" si="470"/>
        <v>0</v>
      </c>
      <c r="K434" s="785">
        <f t="shared" si="471"/>
        <v>28</v>
      </c>
      <c r="L434" s="786" cm="1">
        <f t="array" aca="1" ref="L434" ca="1">INDIRECT("'Definition of Typical Day'!"&amp; ADDRESS($D434+29*(L$16-1),$E434))</f>
        <v>0</v>
      </c>
      <c r="M434" s="768" cm="1">
        <f t="array" aca="1" ref="M434" ca="1">INDIRECT("'Definition of Typical Day'!"&amp; ADDRESS($D434+29*(M$16-1),$E434))</f>
        <v>0</v>
      </c>
      <c r="N434" s="715">
        <f t="shared" si="472"/>
        <v>3</v>
      </c>
      <c r="O434" s="715">
        <f t="shared" ca="1" si="473"/>
        <v>3</v>
      </c>
      <c r="P434" s="715" cm="1">
        <f t="array" aca="1" ref="P434" ca="1">INDIRECT("'Definition of Typical Day'!"&amp; ADDRESS($D434+29*(P$16-1),$E434))</f>
        <v>0</v>
      </c>
      <c r="Q434" s="787">
        <f t="shared" ca="1" si="474"/>
        <v>3</v>
      </c>
      <c r="R434" s="792">
        <f t="shared" ca="1" si="475"/>
        <v>3</v>
      </c>
      <c r="S434" s="769">
        <f t="shared" si="476"/>
        <v>3</v>
      </c>
      <c r="T434" s="769">
        <f t="shared" ca="1" si="477"/>
        <v>-0.5</v>
      </c>
      <c r="U434" s="769">
        <f t="shared" ca="1" si="478"/>
        <v>2.262</v>
      </c>
      <c r="V434" s="769">
        <f t="shared" ca="1" si="479"/>
        <v>0</v>
      </c>
      <c r="W434" s="769">
        <f t="shared" ca="1" si="480"/>
        <v>4.7620000000000005</v>
      </c>
      <c r="X434" s="794">
        <f t="shared" si="481"/>
        <v>3</v>
      </c>
      <c r="Y434" s="769">
        <f t="shared" ca="1" si="482"/>
        <v>0.54772255750516607</v>
      </c>
      <c r="Z434" s="769">
        <f t="shared" ca="1" si="483"/>
        <v>0</v>
      </c>
      <c r="AA434" s="795">
        <f t="shared" ca="1" si="484"/>
        <v>0</v>
      </c>
      <c r="AB434" s="769">
        <f t="shared" ca="1" si="485"/>
        <v>0</v>
      </c>
      <c r="AC434" s="769">
        <f t="shared" ca="1" si="486"/>
        <v>0</v>
      </c>
      <c r="AD434" s="769">
        <f t="shared" ca="1" si="487"/>
        <v>0</v>
      </c>
      <c r="AE434" s="794">
        <f t="shared" ca="1" si="488"/>
        <v>0</v>
      </c>
      <c r="AF434" s="769">
        <f t="shared" ca="1" si="489"/>
        <v>0</v>
      </c>
      <c r="AG434" s="769">
        <f t="shared" ca="1" si="490"/>
        <v>0</v>
      </c>
      <c r="AH434" s="799">
        <f t="shared" ca="1" si="491"/>
        <v>0</v>
      </c>
      <c r="AI434" s="801">
        <f t="shared" ca="1" si="492"/>
        <v>1</v>
      </c>
      <c r="AJ434" s="794">
        <f t="shared" ca="1" si="493"/>
        <v>0</v>
      </c>
      <c r="AK434" s="769">
        <f t="shared" ca="1" si="494"/>
        <v>0</v>
      </c>
      <c r="AL434" s="769">
        <f t="shared" ca="1" si="495"/>
        <v>0</v>
      </c>
      <c r="AM434" s="804">
        <f t="shared" ca="1" si="445"/>
        <v>0</v>
      </c>
      <c r="AN434" s="795">
        <f t="shared" ca="1" si="446"/>
        <v>0</v>
      </c>
      <c r="AO434" s="251"/>
      <c r="AP434" s="770">
        <f t="shared" si="496"/>
        <v>0</v>
      </c>
      <c r="AQ434" s="771">
        <f t="shared" ca="1" si="497"/>
        <v>0</v>
      </c>
      <c r="AR434" s="771">
        <f t="shared" ca="1" si="498"/>
        <v>0</v>
      </c>
      <c r="AS434" s="772">
        <f t="shared" ca="1" si="499"/>
        <v>0</v>
      </c>
      <c r="AT434" s="231"/>
      <c r="AU434" s="770">
        <f>'Main Results - IRR DC Operator'!$F$16</f>
        <v>2</v>
      </c>
      <c r="AV434" s="773">
        <f>'Main Results - IRR DC Operator'!$F$15</f>
        <v>1</v>
      </c>
      <c r="AW434" s="771">
        <f t="shared" ca="1" si="500"/>
        <v>0</v>
      </c>
      <c r="AX434" s="772">
        <f t="shared" si="501"/>
        <v>0</v>
      </c>
      <c r="AY434" s="231"/>
      <c r="AZ434" s="770" cm="1">
        <f t="array" aca="1" ref="AZ434" ca="1">INDIRECT("'Definition of Typical Day'!"&amp; ADDRESS($D434+29*(AZ$16-1),$E434))+$AZ$17</f>
        <v>11</v>
      </c>
      <c r="BA434" s="771" cm="1">
        <f t="array" aca="1" ref="BA434" ca="1">INDIRECT("'Definition of Typical Day'!"&amp; ADDRESS($D434+29*(BA$16-1),$E434))+$BA$17</f>
        <v>11</v>
      </c>
      <c r="BB434" s="772" cm="1">
        <f t="array" aca="1" ref="BB434" ca="1">INDIRECT("'Definition of Typical Day'!"&amp;ADDRESS(BB$16,$E434))</f>
        <v>0</v>
      </c>
      <c r="BC434" s="776" cm="1">
        <f t="array" aca="1" ref="BC434" ca="1">INDIRECT("'Definition of Typical Day'!"&amp; ADDRESS($D434+29*(BC$16-1),$E434))</f>
        <v>0</v>
      </c>
      <c r="BD434" s="777" cm="1">
        <f t="array" aca="1" ref="BD434" ca="1">INDIRECT("'Definition of Typical Day'!"&amp; ADDRESS($D434+29*(BD$16-1),$E434))</f>
        <v>0</v>
      </c>
      <c r="BE434" s="776">
        <f t="shared" si="502"/>
        <v>0</v>
      </c>
      <c r="BF434" s="771">
        <f t="shared" ca="1" si="503"/>
        <v>0</v>
      </c>
      <c r="BG434" s="771">
        <f t="shared" ca="1" si="504"/>
        <v>0</v>
      </c>
      <c r="BH434" s="771">
        <f t="shared" ca="1" si="505"/>
        <v>0</v>
      </c>
      <c r="BI434" s="776">
        <f t="shared" ca="1" si="506"/>
        <v>0</v>
      </c>
      <c r="BJ434" s="776">
        <f t="shared" ca="1" si="507"/>
        <v>0</v>
      </c>
      <c r="BK434" s="776">
        <f t="shared" ca="1" si="508"/>
        <v>0</v>
      </c>
      <c r="BL434" s="776">
        <f t="shared" ca="1" si="509"/>
        <v>0</v>
      </c>
      <c r="BM434" s="135"/>
      <c r="BN434" s="776">
        <f t="shared" ca="1" si="510"/>
        <v>0</v>
      </c>
      <c r="BO434" s="778">
        <f t="shared" ca="1" si="447"/>
        <v>0</v>
      </c>
      <c r="BP434" s="770">
        <f t="shared" ca="1" si="448"/>
        <v>0</v>
      </c>
      <c r="BQ434" s="771">
        <f t="shared" ca="1" si="449"/>
        <v>0</v>
      </c>
      <c r="BR434" s="771">
        <f t="shared" ca="1" si="450"/>
        <v>0</v>
      </c>
      <c r="BS434" s="776">
        <f t="shared" ca="1" si="511"/>
        <v>0</v>
      </c>
      <c r="BT434" s="776">
        <f t="shared" ca="1" si="451"/>
        <v>0</v>
      </c>
      <c r="BU434" s="783">
        <f t="shared" ca="1" si="452"/>
        <v>0</v>
      </c>
      <c r="BV434" s="783">
        <f t="shared" ca="1" si="453"/>
        <v>0</v>
      </c>
      <c r="BW434" s="1019">
        <f t="shared" ca="1" si="512"/>
        <v>0</v>
      </c>
      <c r="BX434" s="771" cm="1">
        <f t="array" aca="1" ref="BX434" ca="1">INDIRECT("'Definition of Typical Day'!"&amp; ADDRESS($D434+29*(BX$16-1),$E434))</f>
        <v>0</v>
      </c>
      <c r="BY434" s="771">
        <f t="shared" ca="1" si="513"/>
        <v>0</v>
      </c>
      <c r="BZ434" s="781">
        <f t="shared" ca="1" si="454"/>
        <v>0</v>
      </c>
      <c r="CA434" s="781">
        <f t="shared" ca="1" si="455"/>
        <v>0</v>
      </c>
      <c r="CB434" s="776">
        <f t="shared" ca="1" si="456"/>
        <v>0</v>
      </c>
      <c r="CC434" s="782">
        <f t="shared" si="457"/>
        <v>18</v>
      </c>
      <c r="CD434" s="782">
        <f t="shared" si="458"/>
        <v>6</v>
      </c>
      <c r="CE434" s="784" cm="1">
        <f t="array" aca="1" ref="CE434" ca="1">INDIRECT("'Definition of Typical Day'!"&amp;ADDRESS(CE$16,$E434))</f>
        <v>18</v>
      </c>
      <c r="CF434" s="232"/>
      <c r="CG434" s="232"/>
      <c r="CH434" s="776">
        <f t="shared" ca="1" si="459"/>
        <v>0</v>
      </c>
      <c r="CI434" s="806">
        <f t="shared" ca="1" si="460"/>
        <v>0</v>
      </c>
      <c r="CJ434" s="770">
        <f t="shared" ca="1" si="461"/>
        <v>0</v>
      </c>
      <c r="CK434" s="771">
        <f t="shared" ca="1" si="462"/>
        <v>0</v>
      </c>
      <c r="CL434" s="771">
        <f t="shared" ca="1" si="463"/>
        <v>0</v>
      </c>
      <c r="CM434" s="772">
        <f t="shared" ca="1" si="464"/>
        <v>0</v>
      </c>
      <c r="CN434" s="135"/>
      <c r="CO434" s="770">
        <f t="shared" ca="1" si="514"/>
        <v>1.05</v>
      </c>
      <c r="CP434" s="771">
        <f t="shared" ca="1" si="465"/>
        <v>0.02</v>
      </c>
      <c r="CQ434" s="771">
        <f t="shared" ca="1" si="466"/>
        <v>-2.5000000000000001E-2</v>
      </c>
      <c r="CR434" s="771">
        <f t="shared" ca="1" si="467"/>
        <v>0.95</v>
      </c>
      <c r="CS434" s="771">
        <f t="shared" ca="1" si="468"/>
        <v>0.03</v>
      </c>
      <c r="CT434" s="772">
        <f t="shared" ca="1" si="469"/>
        <v>0.02</v>
      </c>
      <c r="CU434" s="135"/>
      <c r="CV434" s="135"/>
      <c r="CW434" s="135"/>
      <c r="CX434" s="135"/>
      <c r="CY434" s="135"/>
      <c r="CZ434" s="135"/>
      <c r="DA434" s="135"/>
      <c r="DB434" s="135"/>
      <c r="DC434" s="135"/>
      <c r="DD434" s="135"/>
      <c r="DE434" s="135"/>
      <c r="DF434" s="135"/>
      <c r="DG434" s="135"/>
      <c r="DH434" s="135"/>
      <c r="DI434" s="135"/>
      <c r="DJ434" s="135"/>
      <c r="DK434" s="135"/>
      <c r="DL434" s="135"/>
      <c r="DX434" s="135"/>
      <c r="DY434" s="135"/>
      <c r="DZ434" s="135"/>
      <c r="EA434" s="135"/>
      <c r="EB434" s="135"/>
      <c r="EC434" s="135"/>
      <c r="ED434" s="135"/>
      <c r="EE434" s="135"/>
      <c r="EF434" s="135"/>
      <c r="EG434" s="135"/>
      <c r="EH434" s="135"/>
      <c r="EI434" s="135"/>
      <c r="EJ434" s="135"/>
      <c r="EK434" s="135"/>
      <c r="EL434" s="135"/>
      <c r="EM434" s="135"/>
      <c r="EN434" s="135"/>
      <c r="EO434" s="135"/>
      <c r="EP434" s="135"/>
      <c r="EQ434" s="135"/>
      <c r="ER434" s="135"/>
      <c r="ES434" s="135"/>
      <c r="ET434" s="135"/>
      <c r="EU434" s="135"/>
      <c r="EV434" s="135"/>
      <c r="EW434" s="135"/>
      <c r="EX434" s="135"/>
      <c r="EY434" s="135"/>
      <c r="EZ434" s="135"/>
      <c r="FA434" s="135"/>
      <c r="FB434" s="135"/>
      <c r="FC434" s="135"/>
      <c r="FD434" s="135"/>
      <c r="FE434" s="135"/>
      <c r="FF434" s="135"/>
      <c r="FG434" s="135"/>
    </row>
    <row r="435" spans="1:163" s="57" customFormat="1" ht="11.25" outlineLevel="1">
      <c r="A435" s="765">
        <f t="shared" si="515"/>
        <v>18</v>
      </c>
      <c r="B435" s="715" cm="1">
        <f t="array" aca="1" ref="B435" ca="1">INDIRECT("'Definition of Typical Day'!"&amp;ADDRESS(B$16,$E435))</f>
        <v>18</v>
      </c>
      <c r="C435" s="766">
        <f t="shared" si="516"/>
        <v>7</v>
      </c>
      <c r="D435" s="715">
        <f t="shared" si="516"/>
        <v>41</v>
      </c>
      <c r="E435" s="715">
        <f t="shared" si="444"/>
        <v>22</v>
      </c>
      <c r="F435" s="767" cm="1">
        <f t="array" aca="1" ref="F435" ca="1">INDIRECT("'Definition of Typical Day'!D"&amp;D435)</f>
        <v>7</v>
      </c>
      <c r="G435" s="767" cm="1">
        <f t="array" aca="1" ref="G435" ca="1">INDIRECT("'Definition of Typical Day'!"&amp;ADDRESS(13,E435))</f>
        <v>18</v>
      </c>
      <c r="H435" s="768" cm="1">
        <f t="array" aca="1" ref="H435" ca="1">INDIRECT("'Definition of Typical Day'!"&amp; ADDRESS($D435+28*(H$16-1),$E435))</f>
        <v>0</v>
      </c>
      <c r="I435" s="715" cm="1">
        <f t="array" aca="1" ref="I435" ca="1">INDIRECT("'Definition of Typical Day'!"&amp; ADDRESS($D435+29*(I$16-1),$E435))</f>
        <v>0</v>
      </c>
      <c r="J435" s="715">
        <f t="shared" ca="1" si="470"/>
        <v>0</v>
      </c>
      <c r="K435" s="785">
        <f t="shared" si="471"/>
        <v>28</v>
      </c>
      <c r="L435" s="786" cm="1">
        <f t="array" aca="1" ref="L435" ca="1">INDIRECT("'Definition of Typical Day'!"&amp; ADDRESS($D435+29*(L$16-1),$E435))</f>
        <v>0</v>
      </c>
      <c r="M435" s="768" cm="1">
        <f t="array" aca="1" ref="M435" ca="1">INDIRECT("'Definition of Typical Day'!"&amp; ADDRESS($D435+29*(M$16-1),$E435))</f>
        <v>0</v>
      </c>
      <c r="N435" s="715">
        <f t="shared" si="472"/>
        <v>3</v>
      </c>
      <c r="O435" s="715">
        <f t="shared" ca="1" si="473"/>
        <v>3</v>
      </c>
      <c r="P435" s="715" cm="1">
        <f t="array" aca="1" ref="P435" ca="1">INDIRECT("'Definition of Typical Day'!"&amp; ADDRESS($D435+29*(P$16-1),$E435))</f>
        <v>0</v>
      </c>
      <c r="Q435" s="787">
        <f t="shared" ca="1" si="474"/>
        <v>3</v>
      </c>
      <c r="R435" s="792">
        <f t="shared" ca="1" si="475"/>
        <v>3</v>
      </c>
      <c r="S435" s="769">
        <f t="shared" si="476"/>
        <v>3</v>
      </c>
      <c r="T435" s="769">
        <f t="shared" ca="1" si="477"/>
        <v>-0.5</v>
      </c>
      <c r="U435" s="769">
        <f t="shared" ca="1" si="478"/>
        <v>2.262</v>
      </c>
      <c r="V435" s="769">
        <f t="shared" ca="1" si="479"/>
        <v>0</v>
      </c>
      <c r="W435" s="769">
        <f t="shared" ca="1" si="480"/>
        <v>4.7620000000000005</v>
      </c>
      <c r="X435" s="794">
        <f t="shared" si="481"/>
        <v>3</v>
      </c>
      <c r="Y435" s="769">
        <f t="shared" ca="1" si="482"/>
        <v>0.54772255750516607</v>
      </c>
      <c r="Z435" s="769">
        <f t="shared" ca="1" si="483"/>
        <v>0</v>
      </c>
      <c r="AA435" s="795">
        <f t="shared" ca="1" si="484"/>
        <v>0</v>
      </c>
      <c r="AB435" s="769">
        <f t="shared" ca="1" si="485"/>
        <v>0</v>
      </c>
      <c r="AC435" s="769">
        <f t="shared" ca="1" si="486"/>
        <v>0</v>
      </c>
      <c r="AD435" s="769">
        <f t="shared" ca="1" si="487"/>
        <v>0</v>
      </c>
      <c r="AE435" s="794">
        <f t="shared" ca="1" si="488"/>
        <v>0</v>
      </c>
      <c r="AF435" s="769">
        <f t="shared" ca="1" si="489"/>
        <v>0</v>
      </c>
      <c r="AG435" s="769">
        <f t="shared" ca="1" si="490"/>
        <v>0</v>
      </c>
      <c r="AH435" s="799">
        <f t="shared" ca="1" si="491"/>
        <v>0</v>
      </c>
      <c r="AI435" s="801">
        <f t="shared" ca="1" si="492"/>
        <v>1</v>
      </c>
      <c r="AJ435" s="794">
        <f t="shared" ca="1" si="493"/>
        <v>0</v>
      </c>
      <c r="AK435" s="769">
        <f t="shared" ca="1" si="494"/>
        <v>0</v>
      </c>
      <c r="AL435" s="769">
        <f t="shared" ca="1" si="495"/>
        <v>0</v>
      </c>
      <c r="AM435" s="804">
        <f t="shared" ca="1" si="445"/>
        <v>0</v>
      </c>
      <c r="AN435" s="795">
        <f t="shared" ca="1" si="446"/>
        <v>0</v>
      </c>
      <c r="AO435" s="251"/>
      <c r="AP435" s="770">
        <f t="shared" si="496"/>
        <v>0</v>
      </c>
      <c r="AQ435" s="771">
        <f t="shared" ca="1" si="497"/>
        <v>0</v>
      </c>
      <c r="AR435" s="771">
        <f t="shared" ca="1" si="498"/>
        <v>0</v>
      </c>
      <c r="AS435" s="772">
        <f t="shared" ca="1" si="499"/>
        <v>0</v>
      </c>
      <c r="AT435" s="231"/>
      <c r="AU435" s="770">
        <f>'Main Results - IRR DC Operator'!$F$16</f>
        <v>2</v>
      </c>
      <c r="AV435" s="773">
        <f>'Main Results - IRR DC Operator'!$F$15</f>
        <v>1</v>
      </c>
      <c r="AW435" s="771">
        <f t="shared" ca="1" si="500"/>
        <v>0</v>
      </c>
      <c r="AX435" s="772">
        <f t="shared" si="501"/>
        <v>0</v>
      </c>
      <c r="AY435" s="231"/>
      <c r="AZ435" s="770" cm="1">
        <f t="array" aca="1" ref="AZ435" ca="1">INDIRECT("'Definition of Typical Day'!"&amp; ADDRESS($D435+29*(AZ$16-1),$E435))+$AZ$17</f>
        <v>11</v>
      </c>
      <c r="BA435" s="771" cm="1">
        <f t="array" aca="1" ref="BA435" ca="1">INDIRECT("'Definition of Typical Day'!"&amp; ADDRESS($D435+29*(BA$16-1),$E435))+$BA$17</f>
        <v>11</v>
      </c>
      <c r="BB435" s="772" cm="1">
        <f t="array" aca="1" ref="BB435" ca="1">INDIRECT("'Definition of Typical Day'!"&amp;ADDRESS(BB$16,$E435))</f>
        <v>0</v>
      </c>
      <c r="BC435" s="776" cm="1">
        <f t="array" aca="1" ref="BC435" ca="1">INDIRECT("'Definition of Typical Day'!"&amp; ADDRESS($D435+29*(BC$16-1),$E435))</f>
        <v>0</v>
      </c>
      <c r="BD435" s="777" cm="1">
        <f t="array" aca="1" ref="BD435" ca="1">INDIRECT("'Definition of Typical Day'!"&amp; ADDRESS($D435+29*(BD$16-1),$E435))</f>
        <v>0</v>
      </c>
      <c r="BE435" s="776">
        <f t="shared" si="502"/>
        <v>0</v>
      </c>
      <c r="BF435" s="771">
        <f t="shared" ca="1" si="503"/>
        <v>0</v>
      </c>
      <c r="BG435" s="771">
        <f t="shared" ca="1" si="504"/>
        <v>0</v>
      </c>
      <c r="BH435" s="771">
        <f t="shared" ca="1" si="505"/>
        <v>0</v>
      </c>
      <c r="BI435" s="776">
        <f t="shared" ca="1" si="506"/>
        <v>0</v>
      </c>
      <c r="BJ435" s="776">
        <f t="shared" ca="1" si="507"/>
        <v>0</v>
      </c>
      <c r="BK435" s="776">
        <f t="shared" ca="1" si="508"/>
        <v>0</v>
      </c>
      <c r="BL435" s="776">
        <f t="shared" ca="1" si="509"/>
        <v>0</v>
      </c>
      <c r="BM435" s="135"/>
      <c r="BN435" s="776">
        <f t="shared" ca="1" si="510"/>
        <v>0</v>
      </c>
      <c r="BO435" s="778">
        <f t="shared" ca="1" si="447"/>
        <v>0</v>
      </c>
      <c r="BP435" s="770">
        <f t="shared" ca="1" si="448"/>
        <v>0</v>
      </c>
      <c r="BQ435" s="771">
        <f t="shared" ca="1" si="449"/>
        <v>0</v>
      </c>
      <c r="BR435" s="771">
        <f t="shared" ca="1" si="450"/>
        <v>0</v>
      </c>
      <c r="BS435" s="776">
        <f t="shared" ca="1" si="511"/>
        <v>0</v>
      </c>
      <c r="BT435" s="776">
        <f t="shared" ca="1" si="451"/>
        <v>0</v>
      </c>
      <c r="BU435" s="783">
        <f t="shared" ca="1" si="452"/>
        <v>0</v>
      </c>
      <c r="BV435" s="783">
        <f t="shared" ca="1" si="453"/>
        <v>0</v>
      </c>
      <c r="BW435" s="1019">
        <f t="shared" ca="1" si="512"/>
        <v>0</v>
      </c>
      <c r="BX435" s="771" cm="1">
        <f t="array" aca="1" ref="BX435" ca="1">INDIRECT("'Definition of Typical Day'!"&amp; ADDRESS($D435+29*(BX$16-1),$E435))</f>
        <v>0</v>
      </c>
      <c r="BY435" s="771">
        <f t="shared" ca="1" si="513"/>
        <v>0</v>
      </c>
      <c r="BZ435" s="781">
        <f t="shared" ca="1" si="454"/>
        <v>0</v>
      </c>
      <c r="CA435" s="781">
        <f t="shared" ca="1" si="455"/>
        <v>0</v>
      </c>
      <c r="CB435" s="776">
        <f t="shared" ca="1" si="456"/>
        <v>0</v>
      </c>
      <c r="CC435" s="782">
        <f t="shared" si="457"/>
        <v>18</v>
      </c>
      <c r="CD435" s="782">
        <f t="shared" si="458"/>
        <v>7</v>
      </c>
      <c r="CE435" s="784" cm="1">
        <f t="array" aca="1" ref="CE435" ca="1">INDIRECT("'Definition of Typical Day'!"&amp;ADDRESS(CE$16,$E435))</f>
        <v>18</v>
      </c>
      <c r="CF435" s="232"/>
      <c r="CG435" s="232"/>
      <c r="CH435" s="776">
        <f t="shared" ca="1" si="459"/>
        <v>0</v>
      </c>
      <c r="CI435" s="806">
        <f t="shared" ca="1" si="460"/>
        <v>0</v>
      </c>
      <c r="CJ435" s="770">
        <f t="shared" ca="1" si="461"/>
        <v>0</v>
      </c>
      <c r="CK435" s="771">
        <f t="shared" ca="1" si="462"/>
        <v>0</v>
      </c>
      <c r="CL435" s="771">
        <f t="shared" ca="1" si="463"/>
        <v>0</v>
      </c>
      <c r="CM435" s="772">
        <f t="shared" ca="1" si="464"/>
        <v>0</v>
      </c>
      <c r="CN435" s="135"/>
      <c r="CO435" s="770">
        <f t="shared" ca="1" si="514"/>
        <v>1.05</v>
      </c>
      <c r="CP435" s="771">
        <f t="shared" ca="1" si="465"/>
        <v>0.02</v>
      </c>
      <c r="CQ435" s="771">
        <f t="shared" ca="1" si="466"/>
        <v>-2.5000000000000001E-2</v>
      </c>
      <c r="CR435" s="771">
        <f t="shared" ca="1" si="467"/>
        <v>0.95</v>
      </c>
      <c r="CS435" s="771">
        <f t="shared" ca="1" si="468"/>
        <v>0.03</v>
      </c>
      <c r="CT435" s="772">
        <f t="shared" ca="1" si="469"/>
        <v>0.02</v>
      </c>
      <c r="CU435" s="135"/>
      <c r="CV435" s="135"/>
      <c r="CW435" s="135"/>
      <c r="CX435" s="135"/>
      <c r="CY435" s="135"/>
      <c r="CZ435" s="135"/>
      <c r="DA435" s="135"/>
      <c r="DB435" s="135"/>
      <c r="DC435" s="135"/>
      <c r="DD435" s="135"/>
      <c r="DE435" s="135"/>
      <c r="DF435" s="135"/>
      <c r="DG435" s="135"/>
      <c r="DH435" s="135"/>
      <c r="DI435" s="135"/>
      <c r="DJ435" s="135"/>
      <c r="DK435" s="135"/>
      <c r="DL435" s="135"/>
      <c r="DX435" s="135"/>
      <c r="DY435" s="135"/>
      <c r="DZ435" s="135"/>
      <c r="EA435" s="135"/>
      <c r="EB435" s="135"/>
      <c r="EC435" s="135"/>
      <c r="ED435" s="135"/>
      <c r="EE435" s="135"/>
      <c r="EF435" s="135"/>
      <c r="EG435" s="135"/>
      <c r="EH435" s="135"/>
      <c r="EI435" s="135"/>
      <c r="EJ435" s="135"/>
      <c r="EK435" s="135"/>
      <c r="EL435" s="135"/>
      <c r="EM435" s="135"/>
      <c r="EN435" s="135"/>
      <c r="EO435" s="135"/>
      <c r="EP435" s="135"/>
      <c r="EQ435" s="135"/>
      <c r="ER435" s="135"/>
      <c r="ES435" s="135"/>
      <c r="ET435" s="135"/>
      <c r="EU435" s="135"/>
      <c r="EV435" s="135"/>
      <c r="EW435" s="135"/>
      <c r="EX435" s="135"/>
      <c r="EY435" s="135"/>
      <c r="EZ435" s="135"/>
      <c r="FA435" s="135"/>
      <c r="FB435" s="135"/>
      <c r="FC435" s="135"/>
      <c r="FD435" s="135"/>
      <c r="FE435" s="135"/>
      <c r="FF435" s="135"/>
      <c r="FG435" s="135"/>
    </row>
    <row r="436" spans="1:163" s="57" customFormat="1" ht="11.25" outlineLevel="1">
      <c r="A436" s="765">
        <f t="shared" si="515"/>
        <v>18</v>
      </c>
      <c r="B436" s="715" cm="1">
        <f t="array" aca="1" ref="B436" ca="1">INDIRECT("'Definition of Typical Day'!"&amp;ADDRESS(B$16,$E436))</f>
        <v>18</v>
      </c>
      <c r="C436" s="766">
        <f t="shared" si="516"/>
        <v>8</v>
      </c>
      <c r="D436" s="715">
        <f t="shared" si="516"/>
        <v>42</v>
      </c>
      <c r="E436" s="715">
        <f t="shared" si="444"/>
        <v>22</v>
      </c>
      <c r="F436" s="767" cm="1">
        <f t="array" aca="1" ref="F436" ca="1">INDIRECT("'Definition of Typical Day'!D"&amp;D436)</f>
        <v>8</v>
      </c>
      <c r="G436" s="767" cm="1">
        <f t="array" aca="1" ref="G436" ca="1">INDIRECT("'Definition of Typical Day'!"&amp;ADDRESS(13,E436))</f>
        <v>18</v>
      </c>
      <c r="H436" s="768" cm="1">
        <f t="array" aca="1" ref="H436" ca="1">INDIRECT("'Definition of Typical Day'!"&amp; ADDRESS($D436+28*(H$16-1),$E436))</f>
        <v>0</v>
      </c>
      <c r="I436" s="715" cm="1">
        <f t="array" aca="1" ref="I436" ca="1">INDIRECT("'Definition of Typical Day'!"&amp; ADDRESS($D436+29*(I$16-1),$E436))</f>
        <v>0</v>
      </c>
      <c r="J436" s="715">
        <f t="shared" ca="1" si="470"/>
        <v>0</v>
      </c>
      <c r="K436" s="785">
        <f t="shared" si="471"/>
        <v>28</v>
      </c>
      <c r="L436" s="786" cm="1">
        <f t="array" aca="1" ref="L436" ca="1">INDIRECT("'Definition of Typical Day'!"&amp; ADDRESS($D436+29*(L$16-1),$E436))</f>
        <v>0</v>
      </c>
      <c r="M436" s="768" cm="1">
        <f t="array" aca="1" ref="M436" ca="1">INDIRECT("'Definition of Typical Day'!"&amp; ADDRESS($D436+29*(M$16-1),$E436))</f>
        <v>0</v>
      </c>
      <c r="N436" s="715">
        <f t="shared" si="472"/>
        <v>3</v>
      </c>
      <c r="O436" s="715">
        <f t="shared" ca="1" si="473"/>
        <v>3</v>
      </c>
      <c r="P436" s="715" cm="1">
        <f t="array" aca="1" ref="P436" ca="1">INDIRECT("'Definition of Typical Day'!"&amp; ADDRESS($D436+29*(P$16-1),$E436))</f>
        <v>0</v>
      </c>
      <c r="Q436" s="787">
        <f t="shared" ca="1" si="474"/>
        <v>3</v>
      </c>
      <c r="R436" s="792">
        <f t="shared" ca="1" si="475"/>
        <v>3</v>
      </c>
      <c r="S436" s="769">
        <f t="shared" si="476"/>
        <v>3</v>
      </c>
      <c r="T436" s="769">
        <f t="shared" ca="1" si="477"/>
        <v>-0.5</v>
      </c>
      <c r="U436" s="769">
        <f t="shared" ca="1" si="478"/>
        <v>2.262</v>
      </c>
      <c r="V436" s="769">
        <f t="shared" ca="1" si="479"/>
        <v>0</v>
      </c>
      <c r="W436" s="769">
        <f t="shared" ca="1" si="480"/>
        <v>4.7620000000000005</v>
      </c>
      <c r="X436" s="794">
        <f t="shared" si="481"/>
        <v>3</v>
      </c>
      <c r="Y436" s="769">
        <f t="shared" ca="1" si="482"/>
        <v>0.54772255750516607</v>
      </c>
      <c r="Z436" s="769">
        <f t="shared" ca="1" si="483"/>
        <v>0</v>
      </c>
      <c r="AA436" s="795">
        <f t="shared" ca="1" si="484"/>
        <v>0</v>
      </c>
      <c r="AB436" s="769">
        <f t="shared" ca="1" si="485"/>
        <v>0</v>
      </c>
      <c r="AC436" s="769">
        <f t="shared" ca="1" si="486"/>
        <v>0</v>
      </c>
      <c r="AD436" s="769">
        <f t="shared" ca="1" si="487"/>
        <v>0</v>
      </c>
      <c r="AE436" s="794">
        <f t="shared" ca="1" si="488"/>
        <v>0</v>
      </c>
      <c r="AF436" s="769">
        <f t="shared" ca="1" si="489"/>
        <v>0</v>
      </c>
      <c r="AG436" s="769">
        <f t="shared" ca="1" si="490"/>
        <v>0</v>
      </c>
      <c r="AH436" s="799">
        <f t="shared" ca="1" si="491"/>
        <v>0</v>
      </c>
      <c r="AI436" s="801">
        <f t="shared" ca="1" si="492"/>
        <v>1</v>
      </c>
      <c r="AJ436" s="794">
        <f t="shared" ca="1" si="493"/>
        <v>0</v>
      </c>
      <c r="AK436" s="769">
        <f t="shared" ca="1" si="494"/>
        <v>0</v>
      </c>
      <c r="AL436" s="769">
        <f t="shared" ca="1" si="495"/>
        <v>0</v>
      </c>
      <c r="AM436" s="804">
        <f t="shared" ca="1" si="445"/>
        <v>0</v>
      </c>
      <c r="AN436" s="795">
        <f t="shared" ca="1" si="446"/>
        <v>0</v>
      </c>
      <c r="AO436" s="251"/>
      <c r="AP436" s="770">
        <f t="shared" si="496"/>
        <v>0</v>
      </c>
      <c r="AQ436" s="771">
        <f t="shared" ca="1" si="497"/>
        <v>0</v>
      </c>
      <c r="AR436" s="771">
        <f t="shared" ca="1" si="498"/>
        <v>0</v>
      </c>
      <c r="AS436" s="772">
        <f t="shared" ca="1" si="499"/>
        <v>0</v>
      </c>
      <c r="AT436" s="231"/>
      <c r="AU436" s="770">
        <f>'Main Results - IRR DC Operator'!$F$16</f>
        <v>2</v>
      </c>
      <c r="AV436" s="773">
        <f>'Main Results - IRR DC Operator'!$F$15</f>
        <v>1</v>
      </c>
      <c r="AW436" s="771">
        <f t="shared" ca="1" si="500"/>
        <v>0</v>
      </c>
      <c r="AX436" s="772">
        <f t="shared" si="501"/>
        <v>0</v>
      </c>
      <c r="AY436" s="231"/>
      <c r="AZ436" s="770" cm="1">
        <f t="array" aca="1" ref="AZ436" ca="1">INDIRECT("'Definition of Typical Day'!"&amp; ADDRESS($D436+29*(AZ$16-1),$E436))+$AZ$17</f>
        <v>11</v>
      </c>
      <c r="BA436" s="771" cm="1">
        <f t="array" aca="1" ref="BA436" ca="1">INDIRECT("'Definition of Typical Day'!"&amp; ADDRESS($D436+29*(BA$16-1),$E436))+$BA$17</f>
        <v>11</v>
      </c>
      <c r="BB436" s="772" cm="1">
        <f t="array" aca="1" ref="BB436" ca="1">INDIRECT("'Definition of Typical Day'!"&amp;ADDRESS(BB$16,$E436))</f>
        <v>0</v>
      </c>
      <c r="BC436" s="776" cm="1">
        <f t="array" aca="1" ref="BC436" ca="1">INDIRECT("'Definition of Typical Day'!"&amp; ADDRESS($D436+29*(BC$16-1),$E436))</f>
        <v>0</v>
      </c>
      <c r="BD436" s="777" cm="1">
        <f t="array" aca="1" ref="BD436" ca="1">INDIRECT("'Definition of Typical Day'!"&amp; ADDRESS($D436+29*(BD$16-1),$E436))</f>
        <v>0</v>
      </c>
      <c r="BE436" s="776">
        <f t="shared" si="502"/>
        <v>0</v>
      </c>
      <c r="BF436" s="771">
        <f t="shared" ca="1" si="503"/>
        <v>0</v>
      </c>
      <c r="BG436" s="771">
        <f t="shared" ca="1" si="504"/>
        <v>0</v>
      </c>
      <c r="BH436" s="771">
        <f t="shared" ca="1" si="505"/>
        <v>0</v>
      </c>
      <c r="BI436" s="776">
        <f t="shared" ca="1" si="506"/>
        <v>0</v>
      </c>
      <c r="BJ436" s="776">
        <f t="shared" ca="1" si="507"/>
        <v>0</v>
      </c>
      <c r="BK436" s="776">
        <f t="shared" ca="1" si="508"/>
        <v>0</v>
      </c>
      <c r="BL436" s="776">
        <f t="shared" ca="1" si="509"/>
        <v>0</v>
      </c>
      <c r="BM436" s="135"/>
      <c r="BN436" s="776">
        <f t="shared" ca="1" si="510"/>
        <v>0</v>
      </c>
      <c r="BO436" s="778">
        <f t="shared" ca="1" si="447"/>
        <v>0</v>
      </c>
      <c r="BP436" s="770">
        <f t="shared" ca="1" si="448"/>
        <v>0</v>
      </c>
      <c r="BQ436" s="771">
        <f t="shared" ca="1" si="449"/>
        <v>0</v>
      </c>
      <c r="BR436" s="771">
        <f t="shared" ca="1" si="450"/>
        <v>0</v>
      </c>
      <c r="BS436" s="776">
        <f t="shared" ca="1" si="511"/>
        <v>0</v>
      </c>
      <c r="BT436" s="776">
        <f t="shared" ca="1" si="451"/>
        <v>0</v>
      </c>
      <c r="BU436" s="783">
        <f t="shared" ca="1" si="452"/>
        <v>0</v>
      </c>
      <c r="BV436" s="783">
        <f t="shared" ca="1" si="453"/>
        <v>0</v>
      </c>
      <c r="BW436" s="1019">
        <f t="shared" ca="1" si="512"/>
        <v>0</v>
      </c>
      <c r="BX436" s="771" cm="1">
        <f t="array" aca="1" ref="BX436" ca="1">INDIRECT("'Definition of Typical Day'!"&amp; ADDRESS($D436+29*(BX$16-1),$E436))</f>
        <v>0</v>
      </c>
      <c r="BY436" s="771">
        <f t="shared" ca="1" si="513"/>
        <v>0</v>
      </c>
      <c r="BZ436" s="781">
        <f t="shared" ca="1" si="454"/>
        <v>0</v>
      </c>
      <c r="CA436" s="781">
        <f t="shared" ca="1" si="455"/>
        <v>0</v>
      </c>
      <c r="CB436" s="776">
        <f t="shared" ca="1" si="456"/>
        <v>0</v>
      </c>
      <c r="CC436" s="782">
        <f t="shared" si="457"/>
        <v>18</v>
      </c>
      <c r="CD436" s="782">
        <f t="shared" si="458"/>
        <v>8</v>
      </c>
      <c r="CE436" s="784" cm="1">
        <f t="array" aca="1" ref="CE436" ca="1">INDIRECT("'Definition of Typical Day'!"&amp;ADDRESS(CE$16,$E436))</f>
        <v>18</v>
      </c>
      <c r="CF436" s="232"/>
      <c r="CG436" s="232"/>
      <c r="CH436" s="776">
        <f t="shared" ca="1" si="459"/>
        <v>0</v>
      </c>
      <c r="CI436" s="806">
        <f t="shared" ca="1" si="460"/>
        <v>0</v>
      </c>
      <c r="CJ436" s="770">
        <f t="shared" ca="1" si="461"/>
        <v>0</v>
      </c>
      <c r="CK436" s="771">
        <f t="shared" ca="1" si="462"/>
        <v>0</v>
      </c>
      <c r="CL436" s="771">
        <f t="shared" ca="1" si="463"/>
        <v>0</v>
      </c>
      <c r="CM436" s="772">
        <f t="shared" ca="1" si="464"/>
        <v>0</v>
      </c>
      <c r="CN436" s="135"/>
      <c r="CO436" s="770">
        <f t="shared" ca="1" si="514"/>
        <v>1.05</v>
      </c>
      <c r="CP436" s="771">
        <f t="shared" ca="1" si="465"/>
        <v>0.02</v>
      </c>
      <c r="CQ436" s="771">
        <f t="shared" ca="1" si="466"/>
        <v>-2.5000000000000001E-2</v>
      </c>
      <c r="CR436" s="771">
        <f t="shared" ca="1" si="467"/>
        <v>0.95</v>
      </c>
      <c r="CS436" s="771">
        <f t="shared" ca="1" si="468"/>
        <v>0.03</v>
      </c>
      <c r="CT436" s="772">
        <f t="shared" ca="1" si="469"/>
        <v>0.02</v>
      </c>
      <c r="CU436" s="135"/>
      <c r="CV436" s="135"/>
      <c r="CW436" s="135"/>
      <c r="CX436" s="135"/>
      <c r="CY436" s="135"/>
      <c r="CZ436" s="135"/>
      <c r="DA436" s="135"/>
      <c r="DB436" s="135"/>
      <c r="DC436" s="135"/>
      <c r="DD436" s="135"/>
      <c r="DE436" s="135"/>
      <c r="DF436" s="135"/>
      <c r="DG436" s="135"/>
      <c r="DH436" s="135"/>
      <c r="DI436" s="135"/>
      <c r="DJ436" s="135"/>
      <c r="DK436" s="135"/>
      <c r="DL436" s="135"/>
      <c r="DX436" s="135"/>
      <c r="DY436" s="135"/>
      <c r="DZ436" s="135"/>
      <c r="EA436" s="135"/>
      <c r="EB436" s="135"/>
      <c r="EC436" s="135"/>
      <c r="ED436" s="135"/>
      <c r="EE436" s="135"/>
      <c r="EF436" s="135"/>
      <c r="EG436" s="135"/>
      <c r="EH436" s="135"/>
      <c r="EI436" s="135"/>
      <c r="EJ436" s="135"/>
      <c r="EK436" s="135"/>
      <c r="EL436" s="135"/>
      <c r="EM436" s="135"/>
      <c r="EN436" s="135"/>
      <c r="EO436" s="135"/>
      <c r="EP436" s="135"/>
      <c r="EQ436" s="135"/>
      <c r="ER436" s="135"/>
      <c r="ES436" s="135"/>
      <c r="ET436" s="135"/>
      <c r="EU436" s="135"/>
      <c r="EV436" s="135"/>
      <c r="EW436" s="135"/>
      <c r="EX436" s="135"/>
      <c r="EY436" s="135"/>
      <c r="EZ436" s="135"/>
      <c r="FA436" s="135"/>
      <c r="FB436" s="135"/>
      <c r="FC436" s="135"/>
      <c r="FD436" s="135"/>
      <c r="FE436" s="135"/>
      <c r="FF436" s="135"/>
      <c r="FG436" s="135"/>
    </row>
    <row r="437" spans="1:163" s="57" customFormat="1" ht="11.25" outlineLevel="1">
      <c r="A437" s="765">
        <f t="shared" si="515"/>
        <v>18</v>
      </c>
      <c r="B437" s="715" cm="1">
        <f t="array" aca="1" ref="B437" ca="1">INDIRECT("'Definition of Typical Day'!"&amp;ADDRESS(B$16,$E437))</f>
        <v>18</v>
      </c>
      <c r="C437" s="766">
        <f t="shared" si="516"/>
        <v>9</v>
      </c>
      <c r="D437" s="715">
        <f t="shared" si="516"/>
        <v>43</v>
      </c>
      <c r="E437" s="715">
        <f t="shared" si="444"/>
        <v>22</v>
      </c>
      <c r="F437" s="767" cm="1">
        <f t="array" aca="1" ref="F437" ca="1">INDIRECT("'Definition of Typical Day'!D"&amp;D437)</f>
        <v>9</v>
      </c>
      <c r="G437" s="767" cm="1">
        <f t="array" aca="1" ref="G437" ca="1">INDIRECT("'Definition of Typical Day'!"&amp;ADDRESS(13,E437))</f>
        <v>18</v>
      </c>
      <c r="H437" s="768" cm="1">
        <f t="array" aca="1" ref="H437" ca="1">INDIRECT("'Definition of Typical Day'!"&amp; ADDRESS($D437+28*(H$16-1),$E437))</f>
        <v>0</v>
      </c>
      <c r="I437" s="715" cm="1">
        <f t="array" aca="1" ref="I437" ca="1">INDIRECT("'Definition of Typical Day'!"&amp; ADDRESS($D437+29*(I$16-1),$E437))</f>
        <v>0</v>
      </c>
      <c r="J437" s="715">
        <f t="shared" ca="1" si="470"/>
        <v>0</v>
      </c>
      <c r="K437" s="785">
        <f t="shared" si="471"/>
        <v>28</v>
      </c>
      <c r="L437" s="786" cm="1">
        <f t="array" aca="1" ref="L437" ca="1">INDIRECT("'Definition of Typical Day'!"&amp; ADDRESS($D437+29*(L$16-1),$E437))</f>
        <v>0</v>
      </c>
      <c r="M437" s="768" cm="1">
        <f t="array" aca="1" ref="M437" ca="1">INDIRECT("'Definition of Typical Day'!"&amp; ADDRESS($D437+29*(M$16-1),$E437))</f>
        <v>0</v>
      </c>
      <c r="N437" s="715">
        <f t="shared" si="472"/>
        <v>3</v>
      </c>
      <c r="O437" s="715">
        <f t="shared" ca="1" si="473"/>
        <v>3</v>
      </c>
      <c r="P437" s="715" cm="1">
        <f t="array" aca="1" ref="P437" ca="1">INDIRECT("'Definition of Typical Day'!"&amp; ADDRESS($D437+29*(P$16-1),$E437))</f>
        <v>0</v>
      </c>
      <c r="Q437" s="787">
        <f t="shared" ca="1" si="474"/>
        <v>3</v>
      </c>
      <c r="R437" s="792">
        <f t="shared" ca="1" si="475"/>
        <v>3</v>
      </c>
      <c r="S437" s="769">
        <f t="shared" si="476"/>
        <v>3</v>
      </c>
      <c r="T437" s="769">
        <f t="shared" ca="1" si="477"/>
        <v>-0.5</v>
      </c>
      <c r="U437" s="769">
        <f t="shared" ca="1" si="478"/>
        <v>2.262</v>
      </c>
      <c r="V437" s="769">
        <f t="shared" ca="1" si="479"/>
        <v>0</v>
      </c>
      <c r="W437" s="769">
        <f t="shared" ca="1" si="480"/>
        <v>4.7620000000000005</v>
      </c>
      <c r="X437" s="794">
        <f t="shared" si="481"/>
        <v>3</v>
      </c>
      <c r="Y437" s="769">
        <f t="shared" ca="1" si="482"/>
        <v>0.54772255750516607</v>
      </c>
      <c r="Z437" s="769">
        <f t="shared" ca="1" si="483"/>
        <v>0</v>
      </c>
      <c r="AA437" s="795">
        <f t="shared" ca="1" si="484"/>
        <v>0</v>
      </c>
      <c r="AB437" s="769">
        <f t="shared" ca="1" si="485"/>
        <v>0</v>
      </c>
      <c r="AC437" s="769">
        <f t="shared" ca="1" si="486"/>
        <v>0</v>
      </c>
      <c r="AD437" s="769">
        <f t="shared" ca="1" si="487"/>
        <v>0</v>
      </c>
      <c r="AE437" s="794">
        <f t="shared" ca="1" si="488"/>
        <v>0</v>
      </c>
      <c r="AF437" s="769">
        <f t="shared" ca="1" si="489"/>
        <v>0</v>
      </c>
      <c r="AG437" s="769">
        <f t="shared" ca="1" si="490"/>
        <v>0</v>
      </c>
      <c r="AH437" s="799">
        <f t="shared" ca="1" si="491"/>
        <v>0</v>
      </c>
      <c r="AI437" s="801">
        <f t="shared" ca="1" si="492"/>
        <v>1</v>
      </c>
      <c r="AJ437" s="794">
        <f t="shared" ca="1" si="493"/>
        <v>0</v>
      </c>
      <c r="AK437" s="769">
        <f t="shared" ca="1" si="494"/>
        <v>0</v>
      </c>
      <c r="AL437" s="769">
        <f t="shared" ca="1" si="495"/>
        <v>0</v>
      </c>
      <c r="AM437" s="804">
        <f t="shared" ca="1" si="445"/>
        <v>0</v>
      </c>
      <c r="AN437" s="795">
        <f t="shared" ca="1" si="446"/>
        <v>0</v>
      </c>
      <c r="AO437" s="251"/>
      <c r="AP437" s="770">
        <f t="shared" si="496"/>
        <v>0</v>
      </c>
      <c r="AQ437" s="771">
        <f t="shared" ca="1" si="497"/>
        <v>0</v>
      </c>
      <c r="AR437" s="771">
        <f t="shared" ca="1" si="498"/>
        <v>0</v>
      </c>
      <c r="AS437" s="772">
        <f t="shared" ca="1" si="499"/>
        <v>0</v>
      </c>
      <c r="AT437" s="231"/>
      <c r="AU437" s="770">
        <f>'Main Results - IRR DC Operator'!$F$16</f>
        <v>2</v>
      </c>
      <c r="AV437" s="773">
        <f>'Main Results - IRR DC Operator'!$F$15</f>
        <v>1</v>
      </c>
      <c r="AW437" s="771">
        <f t="shared" ca="1" si="500"/>
        <v>0</v>
      </c>
      <c r="AX437" s="772">
        <f t="shared" si="501"/>
        <v>0</v>
      </c>
      <c r="AY437" s="231"/>
      <c r="AZ437" s="770" cm="1">
        <f t="array" aca="1" ref="AZ437" ca="1">INDIRECT("'Definition of Typical Day'!"&amp; ADDRESS($D437+29*(AZ$16-1),$E437))+$AZ$17</f>
        <v>11</v>
      </c>
      <c r="BA437" s="771" cm="1">
        <f t="array" aca="1" ref="BA437" ca="1">INDIRECT("'Definition of Typical Day'!"&amp; ADDRESS($D437+29*(BA$16-1),$E437))+$BA$17</f>
        <v>11</v>
      </c>
      <c r="BB437" s="772" cm="1">
        <f t="array" aca="1" ref="BB437" ca="1">INDIRECT("'Definition of Typical Day'!"&amp;ADDRESS(BB$16,$E437))</f>
        <v>0</v>
      </c>
      <c r="BC437" s="776" cm="1">
        <f t="array" aca="1" ref="BC437" ca="1">INDIRECT("'Definition of Typical Day'!"&amp; ADDRESS($D437+29*(BC$16-1),$E437))</f>
        <v>0</v>
      </c>
      <c r="BD437" s="777" cm="1">
        <f t="array" aca="1" ref="BD437" ca="1">INDIRECT("'Definition of Typical Day'!"&amp; ADDRESS($D437+29*(BD$16-1),$E437))</f>
        <v>0</v>
      </c>
      <c r="BE437" s="776">
        <f t="shared" si="502"/>
        <v>0</v>
      </c>
      <c r="BF437" s="771">
        <f t="shared" ca="1" si="503"/>
        <v>0</v>
      </c>
      <c r="BG437" s="771">
        <f t="shared" ca="1" si="504"/>
        <v>0</v>
      </c>
      <c r="BH437" s="771">
        <f t="shared" ca="1" si="505"/>
        <v>0</v>
      </c>
      <c r="BI437" s="776">
        <f t="shared" ca="1" si="506"/>
        <v>0</v>
      </c>
      <c r="BJ437" s="776">
        <f t="shared" ca="1" si="507"/>
        <v>0</v>
      </c>
      <c r="BK437" s="776">
        <f t="shared" ca="1" si="508"/>
        <v>0</v>
      </c>
      <c r="BL437" s="776">
        <f t="shared" ca="1" si="509"/>
        <v>0</v>
      </c>
      <c r="BM437" s="135"/>
      <c r="BN437" s="776">
        <f t="shared" ca="1" si="510"/>
        <v>0</v>
      </c>
      <c r="BO437" s="778">
        <f t="shared" ca="1" si="447"/>
        <v>0</v>
      </c>
      <c r="BP437" s="770">
        <f t="shared" ca="1" si="448"/>
        <v>0</v>
      </c>
      <c r="BQ437" s="771">
        <f t="shared" ca="1" si="449"/>
        <v>0</v>
      </c>
      <c r="BR437" s="771">
        <f t="shared" ca="1" si="450"/>
        <v>0</v>
      </c>
      <c r="BS437" s="776">
        <f t="shared" ca="1" si="511"/>
        <v>0</v>
      </c>
      <c r="BT437" s="776">
        <f t="shared" ca="1" si="451"/>
        <v>0</v>
      </c>
      <c r="BU437" s="783">
        <f t="shared" ca="1" si="452"/>
        <v>0</v>
      </c>
      <c r="BV437" s="783">
        <f t="shared" ca="1" si="453"/>
        <v>0</v>
      </c>
      <c r="BW437" s="1019">
        <f t="shared" ca="1" si="512"/>
        <v>0</v>
      </c>
      <c r="BX437" s="771" cm="1">
        <f t="array" aca="1" ref="BX437" ca="1">INDIRECT("'Definition of Typical Day'!"&amp; ADDRESS($D437+29*(BX$16-1),$E437))</f>
        <v>0</v>
      </c>
      <c r="BY437" s="771">
        <f t="shared" ca="1" si="513"/>
        <v>0</v>
      </c>
      <c r="BZ437" s="781">
        <f t="shared" ca="1" si="454"/>
        <v>0</v>
      </c>
      <c r="CA437" s="781">
        <f t="shared" ca="1" si="455"/>
        <v>0</v>
      </c>
      <c r="CB437" s="776">
        <f t="shared" ca="1" si="456"/>
        <v>0</v>
      </c>
      <c r="CC437" s="782">
        <f t="shared" si="457"/>
        <v>18</v>
      </c>
      <c r="CD437" s="782">
        <f t="shared" si="458"/>
        <v>9</v>
      </c>
      <c r="CE437" s="784" cm="1">
        <f t="array" aca="1" ref="CE437" ca="1">INDIRECT("'Definition of Typical Day'!"&amp;ADDRESS(CE$16,$E437))</f>
        <v>18</v>
      </c>
      <c r="CF437" s="232"/>
      <c r="CG437" s="232"/>
      <c r="CH437" s="776">
        <f t="shared" ca="1" si="459"/>
        <v>0</v>
      </c>
      <c r="CI437" s="806">
        <f t="shared" ca="1" si="460"/>
        <v>0</v>
      </c>
      <c r="CJ437" s="770">
        <f t="shared" ca="1" si="461"/>
        <v>0</v>
      </c>
      <c r="CK437" s="771">
        <f t="shared" ca="1" si="462"/>
        <v>0</v>
      </c>
      <c r="CL437" s="771">
        <f t="shared" ca="1" si="463"/>
        <v>0</v>
      </c>
      <c r="CM437" s="772">
        <f t="shared" ca="1" si="464"/>
        <v>0</v>
      </c>
      <c r="CN437" s="135"/>
      <c r="CO437" s="770">
        <f t="shared" ca="1" si="514"/>
        <v>1.05</v>
      </c>
      <c r="CP437" s="771">
        <f t="shared" ca="1" si="465"/>
        <v>0.02</v>
      </c>
      <c r="CQ437" s="771">
        <f t="shared" ca="1" si="466"/>
        <v>-2.5000000000000001E-2</v>
      </c>
      <c r="CR437" s="771">
        <f t="shared" ca="1" si="467"/>
        <v>0.95</v>
      </c>
      <c r="CS437" s="771">
        <f t="shared" ca="1" si="468"/>
        <v>0.03</v>
      </c>
      <c r="CT437" s="772">
        <f t="shared" ca="1" si="469"/>
        <v>0.02</v>
      </c>
      <c r="CU437" s="135"/>
      <c r="CV437" s="135"/>
      <c r="CW437" s="135"/>
      <c r="CX437" s="135"/>
      <c r="CY437" s="135"/>
      <c r="CZ437" s="135"/>
      <c r="DA437" s="135"/>
      <c r="DB437" s="135"/>
      <c r="DC437" s="135"/>
      <c r="DD437" s="135"/>
      <c r="DE437" s="135"/>
      <c r="DF437" s="135"/>
      <c r="DG437" s="135"/>
      <c r="DH437" s="135"/>
      <c r="DI437" s="135"/>
      <c r="DJ437" s="135"/>
      <c r="DK437" s="135"/>
      <c r="DL437" s="135"/>
      <c r="DX437" s="135"/>
      <c r="DY437" s="135"/>
      <c r="DZ437" s="135"/>
      <c r="EA437" s="135"/>
      <c r="EB437" s="135"/>
      <c r="EC437" s="135"/>
      <c r="ED437" s="135"/>
      <c r="EE437" s="135"/>
      <c r="EF437" s="135"/>
      <c r="EG437" s="135"/>
      <c r="EH437" s="135"/>
      <c r="EI437" s="135"/>
      <c r="EJ437" s="135"/>
      <c r="EK437" s="135"/>
      <c r="EL437" s="135"/>
      <c r="EM437" s="135"/>
      <c r="EN437" s="135"/>
      <c r="EO437" s="135"/>
      <c r="EP437" s="135"/>
      <c r="EQ437" s="135"/>
      <c r="ER437" s="135"/>
      <c r="ES437" s="135"/>
      <c r="ET437" s="135"/>
      <c r="EU437" s="135"/>
      <c r="EV437" s="135"/>
      <c r="EW437" s="135"/>
      <c r="EX437" s="135"/>
      <c r="EY437" s="135"/>
      <c r="EZ437" s="135"/>
      <c r="FA437" s="135"/>
      <c r="FB437" s="135"/>
      <c r="FC437" s="135"/>
      <c r="FD437" s="135"/>
      <c r="FE437" s="135"/>
      <c r="FF437" s="135"/>
      <c r="FG437" s="135"/>
    </row>
    <row r="438" spans="1:163" s="57" customFormat="1" ht="11.25" outlineLevel="1">
      <c r="A438" s="765">
        <f t="shared" si="515"/>
        <v>18</v>
      </c>
      <c r="B438" s="715" cm="1">
        <f t="array" aca="1" ref="B438" ca="1">INDIRECT("'Definition of Typical Day'!"&amp;ADDRESS(B$16,$E438))</f>
        <v>18</v>
      </c>
      <c r="C438" s="766">
        <f t="shared" si="516"/>
        <v>10</v>
      </c>
      <c r="D438" s="715">
        <f t="shared" si="516"/>
        <v>44</v>
      </c>
      <c r="E438" s="715">
        <f t="shared" si="444"/>
        <v>22</v>
      </c>
      <c r="F438" s="767" cm="1">
        <f t="array" aca="1" ref="F438" ca="1">INDIRECT("'Definition of Typical Day'!D"&amp;D438)</f>
        <v>10</v>
      </c>
      <c r="G438" s="767" cm="1">
        <f t="array" aca="1" ref="G438" ca="1">INDIRECT("'Definition of Typical Day'!"&amp;ADDRESS(13,E438))</f>
        <v>18</v>
      </c>
      <c r="H438" s="768" cm="1">
        <f t="array" aca="1" ref="H438" ca="1">INDIRECT("'Definition of Typical Day'!"&amp; ADDRESS($D438+28*(H$16-1),$E438))</f>
        <v>0</v>
      </c>
      <c r="I438" s="715" cm="1">
        <f t="array" aca="1" ref="I438" ca="1">INDIRECT("'Definition of Typical Day'!"&amp; ADDRESS($D438+29*(I$16-1),$E438))</f>
        <v>0</v>
      </c>
      <c r="J438" s="715">
        <f t="shared" ca="1" si="470"/>
        <v>0</v>
      </c>
      <c r="K438" s="785">
        <f t="shared" si="471"/>
        <v>28</v>
      </c>
      <c r="L438" s="786" cm="1">
        <f t="array" aca="1" ref="L438" ca="1">INDIRECT("'Definition of Typical Day'!"&amp; ADDRESS($D438+29*(L$16-1),$E438))</f>
        <v>0</v>
      </c>
      <c r="M438" s="768" cm="1">
        <f t="array" aca="1" ref="M438" ca="1">INDIRECT("'Definition of Typical Day'!"&amp; ADDRESS($D438+29*(M$16-1),$E438))</f>
        <v>0</v>
      </c>
      <c r="N438" s="715">
        <f t="shared" si="472"/>
        <v>3</v>
      </c>
      <c r="O438" s="715">
        <f t="shared" ca="1" si="473"/>
        <v>3</v>
      </c>
      <c r="P438" s="715" cm="1">
        <f t="array" aca="1" ref="P438" ca="1">INDIRECT("'Definition of Typical Day'!"&amp; ADDRESS($D438+29*(P$16-1),$E438))</f>
        <v>0</v>
      </c>
      <c r="Q438" s="787">
        <f t="shared" ca="1" si="474"/>
        <v>3</v>
      </c>
      <c r="R438" s="792">
        <f t="shared" ca="1" si="475"/>
        <v>3</v>
      </c>
      <c r="S438" s="769">
        <f t="shared" si="476"/>
        <v>3</v>
      </c>
      <c r="T438" s="769">
        <f t="shared" ca="1" si="477"/>
        <v>-0.5</v>
      </c>
      <c r="U438" s="769">
        <f t="shared" ca="1" si="478"/>
        <v>2.262</v>
      </c>
      <c r="V438" s="769">
        <f t="shared" ca="1" si="479"/>
        <v>0</v>
      </c>
      <c r="W438" s="769">
        <f t="shared" ca="1" si="480"/>
        <v>4.7620000000000005</v>
      </c>
      <c r="X438" s="794">
        <f t="shared" si="481"/>
        <v>3</v>
      </c>
      <c r="Y438" s="769">
        <f t="shared" ca="1" si="482"/>
        <v>0.54772255750516607</v>
      </c>
      <c r="Z438" s="769">
        <f t="shared" ca="1" si="483"/>
        <v>0</v>
      </c>
      <c r="AA438" s="795">
        <f t="shared" ca="1" si="484"/>
        <v>0</v>
      </c>
      <c r="AB438" s="769">
        <f t="shared" ca="1" si="485"/>
        <v>0</v>
      </c>
      <c r="AC438" s="769">
        <f t="shared" ca="1" si="486"/>
        <v>0</v>
      </c>
      <c r="AD438" s="769">
        <f t="shared" ca="1" si="487"/>
        <v>0</v>
      </c>
      <c r="AE438" s="794">
        <f t="shared" ca="1" si="488"/>
        <v>0</v>
      </c>
      <c r="AF438" s="769">
        <f t="shared" ca="1" si="489"/>
        <v>0</v>
      </c>
      <c r="AG438" s="769">
        <f t="shared" ca="1" si="490"/>
        <v>0</v>
      </c>
      <c r="AH438" s="799">
        <f t="shared" ca="1" si="491"/>
        <v>0</v>
      </c>
      <c r="AI438" s="801">
        <f t="shared" ca="1" si="492"/>
        <v>1</v>
      </c>
      <c r="AJ438" s="794">
        <f t="shared" ca="1" si="493"/>
        <v>0</v>
      </c>
      <c r="AK438" s="769">
        <f t="shared" ca="1" si="494"/>
        <v>0</v>
      </c>
      <c r="AL438" s="769">
        <f t="shared" ca="1" si="495"/>
        <v>0</v>
      </c>
      <c r="AM438" s="804">
        <f t="shared" ca="1" si="445"/>
        <v>0</v>
      </c>
      <c r="AN438" s="795">
        <f t="shared" ca="1" si="446"/>
        <v>0</v>
      </c>
      <c r="AO438" s="251"/>
      <c r="AP438" s="770">
        <f t="shared" si="496"/>
        <v>0</v>
      </c>
      <c r="AQ438" s="771">
        <f t="shared" ca="1" si="497"/>
        <v>0</v>
      </c>
      <c r="AR438" s="771">
        <f t="shared" ca="1" si="498"/>
        <v>0</v>
      </c>
      <c r="AS438" s="772">
        <f t="shared" ca="1" si="499"/>
        <v>0</v>
      </c>
      <c r="AT438" s="231"/>
      <c r="AU438" s="770">
        <f>'Main Results - IRR DC Operator'!$F$16</f>
        <v>2</v>
      </c>
      <c r="AV438" s="773">
        <f>'Main Results - IRR DC Operator'!$F$15</f>
        <v>1</v>
      </c>
      <c r="AW438" s="771">
        <f t="shared" ca="1" si="500"/>
        <v>0</v>
      </c>
      <c r="AX438" s="772">
        <f t="shared" si="501"/>
        <v>0</v>
      </c>
      <c r="AY438" s="231"/>
      <c r="AZ438" s="770" cm="1">
        <f t="array" aca="1" ref="AZ438" ca="1">INDIRECT("'Definition of Typical Day'!"&amp; ADDRESS($D438+29*(AZ$16-1),$E438))+$AZ$17</f>
        <v>11</v>
      </c>
      <c r="BA438" s="771" cm="1">
        <f t="array" aca="1" ref="BA438" ca="1">INDIRECT("'Definition of Typical Day'!"&amp; ADDRESS($D438+29*(BA$16-1),$E438))+$BA$17</f>
        <v>11</v>
      </c>
      <c r="BB438" s="772" cm="1">
        <f t="array" aca="1" ref="BB438" ca="1">INDIRECT("'Definition of Typical Day'!"&amp;ADDRESS(BB$16,$E438))</f>
        <v>0</v>
      </c>
      <c r="BC438" s="776" cm="1">
        <f t="array" aca="1" ref="BC438" ca="1">INDIRECT("'Definition of Typical Day'!"&amp; ADDRESS($D438+29*(BC$16-1),$E438))</f>
        <v>0</v>
      </c>
      <c r="BD438" s="777" cm="1">
        <f t="array" aca="1" ref="BD438" ca="1">INDIRECT("'Definition of Typical Day'!"&amp; ADDRESS($D438+29*(BD$16-1),$E438))</f>
        <v>0</v>
      </c>
      <c r="BE438" s="776">
        <f t="shared" si="502"/>
        <v>0</v>
      </c>
      <c r="BF438" s="771">
        <f t="shared" ca="1" si="503"/>
        <v>0</v>
      </c>
      <c r="BG438" s="771">
        <f t="shared" ca="1" si="504"/>
        <v>0</v>
      </c>
      <c r="BH438" s="771">
        <f t="shared" ca="1" si="505"/>
        <v>0</v>
      </c>
      <c r="BI438" s="776">
        <f t="shared" ca="1" si="506"/>
        <v>0</v>
      </c>
      <c r="BJ438" s="776">
        <f t="shared" ca="1" si="507"/>
        <v>0</v>
      </c>
      <c r="BK438" s="776">
        <f t="shared" ca="1" si="508"/>
        <v>0</v>
      </c>
      <c r="BL438" s="776">
        <f t="shared" ca="1" si="509"/>
        <v>0</v>
      </c>
      <c r="BM438" s="135"/>
      <c r="BN438" s="776">
        <f t="shared" ca="1" si="510"/>
        <v>0</v>
      </c>
      <c r="BO438" s="778">
        <f t="shared" ca="1" si="447"/>
        <v>0</v>
      </c>
      <c r="BP438" s="770">
        <f t="shared" ca="1" si="448"/>
        <v>0</v>
      </c>
      <c r="BQ438" s="771">
        <f t="shared" ca="1" si="449"/>
        <v>0</v>
      </c>
      <c r="BR438" s="771">
        <f t="shared" ca="1" si="450"/>
        <v>0</v>
      </c>
      <c r="BS438" s="776">
        <f t="shared" ca="1" si="511"/>
        <v>0</v>
      </c>
      <c r="BT438" s="776">
        <f t="shared" ca="1" si="451"/>
        <v>0</v>
      </c>
      <c r="BU438" s="783">
        <f t="shared" ca="1" si="452"/>
        <v>0</v>
      </c>
      <c r="BV438" s="783">
        <f t="shared" ca="1" si="453"/>
        <v>0</v>
      </c>
      <c r="BW438" s="1019">
        <f t="shared" ca="1" si="512"/>
        <v>0</v>
      </c>
      <c r="BX438" s="771" cm="1">
        <f t="array" aca="1" ref="BX438" ca="1">INDIRECT("'Definition of Typical Day'!"&amp; ADDRESS($D438+29*(BX$16-1),$E438))</f>
        <v>0</v>
      </c>
      <c r="BY438" s="771">
        <f t="shared" ca="1" si="513"/>
        <v>0</v>
      </c>
      <c r="BZ438" s="781">
        <f t="shared" ca="1" si="454"/>
        <v>0</v>
      </c>
      <c r="CA438" s="781">
        <f t="shared" ca="1" si="455"/>
        <v>0</v>
      </c>
      <c r="CB438" s="776">
        <f t="shared" ca="1" si="456"/>
        <v>0</v>
      </c>
      <c r="CC438" s="782">
        <f t="shared" si="457"/>
        <v>18</v>
      </c>
      <c r="CD438" s="782">
        <f t="shared" si="458"/>
        <v>10</v>
      </c>
      <c r="CE438" s="784" cm="1">
        <f t="array" aca="1" ref="CE438" ca="1">INDIRECT("'Definition of Typical Day'!"&amp;ADDRESS(CE$16,$E438))</f>
        <v>18</v>
      </c>
      <c r="CF438" s="232"/>
      <c r="CG438" s="232"/>
      <c r="CH438" s="776">
        <f t="shared" ca="1" si="459"/>
        <v>0</v>
      </c>
      <c r="CI438" s="806">
        <f t="shared" ca="1" si="460"/>
        <v>0</v>
      </c>
      <c r="CJ438" s="770">
        <f t="shared" ca="1" si="461"/>
        <v>0</v>
      </c>
      <c r="CK438" s="771">
        <f t="shared" ca="1" si="462"/>
        <v>0</v>
      </c>
      <c r="CL438" s="771">
        <f t="shared" ca="1" si="463"/>
        <v>0</v>
      </c>
      <c r="CM438" s="772">
        <f t="shared" ca="1" si="464"/>
        <v>0</v>
      </c>
      <c r="CN438" s="135"/>
      <c r="CO438" s="770">
        <f t="shared" ca="1" si="514"/>
        <v>1.05</v>
      </c>
      <c r="CP438" s="771">
        <f t="shared" ca="1" si="465"/>
        <v>0.02</v>
      </c>
      <c r="CQ438" s="771">
        <f t="shared" ca="1" si="466"/>
        <v>-2.5000000000000001E-2</v>
      </c>
      <c r="CR438" s="771">
        <f t="shared" ca="1" si="467"/>
        <v>0.95</v>
      </c>
      <c r="CS438" s="771">
        <f t="shared" ca="1" si="468"/>
        <v>0.03</v>
      </c>
      <c r="CT438" s="772">
        <f t="shared" ca="1" si="469"/>
        <v>0.02</v>
      </c>
      <c r="CU438" s="135"/>
      <c r="CV438" s="135"/>
      <c r="CW438" s="135"/>
      <c r="CX438" s="135"/>
      <c r="CY438" s="135"/>
      <c r="CZ438" s="135"/>
      <c r="DA438" s="135"/>
      <c r="DB438" s="135"/>
      <c r="DC438" s="135"/>
      <c r="DD438" s="135"/>
      <c r="DE438" s="135"/>
      <c r="DF438" s="135"/>
      <c r="DG438" s="135"/>
      <c r="DH438" s="135"/>
      <c r="DI438" s="135"/>
      <c r="DJ438" s="135"/>
      <c r="DK438" s="135"/>
      <c r="DL438" s="135"/>
      <c r="DX438" s="135"/>
      <c r="DY438" s="135"/>
      <c r="DZ438" s="135"/>
      <c r="EA438" s="135"/>
      <c r="EB438" s="135"/>
      <c r="EC438" s="135"/>
      <c r="ED438" s="135"/>
      <c r="EE438" s="135"/>
      <c r="EF438" s="135"/>
      <c r="EG438" s="135"/>
      <c r="EH438" s="135"/>
      <c r="EI438" s="135"/>
      <c r="EJ438" s="135"/>
      <c r="EK438" s="135"/>
      <c r="EL438" s="135"/>
      <c r="EM438" s="135"/>
      <c r="EN438" s="135"/>
      <c r="EO438" s="135"/>
      <c r="EP438" s="135"/>
      <c r="EQ438" s="135"/>
      <c r="ER438" s="135"/>
      <c r="ES438" s="135"/>
      <c r="ET438" s="135"/>
      <c r="EU438" s="135"/>
      <c r="EV438" s="135"/>
      <c r="EW438" s="135"/>
      <c r="EX438" s="135"/>
      <c r="EY438" s="135"/>
      <c r="EZ438" s="135"/>
      <c r="FA438" s="135"/>
      <c r="FB438" s="135"/>
      <c r="FC438" s="135"/>
      <c r="FD438" s="135"/>
      <c r="FE438" s="135"/>
      <c r="FF438" s="135"/>
      <c r="FG438" s="135"/>
    </row>
    <row r="439" spans="1:163" s="57" customFormat="1" ht="11.25" outlineLevel="1">
      <c r="A439" s="765">
        <f t="shared" si="515"/>
        <v>18</v>
      </c>
      <c r="B439" s="715" cm="1">
        <f t="array" aca="1" ref="B439" ca="1">INDIRECT("'Definition of Typical Day'!"&amp;ADDRESS(B$16,$E439))</f>
        <v>18</v>
      </c>
      <c r="C439" s="766">
        <f t="shared" si="516"/>
        <v>11</v>
      </c>
      <c r="D439" s="715">
        <f t="shared" si="516"/>
        <v>45</v>
      </c>
      <c r="E439" s="715">
        <f t="shared" si="444"/>
        <v>22</v>
      </c>
      <c r="F439" s="767" cm="1">
        <f t="array" aca="1" ref="F439" ca="1">INDIRECT("'Definition of Typical Day'!D"&amp;D439)</f>
        <v>11</v>
      </c>
      <c r="G439" s="767" cm="1">
        <f t="array" aca="1" ref="G439" ca="1">INDIRECT("'Definition of Typical Day'!"&amp;ADDRESS(13,E439))</f>
        <v>18</v>
      </c>
      <c r="H439" s="768" cm="1">
        <f t="array" aca="1" ref="H439" ca="1">INDIRECT("'Definition of Typical Day'!"&amp; ADDRESS($D439+28*(H$16-1),$E439))</f>
        <v>0</v>
      </c>
      <c r="I439" s="715" cm="1">
        <f t="array" aca="1" ref="I439" ca="1">INDIRECT("'Definition of Typical Day'!"&amp; ADDRESS($D439+29*(I$16-1),$E439))</f>
        <v>0</v>
      </c>
      <c r="J439" s="715">
        <f t="shared" ca="1" si="470"/>
        <v>0</v>
      </c>
      <c r="K439" s="785">
        <f t="shared" si="471"/>
        <v>28</v>
      </c>
      <c r="L439" s="786" cm="1">
        <f t="array" aca="1" ref="L439" ca="1">INDIRECT("'Definition of Typical Day'!"&amp; ADDRESS($D439+29*(L$16-1),$E439))</f>
        <v>0</v>
      </c>
      <c r="M439" s="768" cm="1">
        <f t="array" aca="1" ref="M439" ca="1">INDIRECT("'Definition of Typical Day'!"&amp; ADDRESS($D439+29*(M$16-1),$E439))</f>
        <v>0</v>
      </c>
      <c r="N439" s="715">
        <f t="shared" si="472"/>
        <v>3</v>
      </c>
      <c r="O439" s="715">
        <f t="shared" ca="1" si="473"/>
        <v>3</v>
      </c>
      <c r="P439" s="715" cm="1">
        <f t="array" aca="1" ref="P439" ca="1">INDIRECT("'Definition of Typical Day'!"&amp; ADDRESS($D439+29*(P$16-1),$E439))</f>
        <v>0</v>
      </c>
      <c r="Q439" s="787">
        <f t="shared" ca="1" si="474"/>
        <v>3</v>
      </c>
      <c r="R439" s="792">
        <f t="shared" ca="1" si="475"/>
        <v>3</v>
      </c>
      <c r="S439" s="769">
        <f t="shared" si="476"/>
        <v>3</v>
      </c>
      <c r="T439" s="769">
        <f t="shared" ca="1" si="477"/>
        <v>-0.5</v>
      </c>
      <c r="U439" s="769">
        <f t="shared" ca="1" si="478"/>
        <v>2.262</v>
      </c>
      <c r="V439" s="769">
        <f t="shared" ca="1" si="479"/>
        <v>0</v>
      </c>
      <c r="W439" s="769">
        <f t="shared" ca="1" si="480"/>
        <v>4.7620000000000005</v>
      </c>
      <c r="X439" s="794">
        <f t="shared" si="481"/>
        <v>3</v>
      </c>
      <c r="Y439" s="769">
        <f t="shared" ca="1" si="482"/>
        <v>0.54772255750516607</v>
      </c>
      <c r="Z439" s="769">
        <f t="shared" ca="1" si="483"/>
        <v>0</v>
      </c>
      <c r="AA439" s="795">
        <f t="shared" ca="1" si="484"/>
        <v>0</v>
      </c>
      <c r="AB439" s="769">
        <f t="shared" ca="1" si="485"/>
        <v>0</v>
      </c>
      <c r="AC439" s="769">
        <f t="shared" ca="1" si="486"/>
        <v>0</v>
      </c>
      <c r="AD439" s="769">
        <f t="shared" ca="1" si="487"/>
        <v>0</v>
      </c>
      <c r="AE439" s="794">
        <f t="shared" ca="1" si="488"/>
        <v>0</v>
      </c>
      <c r="AF439" s="769">
        <f t="shared" ca="1" si="489"/>
        <v>0</v>
      </c>
      <c r="AG439" s="769">
        <f t="shared" ca="1" si="490"/>
        <v>0</v>
      </c>
      <c r="AH439" s="799">
        <f t="shared" ca="1" si="491"/>
        <v>0</v>
      </c>
      <c r="AI439" s="801">
        <f t="shared" ca="1" si="492"/>
        <v>1</v>
      </c>
      <c r="AJ439" s="794">
        <f t="shared" ca="1" si="493"/>
        <v>0</v>
      </c>
      <c r="AK439" s="769">
        <f t="shared" ca="1" si="494"/>
        <v>0</v>
      </c>
      <c r="AL439" s="769">
        <f t="shared" ca="1" si="495"/>
        <v>0</v>
      </c>
      <c r="AM439" s="804">
        <f t="shared" ca="1" si="445"/>
        <v>0</v>
      </c>
      <c r="AN439" s="795">
        <f t="shared" ca="1" si="446"/>
        <v>0</v>
      </c>
      <c r="AO439" s="251"/>
      <c r="AP439" s="770">
        <f t="shared" si="496"/>
        <v>0</v>
      </c>
      <c r="AQ439" s="771">
        <f t="shared" ca="1" si="497"/>
        <v>0</v>
      </c>
      <c r="AR439" s="771">
        <f t="shared" ca="1" si="498"/>
        <v>0</v>
      </c>
      <c r="AS439" s="772">
        <f t="shared" ca="1" si="499"/>
        <v>0</v>
      </c>
      <c r="AT439" s="231"/>
      <c r="AU439" s="770">
        <f>'Main Results - IRR DC Operator'!$F$16</f>
        <v>2</v>
      </c>
      <c r="AV439" s="773">
        <f>'Main Results - IRR DC Operator'!$F$15</f>
        <v>1</v>
      </c>
      <c r="AW439" s="771">
        <f t="shared" ca="1" si="500"/>
        <v>0</v>
      </c>
      <c r="AX439" s="772">
        <f t="shared" si="501"/>
        <v>0</v>
      </c>
      <c r="AY439" s="231"/>
      <c r="AZ439" s="770" cm="1">
        <f t="array" aca="1" ref="AZ439" ca="1">INDIRECT("'Definition of Typical Day'!"&amp; ADDRESS($D439+29*(AZ$16-1),$E439))+$AZ$17</f>
        <v>11</v>
      </c>
      <c r="BA439" s="771" cm="1">
        <f t="array" aca="1" ref="BA439" ca="1">INDIRECT("'Definition of Typical Day'!"&amp; ADDRESS($D439+29*(BA$16-1),$E439))+$BA$17</f>
        <v>11</v>
      </c>
      <c r="BB439" s="772" cm="1">
        <f t="array" aca="1" ref="BB439" ca="1">INDIRECT("'Definition of Typical Day'!"&amp;ADDRESS(BB$16,$E439))</f>
        <v>0</v>
      </c>
      <c r="BC439" s="776" cm="1">
        <f t="array" aca="1" ref="BC439" ca="1">INDIRECT("'Definition of Typical Day'!"&amp; ADDRESS($D439+29*(BC$16-1),$E439))</f>
        <v>0</v>
      </c>
      <c r="BD439" s="777" cm="1">
        <f t="array" aca="1" ref="BD439" ca="1">INDIRECT("'Definition of Typical Day'!"&amp; ADDRESS($D439+29*(BD$16-1),$E439))</f>
        <v>0</v>
      </c>
      <c r="BE439" s="776">
        <f t="shared" si="502"/>
        <v>0</v>
      </c>
      <c r="BF439" s="771">
        <f t="shared" ca="1" si="503"/>
        <v>0</v>
      </c>
      <c r="BG439" s="771">
        <f t="shared" ca="1" si="504"/>
        <v>0</v>
      </c>
      <c r="BH439" s="771">
        <f t="shared" ca="1" si="505"/>
        <v>0</v>
      </c>
      <c r="BI439" s="776">
        <f t="shared" ca="1" si="506"/>
        <v>0</v>
      </c>
      <c r="BJ439" s="776">
        <f t="shared" ca="1" si="507"/>
        <v>0</v>
      </c>
      <c r="BK439" s="776">
        <f t="shared" ca="1" si="508"/>
        <v>0</v>
      </c>
      <c r="BL439" s="776">
        <f t="shared" ca="1" si="509"/>
        <v>0</v>
      </c>
      <c r="BM439" s="135"/>
      <c r="BN439" s="776">
        <f t="shared" ca="1" si="510"/>
        <v>0</v>
      </c>
      <c r="BO439" s="778">
        <f t="shared" ca="1" si="447"/>
        <v>0</v>
      </c>
      <c r="BP439" s="770">
        <f t="shared" ca="1" si="448"/>
        <v>0</v>
      </c>
      <c r="BQ439" s="771">
        <f t="shared" ca="1" si="449"/>
        <v>0</v>
      </c>
      <c r="BR439" s="771">
        <f t="shared" ca="1" si="450"/>
        <v>0</v>
      </c>
      <c r="BS439" s="776">
        <f t="shared" ca="1" si="511"/>
        <v>0</v>
      </c>
      <c r="BT439" s="776">
        <f t="shared" ca="1" si="451"/>
        <v>0</v>
      </c>
      <c r="BU439" s="783">
        <f t="shared" ca="1" si="452"/>
        <v>0</v>
      </c>
      <c r="BV439" s="783">
        <f t="shared" ca="1" si="453"/>
        <v>0</v>
      </c>
      <c r="BW439" s="1019">
        <f t="shared" ca="1" si="512"/>
        <v>0</v>
      </c>
      <c r="BX439" s="771" cm="1">
        <f t="array" aca="1" ref="BX439" ca="1">INDIRECT("'Definition of Typical Day'!"&amp; ADDRESS($D439+29*(BX$16-1),$E439))</f>
        <v>0</v>
      </c>
      <c r="BY439" s="771">
        <f t="shared" ca="1" si="513"/>
        <v>0</v>
      </c>
      <c r="BZ439" s="781">
        <f t="shared" ca="1" si="454"/>
        <v>0</v>
      </c>
      <c r="CA439" s="781">
        <f t="shared" ca="1" si="455"/>
        <v>0</v>
      </c>
      <c r="CB439" s="776">
        <f t="shared" ca="1" si="456"/>
        <v>0</v>
      </c>
      <c r="CC439" s="782">
        <f t="shared" si="457"/>
        <v>18</v>
      </c>
      <c r="CD439" s="782">
        <f t="shared" si="458"/>
        <v>11</v>
      </c>
      <c r="CE439" s="784" cm="1">
        <f t="array" aca="1" ref="CE439" ca="1">INDIRECT("'Definition of Typical Day'!"&amp;ADDRESS(CE$16,$E439))</f>
        <v>18</v>
      </c>
      <c r="CF439" s="232"/>
      <c r="CG439" s="232"/>
      <c r="CH439" s="776">
        <f t="shared" ca="1" si="459"/>
        <v>0</v>
      </c>
      <c r="CI439" s="806">
        <f t="shared" ca="1" si="460"/>
        <v>0</v>
      </c>
      <c r="CJ439" s="770">
        <f t="shared" ca="1" si="461"/>
        <v>0</v>
      </c>
      <c r="CK439" s="771">
        <f t="shared" ca="1" si="462"/>
        <v>0</v>
      </c>
      <c r="CL439" s="771">
        <f t="shared" ca="1" si="463"/>
        <v>0</v>
      </c>
      <c r="CM439" s="772">
        <f t="shared" ca="1" si="464"/>
        <v>0</v>
      </c>
      <c r="CN439" s="135"/>
      <c r="CO439" s="770">
        <f t="shared" ca="1" si="514"/>
        <v>1.05</v>
      </c>
      <c r="CP439" s="771">
        <f t="shared" ca="1" si="465"/>
        <v>0.02</v>
      </c>
      <c r="CQ439" s="771">
        <f t="shared" ca="1" si="466"/>
        <v>-2.5000000000000001E-2</v>
      </c>
      <c r="CR439" s="771">
        <f t="shared" ca="1" si="467"/>
        <v>0.95</v>
      </c>
      <c r="CS439" s="771">
        <f t="shared" ca="1" si="468"/>
        <v>0.03</v>
      </c>
      <c r="CT439" s="772">
        <f t="shared" ca="1" si="469"/>
        <v>0.02</v>
      </c>
      <c r="CU439" s="135"/>
      <c r="CV439" s="135"/>
      <c r="CW439" s="135"/>
      <c r="CX439" s="135"/>
      <c r="CY439" s="135"/>
      <c r="CZ439" s="135"/>
      <c r="DA439" s="135"/>
      <c r="DB439" s="135"/>
      <c r="DC439" s="135"/>
      <c r="DD439" s="135"/>
      <c r="DE439" s="135"/>
      <c r="DF439" s="135"/>
      <c r="DG439" s="135"/>
      <c r="DH439" s="135"/>
      <c r="DI439" s="135"/>
      <c r="DJ439" s="135"/>
      <c r="DK439" s="135"/>
      <c r="DL439" s="135"/>
      <c r="DX439" s="135"/>
      <c r="DY439" s="135"/>
      <c r="DZ439" s="135"/>
      <c r="EA439" s="135"/>
      <c r="EB439" s="135"/>
      <c r="EC439" s="135"/>
      <c r="ED439" s="135"/>
      <c r="EE439" s="135"/>
      <c r="EF439" s="135"/>
      <c r="EG439" s="135"/>
      <c r="EH439" s="135"/>
      <c r="EI439" s="135"/>
      <c r="EJ439" s="135"/>
      <c r="EK439" s="135"/>
      <c r="EL439" s="135"/>
      <c r="EM439" s="135"/>
      <c r="EN439" s="135"/>
      <c r="EO439" s="135"/>
      <c r="EP439" s="135"/>
      <c r="EQ439" s="135"/>
      <c r="ER439" s="135"/>
      <c r="ES439" s="135"/>
      <c r="ET439" s="135"/>
      <c r="EU439" s="135"/>
      <c r="EV439" s="135"/>
      <c r="EW439" s="135"/>
      <c r="EX439" s="135"/>
      <c r="EY439" s="135"/>
      <c r="EZ439" s="135"/>
      <c r="FA439" s="135"/>
      <c r="FB439" s="135"/>
      <c r="FC439" s="135"/>
      <c r="FD439" s="135"/>
      <c r="FE439" s="135"/>
      <c r="FF439" s="135"/>
      <c r="FG439" s="135"/>
    </row>
    <row r="440" spans="1:163" s="57" customFormat="1" ht="11.25" outlineLevel="1">
      <c r="A440" s="765">
        <f t="shared" si="515"/>
        <v>18</v>
      </c>
      <c r="B440" s="715" cm="1">
        <f t="array" aca="1" ref="B440" ca="1">INDIRECT("'Definition of Typical Day'!"&amp;ADDRESS(B$16,$E440))</f>
        <v>18</v>
      </c>
      <c r="C440" s="766">
        <f t="shared" si="516"/>
        <v>12</v>
      </c>
      <c r="D440" s="715">
        <f t="shared" si="516"/>
        <v>46</v>
      </c>
      <c r="E440" s="715">
        <f t="shared" si="444"/>
        <v>22</v>
      </c>
      <c r="F440" s="767" cm="1">
        <f t="array" aca="1" ref="F440" ca="1">INDIRECT("'Definition of Typical Day'!D"&amp;D440)</f>
        <v>12</v>
      </c>
      <c r="G440" s="767" cm="1">
        <f t="array" aca="1" ref="G440" ca="1">INDIRECT("'Definition of Typical Day'!"&amp;ADDRESS(13,E440))</f>
        <v>18</v>
      </c>
      <c r="H440" s="768" cm="1">
        <f t="array" aca="1" ref="H440" ca="1">INDIRECT("'Definition of Typical Day'!"&amp; ADDRESS($D440+28*(H$16-1),$E440))</f>
        <v>0</v>
      </c>
      <c r="I440" s="715" cm="1">
        <f t="array" aca="1" ref="I440" ca="1">INDIRECT("'Definition of Typical Day'!"&amp; ADDRESS($D440+29*(I$16-1),$E440))</f>
        <v>0</v>
      </c>
      <c r="J440" s="715">
        <f t="shared" ca="1" si="470"/>
        <v>0</v>
      </c>
      <c r="K440" s="785">
        <f t="shared" si="471"/>
        <v>28</v>
      </c>
      <c r="L440" s="786" cm="1">
        <f t="array" aca="1" ref="L440" ca="1">INDIRECT("'Definition of Typical Day'!"&amp; ADDRESS($D440+29*(L$16-1),$E440))</f>
        <v>0</v>
      </c>
      <c r="M440" s="768" cm="1">
        <f t="array" aca="1" ref="M440" ca="1">INDIRECT("'Definition of Typical Day'!"&amp; ADDRESS($D440+29*(M$16-1),$E440))</f>
        <v>0</v>
      </c>
      <c r="N440" s="715">
        <f t="shared" si="472"/>
        <v>3</v>
      </c>
      <c r="O440" s="715">
        <f t="shared" ca="1" si="473"/>
        <v>3</v>
      </c>
      <c r="P440" s="715" cm="1">
        <f t="array" aca="1" ref="P440" ca="1">INDIRECT("'Definition of Typical Day'!"&amp; ADDRESS($D440+29*(P$16-1),$E440))</f>
        <v>0</v>
      </c>
      <c r="Q440" s="787">
        <f t="shared" ca="1" si="474"/>
        <v>3</v>
      </c>
      <c r="R440" s="792">
        <f t="shared" ca="1" si="475"/>
        <v>3</v>
      </c>
      <c r="S440" s="769">
        <f t="shared" si="476"/>
        <v>3</v>
      </c>
      <c r="T440" s="769">
        <f t="shared" ca="1" si="477"/>
        <v>-0.5</v>
      </c>
      <c r="U440" s="769">
        <f t="shared" ca="1" si="478"/>
        <v>2.262</v>
      </c>
      <c r="V440" s="769">
        <f t="shared" ca="1" si="479"/>
        <v>0</v>
      </c>
      <c r="W440" s="769">
        <f t="shared" ca="1" si="480"/>
        <v>4.7620000000000005</v>
      </c>
      <c r="X440" s="794">
        <f t="shared" si="481"/>
        <v>3</v>
      </c>
      <c r="Y440" s="769">
        <f t="shared" ca="1" si="482"/>
        <v>0.54772255750516607</v>
      </c>
      <c r="Z440" s="769">
        <f t="shared" ca="1" si="483"/>
        <v>0</v>
      </c>
      <c r="AA440" s="795">
        <f t="shared" ca="1" si="484"/>
        <v>0</v>
      </c>
      <c r="AB440" s="769">
        <f t="shared" ca="1" si="485"/>
        <v>0</v>
      </c>
      <c r="AC440" s="769">
        <f t="shared" ca="1" si="486"/>
        <v>0</v>
      </c>
      <c r="AD440" s="769">
        <f t="shared" ca="1" si="487"/>
        <v>0</v>
      </c>
      <c r="AE440" s="794">
        <f t="shared" ca="1" si="488"/>
        <v>0</v>
      </c>
      <c r="AF440" s="769">
        <f t="shared" ca="1" si="489"/>
        <v>0</v>
      </c>
      <c r="AG440" s="769">
        <f t="shared" ca="1" si="490"/>
        <v>0</v>
      </c>
      <c r="AH440" s="799">
        <f t="shared" ca="1" si="491"/>
        <v>0</v>
      </c>
      <c r="AI440" s="801">
        <f t="shared" ca="1" si="492"/>
        <v>1</v>
      </c>
      <c r="AJ440" s="794">
        <f t="shared" ca="1" si="493"/>
        <v>0</v>
      </c>
      <c r="AK440" s="769">
        <f t="shared" ca="1" si="494"/>
        <v>0</v>
      </c>
      <c r="AL440" s="769">
        <f t="shared" ca="1" si="495"/>
        <v>0</v>
      </c>
      <c r="AM440" s="804">
        <f t="shared" ca="1" si="445"/>
        <v>0</v>
      </c>
      <c r="AN440" s="795">
        <f t="shared" ca="1" si="446"/>
        <v>0</v>
      </c>
      <c r="AO440" s="251"/>
      <c r="AP440" s="770">
        <f t="shared" si="496"/>
        <v>0</v>
      </c>
      <c r="AQ440" s="771">
        <f t="shared" ca="1" si="497"/>
        <v>0</v>
      </c>
      <c r="AR440" s="771">
        <f t="shared" ca="1" si="498"/>
        <v>0</v>
      </c>
      <c r="AS440" s="772">
        <f t="shared" ca="1" si="499"/>
        <v>0</v>
      </c>
      <c r="AT440" s="231"/>
      <c r="AU440" s="770">
        <f>'Main Results - IRR DC Operator'!$F$16</f>
        <v>2</v>
      </c>
      <c r="AV440" s="773">
        <f>'Main Results - IRR DC Operator'!$F$15</f>
        <v>1</v>
      </c>
      <c r="AW440" s="771">
        <f t="shared" ca="1" si="500"/>
        <v>0</v>
      </c>
      <c r="AX440" s="772">
        <f t="shared" si="501"/>
        <v>0</v>
      </c>
      <c r="AY440" s="231"/>
      <c r="AZ440" s="770" cm="1">
        <f t="array" aca="1" ref="AZ440" ca="1">INDIRECT("'Definition of Typical Day'!"&amp; ADDRESS($D440+29*(AZ$16-1),$E440))+$AZ$17</f>
        <v>11</v>
      </c>
      <c r="BA440" s="771" cm="1">
        <f t="array" aca="1" ref="BA440" ca="1">INDIRECT("'Definition of Typical Day'!"&amp; ADDRESS($D440+29*(BA$16-1),$E440))+$BA$17</f>
        <v>11</v>
      </c>
      <c r="BB440" s="772" cm="1">
        <f t="array" aca="1" ref="BB440" ca="1">INDIRECT("'Definition of Typical Day'!"&amp;ADDRESS(BB$16,$E440))</f>
        <v>0</v>
      </c>
      <c r="BC440" s="776" cm="1">
        <f t="array" aca="1" ref="BC440" ca="1">INDIRECT("'Definition of Typical Day'!"&amp; ADDRESS($D440+29*(BC$16-1),$E440))</f>
        <v>0</v>
      </c>
      <c r="BD440" s="777" cm="1">
        <f t="array" aca="1" ref="BD440" ca="1">INDIRECT("'Definition of Typical Day'!"&amp; ADDRESS($D440+29*(BD$16-1),$E440))</f>
        <v>0</v>
      </c>
      <c r="BE440" s="776">
        <f t="shared" si="502"/>
        <v>0</v>
      </c>
      <c r="BF440" s="771">
        <f t="shared" ca="1" si="503"/>
        <v>0</v>
      </c>
      <c r="BG440" s="771">
        <f t="shared" ca="1" si="504"/>
        <v>0</v>
      </c>
      <c r="BH440" s="771">
        <f t="shared" ca="1" si="505"/>
        <v>0</v>
      </c>
      <c r="BI440" s="776">
        <f t="shared" ca="1" si="506"/>
        <v>0</v>
      </c>
      <c r="BJ440" s="776">
        <f t="shared" ca="1" si="507"/>
        <v>0</v>
      </c>
      <c r="BK440" s="776">
        <f t="shared" ca="1" si="508"/>
        <v>0</v>
      </c>
      <c r="BL440" s="776">
        <f t="shared" ca="1" si="509"/>
        <v>0</v>
      </c>
      <c r="BM440" s="135"/>
      <c r="BN440" s="776">
        <f t="shared" ca="1" si="510"/>
        <v>0</v>
      </c>
      <c r="BO440" s="778">
        <f t="shared" ca="1" si="447"/>
        <v>0</v>
      </c>
      <c r="BP440" s="770">
        <f t="shared" ca="1" si="448"/>
        <v>0</v>
      </c>
      <c r="BQ440" s="771">
        <f t="shared" ca="1" si="449"/>
        <v>0</v>
      </c>
      <c r="BR440" s="771">
        <f t="shared" ca="1" si="450"/>
        <v>0</v>
      </c>
      <c r="BS440" s="776">
        <f t="shared" ca="1" si="511"/>
        <v>0</v>
      </c>
      <c r="BT440" s="776">
        <f t="shared" ca="1" si="451"/>
        <v>0</v>
      </c>
      <c r="BU440" s="783">
        <f t="shared" ca="1" si="452"/>
        <v>0</v>
      </c>
      <c r="BV440" s="783">
        <f t="shared" ca="1" si="453"/>
        <v>0</v>
      </c>
      <c r="BW440" s="1019">
        <f t="shared" ca="1" si="512"/>
        <v>0</v>
      </c>
      <c r="BX440" s="771" cm="1">
        <f t="array" aca="1" ref="BX440" ca="1">INDIRECT("'Definition of Typical Day'!"&amp; ADDRESS($D440+29*(BX$16-1),$E440))</f>
        <v>0</v>
      </c>
      <c r="BY440" s="771">
        <f t="shared" ca="1" si="513"/>
        <v>0</v>
      </c>
      <c r="BZ440" s="781">
        <f t="shared" ca="1" si="454"/>
        <v>0</v>
      </c>
      <c r="CA440" s="781">
        <f t="shared" ca="1" si="455"/>
        <v>0</v>
      </c>
      <c r="CB440" s="776">
        <f t="shared" ca="1" si="456"/>
        <v>0</v>
      </c>
      <c r="CC440" s="782">
        <f t="shared" si="457"/>
        <v>18</v>
      </c>
      <c r="CD440" s="782">
        <f t="shared" si="458"/>
        <v>12</v>
      </c>
      <c r="CE440" s="784" cm="1">
        <f t="array" aca="1" ref="CE440" ca="1">INDIRECT("'Definition of Typical Day'!"&amp;ADDRESS(CE$16,$E440))</f>
        <v>18</v>
      </c>
      <c r="CF440" s="232"/>
      <c r="CG440" s="232"/>
      <c r="CH440" s="776">
        <f t="shared" ca="1" si="459"/>
        <v>0</v>
      </c>
      <c r="CI440" s="806">
        <f t="shared" ca="1" si="460"/>
        <v>0</v>
      </c>
      <c r="CJ440" s="770">
        <f t="shared" ca="1" si="461"/>
        <v>0</v>
      </c>
      <c r="CK440" s="771">
        <f t="shared" ca="1" si="462"/>
        <v>0</v>
      </c>
      <c r="CL440" s="771">
        <f t="shared" ca="1" si="463"/>
        <v>0</v>
      </c>
      <c r="CM440" s="772">
        <f t="shared" ca="1" si="464"/>
        <v>0</v>
      </c>
      <c r="CN440" s="135"/>
      <c r="CO440" s="770">
        <f t="shared" ca="1" si="514"/>
        <v>1.05</v>
      </c>
      <c r="CP440" s="771">
        <f t="shared" ca="1" si="465"/>
        <v>0.02</v>
      </c>
      <c r="CQ440" s="771">
        <f t="shared" ca="1" si="466"/>
        <v>-2.5000000000000001E-2</v>
      </c>
      <c r="CR440" s="771">
        <f t="shared" ca="1" si="467"/>
        <v>0.95</v>
      </c>
      <c r="CS440" s="771">
        <f t="shared" ca="1" si="468"/>
        <v>0.03</v>
      </c>
      <c r="CT440" s="772">
        <f t="shared" ca="1" si="469"/>
        <v>0.02</v>
      </c>
      <c r="CU440" s="135"/>
      <c r="CV440" s="135"/>
      <c r="CW440" s="135"/>
      <c r="CX440" s="135"/>
      <c r="CY440" s="135"/>
      <c r="CZ440" s="135"/>
      <c r="DA440" s="135"/>
      <c r="DB440" s="135"/>
      <c r="DC440" s="135"/>
      <c r="DD440" s="135"/>
      <c r="DE440" s="135"/>
      <c r="DF440" s="135"/>
      <c r="DG440" s="135"/>
      <c r="DH440" s="135"/>
      <c r="DI440" s="135"/>
      <c r="DJ440" s="135"/>
      <c r="DK440" s="135"/>
      <c r="DL440" s="135"/>
      <c r="DX440" s="135"/>
      <c r="DY440" s="135"/>
      <c r="DZ440" s="135"/>
      <c r="EA440" s="135"/>
      <c r="EB440" s="135"/>
      <c r="EC440" s="135"/>
      <c r="ED440" s="135"/>
      <c r="EE440" s="135"/>
      <c r="EF440" s="135"/>
      <c r="EG440" s="135"/>
      <c r="EH440" s="135"/>
      <c r="EI440" s="135"/>
      <c r="EJ440" s="135"/>
      <c r="EK440" s="135"/>
      <c r="EL440" s="135"/>
      <c r="EM440" s="135"/>
      <c r="EN440" s="135"/>
      <c r="EO440" s="135"/>
      <c r="EP440" s="135"/>
      <c r="EQ440" s="135"/>
      <c r="ER440" s="135"/>
      <c r="ES440" s="135"/>
      <c r="ET440" s="135"/>
      <c r="EU440" s="135"/>
      <c r="EV440" s="135"/>
      <c r="EW440" s="135"/>
      <c r="EX440" s="135"/>
      <c r="EY440" s="135"/>
      <c r="EZ440" s="135"/>
      <c r="FA440" s="135"/>
      <c r="FB440" s="135"/>
      <c r="FC440" s="135"/>
      <c r="FD440" s="135"/>
      <c r="FE440" s="135"/>
      <c r="FF440" s="135"/>
      <c r="FG440" s="135"/>
    </row>
    <row r="441" spans="1:163" s="57" customFormat="1" ht="11.25" outlineLevel="1">
      <c r="A441" s="765">
        <f t="shared" si="515"/>
        <v>18</v>
      </c>
      <c r="B441" s="715" cm="1">
        <f t="array" aca="1" ref="B441" ca="1">INDIRECT("'Definition of Typical Day'!"&amp;ADDRESS(B$16,$E441))</f>
        <v>18</v>
      </c>
      <c r="C441" s="766">
        <f t="shared" si="516"/>
        <v>13</v>
      </c>
      <c r="D441" s="715">
        <f t="shared" si="516"/>
        <v>47</v>
      </c>
      <c r="E441" s="715">
        <f t="shared" si="444"/>
        <v>22</v>
      </c>
      <c r="F441" s="767" cm="1">
        <f t="array" aca="1" ref="F441" ca="1">INDIRECT("'Definition of Typical Day'!D"&amp;D441)</f>
        <v>13</v>
      </c>
      <c r="G441" s="767" cm="1">
        <f t="array" aca="1" ref="G441" ca="1">INDIRECT("'Definition of Typical Day'!"&amp;ADDRESS(13,E441))</f>
        <v>18</v>
      </c>
      <c r="H441" s="768" cm="1">
        <f t="array" aca="1" ref="H441" ca="1">INDIRECT("'Definition of Typical Day'!"&amp; ADDRESS($D441+28*(H$16-1),$E441))</f>
        <v>0</v>
      </c>
      <c r="I441" s="715" cm="1">
        <f t="array" aca="1" ref="I441" ca="1">INDIRECT("'Definition of Typical Day'!"&amp; ADDRESS($D441+29*(I$16-1),$E441))</f>
        <v>0</v>
      </c>
      <c r="J441" s="715">
        <f t="shared" ca="1" si="470"/>
        <v>0</v>
      </c>
      <c r="K441" s="785">
        <f t="shared" si="471"/>
        <v>28</v>
      </c>
      <c r="L441" s="786" cm="1">
        <f t="array" aca="1" ref="L441" ca="1">INDIRECT("'Definition of Typical Day'!"&amp; ADDRESS($D441+29*(L$16-1),$E441))</f>
        <v>0</v>
      </c>
      <c r="M441" s="768" cm="1">
        <f t="array" aca="1" ref="M441" ca="1">INDIRECT("'Definition of Typical Day'!"&amp; ADDRESS($D441+29*(M$16-1),$E441))</f>
        <v>0</v>
      </c>
      <c r="N441" s="715">
        <f t="shared" si="472"/>
        <v>3</v>
      </c>
      <c r="O441" s="715">
        <f t="shared" ca="1" si="473"/>
        <v>3</v>
      </c>
      <c r="P441" s="715" cm="1">
        <f t="array" aca="1" ref="P441" ca="1">INDIRECT("'Definition of Typical Day'!"&amp; ADDRESS($D441+29*(P$16-1),$E441))</f>
        <v>0</v>
      </c>
      <c r="Q441" s="787">
        <f t="shared" ca="1" si="474"/>
        <v>3</v>
      </c>
      <c r="R441" s="792">
        <f t="shared" ca="1" si="475"/>
        <v>3</v>
      </c>
      <c r="S441" s="769">
        <f t="shared" si="476"/>
        <v>3</v>
      </c>
      <c r="T441" s="769">
        <f t="shared" ca="1" si="477"/>
        <v>-0.5</v>
      </c>
      <c r="U441" s="769">
        <f t="shared" ca="1" si="478"/>
        <v>2.262</v>
      </c>
      <c r="V441" s="769">
        <f t="shared" ca="1" si="479"/>
        <v>0</v>
      </c>
      <c r="W441" s="769">
        <f t="shared" ca="1" si="480"/>
        <v>4.7620000000000005</v>
      </c>
      <c r="X441" s="794">
        <f t="shared" si="481"/>
        <v>3</v>
      </c>
      <c r="Y441" s="769">
        <f t="shared" ca="1" si="482"/>
        <v>0.54772255750516607</v>
      </c>
      <c r="Z441" s="769">
        <f t="shared" ca="1" si="483"/>
        <v>0</v>
      </c>
      <c r="AA441" s="795">
        <f t="shared" ca="1" si="484"/>
        <v>0</v>
      </c>
      <c r="AB441" s="769">
        <f t="shared" ca="1" si="485"/>
        <v>0</v>
      </c>
      <c r="AC441" s="769">
        <f t="shared" ca="1" si="486"/>
        <v>0</v>
      </c>
      <c r="AD441" s="769">
        <f t="shared" ca="1" si="487"/>
        <v>0</v>
      </c>
      <c r="AE441" s="794">
        <f t="shared" ca="1" si="488"/>
        <v>0</v>
      </c>
      <c r="AF441" s="769">
        <f t="shared" ca="1" si="489"/>
        <v>0</v>
      </c>
      <c r="AG441" s="769">
        <f t="shared" ca="1" si="490"/>
        <v>0</v>
      </c>
      <c r="AH441" s="799">
        <f t="shared" ca="1" si="491"/>
        <v>0</v>
      </c>
      <c r="AI441" s="801">
        <f t="shared" ca="1" si="492"/>
        <v>1</v>
      </c>
      <c r="AJ441" s="794">
        <f t="shared" ca="1" si="493"/>
        <v>0</v>
      </c>
      <c r="AK441" s="769">
        <f t="shared" ca="1" si="494"/>
        <v>0</v>
      </c>
      <c r="AL441" s="769">
        <f t="shared" ca="1" si="495"/>
        <v>0</v>
      </c>
      <c r="AM441" s="804">
        <f t="shared" ca="1" si="445"/>
        <v>0</v>
      </c>
      <c r="AN441" s="795">
        <f t="shared" ca="1" si="446"/>
        <v>0</v>
      </c>
      <c r="AO441" s="251"/>
      <c r="AP441" s="770">
        <f t="shared" si="496"/>
        <v>0</v>
      </c>
      <c r="AQ441" s="771">
        <f t="shared" ca="1" si="497"/>
        <v>0</v>
      </c>
      <c r="AR441" s="771">
        <f t="shared" ca="1" si="498"/>
        <v>0</v>
      </c>
      <c r="AS441" s="772">
        <f t="shared" ca="1" si="499"/>
        <v>0</v>
      </c>
      <c r="AT441" s="231"/>
      <c r="AU441" s="770">
        <f>'Main Results - IRR DC Operator'!$F$16</f>
        <v>2</v>
      </c>
      <c r="AV441" s="773">
        <f>'Main Results - IRR DC Operator'!$F$15</f>
        <v>1</v>
      </c>
      <c r="AW441" s="771">
        <f t="shared" ca="1" si="500"/>
        <v>0</v>
      </c>
      <c r="AX441" s="772">
        <f t="shared" si="501"/>
        <v>0</v>
      </c>
      <c r="AY441" s="231"/>
      <c r="AZ441" s="770" cm="1">
        <f t="array" aca="1" ref="AZ441" ca="1">INDIRECT("'Definition of Typical Day'!"&amp; ADDRESS($D441+29*(AZ$16-1),$E441))+$AZ$17</f>
        <v>11</v>
      </c>
      <c r="BA441" s="771" cm="1">
        <f t="array" aca="1" ref="BA441" ca="1">INDIRECT("'Definition of Typical Day'!"&amp; ADDRESS($D441+29*(BA$16-1),$E441))+$BA$17</f>
        <v>11</v>
      </c>
      <c r="BB441" s="772" cm="1">
        <f t="array" aca="1" ref="BB441" ca="1">INDIRECT("'Definition of Typical Day'!"&amp;ADDRESS(BB$16,$E441))</f>
        <v>0</v>
      </c>
      <c r="BC441" s="776" cm="1">
        <f t="array" aca="1" ref="BC441" ca="1">INDIRECT("'Definition of Typical Day'!"&amp; ADDRESS($D441+29*(BC$16-1),$E441))</f>
        <v>0</v>
      </c>
      <c r="BD441" s="777" cm="1">
        <f t="array" aca="1" ref="BD441" ca="1">INDIRECT("'Definition of Typical Day'!"&amp; ADDRESS($D441+29*(BD$16-1),$E441))</f>
        <v>0</v>
      </c>
      <c r="BE441" s="776">
        <f t="shared" si="502"/>
        <v>0</v>
      </c>
      <c r="BF441" s="771">
        <f t="shared" ca="1" si="503"/>
        <v>0</v>
      </c>
      <c r="BG441" s="771">
        <f t="shared" ca="1" si="504"/>
        <v>0</v>
      </c>
      <c r="BH441" s="771">
        <f t="shared" ca="1" si="505"/>
        <v>0</v>
      </c>
      <c r="BI441" s="776">
        <f t="shared" ca="1" si="506"/>
        <v>0</v>
      </c>
      <c r="BJ441" s="776">
        <f t="shared" ca="1" si="507"/>
        <v>0</v>
      </c>
      <c r="BK441" s="776">
        <f t="shared" ca="1" si="508"/>
        <v>0</v>
      </c>
      <c r="BL441" s="776">
        <f t="shared" ca="1" si="509"/>
        <v>0</v>
      </c>
      <c r="BM441" s="135"/>
      <c r="BN441" s="776">
        <f t="shared" ca="1" si="510"/>
        <v>0</v>
      </c>
      <c r="BO441" s="778">
        <f t="shared" ca="1" si="447"/>
        <v>0</v>
      </c>
      <c r="BP441" s="770">
        <f t="shared" ca="1" si="448"/>
        <v>0</v>
      </c>
      <c r="BQ441" s="771">
        <f t="shared" ca="1" si="449"/>
        <v>0</v>
      </c>
      <c r="BR441" s="771">
        <f t="shared" ca="1" si="450"/>
        <v>0</v>
      </c>
      <c r="BS441" s="776">
        <f t="shared" ca="1" si="511"/>
        <v>0</v>
      </c>
      <c r="BT441" s="776">
        <f t="shared" ca="1" si="451"/>
        <v>0</v>
      </c>
      <c r="BU441" s="783">
        <f t="shared" ca="1" si="452"/>
        <v>0</v>
      </c>
      <c r="BV441" s="783">
        <f t="shared" ca="1" si="453"/>
        <v>0</v>
      </c>
      <c r="BW441" s="1019">
        <f t="shared" ca="1" si="512"/>
        <v>0</v>
      </c>
      <c r="BX441" s="771" cm="1">
        <f t="array" aca="1" ref="BX441" ca="1">INDIRECT("'Definition of Typical Day'!"&amp; ADDRESS($D441+29*(BX$16-1),$E441))</f>
        <v>0</v>
      </c>
      <c r="BY441" s="771">
        <f t="shared" ca="1" si="513"/>
        <v>0</v>
      </c>
      <c r="BZ441" s="781">
        <f t="shared" ca="1" si="454"/>
        <v>0</v>
      </c>
      <c r="CA441" s="781">
        <f t="shared" ca="1" si="455"/>
        <v>0</v>
      </c>
      <c r="CB441" s="776">
        <f t="shared" ca="1" si="456"/>
        <v>0</v>
      </c>
      <c r="CC441" s="782">
        <f t="shared" si="457"/>
        <v>18</v>
      </c>
      <c r="CD441" s="782">
        <f t="shared" si="458"/>
        <v>13</v>
      </c>
      <c r="CE441" s="784" cm="1">
        <f t="array" aca="1" ref="CE441" ca="1">INDIRECT("'Definition of Typical Day'!"&amp;ADDRESS(CE$16,$E441))</f>
        <v>18</v>
      </c>
      <c r="CF441" s="232"/>
      <c r="CG441" s="232"/>
      <c r="CH441" s="776">
        <f t="shared" ca="1" si="459"/>
        <v>0</v>
      </c>
      <c r="CI441" s="806">
        <f t="shared" ca="1" si="460"/>
        <v>0</v>
      </c>
      <c r="CJ441" s="770">
        <f t="shared" ca="1" si="461"/>
        <v>0</v>
      </c>
      <c r="CK441" s="771">
        <f t="shared" ca="1" si="462"/>
        <v>0</v>
      </c>
      <c r="CL441" s="771">
        <f t="shared" ca="1" si="463"/>
        <v>0</v>
      </c>
      <c r="CM441" s="772">
        <f t="shared" ca="1" si="464"/>
        <v>0</v>
      </c>
      <c r="CN441" s="135"/>
      <c r="CO441" s="770">
        <f t="shared" ca="1" si="514"/>
        <v>1.05</v>
      </c>
      <c r="CP441" s="771">
        <f t="shared" ca="1" si="465"/>
        <v>0.02</v>
      </c>
      <c r="CQ441" s="771">
        <f t="shared" ca="1" si="466"/>
        <v>-2.5000000000000001E-2</v>
      </c>
      <c r="CR441" s="771">
        <f t="shared" ca="1" si="467"/>
        <v>0.95</v>
      </c>
      <c r="CS441" s="771">
        <f t="shared" ca="1" si="468"/>
        <v>0.03</v>
      </c>
      <c r="CT441" s="772">
        <f t="shared" ca="1" si="469"/>
        <v>0.02</v>
      </c>
      <c r="CU441" s="135"/>
      <c r="CV441" s="135"/>
      <c r="CW441" s="135"/>
      <c r="CX441" s="135"/>
      <c r="CY441" s="135"/>
      <c r="CZ441" s="135"/>
      <c r="DA441" s="135"/>
      <c r="DB441" s="135"/>
      <c r="DC441" s="135"/>
      <c r="DD441" s="135"/>
      <c r="DE441" s="135"/>
      <c r="DF441" s="135"/>
      <c r="DG441" s="135"/>
      <c r="DH441" s="135"/>
      <c r="DI441" s="135"/>
      <c r="DJ441" s="135"/>
      <c r="DK441" s="135"/>
      <c r="DL441" s="135"/>
      <c r="DX441" s="135"/>
      <c r="DY441" s="135"/>
      <c r="DZ441" s="135"/>
      <c r="EA441" s="135"/>
      <c r="EB441" s="135"/>
      <c r="EC441" s="135"/>
      <c r="ED441" s="135"/>
      <c r="EE441" s="135"/>
      <c r="EF441" s="135"/>
      <c r="EG441" s="135"/>
      <c r="EH441" s="135"/>
      <c r="EI441" s="135"/>
      <c r="EJ441" s="135"/>
      <c r="EK441" s="135"/>
      <c r="EL441" s="135"/>
      <c r="EM441" s="135"/>
      <c r="EN441" s="135"/>
      <c r="EO441" s="135"/>
      <c r="EP441" s="135"/>
      <c r="EQ441" s="135"/>
      <c r="ER441" s="135"/>
      <c r="ES441" s="135"/>
      <c r="ET441" s="135"/>
      <c r="EU441" s="135"/>
      <c r="EV441" s="135"/>
      <c r="EW441" s="135"/>
      <c r="EX441" s="135"/>
      <c r="EY441" s="135"/>
      <c r="EZ441" s="135"/>
      <c r="FA441" s="135"/>
      <c r="FB441" s="135"/>
      <c r="FC441" s="135"/>
      <c r="FD441" s="135"/>
      <c r="FE441" s="135"/>
      <c r="FF441" s="135"/>
      <c r="FG441" s="135"/>
    </row>
    <row r="442" spans="1:163" s="57" customFormat="1" ht="11.25" outlineLevel="1">
      <c r="A442" s="765">
        <f t="shared" si="515"/>
        <v>18</v>
      </c>
      <c r="B442" s="715" cm="1">
        <f t="array" aca="1" ref="B442" ca="1">INDIRECT("'Definition of Typical Day'!"&amp;ADDRESS(B$16,$E442))</f>
        <v>18</v>
      </c>
      <c r="C442" s="766">
        <f t="shared" si="516"/>
        <v>14</v>
      </c>
      <c r="D442" s="715">
        <f t="shared" si="516"/>
        <v>48</v>
      </c>
      <c r="E442" s="715">
        <f t="shared" si="444"/>
        <v>22</v>
      </c>
      <c r="F442" s="767" cm="1">
        <f t="array" aca="1" ref="F442" ca="1">INDIRECT("'Definition of Typical Day'!D"&amp;D442)</f>
        <v>14</v>
      </c>
      <c r="G442" s="767" cm="1">
        <f t="array" aca="1" ref="G442" ca="1">INDIRECT("'Definition of Typical Day'!"&amp;ADDRESS(13,E442))</f>
        <v>18</v>
      </c>
      <c r="H442" s="768" cm="1">
        <f t="array" aca="1" ref="H442" ca="1">INDIRECT("'Definition of Typical Day'!"&amp; ADDRESS($D442+28*(H$16-1),$E442))</f>
        <v>0</v>
      </c>
      <c r="I442" s="715" cm="1">
        <f t="array" aca="1" ref="I442" ca="1">INDIRECT("'Definition of Typical Day'!"&amp; ADDRESS($D442+29*(I$16-1),$E442))</f>
        <v>0</v>
      </c>
      <c r="J442" s="715">
        <f t="shared" ca="1" si="470"/>
        <v>0</v>
      </c>
      <c r="K442" s="785">
        <f t="shared" si="471"/>
        <v>28</v>
      </c>
      <c r="L442" s="786" cm="1">
        <f t="array" aca="1" ref="L442" ca="1">INDIRECT("'Definition of Typical Day'!"&amp; ADDRESS($D442+29*(L$16-1),$E442))</f>
        <v>0</v>
      </c>
      <c r="M442" s="768" cm="1">
        <f t="array" aca="1" ref="M442" ca="1">INDIRECT("'Definition of Typical Day'!"&amp; ADDRESS($D442+29*(M$16-1),$E442))</f>
        <v>0</v>
      </c>
      <c r="N442" s="715">
        <f t="shared" si="472"/>
        <v>3</v>
      </c>
      <c r="O442" s="715">
        <f t="shared" ca="1" si="473"/>
        <v>3</v>
      </c>
      <c r="P442" s="715" cm="1">
        <f t="array" aca="1" ref="P442" ca="1">INDIRECT("'Definition of Typical Day'!"&amp; ADDRESS($D442+29*(P$16-1),$E442))</f>
        <v>0</v>
      </c>
      <c r="Q442" s="787">
        <f t="shared" ca="1" si="474"/>
        <v>3</v>
      </c>
      <c r="R442" s="792">
        <f t="shared" ca="1" si="475"/>
        <v>3</v>
      </c>
      <c r="S442" s="769">
        <f t="shared" si="476"/>
        <v>3</v>
      </c>
      <c r="T442" s="769">
        <f t="shared" ca="1" si="477"/>
        <v>-0.5</v>
      </c>
      <c r="U442" s="769">
        <f t="shared" ca="1" si="478"/>
        <v>2.262</v>
      </c>
      <c r="V442" s="769">
        <f t="shared" ca="1" si="479"/>
        <v>0</v>
      </c>
      <c r="W442" s="769">
        <f t="shared" ca="1" si="480"/>
        <v>4.7620000000000005</v>
      </c>
      <c r="X442" s="794">
        <f t="shared" si="481"/>
        <v>3</v>
      </c>
      <c r="Y442" s="769">
        <f t="shared" ca="1" si="482"/>
        <v>0.54772255750516607</v>
      </c>
      <c r="Z442" s="769">
        <f t="shared" ca="1" si="483"/>
        <v>0</v>
      </c>
      <c r="AA442" s="795">
        <f t="shared" ca="1" si="484"/>
        <v>0</v>
      </c>
      <c r="AB442" s="769">
        <f t="shared" ca="1" si="485"/>
        <v>0</v>
      </c>
      <c r="AC442" s="769">
        <f t="shared" ca="1" si="486"/>
        <v>0</v>
      </c>
      <c r="AD442" s="769">
        <f t="shared" ca="1" si="487"/>
        <v>0</v>
      </c>
      <c r="AE442" s="794">
        <f t="shared" ca="1" si="488"/>
        <v>0</v>
      </c>
      <c r="AF442" s="769">
        <f t="shared" ca="1" si="489"/>
        <v>0</v>
      </c>
      <c r="AG442" s="769">
        <f t="shared" ca="1" si="490"/>
        <v>0</v>
      </c>
      <c r="AH442" s="799">
        <f t="shared" ca="1" si="491"/>
        <v>0</v>
      </c>
      <c r="AI442" s="801">
        <f t="shared" ca="1" si="492"/>
        <v>1</v>
      </c>
      <c r="AJ442" s="794">
        <f t="shared" ca="1" si="493"/>
        <v>0</v>
      </c>
      <c r="AK442" s="769">
        <f t="shared" ca="1" si="494"/>
        <v>0</v>
      </c>
      <c r="AL442" s="769">
        <f t="shared" ca="1" si="495"/>
        <v>0</v>
      </c>
      <c r="AM442" s="804">
        <f t="shared" ca="1" si="445"/>
        <v>0</v>
      </c>
      <c r="AN442" s="795">
        <f t="shared" ca="1" si="446"/>
        <v>0</v>
      </c>
      <c r="AO442" s="251"/>
      <c r="AP442" s="770">
        <f t="shared" si="496"/>
        <v>0</v>
      </c>
      <c r="AQ442" s="771">
        <f t="shared" ca="1" si="497"/>
        <v>0</v>
      </c>
      <c r="AR442" s="771">
        <f t="shared" ca="1" si="498"/>
        <v>0</v>
      </c>
      <c r="AS442" s="772">
        <f t="shared" ca="1" si="499"/>
        <v>0</v>
      </c>
      <c r="AT442" s="231"/>
      <c r="AU442" s="770">
        <f>'Main Results - IRR DC Operator'!$F$16</f>
        <v>2</v>
      </c>
      <c r="AV442" s="773">
        <f>'Main Results - IRR DC Operator'!$F$15</f>
        <v>1</v>
      </c>
      <c r="AW442" s="771">
        <f t="shared" ca="1" si="500"/>
        <v>0</v>
      </c>
      <c r="AX442" s="772">
        <f t="shared" si="501"/>
        <v>0</v>
      </c>
      <c r="AY442" s="231"/>
      <c r="AZ442" s="770" cm="1">
        <f t="array" aca="1" ref="AZ442" ca="1">INDIRECT("'Definition of Typical Day'!"&amp; ADDRESS($D442+29*(AZ$16-1),$E442))+$AZ$17</f>
        <v>11</v>
      </c>
      <c r="BA442" s="771" cm="1">
        <f t="array" aca="1" ref="BA442" ca="1">INDIRECT("'Definition of Typical Day'!"&amp; ADDRESS($D442+29*(BA$16-1),$E442))+$BA$17</f>
        <v>11</v>
      </c>
      <c r="BB442" s="772" cm="1">
        <f t="array" aca="1" ref="BB442" ca="1">INDIRECT("'Definition of Typical Day'!"&amp;ADDRESS(BB$16,$E442))</f>
        <v>0</v>
      </c>
      <c r="BC442" s="776" cm="1">
        <f t="array" aca="1" ref="BC442" ca="1">INDIRECT("'Definition of Typical Day'!"&amp; ADDRESS($D442+29*(BC$16-1),$E442))</f>
        <v>0</v>
      </c>
      <c r="BD442" s="777" cm="1">
        <f t="array" aca="1" ref="BD442" ca="1">INDIRECT("'Definition of Typical Day'!"&amp; ADDRESS($D442+29*(BD$16-1),$E442))</f>
        <v>0</v>
      </c>
      <c r="BE442" s="776">
        <f t="shared" si="502"/>
        <v>0</v>
      </c>
      <c r="BF442" s="771">
        <f t="shared" ca="1" si="503"/>
        <v>0</v>
      </c>
      <c r="BG442" s="771">
        <f t="shared" ca="1" si="504"/>
        <v>0</v>
      </c>
      <c r="BH442" s="771">
        <f t="shared" ca="1" si="505"/>
        <v>0</v>
      </c>
      <c r="BI442" s="776">
        <f t="shared" ca="1" si="506"/>
        <v>0</v>
      </c>
      <c r="BJ442" s="776">
        <f t="shared" ca="1" si="507"/>
        <v>0</v>
      </c>
      <c r="BK442" s="776">
        <f t="shared" ca="1" si="508"/>
        <v>0</v>
      </c>
      <c r="BL442" s="776">
        <f t="shared" ca="1" si="509"/>
        <v>0</v>
      </c>
      <c r="BM442" s="135"/>
      <c r="BN442" s="776">
        <f t="shared" ca="1" si="510"/>
        <v>0</v>
      </c>
      <c r="BO442" s="778">
        <f t="shared" ca="1" si="447"/>
        <v>0</v>
      </c>
      <c r="BP442" s="770">
        <f t="shared" ca="1" si="448"/>
        <v>0</v>
      </c>
      <c r="BQ442" s="771">
        <f t="shared" ca="1" si="449"/>
        <v>0</v>
      </c>
      <c r="BR442" s="771">
        <f t="shared" ca="1" si="450"/>
        <v>0</v>
      </c>
      <c r="BS442" s="776">
        <f t="shared" ca="1" si="511"/>
        <v>0</v>
      </c>
      <c r="BT442" s="776">
        <f t="shared" ca="1" si="451"/>
        <v>0</v>
      </c>
      <c r="BU442" s="783">
        <f t="shared" ca="1" si="452"/>
        <v>0</v>
      </c>
      <c r="BV442" s="783">
        <f t="shared" ca="1" si="453"/>
        <v>0</v>
      </c>
      <c r="BW442" s="1019">
        <f t="shared" ca="1" si="512"/>
        <v>0</v>
      </c>
      <c r="BX442" s="771" cm="1">
        <f t="array" aca="1" ref="BX442" ca="1">INDIRECT("'Definition of Typical Day'!"&amp; ADDRESS($D442+29*(BX$16-1),$E442))</f>
        <v>0</v>
      </c>
      <c r="BY442" s="771">
        <f t="shared" ca="1" si="513"/>
        <v>0</v>
      </c>
      <c r="BZ442" s="781">
        <f t="shared" ca="1" si="454"/>
        <v>0</v>
      </c>
      <c r="CA442" s="781">
        <f t="shared" ca="1" si="455"/>
        <v>0</v>
      </c>
      <c r="CB442" s="776">
        <f t="shared" ca="1" si="456"/>
        <v>0</v>
      </c>
      <c r="CC442" s="782">
        <f t="shared" si="457"/>
        <v>18</v>
      </c>
      <c r="CD442" s="782">
        <f t="shared" si="458"/>
        <v>14</v>
      </c>
      <c r="CE442" s="784" cm="1">
        <f t="array" aca="1" ref="CE442" ca="1">INDIRECT("'Definition of Typical Day'!"&amp;ADDRESS(CE$16,$E442))</f>
        <v>18</v>
      </c>
      <c r="CF442" s="232"/>
      <c r="CG442" s="232"/>
      <c r="CH442" s="776">
        <f t="shared" ca="1" si="459"/>
        <v>0</v>
      </c>
      <c r="CI442" s="806">
        <f t="shared" ca="1" si="460"/>
        <v>0</v>
      </c>
      <c r="CJ442" s="770">
        <f t="shared" ca="1" si="461"/>
        <v>0</v>
      </c>
      <c r="CK442" s="771">
        <f t="shared" ca="1" si="462"/>
        <v>0</v>
      </c>
      <c r="CL442" s="771">
        <f t="shared" ca="1" si="463"/>
        <v>0</v>
      </c>
      <c r="CM442" s="772">
        <f t="shared" ca="1" si="464"/>
        <v>0</v>
      </c>
      <c r="CN442" s="135"/>
      <c r="CO442" s="770">
        <f t="shared" ca="1" si="514"/>
        <v>1.05</v>
      </c>
      <c r="CP442" s="771">
        <f t="shared" ca="1" si="465"/>
        <v>0.02</v>
      </c>
      <c r="CQ442" s="771">
        <f t="shared" ca="1" si="466"/>
        <v>-2.5000000000000001E-2</v>
      </c>
      <c r="CR442" s="771">
        <f t="shared" ca="1" si="467"/>
        <v>0.95</v>
      </c>
      <c r="CS442" s="771">
        <f t="shared" ca="1" si="468"/>
        <v>0.03</v>
      </c>
      <c r="CT442" s="772">
        <f t="shared" ca="1" si="469"/>
        <v>0.02</v>
      </c>
      <c r="CU442" s="135"/>
      <c r="CV442" s="135"/>
      <c r="CW442" s="135"/>
      <c r="CX442" s="135"/>
      <c r="CY442" s="135"/>
      <c r="CZ442" s="135"/>
      <c r="DA442" s="135"/>
      <c r="DB442" s="135"/>
      <c r="DC442" s="135"/>
      <c r="DD442" s="135"/>
      <c r="DE442" s="135"/>
      <c r="DF442" s="135"/>
      <c r="DG442" s="135"/>
      <c r="DH442" s="135"/>
      <c r="DI442" s="135"/>
      <c r="DJ442" s="135"/>
      <c r="DK442" s="135"/>
      <c r="DL442" s="135"/>
      <c r="DX442" s="135"/>
      <c r="DY442" s="135"/>
      <c r="DZ442" s="135"/>
      <c r="EA442" s="135"/>
      <c r="EB442" s="135"/>
      <c r="EC442" s="135"/>
      <c r="ED442" s="135"/>
      <c r="EE442" s="135"/>
      <c r="EF442" s="135"/>
      <c r="EG442" s="135"/>
      <c r="EH442" s="135"/>
      <c r="EI442" s="135"/>
      <c r="EJ442" s="135"/>
      <c r="EK442" s="135"/>
      <c r="EL442" s="135"/>
      <c r="EM442" s="135"/>
      <c r="EN442" s="135"/>
      <c r="EO442" s="135"/>
      <c r="EP442" s="135"/>
      <c r="EQ442" s="135"/>
      <c r="ER442" s="135"/>
      <c r="ES442" s="135"/>
      <c r="ET442" s="135"/>
      <c r="EU442" s="135"/>
      <c r="EV442" s="135"/>
      <c r="EW442" s="135"/>
      <c r="EX442" s="135"/>
      <c r="EY442" s="135"/>
      <c r="EZ442" s="135"/>
      <c r="FA442" s="135"/>
      <c r="FB442" s="135"/>
      <c r="FC442" s="135"/>
      <c r="FD442" s="135"/>
      <c r="FE442" s="135"/>
      <c r="FF442" s="135"/>
      <c r="FG442" s="135"/>
    </row>
    <row r="443" spans="1:163" s="57" customFormat="1" ht="11.25" outlineLevel="1">
      <c r="A443" s="765">
        <f t="shared" si="515"/>
        <v>18</v>
      </c>
      <c r="B443" s="715" cm="1">
        <f t="array" aca="1" ref="B443" ca="1">INDIRECT("'Definition of Typical Day'!"&amp;ADDRESS(B$16,$E443))</f>
        <v>18</v>
      </c>
      <c r="C443" s="766">
        <f t="shared" si="516"/>
        <v>15</v>
      </c>
      <c r="D443" s="715">
        <f t="shared" si="516"/>
        <v>49</v>
      </c>
      <c r="E443" s="715">
        <f t="shared" si="444"/>
        <v>22</v>
      </c>
      <c r="F443" s="767" cm="1">
        <f t="array" aca="1" ref="F443" ca="1">INDIRECT("'Definition of Typical Day'!D"&amp;D443)</f>
        <v>15</v>
      </c>
      <c r="G443" s="767" cm="1">
        <f t="array" aca="1" ref="G443" ca="1">INDIRECT("'Definition of Typical Day'!"&amp;ADDRESS(13,E443))</f>
        <v>18</v>
      </c>
      <c r="H443" s="768" cm="1">
        <f t="array" aca="1" ref="H443" ca="1">INDIRECT("'Definition of Typical Day'!"&amp; ADDRESS($D443+28*(H$16-1),$E443))</f>
        <v>0</v>
      </c>
      <c r="I443" s="715" cm="1">
        <f t="array" aca="1" ref="I443" ca="1">INDIRECT("'Definition of Typical Day'!"&amp; ADDRESS($D443+29*(I$16-1),$E443))</f>
        <v>0</v>
      </c>
      <c r="J443" s="715">
        <f t="shared" ca="1" si="470"/>
        <v>0</v>
      </c>
      <c r="K443" s="785">
        <f t="shared" si="471"/>
        <v>28</v>
      </c>
      <c r="L443" s="786" cm="1">
        <f t="array" aca="1" ref="L443" ca="1">INDIRECT("'Definition of Typical Day'!"&amp; ADDRESS($D443+29*(L$16-1),$E443))</f>
        <v>0</v>
      </c>
      <c r="M443" s="768" cm="1">
        <f t="array" aca="1" ref="M443" ca="1">INDIRECT("'Definition of Typical Day'!"&amp; ADDRESS($D443+29*(M$16-1),$E443))</f>
        <v>0</v>
      </c>
      <c r="N443" s="715">
        <f t="shared" si="472"/>
        <v>3</v>
      </c>
      <c r="O443" s="715">
        <f t="shared" ca="1" si="473"/>
        <v>3</v>
      </c>
      <c r="P443" s="715" cm="1">
        <f t="array" aca="1" ref="P443" ca="1">INDIRECT("'Definition of Typical Day'!"&amp; ADDRESS($D443+29*(P$16-1),$E443))</f>
        <v>0</v>
      </c>
      <c r="Q443" s="787">
        <f t="shared" ca="1" si="474"/>
        <v>3</v>
      </c>
      <c r="R443" s="792">
        <f t="shared" ca="1" si="475"/>
        <v>3</v>
      </c>
      <c r="S443" s="769">
        <f t="shared" si="476"/>
        <v>3</v>
      </c>
      <c r="T443" s="769">
        <f t="shared" ca="1" si="477"/>
        <v>-0.5</v>
      </c>
      <c r="U443" s="769">
        <f t="shared" ca="1" si="478"/>
        <v>2.262</v>
      </c>
      <c r="V443" s="769">
        <f t="shared" ca="1" si="479"/>
        <v>0</v>
      </c>
      <c r="W443" s="769">
        <f t="shared" ca="1" si="480"/>
        <v>4.7620000000000005</v>
      </c>
      <c r="X443" s="794">
        <f t="shared" si="481"/>
        <v>3</v>
      </c>
      <c r="Y443" s="769">
        <f t="shared" ca="1" si="482"/>
        <v>0.54772255750516607</v>
      </c>
      <c r="Z443" s="769">
        <f t="shared" ca="1" si="483"/>
        <v>0</v>
      </c>
      <c r="AA443" s="795">
        <f t="shared" ca="1" si="484"/>
        <v>0</v>
      </c>
      <c r="AB443" s="769">
        <f t="shared" ca="1" si="485"/>
        <v>0</v>
      </c>
      <c r="AC443" s="769">
        <f t="shared" ca="1" si="486"/>
        <v>0</v>
      </c>
      <c r="AD443" s="769">
        <f t="shared" ca="1" si="487"/>
        <v>0</v>
      </c>
      <c r="AE443" s="794">
        <f t="shared" ca="1" si="488"/>
        <v>0</v>
      </c>
      <c r="AF443" s="769">
        <f t="shared" ca="1" si="489"/>
        <v>0</v>
      </c>
      <c r="AG443" s="769">
        <f t="shared" ca="1" si="490"/>
        <v>0</v>
      </c>
      <c r="AH443" s="799">
        <f t="shared" ca="1" si="491"/>
        <v>0</v>
      </c>
      <c r="AI443" s="801">
        <f t="shared" ca="1" si="492"/>
        <v>1</v>
      </c>
      <c r="AJ443" s="794">
        <f t="shared" ca="1" si="493"/>
        <v>0</v>
      </c>
      <c r="AK443" s="769">
        <f t="shared" ca="1" si="494"/>
        <v>0</v>
      </c>
      <c r="AL443" s="769">
        <f t="shared" ca="1" si="495"/>
        <v>0</v>
      </c>
      <c r="AM443" s="804">
        <f t="shared" ca="1" si="445"/>
        <v>0</v>
      </c>
      <c r="AN443" s="795">
        <f t="shared" ca="1" si="446"/>
        <v>0</v>
      </c>
      <c r="AO443" s="251"/>
      <c r="AP443" s="770">
        <f t="shared" si="496"/>
        <v>0</v>
      </c>
      <c r="AQ443" s="771">
        <f t="shared" ca="1" si="497"/>
        <v>0</v>
      </c>
      <c r="AR443" s="771">
        <f t="shared" ca="1" si="498"/>
        <v>0</v>
      </c>
      <c r="AS443" s="772">
        <f t="shared" ca="1" si="499"/>
        <v>0</v>
      </c>
      <c r="AT443" s="231"/>
      <c r="AU443" s="770">
        <f>'Main Results - IRR DC Operator'!$F$16</f>
        <v>2</v>
      </c>
      <c r="AV443" s="773">
        <f>'Main Results - IRR DC Operator'!$F$15</f>
        <v>1</v>
      </c>
      <c r="AW443" s="771">
        <f t="shared" ca="1" si="500"/>
        <v>0</v>
      </c>
      <c r="AX443" s="772">
        <f t="shared" si="501"/>
        <v>0</v>
      </c>
      <c r="AY443" s="231"/>
      <c r="AZ443" s="770" cm="1">
        <f t="array" aca="1" ref="AZ443" ca="1">INDIRECT("'Definition of Typical Day'!"&amp; ADDRESS($D443+29*(AZ$16-1),$E443))+$AZ$17</f>
        <v>11</v>
      </c>
      <c r="BA443" s="771" cm="1">
        <f t="array" aca="1" ref="BA443" ca="1">INDIRECT("'Definition of Typical Day'!"&amp; ADDRESS($D443+29*(BA$16-1),$E443))+$BA$17</f>
        <v>11</v>
      </c>
      <c r="BB443" s="772" cm="1">
        <f t="array" aca="1" ref="BB443" ca="1">INDIRECT("'Definition of Typical Day'!"&amp;ADDRESS(BB$16,$E443))</f>
        <v>0</v>
      </c>
      <c r="BC443" s="776" cm="1">
        <f t="array" aca="1" ref="BC443" ca="1">INDIRECT("'Definition of Typical Day'!"&amp; ADDRESS($D443+29*(BC$16-1),$E443))</f>
        <v>0</v>
      </c>
      <c r="BD443" s="777" cm="1">
        <f t="array" aca="1" ref="BD443" ca="1">INDIRECT("'Definition of Typical Day'!"&amp; ADDRESS($D443+29*(BD$16-1),$E443))</f>
        <v>0</v>
      </c>
      <c r="BE443" s="776">
        <f t="shared" si="502"/>
        <v>0</v>
      </c>
      <c r="BF443" s="771">
        <f t="shared" ca="1" si="503"/>
        <v>0</v>
      </c>
      <c r="BG443" s="771">
        <f t="shared" ca="1" si="504"/>
        <v>0</v>
      </c>
      <c r="BH443" s="771">
        <f t="shared" ca="1" si="505"/>
        <v>0</v>
      </c>
      <c r="BI443" s="776">
        <f t="shared" ca="1" si="506"/>
        <v>0</v>
      </c>
      <c r="BJ443" s="776">
        <f t="shared" ca="1" si="507"/>
        <v>0</v>
      </c>
      <c r="BK443" s="776">
        <f t="shared" ca="1" si="508"/>
        <v>0</v>
      </c>
      <c r="BL443" s="776">
        <f t="shared" ca="1" si="509"/>
        <v>0</v>
      </c>
      <c r="BM443" s="135"/>
      <c r="BN443" s="776">
        <f t="shared" ca="1" si="510"/>
        <v>0</v>
      </c>
      <c r="BO443" s="778">
        <f t="shared" ca="1" si="447"/>
        <v>0</v>
      </c>
      <c r="BP443" s="770">
        <f t="shared" ca="1" si="448"/>
        <v>0</v>
      </c>
      <c r="BQ443" s="771">
        <f t="shared" ca="1" si="449"/>
        <v>0</v>
      </c>
      <c r="BR443" s="771">
        <f t="shared" ca="1" si="450"/>
        <v>0</v>
      </c>
      <c r="BS443" s="776">
        <f t="shared" ca="1" si="511"/>
        <v>0</v>
      </c>
      <c r="BT443" s="776">
        <f t="shared" ca="1" si="451"/>
        <v>0</v>
      </c>
      <c r="BU443" s="783">
        <f t="shared" ca="1" si="452"/>
        <v>0</v>
      </c>
      <c r="BV443" s="783">
        <f t="shared" ca="1" si="453"/>
        <v>0</v>
      </c>
      <c r="BW443" s="1019">
        <f t="shared" ca="1" si="512"/>
        <v>0</v>
      </c>
      <c r="BX443" s="771" cm="1">
        <f t="array" aca="1" ref="BX443" ca="1">INDIRECT("'Definition of Typical Day'!"&amp; ADDRESS($D443+29*(BX$16-1),$E443))</f>
        <v>0</v>
      </c>
      <c r="BY443" s="771">
        <f t="shared" ca="1" si="513"/>
        <v>0</v>
      </c>
      <c r="BZ443" s="781">
        <f t="shared" ca="1" si="454"/>
        <v>0</v>
      </c>
      <c r="CA443" s="781">
        <f t="shared" ca="1" si="455"/>
        <v>0</v>
      </c>
      <c r="CB443" s="776">
        <f t="shared" ca="1" si="456"/>
        <v>0</v>
      </c>
      <c r="CC443" s="782">
        <f t="shared" si="457"/>
        <v>18</v>
      </c>
      <c r="CD443" s="782">
        <f t="shared" si="458"/>
        <v>15</v>
      </c>
      <c r="CE443" s="784" cm="1">
        <f t="array" aca="1" ref="CE443" ca="1">INDIRECT("'Definition of Typical Day'!"&amp;ADDRESS(CE$16,$E443))</f>
        <v>18</v>
      </c>
      <c r="CF443" s="232"/>
      <c r="CG443" s="232"/>
      <c r="CH443" s="776">
        <f t="shared" ca="1" si="459"/>
        <v>0</v>
      </c>
      <c r="CI443" s="806">
        <f t="shared" ca="1" si="460"/>
        <v>0</v>
      </c>
      <c r="CJ443" s="770">
        <f t="shared" ca="1" si="461"/>
        <v>0</v>
      </c>
      <c r="CK443" s="771">
        <f t="shared" ca="1" si="462"/>
        <v>0</v>
      </c>
      <c r="CL443" s="771">
        <f t="shared" ca="1" si="463"/>
        <v>0</v>
      </c>
      <c r="CM443" s="772">
        <f t="shared" ca="1" si="464"/>
        <v>0</v>
      </c>
      <c r="CN443" s="135"/>
      <c r="CO443" s="770">
        <f t="shared" ca="1" si="514"/>
        <v>1.05</v>
      </c>
      <c r="CP443" s="771">
        <f t="shared" ca="1" si="465"/>
        <v>0.02</v>
      </c>
      <c r="CQ443" s="771">
        <f t="shared" ca="1" si="466"/>
        <v>-2.5000000000000001E-2</v>
      </c>
      <c r="CR443" s="771">
        <f t="shared" ca="1" si="467"/>
        <v>0.95</v>
      </c>
      <c r="CS443" s="771">
        <f t="shared" ca="1" si="468"/>
        <v>0.03</v>
      </c>
      <c r="CT443" s="772">
        <f t="shared" ca="1" si="469"/>
        <v>0.02</v>
      </c>
      <c r="CU443" s="135"/>
      <c r="CV443" s="135"/>
      <c r="CW443" s="135"/>
      <c r="CX443" s="135"/>
      <c r="CY443" s="135"/>
      <c r="CZ443" s="135"/>
      <c r="DA443" s="135"/>
      <c r="DB443" s="135"/>
      <c r="DC443" s="135"/>
      <c r="DD443" s="135"/>
      <c r="DE443" s="135"/>
      <c r="DF443" s="135"/>
      <c r="DG443" s="135"/>
      <c r="DH443" s="135"/>
      <c r="DI443" s="135"/>
      <c r="DJ443" s="135"/>
      <c r="DK443" s="135"/>
      <c r="DL443" s="135"/>
      <c r="DX443" s="135"/>
      <c r="DY443" s="135"/>
      <c r="DZ443" s="135"/>
      <c r="EA443" s="135"/>
      <c r="EB443" s="135"/>
      <c r="EC443" s="135"/>
      <c r="ED443" s="135"/>
      <c r="EE443" s="135"/>
      <c r="EF443" s="135"/>
      <c r="EG443" s="135"/>
      <c r="EH443" s="135"/>
      <c r="EI443" s="135"/>
      <c r="EJ443" s="135"/>
      <c r="EK443" s="135"/>
      <c r="EL443" s="135"/>
      <c r="EM443" s="135"/>
      <c r="EN443" s="135"/>
      <c r="EO443" s="135"/>
      <c r="EP443" s="135"/>
      <c r="EQ443" s="135"/>
      <c r="ER443" s="135"/>
      <c r="ES443" s="135"/>
      <c r="ET443" s="135"/>
      <c r="EU443" s="135"/>
      <c r="EV443" s="135"/>
      <c r="EW443" s="135"/>
      <c r="EX443" s="135"/>
      <c r="EY443" s="135"/>
      <c r="EZ443" s="135"/>
      <c r="FA443" s="135"/>
      <c r="FB443" s="135"/>
      <c r="FC443" s="135"/>
      <c r="FD443" s="135"/>
      <c r="FE443" s="135"/>
      <c r="FF443" s="135"/>
      <c r="FG443" s="135"/>
    </row>
    <row r="444" spans="1:163" s="57" customFormat="1" ht="11.25" outlineLevel="1">
      <c r="A444" s="765">
        <f t="shared" si="515"/>
        <v>18</v>
      </c>
      <c r="B444" s="715" cm="1">
        <f t="array" aca="1" ref="B444" ca="1">INDIRECT("'Definition of Typical Day'!"&amp;ADDRESS(B$16,$E444))</f>
        <v>18</v>
      </c>
      <c r="C444" s="766">
        <f t="shared" si="516"/>
        <v>16</v>
      </c>
      <c r="D444" s="715">
        <f t="shared" si="516"/>
        <v>50</v>
      </c>
      <c r="E444" s="715">
        <f t="shared" si="444"/>
        <v>22</v>
      </c>
      <c r="F444" s="767" cm="1">
        <f t="array" aca="1" ref="F444" ca="1">INDIRECT("'Definition of Typical Day'!D"&amp;D444)</f>
        <v>16</v>
      </c>
      <c r="G444" s="767" cm="1">
        <f t="array" aca="1" ref="G444" ca="1">INDIRECT("'Definition of Typical Day'!"&amp;ADDRESS(13,E444))</f>
        <v>18</v>
      </c>
      <c r="H444" s="768" cm="1">
        <f t="array" aca="1" ref="H444" ca="1">INDIRECT("'Definition of Typical Day'!"&amp; ADDRESS($D444+28*(H$16-1),$E444))</f>
        <v>0</v>
      </c>
      <c r="I444" s="715" cm="1">
        <f t="array" aca="1" ref="I444" ca="1">INDIRECT("'Definition of Typical Day'!"&amp; ADDRESS($D444+29*(I$16-1),$E444))</f>
        <v>0</v>
      </c>
      <c r="J444" s="715">
        <f t="shared" ca="1" si="470"/>
        <v>0</v>
      </c>
      <c r="K444" s="785">
        <f t="shared" si="471"/>
        <v>28</v>
      </c>
      <c r="L444" s="786" cm="1">
        <f t="array" aca="1" ref="L444" ca="1">INDIRECT("'Definition of Typical Day'!"&amp; ADDRESS($D444+29*(L$16-1),$E444))</f>
        <v>0</v>
      </c>
      <c r="M444" s="768" cm="1">
        <f t="array" aca="1" ref="M444" ca="1">INDIRECT("'Definition of Typical Day'!"&amp; ADDRESS($D444+29*(M$16-1),$E444))</f>
        <v>0</v>
      </c>
      <c r="N444" s="715">
        <f t="shared" si="472"/>
        <v>3</v>
      </c>
      <c r="O444" s="715">
        <f t="shared" ca="1" si="473"/>
        <v>3</v>
      </c>
      <c r="P444" s="715" cm="1">
        <f t="array" aca="1" ref="P444" ca="1">INDIRECT("'Definition of Typical Day'!"&amp; ADDRESS($D444+29*(P$16-1),$E444))</f>
        <v>0</v>
      </c>
      <c r="Q444" s="787">
        <f t="shared" ca="1" si="474"/>
        <v>3</v>
      </c>
      <c r="R444" s="792">
        <f t="shared" ca="1" si="475"/>
        <v>3</v>
      </c>
      <c r="S444" s="769">
        <f t="shared" si="476"/>
        <v>3</v>
      </c>
      <c r="T444" s="769">
        <f t="shared" ca="1" si="477"/>
        <v>-0.5</v>
      </c>
      <c r="U444" s="769">
        <f t="shared" ca="1" si="478"/>
        <v>2.262</v>
      </c>
      <c r="V444" s="769">
        <f t="shared" ca="1" si="479"/>
        <v>0</v>
      </c>
      <c r="W444" s="769">
        <f t="shared" ca="1" si="480"/>
        <v>4.7620000000000005</v>
      </c>
      <c r="X444" s="794">
        <f t="shared" si="481"/>
        <v>3</v>
      </c>
      <c r="Y444" s="769">
        <f t="shared" ca="1" si="482"/>
        <v>0.54772255750516607</v>
      </c>
      <c r="Z444" s="769">
        <f t="shared" ca="1" si="483"/>
        <v>0</v>
      </c>
      <c r="AA444" s="795">
        <f t="shared" ca="1" si="484"/>
        <v>0</v>
      </c>
      <c r="AB444" s="769">
        <f t="shared" ca="1" si="485"/>
        <v>0</v>
      </c>
      <c r="AC444" s="769">
        <f t="shared" ca="1" si="486"/>
        <v>0</v>
      </c>
      <c r="AD444" s="769">
        <f t="shared" ca="1" si="487"/>
        <v>0</v>
      </c>
      <c r="AE444" s="794">
        <f t="shared" ca="1" si="488"/>
        <v>0</v>
      </c>
      <c r="AF444" s="769">
        <f t="shared" ca="1" si="489"/>
        <v>0</v>
      </c>
      <c r="AG444" s="769">
        <f t="shared" ca="1" si="490"/>
        <v>0</v>
      </c>
      <c r="AH444" s="799">
        <f t="shared" ca="1" si="491"/>
        <v>0</v>
      </c>
      <c r="AI444" s="801">
        <f t="shared" ca="1" si="492"/>
        <v>1</v>
      </c>
      <c r="AJ444" s="794">
        <f t="shared" ca="1" si="493"/>
        <v>0</v>
      </c>
      <c r="AK444" s="769">
        <f t="shared" ca="1" si="494"/>
        <v>0</v>
      </c>
      <c r="AL444" s="769">
        <f t="shared" ca="1" si="495"/>
        <v>0</v>
      </c>
      <c r="AM444" s="804">
        <f t="shared" ca="1" si="445"/>
        <v>0</v>
      </c>
      <c r="AN444" s="795">
        <f t="shared" ca="1" si="446"/>
        <v>0</v>
      </c>
      <c r="AO444" s="251"/>
      <c r="AP444" s="770">
        <f t="shared" si="496"/>
        <v>0</v>
      </c>
      <c r="AQ444" s="771">
        <f t="shared" ca="1" si="497"/>
        <v>0</v>
      </c>
      <c r="AR444" s="771">
        <f t="shared" ca="1" si="498"/>
        <v>0</v>
      </c>
      <c r="AS444" s="772">
        <f t="shared" ca="1" si="499"/>
        <v>0</v>
      </c>
      <c r="AT444" s="231"/>
      <c r="AU444" s="770">
        <f>'Main Results - IRR DC Operator'!$F$16</f>
        <v>2</v>
      </c>
      <c r="AV444" s="773">
        <f>'Main Results - IRR DC Operator'!$F$15</f>
        <v>1</v>
      </c>
      <c r="AW444" s="771">
        <f t="shared" ca="1" si="500"/>
        <v>0</v>
      </c>
      <c r="AX444" s="772">
        <f t="shared" si="501"/>
        <v>0</v>
      </c>
      <c r="AY444" s="231"/>
      <c r="AZ444" s="770" cm="1">
        <f t="array" aca="1" ref="AZ444" ca="1">INDIRECT("'Definition of Typical Day'!"&amp; ADDRESS($D444+29*(AZ$16-1),$E444))+$AZ$17</f>
        <v>11</v>
      </c>
      <c r="BA444" s="771" cm="1">
        <f t="array" aca="1" ref="BA444" ca="1">INDIRECT("'Definition of Typical Day'!"&amp; ADDRESS($D444+29*(BA$16-1),$E444))+$BA$17</f>
        <v>11</v>
      </c>
      <c r="BB444" s="772" cm="1">
        <f t="array" aca="1" ref="BB444" ca="1">INDIRECT("'Definition of Typical Day'!"&amp;ADDRESS(BB$16,$E444))</f>
        <v>0</v>
      </c>
      <c r="BC444" s="776" cm="1">
        <f t="array" aca="1" ref="BC444" ca="1">INDIRECT("'Definition of Typical Day'!"&amp; ADDRESS($D444+29*(BC$16-1),$E444))</f>
        <v>0</v>
      </c>
      <c r="BD444" s="777" cm="1">
        <f t="array" aca="1" ref="BD444" ca="1">INDIRECT("'Definition of Typical Day'!"&amp; ADDRESS($D444+29*(BD$16-1),$E444))</f>
        <v>0</v>
      </c>
      <c r="BE444" s="776">
        <f t="shared" si="502"/>
        <v>0</v>
      </c>
      <c r="BF444" s="771">
        <f t="shared" ca="1" si="503"/>
        <v>0</v>
      </c>
      <c r="BG444" s="771">
        <f t="shared" ca="1" si="504"/>
        <v>0</v>
      </c>
      <c r="BH444" s="771">
        <f t="shared" ca="1" si="505"/>
        <v>0</v>
      </c>
      <c r="BI444" s="776">
        <f t="shared" ca="1" si="506"/>
        <v>0</v>
      </c>
      <c r="BJ444" s="776">
        <f t="shared" ca="1" si="507"/>
        <v>0</v>
      </c>
      <c r="BK444" s="776">
        <f t="shared" ca="1" si="508"/>
        <v>0</v>
      </c>
      <c r="BL444" s="776">
        <f t="shared" ca="1" si="509"/>
        <v>0</v>
      </c>
      <c r="BM444" s="135"/>
      <c r="BN444" s="776">
        <f t="shared" ca="1" si="510"/>
        <v>0</v>
      </c>
      <c r="BO444" s="778">
        <f t="shared" ca="1" si="447"/>
        <v>0</v>
      </c>
      <c r="BP444" s="770">
        <f t="shared" ca="1" si="448"/>
        <v>0</v>
      </c>
      <c r="BQ444" s="771">
        <f t="shared" ca="1" si="449"/>
        <v>0</v>
      </c>
      <c r="BR444" s="771">
        <f t="shared" ca="1" si="450"/>
        <v>0</v>
      </c>
      <c r="BS444" s="776">
        <f t="shared" ca="1" si="511"/>
        <v>0</v>
      </c>
      <c r="BT444" s="776">
        <f t="shared" ca="1" si="451"/>
        <v>0</v>
      </c>
      <c r="BU444" s="783">
        <f t="shared" ca="1" si="452"/>
        <v>0</v>
      </c>
      <c r="BV444" s="783">
        <f t="shared" ca="1" si="453"/>
        <v>0</v>
      </c>
      <c r="BW444" s="1019">
        <f t="shared" ca="1" si="512"/>
        <v>0</v>
      </c>
      <c r="BX444" s="771" cm="1">
        <f t="array" aca="1" ref="BX444" ca="1">INDIRECT("'Definition of Typical Day'!"&amp; ADDRESS($D444+29*(BX$16-1),$E444))</f>
        <v>0</v>
      </c>
      <c r="BY444" s="771">
        <f t="shared" ca="1" si="513"/>
        <v>0</v>
      </c>
      <c r="BZ444" s="781">
        <f t="shared" ca="1" si="454"/>
        <v>0</v>
      </c>
      <c r="CA444" s="781">
        <f t="shared" ca="1" si="455"/>
        <v>0</v>
      </c>
      <c r="CB444" s="776">
        <f t="shared" ca="1" si="456"/>
        <v>0</v>
      </c>
      <c r="CC444" s="782">
        <f t="shared" si="457"/>
        <v>18</v>
      </c>
      <c r="CD444" s="782">
        <f t="shared" si="458"/>
        <v>16</v>
      </c>
      <c r="CE444" s="784" cm="1">
        <f t="array" aca="1" ref="CE444" ca="1">INDIRECT("'Definition of Typical Day'!"&amp;ADDRESS(CE$16,$E444))</f>
        <v>18</v>
      </c>
      <c r="CF444" s="232"/>
      <c r="CG444" s="232"/>
      <c r="CH444" s="776">
        <f t="shared" ca="1" si="459"/>
        <v>0</v>
      </c>
      <c r="CI444" s="806">
        <f t="shared" ca="1" si="460"/>
        <v>0</v>
      </c>
      <c r="CJ444" s="770">
        <f t="shared" ca="1" si="461"/>
        <v>0</v>
      </c>
      <c r="CK444" s="771">
        <f t="shared" ca="1" si="462"/>
        <v>0</v>
      </c>
      <c r="CL444" s="771">
        <f t="shared" ca="1" si="463"/>
        <v>0</v>
      </c>
      <c r="CM444" s="772">
        <f t="shared" ca="1" si="464"/>
        <v>0</v>
      </c>
      <c r="CN444" s="135"/>
      <c r="CO444" s="770">
        <f t="shared" ca="1" si="514"/>
        <v>1.05</v>
      </c>
      <c r="CP444" s="771">
        <f t="shared" ca="1" si="465"/>
        <v>0.02</v>
      </c>
      <c r="CQ444" s="771">
        <f t="shared" ca="1" si="466"/>
        <v>-2.5000000000000001E-2</v>
      </c>
      <c r="CR444" s="771">
        <f t="shared" ca="1" si="467"/>
        <v>0.95</v>
      </c>
      <c r="CS444" s="771">
        <f t="shared" ca="1" si="468"/>
        <v>0.03</v>
      </c>
      <c r="CT444" s="772">
        <f t="shared" ca="1" si="469"/>
        <v>0.02</v>
      </c>
      <c r="CU444" s="135"/>
      <c r="CV444" s="135"/>
      <c r="CW444" s="135"/>
      <c r="CX444" s="135"/>
      <c r="CY444" s="135"/>
      <c r="CZ444" s="135"/>
      <c r="DA444" s="135"/>
      <c r="DB444" s="135"/>
      <c r="DC444" s="135"/>
      <c r="DD444" s="135"/>
      <c r="DE444" s="135"/>
      <c r="DF444" s="135"/>
      <c r="DG444" s="135"/>
      <c r="DH444" s="135"/>
      <c r="DI444" s="135"/>
      <c r="DJ444" s="135"/>
      <c r="DK444" s="135"/>
      <c r="DL444" s="135"/>
      <c r="DX444" s="135"/>
      <c r="DY444" s="135"/>
      <c r="DZ444" s="135"/>
      <c r="EA444" s="135"/>
      <c r="EB444" s="135"/>
      <c r="EC444" s="135"/>
      <c r="ED444" s="135"/>
      <c r="EE444" s="135"/>
      <c r="EF444" s="135"/>
      <c r="EG444" s="135"/>
      <c r="EH444" s="135"/>
      <c r="EI444" s="135"/>
      <c r="EJ444" s="135"/>
      <c r="EK444" s="135"/>
      <c r="EL444" s="135"/>
      <c r="EM444" s="135"/>
      <c r="EN444" s="135"/>
      <c r="EO444" s="135"/>
      <c r="EP444" s="135"/>
      <c r="EQ444" s="135"/>
      <c r="ER444" s="135"/>
      <c r="ES444" s="135"/>
      <c r="ET444" s="135"/>
      <c r="EU444" s="135"/>
      <c r="EV444" s="135"/>
      <c r="EW444" s="135"/>
      <c r="EX444" s="135"/>
      <c r="EY444" s="135"/>
      <c r="EZ444" s="135"/>
      <c r="FA444" s="135"/>
      <c r="FB444" s="135"/>
      <c r="FC444" s="135"/>
      <c r="FD444" s="135"/>
      <c r="FE444" s="135"/>
      <c r="FF444" s="135"/>
      <c r="FG444" s="135"/>
    </row>
    <row r="445" spans="1:163" s="57" customFormat="1" ht="11.25" outlineLevel="1">
      <c r="A445" s="765">
        <f t="shared" si="515"/>
        <v>18</v>
      </c>
      <c r="B445" s="715" cm="1">
        <f t="array" aca="1" ref="B445" ca="1">INDIRECT("'Definition of Typical Day'!"&amp;ADDRESS(B$16,$E445))</f>
        <v>18</v>
      </c>
      <c r="C445" s="766">
        <f t="shared" si="516"/>
        <v>17</v>
      </c>
      <c r="D445" s="715">
        <f t="shared" si="516"/>
        <v>51</v>
      </c>
      <c r="E445" s="715">
        <f t="shared" si="444"/>
        <v>22</v>
      </c>
      <c r="F445" s="767" cm="1">
        <f t="array" aca="1" ref="F445" ca="1">INDIRECT("'Definition of Typical Day'!D"&amp;D445)</f>
        <v>17</v>
      </c>
      <c r="G445" s="767" cm="1">
        <f t="array" aca="1" ref="G445" ca="1">INDIRECT("'Definition of Typical Day'!"&amp;ADDRESS(13,E445))</f>
        <v>18</v>
      </c>
      <c r="H445" s="768" cm="1">
        <f t="array" aca="1" ref="H445" ca="1">INDIRECT("'Definition of Typical Day'!"&amp; ADDRESS($D445+28*(H$16-1),$E445))</f>
        <v>0</v>
      </c>
      <c r="I445" s="715" cm="1">
        <f t="array" aca="1" ref="I445" ca="1">INDIRECT("'Definition of Typical Day'!"&amp; ADDRESS($D445+29*(I$16-1),$E445))</f>
        <v>0</v>
      </c>
      <c r="J445" s="715">
        <f t="shared" ca="1" si="470"/>
        <v>0</v>
      </c>
      <c r="K445" s="785">
        <f t="shared" si="471"/>
        <v>28</v>
      </c>
      <c r="L445" s="786" cm="1">
        <f t="array" aca="1" ref="L445" ca="1">INDIRECT("'Definition of Typical Day'!"&amp; ADDRESS($D445+29*(L$16-1),$E445))</f>
        <v>0</v>
      </c>
      <c r="M445" s="768" cm="1">
        <f t="array" aca="1" ref="M445" ca="1">INDIRECT("'Definition of Typical Day'!"&amp; ADDRESS($D445+29*(M$16-1),$E445))</f>
        <v>0</v>
      </c>
      <c r="N445" s="715">
        <f t="shared" si="472"/>
        <v>3</v>
      </c>
      <c r="O445" s="715">
        <f t="shared" ca="1" si="473"/>
        <v>3</v>
      </c>
      <c r="P445" s="715" cm="1">
        <f t="array" aca="1" ref="P445" ca="1">INDIRECT("'Definition of Typical Day'!"&amp; ADDRESS($D445+29*(P$16-1),$E445))</f>
        <v>0</v>
      </c>
      <c r="Q445" s="787">
        <f t="shared" ca="1" si="474"/>
        <v>3</v>
      </c>
      <c r="R445" s="792">
        <f t="shared" ca="1" si="475"/>
        <v>3</v>
      </c>
      <c r="S445" s="769">
        <f t="shared" si="476"/>
        <v>3</v>
      </c>
      <c r="T445" s="769">
        <f t="shared" ca="1" si="477"/>
        <v>-0.5</v>
      </c>
      <c r="U445" s="769">
        <f t="shared" ca="1" si="478"/>
        <v>2.262</v>
      </c>
      <c r="V445" s="769">
        <f t="shared" ca="1" si="479"/>
        <v>0</v>
      </c>
      <c r="W445" s="769">
        <f t="shared" ca="1" si="480"/>
        <v>4.7620000000000005</v>
      </c>
      <c r="X445" s="794">
        <f t="shared" si="481"/>
        <v>3</v>
      </c>
      <c r="Y445" s="769">
        <f t="shared" ca="1" si="482"/>
        <v>0.54772255750516607</v>
      </c>
      <c r="Z445" s="769">
        <f t="shared" ca="1" si="483"/>
        <v>0</v>
      </c>
      <c r="AA445" s="795">
        <f t="shared" ca="1" si="484"/>
        <v>0</v>
      </c>
      <c r="AB445" s="769">
        <f t="shared" ca="1" si="485"/>
        <v>0</v>
      </c>
      <c r="AC445" s="769">
        <f t="shared" ca="1" si="486"/>
        <v>0</v>
      </c>
      <c r="AD445" s="769">
        <f t="shared" ca="1" si="487"/>
        <v>0</v>
      </c>
      <c r="AE445" s="794">
        <f t="shared" ca="1" si="488"/>
        <v>0</v>
      </c>
      <c r="AF445" s="769">
        <f t="shared" ca="1" si="489"/>
        <v>0</v>
      </c>
      <c r="AG445" s="769">
        <f t="shared" ca="1" si="490"/>
        <v>0</v>
      </c>
      <c r="AH445" s="799">
        <f t="shared" ca="1" si="491"/>
        <v>0</v>
      </c>
      <c r="AI445" s="801">
        <f t="shared" ca="1" si="492"/>
        <v>1</v>
      </c>
      <c r="AJ445" s="794">
        <f t="shared" ca="1" si="493"/>
        <v>0</v>
      </c>
      <c r="AK445" s="769">
        <f t="shared" ca="1" si="494"/>
        <v>0</v>
      </c>
      <c r="AL445" s="769">
        <f t="shared" ca="1" si="495"/>
        <v>0</v>
      </c>
      <c r="AM445" s="804">
        <f t="shared" ca="1" si="445"/>
        <v>0</v>
      </c>
      <c r="AN445" s="795">
        <f t="shared" ca="1" si="446"/>
        <v>0</v>
      </c>
      <c r="AO445" s="251"/>
      <c r="AP445" s="770">
        <f t="shared" si="496"/>
        <v>0</v>
      </c>
      <c r="AQ445" s="771">
        <f t="shared" ca="1" si="497"/>
        <v>0</v>
      </c>
      <c r="AR445" s="771">
        <f t="shared" ca="1" si="498"/>
        <v>0</v>
      </c>
      <c r="AS445" s="772">
        <f t="shared" ca="1" si="499"/>
        <v>0</v>
      </c>
      <c r="AT445" s="231"/>
      <c r="AU445" s="770">
        <f>'Main Results - IRR DC Operator'!$F$16</f>
        <v>2</v>
      </c>
      <c r="AV445" s="773">
        <f>'Main Results - IRR DC Operator'!$F$15</f>
        <v>1</v>
      </c>
      <c r="AW445" s="771">
        <f t="shared" ca="1" si="500"/>
        <v>0</v>
      </c>
      <c r="AX445" s="772">
        <f t="shared" si="501"/>
        <v>0</v>
      </c>
      <c r="AY445" s="231"/>
      <c r="AZ445" s="770" cm="1">
        <f t="array" aca="1" ref="AZ445" ca="1">INDIRECT("'Definition of Typical Day'!"&amp; ADDRESS($D445+29*(AZ$16-1),$E445))+$AZ$17</f>
        <v>11</v>
      </c>
      <c r="BA445" s="771" cm="1">
        <f t="array" aca="1" ref="BA445" ca="1">INDIRECT("'Definition of Typical Day'!"&amp; ADDRESS($D445+29*(BA$16-1),$E445))+$BA$17</f>
        <v>11</v>
      </c>
      <c r="BB445" s="772" cm="1">
        <f t="array" aca="1" ref="BB445" ca="1">INDIRECT("'Definition of Typical Day'!"&amp;ADDRESS(BB$16,$E445))</f>
        <v>0</v>
      </c>
      <c r="BC445" s="776" cm="1">
        <f t="array" aca="1" ref="BC445" ca="1">INDIRECT("'Definition of Typical Day'!"&amp; ADDRESS($D445+29*(BC$16-1),$E445))</f>
        <v>0</v>
      </c>
      <c r="BD445" s="777" cm="1">
        <f t="array" aca="1" ref="BD445" ca="1">INDIRECT("'Definition of Typical Day'!"&amp; ADDRESS($D445+29*(BD$16-1),$E445))</f>
        <v>0</v>
      </c>
      <c r="BE445" s="776">
        <f t="shared" si="502"/>
        <v>0</v>
      </c>
      <c r="BF445" s="771">
        <f t="shared" ca="1" si="503"/>
        <v>0</v>
      </c>
      <c r="BG445" s="771">
        <f t="shared" ca="1" si="504"/>
        <v>0</v>
      </c>
      <c r="BH445" s="771">
        <f t="shared" ca="1" si="505"/>
        <v>0</v>
      </c>
      <c r="BI445" s="776">
        <f t="shared" ca="1" si="506"/>
        <v>0</v>
      </c>
      <c r="BJ445" s="776">
        <f t="shared" ca="1" si="507"/>
        <v>0</v>
      </c>
      <c r="BK445" s="776">
        <f t="shared" ca="1" si="508"/>
        <v>0</v>
      </c>
      <c r="BL445" s="776">
        <f t="shared" ca="1" si="509"/>
        <v>0</v>
      </c>
      <c r="BM445" s="135"/>
      <c r="BN445" s="776">
        <f t="shared" ca="1" si="510"/>
        <v>0</v>
      </c>
      <c r="BO445" s="778">
        <f t="shared" ca="1" si="447"/>
        <v>0</v>
      </c>
      <c r="BP445" s="770">
        <f t="shared" ca="1" si="448"/>
        <v>0</v>
      </c>
      <c r="BQ445" s="771">
        <f t="shared" ca="1" si="449"/>
        <v>0</v>
      </c>
      <c r="BR445" s="771">
        <f t="shared" ca="1" si="450"/>
        <v>0</v>
      </c>
      <c r="BS445" s="776">
        <f t="shared" ca="1" si="511"/>
        <v>0</v>
      </c>
      <c r="BT445" s="776">
        <f t="shared" ca="1" si="451"/>
        <v>0</v>
      </c>
      <c r="BU445" s="783">
        <f t="shared" ca="1" si="452"/>
        <v>0</v>
      </c>
      <c r="BV445" s="783">
        <f t="shared" ca="1" si="453"/>
        <v>0</v>
      </c>
      <c r="BW445" s="1019">
        <f t="shared" ca="1" si="512"/>
        <v>0</v>
      </c>
      <c r="BX445" s="771" cm="1">
        <f t="array" aca="1" ref="BX445" ca="1">INDIRECT("'Definition of Typical Day'!"&amp; ADDRESS($D445+29*(BX$16-1),$E445))</f>
        <v>0</v>
      </c>
      <c r="BY445" s="771">
        <f t="shared" ca="1" si="513"/>
        <v>0</v>
      </c>
      <c r="BZ445" s="781">
        <f t="shared" ca="1" si="454"/>
        <v>0</v>
      </c>
      <c r="CA445" s="781">
        <f t="shared" ca="1" si="455"/>
        <v>0</v>
      </c>
      <c r="CB445" s="776">
        <f t="shared" ca="1" si="456"/>
        <v>0</v>
      </c>
      <c r="CC445" s="782">
        <f t="shared" si="457"/>
        <v>18</v>
      </c>
      <c r="CD445" s="782">
        <f t="shared" si="458"/>
        <v>17</v>
      </c>
      <c r="CE445" s="784" cm="1">
        <f t="array" aca="1" ref="CE445" ca="1">INDIRECT("'Definition of Typical Day'!"&amp;ADDRESS(CE$16,$E445))</f>
        <v>18</v>
      </c>
      <c r="CF445" s="232"/>
      <c r="CG445" s="232"/>
      <c r="CH445" s="776">
        <f t="shared" ca="1" si="459"/>
        <v>0</v>
      </c>
      <c r="CI445" s="806">
        <f t="shared" ca="1" si="460"/>
        <v>0</v>
      </c>
      <c r="CJ445" s="770">
        <f t="shared" ca="1" si="461"/>
        <v>0</v>
      </c>
      <c r="CK445" s="771">
        <f t="shared" ca="1" si="462"/>
        <v>0</v>
      </c>
      <c r="CL445" s="771">
        <f t="shared" ca="1" si="463"/>
        <v>0</v>
      </c>
      <c r="CM445" s="772">
        <f t="shared" ca="1" si="464"/>
        <v>0</v>
      </c>
      <c r="CN445" s="135"/>
      <c r="CO445" s="770">
        <f t="shared" ca="1" si="514"/>
        <v>1.05</v>
      </c>
      <c r="CP445" s="771">
        <f t="shared" ca="1" si="465"/>
        <v>0.02</v>
      </c>
      <c r="CQ445" s="771">
        <f t="shared" ca="1" si="466"/>
        <v>-2.5000000000000001E-2</v>
      </c>
      <c r="CR445" s="771">
        <f t="shared" ca="1" si="467"/>
        <v>0.95</v>
      </c>
      <c r="CS445" s="771">
        <f t="shared" ca="1" si="468"/>
        <v>0.03</v>
      </c>
      <c r="CT445" s="772">
        <f t="shared" ca="1" si="469"/>
        <v>0.02</v>
      </c>
      <c r="CU445" s="135"/>
      <c r="CV445" s="135"/>
      <c r="CW445" s="135"/>
      <c r="CX445" s="135"/>
      <c r="CY445" s="135"/>
      <c r="CZ445" s="135"/>
      <c r="DA445" s="135"/>
      <c r="DB445" s="135"/>
      <c r="DC445" s="135"/>
      <c r="DD445" s="135"/>
      <c r="DE445" s="135"/>
      <c r="DF445" s="135"/>
      <c r="DG445" s="135"/>
      <c r="DH445" s="135"/>
      <c r="DI445" s="135"/>
      <c r="DJ445" s="135"/>
      <c r="DK445" s="135"/>
      <c r="DL445" s="135"/>
      <c r="DX445" s="135"/>
      <c r="DY445" s="135"/>
      <c r="DZ445" s="135"/>
      <c r="EA445" s="135"/>
      <c r="EB445" s="135"/>
      <c r="EC445" s="135"/>
      <c r="ED445" s="135"/>
      <c r="EE445" s="135"/>
      <c r="EF445" s="135"/>
      <c r="EG445" s="135"/>
      <c r="EH445" s="135"/>
      <c r="EI445" s="135"/>
      <c r="EJ445" s="135"/>
      <c r="EK445" s="135"/>
      <c r="EL445" s="135"/>
      <c r="EM445" s="135"/>
      <c r="EN445" s="135"/>
      <c r="EO445" s="135"/>
      <c r="EP445" s="135"/>
      <c r="EQ445" s="135"/>
      <c r="ER445" s="135"/>
      <c r="ES445" s="135"/>
      <c r="ET445" s="135"/>
      <c r="EU445" s="135"/>
      <c r="EV445" s="135"/>
      <c r="EW445" s="135"/>
      <c r="EX445" s="135"/>
      <c r="EY445" s="135"/>
      <c r="EZ445" s="135"/>
      <c r="FA445" s="135"/>
      <c r="FB445" s="135"/>
      <c r="FC445" s="135"/>
      <c r="FD445" s="135"/>
      <c r="FE445" s="135"/>
      <c r="FF445" s="135"/>
      <c r="FG445" s="135"/>
    </row>
    <row r="446" spans="1:163" s="57" customFormat="1" ht="11.25" outlineLevel="1">
      <c r="A446" s="765">
        <f t="shared" si="515"/>
        <v>18</v>
      </c>
      <c r="B446" s="715" cm="1">
        <f t="array" aca="1" ref="B446" ca="1">INDIRECT("'Definition of Typical Day'!"&amp;ADDRESS(B$16,$E446))</f>
        <v>18</v>
      </c>
      <c r="C446" s="766">
        <f t="shared" si="516"/>
        <v>18</v>
      </c>
      <c r="D446" s="715">
        <f t="shared" si="516"/>
        <v>52</v>
      </c>
      <c r="E446" s="715">
        <f t="shared" si="444"/>
        <v>22</v>
      </c>
      <c r="F446" s="767" cm="1">
        <f t="array" aca="1" ref="F446" ca="1">INDIRECT("'Definition of Typical Day'!D"&amp;D446)</f>
        <v>18</v>
      </c>
      <c r="G446" s="767" cm="1">
        <f t="array" aca="1" ref="G446" ca="1">INDIRECT("'Definition of Typical Day'!"&amp;ADDRESS(13,E446))</f>
        <v>18</v>
      </c>
      <c r="H446" s="768" cm="1">
        <f t="array" aca="1" ref="H446" ca="1">INDIRECT("'Definition of Typical Day'!"&amp; ADDRESS($D446+28*(H$16-1),$E446))</f>
        <v>0</v>
      </c>
      <c r="I446" s="715" cm="1">
        <f t="array" aca="1" ref="I446" ca="1">INDIRECT("'Definition of Typical Day'!"&amp; ADDRESS($D446+29*(I$16-1),$E446))</f>
        <v>0</v>
      </c>
      <c r="J446" s="715">
        <f t="shared" ca="1" si="470"/>
        <v>0</v>
      </c>
      <c r="K446" s="785">
        <f t="shared" si="471"/>
        <v>28</v>
      </c>
      <c r="L446" s="786" cm="1">
        <f t="array" aca="1" ref="L446" ca="1">INDIRECT("'Definition of Typical Day'!"&amp; ADDRESS($D446+29*(L$16-1),$E446))</f>
        <v>0</v>
      </c>
      <c r="M446" s="768" cm="1">
        <f t="array" aca="1" ref="M446" ca="1">INDIRECT("'Definition of Typical Day'!"&amp; ADDRESS($D446+29*(M$16-1),$E446))</f>
        <v>0</v>
      </c>
      <c r="N446" s="715">
        <f t="shared" si="472"/>
        <v>3</v>
      </c>
      <c r="O446" s="715">
        <f t="shared" ca="1" si="473"/>
        <v>3</v>
      </c>
      <c r="P446" s="715" cm="1">
        <f t="array" aca="1" ref="P446" ca="1">INDIRECT("'Definition of Typical Day'!"&amp; ADDRESS($D446+29*(P$16-1),$E446))</f>
        <v>0</v>
      </c>
      <c r="Q446" s="787">
        <f t="shared" ca="1" si="474"/>
        <v>3</v>
      </c>
      <c r="R446" s="792">
        <f t="shared" ca="1" si="475"/>
        <v>3</v>
      </c>
      <c r="S446" s="769">
        <f t="shared" si="476"/>
        <v>3</v>
      </c>
      <c r="T446" s="769">
        <f t="shared" ca="1" si="477"/>
        <v>-0.5</v>
      </c>
      <c r="U446" s="769">
        <f t="shared" ca="1" si="478"/>
        <v>2.262</v>
      </c>
      <c r="V446" s="769">
        <f t="shared" ca="1" si="479"/>
        <v>0</v>
      </c>
      <c r="W446" s="769">
        <f t="shared" ca="1" si="480"/>
        <v>4.7620000000000005</v>
      </c>
      <c r="X446" s="794">
        <f t="shared" si="481"/>
        <v>3</v>
      </c>
      <c r="Y446" s="769">
        <f t="shared" ca="1" si="482"/>
        <v>0.54772255750516607</v>
      </c>
      <c r="Z446" s="769">
        <f t="shared" ca="1" si="483"/>
        <v>0</v>
      </c>
      <c r="AA446" s="795">
        <f t="shared" ca="1" si="484"/>
        <v>0</v>
      </c>
      <c r="AB446" s="769">
        <f t="shared" ca="1" si="485"/>
        <v>0</v>
      </c>
      <c r="AC446" s="769">
        <f t="shared" ca="1" si="486"/>
        <v>0</v>
      </c>
      <c r="AD446" s="769">
        <f t="shared" ca="1" si="487"/>
        <v>0</v>
      </c>
      <c r="AE446" s="794">
        <f t="shared" ca="1" si="488"/>
        <v>0</v>
      </c>
      <c r="AF446" s="769">
        <f t="shared" ca="1" si="489"/>
        <v>0</v>
      </c>
      <c r="AG446" s="769">
        <f t="shared" ca="1" si="490"/>
        <v>0</v>
      </c>
      <c r="AH446" s="799">
        <f t="shared" ca="1" si="491"/>
        <v>0</v>
      </c>
      <c r="AI446" s="801">
        <f t="shared" ca="1" si="492"/>
        <v>1</v>
      </c>
      <c r="AJ446" s="794">
        <f t="shared" ca="1" si="493"/>
        <v>0</v>
      </c>
      <c r="AK446" s="769">
        <f t="shared" ca="1" si="494"/>
        <v>0</v>
      </c>
      <c r="AL446" s="769">
        <f t="shared" ca="1" si="495"/>
        <v>0</v>
      </c>
      <c r="AM446" s="804">
        <f t="shared" ca="1" si="445"/>
        <v>0</v>
      </c>
      <c r="AN446" s="795">
        <f t="shared" ca="1" si="446"/>
        <v>0</v>
      </c>
      <c r="AO446" s="251"/>
      <c r="AP446" s="770">
        <f t="shared" si="496"/>
        <v>0</v>
      </c>
      <c r="AQ446" s="771">
        <f t="shared" ca="1" si="497"/>
        <v>0</v>
      </c>
      <c r="AR446" s="771">
        <f t="shared" ca="1" si="498"/>
        <v>0</v>
      </c>
      <c r="AS446" s="772">
        <f t="shared" ca="1" si="499"/>
        <v>0</v>
      </c>
      <c r="AT446" s="231"/>
      <c r="AU446" s="770">
        <f>'Main Results - IRR DC Operator'!$F$16</f>
        <v>2</v>
      </c>
      <c r="AV446" s="773">
        <f>'Main Results - IRR DC Operator'!$F$15</f>
        <v>1</v>
      </c>
      <c r="AW446" s="771">
        <f t="shared" ca="1" si="500"/>
        <v>0</v>
      </c>
      <c r="AX446" s="772">
        <f t="shared" si="501"/>
        <v>0</v>
      </c>
      <c r="AY446" s="231"/>
      <c r="AZ446" s="770" cm="1">
        <f t="array" aca="1" ref="AZ446" ca="1">INDIRECT("'Definition of Typical Day'!"&amp; ADDRESS($D446+29*(AZ$16-1),$E446))+$AZ$17</f>
        <v>11</v>
      </c>
      <c r="BA446" s="771" cm="1">
        <f t="array" aca="1" ref="BA446" ca="1">INDIRECT("'Definition of Typical Day'!"&amp; ADDRESS($D446+29*(BA$16-1),$E446))+$BA$17</f>
        <v>11</v>
      </c>
      <c r="BB446" s="772" cm="1">
        <f t="array" aca="1" ref="BB446" ca="1">INDIRECT("'Definition of Typical Day'!"&amp;ADDRESS(BB$16,$E446))</f>
        <v>0</v>
      </c>
      <c r="BC446" s="776" cm="1">
        <f t="array" aca="1" ref="BC446" ca="1">INDIRECT("'Definition of Typical Day'!"&amp; ADDRESS($D446+29*(BC$16-1),$E446))</f>
        <v>0</v>
      </c>
      <c r="BD446" s="777" cm="1">
        <f t="array" aca="1" ref="BD446" ca="1">INDIRECT("'Definition of Typical Day'!"&amp; ADDRESS($D446+29*(BD$16-1),$E446))</f>
        <v>0</v>
      </c>
      <c r="BE446" s="776">
        <f t="shared" si="502"/>
        <v>0</v>
      </c>
      <c r="BF446" s="771">
        <f t="shared" ca="1" si="503"/>
        <v>0</v>
      </c>
      <c r="BG446" s="771">
        <f t="shared" ca="1" si="504"/>
        <v>0</v>
      </c>
      <c r="BH446" s="771">
        <f t="shared" ca="1" si="505"/>
        <v>0</v>
      </c>
      <c r="BI446" s="776">
        <f t="shared" ca="1" si="506"/>
        <v>0</v>
      </c>
      <c r="BJ446" s="776">
        <f t="shared" ca="1" si="507"/>
        <v>0</v>
      </c>
      <c r="BK446" s="776">
        <f t="shared" ca="1" si="508"/>
        <v>0</v>
      </c>
      <c r="BL446" s="776">
        <f t="shared" ca="1" si="509"/>
        <v>0</v>
      </c>
      <c r="BM446" s="135"/>
      <c r="BN446" s="776">
        <f t="shared" ca="1" si="510"/>
        <v>0</v>
      </c>
      <c r="BO446" s="778">
        <f t="shared" ca="1" si="447"/>
        <v>0</v>
      </c>
      <c r="BP446" s="770">
        <f t="shared" ca="1" si="448"/>
        <v>0</v>
      </c>
      <c r="BQ446" s="771">
        <f t="shared" ca="1" si="449"/>
        <v>0</v>
      </c>
      <c r="BR446" s="771">
        <f t="shared" ca="1" si="450"/>
        <v>0</v>
      </c>
      <c r="BS446" s="776">
        <f t="shared" ca="1" si="511"/>
        <v>0</v>
      </c>
      <c r="BT446" s="776">
        <f t="shared" ca="1" si="451"/>
        <v>0</v>
      </c>
      <c r="BU446" s="783">
        <f t="shared" ca="1" si="452"/>
        <v>0</v>
      </c>
      <c r="BV446" s="783">
        <f t="shared" ca="1" si="453"/>
        <v>0</v>
      </c>
      <c r="BW446" s="1019">
        <f t="shared" ca="1" si="512"/>
        <v>0</v>
      </c>
      <c r="BX446" s="771" cm="1">
        <f t="array" aca="1" ref="BX446" ca="1">INDIRECT("'Definition of Typical Day'!"&amp; ADDRESS($D446+29*(BX$16-1),$E446))</f>
        <v>0</v>
      </c>
      <c r="BY446" s="771">
        <f t="shared" ca="1" si="513"/>
        <v>0</v>
      </c>
      <c r="BZ446" s="781">
        <f t="shared" ca="1" si="454"/>
        <v>0</v>
      </c>
      <c r="CA446" s="781">
        <f t="shared" ca="1" si="455"/>
        <v>0</v>
      </c>
      <c r="CB446" s="776">
        <f t="shared" ca="1" si="456"/>
        <v>0</v>
      </c>
      <c r="CC446" s="782">
        <f t="shared" si="457"/>
        <v>18</v>
      </c>
      <c r="CD446" s="782">
        <f t="shared" si="458"/>
        <v>18</v>
      </c>
      <c r="CE446" s="784" cm="1">
        <f t="array" aca="1" ref="CE446" ca="1">INDIRECT("'Definition of Typical Day'!"&amp;ADDRESS(CE$16,$E446))</f>
        <v>18</v>
      </c>
      <c r="CF446" s="232"/>
      <c r="CG446" s="232"/>
      <c r="CH446" s="776">
        <f t="shared" ca="1" si="459"/>
        <v>0</v>
      </c>
      <c r="CI446" s="806">
        <f t="shared" ca="1" si="460"/>
        <v>0</v>
      </c>
      <c r="CJ446" s="770">
        <f t="shared" ca="1" si="461"/>
        <v>0</v>
      </c>
      <c r="CK446" s="771">
        <f t="shared" ca="1" si="462"/>
        <v>0</v>
      </c>
      <c r="CL446" s="771">
        <f t="shared" ca="1" si="463"/>
        <v>0</v>
      </c>
      <c r="CM446" s="772">
        <f t="shared" ca="1" si="464"/>
        <v>0</v>
      </c>
      <c r="CN446" s="135"/>
      <c r="CO446" s="770">
        <f t="shared" ca="1" si="514"/>
        <v>1.05</v>
      </c>
      <c r="CP446" s="771">
        <f t="shared" ca="1" si="465"/>
        <v>0.02</v>
      </c>
      <c r="CQ446" s="771">
        <f t="shared" ca="1" si="466"/>
        <v>-2.5000000000000001E-2</v>
      </c>
      <c r="CR446" s="771">
        <f t="shared" ca="1" si="467"/>
        <v>0.95</v>
      </c>
      <c r="CS446" s="771">
        <f t="shared" ca="1" si="468"/>
        <v>0.03</v>
      </c>
      <c r="CT446" s="772">
        <f t="shared" ca="1" si="469"/>
        <v>0.02</v>
      </c>
      <c r="CU446" s="135"/>
      <c r="CV446" s="135"/>
      <c r="CW446" s="135"/>
      <c r="CX446" s="135"/>
      <c r="CY446" s="135"/>
      <c r="CZ446" s="135"/>
      <c r="DA446" s="135"/>
      <c r="DB446" s="135"/>
      <c r="DC446" s="135"/>
      <c r="DD446" s="135"/>
      <c r="DE446" s="135"/>
      <c r="DF446" s="135"/>
      <c r="DG446" s="135"/>
      <c r="DH446" s="135"/>
      <c r="DI446" s="135"/>
      <c r="DJ446" s="135"/>
      <c r="DK446" s="135"/>
      <c r="DL446" s="135"/>
      <c r="DX446" s="135"/>
      <c r="DY446" s="135"/>
      <c r="DZ446" s="135"/>
      <c r="EA446" s="135"/>
      <c r="EB446" s="135"/>
      <c r="EC446" s="135"/>
      <c r="ED446" s="135"/>
      <c r="EE446" s="135"/>
      <c r="EF446" s="135"/>
      <c r="EG446" s="135"/>
      <c r="EH446" s="135"/>
      <c r="EI446" s="135"/>
      <c r="EJ446" s="135"/>
      <c r="EK446" s="135"/>
      <c r="EL446" s="135"/>
      <c r="EM446" s="135"/>
      <c r="EN446" s="135"/>
      <c r="EO446" s="135"/>
      <c r="EP446" s="135"/>
      <c r="EQ446" s="135"/>
      <c r="ER446" s="135"/>
      <c r="ES446" s="135"/>
      <c r="ET446" s="135"/>
      <c r="EU446" s="135"/>
      <c r="EV446" s="135"/>
      <c r="EW446" s="135"/>
      <c r="EX446" s="135"/>
      <c r="EY446" s="135"/>
      <c r="EZ446" s="135"/>
      <c r="FA446" s="135"/>
      <c r="FB446" s="135"/>
      <c r="FC446" s="135"/>
      <c r="FD446" s="135"/>
      <c r="FE446" s="135"/>
      <c r="FF446" s="135"/>
      <c r="FG446" s="135"/>
    </row>
    <row r="447" spans="1:163" s="57" customFormat="1" ht="11.25" outlineLevel="1">
      <c r="A447" s="765">
        <f t="shared" si="515"/>
        <v>18</v>
      </c>
      <c r="B447" s="715" cm="1">
        <f t="array" aca="1" ref="B447" ca="1">INDIRECT("'Definition of Typical Day'!"&amp;ADDRESS(B$16,$E447))</f>
        <v>18</v>
      </c>
      <c r="C447" s="766">
        <f t="shared" si="516"/>
        <v>19</v>
      </c>
      <c r="D447" s="715">
        <f t="shared" si="516"/>
        <v>53</v>
      </c>
      <c r="E447" s="715">
        <f t="shared" si="444"/>
        <v>22</v>
      </c>
      <c r="F447" s="767" cm="1">
        <f t="array" aca="1" ref="F447" ca="1">INDIRECT("'Definition of Typical Day'!D"&amp;D447)</f>
        <v>19</v>
      </c>
      <c r="G447" s="767" cm="1">
        <f t="array" aca="1" ref="G447" ca="1">INDIRECT("'Definition of Typical Day'!"&amp;ADDRESS(13,E447))</f>
        <v>18</v>
      </c>
      <c r="H447" s="768" cm="1">
        <f t="array" aca="1" ref="H447" ca="1">INDIRECT("'Definition of Typical Day'!"&amp; ADDRESS($D447+28*(H$16-1),$E447))</f>
        <v>0</v>
      </c>
      <c r="I447" s="715" cm="1">
        <f t="array" aca="1" ref="I447" ca="1">INDIRECT("'Definition of Typical Day'!"&amp; ADDRESS($D447+29*(I$16-1),$E447))</f>
        <v>0</v>
      </c>
      <c r="J447" s="715">
        <f t="shared" ca="1" si="470"/>
        <v>0</v>
      </c>
      <c r="K447" s="785">
        <f t="shared" si="471"/>
        <v>28</v>
      </c>
      <c r="L447" s="786" cm="1">
        <f t="array" aca="1" ref="L447" ca="1">INDIRECT("'Definition of Typical Day'!"&amp; ADDRESS($D447+29*(L$16-1),$E447))</f>
        <v>0</v>
      </c>
      <c r="M447" s="768" cm="1">
        <f t="array" aca="1" ref="M447" ca="1">INDIRECT("'Definition of Typical Day'!"&amp; ADDRESS($D447+29*(M$16-1),$E447))</f>
        <v>0</v>
      </c>
      <c r="N447" s="715">
        <f t="shared" si="472"/>
        <v>3</v>
      </c>
      <c r="O447" s="715">
        <f t="shared" ca="1" si="473"/>
        <v>3</v>
      </c>
      <c r="P447" s="715" cm="1">
        <f t="array" aca="1" ref="P447" ca="1">INDIRECT("'Definition of Typical Day'!"&amp; ADDRESS($D447+29*(P$16-1),$E447))</f>
        <v>0</v>
      </c>
      <c r="Q447" s="787">
        <f t="shared" ca="1" si="474"/>
        <v>3</v>
      </c>
      <c r="R447" s="792">
        <f t="shared" ca="1" si="475"/>
        <v>3</v>
      </c>
      <c r="S447" s="769">
        <f t="shared" si="476"/>
        <v>3</v>
      </c>
      <c r="T447" s="769">
        <f t="shared" ca="1" si="477"/>
        <v>-0.5</v>
      </c>
      <c r="U447" s="769">
        <f t="shared" ca="1" si="478"/>
        <v>2.262</v>
      </c>
      <c r="V447" s="769">
        <f t="shared" ca="1" si="479"/>
        <v>0</v>
      </c>
      <c r="W447" s="769">
        <f t="shared" ca="1" si="480"/>
        <v>4.7620000000000005</v>
      </c>
      <c r="X447" s="794">
        <f t="shared" si="481"/>
        <v>3</v>
      </c>
      <c r="Y447" s="769">
        <f t="shared" ca="1" si="482"/>
        <v>0.54772255750516607</v>
      </c>
      <c r="Z447" s="769">
        <f t="shared" ca="1" si="483"/>
        <v>0</v>
      </c>
      <c r="AA447" s="795">
        <f t="shared" ca="1" si="484"/>
        <v>0</v>
      </c>
      <c r="AB447" s="769">
        <f t="shared" ca="1" si="485"/>
        <v>0</v>
      </c>
      <c r="AC447" s="769">
        <f t="shared" ca="1" si="486"/>
        <v>0</v>
      </c>
      <c r="AD447" s="769">
        <f t="shared" ca="1" si="487"/>
        <v>0</v>
      </c>
      <c r="AE447" s="794">
        <f t="shared" ca="1" si="488"/>
        <v>0</v>
      </c>
      <c r="AF447" s="769">
        <f t="shared" ca="1" si="489"/>
        <v>0</v>
      </c>
      <c r="AG447" s="769">
        <f t="shared" ca="1" si="490"/>
        <v>0</v>
      </c>
      <c r="AH447" s="799">
        <f t="shared" ca="1" si="491"/>
        <v>0</v>
      </c>
      <c r="AI447" s="801">
        <f t="shared" ca="1" si="492"/>
        <v>1</v>
      </c>
      <c r="AJ447" s="794">
        <f t="shared" ca="1" si="493"/>
        <v>0</v>
      </c>
      <c r="AK447" s="769">
        <f t="shared" ca="1" si="494"/>
        <v>0</v>
      </c>
      <c r="AL447" s="769">
        <f t="shared" ca="1" si="495"/>
        <v>0</v>
      </c>
      <c r="AM447" s="804">
        <f t="shared" ca="1" si="445"/>
        <v>0</v>
      </c>
      <c r="AN447" s="795">
        <f t="shared" ca="1" si="446"/>
        <v>0</v>
      </c>
      <c r="AO447" s="251"/>
      <c r="AP447" s="770">
        <f t="shared" si="496"/>
        <v>0</v>
      </c>
      <c r="AQ447" s="771">
        <f t="shared" ca="1" si="497"/>
        <v>0</v>
      </c>
      <c r="AR447" s="771">
        <f t="shared" ca="1" si="498"/>
        <v>0</v>
      </c>
      <c r="AS447" s="772">
        <f t="shared" ca="1" si="499"/>
        <v>0</v>
      </c>
      <c r="AT447" s="231"/>
      <c r="AU447" s="770">
        <f>'Main Results - IRR DC Operator'!$F$16</f>
        <v>2</v>
      </c>
      <c r="AV447" s="773">
        <f>'Main Results - IRR DC Operator'!$F$15</f>
        <v>1</v>
      </c>
      <c r="AW447" s="771">
        <f t="shared" ca="1" si="500"/>
        <v>0</v>
      </c>
      <c r="AX447" s="772">
        <f t="shared" si="501"/>
        <v>0</v>
      </c>
      <c r="AY447" s="231"/>
      <c r="AZ447" s="770" cm="1">
        <f t="array" aca="1" ref="AZ447" ca="1">INDIRECT("'Definition of Typical Day'!"&amp; ADDRESS($D447+29*(AZ$16-1),$E447))+$AZ$17</f>
        <v>11</v>
      </c>
      <c r="BA447" s="771" cm="1">
        <f t="array" aca="1" ref="BA447" ca="1">INDIRECT("'Definition of Typical Day'!"&amp; ADDRESS($D447+29*(BA$16-1),$E447))+$BA$17</f>
        <v>11</v>
      </c>
      <c r="BB447" s="772" cm="1">
        <f t="array" aca="1" ref="BB447" ca="1">INDIRECT("'Definition of Typical Day'!"&amp;ADDRESS(BB$16,$E447))</f>
        <v>0</v>
      </c>
      <c r="BC447" s="776" cm="1">
        <f t="array" aca="1" ref="BC447" ca="1">INDIRECT("'Definition of Typical Day'!"&amp; ADDRESS($D447+29*(BC$16-1),$E447))</f>
        <v>0</v>
      </c>
      <c r="BD447" s="777" cm="1">
        <f t="array" aca="1" ref="BD447" ca="1">INDIRECT("'Definition of Typical Day'!"&amp; ADDRESS($D447+29*(BD$16-1),$E447))</f>
        <v>0</v>
      </c>
      <c r="BE447" s="776">
        <f t="shared" si="502"/>
        <v>0</v>
      </c>
      <c r="BF447" s="771">
        <f t="shared" ca="1" si="503"/>
        <v>0</v>
      </c>
      <c r="BG447" s="771">
        <f t="shared" ca="1" si="504"/>
        <v>0</v>
      </c>
      <c r="BH447" s="771">
        <f t="shared" ca="1" si="505"/>
        <v>0</v>
      </c>
      <c r="BI447" s="776">
        <f t="shared" ca="1" si="506"/>
        <v>0</v>
      </c>
      <c r="BJ447" s="776">
        <f t="shared" ca="1" si="507"/>
        <v>0</v>
      </c>
      <c r="BK447" s="776">
        <f t="shared" ca="1" si="508"/>
        <v>0</v>
      </c>
      <c r="BL447" s="776">
        <f t="shared" ca="1" si="509"/>
        <v>0</v>
      </c>
      <c r="BM447" s="135"/>
      <c r="BN447" s="776">
        <f t="shared" ca="1" si="510"/>
        <v>0</v>
      </c>
      <c r="BO447" s="778">
        <f t="shared" ca="1" si="447"/>
        <v>0</v>
      </c>
      <c r="BP447" s="770">
        <f t="shared" ca="1" si="448"/>
        <v>0</v>
      </c>
      <c r="BQ447" s="771">
        <f t="shared" ca="1" si="449"/>
        <v>0</v>
      </c>
      <c r="BR447" s="771">
        <f t="shared" ca="1" si="450"/>
        <v>0</v>
      </c>
      <c r="BS447" s="776">
        <f t="shared" ca="1" si="511"/>
        <v>0</v>
      </c>
      <c r="BT447" s="776">
        <f t="shared" ca="1" si="451"/>
        <v>0</v>
      </c>
      <c r="BU447" s="783">
        <f t="shared" ca="1" si="452"/>
        <v>0</v>
      </c>
      <c r="BV447" s="783">
        <f t="shared" ca="1" si="453"/>
        <v>0</v>
      </c>
      <c r="BW447" s="1019">
        <f t="shared" ca="1" si="512"/>
        <v>0</v>
      </c>
      <c r="BX447" s="771" cm="1">
        <f t="array" aca="1" ref="BX447" ca="1">INDIRECT("'Definition of Typical Day'!"&amp; ADDRESS($D447+29*(BX$16-1),$E447))</f>
        <v>0</v>
      </c>
      <c r="BY447" s="771">
        <f t="shared" ca="1" si="513"/>
        <v>0</v>
      </c>
      <c r="BZ447" s="781">
        <f t="shared" ca="1" si="454"/>
        <v>0</v>
      </c>
      <c r="CA447" s="781">
        <f t="shared" ca="1" si="455"/>
        <v>0</v>
      </c>
      <c r="CB447" s="776">
        <f t="shared" ca="1" si="456"/>
        <v>0</v>
      </c>
      <c r="CC447" s="782">
        <f t="shared" si="457"/>
        <v>18</v>
      </c>
      <c r="CD447" s="782">
        <f t="shared" si="458"/>
        <v>19</v>
      </c>
      <c r="CE447" s="784" cm="1">
        <f t="array" aca="1" ref="CE447" ca="1">INDIRECT("'Definition of Typical Day'!"&amp;ADDRESS(CE$16,$E447))</f>
        <v>18</v>
      </c>
      <c r="CF447" s="232"/>
      <c r="CG447" s="232"/>
      <c r="CH447" s="776">
        <f t="shared" ca="1" si="459"/>
        <v>0</v>
      </c>
      <c r="CI447" s="806">
        <f t="shared" ca="1" si="460"/>
        <v>0</v>
      </c>
      <c r="CJ447" s="770">
        <f t="shared" ca="1" si="461"/>
        <v>0</v>
      </c>
      <c r="CK447" s="771">
        <f t="shared" ca="1" si="462"/>
        <v>0</v>
      </c>
      <c r="CL447" s="771">
        <f t="shared" ca="1" si="463"/>
        <v>0</v>
      </c>
      <c r="CM447" s="772">
        <f t="shared" ca="1" si="464"/>
        <v>0</v>
      </c>
      <c r="CN447" s="135"/>
      <c r="CO447" s="770">
        <f t="shared" ca="1" si="514"/>
        <v>1.05</v>
      </c>
      <c r="CP447" s="771">
        <f t="shared" ca="1" si="465"/>
        <v>0.02</v>
      </c>
      <c r="CQ447" s="771">
        <f t="shared" ca="1" si="466"/>
        <v>-2.5000000000000001E-2</v>
      </c>
      <c r="CR447" s="771">
        <f t="shared" ca="1" si="467"/>
        <v>0.95</v>
      </c>
      <c r="CS447" s="771">
        <f t="shared" ca="1" si="468"/>
        <v>0.03</v>
      </c>
      <c r="CT447" s="772">
        <f t="shared" ca="1" si="469"/>
        <v>0.02</v>
      </c>
      <c r="CU447" s="135"/>
      <c r="CV447" s="135"/>
      <c r="CW447" s="135"/>
      <c r="CX447" s="135"/>
      <c r="CY447" s="135"/>
      <c r="CZ447" s="135"/>
      <c r="DA447" s="135"/>
      <c r="DB447" s="135"/>
      <c r="DC447" s="135"/>
      <c r="DD447" s="135"/>
      <c r="DE447" s="135"/>
      <c r="DF447" s="135"/>
      <c r="DG447" s="135"/>
      <c r="DH447" s="135"/>
      <c r="DI447" s="135"/>
      <c r="DJ447" s="135"/>
      <c r="DK447" s="135"/>
      <c r="DL447" s="135"/>
      <c r="DX447" s="135"/>
      <c r="DY447" s="135"/>
      <c r="DZ447" s="135"/>
      <c r="EA447" s="135"/>
      <c r="EB447" s="135"/>
      <c r="EC447" s="135"/>
      <c r="ED447" s="135"/>
      <c r="EE447" s="135"/>
      <c r="EF447" s="135"/>
      <c r="EG447" s="135"/>
      <c r="EH447" s="135"/>
      <c r="EI447" s="135"/>
      <c r="EJ447" s="135"/>
      <c r="EK447" s="135"/>
      <c r="EL447" s="135"/>
      <c r="EM447" s="135"/>
      <c r="EN447" s="135"/>
      <c r="EO447" s="135"/>
      <c r="EP447" s="135"/>
      <c r="EQ447" s="135"/>
      <c r="ER447" s="135"/>
      <c r="ES447" s="135"/>
      <c r="ET447" s="135"/>
      <c r="EU447" s="135"/>
      <c r="EV447" s="135"/>
      <c r="EW447" s="135"/>
      <c r="EX447" s="135"/>
      <c r="EY447" s="135"/>
      <c r="EZ447" s="135"/>
      <c r="FA447" s="135"/>
      <c r="FB447" s="135"/>
      <c r="FC447" s="135"/>
      <c r="FD447" s="135"/>
      <c r="FE447" s="135"/>
      <c r="FF447" s="135"/>
      <c r="FG447" s="135"/>
    </row>
    <row r="448" spans="1:163" s="57" customFormat="1" ht="11.25" outlineLevel="1">
      <c r="A448" s="765">
        <f t="shared" si="515"/>
        <v>18</v>
      </c>
      <c r="B448" s="715" cm="1">
        <f t="array" aca="1" ref="B448" ca="1">INDIRECT("'Definition of Typical Day'!"&amp;ADDRESS(B$16,$E448))</f>
        <v>18</v>
      </c>
      <c r="C448" s="766">
        <f t="shared" si="516"/>
        <v>20</v>
      </c>
      <c r="D448" s="715">
        <f t="shared" si="516"/>
        <v>54</v>
      </c>
      <c r="E448" s="715">
        <f t="shared" si="444"/>
        <v>22</v>
      </c>
      <c r="F448" s="767" cm="1">
        <f t="array" aca="1" ref="F448" ca="1">INDIRECT("'Definition of Typical Day'!D"&amp;D448)</f>
        <v>20</v>
      </c>
      <c r="G448" s="767" cm="1">
        <f t="array" aca="1" ref="G448" ca="1">INDIRECT("'Definition of Typical Day'!"&amp;ADDRESS(13,E448))</f>
        <v>18</v>
      </c>
      <c r="H448" s="768" cm="1">
        <f t="array" aca="1" ref="H448" ca="1">INDIRECT("'Definition of Typical Day'!"&amp; ADDRESS($D448+28*(H$16-1),$E448))</f>
        <v>0</v>
      </c>
      <c r="I448" s="715" cm="1">
        <f t="array" aca="1" ref="I448" ca="1">INDIRECT("'Definition of Typical Day'!"&amp; ADDRESS($D448+29*(I$16-1),$E448))</f>
        <v>0</v>
      </c>
      <c r="J448" s="715">
        <f t="shared" ca="1" si="470"/>
        <v>0</v>
      </c>
      <c r="K448" s="785">
        <f t="shared" si="471"/>
        <v>28</v>
      </c>
      <c r="L448" s="786" cm="1">
        <f t="array" aca="1" ref="L448" ca="1">INDIRECT("'Definition of Typical Day'!"&amp; ADDRESS($D448+29*(L$16-1),$E448))</f>
        <v>0</v>
      </c>
      <c r="M448" s="768" cm="1">
        <f t="array" aca="1" ref="M448" ca="1">INDIRECT("'Definition of Typical Day'!"&amp; ADDRESS($D448+29*(M$16-1),$E448))</f>
        <v>0</v>
      </c>
      <c r="N448" s="715">
        <f t="shared" si="472"/>
        <v>3</v>
      </c>
      <c r="O448" s="715">
        <f t="shared" ca="1" si="473"/>
        <v>3</v>
      </c>
      <c r="P448" s="715" cm="1">
        <f t="array" aca="1" ref="P448" ca="1">INDIRECT("'Definition of Typical Day'!"&amp; ADDRESS($D448+29*(P$16-1),$E448))</f>
        <v>0</v>
      </c>
      <c r="Q448" s="787">
        <f t="shared" ca="1" si="474"/>
        <v>3</v>
      </c>
      <c r="R448" s="792">
        <f t="shared" ca="1" si="475"/>
        <v>3</v>
      </c>
      <c r="S448" s="769">
        <f t="shared" si="476"/>
        <v>3</v>
      </c>
      <c r="T448" s="769">
        <f t="shared" ca="1" si="477"/>
        <v>-0.5</v>
      </c>
      <c r="U448" s="769">
        <f t="shared" ca="1" si="478"/>
        <v>2.262</v>
      </c>
      <c r="V448" s="769">
        <f t="shared" ca="1" si="479"/>
        <v>0</v>
      </c>
      <c r="W448" s="769">
        <f t="shared" ca="1" si="480"/>
        <v>4.7620000000000005</v>
      </c>
      <c r="X448" s="794">
        <f t="shared" si="481"/>
        <v>3</v>
      </c>
      <c r="Y448" s="769">
        <f t="shared" ca="1" si="482"/>
        <v>0.54772255750516607</v>
      </c>
      <c r="Z448" s="769">
        <f t="shared" ca="1" si="483"/>
        <v>0</v>
      </c>
      <c r="AA448" s="795">
        <f t="shared" ca="1" si="484"/>
        <v>0</v>
      </c>
      <c r="AB448" s="769">
        <f t="shared" ca="1" si="485"/>
        <v>0</v>
      </c>
      <c r="AC448" s="769">
        <f t="shared" ca="1" si="486"/>
        <v>0</v>
      </c>
      <c r="AD448" s="769">
        <f t="shared" ca="1" si="487"/>
        <v>0</v>
      </c>
      <c r="AE448" s="794">
        <f t="shared" ca="1" si="488"/>
        <v>0</v>
      </c>
      <c r="AF448" s="769">
        <f t="shared" ca="1" si="489"/>
        <v>0</v>
      </c>
      <c r="AG448" s="769">
        <f t="shared" ca="1" si="490"/>
        <v>0</v>
      </c>
      <c r="AH448" s="799">
        <f t="shared" ca="1" si="491"/>
        <v>0</v>
      </c>
      <c r="AI448" s="801">
        <f t="shared" ca="1" si="492"/>
        <v>1</v>
      </c>
      <c r="AJ448" s="794">
        <f t="shared" ca="1" si="493"/>
        <v>0</v>
      </c>
      <c r="AK448" s="769">
        <f t="shared" ca="1" si="494"/>
        <v>0</v>
      </c>
      <c r="AL448" s="769">
        <f t="shared" ca="1" si="495"/>
        <v>0</v>
      </c>
      <c r="AM448" s="804">
        <f t="shared" ca="1" si="445"/>
        <v>0</v>
      </c>
      <c r="AN448" s="795">
        <f t="shared" ca="1" si="446"/>
        <v>0</v>
      </c>
      <c r="AO448" s="251"/>
      <c r="AP448" s="770">
        <f t="shared" si="496"/>
        <v>0</v>
      </c>
      <c r="AQ448" s="771">
        <f t="shared" ca="1" si="497"/>
        <v>0</v>
      </c>
      <c r="AR448" s="771">
        <f t="shared" ca="1" si="498"/>
        <v>0</v>
      </c>
      <c r="AS448" s="772">
        <f t="shared" ca="1" si="499"/>
        <v>0</v>
      </c>
      <c r="AT448" s="231"/>
      <c r="AU448" s="770">
        <f>'Main Results - IRR DC Operator'!$F$16</f>
        <v>2</v>
      </c>
      <c r="AV448" s="773">
        <f>'Main Results - IRR DC Operator'!$F$15</f>
        <v>1</v>
      </c>
      <c r="AW448" s="771">
        <f t="shared" ca="1" si="500"/>
        <v>0</v>
      </c>
      <c r="AX448" s="772">
        <f t="shared" si="501"/>
        <v>0</v>
      </c>
      <c r="AY448" s="231"/>
      <c r="AZ448" s="770" cm="1">
        <f t="array" aca="1" ref="AZ448" ca="1">INDIRECT("'Definition of Typical Day'!"&amp; ADDRESS($D448+29*(AZ$16-1),$E448))+$AZ$17</f>
        <v>11</v>
      </c>
      <c r="BA448" s="771" cm="1">
        <f t="array" aca="1" ref="BA448" ca="1">INDIRECT("'Definition of Typical Day'!"&amp; ADDRESS($D448+29*(BA$16-1),$E448))+$BA$17</f>
        <v>11</v>
      </c>
      <c r="BB448" s="772" cm="1">
        <f t="array" aca="1" ref="BB448" ca="1">INDIRECT("'Definition of Typical Day'!"&amp;ADDRESS(BB$16,$E448))</f>
        <v>0</v>
      </c>
      <c r="BC448" s="776" cm="1">
        <f t="array" aca="1" ref="BC448" ca="1">INDIRECT("'Definition of Typical Day'!"&amp; ADDRESS($D448+29*(BC$16-1),$E448))</f>
        <v>0</v>
      </c>
      <c r="BD448" s="777" cm="1">
        <f t="array" aca="1" ref="BD448" ca="1">INDIRECT("'Definition of Typical Day'!"&amp; ADDRESS($D448+29*(BD$16-1),$E448))</f>
        <v>0</v>
      </c>
      <c r="BE448" s="776">
        <f t="shared" si="502"/>
        <v>0</v>
      </c>
      <c r="BF448" s="771">
        <f t="shared" ca="1" si="503"/>
        <v>0</v>
      </c>
      <c r="BG448" s="771">
        <f t="shared" ca="1" si="504"/>
        <v>0</v>
      </c>
      <c r="BH448" s="771">
        <f t="shared" ca="1" si="505"/>
        <v>0</v>
      </c>
      <c r="BI448" s="776">
        <f t="shared" ca="1" si="506"/>
        <v>0</v>
      </c>
      <c r="BJ448" s="776">
        <f t="shared" ca="1" si="507"/>
        <v>0</v>
      </c>
      <c r="BK448" s="776">
        <f t="shared" ca="1" si="508"/>
        <v>0</v>
      </c>
      <c r="BL448" s="776">
        <f t="shared" ca="1" si="509"/>
        <v>0</v>
      </c>
      <c r="BM448" s="135"/>
      <c r="BN448" s="776">
        <f t="shared" ca="1" si="510"/>
        <v>0</v>
      </c>
      <c r="BO448" s="778">
        <f t="shared" ca="1" si="447"/>
        <v>0</v>
      </c>
      <c r="BP448" s="770">
        <f t="shared" ca="1" si="448"/>
        <v>0</v>
      </c>
      <c r="BQ448" s="771">
        <f t="shared" ca="1" si="449"/>
        <v>0</v>
      </c>
      <c r="BR448" s="771">
        <f t="shared" ca="1" si="450"/>
        <v>0</v>
      </c>
      <c r="BS448" s="776">
        <f t="shared" ca="1" si="511"/>
        <v>0</v>
      </c>
      <c r="BT448" s="776">
        <f t="shared" ca="1" si="451"/>
        <v>0</v>
      </c>
      <c r="BU448" s="783">
        <f t="shared" ca="1" si="452"/>
        <v>0</v>
      </c>
      <c r="BV448" s="783">
        <f t="shared" ca="1" si="453"/>
        <v>0</v>
      </c>
      <c r="BW448" s="1019">
        <f t="shared" ca="1" si="512"/>
        <v>0</v>
      </c>
      <c r="BX448" s="771" cm="1">
        <f t="array" aca="1" ref="BX448" ca="1">INDIRECT("'Definition of Typical Day'!"&amp; ADDRESS($D448+29*(BX$16-1),$E448))</f>
        <v>0</v>
      </c>
      <c r="BY448" s="771">
        <f t="shared" ca="1" si="513"/>
        <v>0</v>
      </c>
      <c r="BZ448" s="781">
        <f t="shared" ca="1" si="454"/>
        <v>0</v>
      </c>
      <c r="CA448" s="781">
        <f t="shared" ca="1" si="455"/>
        <v>0</v>
      </c>
      <c r="CB448" s="776">
        <f t="shared" ca="1" si="456"/>
        <v>0</v>
      </c>
      <c r="CC448" s="782">
        <f t="shared" si="457"/>
        <v>18</v>
      </c>
      <c r="CD448" s="782">
        <f t="shared" si="458"/>
        <v>20</v>
      </c>
      <c r="CE448" s="784" cm="1">
        <f t="array" aca="1" ref="CE448" ca="1">INDIRECT("'Definition of Typical Day'!"&amp;ADDRESS(CE$16,$E448))</f>
        <v>18</v>
      </c>
      <c r="CF448" s="232"/>
      <c r="CG448" s="232"/>
      <c r="CH448" s="776">
        <f t="shared" ca="1" si="459"/>
        <v>0</v>
      </c>
      <c r="CI448" s="806">
        <f t="shared" ca="1" si="460"/>
        <v>0</v>
      </c>
      <c r="CJ448" s="770">
        <f t="shared" ca="1" si="461"/>
        <v>0</v>
      </c>
      <c r="CK448" s="771">
        <f t="shared" ca="1" si="462"/>
        <v>0</v>
      </c>
      <c r="CL448" s="771">
        <f t="shared" ca="1" si="463"/>
        <v>0</v>
      </c>
      <c r="CM448" s="772">
        <f t="shared" ca="1" si="464"/>
        <v>0</v>
      </c>
      <c r="CN448" s="135"/>
      <c r="CO448" s="770">
        <f t="shared" ca="1" si="514"/>
        <v>1.05</v>
      </c>
      <c r="CP448" s="771">
        <f t="shared" ca="1" si="465"/>
        <v>0.02</v>
      </c>
      <c r="CQ448" s="771">
        <f t="shared" ca="1" si="466"/>
        <v>-2.5000000000000001E-2</v>
      </c>
      <c r="CR448" s="771">
        <f t="shared" ca="1" si="467"/>
        <v>0.95</v>
      </c>
      <c r="CS448" s="771">
        <f t="shared" ca="1" si="468"/>
        <v>0.03</v>
      </c>
      <c r="CT448" s="772">
        <f t="shared" ca="1" si="469"/>
        <v>0.02</v>
      </c>
      <c r="CU448" s="135"/>
      <c r="CV448" s="135"/>
      <c r="CW448" s="135"/>
      <c r="CX448" s="135"/>
      <c r="CY448" s="135"/>
      <c r="CZ448" s="135"/>
      <c r="DA448" s="135"/>
      <c r="DB448" s="135"/>
      <c r="DC448" s="135"/>
      <c r="DD448" s="135"/>
      <c r="DE448" s="135"/>
      <c r="DF448" s="135"/>
      <c r="DG448" s="135"/>
      <c r="DH448" s="135"/>
      <c r="DI448" s="135"/>
      <c r="DJ448" s="135"/>
      <c r="DK448" s="135"/>
      <c r="DL448" s="135"/>
      <c r="DX448" s="135"/>
      <c r="DY448" s="135"/>
      <c r="DZ448" s="135"/>
      <c r="EA448" s="135"/>
      <c r="EB448" s="135"/>
      <c r="EC448" s="135"/>
      <c r="ED448" s="135"/>
      <c r="EE448" s="135"/>
      <c r="EF448" s="135"/>
      <c r="EG448" s="135"/>
      <c r="EH448" s="135"/>
      <c r="EI448" s="135"/>
      <c r="EJ448" s="135"/>
      <c r="EK448" s="135"/>
      <c r="EL448" s="135"/>
      <c r="EM448" s="135"/>
      <c r="EN448" s="135"/>
      <c r="EO448" s="135"/>
      <c r="EP448" s="135"/>
      <c r="EQ448" s="135"/>
      <c r="ER448" s="135"/>
      <c r="ES448" s="135"/>
      <c r="ET448" s="135"/>
      <c r="EU448" s="135"/>
      <c r="EV448" s="135"/>
      <c r="EW448" s="135"/>
      <c r="EX448" s="135"/>
      <c r="EY448" s="135"/>
      <c r="EZ448" s="135"/>
      <c r="FA448" s="135"/>
      <c r="FB448" s="135"/>
      <c r="FC448" s="135"/>
      <c r="FD448" s="135"/>
      <c r="FE448" s="135"/>
      <c r="FF448" s="135"/>
      <c r="FG448" s="135"/>
    </row>
    <row r="449" spans="1:163" s="57" customFormat="1" ht="11.25" outlineLevel="1">
      <c r="A449" s="765">
        <f t="shared" si="515"/>
        <v>18</v>
      </c>
      <c r="B449" s="715" cm="1">
        <f t="array" aca="1" ref="B449" ca="1">INDIRECT("'Definition of Typical Day'!"&amp;ADDRESS(B$16,$E449))</f>
        <v>18</v>
      </c>
      <c r="C449" s="766">
        <f t="shared" si="516"/>
        <v>21</v>
      </c>
      <c r="D449" s="715">
        <f t="shared" si="516"/>
        <v>55</v>
      </c>
      <c r="E449" s="715">
        <f t="shared" si="444"/>
        <v>22</v>
      </c>
      <c r="F449" s="767" cm="1">
        <f t="array" aca="1" ref="F449" ca="1">INDIRECT("'Definition of Typical Day'!D"&amp;D449)</f>
        <v>21</v>
      </c>
      <c r="G449" s="767" cm="1">
        <f t="array" aca="1" ref="G449" ca="1">INDIRECT("'Definition of Typical Day'!"&amp;ADDRESS(13,E449))</f>
        <v>18</v>
      </c>
      <c r="H449" s="768" cm="1">
        <f t="array" aca="1" ref="H449" ca="1">INDIRECT("'Definition of Typical Day'!"&amp; ADDRESS($D449+28*(H$16-1),$E449))</f>
        <v>0</v>
      </c>
      <c r="I449" s="715" cm="1">
        <f t="array" aca="1" ref="I449" ca="1">INDIRECT("'Definition of Typical Day'!"&amp; ADDRESS($D449+29*(I$16-1),$E449))</f>
        <v>0</v>
      </c>
      <c r="J449" s="715">
        <f t="shared" ca="1" si="470"/>
        <v>0</v>
      </c>
      <c r="K449" s="785">
        <f t="shared" si="471"/>
        <v>28</v>
      </c>
      <c r="L449" s="786" cm="1">
        <f t="array" aca="1" ref="L449" ca="1">INDIRECT("'Definition of Typical Day'!"&amp; ADDRESS($D449+29*(L$16-1),$E449))</f>
        <v>0</v>
      </c>
      <c r="M449" s="768" cm="1">
        <f t="array" aca="1" ref="M449" ca="1">INDIRECT("'Definition of Typical Day'!"&amp; ADDRESS($D449+29*(M$16-1),$E449))</f>
        <v>0</v>
      </c>
      <c r="N449" s="715">
        <f t="shared" si="472"/>
        <v>3</v>
      </c>
      <c r="O449" s="715">
        <f t="shared" ca="1" si="473"/>
        <v>3</v>
      </c>
      <c r="P449" s="715" cm="1">
        <f t="array" aca="1" ref="P449" ca="1">INDIRECT("'Definition of Typical Day'!"&amp; ADDRESS($D449+29*(P$16-1),$E449))</f>
        <v>0</v>
      </c>
      <c r="Q449" s="787">
        <f t="shared" ca="1" si="474"/>
        <v>3</v>
      </c>
      <c r="R449" s="792">
        <f t="shared" ca="1" si="475"/>
        <v>3</v>
      </c>
      <c r="S449" s="769">
        <f t="shared" si="476"/>
        <v>3</v>
      </c>
      <c r="T449" s="769">
        <f t="shared" ca="1" si="477"/>
        <v>-0.5</v>
      </c>
      <c r="U449" s="769">
        <f t="shared" ca="1" si="478"/>
        <v>2.262</v>
      </c>
      <c r="V449" s="769">
        <f t="shared" ca="1" si="479"/>
        <v>0</v>
      </c>
      <c r="W449" s="769">
        <f t="shared" ca="1" si="480"/>
        <v>4.7620000000000005</v>
      </c>
      <c r="X449" s="794">
        <f t="shared" si="481"/>
        <v>3</v>
      </c>
      <c r="Y449" s="769">
        <f t="shared" ca="1" si="482"/>
        <v>0.54772255750516607</v>
      </c>
      <c r="Z449" s="769">
        <f t="shared" ca="1" si="483"/>
        <v>0</v>
      </c>
      <c r="AA449" s="795">
        <f t="shared" ca="1" si="484"/>
        <v>0</v>
      </c>
      <c r="AB449" s="769">
        <f t="shared" ca="1" si="485"/>
        <v>0</v>
      </c>
      <c r="AC449" s="769">
        <f t="shared" ca="1" si="486"/>
        <v>0</v>
      </c>
      <c r="AD449" s="769">
        <f t="shared" ca="1" si="487"/>
        <v>0</v>
      </c>
      <c r="AE449" s="794">
        <f t="shared" ca="1" si="488"/>
        <v>0</v>
      </c>
      <c r="AF449" s="769">
        <f t="shared" ca="1" si="489"/>
        <v>0</v>
      </c>
      <c r="AG449" s="769">
        <f t="shared" ca="1" si="490"/>
        <v>0</v>
      </c>
      <c r="AH449" s="799">
        <f t="shared" ca="1" si="491"/>
        <v>0</v>
      </c>
      <c r="AI449" s="801">
        <f t="shared" ca="1" si="492"/>
        <v>1</v>
      </c>
      <c r="AJ449" s="794">
        <f t="shared" ca="1" si="493"/>
        <v>0</v>
      </c>
      <c r="AK449" s="769">
        <f t="shared" ca="1" si="494"/>
        <v>0</v>
      </c>
      <c r="AL449" s="769">
        <f t="shared" ca="1" si="495"/>
        <v>0</v>
      </c>
      <c r="AM449" s="804">
        <f t="shared" ca="1" si="445"/>
        <v>0</v>
      </c>
      <c r="AN449" s="795">
        <f t="shared" ca="1" si="446"/>
        <v>0</v>
      </c>
      <c r="AO449" s="251"/>
      <c r="AP449" s="770">
        <f t="shared" si="496"/>
        <v>0</v>
      </c>
      <c r="AQ449" s="771">
        <f t="shared" ca="1" si="497"/>
        <v>0</v>
      </c>
      <c r="AR449" s="771">
        <f t="shared" ca="1" si="498"/>
        <v>0</v>
      </c>
      <c r="AS449" s="772">
        <f t="shared" ca="1" si="499"/>
        <v>0</v>
      </c>
      <c r="AT449" s="231"/>
      <c r="AU449" s="770">
        <f>'Main Results - IRR DC Operator'!$F$16</f>
        <v>2</v>
      </c>
      <c r="AV449" s="773">
        <f>'Main Results - IRR DC Operator'!$F$15</f>
        <v>1</v>
      </c>
      <c r="AW449" s="771">
        <f t="shared" ca="1" si="500"/>
        <v>0</v>
      </c>
      <c r="AX449" s="772">
        <f t="shared" si="501"/>
        <v>0</v>
      </c>
      <c r="AY449" s="231"/>
      <c r="AZ449" s="770" cm="1">
        <f t="array" aca="1" ref="AZ449" ca="1">INDIRECT("'Definition of Typical Day'!"&amp; ADDRESS($D449+29*(AZ$16-1),$E449))+$AZ$17</f>
        <v>11</v>
      </c>
      <c r="BA449" s="771" cm="1">
        <f t="array" aca="1" ref="BA449" ca="1">INDIRECT("'Definition of Typical Day'!"&amp; ADDRESS($D449+29*(BA$16-1),$E449))+$BA$17</f>
        <v>11</v>
      </c>
      <c r="BB449" s="772" cm="1">
        <f t="array" aca="1" ref="BB449" ca="1">INDIRECT("'Definition of Typical Day'!"&amp;ADDRESS(BB$16,$E449))</f>
        <v>0</v>
      </c>
      <c r="BC449" s="776" cm="1">
        <f t="array" aca="1" ref="BC449" ca="1">INDIRECT("'Definition of Typical Day'!"&amp; ADDRESS($D449+29*(BC$16-1),$E449))</f>
        <v>0</v>
      </c>
      <c r="BD449" s="777" cm="1">
        <f t="array" aca="1" ref="BD449" ca="1">INDIRECT("'Definition of Typical Day'!"&amp; ADDRESS($D449+29*(BD$16-1),$E449))</f>
        <v>0</v>
      </c>
      <c r="BE449" s="776">
        <f t="shared" si="502"/>
        <v>0</v>
      </c>
      <c r="BF449" s="771">
        <f t="shared" ca="1" si="503"/>
        <v>0</v>
      </c>
      <c r="BG449" s="771">
        <f t="shared" ca="1" si="504"/>
        <v>0</v>
      </c>
      <c r="BH449" s="771">
        <f t="shared" ca="1" si="505"/>
        <v>0</v>
      </c>
      <c r="BI449" s="776">
        <f t="shared" ca="1" si="506"/>
        <v>0</v>
      </c>
      <c r="BJ449" s="776">
        <f t="shared" ca="1" si="507"/>
        <v>0</v>
      </c>
      <c r="BK449" s="776">
        <f t="shared" ca="1" si="508"/>
        <v>0</v>
      </c>
      <c r="BL449" s="776">
        <f t="shared" ca="1" si="509"/>
        <v>0</v>
      </c>
      <c r="BM449" s="135"/>
      <c r="BN449" s="776">
        <f t="shared" ca="1" si="510"/>
        <v>0</v>
      </c>
      <c r="BO449" s="778">
        <f t="shared" ca="1" si="447"/>
        <v>0</v>
      </c>
      <c r="BP449" s="770">
        <f t="shared" ca="1" si="448"/>
        <v>0</v>
      </c>
      <c r="BQ449" s="771">
        <f t="shared" ca="1" si="449"/>
        <v>0</v>
      </c>
      <c r="BR449" s="771">
        <f t="shared" ca="1" si="450"/>
        <v>0</v>
      </c>
      <c r="BS449" s="776">
        <f t="shared" ca="1" si="511"/>
        <v>0</v>
      </c>
      <c r="BT449" s="776">
        <f t="shared" ca="1" si="451"/>
        <v>0</v>
      </c>
      <c r="BU449" s="783">
        <f t="shared" ca="1" si="452"/>
        <v>0</v>
      </c>
      <c r="BV449" s="783">
        <f t="shared" ca="1" si="453"/>
        <v>0</v>
      </c>
      <c r="BW449" s="1019">
        <f t="shared" ca="1" si="512"/>
        <v>0</v>
      </c>
      <c r="BX449" s="771" cm="1">
        <f t="array" aca="1" ref="BX449" ca="1">INDIRECT("'Definition of Typical Day'!"&amp; ADDRESS($D449+29*(BX$16-1),$E449))</f>
        <v>0</v>
      </c>
      <c r="BY449" s="771">
        <f t="shared" ca="1" si="513"/>
        <v>0</v>
      </c>
      <c r="BZ449" s="781">
        <f t="shared" ca="1" si="454"/>
        <v>0</v>
      </c>
      <c r="CA449" s="781">
        <f t="shared" ca="1" si="455"/>
        <v>0</v>
      </c>
      <c r="CB449" s="776">
        <f t="shared" ca="1" si="456"/>
        <v>0</v>
      </c>
      <c r="CC449" s="782">
        <f t="shared" si="457"/>
        <v>18</v>
      </c>
      <c r="CD449" s="782">
        <f t="shared" si="458"/>
        <v>21</v>
      </c>
      <c r="CE449" s="784" cm="1">
        <f t="array" aca="1" ref="CE449" ca="1">INDIRECT("'Definition of Typical Day'!"&amp;ADDRESS(CE$16,$E449))</f>
        <v>18</v>
      </c>
      <c r="CF449" s="232"/>
      <c r="CG449" s="232"/>
      <c r="CH449" s="776">
        <f t="shared" ca="1" si="459"/>
        <v>0</v>
      </c>
      <c r="CI449" s="806">
        <f t="shared" ca="1" si="460"/>
        <v>0</v>
      </c>
      <c r="CJ449" s="770">
        <f t="shared" ca="1" si="461"/>
        <v>0</v>
      </c>
      <c r="CK449" s="771">
        <f t="shared" ca="1" si="462"/>
        <v>0</v>
      </c>
      <c r="CL449" s="771">
        <f t="shared" ca="1" si="463"/>
        <v>0</v>
      </c>
      <c r="CM449" s="772">
        <f t="shared" ca="1" si="464"/>
        <v>0</v>
      </c>
      <c r="CN449" s="135"/>
      <c r="CO449" s="770">
        <f t="shared" ca="1" si="514"/>
        <v>1.05</v>
      </c>
      <c r="CP449" s="771">
        <f t="shared" ca="1" si="465"/>
        <v>0.02</v>
      </c>
      <c r="CQ449" s="771">
        <f t="shared" ca="1" si="466"/>
        <v>-2.5000000000000001E-2</v>
      </c>
      <c r="CR449" s="771">
        <f t="shared" ca="1" si="467"/>
        <v>0.95</v>
      </c>
      <c r="CS449" s="771">
        <f t="shared" ca="1" si="468"/>
        <v>0.03</v>
      </c>
      <c r="CT449" s="772">
        <f t="shared" ca="1" si="469"/>
        <v>0.02</v>
      </c>
      <c r="CU449" s="135"/>
      <c r="CV449" s="135"/>
      <c r="CW449" s="135"/>
      <c r="CX449" s="135"/>
      <c r="CY449" s="135"/>
      <c r="CZ449" s="135"/>
      <c r="DA449" s="135"/>
      <c r="DB449" s="135"/>
      <c r="DC449" s="135"/>
      <c r="DD449" s="135"/>
      <c r="DE449" s="135"/>
      <c r="DF449" s="135"/>
      <c r="DG449" s="135"/>
      <c r="DH449" s="135"/>
      <c r="DI449" s="135"/>
      <c r="DJ449" s="135"/>
      <c r="DK449" s="135"/>
      <c r="DL449" s="135"/>
      <c r="DX449" s="135"/>
      <c r="DY449" s="135"/>
      <c r="DZ449" s="135"/>
      <c r="EA449" s="135"/>
      <c r="EB449" s="135"/>
      <c r="EC449" s="135"/>
      <c r="ED449" s="135"/>
      <c r="EE449" s="135"/>
      <c r="EF449" s="135"/>
      <c r="EG449" s="135"/>
      <c r="EH449" s="135"/>
      <c r="EI449" s="135"/>
      <c r="EJ449" s="135"/>
      <c r="EK449" s="135"/>
      <c r="EL449" s="135"/>
      <c r="EM449" s="135"/>
      <c r="EN449" s="135"/>
      <c r="EO449" s="135"/>
      <c r="EP449" s="135"/>
      <c r="EQ449" s="135"/>
      <c r="ER449" s="135"/>
      <c r="ES449" s="135"/>
      <c r="ET449" s="135"/>
      <c r="EU449" s="135"/>
      <c r="EV449" s="135"/>
      <c r="EW449" s="135"/>
      <c r="EX449" s="135"/>
      <c r="EY449" s="135"/>
      <c r="EZ449" s="135"/>
      <c r="FA449" s="135"/>
      <c r="FB449" s="135"/>
      <c r="FC449" s="135"/>
      <c r="FD449" s="135"/>
      <c r="FE449" s="135"/>
      <c r="FF449" s="135"/>
      <c r="FG449" s="135"/>
    </row>
    <row r="450" spans="1:163" s="57" customFormat="1" ht="11.25" outlineLevel="1">
      <c r="A450" s="765">
        <f t="shared" si="515"/>
        <v>18</v>
      </c>
      <c r="B450" s="715" cm="1">
        <f t="array" aca="1" ref="B450" ca="1">INDIRECT("'Definition of Typical Day'!"&amp;ADDRESS(B$16,$E450))</f>
        <v>18</v>
      </c>
      <c r="C450" s="766">
        <f t="shared" si="516"/>
        <v>22</v>
      </c>
      <c r="D450" s="715">
        <f t="shared" si="516"/>
        <v>56</v>
      </c>
      <c r="E450" s="715">
        <f t="shared" si="444"/>
        <v>22</v>
      </c>
      <c r="F450" s="767" cm="1">
        <f t="array" aca="1" ref="F450" ca="1">INDIRECT("'Definition of Typical Day'!D"&amp;D450)</f>
        <v>22</v>
      </c>
      <c r="G450" s="767" cm="1">
        <f t="array" aca="1" ref="G450" ca="1">INDIRECT("'Definition of Typical Day'!"&amp;ADDRESS(13,E450))</f>
        <v>18</v>
      </c>
      <c r="H450" s="768" cm="1">
        <f t="array" aca="1" ref="H450" ca="1">INDIRECT("'Definition of Typical Day'!"&amp; ADDRESS($D450+28*(H$16-1),$E450))</f>
        <v>0</v>
      </c>
      <c r="I450" s="715" cm="1">
        <f t="array" aca="1" ref="I450" ca="1">INDIRECT("'Definition of Typical Day'!"&amp; ADDRESS($D450+29*(I$16-1),$E450))</f>
        <v>0</v>
      </c>
      <c r="J450" s="715">
        <f t="shared" ca="1" si="470"/>
        <v>0</v>
      </c>
      <c r="K450" s="785">
        <f t="shared" si="471"/>
        <v>28</v>
      </c>
      <c r="L450" s="786" cm="1">
        <f t="array" aca="1" ref="L450" ca="1">INDIRECT("'Definition of Typical Day'!"&amp; ADDRESS($D450+29*(L$16-1),$E450))</f>
        <v>0</v>
      </c>
      <c r="M450" s="768" cm="1">
        <f t="array" aca="1" ref="M450" ca="1">INDIRECT("'Definition of Typical Day'!"&amp; ADDRESS($D450+29*(M$16-1),$E450))</f>
        <v>0</v>
      </c>
      <c r="N450" s="715">
        <f t="shared" si="472"/>
        <v>3</v>
      </c>
      <c r="O450" s="715">
        <f t="shared" ca="1" si="473"/>
        <v>3</v>
      </c>
      <c r="P450" s="715" cm="1">
        <f t="array" aca="1" ref="P450" ca="1">INDIRECT("'Definition of Typical Day'!"&amp; ADDRESS($D450+29*(P$16-1),$E450))</f>
        <v>0</v>
      </c>
      <c r="Q450" s="787">
        <f t="shared" ca="1" si="474"/>
        <v>3</v>
      </c>
      <c r="R450" s="792">
        <f t="shared" ca="1" si="475"/>
        <v>3</v>
      </c>
      <c r="S450" s="769">
        <f t="shared" si="476"/>
        <v>3</v>
      </c>
      <c r="T450" s="769">
        <f t="shared" ca="1" si="477"/>
        <v>-0.5</v>
      </c>
      <c r="U450" s="769">
        <f t="shared" ca="1" si="478"/>
        <v>2.262</v>
      </c>
      <c r="V450" s="769">
        <f t="shared" ca="1" si="479"/>
        <v>0</v>
      </c>
      <c r="W450" s="769">
        <f t="shared" ca="1" si="480"/>
        <v>4.7620000000000005</v>
      </c>
      <c r="X450" s="794">
        <f t="shared" si="481"/>
        <v>3</v>
      </c>
      <c r="Y450" s="769">
        <f t="shared" ca="1" si="482"/>
        <v>0.54772255750516607</v>
      </c>
      <c r="Z450" s="769">
        <f t="shared" ca="1" si="483"/>
        <v>0</v>
      </c>
      <c r="AA450" s="795">
        <f t="shared" ca="1" si="484"/>
        <v>0</v>
      </c>
      <c r="AB450" s="769">
        <f t="shared" ca="1" si="485"/>
        <v>0</v>
      </c>
      <c r="AC450" s="769">
        <f t="shared" ca="1" si="486"/>
        <v>0</v>
      </c>
      <c r="AD450" s="769">
        <f t="shared" ca="1" si="487"/>
        <v>0</v>
      </c>
      <c r="AE450" s="794">
        <f t="shared" ca="1" si="488"/>
        <v>0</v>
      </c>
      <c r="AF450" s="769">
        <f t="shared" ca="1" si="489"/>
        <v>0</v>
      </c>
      <c r="AG450" s="769">
        <f t="shared" ca="1" si="490"/>
        <v>0</v>
      </c>
      <c r="AH450" s="799">
        <f t="shared" ca="1" si="491"/>
        <v>0</v>
      </c>
      <c r="AI450" s="801">
        <f t="shared" ca="1" si="492"/>
        <v>1</v>
      </c>
      <c r="AJ450" s="794">
        <f t="shared" ca="1" si="493"/>
        <v>0</v>
      </c>
      <c r="AK450" s="769">
        <f t="shared" ca="1" si="494"/>
        <v>0</v>
      </c>
      <c r="AL450" s="769">
        <f t="shared" ca="1" si="495"/>
        <v>0</v>
      </c>
      <c r="AM450" s="804">
        <f t="shared" ca="1" si="445"/>
        <v>0</v>
      </c>
      <c r="AN450" s="795">
        <f t="shared" ca="1" si="446"/>
        <v>0</v>
      </c>
      <c r="AO450" s="251"/>
      <c r="AP450" s="770">
        <f t="shared" si="496"/>
        <v>0</v>
      </c>
      <c r="AQ450" s="771">
        <f t="shared" ca="1" si="497"/>
        <v>0</v>
      </c>
      <c r="AR450" s="771">
        <f t="shared" ca="1" si="498"/>
        <v>0</v>
      </c>
      <c r="AS450" s="772">
        <f t="shared" ca="1" si="499"/>
        <v>0</v>
      </c>
      <c r="AT450" s="231"/>
      <c r="AU450" s="770">
        <f>'Main Results - IRR DC Operator'!$F$16</f>
        <v>2</v>
      </c>
      <c r="AV450" s="773">
        <f>'Main Results - IRR DC Operator'!$F$15</f>
        <v>1</v>
      </c>
      <c r="AW450" s="771">
        <f t="shared" ca="1" si="500"/>
        <v>0</v>
      </c>
      <c r="AX450" s="772">
        <f t="shared" si="501"/>
        <v>0</v>
      </c>
      <c r="AY450" s="231"/>
      <c r="AZ450" s="770" cm="1">
        <f t="array" aca="1" ref="AZ450" ca="1">INDIRECT("'Definition of Typical Day'!"&amp; ADDRESS($D450+29*(AZ$16-1),$E450))+$AZ$17</f>
        <v>11</v>
      </c>
      <c r="BA450" s="771" cm="1">
        <f t="array" aca="1" ref="BA450" ca="1">INDIRECT("'Definition of Typical Day'!"&amp; ADDRESS($D450+29*(BA$16-1),$E450))+$BA$17</f>
        <v>11</v>
      </c>
      <c r="BB450" s="772" cm="1">
        <f t="array" aca="1" ref="BB450" ca="1">INDIRECT("'Definition of Typical Day'!"&amp;ADDRESS(BB$16,$E450))</f>
        <v>0</v>
      </c>
      <c r="BC450" s="776" cm="1">
        <f t="array" aca="1" ref="BC450" ca="1">INDIRECT("'Definition of Typical Day'!"&amp; ADDRESS($D450+29*(BC$16-1),$E450))</f>
        <v>0</v>
      </c>
      <c r="BD450" s="777" cm="1">
        <f t="array" aca="1" ref="BD450" ca="1">INDIRECT("'Definition of Typical Day'!"&amp; ADDRESS($D450+29*(BD$16-1),$E450))</f>
        <v>0</v>
      </c>
      <c r="BE450" s="776">
        <f t="shared" si="502"/>
        <v>0</v>
      </c>
      <c r="BF450" s="771">
        <f t="shared" ca="1" si="503"/>
        <v>0</v>
      </c>
      <c r="BG450" s="771">
        <f t="shared" ca="1" si="504"/>
        <v>0</v>
      </c>
      <c r="BH450" s="771">
        <f t="shared" ca="1" si="505"/>
        <v>0</v>
      </c>
      <c r="BI450" s="776">
        <f t="shared" ca="1" si="506"/>
        <v>0</v>
      </c>
      <c r="BJ450" s="776">
        <f t="shared" ca="1" si="507"/>
        <v>0</v>
      </c>
      <c r="BK450" s="776">
        <f t="shared" ca="1" si="508"/>
        <v>0</v>
      </c>
      <c r="BL450" s="776">
        <f t="shared" ca="1" si="509"/>
        <v>0</v>
      </c>
      <c r="BM450" s="135"/>
      <c r="BN450" s="776">
        <f t="shared" ca="1" si="510"/>
        <v>0</v>
      </c>
      <c r="BO450" s="778">
        <f t="shared" ca="1" si="447"/>
        <v>0</v>
      </c>
      <c r="BP450" s="770">
        <f t="shared" ca="1" si="448"/>
        <v>0</v>
      </c>
      <c r="BQ450" s="771">
        <f t="shared" ca="1" si="449"/>
        <v>0</v>
      </c>
      <c r="BR450" s="771">
        <f t="shared" ca="1" si="450"/>
        <v>0</v>
      </c>
      <c r="BS450" s="776">
        <f t="shared" ca="1" si="511"/>
        <v>0</v>
      </c>
      <c r="BT450" s="776">
        <f t="shared" ca="1" si="451"/>
        <v>0</v>
      </c>
      <c r="BU450" s="783">
        <f t="shared" ca="1" si="452"/>
        <v>0</v>
      </c>
      <c r="BV450" s="783">
        <f t="shared" ca="1" si="453"/>
        <v>0</v>
      </c>
      <c r="BW450" s="1019">
        <f t="shared" ca="1" si="512"/>
        <v>0</v>
      </c>
      <c r="BX450" s="771" cm="1">
        <f t="array" aca="1" ref="BX450" ca="1">INDIRECT("'Definition of Typical Day'!"&amp; ADDRESS($D450+29*(BX$16-1),$E450))</f>
        <v>0</v>
      </c>
      <c r="BY450" s="771">
        <f t="shared" ca="1" si="513"/>
        <v>0</v>
      </c>
      <c r="BZ450" s="781">
        <f t="shared" ca="1" si="454"/>
        <v>0</v>
      </c>
      <c r="CA450" s="781">
        <f t="shared" ca="1" si="455"/>
        <v>0</v>
      </c>
      <c r="CB450" s="776">
        <f t="shared" ca="1" si="456"/>
        <v>0</v>
      </c>
      <c r="CC450" s="782">
        <f t="shared" si="457"/>
        <v>18</v>
      </c>
      <c r="CD450" s="782">
        <f t="shared" si="458"/>
        <v>22</v>
      </c>
      <c r="CE450" s="784" cm="1">
        <f t="array" aca="1" ref="CE450" ca="1">INDIRECT("'Definition of Typical Day'!"&amp;ADDRESS(CE$16,$E450))</f>
        <v>18</v>
      </c>
      <c r="CF450" s="232"/>
      <c r="CG450" s="232"/>
      <c r="CH450" s="776">
        <f t="shared" ca="1" si="459"/>
        <v>0</v>
      </c>
      <c r="CI450" s="806">
        <f t="shared" ca="1" si="460"/>
        <v>0</v>
      </c>
      <c r="CJ450" s="770">
        <f t="shared" ca="1" si="461"/>
        <v>0</v>
      </c>
      <c r="CK450" s="771">
        <f t="shared" ca="1" si="462"/>
        <v>0</v>
      </c>
      <c r="CL450" s="771">
        <f t="shared" ca="1" si="463"/>
        <v>0</v>
      </c>
      <c r="CM450" s="772">
        <f t="shared" ca="1" si="464"/>
        <v>0</v>
      </c>
      <c r="CN450" s="135"/>
      <c r="CO450" s="770">
        <f t="shared" ca="1" si="514"/>
        <v>1.05</v>
      </c>
      <c r="CP450" s="771">
        <f t="shared" ca="1" si="465"/>
        <v>0.02</v>
      </c>
      <c r="CQ450" s="771">
        <f t="shared" ca="1" si="466"/>
        <v>-2.5000000000000001E-2</v>
      </c>
      <c r="CR450" s="771">
        <f t="shared" ca="1" si="467"/>
        <v>0.95</v>
      </c>
      <c r="CS450" s="771">
        <f t="shared" ca="1" si="468"/>
        <v>0.03</v>
      </c>
      <c r="CT450" s="772">
        <f t="shared" ca="1" si="469"/>
        <v>0.02</v>
      </c>
      <c r="CU450" s="135"/>
      <c r="CV450" s="135"/>
      <c r="CW450" s="135"/>
      <c r="CX450" s="135"/>
      <c r="CY450" s="135"/>
      <c r="CZ450" s="135"/>
      <c r="DA450" s="135"/>
      <c r="DB450" s="135"/>
      <c r="DC450" s="135"/>
      <c r="DD450" s="135"/>
      <c r="DE450" s="135"/>
      <c r="DF450" s="135"/>
      <c r="DG450" s="135"/>
      <c r="DH450" s="135"/>
      <c r="DI450" s="135"/>
      <c r="DJ450" s="135"/>
      <c r="DK450" s="135"/>
      <c r="DL450" s="135"/>
      <c r="DX450" s="135"/>
      <c r="DY450" s="135"/>
      <c r="DZ450" s="135"/>
      <c r="EA450" s="135"/>
      <c r="EB450" s="135"/>
      <c r="EC450" s="135"/>
      <c r="ED450" s="135"/>
      <c r="EE450" s="135"/>
      <c r="EF450" s="135"/>
      <c r="EG450" s="135"/>
      <c r="EH450" s="135"/>
      <c r="EI450" s="135"/>
      <c r="EJ450" s="135"/>
      <c r="EK450" s="135"/>
      <c r="EL450" s="135"/>
      <c r="EM450" s="135"/>
      <c r="EN450" s="135"/>
      <c r="EO450" s="135"/>
      <c r="EP450" s="135"/>
      <c r="EQ450" s="135"/>
      <c r="ER450" s="135"/>
      <c r="ES450" s="135"/>
      <c r="ET450" s="135"/>
      <c r="EU450" s="135"/>
      <c r="EV450" s="135"/>
      <c r="EW450" s="135"/>
      <c r="EX450" s="135"/>
      <c r="EY450" s="135"/>
      <c r="EZ450" s="135"/>
      <c r="FA450" s="135"/>
      <c r="FB450" s="135"/>
      <c r="FC450" s="135"/>
      <c r="FD450" s="135"/>
      <c r="FE450" s="135"/>
      <c r="FF450" s="135"/>
      <c r="FG450" s="135"/>
    </row>
    <row r="451" spans="1:163" s="57" customFormat="1" ht="11.25" outlineLevel="1">
      <c r="A451" s="765">
        <f t="shared" si="515"/>
        <v>18</v>
      </c>
      <c r="B451" s="715" cm="1">
        <f t="array" aca="1" ref="B451" ca="1">INDIRECT("'Definition of Typical Day'!"&amp;ADDRESS(B$16,$E451))</f>
        <v>18</v>
      </c>
      <c r="C451" s="766">
        <f t="shared" si="516"/>
        <v>23</v>
      </c>
      <c r="D451" s="715">
        <f t="shared" si="516"/>
        <v>57</v>
      </c>
      <c r="E451" s="715">
        <f t="shared" si="444"/>
        <v>22</v>
      </c>
      <c r="F451" s="767" cm="1">
        <f t="array" aca="1" ref="F451" ca="1">INDIRECT("'Definition of Typical Day'!D"&amp;D451)</f>
        <v>23</v>
      </c>
      <c r="G451" s="767" cm="1">
        <f t="array" aca="1" ref="G451" ca="1">INDIRECT("'Definition of Typical Day'!"&amp;ADDRESS(13,E451))</f>
        <v>18</v>
      </c>
      <c r="H451" s="768" cm="1">
        <f t="array" aca="1" ref="H451" ca="1">INDIRECT("'Definition of Typical Day'!"&amp; ADDRESS($D451+28*(H$16-1),$E451))</f>
        <v>0</v>
      </c>
      <c r="I451" s="715" cm="1">
        <f t="array" aca="1" ref="I451" ca="1">INDIRECT("'Definition of Typical Day'!"&amp; ADDRESS($D451+29*(I$16-1),$E451))</f>
        <v>0</v>
      </c>
      <c r="J451" s="715">
        <f t="shared" ca="1" si="470"/>
        <v>0</v>
      </c>
      <c r="K451" s="785">
        <f t="shared" si="471"/>
        <v>28</v>
      </c>
      <c r="L451" s="786" cm="1">
        <f t="array" aca="1" ref="L451" ca="1">INDIRECT("'Definition of Typical Day'!"&amp; ADDRESS($D451+29*(L$16-1),$E451))</f>
        <v>0</v>
      </c>
      <c r="M451" s="768" cm="1">
        <f t="array" aca="1" ref="M451" ca="1">INDIRECT("'Definition of Typical Day'!"&amp; ADDRESS($D451+29*(M$16-1),$E451))</f>
        <v>0</v>
      </c>
      <c r="N451" s="715">
        <f t="shared" si="472"/>
        <v>3</v>
      </c>
      <c r="O451" s="715">
        <f t="shared" ca="1" si="473"/>
        <v>3</v>
      </c>
      <c r="P451" s="715" cm="1">
        <f t="array" aca="1" ref="P451" ca="1">INDIRECT("'Definition of Typical Day'!"&amp; ADDRESS($D451+29*(P$16-1),$E451))</f>
        <v>0</v>
      </c>
      <c r="Q451" s="787">
        <f t="shared" ca="1" si="474"/>
        <v>3</v>
      </c>
      <c r="R451" s="792">
        <f t="shared" ca="1" si="475"/>
        <v>3</v>
      </c>
      <c r="S451" s="769">
        <f t="shared" si="476"/>
        <v>3</v>
      </c>
      <c r="T451" s="769">
        <f t="shared" ca="1" si="477"/>
        <v>-0.5</v>
      </c>
      <c r="U451" s="769">
        <f t="shared" ca="1" si="478"/>
        <v>2.262</v>
      </c>
      <c r="V451" s="769">
        <f t="shared" ca="1" si="479"/>
        <v>0</v>
      </c>
      <c r="W451" s="769">
        <f t="shared" ca="1" si="480"/>
        <v>4.7620000000000005</v>
      </c>
      <c r="X451" s="794">
        <f t="shared" si="481"/>
        <v>3</v>
      </c>
      <c r="Y451" s="769">
        <f t="shared" ca="1" si="482"/>
        <v>0.54772255750516607</v>
      </c>
      <c r="Z451" s="769">
        <f t="shared" ca="1" si="483"/>
        <v>0</v>
      </c>
      <c r="AA451" s="795">
        <f t="shared" ca="1" si="484"/>
        <v>0</v>
      </c>
      <c r="AB451" s="769">
        <f t="shared" ca="1" si="485"/>
        <v>0</v>
      </c>
      <c r="AC451" s="769">
        <f t="shared" ca="1" si="486"/>
        <v>0</v>
      </c>
      <c r="AD451" s="769">
        <f t="shared" ca="1" si="487"/>
        <v>0</v>
      </c>
      <c r="AE451" s="794">
        <f t="shared" ca="1" si="488"/>
        <v>0</v>
      </c>
      <c r="AF451" s="769">
        <f t="shared" ca="1" si="489"/>
        <v>0</v>
      </c>
      <c r="AG451" s="769">
        <f t="shared" ca="1" si="490"/>
        <v>0</v>
      </c>
      <c r="AH451" s="799">
        <f t="shared" ca="1" si="491"/>
        <v>0</v>
      </c>
      <c r="AI451" s="801">
        <f t="shared" ca="1" si="492"/>
        <v>1</v>
      </c>
      <c r="AJ451" s="794">
        <f t="shared" ca="1" si="493"/>
        <v>0</v>
      </c>
      <c r="AK451" s="769">
        <f t="shared" ca="1" si="494"/>
        <v>0</v>
      </c>
      <c r="AL451" s="769">
        <f t="shared" ca="1" si="495"/>
        <v>0</v>
      </c>
      <c r="AM451" s="804">
        <f t="shared" ca="1" si="445"/>
        <v>0</v>
      </c>
      <c r="AN451" s="795">
        <f t="shared" ca="1" si="446"/>
        <v>0</v>
      </c>
      <c r="AO451" s="251"/>
      <c r="AP451" s="770">
        <f t="shared" si="496"/>
        <v>0</v>
      </c>
      <c r="AQ451" s="771">
        <f t="shared" ca="1" si="497"/>
        <v>0</v>
      </c>
      <c r="AR451" s="771">
        <f t="shared" ca="1" si="498"/>
        <v>0</v>
      </c>
      <c r="AS451" s="772">
        <f t="shared" ca="1" si="499"/>
        <v>0</v>
      </c>
      <c r="AT451" s="231"/>
      <c r="AU451" s="770">
        <f>'Main Results - IRR DC Operator'!$F$16</f>
        <v>2</v>
      </c>
      <c r="AV451" s="773">
        <f>'Main Results - IRR DC Operator'!$F$15</f>
        <v>1</v>
      </c>
      <c r="AW451" s="771">
        <f t="shared" ca="1" si="500"/>
        <v>0</v>
      </c>
      <c r="AX451" s="772">
        <f t="shared" si="501"/>
        <v>0</v>
      </c>
      <c r="AY451" s="231"/>
      <c r="AZ451" s="770" cm="1">
        <f t="array" aca="1" ref="AZ451" ca="1">INDIRECT("'Definition of Typical Day'!"&amp; ADDRESS($D451+29*(AZ$16-1),$E451))+$AZ$17</f>
        <v>11</v>
      </c>
      <c r="BA451" s="771" cm="1">
        <f t="array" aca="1" ref="BA451" ca="1">INDIRECT("'Definition of Typical Day'!"&amp; ADDRESS($D451+29*(BA$16-1),$E451))+$BA$17</f>
        <v>11</v>
      </c>
      <c r="BB451" s="772" cm="1">
        <f t="array" aca="1" ref="BB451" ca="1">INDIRECT("'Definition of Typical Day'!"&amp;ADDRESS(BB$16,$E451))</f>
        <v>0</v>
      </c>
      <c r="BC451" s="776" cm="1">
        <f t="array" aca="1" ref="BC451" ca="1">INDIRECT("'Definition of Typical Day'!"&amp; ADDRESS($D451+29*(BC$16-1),$E451))</f>
        <v>0</v>
      </c>
      <c r="BD451" s="777" cm="1">
        <f t="array" aca="1" ref="BD451" ca="1">INDIRECT("'Definition of Typical Day'!"&amp; ADDRESS($D451+29*(BD$16-1),$E451))</f>
        <v>0</v>
      </c>
      <c r="BE451" s="776">
        <f t="shared" si="502"/>
        <v>0</v>
      </c>
      <c r="BF451" s="771">
        <f t="shared" ca="1" si="503"/>
        <v>0</v>
      </c>
      <c r="BG451" s="771">
        <f t="shared" ca="1" si="504"/>
        <v>0</v>
      </c>
      <c r="BH451" s="771">
        <f t="shared" ca="1" si="505"/>
        <v>0</v>
      </c>
      <c r="BI451" s="776">
        <f t="shared" ca="1" si="506"/>
        <v>0</v>
      </c>
      <c r="BJ451" s="776">
        <f t="shared" ca="1" si="507"/>
        <v>0</v>
      </c>
      <c r="BK451" s="776">
        <f t="shared" ca="1" si="508"/>
        <v>0</v>
      </c>
      <c r="BL451" s="776">
        <f t="shared" ca="1" si="509"/>
        <v>0</v>
      </c>
      <c r="BM451" s="135"/>
      <c r="BN451" s="776">
        <f t="shared" ca="1" si="510"/>
        <v>0</v>
      </c>
      <c r="BO451" s="778">
        <f t="shared" ca="1" si="447"/>
        <v>0</v>
      </c>
      <c r="BP451" s="770">
        <f t="shared" ca="1" si="448"/>
        <v>0</v>
      </c>
      <c r="BQ451" s="771">
        <f t="shared" ca="1" si="449"/>
        <v>0</v>
      </c>
      <c r="BR451" s="771">
        <f t="shared" ca="1" si="450"/>
        <v>0</v>
      </c>
      <c r="BS451" s="776">
        <f t="shared" ca="1" si="511"/>
        <v>0</v>
      </c>
      <c r="BT451" s="776">
        <f t="shared" ca="1" si="451"/>
        <v>0</v>
      </c>
      <c r="BU451" s="783">
        <f t="shared" ca="1" si="452"/>
        <v>0</v>
      </c>
      <c r="BV451" s="783">
        <f t="shared" ca="1" si="453"/>
        <v>0</v>
      </c>
      <c r="BW451" s="1019">
        <f t="shared" ca="1" si="512"/>
        <v>0</v>
      </c>
      <c r="BX451" s="771" cm="1">
        <f t="array" aca="1" ref="BX451" ca="1">INDIRECT("'Definition of Typical Day'!"&amp; ADDRESS($D451+29*(BX$16-1),$E451))</f>
        <v>0</v>
      </c>
      <c r="BY451" s="771">
        <f t="shared" ca="1" si="513"/>
        <v>0</v>
      </c>
      <c r="BZ451" s="781">
        <f t="shared" ca="1" si="454"/>
        <v>0</v>
      </c>
      <c r="CA451" s="781">
        <f t="shared" ca="1" si="455"/>
        <v>0</v>
      </c>
      <c r="CB451" s="776">
        <f t="shared" ca="1" si="456"/>
        <v>0</v>
      </c>
      <c r="CC451" s="782">
        <f t="shared" si="457"/>
        <v>18</v>
      </c>
      <c r="CD451" s="782">
        <f t="shared" si="458"/>
        <v>23</v>
      </c>
      <c r="CE451" s="784" cm="1">
        <f t="array" aca="1" ref="CE451" ca="1">INDIRECT("'Definition of Typical Day'!"&amp;ADDRESS(CE$16,$E451))</f>
        <v>18</v>
      </c>
      <c r="CF451" s="232"/>
      <c r="CG451" s="232"/>
      <c r="CH451" s="776">
        <f t="shared" ca="1" si="459"/>
        <v>0</v>
      </c>
      <c r="CI451" s="806">
        <f t="shared" ca="1" si="460"/>
        <v>0</v>
      </c>
      <c r="CJ451" s="770">
        <f t="shared" ca="1" si="461"/>
        <v>0</v>
      </c>
      <c r="CK451" s="771">
        <f t="shared" ca="1" si="462"/>
        <v>0</v>
      </c>
      <c r="CL451" s="771">
        <f t="shared" ca="1" si="463"/>
        <v>0</v>
      </c>
      <c r="CM451" s="772">
        <f t="shared" ca="1" si="464"/>
        <v>0</v>
      </c>
      <c r="CN451" s="135"/>
      <c r="CO451" s="770">
        <f t="shared" ca="1" si="514"/>
        <v>1.05</v>
      </c>
      <c r="CP451" s="771">
        <f t="shared" ca="1" si="465"/>
        <v>0.02</v>
      </c>
      <c r="CQ451" s="771">
        <f t="shared" ca="1" si="466"/>
        <v>-2.5000000000000001E-2</v>
      </c>
      <c r="CR451" s="771">
        <f t="shared" ca="1" si="467"/>
        <v>0.95</v>
      </c>
      <c r="CS451" s="771">
        <f t="shared" ca="1" si="468"/>
        <v>0.03</v>
      </c>
      <c r="CT451" s="772">
        <f t="shared" ca="1" si="469"/>
        <v>0.02</v>
      </c>
      <c r="CU451" s="135"/>
      <c r="CV451" s="135"/>
      <c r="CW451" s="135"/>
      <c r="CX451" s="135"/>
      <c r="CY451" s="135"/>
      <c r="CZ451" s="135"/>
      <c r="DA451" s="135"/>
      <c r="DB451" s="135"/>
      <c r="DC451" s="135"/>
      <c r="DD451" s="135"/>
      <c r="DE451" s="135"/>
      <c r="DF451" s="135"/>
      <c r="DG451" s="135"/>
      <c r="DH451" s="135"/>
      <c r="DI451" s="135"/>
      <c r="DJ451" s="135"/>
      <c r="DK451" s="135"/>
      <c r="DL451" s="135"/>
      <c r="DX451" s="135"/>
      <c r="DY451" s="135"/>
      <c r="DZ451" s="135"/>
      <c r="EA451" s="135"/>
      <c r="EB451" s="135"/>
      <c r="EC451" s="135"/>
      <c r="ED451" s="135"/>
      <c r="EE451" s="135"/>
      <c r="EF451" s="135"/>
      <c r="EG451" s="135"/>
      <c r="EH451" s="135"/>
      <c r="EI451" s="135"/>
      <c r="EJ451" s="135"/>
      <c r="EK451" s="135"/>
      <c r="EL451" s="135"/>
      <c r="EM451" s="135"/>
      <c r="EN451" s="135"/>
      <c r="EO451" s="135"/>
      <c r="EP451" s="135"/>
      <c r="EQ451" s="135"/>
      <c r="ER451" s="135"/>
      <c r="ES451" s="135"/>
      <c r="ET451" s="135"/>
      <c r="EU451" s="135"/>
      <c r="EV451" s="135"/>
      <c r="EW451" s="135"/>
      <c r="EX451" s="135"/>
      <c r="EY451" s="135"/>
      <c r="EZ451" s="135"/>
      <c r="FA451" s="135"/>
      <c r="FB451" s="135"/>
      <c r="FC451" s="135"/>
      <c r="FD451" s="135"/>
      <c r="FE451" s="135"/>
      <c r="FF451" s="135"/>
      <c r="FG451" s="135"/>
    </row>
    <row r="452" spans="1:163" s="57" customFormat="1" ht="11.25" outlineLevel="1">
      <c r="A452" s="765">
        <f t="shared" si="515"/>
        <v>18</v>
      </c>
      <c r="B452" s="715" cm="1">
        <f t="array" aca="1" ref="B452" ca="1">INDIRECT("'Definition of Typical Day'!"&amp;ADDRESS(B$16,$E452))</f>
        <v>18</v>
      </c>
      <c r="C452" s="766">
        <f t="shared" si="516"/>
        <v>24</v>
      </c>
      <c r="D452" s="715">
        <f t="shared" si="516"/>
        <v>58</v>
      </c>
      <c r="E452" s="715">
        <f t="shared" si="444"/>
        <v>22</v>
      </c>
      <c r="F452" s="767" cm="1">
        <f t="array" aca="1" ref="F452" ca="1">INDIRECT("'Definition of Typical Day'!D"&amp;D452)</f>
        <v>24</v>
      </c>
      <c r="G452" s="767" cm="1">
        <f t="array" aca="1" ref="G452" ca="1">INDIRECT("'Definition of Typical Day'!"&amp;ADDRESS(13,E452))</f>
        <v>18</v>
      </c>
      <c r="H452" s="768" cm="1">
        <f t="array" aca="1" ref="H452" ca="1">INDIRECT("'Definition of Typical Day'!"&amp; ADDRESS($D452+28*(H$16-1),$E452))</f>
        <v>0</v>
      </c>
      <c r="I452" s="715" cm="1">
        <f t="array" aca="1" ref="I452" ca="1">INDIRECT("'Definition of Typical Day'!"&amp; ADDRESS($D452+29*(I$16-1),$E452))</f>
        <v>0</v>
      </c>
      <c r="J452" s="715">
        <f t="shared" ca="1" si="470"/>
        <v>0</v>
      </c>
      <c r="K452" s="785">
        <f t="shared" si="471"/>
        <v>28</v>
      </c>
      <c r="L452" s="786" cm="1">
        <f t="array" aca="1" ref="L452" ca="1">INDIRECT("'Definition of Typical Day'!"&amp; ADDRESS($D452+29*(L$16-1),$E452))</f>
        <v>0</v>
      </c>
      <c r="M452" s="768" cm="1">
        <f t="array" aca="1" ref="M452" ca="1">INDIRECT("'Definition of Typical Day'!"&amp; ADDRESS($D452+29*(M$16-1),$E452))</f>
        <v>0</v>
      </c>
      <c r="N452" s="715">
        <f t="shared" si="472"/>
        <v>3</v>
      </c>
      <c r="O452" s="715">
        <f t="shared" ca="1" si="473"/>
        <v>3</v>
      </c>
      <c r="P452" s="715" cm="1">
        <f t="array" aca="1" ref="P452" ca="1">INDIRECT("'Definition of Typical Day'!"&amp; ADDRESS($D452+29*(P$16-1),$E452))</f>
        <v>0</v>
      </c>
      <c r="Q452" s="787">
        <f t="shared" ca="1" si="474"/>
        <v>3</v>
      </c>
      <c r="R452" s="792">
        <f t="shared" ca="1" si="475"/>
        <v>3</v>
      </c>
      <c r="S452" s="769">
        <f t="shared" si="476"/>
        <v>3</v>
      </c>
      <c r="T452" s="769">
        <f t="shared" ca="1" si="477"/>
        <v>-0.5</v>
      </c>
      <c r="U452" s="769">
        <f t="shared" ca="1" si="478"/>
        <v>2.262</v>
      </c>
      <c r="V452" s="769">
        <f t="shared" ca="1" si="479"/>
        <v>0</v>
      </c>
      <c r="W452" s="769">
        <f t="shared" ca="1" si="480"/>
        <v>4.7620000000000005</v>
      </c>
      <c r="X452" s="794">
        <f t="shared" si="481"/>
        <v>3</v>
      </c>
      <c r="Y452" s="769">
        <f t="shared" ca="1" si="482"/>
        <v>0.54772255750516607</v>
      </c>
      <c r="Z452" s="769">
        <f t="shared" ca="1" si="483"/>
        <v>0</v>
      </c>
      <c r="AA452" s="795">
        <f t="shared" ca="1" si="484"/>
        <v>0</v>
      </c>
      <c r="AB452" s="769">
        <f t="shared" ca="1" si="485"/>
        <v>0</v>
      </c>
      <c r="AC452" s="769">
        <f t="shared" ca="1" si="486"/>
        <v>0</v>
      </c>
      <c r="AD452" s="769">
        <f t="shared" ca="1" si="487"/>
        <v>0</v>
      </c>
      <c r="AE452" s="794">
        <f t="shared" ca="1" si="488"/>
        <v>0</v>
      </c>
      <c r="AF452" s="769">
        <f t="shared" ca="1" si="489"/>
        <v>0</v>
      </c>
      <c r="AG452" s="769">
        <f t="shared" ca="1" si="490"/>
        <v>0</v>
      </c>
      <c r="AH452" s="799">
        <f t="shared" ca="1" si="491"/>
        <v>0</v>
      </c>
      <c r="AI452" s="801">
        <f t="shared" ca="1" si="492"/>
        <v>1</v>
      </c>
      <c r="AJ452" s="794">
        <f t="shared" ca="1" si="493"/>
        <v>0</v>
      </c>
      <c r="AK452" s="769">
        <f t="shared" ca="1" si="494"/>
        <v>0</v>
      </c>
      <c r="AL452" s="769">
        <f t="shared" ca="1" si="495"/>
        <v>0</v>
      </c>
      <c r="AM452" s="804">
        <f t="shared" ca="1" si="445"/>
        <v>0</v>
      </c>
      <c r="AN452" s="795">
        <f t="shared" ca="1" si="446"/>
        <v>0</v>
      </c>
      <c r="AO452" s="251"/>
      <c r="AP452" s="770">
        <f t="shared" si="496"/>
        <v>0</v>
      </c>
      <c r="AQ452" s="771">
        <f t="shared" ca="1" si="497"/>
        <v>0</v>
      </c>
      <c r="AR452" s="771">
        <f t="shared" ca="1" si="498"/>
        <v>0</v>
      </c>
      <c r="AS452" s="772">
        <f t="shared" ca="1" si="499"/>
        <v>0</v>
      </c>
      <c r="AT452" s="231"/>
      <c r="AU452" s="770">
        <f>'Main Results - IRR DC Operator'!$F$16</f>
        <v>2</v>
      </c>
      <c r="AV452" s="773">
        <f>'Main Results - IRR DC Operator'!$F$15</f>
        <v>1</v>
      </c>
      <c r="AW452" s="771">
        <f t="shared" ca="1" si="500"/>
        <v>0</v>
      </c>
      <c r="AX452" s="772">
        <f t="shared" si="501"/>
        <v>0</v>
      </c>
      <c r="AY452" s="231"/>
      <c r="AZ452" s="770" cm="1">
        <f t="array" aca="1" ref="AZ452" ca="1">INDIRECT("'Definition of Typical Day'!"&amp; ADDRESS($D452+29*(AZ$16-1),$E452))+$AZ$17</f>
        <v>11</v>
      </c>
      <c r="BA452" s="771" cm="1">
        <f t="array" aca="1" ref="BA452" ca="1">INDIRECT("'Definition of Typical Day'!"&amp; ADDRESS($D452+29*(BA$16-1),$E452))+$BA$17</f>
        <v>11</v>
      </c>
      <c r="BB452" s="772" cm="1">
        <f t="array" aca="1" ref="BB452" ca="1">INDIRECT("'Definition of Typical Day'!"&amp;ADDRESS(BB$16,$E452))</f>
        <v>0</v>
      </c>
      <c r="BC452" s="776" cm="1">
        <f t="array" aca="1" ref="BC452" ca="1">INDIRECT("'Definition of Typical Day'!"&amp; ADDRESS($D452+29*(BC$16-1),$E452))</f>
        <v>0</v>
      </c>
      <c r="BD452" s="777" cm="1">
        <f t="array" aca="1" ref="BD452" ca="1">INDIRECT("'Definition of Typical Day'!"&amp; ADDRESS($D452+29*(BD$16-1),$E452))</f>
        <v>0</v>
      </c>
      <c r="BE452" s="776">
        <f t="shared" si="502"/>
        <v>0</v>
      </c>
      <c r="BF452" s="771">
        <f t="shared" ca="1" si="503"/>
        <v>0</v>
      </c>
      <c r="BG452" s="771">
        <f t="shared" ca="1" si="504"/>
        <v>0</v>
      </c>
      <c r="BH452" s="771">
        <f t="shared" ca="1" si="505"/>
        <v>0</v>
      </c>
      <c r="BI452" s="776">
        <f t="shared" ca="1" si="506"/>
        <v>0</v>
      </c>
      <c r="BJ452" s="776">
        <f t="shared" ca="1" si="507"/>
        <v>0</v>
      </c>
      <c r="BK452" s="776">
        <f t="shared" ca="1" si="508"/>
        <v>0</v>
      </c>
      <c r="BL452" s="776">
        <f t="shared" ca="1" si="509"/>
        <v>0</v>
      </c>
      <c r="BM452" s="135"/>
      <c r="BN452" s="776">
        <f t="shared" ca="1" si="510"/>
        <v>0</v>
      </c>
      <c r="BO452" s="778">
        <f t="shared" ca="1" si="447"/>
        <v>0</v>
      </c>
      <c r="BP452" s="770">
        <f t="shared" ca="1" si="448"/>
        <v>0</v>
      </c>
      <c r="BQ452" s="771">
        <f t="shared" ca="1" si="449"/>
        <v>0</v>
      </c>
      <c r="BR452" s="771">
        <f t="shared" ca="1" si="450"/>
        <v>0</v>
      </c>
      <c r="BS452" s="776">
        <f t="shared" ca="1" si="511"/>
        <v>0</v>
      </c>
      <c r="BT452" s="776">
        <f t="shared" ca="1" si="451"/>
        <v>0</v>
      </c>
      <c r="BU452" s="783">
        <f t="shared" ca="1" si="452"/>
        <v>0</v>
      </c>
      <c r="BV452" s="783">
        <f t="shared" ca="1" si="453"/>
        <v>0</v>
      </c>
      <c r="BW452" s="1019">
        <f t="shared" ca="1" si="512"/>
        <v>0</v>
      </c>
      <c r="BX452" s="771" cm="1">
        <f t="array" aca="1" ref="BX452" ca="1">INDIRECT("'Definition of Typical Day'!"&amp; ADDRESS($D452+29*(BX$16-1),$E452))</f>
        <v>0</v>
      </c>
      <c r="BY452" s="771">
        <f t="shared" ca="1" si="513"/>
        <v>0</v>
      </c>
      <c r="BZ452" s="781">
        <f t="shared" ca="1" si="454"/>
        <v>0</v>
      </c>
      <c r="CA452" s="781">
        <f t="shared" ca="1" si="455"/>
        <v>0</v>
      </c>
      <c r="CB452" s="776">
        <f t="shared" ca="1" si="456"/>
        <v>0</v>
      </c>
      <c r="CC452" s="782">
        <f t="shared" si="457"/>
        <v>18</v>
      </c>
      <c r="CD452" s="782">
        <f t="shared" si="458"/>
        <v>24</v>
      </c>
      <c r="CE452" s="784" cm="1">
        <f t="array" aca="1" ref="CE452" ca="1">INDIRECT("'Definition of Typical Day'!"&amp;ADDRESS(CE$16,$E452))</f>
        <v>18</v>
      </c>
      <c r="CF452" s="232"/>
      <c r="CG452" s="232"/>
      <c r="CH452" s="776">
        <f t="shared" ca="1" si="459"/>
        <v>0</v>
      </c>
      <c r="CI452" s="806">
        <f t="shared" ca="1" si="460"/>
        <v>0</v>
      </c>
      <c r="CJ452" s="770">
        <f t="shared" ca="1" si="461"/>
        <v>0</v>
      </c>
      <c r="CK452" s="771">
        <f t="shared" ca="1" si="462"/>
        <v>0</v>
      </c>
      <c r="CL452" s="771">
        <f t="shared" ca="1" si="463"/>
        <v>0</v>
      </c>
      <c r="CM452" s="772">
        <f t="shared" ca="1" si="464"/>
        <v>0</v>
      </c>
      <c r="CN452" s="135"/>
      <c r="CO452" s="770">
        <f t="shared" ca="1" si="514"/>
        <v>1.05</v>
      </c>
      <c r="CP452" s="771">
        <f t="shared" ca="1" si="465"/>
        <v>0.02</v>
      </c>
      <c r="CQ452" s="771">
        <f t="shared" ca="1" si="466"/>
        <v>-2.5000000000000001E-2</v>
      </c>
      <c r="CR452" s="771">
        <f t="shared" ca="1" si="467"/>
        <v>0.95</v>
      </c>
      <c r="CS452" s="771">
        <f t="shared" ca="1" si="468"/>
        <v>0.03</v>
      </c>
      <c r="CT452" s="772">
        <f t="shared" ca="1" si="469"/>
        <v>0.02</v>
      </c>
      <c r="CU452" s="135"/>
      <c r="CV452" s="135"/>
      <c r="CW452" s="135"/>
      <c r="CX452" s="135"/>
      <c r="CY452" s="135"/>
      <c r="CZ452" s="135"/>
      <c r="DA452" s="135"/>
      <c r="DB452" s="135"/>
      <c r="DC452" s="135"/>
      <c r="DD452" s="135"/>
      <c r="DE452" s="135"/>
      <c r="DF452" s="135"/>
      <c r="DG452" s="135"/>
      <c r="DH452" s="135"/>
      <c r="DI452" s="135"/>
      <c r="DJ452" s="135"/>
      <c r="DK452" s="135"/>
      <c r="DL452" s="135"/>
      <c r="DX452" s="135"/>
      <c r="DY452" s="135"/>
      <c r="DZ452" s="135"/>
      <c r="EA452" s="135"/>
      <c r="EB452" s="135"/>
      <c r="EC452" s="135"/>
      <c r="ED452" s="135"/>
      <c r="EE452" s="135"/>
      <c r="EF452" s="135"/>
      <c r="EG452" s="135"/>
      <c r="EH452" s="135"/>
      <c r="EI452" s="135"/>
      <c r="EJ452" s="135"/>
      <c r="EK452" s="135"/>
      <c r="EL452" s="135"/>
      <c r="EM452" s="135"/>
      <c r="EN452" s="135"/>
      <c r="EO452" s="135"/>
      <c r="EP452" s="135"/>
      <c r="EQ452" s="135"/>
      <c r="ER452" s="135"/>
      <c r="ES452" s="135"/>
      <c r="ET452" s="135"/>
      <c r="EU452" s="135"/>
      <c r="EV452" s="135"/>
      <c r="EW452" s="135"/>
      <c r="EX452" s="135"/>
      <c r="EY452" s="135"/>
      <c r="EZ452" s="135"/>
      <c r="FA452" s="135"/>
      <c r="FB452" s="135"/>
      <c r="FC452" s="135"/>
      <c r="FD452" s="135"/>
      <c r="FE452" s="135"/>
      <c r="FF452" s="135"/>
      <c r="FG452" s="135"/>
    </row>
    <row r="453" spans="1:163" s="57" customFormat="1" ht="11.25" outlineLevel="1">
      <c r="A453" s="765">
        <f t="shared" si="515"/>
        <v>19</v>
      </c>
      <c r="B453" s="715" cm="1">
        <f t="array" aca="1" ref="B453" ca="1">INDIRECT("'Definition of Typical Day'!"&amp;ADDRESS(B$16,$E453))</f>
        <v>19</v>
      </c>
      <c r="C453" s="766">
        <f t="shared" si="516"/>
        <v>1</v>
      </c>
      <c r="D453" s="715">
        <f t="shared" si="516"/>
        <v>35</v>
      </c>
      <c r="E453" s="715">
        <f t="shared" si="444"/>
        <v>23</v>
      </c>
      <c r="F453" s="767" cm="1">
        <f t="array" aca="1" ref="F453" ca="1">INDIRECT("'Definition of Typical Day'!D"&amp;D453)</f>
        <v>1</v>
      </c>
      <c r="G453" s="767" cm="1">
        <f t="array" aca="1" ref="G453" ca="1">INDIRECT("'Definition of Typical Day'!"&amp;ADDRESS(13,E453))</f>
        <v>19</v>
      </c>
      <c r="H453" s="768" cm="1">
        <f t="array" aca="1" ref="H453" ca="1">INDIRECT("'Definition of Typical Day'!"&amp; ADDRESS($D453+28*(H$16-1),$E453))</f>
        <v>0</v>
      </c>
      <c r="I453" s="715" cm="1">
        <f t="array" aca="1" ref="I453" ca="1">INDIRECT("'Definition of Typical Day'!"&amp; ADDRESS($D453+29*(I$16-1),$E453))</f>
        <v>0</v>
      </c>
      <c r="J453" s="715">
        <f t="shared" ca="1" si="470"/>
        <v>0</v>
      </c>
      <c r="K453" s="785">
        <f t="shared" si="471"/>
        <v>28</v>
      </c>
      <c r="L453" s="786" cm="1">
        <f t="array" aca="1" ref="L453" ca="1">INDIRECT("'Definition of Typical Day'!"&amp; ADDRESS($D453+29*(L$16-1),$E453))</f>
        <v>0</v>
      </c>
      <c r="M453" s="768" cm="1">
        <f t="array" aca="1" ref="M453" ca="1">INDIRECT("'Definition of Typical Day'!"&amp; ADDRESS($D453+29*(M$16-1),$E453))</f>
        <v>0</v>
      </c>
      <c r="N453" s="715">
        <f t="shared" si="472"/>
        <v>3</v>
      </c>
      <c r="O453" s="715">
        <f t="shared" ca="1" si="473"/>
        <v>3</v>
      </c>
      <c r="P453" s="715" cm="1">
        <f t="array" aca="1" ref="P453" ca="1">INDIRECT("'Definition of Typical Day'!"&amp; ADDRESS($D453+29*(P$16-1),$E453))</f>
        <v>0</v>
      </c>
      <c r="Q453" s="787">
        <f t="shared" ca="1" si="474"/>
        <v>3</v>
      </c>
      <c r="R453" s="792">
        <f t="shared" ca="1" si="475"/>
        <v>3</v>
      </c>
      <c r="S453" s="769">
        <f t="shared" si="476"/>
        <v>3</v>
      </c>
      <c r="T453" s="769">
        <f t="shared" ca="1" si="477"/>
        <v>-0.5</v>
      </c>
      <c r="U453" s="769">
        <f t="shared" ca="1" si="478"/>
        <v>2.262</v>
      </c>
      <c r="V453" s="769">
        <f t="shared" ca="1" si="479"/>
        <v>0</v>
      </c>
      <c r="W453" s="769">
        <f t="shared" ca="1" si="480"/>
        <v>4.7620000000000005</v>
      </c>
      <c r="X453" s="794">
        <f t="shared" si="481"/>
        <v>3</v>
      </c>
      <c r="Y453" s="769">
        <f t="shared" ca="1" si="482"/>
        <v>0.54772255750516607</v>
      </c>
      <c r="Z453" s="769">
        <f t="shared" ca="1" si="483"/>
        <v>0</v>
      </c>
      <c r="AA453" s="795">
        <f t="shared" ca="1" si="484"/>
        <v>0</v>
      </c>
      <c r="AB453" s="769">
        <f t="shared" ca="1" si="485"/>
        <v>0</v>
      </c>
      <c r="AC453" s="769">
        <f t="shared" ca="1" si="486"/>
        <v>0</v>
      </c>
      <c r="AD453" s="769">
        <f t="shared" ca="1" si="487"/>
        <v>0</v>
      </c>
      <c r="AE453" s="794">
        <f t="shared" ca="1" si="488"/>
        <v>0</v>
      </c>
      <c r="AF453" s="769">
        <f t="shared" ca="1" si="489"/>
        <v>0</v>
      </c>
      <c r="AG453" s="769">
        <f t="shared" ca="1" si="490"/>
        <v>0</v>
      </c>
      <c r="AH453" s="799">
        <f t="shared" ca="1" si="491"/>
        <v>0</v>
      </c>
      <c r="AI453" s="801">
        <f t="shared" ca="1" si="492"/>
        <v>1</v>
      </c>
      <c r="AJ453" s="794">
        <f t="shared" ca="1" si="493"/>
        <v>0</v>
      </c>
      <c r="AK453" s="769">
        <f t="shared" ca="1" si="494"/>
        <v>0</v>
      </c>
      <c r="AL453" s="769">
        <f t="shared" ca="1" si="495"/>
        <v>0</v>
      </c>
      <c r="AM453" s="804">
        <f t="shared" ca="1" si="445"/>
        <v>0</v>
      </c>
      <c r="AN453" s="795">
        <f t="shared" ca="1" si="446"/>
        <v>0</v>
      </c>
      <c r="AO453" s="251"/>
      <c r="AP453" s="770">
        <f t="shared" si="496"/>
        <v>0</v>
      </c>
      <c r="AQ453" s="771">
        <f t="shared" ca="1" si="497"/>
        <v>0</v>
      </c>
      <c r="AR453" s="771">
        <f t="shared" ca="1" si="498"/>
        <v>0</v>
      </c>
      <c r="AS453" s="772">
        <f t="shared" ca="1" si="499"/>
        <v>0</v>
      </c>
      <c r="AT453" s="231"/>
      <c r="AU453" s="770">
        <f>'Main Results - IRR DC Operator'!$F$16</f>
        <v>2</v>
      </c>
      <c r="AV453" s="773">
        <f>'Main Results - IRR DC Operator'!$F$15</f>
        <v>1</v>
      </c>
      <c r="AW453" s="771">
        <f t="shared" ca="1" si="500"/>
        <v>0</v>
      </c>
      <c r="AX453" s="772">
        <f t="shared" si="501"/>
        <v>0</v>
      </c>
      <c r="AY453" s="231"/>
      <c r="AZ453" s="770" cm="1">
        <f t="array" aca="1" ref="AZ453" ca="1">INDIRECT("'Definition of Typical Day'!"&amp; ADDRESS($D453+29*(AZ$16-1),$E453))+$AZ$17</f>
        <v>11</v>
      </c>
      <c r="BA453" s="771" cm="1">
        <f t="array" aca="1" ref="BA453" ca="1">INDIRECT("'Definition of Typical Day'!"&amp; ADDRESS($D453+29*(BA$16-1),$E453))+$BA$17</f>
        <v>11</v>
      </c>
      <c r="BB453" s="772" cm="1">
        <f t="array" aca="1" ref="BB453" ca="1">INDIRECT("'Definition of Typical Day'!"&amp;ADDRESS(BB$16,$E453))</f>
        <v>0</v>
      </c>
      <c r="BC453" s="776" cm="1">
        <f t="array" aca="1" ref="BC453" ca="1">INDIRECT("'Definition of Typical Day'!"&amp; ADDRESS($D453+29*(BC$16-1),$E453))</f>
        <v>0</v>
      </c>
      <c r="BD453" s="777" cm="1">
        <f t="array" aca="1" ref="BD453" ca="1">INDIRECT("'Definition of Typical Day'!"&amp; ADDRESS($D453+29*(BD$16-1),$E453))</f>
        <v>0</v>
      </c>
      <c r="BE453" s="776">
        <f t="shared" si="502"/>
        <v>0</v>
      </c>
      <c r="BF453" s="771">
        <f t="shared" ca="1" si="503"/>
        <v>0</v>
      </c>
      <c r="BG453" s="771">
        <f t="shared" ca="1" si="504"/>
        <v>0</v>
      </c>
      <c r="BH453" s="771">
        <f t="shared" ca="1" si="505"/>
        <v>0</v>
      </c>
      <c r="BI453" s="776">
        <f t="shared" ca="1" si="506"/>
        <v>0</v>
      </c>
      <c r="BJ453" s="776">
        <f t="shared" ca="1" si="507"/>
        <v>0</v>
      </c>
      <c r="BK453" s="776">
        <f t="shared" ca="1" si="508"/>
        <v>0</v>
      </c>
      <c r="BL453" s="776">
        <f t="shared" ca="1" si="509"/>
        <v>0</v>
      </c>
      <c r="BM453" s="135"/>
      <c r="BN453" s="776">
        <f t="shared" ca="1" si="510"/>
        <v>0</v>
      </c>
      <c r="BO453" s="778">
        <f t="shared" ca="1" si="447"/>
        <v>0</v>
      </c>
      <c r="BP453" s="770">
        <f t="shared" ca="1" si="448"/>
        <v>0</v>
      </c>
      <c r="BQ453" s="771">
        <f t="shared" ca="1" si="449"/>
        <v>0</v>
      </c>
      <c r="BR453" s="771">
        <f t="shared" ca="1" si="450"/>
        <v>0</v>
      </c>
      <c r="BS453" s="776">
        <f t="shared" ca="1" si="511"/>
        <v>0</v>
      </c>
      <c r="BT453" s="776">
        <f t="shared" ca="1" si="451"/>
        <v>0</v>
      </c>
      <c r="BU453" s="783">
        <f t="shared" ca="1" si="452"/>
        <v>0</v>
      </c>
      <c r="BV453" s="783">
        <f t="shared" ca="1" si="453"/>
        <v>0</v>
      </c>
      <c r="BW453" s="1019">
        <f t="shared" ca="1" si="512"/>
        <v>0</v>
      </c>
      <c r="BX453" s="771" cm="1">
        <f t="array" aca="1" ref="BX453" ca="1">INDIRECT("'Definition of Typical Day'!"&amp; ADDRESS($D453+29*(BX$16-1),$E453))</f>
        <v>0</v>
      </c>
      <c r="BY453" s="771">
        <f t="shared" ca="1" si="513"/>
        <v>0</v>
      </c>
      <c r="BZ453" s="781">
        <f t="shared" ca="1" si="454"/>
        <v>0</v>
      </c>
      <c r="CA453" s="781">
        <f t="shared" ca="1" si="455"/>
        <v>0</v>
      </c>
      <c r="CB453" s="776">
        <f t="shared" ca="1" si="456"/>
        <v>0</v>
      </c>
      <c r="CC453" s="782">
        <f t="shared" si="457"/>
        <v>19</v>
      </c>
      <c r="CD453" s="782">
        <f t="shared" si="458"/>
        <v>1</v>
      </c>
      <c r="CE453" s="784" cm="1">
        <f t="array" aca="1" ref="CE453" ca="1">INDIRECT("'Definition of Typical Day'!"&amp;ADDRESS(CE$16,$E453))</f>
        <v>19</v>
      </c>
      <c r="CF453" s="232"/>
      <c r="CG453" s="232"/>
      <c r="CH453" s="776">
        <f t="shared" ca="1" si="459"/>
        <v>0</v>
      </c>
      <c r="CI453" s="806">
        <f t="shared" ca="1" si="460"/>
        <v>0</v>
      </c>
      <c r="CJ453" s="770">
        <f t="shared" ca="1" si="461"/>
        <v>0</v>
      </c>
      <c r="CK453" s="771">
        <f t="shared" ca="1" si="462"/>
        <v>0</v>
      </c>
      <c r="CL453" s="771">
        <f t="shared" ca="1" si="463"/>
        <v>0</v>
      </c>
      <c r="CM453" s="772">
        <f t="shared" ca="1" si="464"/>
        <v>0</v>
      </c>
      <c r="CN453" s="135"/>
      <c r="CO453" s="770">
        <f t="shared" ca="1" si="514"/>
        <v>1.05</v>
      </c>
      <c r="CP453" s="771">
        <f t="shared" ca="1" si="465"/>
        <v>0.02</v>
      </c>
      <c r="CQ453" s="771">
        <f t="shared" ca="1" si="466"/>
        <v>-2.5000000000000001E-2</v>
      </c>
      <c r="CR453" s="771">
        <f t="shared" ca="1" si="467"/>
        <v>0.95</v>
      </c>
      <c r="CS453" s="771">
        <f t="shared" ca="1" si="468"/>
        <v>0.03</v>
      </c>
      <c r="CT453" s="772">
        <f t="shared" ca="1" si="469"/>
        <v>0.02</v>
      </c>
      <c r="CU453" s="135"/>
      <c r="CV453" s="135"/>
      <c r="CW453" s="135"/>
      <c r="CX453" s="135"/>
      <c r="CY453" s="135"/>
      <c r="CZ453" s="135"/>
      <c r="DA453" s="135"/>
      <c r="DB453" s="135"/>
      <c r="DC453" s="135"/>
      <c r="DD453" s="135"/>
      <c r="DE453" s="135"/>
      <c r="DF453" s="135"/>
      <c r="DG453" s="135"/>
      <c r="DH453" s="135"/>
      <c r="DI453" s="135"/>
      <c r="DJ453" s="135"/>
      <c r="DK453" s="135"/>
      <c r="DL453" s="135"/>
      <c r="DX453" s="135"/>
      <c r="DY453" s="135"/>
      <c r="DZ453" s="135"/>
      <c r="EA453" s="135"/>
      <c r="EB453" s="135"/>
      <c r="EC453" s="135"/>
      <c r="ED453" s="135"/>
      <c r="EE453" s="135"/>
      <c r="EF453" s="135"/>
      <c r="EG453" s="135"/>
      <c r="EH453" s="135"/>
      <c r="EI453" s="135"/>
      <c r="EJ453" s="135"/>
      <c r="EK453" s="135"/>
      <c r="EL453" s="135"/>
      <c r="EM453" s="135"/>
      <c r="EN453" s="135"/>
      <c r="EO453" s="135"/>
      <c r="EP453" s="135"/>
      <c r="EQ453" s="135"/>
      <c r="ER453" s="135"/>
      <c r="ES453" s="135"/>
      <c r="ET453" s="135"/>
      <c r="EU453" s="135"/>
      <c r="EV453" s="135"/>
      <c r="EW453" s="135"/>
      <c r="EX453" s="135"/>
      <c r="EY453" s="135"/>
      <c r="EZ453" s="135"/>
      <c r="FA453" s="135"/>
      <c r="FB453" s="135"/>
      <c r="FC453" s="135"/>
      <c r="FD453" s="135"/>
      <c r="FE453" s="135"/>
      <c r="FF453" s="135"/>
      <c r="FG453" s="135"/>
    </row>
    <row r="454" spans="1:163" s="57" customFormat="1" ht="11.25" outlineLevel="1">
      <c r="A454" s="765">
        <f t="shared" si="515"/>
        <v>19</v>
      </c>
      <c r="B454" s="715" cm="1">
        <f t="array" aca="1" ref="B454" ca="1">INDIRECT("'Definition of Typical Day'!"&amp;ADDRESS(B$16,$E454))</f>
        <v>19</v>
      </c>
      <c r="C454" s="766">
        <f t="shared" si="516"/>
        <v>2</v>
      </c>
      <c r="D454" s="715">
        <f t="shared" si="516"/>
        <v>36</v>
      </c>
      <c r="E454" s="715">
        <f t="shared" si="444"/>
        <v>23</v>
      </c>
      <c r="F454" s="767" cm="1">
        <f t="array" aca="1" ref="F454" ca="1">INDIRECT("'Definition of Typical Day'!D"&amp;D454)</f>
        <v>2</v>
      </c>
      <c r="G454" s="767" cm="1">
        <f t="array" aca="1" ref="G454" ca="1">INDIRECT("'Definition of Typical Day'!"&amp;ADDRESS(13,E454))</f>
        <v>19</v>
      </c>
      <c r="H454" s="768" cm="1">
        <f t="array" aca="1" ref="H454" ca="1">INDIRECT("'Definition of Typical Day'!"&amp; ADDRESS($D454+28*(H$16-1),$E454))</f>
        <v>0</v>
      </c>
      <c r="I454" s="715" cm="1">
        <f t="array" aca="1" ref="I454" ca="1">INDIRECT("'Definition of Typical Day'!"&amp; ADDRESS($D454+29*(I$16-1),$E454))</f>
        <v>0</v>
      </c>
      <c r="J454" s="715">
        <f t="shared" ca="1" si="470"/>
        <v>0</v>
      </c>
      <c r="K454" s="785">
        <f t="shared" si="471"/>
        <v>28</v>
      </c>
      <c r="L454" s="786" cm="1">
        <f t="array" aca="1" ref="L454" ca="1">INDIRECT("'Definition of Typical Day'!"&amp; ADDRESS($D454+29*(L$16-1),$E454))</f>
        <v>0</v>
      </c>
      <c r="M454" s="768" cm="1">
        <f t="array" aca="1" ref="M454" ca="1">INDIRECT("'Definition of Typical Day'!"&amp; ADDRESS($D454+29*(M$16-1),$E454))</f>
        <v>0</v>
      </c>
      <c r="N454" s="715">
        <f t="shared" si="472"/>
        <v>3</v>
      </c>
      <c r="O454" s="715">
        <f t="shared" ca="1" si="473"/>
        <v>3</v>
      </c>
      <c r="P454" s="715" cm="1">
        <f t="array" aca="1" ref="P454" ca="1">INDIRECT("'Definition of Typical Day'!"&amp; ADDRESS($D454+29*(P$16-1),$E454))</f>
        <v>0</v>
      </c>
      <c r="Q454" s="787">
        <f t="shared" ca="1" si="474"/>
        <v>3</v>
      </c>
      <c r="R454" s="792">
        <f t="shared" ca="1" si="475"/>
        <v>3</v>
      </c>
      <c r="S454" s="769">
        <f t="shared" si="476"/>
        <v>3</v>
      </c>
      <c r="T454" s="769">
        <f t="shared" ca="1" si="477"/>
        <v>-0.5</v>
      </c>
      <c r="U454" s="769">
        <f t="shared" ca="1" si="478"/>
        <v>2.262</v>
      </c>
      <c r="V454" s="769">
        <f t="shared" ca="1" si="479"/>
        <v>0</v>
      </c>
      <c r="W454" s="769">
        <f t="shared" ca="1" si="480"/>
        <v>4.7620000000000005</v>
      </c>
      <c r="X454" s="794">
        <f t="shared" si="481"/>
        <v>3</v>
      </c>
      <c r="Y454" s="769">
        <f t="shared" ca="1" si="482"/>
        <v>0.54772255750516607</v>
      </c>
      <c r="Z454" s="769">
        <f t="shared" ca="1" si="483"/>
        <v>0</v>
      </c>
      <c r="AA454" s="795">
        <f t="shared" ca="1" si="484"/>
        <v>0</v>
      </c>
      <c r="AB454" s="769">
        <f t="shared" ca="1" si="485"/>
        <v>0</v>
      </c>
      <c r="AC454" s="769">
        <f t="shared" ca="1" si="486"/>
        <v>0</v>
      </c>
      <c r="AD454" s="769">
        <f t="shared" ca="1" si="487"/>
        <v>0</v>
      </c>
      <c r="AE454" s="794">
        <f t="shared" ca="1" si="488"/>
        <v>0</v>
      </c>
      <c r="AF454" s="769">
        <f t="shared" ca="1" si="489"/>
        <v>0</v>
      </c>
      <c r="AG454" s="769">
        <f t="shared" ca="1" si="490"/>
        <v>0</v>
      </c>
      <c r="AH454" s="799">
        <f t="shared" ca="1" si="491"/>
        <v>0</v>
      </c>
      <c r="AI454" s="801">
        <f t="shared" ca="1" si="492"/>
        <v>1</v>
      </c>
      <c r="AJ454" s="794">
        <f t="shared" ca="1" si="493"/>
        <v>0</v>
      </c>
      <c r="AK454" s="769">
        <f t="shared" ca="1" si="494"/>
        <v>0</v>
      </c>
      <c r="AL454" s="769">
        <f t="shared" ca="1" si="495"/>
        <v>0</v>
      </c>
      <c r="AM454" s="804">
        <f t="shared" ca="1" si="445"/>
        <v>0</v>
      </c>
      <c r="AN454" s="795">
        <f t="shared" ca="1" si="446"/>
        <v>0</v>
      </c>
      <c r="AO454" s="251"/>
      <c r="AP454" s="770">
        <f t="shared" si="496"/>
        <v>0</v>
      </c>
      <c r="AQ454" s="771">
        <f t="shared" ca="1" si="497"/>
        <v>0</v>
      </c>
      <c r="AR454" s="771">
        <f t="shared" ca="1" si="498"/>
        <v>0</v>
      </c>
      <c r="AS454" s="772">
        <f t="shared" ca="1" si="499"/>
        <v>0</v>
      </c>
      <c r="AT454" s="231"/>
      <c r="AU454" s="770">
        <f>'Main Results - IRR DC Operator'!$F$16</f>
        <v>2</v>
      </c>
      <c r="AV454" s="773">
        <f>'Main Results - IRR DC Operator'!$F$15</f>
        <v>1</v>
      </c>
      <c r="AW454" s="771">
        <f t="shared" ca="1" si="500"/>
        <v>0</v>
      </c>
      <c r="AX454" s="772">
        <f t="shared" si="501"/>
        <v>0</v>
      </c>
      <c r="AY454" s="231"/>
      <c r="AZ454" s="770" cm="1">
        <f t="array" aca="1" ref="AZ454" ca="1">INDIRECT("'Definition of Typical Day'!"&amp; ADDRESS($D454+29*(AZ$16-1),$E454))+$AZ$17</f>
        <v>11</v>
      </c>
      <c r="BA454" s="771" cm="1">
        <f t="array" aca="1" ref="BA454" ca="1">INDIRECT("'Definition of Typical Day'!"&amp; ADDRESS($D454+29*(BA$16-1),$E454))+$BA$17</f>
        <v>11</v>
      </c>
      <c r="BB454" s="772" cm="1">
        <f t="array" aca="1" ref="BB454" ca="1">INDIRECT("'Definition of Typical Day'!"&amp;ADDRESS(BB$16,$E454))</f>
        <v>0</v>
      </c>
      <c r="BC454" s="776" cm="1">
        <f t="array" aca="1" ref="BC454" ca="1">INDIRECT("'Definition of Typical Day'!"&amp; ADDRESS($D454+29*(BC$16-1),$E454))</f>
        <v>0</v>
      </c>
      <c r="BD454" s="777" cm="1">
        <f t="array" aca="1" ref="BD454" ca="1">INDIRECT("'Definition of Typical Day'!"&amp; ADDRESS($D454+29*(BD$16-1),$E454))</f>
        <v>0</v>
      </c>
      <c r="BE454" s="776">
        <f t="shared" si="502"/>
        <v>0</v>
      </c>
      <c r="BF454" s="771">
        <f t="shared" ca="1" si="503"/>
        <v>0</v>
      </c>
      <c r="BG454" s="771">
        <f t="shared" ca="1" si="504"/>
        <v>0</v>
      </c>
      <c r="BH454" s="771">
        <f t="shared" ca="1" si="505"/>
        <v>0</v>
      </c>
      <c r="BI454" s="776">
        <f t="shared" ca="1" si="506"/>
        <v>0</v>
      </c>
      <c r="BJ454" s="776">
        <f t="shared" ca="1" si="507"/>
        <v>0</v>
      </c>
      <c r="BK454" s="776">
        <f t="shared" ca="1" si="508"/>
        <v>0</v>
      </c>
      <c r="BL454" s="776">
        <f t="shared" ca="1" si="509"/>
        <v>0</v>
      </c>
      <c r="BM454" s="135"/>
      <c r="BN454" s="776">
        <f t="shared" ca="1" si="510"/>
        <v>0</v>
      </c>
      <c r="BO454" s="778">
        <f t="shared" ca="1" si="447"/>
        <v>0</v>
      </c>
      <c r="BP454" s="770">
        <f t="shared" ca="1" si="448"/>
        <v>0</v>
      </c>
      <c r="BQ454" s="771">
        <f t="shared" ca="1" si="449"/>
        <v>0</v>
      </c>
      <c r="BR454" s="771">
        <f t="shared" ca="1" si="450"/>
        <v>0</v>
      </c>
      <c r="BS454" s="776">
        <f t="shared" ca="1" si="511"/>
        <v>0</v>
      </c>
      <c r="BT454" s="776">
        <f t="shared" ca="1" si="451"/>
        <v>0</v>
      </c>
      <c r="BU454" s="783">
        <f t="shared" ca="1" si="452"/>
        <v>0</v>
      </c>
      <c r="BV454" s="783">
        <f t="shared" ca="1" si="453"/>
        <v>0</v>
      </c>
      <c r="BW454" s="1019">
        <f t="shared" ca="1" si="512"/>
        <v>0</v>
      </c>
      <c r="BX454" s="771" cm="1">
        <f t="array" aca="1" ref="BX454" ca="1">INDIRECT("'Definition of Typical Day'!"&amp; ADDRESS($D454+29*(BX$16-1),$E454))</f>
        <v>0</v>
      </c>
      <c r="BY454" s="771">
        <f t="shared" ca="1" si="513"/>
        <v>0</v>
      </c>
      <c r="BZ454" s="781">
        <f t="shared" ca="1" si="454"/>
        <v>0</v>
      </c>
      <c r="CA454" s="781">
        <f t="shared" ca="1" si="455"/>
        <v>0</v>
      </c>
      <c r="CB454" s="776">
        <f t="shared" ca="1" si="456"/>
        <v>0</v>
      </c>
      <c r="CC454" s="782">
        <f t="shared" si="457"/>
        <v>19</v>
      </c>
      <c r="CD454" s="782">
        <f t="shared" si="458"/>
        <v>2</v>
      </c>
      <c r="CE454" s="784" cm="1">
        <f t="array" aca="1" ref="CE454" ca="1">INDIRECT("'Definition of Typical Day'!"&amp;ADDRESS(CE$16,$E454))</f>
        <v>19</v>
      </c>
      <c r="CF454" s="232"/>
      <c r="CG454" s="232"/>
      <c r="CH454" s="776">
        <f t="shared" ca="1" si="459"/>
        <v>0</v>
      </c>
      <c r="CI454" s="806">
        <f t="shared" ca="1" si="460"/>
        <v>0</v>
      </c>
      <c r="CJ454" s="770">
        <f t="shared" ca="1" si="461"/>
        <v>0</v>
      </c>
      <c r="CK454" s="771">
        <f t="shared" ca="1" si="462"/>
        <v>0</v>
      </c>
      <c r="CL454" s="771">
        <f t="shared" ca="1" si="463"/>
        <v>0</v>
      </c>
      <c r="CM454" s="772">
        <f t="shared" ca="1" si="464"/>
        <v>0</v>
      </c>
      <c r="CN454" s="135"/>
      <c r="CO454" s="770">
        <f t="shared" ca="1" si="514"/>
        <v>1.05</v>
      </c>
      <c r="CP454" s="771">
        <f t="shared" ca="1" si="465"/>
        <v>0.02</v>
      </c>
      <c r="CQ454" s="771">
        <f t="shared" ca="1" si="466"/>
        <v>-2.5000000000000001E-2</v>
      </c>
      <c r="CR454" s="771">
        <f t="shared" ca="1" si="467"/>
        <v>0.95</v>
      </c>
      <c r="CS454" s="771">
        <f t="shared" ca="1" si="468"/>
        <v>0.03</v>
      </c>
      <c r="CT454" s="772">
        <f t="shared" ca="1" si="469"/>
        <v>0.02</v>
      </c>
      <c r="CU454" s="135"/>
      <c r="CV454" s="135"/>
      <c r="CW454" s="135"/>
      <c r="CX454" s="135"/>
      <c r="CY454" s="135"/>
      <c r="CZ454" s="135"/>
      <c r="DA454" s="135"/>
      <c r="DB454" s="135"/>
      <c r="DC454" s="135"/>
      <c r="DD454" s="135"/>
      <c r="DE454" s="135"/>
      <c r="DF454" s="135"/>
      <c r="DG454" s="135"/>
      <c r="DH454" s="135"/>
      <c r="DI454" s="135"/>
      <c r="DJ454" s="135"/>
      <c r="DK454" s="135"/>
      <c r="DL454" s="135"/>
      <c r="DX454" s="135"/>
      <c r="DY454" s="135"/>
      <c r="DZ454" s="135"/>
      <c r="EA454" s="135"/>
      <c r="EB454" s="135"/>
      <c r="EC454" s="135"/>
      <c r="ED454" s="135"/>
      <c r="EE454" s="135"/>
      <c r="EF454" s="135"/>
      <c r="EG454" s="135"/>
      <c r="EH454" s="135"/>
      <c r="EI454" s="135"/>
      <c r="EJ454" s="135"/>
      <c r="EK454" s="135"/>
      <c r="EL454" s="135"/>
      <c r="EM454" s="135"/>
      <c r="EN454" s="135"/>
      <c r="EO454" s="135"/>
      <c r="EP454" s="135"/>
      <c r="EQ454" s="135"/>
      <c r="ER454" s="135"/>
      <c r="ES454" s="135"/>
      <c r="ET454" s="135"/>
      <c r="EU454" s="135"/>
      <c r="EV454" s="135"/>
      <c r="EW454" s="135"/>
      <c r="EX454" s="135"/>
      <c r="EY454" s="135"/>
      <c r="EZ454" s="135"/>
      <c r="FA454" s="135"/>
      <c r="FB454" s="135"/>
      <c r="FC454" s="135"/>
      <c r="FD454" s="135"/>
      <c r="FE454" s="135"/>
      <c r="FF454" s="135"/>
      <c r="FG454" s="135"/>
    </row>
    <row r="455" spans="1:163" s="57" customFormat="1" ht="11.25" outlineLevel="1">
      <c r="A455" s="765">
        <f t="shared" si="515"/>
        <v>19</v>
      </c>
      <c r="B455" s="715" cm="1">
        <f t="array" aca="1" ref="B455" ca="1">INDIRECT("'Definition of Typical Day'!"&amp;ADDRESS(B$16,$E455))</f>
        <v>19</v>
      </c>
      <c r="C455" s="766">
        <f t="shared" si="516"/>
        <v>3</v>
      </c>
      <c r="D455" s="715">
        <f t="shared" si="516"/>
        <v>37</v>
      </c>
      <c r="E455" s="715">
        <f t="shared" si="444"/>
        <v>23</v>
      </c>
      <c r="F455" s="767" cm="1">
        <f t="array" aca="1" ref="F455" ca="1">INDIRECT("'Definition of Typical Day'!D"&amp;D455)</f>
        <v>3</v>
      </c>
      <c r="G455" s="767" cm="1">
        <f t="array" aca="1" ref="G455" ca="1">INDIRECT("'Definition of Typical Day'!"&amp;ADDRESS(13,E455))</f>
        <v>19</v>
      </c>
      <c r="H455" s="768" cm="1">
        <f t="array" aca="1" ref="H455" ca="1">INDIRECT("'Definition of Typical Day'!"&amp; ADDRESS($D455+28*(H$16-1),$E455))</f>
        <v>0</v>
      </c>
      <c r="I455" s="715" cm="1">
        <f t="array" aca="1" ref="I455" ca="1">INDIRECT("'Definition of Typical Day'!"&amp; ADDRESS($D455+29*(I$16-1),$E455))</f>
        <v>0</v>
      </c>
      <c r="J455" s="715">
        <f t="shared" ca="1" si="470"/>
        <v>0</v>
      </c>
      <c r="K455" s="785">
        <f t="shared" si="471"/>
        <v>28</v>
      </c>
      <c r="L455" s="786" cm="1">
        <f t="array" aca="1" ref="L455" ca="1">INDIRECT("'Definition of Typical Day'!"&amp; ADDRESS($D455+29*(L$16-1),$E455))</f>
        <v>0</v>
      </c>
      <c r="M455" s="768" cm="1">
        <f t="array" aca="1" ref="M455" ca="1">INDIRECT("'Definition of Typical Day'!"&amp; ADDRESS($D455+29*(M$16-1),$E455))</f>
        <v>0</v>
      </c>
      <c r="N455" s="715">
        <f t="shared" si="472"/>
        <v>3</v>
      </c>
      <c r="O455" s="715">
        <f t="shared" ca="1" si="473"/>
        <v>3</v>
      </c>
      <c r="P455" s="715" cm="1">
        <f t="array" aca="1" ref="P455" ca="1">INDIRECT("'Definition of Typical Day'!"&amp; ADDRESS($D455+29*(P$16-1),$E455))</f>
        <v>0</v>
      </c>
      <c r="Q455" s="787">
        <f t="shared" ca="1" si="474"/>
        <v>3</v>
      </c>
      <c r="R455" s="792">
        <f t="shared" ca="1" si="475"/>
        <v>3</v>
      </c>
      <c r="S455" s="769">
        <f t="shared" si="476"/>
        <v>3</v>
      </c>
      <c r="T455" s="769">
        <f t="shared" ca="1" si="477"/>
        <v>-0.5</v>
      </c>
      <c r="U455" s="769">
        <f t="shared" ca="1" si="478"/>
        <v>2.262</v>
      </c>
      <c r="V455" s="769">
        <f t="shared" ca="1" si="479"/>
        <v>0</v>
      </c>
      <c r="W455" s="769">
        <f t="shared" ca="1" si="480"/>
        <v>4.7620000000000005</v>
      </c>
      <c r="X455" s="794">
        <f t="shared" si="481"/>
        <v>3</v>
      </c>
      <c r="Y455" s="769">
        <f t="shared" ca="1" si="482"/>
        <v>0.54772255750516607</v>
      </c>
      <c r="Z455" s="769">
        <f t="shared" ca="1" si="483"/>
        <v>0</v>
      </c>
      <c r="AA455" s="795">
        <f t="shared" ca="1" si="484"/>
        <v>0</v>
      </c>
      <c r="AB455" s="769">
        <f t="shared" ca="1" si="485"/>
        <v>0</v>
      </c>
      <c r="AC455" s="769">
        <f t="shared" ca="1" si="486"/>
        <v>0</v>
      </c>
      <c r="AD455" s="769">
        <f t="shared" ca="1" si="487"/>
        <v>0</v>
      </c>
      <c r="AE455" s="794">
        <f t="shared" ca="1" si="488"/>
        <v>0</v>
      </c>
      <c r="AF455" s="769">
        <f t="shared" ca="1" si="489"/>
        <v>0</v>
      </c>
      <c r="AG455" s="769">
        <f t="shared" ca="1" si="490"/>
        <v>0</v>
      </c>
      <c r="AH455" s="799">
        <f t="shared" ca="1" si="491"/>
        <v>0</v>
      </c>
      <c r="AI455" s="801">
        <f t="shared" ca="1" si="492"/>
        <v>1</v>
      </c>
      <c r="AJ455" s="794">
        <f t="shared" ca="1" si="493"/>
        <v>0</v>
      </c>
      <c r="AK455" s="769">
        <f t="shared" ca="1" si="494"/>
        <v>0</v>
      </c>
      <c r="AL455" s="769">
        <f t="shared" ca="1" si="495"/>
        <v>0</v>
      </c>
      <c r="AM455" s="804">
        <f t="shared" ca="1" si="445"/>
        <v>0</v>
      </c>
      <c r="AN455" s="795">
        <f t="shared" ca="1" si="446"/>
        <v>0</v>
      </c>
      <c r="AO455" s="251"/>
      <c r="AP455" s="770">
        <f t="shared" si="496"/>
        <v>0</v>
      </c>
      <c r="AQ455" s="771">
        <f t="shared" ca="1" si="497"/>
        <v>0</v>
      </c>
      <c r="AR455" s="771">
        <f t="shared" ca="1" si="498"/>
        <v>0</v>
      </c>
      <c r="AS455" s="772">
        <f t="shared" ca="1" si="499"/>
        <v>0</v>
      </c>
      <c r="AT455" s="231"/>
      <c r="AU455" s="770">
        <f>'Main Results - IRR DC Operator'!$F$16</f>
        <v>2</v>
      </c>
      <c r="AV455" s="773">
        <f>'Main Results - IRR DC Operator'!$F$15</f>
        <v>1</v>
      </c>
      <c r="AW455" s="771">
        <f t="shared" ca="1" si="500"/>
        <v>0</v>
      </c>
      <c r="AX455" s="772">
        <f t="shared" si="501"/>
        <v>0</v>
      </c>
      <c r="AY455" s="231"/>
      <c r="AZ455" s="770" cm="1">
        <f t="array" aca="1" ref="AZ455" ca="1">INDIRECT("'Definition of Typical Day'!"&amp; ADDRESS($D455+29*(AZ$16-1),$E455))+$AZ$17</f>
        <v>11</v>
      </c>
      <c r="BA455" s="771" cm="1">
        <f t="array" aca="1" ref="BA455" ca="1">INDIRECT("'Definition of Typical Day'!"&amp; ADDRESS($D455+29*(BA$16-1),$E455))+$BA$17</f>
        <v>11</v>
      </c>
      <c r="BB455" s="772" cm="1">
        <f t="array" aca="1" ref="BB455" ca="1">INDIRECT("'Definition of Typical Day'!"&amp;ADDRESS(BB$16,$E455))</f>
        <v>0</v>
      </c>
      <c r="BC455" s="776" cm="1">
        <f t="array" aca="1" ref="BC455" ca="1">INDIRECT("'Definition of Typical Day'!"&amp; ADDRESS($D455+29*(BC$16-1),$E455))</f>
        <v>0</v>
      </c>
      <c r="BD455" s="777" cm="1">
        <f t="array" aca="1" ref="BD455" ca="1">INDIRECT("'Definition of Typical Day'!"&amp; ADDRESS($D455+29*(BD$16-1),$E455))</f>
        <v>0</v>
      </c>
      <c r="BE455" s="776">
        <f t="shared" si="502"/>
        <v>0</v>
      </c>
      <c r="BF455" s="771">
        <f t="shared" ca="1" si="503"/>
        <v>0</v>
      </c>
      <c r="BG455" s="771">
        <f t="shared" ca="1" si="504"/>
        <v>0</v>
      </c>
      <c r="BH455" s="771">
        <f t="shared" ca="1" si="505"/>
        <v>0</v>
      </c>
      <c r="BI455" s="776">
        <f t="shared" ca="1" si="506"/>
        <v>0</v>
      </c>
      <c r="BJ455" s="776">
        <f t="shared" ca="1" si="507"/>
        <v>0</v>
      </c>
      <c r="BK455" s="776">
        <f t="shared" ca="1" si="508"/>
        <v>0</v>
      </c>
      <c r="BL455" s="776">
        <f t="shared" ca="1" si="509"/>
        <v>0</v>
      </c>
      <c r="BM455" s="135"/>
      <c r="BN455" s="776">
        <f t="shared" ca="1" si="510"/>
        <v>0</v>
      </c>
      <c r="BO455" s="778">
        <f t="shared" ca="1" si="447"/>
        <v>0</v>
      </c>
      <c r="BP455" s="770">
        <f t="shared" ca="1" si="448"/>
        <v>0</v>
      </c>
      <c r="BQ455" s="771">
        <f t="shared" ca="1" si="449"/>
        <v>0</v>
      </c>
      <c r="BR455" s="771">
        <f t="shared" ca="1" si="450"/>
        <v>0</v>
      </c>
      <c r="BS455" s="776">
        <f t="shared" ca="1" si="511"/>
        <v>0</v>
      </c>
      <c r="BT455" s="776">
        <f t="shared" ca="1" si="451"/>
        <v>0</v>
      </c>
      <c r="BU455" s="783">
        <f t="shared" ca="1" si="452"/>
        <v>0</v>
      </c>
      <c r="BV455" s="783">
        <f t="shared" ca="1" si="453"/>
        <v>0</v>
      </c>
      <c r="BW455" s="1019">
        <f t="shared" ca="1" si="512"/>
        <v>0</v>
      </c>
      <c r="BX455" s="771" cm="1">
        <f t="array" aca="1" ref="BX455" ca="1">INDIRECT("'Definition of Typical Day'!"&amp; ADDRESS($D455+29*(BX$16-1),$E455))</f>
        <v>0</v>
      </c>
      <c r="BY455" s="771">
        <f t="shared" ca="1" si="513"/>
        <v>0</v>
      </c>
      <c r="BZ455" s="781">
        <f t="shared" ca="1" si="454"/>
        <v>0</v>
      </c>
      <c r="CA455" s="781">
        <f t="shared" ca="1" si="455"/>
        <v>0</v>
      </c>
      <c r="CB455" s="776">
        <f t="shared" ca="1" si="456"/>
        <v>0</v>
      </c>
      <c r="CC455" s="782">
        <f t="shared" si="457"/>
        <v>19</v>
      </c>
      <c r="CD455" s="782">
        <f t="shared" si="458"/>
        <v>3</v>
      </c>
      <c r="CE455" s="784" cm="1">
        <f t="array" aca="1" ref="CE455" ca="1">INDIRECT("'Definition of Typical Day'!"&amp;ADDRESS(CE$16,$E455))</f>
        <v>19</v>
      </c>
      <c r="CF455" s="232"/>
      <c r="CG455" s="232"/>
      <c r="CH455" s="776">
        <f t="shared" ca="1" si="459"/>
        <v>0</v>
      </c>
      <c r="CI455" s="806">
        <f t="shared" ca="1" si="460"/>
        <v>0</v>
      </c>
      <c r="CJ455" s="770">
        <f t="shared" ca="1" si="461"/>
        <v>0</v>
      </c>
      <c r="CK455" s="771">
        <f t="shared" ca="1" si="462"/>
        <v>0</v>
      </c>
      <c r="CL455" s="771">
        <f t="shared" ca="1" si="463"/>
        <v>0</v>
      </c>
      <c r="CM455" s="772">
        <f t="shared" ca="1" si="464"/>
        <v>0</v>
      </c>
      <c r="CN455" s="135"/>
      <c r="CO455" s="770">
        <f t="shared" ca="1" si="514"/>
        <v>1.05</v>
      </c>
      <c r="CP455" s="771">
        <f t="shared" ca="1" si="465"/>
        <v>0.02</v>
      </c>
      <c r="CQ455" s="771">
        <f t="shared" ca="1" si="466"/>
        <v>-2.5000000000000001E-2</v>
      </c>
      <c r="CR455" s="771">
        <f t="shared" ca="1" si="467"/>
        <v>0.95</v>
      </c>
      <c r="CS455" s="771">
        <f t="shared" ca="1" si="468"/>
        <v>0.03</v>
      </c>
      <c r="CT455" s="772">
        <f t="shared" ca="1" si="469"/>
        <v>0.02</v>
      </c>
      <c r="CU455" s="135"/>
      <c r="CV455" s="135"/>
      <c r="CW455" s="135"/>
      <c r="CX455" s="135"/>
      <c r="CY455" s="135"/>
      <c r="CZ455" s="135"/>
      <c r="DA455" s="135"/>
      <c r="DB455" s="135"/>
      <c r="DC455" s="135"/>
      <c r="DD455" s="135"/>
      <c r="DE455" s="135"/>
      <c r="DF455" s="135"/>
      <c r="DG455" s="135"/>
      <c r="DH455" s="135"/>
      <c r="DI455" s="135"/>
      <c r="DJ455" s="135"/>
      <c r="DK455" s="135"/>
      <c r="DL455" s="135"/>
      <c r="DX455" s="135"/>
      <c r="DY455" s="135"/>
      <c r="DZ455" s="135"/>
      <c r="EA455" s="135"/>
      <c r="EB455" s="135"/>
      <c r="EC455" s="135"/>
      <c r="ED455" s="135"/>
      <c r="EE455" s="135"/>
      <c r="EF455" s="135"/>
      <c r="EG455" s="135"/>
      <c r="EH455" s="135"/>
      <c r="EI455" s="135"/>
      <c r="EJ455" s="135"/>
      <c r="EK455" s="135"/>
      <c r="EL455" s="135"/>
      <c r="EM455" s="135"/>
      <c r="EN455" s="135"/>
      <c r="EO455" s="135"/>
      <c r="EP455" s="135"/>
      <c r="EQ455" s="135"/>
      <c r="ER455" s="135"/>
      <c r="ES455" s="135"/>
      <c r="ET455" s="135"/>
      <c r="EU455" s="135"/>
      <c r="EV455" s="135"/>
      <c r="EW455" s="135"/>
      <c r="EX455" s="135"/>
      <c r="EY455" s="135"/>
      <c r="EZ455" s="135"/>
      <c r="FA455" s="135"/>
      <c r="FB455" s="135"/>
      <c r="FC455" s="135"/>
      <c r="FD455" s="135"/>
      <c r="FE455" s="135"/>
      <c r="FF455" s="135"/>
      <c r="FG455" s="135"/>
    </row>
    <row r="456" spans="1:163" s="57" customFormat="1" ht="11.25" outlineLevel="1">
      <c r="A456" s="765">
        <f t="shared" si="515"/>
        <v>19</v>
      </c>
      <c r="B456" s="715" cm="1">
        <f t="array" aca="1" ref="B456" ca="1">INDIRECT("'Definition of Typical Day'!"&amp;ADDRESS(B$16,$E456))</f>
        <v>19</v>
      </c>
      <c r="C456" s="766">
        <f t="shared" si="516"/>
        <v>4</v>
      </c>
      <c r="D456" s="715">
        <f t="shared" si="516"/>
        <v>38</v>
      </c>
      <c r="E456" s="715">
        <f t="shared" si="444"/>
        <v>23</v>
      </c>
      <c r="F456" s="767" cm="1">
        <f t="array" aca="1" ref="F456" ca="1">INDIRECT("'Definition of Typical Day'!D"&amp;D456)</f>
        <v>4</v>
      </c>
      <c r="G456" s="767" cm="1">
        <f t="array" aca="1" ref="G456" ca="1">INDIRECT("'Definition of Typical Day'!"&amp;ADDRESS(13,E456))</f>
        <v>19</v>
      </c>
      <c r="H456" s="768" cm="1">
        <f t="array" aca="1" ref="H456" ca="1">INDIRECT("'Definition of Typical Day'!"&amp; ADDRESS($D456+28*(H$16-1),$E456))</f>
        <v>0</v>
      </c>
      <c r="I456" s="715" cm="1">
        <f t="array" aca="1" ref="I456" ca="1">INDIRECT("'Definition of Typical Day'!"&amp; ADDRESS($D456+29*(I$16-1),$E456))</f>
        <v>0</v>
      </c>
      <c r="J456" s="715">
        <f t="shared" ca="1" si="470"/>
        <v>0</v>
      </c>
      <c r="K456" s="785">
        <f t="shared" si="471"/>
        <v>28</v>
      </c>
      <c r="L456" s="786" cm="1">
        <f t="array" aca="1" ref="L456" ca="1">INDIRECT("'Definition of Typical Day'!"&amp; ADDRESS($D456+29*(L$16-1),$E456))</f>
        <v>0</v>
      </c>
      <c r="M456" s="768" cm="1">
        <f t="array" aca="1" ref="M456" ca="1">INDIRECT("'Definition of Typical Day'!"&amp; ADDRESS($D456+29*(M$16-1),$E456))</f>
        <v>0</v>
      </c>
      <c r="N456" s="715">
        <f t="shared" si="472"/>
        <v>3</v>
      </c>
      <c r="O456" s="715">
        <f t="shared" ca="1" si="473"/>
        <v>3</v>
      </c>
      <c r="P456" s="715" cm="1">
        <f t="array" aca="1" ref="P456" ca="1">INDIRECT("'Definition of Typical Day'!"&amp; ADDRESS($D456+29*(P$16-1),$E456))</f>
        <v>0</v>
      </c>
      <c r="Q456" s="787">
        <f t="shared" ca="1" si="474"/>
        <v>3</v>
      </c>
      <c r="R456" s="792">
        <f t="shared" ca="1" si="475"/>
        <v>3</v>
      </c>
      <c r="S456" s="769">
        <f t="shared" si="476"/>
        <v>3</v>
      </c>
      <c r="T456" s="769">
        <f t="shared" ca="1" si="477"/>
        <v>-0.5</v>
      </c>
      <c r="U456" s="769">
        <f t="shared" ca="1" si="478"/>
        <v>2.262</v>
      </c>
      <c r="V456" s="769">
        <f t="shared" ca="1" si="479"/>
        <v>0</v>
      </c>
      <c r="W456" s="769">
        <f t="shared" ca="1" si="480"/>
        <v>4.7620000000000005</v>
      </c>
      <c r="X456" s="794">
        <f t="shared" si="481"/>
        <v>3</v>
      </c>
      <c r="Y456" s="769">
        <f t="shared" ca="1" si="482"/>
        <v>0.54772255750516607</v>
      </c>
      <c r="Z456" s="769">
        <f t="shared" ca="1" si="483"/>
        <v>0</v>
      </c>
      <c r="AA456" s="795">
        <f t="shared" ca="1" si="484"/>
        <v>0</v>
      </c>
      <c r="AB456" s="769">
        <f t="shared" ca="1" si="485"/>
        <v>0</v>
      </c>
      <c r="AC456" s="769">
        <f t="shared" ca="1" si="486"/>
        <v>0</v>
      </c>
      <c r="AD456" s="769">
        <f t="shared" ca="1" si="487"/>
        <v>0</v>
      </c>
      <c r="AE456" s="794">
        <f t="shared" ca="1" si="488"/>
        <v>0</v>
      </c>
      <c r="AF456" s="769">
        <f t="shared" ca="1" si="489"/>
        <v>0</v>
      </c>
      <c r="AG456" s="769">
        <f t="shared" ca="1" si="490"/>
        <v>0</v>
      </c>
      <c r="AH456" s="799">
        <f t="shared" ca="1" si="491"/>
        <v>0</v>
      </c>
      <c r="AI456" s="801">
        <f t="shared" ca="1" si="492"/>
        <v>1</v>
      </c>
      <c r="AJ456" s="794">
        <f t="shared" ca="1" si="493"/>
        <v>0</v>
      </c>
      <c r="AK456" s="769">
        <f t="shared" ca="1" si="494"/>
        <v>0</v>
      </c>
      <c r="AL456" s="769">
        <f t="shared" ca="1" si="495"/>
        <v>0</v>
      </c>
      <c r="AM456" s="804">
        <f t="shared" ca="1" si="445"/>
        <v>0</v>
      </c>
      <c r="AN456" s="795">
        <f t="shared" ca="1" si="446"/>
        <v>0</v>
      </c>
      <c r="AO456" s="251"/>
      <c r="AP456" s="770">
        <f t="shared" si="496"/>
        <v>0</v>
      </c>
      <c r="AQ456" s="771">
        <f t="shared" ca="1" si="497"/>
        <v>0</v>
      </c>
      <c r="AR456" s="771">
        <f t="shared" ca="1" si="498"/>
        <v>0</v>
      </c>
      <c r="AS456" s="772">
        <f t="shared" ca="1" si="499"/>
        <v>0</v>
      </c>
      <c r="AT456" s="231"/>
      <c r="AU456" s="770">
        <f>'Main Results - IRR DC Operator'!$F$16</f>
        <v>2</v>
      </c>
      <c r="AV456" s="773">
        <f>'Main Results - IRR DC Operator'!$F$15</f>
        <v>1</v>
      </c>
      <c r="AW456" s="771">
        <f t="shared" ca="1" si="500"/>
        <v>0</v>
      </c>
      <c r="AX456" s="772">
        <f t="shared" si="501"/>
        <v>0</v>
      </c>
      <c r="AY456" s="231"/>
      <c r="AZ456" s="770" cm="1">
        <f t="array" aca="1" ref="AZ456" ca="1">INDIRECT("'Definition of Typical Day'!"&amp; ADDRESS($D456+29*(AZ$16-1),$E456))+$AZ$17</f>
        <v>11</v>
      </c>
      <c r="BA456" s="771" cm="1">
        <f t="array" aca="1" ref="BA456" ca="1">INDIRECT("'Definition of Typical Day'!"&amp; ADDRESS($D456+29*(BA$16-1),$E456))+$BA$17</f>
        <v>11</v>
      </c>
      <c r="BB456" s="772" cm="1">
        <f t="array" aca="1" ref="BB456" ca="1">INDIRECT("'Definition of Typical Day'!"&amp;ADDRESS(BB$16,$E456))</f>
        <v>0</v>
      </c>
      <c r="BC456" s="776" cm="1">
        <f t="array" aca="1" ref="BC456" ca="1">INDIRECT("'Definition of Typical Day'!"&amp; ADDRESS($D456+29*(BC$16-1),$E456))</f>
        <v>0</v>
      </c>
      <c r="BD456" s="777" cm="1">
        <f t="array" aca="1" ref="BD456" ca="1">INDIRECT("'Definition of Typical Day'!"&amp; ADDRESS($D456+29*(BD$16-1),$E456))</f>
        <v>0</v>
      </c>
      <c r="BE456" s="776">
        <f t="shared" si="502"/>
        <v>0</v>
      </c>
      <c r="BF456" s="771">
        <f t="shared" ca="1" si="503"/>
        <v>0</v>
      </c>
      <c r="BG456" s="771">
        <f t="shared" ca="1" si="504"/>
        <v>0</v>
      </c>
      <c r="BH456" s="771">
        <f t="shared" ca="1" si="505"/>
        <v>0</v>
      </c>
      <c r="BI456" s="776">
        <f t="shared" ca="1" si="506"/>
        <v>0</v>
      </c>
      <c r="BJ456" s="776">
        <f t="shared" ca="1" si="507"/>
        <v>0</v>
      </c>
      <c r="BK456" s="776">
        <f t="shared" ca="1" si="508"/>
        <v>0</v>
      </c>
      <c r="BL456" s="776">
        <f t="shared" ca="1" si="509"/>
        <v>0</v>
      </c>
      <c r="BM456" s="135"/>
      <c r="BN456" s="776">
        <f t="shared" ca="1" si="510"/>
        <v>0</v>
      </c>
      <c r="BO456" s="778">
        <f t="shared" ca="1" si="447"/>
        <v>0</v>
      </c>
      <c r="BP456" s="770">
        <f t="shared" ca="1" si="448"/>
        <v>0</v>
      </c>
      <c r="BQ456" s="771">
        <f t="shared" ca="1" si="449"/>
        <v>0</v>
      </c>
      <c r="BR456" s="771">
        <f t="shared" ca="1" si="450"/>
        <v>0</v>
      </c>
      <c r="BS456" s="776">
        <f t="shared" ca="1" si="511"/>
        <v>0</v>
      </c>
      <c r="BT456" s="776">
        <f t="shared" ca="1" si="451"/>
        <v>0</v>
      </c>
      <c r="BU456" s="783">
        <f t="shared" ca="1" si="452"/>
        <v>0</v>
      </c>
      <c r="BV456" s="783">
        <f t="shared" ca="1" si="453"/>
        <v>0</v>
      </c>
      <c r="BW456" s="1019">
        <f t="shared" ca="1" si="512"/>
        <v>0</v>
      </c>
      <c r="BX456" s="771" cm="1">
        <f t="array" aca="1" ref="BX456" ca="1">INDIRECT("'Definition of Typical Day'!"&amp; ADDRESS($D456+29*(BX$16-1),$E456))</f>
        <v>0</v>
      </c>
      <c r="BY456" s="771">
        <f t="shared" ca="1" si="513"/>
        <v>0</v>
      </c>
      <c r="BZ456" s="781">
        <f t="shared" ca="1" si="454"/>
        <v>0</v>
      </c>
      <c r="CA456" s="781">
        <f t="shared" ca="1" si="455"/>
        <v>0</v>
      </c>
      <c r="CB456" s="776">
        <f t="shared" ca="1" si="456"/>
        <v>0</v>
      </c>
      <c r="CC456" s="782">
        <f t="shared" si="457"/>
        <v>19</v>
      </c>
      <c r="CD456" s="782">
        <f t="shared" si="458"/>
        <v>4</v>
      </c>
      <c r="CE456" s="784" cm="1">
        <f t="array" aca="1" ref="CE456" ca="1">INDIRECT("'Definition of Typical Day'!"&amp;ADDRESS(CE$16,$E456))</f>
        <v>19</v>
      </c>
      <c r="CF456" s="232"/>
      <c r="CG456" s="232"/>
      <c r="CH456" s="776">
        <f t="shared" ca="1" si="459"/>
        <v>0</v>
      </c>
      <c r="CI456" s="806">
        <f t="shared" ca="1" si="460"/>
        <v>0</v>
      </c>
      <c r="CJ456" s="770">
        <f t="shared" ca="1" si="461"/>
        <v>0</v>
      </c>
      <c r="CK456" s="771">
        <f t="shared" ca="1" si="462"/>
        <v>0</v>
      </c>
      <c r="CL456" s="771">
        <f t="shared" ca="1" si="463"/>
        <v>0</v>
      </c>
      <c r="CM456" s="772">
        <f t="shared" ca="1" si="464"/>
        <v>0</v>
      </c>
      <c r="CN456" s="135"/>
      <c r="CO456" s="770">
        <f t="shared" ca="1" si="514"/>
        <v>1.05</v>
      </c>
      <c r="CP456" s="771">
        <f t="shared" ca="1" si="465"/>
        <v>0.02</v>
      </c>
      <c r="CQ456" s="771">
        <f t="shared" ca="1" si="466"/>
        <v>-2.5000000000000001E-2</v>
      </c>
      <c r="CR456" s="771">
        <f t="shared" ca="1" si="467"/>
        <v>0.95</v>
      </c>
      <c r="CS456" s="771">
        <f t="shared" ca="1" si="468"/>
        <v>0.03</v>
      </c>
      <c r="CT456" s="772">
        <f t="shared" ca="1" si="469"/>
        <v>0.02</v>
      </c>
      <c r="CU456" s="135"/>
      <c r="CV456" s="135"/>
      <c r="CW456" s="135"/>
      <c r="CX456" s="135"/>
      <c r="CY456" s="135"/>
      <c r="CZ456" s="135"/>
      <c r="DA456" s="135"/>
      <c r="DB456" s="135"/>
      <c r="DC456" s="135"/>
      <c r="DD456" s="135"/>
      <c r="DE456" s="135"/>
      <c r="DF456" s="135"/>
      <c r="DG456" s="135"/>
      <c r="DH456" s="135"/>
      <c r="DI456" s="135"/>
      <c r="DJ456" s="135"/>
      <c r="DK456" s="135"/>
      <c r="DL456" s="135"/>
      <c r="DX456" s="135"/>
      <c r="DY456" s="135"/>
      <c r="DZ456" s="135"/>
      <c r="EA456" s="135"/>
      <c r="EB456" s="135"/>
      <c r="EC456" s="135"/>
      <c r="ED456" s="135"/>
      <c r="EE456" s="135"/>
      <c r="EF456" s="135"/>
      <c r="EG456" s="135"/>
      <c r="EH456" s="135"/>
      <c r="EI456" s="135"/>
      <c r="EJ456" s="135"/>
      <c r="EK456" s="135"/>
      <c r="EL456" s="135"/>
      <c r="EM456" s="135"/>
      <c r="EN456" s="135"/>
      <c r="EO456" s="135"/>
      <c r="EP456" s="135"/>
      <c r="EQ456" s="135"/>
      <c r="ER456" s="135"/>
      <c r="ES456" s="135"/>
      <c r="ET456" s="135"/>
      <c r="EU456" s="135"/>
      <c r="EV456" s="135"/>
      <c r="EW456" s="135"/>
      <c r="EX456" s="135"/>
      <c r="EY456" s="135"/>
      <c r="EZ456" s="135"/>
      <c r="FA456" s="135"/>
      <c r="FB456" s="135"/>
      <c r="FC456" s="135"/>
      <c r="FD456" s="135"/>
      <c r="FE456" s="135"/>
      <c r="FF456" s="135"/>
      <c r="FG456" s="135"/>
    </row>
    <row r="457" spans="1:163" s="57" customFormat="1" ht="11.25" outlineLevel="1">
      <c r="A457" s="765">
        <f t="shared" si="515"/>
        <v>19</v>
      </c>
      <c r="B457" s="715" cm="1">
        <f t="array" aca="1" ref="B457" ca="1">INDIRECT("'Definition of Typical Day'!"&amp;ADDRESS(B$16,$E457))</f>
        <v>19</v>
      </c>
      <c r="C457" s="766">
        <f t="shared" si="516"/>
        <v>5</v>
      </c>
      <c r="D457" s="715">
        <f t="shared" si="516"/>
        <v>39</v>
      </c>
      <c r="E457" s="715">
        <f t="shared" si="444"/>
        <v>23</v>
      </c>
      <c r="F457" s="767" cm="1">
        <f t="array" aca="1" ref="F457" ca="1">INDIRECT("'Definition of Typical Day'!D"&amp;D457)</f>
        <v>5</v>
      </c>
      <c r="G457" s="767" cm="1">
        <f t="array" aca="1" ref="G457" ca="1">INDIRECT("'Definition of Typical Day'!"&amp;ADDRESS(13,E457))</f>
        <v>19</v>
      </c>
      <c r="H457" s="768" cm="1">
        <f t="array" aca="1" ref="H457" ca="1">INDIRECT("'Definition of Typical Day'!"&amp; ADDRESS($D457+28*(H$16-1),$E457))</f>
        <v>0</v>
      </c>
      <c r="I457" s="715" cm="1">
        <f t="array" aca="1" ref="I457" ca="1">INDIRECT("'Definition of Typical Day'!"&amp; ADDRESS($D457+29*(I$16-1),$E457))</f>
        <v>0</v>
      </c>
      <c r="J457" s="715">
        <f t="shared" ca="1" si="470"/>
        <v>0</v>
      </c>
      <c r="K457" s="785">
        <f t="shared" si="471"/>
        <v>28</v>
      </c>
      <c r="L457" s="786" cm="1">
        <f t="array" aca="1" ref="L457" ca="1">INDIRECT("'Definition of Typical Day'!"&amp; ADDRESS($D457+29*(L$16-1),$E457))</f>
        <v>0</v>
      </c>
      <c r="M457" s="768" cm="1">
        <f t="array" aca="1" ref="M457" ca="1">INDIRECT("'Definition of Typical Day'!"&amp; ADDRESS($D457+29*(M$16-1),$E457))</f>
        <v>0</v>
      </c>
      <c r="N457" s="715">
        <f t="shared" si="472"/>
        <v>3</v>
      </c>
      <c r="O457" s="715">
        <f t="shared" ca="1" si="473"/>
        <v>3</v>
      </c>
      <c r="P457" s="715" cm="1">
        <f t="array" aca="1" ref="P457" ca="1">INDIRECT("'Definition of Typical Day'!"&amp; ADDRESS($D457+29*(P$16-1),$E457))</f>
        <v>0</v>
      </c>
      <c r="Q457" s="787">
        <f t="shared" ca="1" si="474"/>
        <v>3</v>
      </c>
      <c r="R457" s="792">
        <f t="shared" ca="1" si="475"/>
        <v>3</v>
      </c>
      <c r="S457" s="769">
        <f t="shared" si="476"/>
        <v>3</v>
      </c>
      <c r="T457" s="769">
        <f t="shared" ca="1" si="477"/>
        <v>-0.5</v>
      </c>
      <c r="U457" s="769">
        <f t="shared" ca="1" si="478"/>
        <v>2.262</v>
      </c>
      <c r="V457" s="769">
        <f t="shared" ca="1" si="479"/>
        <v>0</v>
      </c>
      <c r="W457" s="769">
        <f t="shared" ca="1" si="480"/>
        <v>4.7620000000000005</v>
      </c>
      <c r="X457" s="794">
        <f t="shared" si="481"/>
        <v>3</v>
      </c>
      <c r="Y457" s="769">
        <f t="shared" ca="1" si="482"/>
        <v>0.54772255750516607</v>
      </c>
      <c r="Z457" s="769">
        <f t="shared" ca="1" si="483"/>
        <v>0</v>
      </c>
      <c r="AA457" s="795">
        <f t="shared" ca="1" si="484"/>
        <v>0</v>
      </c>
      <c r="AB457" s="769">
        <f t="shared" ca="1" si="485"/>
        <v>0</v>
      </c>
      <c r="AC457" s="769">
        <f t="shared" ca="1" si="486"/>
        <v>0</v>
      </c>
      <c r="AD457" s="769">
        <f t="shared" ca="1" si="487"/>
        <v>0</v>
      </c>
      <c r="AE457" s="794">
        <f t="shared" ca="1" si="488"/>
        <v>0</v>
      </c>
      <c r="AF457" s="769">
        <f t="shared" ca="1" si="489"/>
        <v>0</v>
      </c>
      <c r="AG457" s="769">
        <f t="shared" ca="1" si="490"/>
        <v>0</v>
      </c>
      <c r="AH457" s="799">
        <f t="shared" ca="1" si="491"/>
        <v>0</v>
      </c>
      <c r="AI457" s="801">
        <f t="shared" ca="1" si="492"/>
        <v>1</v>
      </c>
      <c r="AJ457" s="794">
        <f t="shared" ca="1" si="493"/>
        <v>0</v>
      </c>
      <c r="AK457" s="769">
        <f t="shared" ca="1" si="494"/>
        <v>0</v>
      </c>
      <c r="AL457" s="769">
        <f t="shared" ca="1" si="495"/>
        <v>0</v>
      </c>
      <c r="AM457" s="804">
        <f t="shared" ca="1" si="445"/>
        <v>0</v>
      </c>
      <c r="AN457" s="795">
        <f t="shared" ca="1" si="446"/>
        <v>0</v>
      </c>
      <c r="AO457" s="251"/>
      <c r="AP457" s="770">
        <f t="shared" si="496"/>
        <v>0</v>
      </c>
      <c r="AQ457" s="771">
        <f t="shared" ca="1" si="497"/>
        <v>0</v>
      </c>
      <c r="AR457" s="771">
        <f t="shared" ca="1" si="498"/>
        <v>0</v>
      </c>
      <c r="AS457" s="772">
        <f t="shared" ca="1" si="499"/>
        <v>0</v>
      </c>
      <c r="AT457" s="231"/>
      <c r="AU457" s="770">
        <f>'Main Results - IRR DC Operator'!$F$16</f>
        <v>2</v>
      </c>
      <c r="AV457" s="773">
        <f>'Main Results - IRR DC Operator'!$F$15</f>
        <v>1</v>
      </c>
      <c r="AW457" s="771">
        <f t="shared" ca="1" si="500"/>
        <v>0</v>
      </c>
      <c r="AX457" s="772">
        <f t="shared" si="501"/>
        <v>0</v>
      </c>
      <c r="AY457" s="231"/>
      <c r="AZ457" s="770" cm="1">
        <f t="array" aca="1" ref="AZ457" ca="1">INDIRECT("'Definition of Typical Day'!"&amp; ADDRESS($D457+29*(AZ$16-1),$E457))+$AZ$17</f>
        <v>11</v>
      </c>
      <c r="BA457" s="771" cm="1">
        <f t="array" aca="1" ref="BA457" ca="1">INDIRECT("'Definition of Typical Day'!"&amp; ADDRESS($D457+29*(BA$16-1),$E457))+$BA$17</f>
        <v>11</v>
      </c>
      <c r="BB457" s="772" cm="1">
        <f t="array" aca="1" ref="BB457" ca="1">INDIRECT("'Definition of Typical Day'!"&amp;ADDRESS(BB$16,$E457))</f>
        <v>0</v>
      </c>
      <c r="BC457" s="776" cm="1">
        <f t="array" aca="1" ref="BC457" ca="1">INDIRECT("'Definition of Typical Day'!"&amp; ADDRESS($D457+29*(BC$16-1),$E457))</f>
        <v>0</v>
      </c>
      <c r="BD457" s="777" cm="1">
        <f t="array" aca="1" ref="BD457" ca="1">INDIRECT("'Definition of Typical Day'!"&amp; ADDRESS($D457+29*(BD$16-1),$E457))</f>
        <v>0</v>
      </c>
      <c r="BE457" s="776">
        <f t="shared" si="502"/>
        <v>0</v>
      </c>
      <c r="BF457" s="771">
        <f t="shared" ca="1" si="503"/>
        <v>0</v>
      </c>
      <c r="BG457" s="771">
        <f t="shared" ca="1" si="504"/>
        <v>0</v>
      </c>
      <c r="BH457" s="771">
        <f t="shared" ca="1" si="505"/>
        <v>0</v>
      </c>
      <c r="BI457" s="776">
        <f t="shared" ca="1" si="506"/>
        <v>0</v>
      </c>
      <c r="BJ457" s="776">
        <f t="shared" ca="1" si="507"/>
        <v>0</v>
      </c>
      <c r="BK457" s="776">
        <f t="shared" ca="1" si="508"/>
        <v>0</v>
      </c>
      <c r="BL457" s="776">
        <f t="shared" ca="1" si="509"/>
        <v>0</v>
      </c>
      <c r="BM457" s="135"/>
      <c r="BN457" s="776">
        <f t="shared" ca="1" si="510"/>
        <v>0</v>
      </c>
      <c r="BO457" s="778">
        <f t="shared" ca="1" si="447"/>
        <v>0</v>
      </c>
      <c r="BP457" s="770">
        <f t="shared" ca="1" si="448"/>
        <v>0</v>
      </c>
      <c r="BQ457" s="771">
        <f t="shared" ca="1" si="449"/>
        <v>0</v>
      </c>
      <c r="BR457" s="771">
        <f t="shared" ca="1" si="450"/>
        <v>0</v>
      </c>
      <c r="BS457" s="776">
        <f t="shared" ca="1" si="511"/>
        <v>0</v>
      </c>
      <c r="BT457" s="776">
        <f t="shared" ca="1" si="451"/>
        <v>0</v>
      </c>
      <c r="BU457" s="783">
        <f t="shared" ca="1" si="452"/>
        <v>0</v>
      </c>
      <c r="BV457" s="783">
        <f t="shared" ca="1" si="453"/>
        <v>0</v>
      </c>
      <c r="BW457" s="1019">
        <f t="shared" ca="1" si="512"/>
        <v>0</v>
      </c>
      <c r="BX457" s="771" cm="1">
        <f t="array" aca="1" ref="BX457" ca="1">INDIRECT("'Definition of Typical Day'!"&amp; ADDRESS($D457+29*(BX$16-1),$E457))</f>
        <v>0</v>
      </c>
      <c r="BY457" s="771">
        <f t="shared" ca="1" si="513"/>
        <v>0</v>
      </c>
      <c r="BZ457" s="781">
        <f t="shared" ca="1" si="454"/>
        <v>0</v>
      </c>
      <c r="CA457" s="781">
        <f t="shared" ca="1" si="455"/>
        <v>0</v>
      </c>
      <c r="CB457" s="776">
        <f t="shared" ca="1" si="456"/>
        <v>0</v>
      </c>
      <c r="CC457" s="782">
        <f t="shared" si="457"/>
        <v>19</v>
      </c>
      <c r="CD457" s="782">
        <f t="shared" si="458"/>
        <v>5</v>
      </c>
      <c r="CE457" s="784" cm="1">
        <f t="array" aca="1" ref="CE457" ca="1">INDIRECT("'Definition of Typical Day'!"&amp;ADDRESS(CE$16,$E457))</f>
        <v>19</v>
      </c>
      <c r="CF457" s="232"/>
      <c r="CG457" s="232"/>
      <c r="CH457" s="776">
        <f t="shared" ca="1" si="459"/>
        <v>0</v>
      </c>
      <c r="CI457" s="806">
        <f t="shared" ca="1" si="460"/>
        <v>0</v>
      </c>
      <c r="CJ457" s="770">
        <f t="shared" ca="1" si="461"/>
        <v>0</v>
      </c>
      <c r="CK457" s="771">
        <f t="shared" ca="1" si="462"/>
        <v>0</v>
      </c>
      <c r="CL457" s="771">
        <f t="shared" ca="1" si="463"/>
        <v>0</v>
      </c>
      <c r="CM457" s="772">
        <f t="shared" ca="1" si="464"/>
        <v>0</v>
      </c>
      <c r="CN457" s="135"/>
      <c r="CO457" s="770">
        <f t="shared" ca="1" si="514"/>
        <v>1.05</v>
      </c>
      <c r="CP457" s="771">
        <f t="shared" ca="1" si="465"/>
        <v>0.02</v>
      </c>
      <c r="CQ457" s="771">
        <f t="shared" ca="1" si="466"/>
        <v>-2.5000000000000001E-2</v>
      </c>
      <c r="CR457" s="771">
        <f t="shared" ca="1" si="467"/>
        <v>0.95</v>
      </c>
      <c r="CS457" s="771">
        <f t="shared" ca="1" si="468"/>
        <v>0.03</v>
      </c>
      <c r="CT457" s="772">
        <f t="shared" ca="1" si="469"/>
        <v>0.02</v>
      </c>
      <c r="CU457" s="135"/>
      <c r="CV457" s="135"/>
      <c r="CW457" s="135"/>
      <c r="CX457" s="135"/>
      <c r="CY457" s="135"/>
      <c r="CZ457" s="135"/>
      <c r="DA457" s="135"/>
      <c r="DB457" s="135"/>
      <c r="DC457" s="135"/>
      <c r="DD457" s="135"/>
      <c r="DE457" s="135"/>
      <c r="DF457" s="135"/>
      <c r="DG457" s="135"/>
      <c r="DH457" s="135"/>
      <c r="DI457" s="135"/>
      <c r="DJ457" s="135"/>
      <c r="DK457" s="135"/>
      <c r="DL457" s="135"/>
      <c r="DX457" s="135"/>
      <c r="DY457" s="135"/>
      <c r="DZ457" s="135"/>
      <c r="EA457" s="135"/>
      <c r="EB457" s="135"/>
      <c r="EC457" s="135"/>
      <c r="ED457" s="135"/>
      <c r="EE457" s="135"/>
      <c r="EF457" s="135"/>
      <c r="EG457" s="135"/>
      <c r="EH457" s="135"/>
      <c r="EI457" s="135"/>
      <c r="EJ457" s="135"/>
      <c r="EK457" s="135"/>
      <c r="EL457" s="135"/>
      <c r="EM457" s="135"/>
      <c r="EN457" s="135"/>
      <c r="EO457" s="135"/>
      <c r="EP457" s="135"/>
      <c r="EQ457" s="135"/>
      <c r="ER457" s="135"/>
      <c r="ES457" s="135"/>
      <c r="ET457" s="135"/>
      <c r="EU457" s="135"/>
      <c r="EV457" s="135"/>
      <c r="EW457" s="135"/>
      <c r="EX457" s="135"/>
      <c r="EY457" s="135"/>
      <c r="EZ457" s="135"/>
      <c r="FA457" s="135"/>
      <c r="FB457" s="135"/>
      <c r="FC457" s="135"/>
      <c r="FD457" s="135"/>
      <c r="FE457" s="135"/>
      <c r="FF457" s="135"/>
      <c r="FG457" s="135"/>
    </row>
    <row r="458" spans="1:163" s="57" customFormat="1" ht="11.25" outlineLevel="1">
      <c r="A458" s="765">
        <f t="shared" si="515"/>
        <v>19</v>
      </c>
      <c r="B458" s="715" cm="1">
        <f t="array" aca="1" ref="B458" ca="1">INDIRECT("'Definition of Typical Day'!"&amp;ADDRESS(B$16,$E458))</f>
        <v>19</v>
      </c>
      <c r="C458" s="766">
        <f t="shared" si="516"/>
        <v>6</v>
      </c>
      <c r="D458" s="715">
        <f t="shared" si="516"/>
        <v>40</v>
      </c>
      <c r="E458" s="715">
        <f t="shared" si="444"/>
        <v>23</v>
      </c>
      <c r="F458" s="767" cm="1">
        <f t="array" aca="1" ref="F458" ca="1">INDIRECT("'Definition of Typical Day'!D"&amp;D458)</f>
        <v>6</v>
      </c>
      <c r="G458" s="767" cm="1">
        <f t="array" aca="1" ref="G458" ca="1">INDIRECT("'Definition of Typical Day'!"&amp;ADDRESS(13,E458))</f>
        <v>19</v>
      </c>
      <c r="H458" s="768" cm="1">
        <f t="array" aca="1" ref="H458" ca="1">INDIRECT("'Definition of Typical Day'!"&amp; ADDRESS($D458+28*(H$16-1),$E458))</f>
        <v>0</v>
      </c>
      <c r="I458" s="715" cm="1">
        <f t="array" aca="1" ref="I458" ca="1">INDIRECT("'Definition of Typical Day'!"&amp; ADDRESS($D458+29*(I$16-1),$E458))</f>
        <v>0</v>
      </c>
      <c r="J458" s="715">
        <f t="shared" ca="1" si="470"/>
        <v>0</v>
      </c>
      <c r="K458" s="785">
        <f t="shared" si="471"/>
        <v>28</v>
      </c>
      <c r="L458" s="786" cm="1">
        <f t="array" aca="1" ref="L458" ca="1">INDIRECT("'Definition of Typical Day'!"&amp; ADDRESS($D458+29*(L$16-1),$E458))</f>
        <v>0</v>
      </c>
      <c r="M458" s="768" cm="1">
        <f t="array" aca="1" ref="M458" ca="1">INDIRECT("'Definition of Typical Day'!"&amp; ADDRESS($D458+29*(M$16-1),$E458))</f>
        <v>0</v>
      </c>
      <c r="N458" s="715">
        <f t="shared" si="472"/>
        <v>3</v>
      </c>
      <c r="O458" s="715">
        <f t="shared" ca="1" si="473"/>
        <v>3</v>
      </c>
      <c r="P458" s="715" cm="1">
        <f t="array" aca="1" ref="P458" ca="1">INDIRECT("'Definition of Typical Day'!"&amp; ADDRESS($D458+29*(P$16-1),$E458))</f>
        <v>0</v>
      </c>
      <c r="Q458" s="787">
        <f t="shared" ca="1" si="474"/>
        <v>3</v>
      </c>
      <c r="R458" s="792">
        <f t="shared" ca="1" si="475"/>
        <v>3</v>
      </c>
      <c r="S458" s="769">
        <f t="shared" si="476"/>
        <v>3</v>
      </c>
      <c r="T458" s="769">
        <f t="shared" ca="1" si="477"/>
        <v>-0.5</v>
      </c>
      <c r="U458" s="769">
        <f t="shared" ca="1" si="478"/>
        <v>2.262</v>
      </c>
      <c r="V458" s="769">
        <f t="shared" ca="1" si="479"/>
        <v>0</v>
      </c>
      <c r="W458" s="769">
        <f t="shared" ca="1" si="480"/>
        <v>4.7620000000000005</v>
      </c>
      <c r="X458" s="794">
        <f t="shared" si="481"/>
        <v>3</v>
      </c>
      <c r="Y458" s="769">
        <f t="shared" ca="1" si="482"/>
        <v>0.54772255750516607</v>
      </c>
      <c r="Z458" s="769">
        <f t="shared" ca="1" si="483"/>
        <v>0</v>
      </c>
      <c r="AA458" s="795">
        <f t="shared" ca="1" si="484"/>
        <v>0</v>
      </c>
      <c r="AB458" s="769">
        <f t="shared" ca="1" si="485"/>
        <v>0</v>
      </c>
      <c r="AC458" s="769">
        <f t="shared" ca="1" si="486"/>
        <v>0</v>
      </c>
      <c r="AD458" s="769">
        <f t="shared" ca="1" si="487"/>
        <v>0</v>
      </c>
      <c r="AE458" s="794">
        <f t="shared" ca="1" si="488"/>
        <v>0</v>
      </c>
      <c r="AF458" s="769">
        <f t="shared" ca="1" si="489"/>
        <v>0</v>
      </c>
      <c r="AG458" s="769">
        <f t="shared" ca="1" si="490"/>
        <v>0</v>
      </c>
      <c r="AH458" s="799">
        <f t="shared" ca="1" si="491"/>
        <v>0</v>
      </c>
      <c r="AI458" s="801">
        <f t="shared" ca="1" si="492"/>
        <v>1</v>
      </c>
      <c r="AJ458" s="794">
        <f t="shared" ca="1" si="493"/>
        <v>0</v>
      </c>
      <c r="AK458" s="769">
        <f t="shared" ca="1" si="494"/>
        <v>0</v>
      </c>
      <c r="AL458" s="769">
        <f t="shared" ca="1" si="495"/>
        <v>0</v>
      </c>
      <c r="AM458" s="804">
        <f t="shared" ca="1" si="445"/>
        <v>0</v>
      </c>
      <c r="AN458" s="795">
        <f t="shared" ca="1" si="446"/>
        <v>0</v>
      </c>
      <c r="AO458" s="251"/>
      <c r="AP458" s="770">
        <f t="shared" si="496"/>
        <v>0</v>
      </c>
      <c r="AQ458" s="771">
        <f t="shared" ca="1" si="497"/>
        <v>0</v>
      </c>
      <c r="AR458" s="771">
        <f t="shared" ca="1" si="498"/>
        <v>0</v>
      </c>
      <c r="AS458" s="772">
        <f t="shared" ca="1" si="499"/>
        <v>0</v>
      </c>
      <c r="AT458" s="231"/>
      <c r="AU458" s="770">
        <f>'Main Results - IRR DC Operator'!$F$16</f>
        <v>2</v>
      </c>
      <c r="AV458" s="773">
        <f>'Main Results - IRR DC Operator'!$F$15</f>
        <v>1</v>
      </c>
      <c r="AW458" s="771">
        <f t="shared" ca="1" si="500"/>
        <v>0</v>
      </c>
      <c r="AX458" s="772">
        <f t="shared" si="501"/>
        <v>0</v>
      </c>
      <c r="AY458" s="231"/>
      <c r="AZ458" s="770" cm="1">
        <f t="array" aca="1" ref="AZ458" ca="1">INDIRECT("'Definition of Typical Day'!"&amp; ADDRESS($D458+29*(AZ$16-1),$E458))+$AZ$17</f>
        <v>11</v>
      </c>
      <c r="BA458" s="771" cm="1">
        <f t="array" aca="1" ref="BA458" ca="1">INDIRECT("'Definition of Typical Day'!"&amp; ADDRESS($D458+29*(BA$16-1),$E458))+$BA$17</f>
        <v>11</v>
      </c>
      <c r="BB458" s="772" cm="1">
        <f t="array" aca="1" ref="BB458" ca="1">INDIRECT("'Definition of Typical Day'!"&amp;ADDRESS(BB$16,$E458))</f>
        <v>0</v>
      </c>
      <c r="BC458" s="776" cm="1">
        <f t="array" aca="1" ref="BC458" ca="1">INDIRECT("'Definition of Typical Day'!"&amp; ADDRESS($D458+29*(BC$16-1),$E458))</f>
        <v>0</v>
      </c>
      <c r="BD458" s="777" cm="1">
        <f t="array" aca="1" ref="BD458" ca="1">INDIRECT("'Definition of Typical Day'!"&amp; ADDRESS($D458+29*(BD$16-1),$E458))</f>
        <v>0</v>
      </c>
      <c r="BE458" s="776">
        <f t="shared" si="502"/>
        <v>0</v>
      </c>
      <c r="BF458" s="771">
        <f t="shared" ca="1" si="503"/>
        <v>0</v>
      </c>
      <c r="BG458" s="771">
        <f t="shared" ca="1" si="504"/>
        <v>0</v>
      </c>
      <c r="BH458" s="771">
        <f t="shared" ca="1" si="505"/>
        <v>0</v>
      </c>
      <c r="BI458" s="776">
        <f t="shared" ca="1" si="506"/>
        <v>0</v>
      </c>
      <c r="BJ458" s="776">
        <f t="shared" ca="1" si="507"/>
        <v>0</v>
      </c>
      <c r="BK458" s="776">
        <f t="shared" ca="1" si="508"/>
        <v>0</v>
      </c>
      <c r="BL458" s="776">
        <f t="shared" ca="1" si="509"/>
        <v>0</v>
      </c>
      <c r="BM458" s="135"/>
      <c r="BN458" s="776">
        <f t="shared" ca="1" si="510"/>
        <v>0</v>
      </c>
      <c r="BO458" s="778">
        <f t="shared" ca="1" si="447"/>
        <v>0</v>
      </c>
      <c r="BP458" s="770">
        <f t="shared" ca="1" si="448"/>
        <v>0</v>
      </c>
      <c r="BQ458" s="771">
        <f t="shared" ca="1" si="449"/>
        <v>0</v>
      </c>
      <c r="BR458" s="771">
        <f t="shared" ca="1" si="450"/>
        <v>0</v>
      </c>
      <c r="BS458" s="776">
        <f t="shared" ca="1" si="511"/>
        <v>0</v>
      </c>
      <c r="BT458" s="776">
        <f t="shared" ca="1" si="451"/>
        <v>0</v>
      </c>
      <c r="BU458" s="783">
        <f t="shared" ca="1" si="452"/>
        <v>0</v>
      </c>
      <c r="BV458" s="783">
        <f t="shared" ca="1" si="453"/>
        <v>0</v>
      </c>
      <c r="BW458" s="1019">
        <f t="shared" ca="1" si="512"/>
        <v>0</v>
      </c>
      <c r="BX458" s="771" cm="1">
        <f t="array" aca="1" ref="BX458" ca="1">INDIRECT("'Definition of Typical Day'!"&amp; ADDRESS($D458+29*(BX$16-1),$E458))</f>
        <v>0</v>
      </c>
      <c r="BY458" s="771">
        <f t="shared" ca="1" si="513"/>
        <v>0</v>
      </c>
      <c r="BZ458" s="781">
        <f t="shared" ca="1" si="454"/>
        <v>0</v>
      </c>
      <c r="CA458" s="781">
        <f t="shared" ca="1" si="455"/>
        <v>0</v>
      </c>
      <c r="CB458" s="776">
        <f t="shared" ca="1" si="456"/>
        <v>0</v>
      </c>
      <c r="CC458" s="782">
        <f t="shared" si="457"/>
        <v>19</v>
      </c>
      <c r="CD458" s="782">
        <f t="shared" si="458"/>
        <v>6</v>
      </c>
      <c r="CE458" s="784" cm="1">
        <f t="array" aca="1" ref="CE458" ca="1">INDIRECT("'Definition of Typical Day'!"&amp;ADDRESS(CE$16,$E458))</f>
        <v>19</v>
      </c>
      <c r="CF458" s="232"/>
      <c r="CG458" s="232"/>
      <c r="CH458" s="776">
        <f t="shared" ca="1" si="459"/>
        <v>0</v>
      </c>
      <c r="CI458" s="806">
        <f t="shared" ca="1" si="460"/>
        <v>0</v>
      </c>
      <c r="CJ458" s="770">
        <f t="shared" ca="1" si="461"/>
        <v>0</v>
      </c>
      <c r="CK458" s="771">
        <f t="shared" ca="1" si="462"/>
        <v>0</v>
      </c>
      <c r="CL458" s="771">
        <f t="shared" ca="1" si="463"/>
        <v>0</v>
      </c>
      <c r="CM458" s="772">
        <f t="shared" ca="1" si="464"/>
        <v>0</v>
      </c>
      <c r="CN458" s="135"/>
      <c r="CO458" s="770">
        <f t="shared" ca="1" si="514"/>
        <v>1.05</v>
      </c>
      <c r="CP458" s="771">
        <f t="shared" ca="1" si="465"/>
        <v>0.02</v>
      </c>
      <c r="CQ458" s="771">
        <f t="shared" ca="1" si="466"/>
        <v>-2.5000000000000001E-2</v>
      </c>
      <c r="CR458" s="771">
        <f t="shared" ca="1" si="467"/>
        <v>0.95</v>
      </c>
      <c r="CS458" s="771">
        <f t="shared" ca="1" si="468"/>
        <v>0.03</v>
      </c>
      <c r="CT458" s="772">
        <f t="shared" ca="1" si="469"/>
        <v>0.02</v>
      </c>
      <c r="CU458" s="135"/>
      <c r="CV458" s="135"/>
      <c r="CW458" s="135"/>
      <c r="CX458" s="135"/>
      <c r="CY458" s="135"/>
      <c r="CZ458" s="135"/>
      <c r="DA458" s="135"/>
      <c r="DB458" s="135"/>
      <c r="DC458" s="135"/>
      <c r="DD458" s="135"/>
      <c r="DE458" s="135"/>
      <c r="DF458" s="135"/>
      <c r="DG458" s="135"/>
      <c r="DH458" s="135"/>
      <c r="DI458" s="135"/>
      <c r="DJ458" s="135"/>
      <c r="DK458" s="135"/>
      <c r="DL458" s="135"/>
      <c r="DX458" s="135"/>
      <c r="DY458" s="135"/>
      <c r="DZ458" s="135"/>
      <c r="EA458" s="135"/>
      <c r="EB458" s="135"/>
      <c r="EC458" s="135"/>
      <c r="ED458" s="135"/>
      <c r="EE458" s="135"/>
      <c r="EF458" s="135"/>
      <c r="EG458" s="135"/>
      <c r="EH458" s="135"/>
      <c r="EI458" s="135"/>
      <c r="EJ458" s="135"/>
      <c r="EK458" s="135"/>
      <c r="EL458" s="135"/>
      <c r="EM458" s="135"/>
      <c r="EN458" s="135"/>
      <c r="EO458" s="135"/>
      <c r="EP458" s="135"/>
      <c r="EQ458" s="135"/>
      <c r="ER458" s="135"/>
      <c r="ES458" s="135"/>
      <c r="ET458" s="135"/>
      <c r="EU458" s="135"/>
      <c r="EV458" s="135"/>
      <c r="EW458" s="135"/>
      <c r="EX458" s="135"/>
      <c r="EY458" s="135"/>
      <c r="EZ458" s="135"/>
      <c r="FA458" s="135"/>
      <c r="FB458" s="135"/>
      <c r="FC458" s="135"/>
      <c r="FD458" s="135"/>
      <c r="FE458" s="135"/>
      <c r="FF458" s="135"/>
      <c r="FG458" s="135"/>
    </row>
    <row r="459" spans="1:163" s="57" customFormat="1" ht="11.25" outlineLevel="1">
      <c r="A459" s="765">
        <f t="shared" si="515"/>
        <v>19</v>
      </c>
      <c r="B459" s="715" cm="1">
        <f t="array" aca="1" ref="B459" ca="1">INDIRECT("'Definition of Typical Day'!"&amp;ADDRESS(B$16,$E459))</f>
        <v>19</v>
      </c>
      <c r="C459" s="766">
        <f t="shared" si="516"/>
        <v>7</v>
      </c>
      <c r="D459" s="715">
        <f t="shared" si="516"/>
        <v>41</v>
      </c>
      <c r="E459" s="715">
        <f t="shared" si="444"/>
        <v>23</v>
      </c>
      <c r="F459" s="767" cm="1">
        <f t="array" aca="1" ref="F459" ca="1">INDIRECT("'Definition of Typical Day'!D"&amp;D459)</f>
        <v>7</v>
      </c>
      <c r="G459" s="767" cm="1">
        <f t="array" aca="1" ref="G459" ca="1">INDIRECT("'Definition of Typical Day'!"&amp;ADDRESS(13,E459))</f>
        <v>19</v>
      </c>
      <c r="H459" s="768" cm="1">
        <f t="array" aca="1" ref="H459" ca="1">INDIRECT("'Definition of Typical Day'!"&amp; ADDRESS($D459+28*(H$16-1),$E459))</f>
        <v>0</v>
      </c>
      <c r="I459" s="715" cm="1">
        <f t="array" aca="1" ref="I459" ca="1">INDIRECT("'Definition of Typical Day'!"&amp; ADDRESS($D459+29*(I$16-1),$E459))</f>
        <v>0</v>
      </c>
      <c r="J459" s="715">
        <f t="shared" ca="1" si="470"/>
        <v>0</v>
      </c>
      <c r="K459" s="785">
        <f t="shared" si="471"/>
        <v>28</v>
      </c>
      <c r="L459" s="786" cm="1">
        <f t="array" aca="1" ref="L459" ca="1">INDIRECT("'Definition of Typical Day'!"&amp; ADDRESS($D459+29*(L$16-1),$E459))</f>
        <v>0</v>
      </c>
      <c r="M459" s="768" cm="1">
        <f t="array" aca="1" ref="M459" ca="1">INDIRECT("'Definition of Typical Day'!"&amp; ADDRESS($D459+29*(M$16-1),$E459))</f>
        <v>0</v>
      </c>
      <c r="N459" s="715">
        <f t="shared" si="472"/>
        <v>3</v>
      </c>
      <c r="O459" s="715">
        <f t="shared" ca="1" si="473"/>
        <v>3</v>
      </c>
      <c r="P459" s="715" cm="1">
        <f t="array" aca="1" ref="P459" ca="1">INDIRECT("'Definition of Typical Day'!"&amp; ADDRESS($D459+29*(P$16-1),$E459))</f>
        <v>0</v>
      </c>
      <c r="Q459" s="787">
        <f t="shared" ca="1" si="474"/>
        <v>3</v>
      </c>
      <c r="R459" s="792">
        <f t="shared" ca="1" si="475"/>
        <v>3</v>
      </c>
      <c r="S459" s="769">
        <f t="shared" si="476"/>
        <v>3</v>
      </c>
      <c r="T459" s="769">
        <f t="shared" ca="1" si="477"/>
        <v>-0.5</v>
      </c>
      <c r="U459" s="769">
        <f t="shared" ca="1" si="478"/>
        <v>2.262</v>
      </c>
      <c r="V459" s="769">
        <f t="shared" ca="1" si="479"/>
        <v>0</v>
      </c>
      <c r="W459" s="769">
        <f t="shared" ca="1" si="480"/>
        <v>4.7620000000000005</v>
      </c>
      <c r="X459" s="794">
        <f t="shared" si="481"/>
        <v>3</v>
      </c>
      <c r="Y459" s="769">
        <f t="shared" ca="1" si="482"/>
        <v>0.54772255750516607</v>
      </c>
      <c r="Z459" s="769">
        <f t="shared" ca="1" si="483"/>
        <v>0</v>
      </c>
      <c r="AA459" s="795">
        <f t="shared" ca="1" si="484"/>
        <v>0</v>
      </c>
      <c r="AB459" s="769">
        <f t="shared" ca="1" si="485"/>
        <v>0</v>
      </c>
      <c r="AC459" s="769">
        <f t="shared" ca="1" si="486"/>
        <v>0</v>
      </c>
      <c r="AD459" s="769">
        <f t="shared" ca="1" si="487"/>
        <v>0</v>
      </c>
      <c r="AE459" s="794">
        <f t="shared" ca="1" si="488"/>
        <v>0</v>
      </c>
      <c r="AF459" s="769">
        <f t="shared" ca="1" si="489"/>
        <v>0</v>
      </c>
      <c r="AG459" s="769">
        <f t="shared" ca="1" si="490"/>
        <v>0</v>
      </c>
      <c r="AH459" s="799">
        <f t="shared" ca="1" si="491"/>
        <v>0</v>
      </c>
      <c r="AI459" s="801">
        <f t="shared" ca="1" si="492"/>
        <v>1</v>
      </c>
      <c r="AJ459" s="794">
        <f t="shared" ca="1" si="493"/>
        <v>0</v>
      </c>
      <c r="AK459" s="769">
        <f t="shared" ca="1" si="494"/>
        <v>0</v>
      </c>
      <c r="AL459" s="769">
        <f t="shared" ca="1" si="495"/>
        <v>0</v>
      </c>
      <c r="AM459" s="804">
        <f t="shared" ca="1" si="445"/>
        <v>0</v>
      </c>
      <c r="AN459" s="795">
        <f t="shared" ca="1" si="446"/>
        <v>0</v>
      </c>
      <c r="AO459" s="251"/>
      <c r="AP459" s="770">
        <f t="shared" si="496"/>
        <v>0</v>
      </c>
      <c r="AQ459" s="771">
        <f t="shared" ca="1" si="497"/>
        <v>0</v>
      </c>
      <c r="AR459" s="771">
        <f t="shared" ca="1" si="498"/>
        <v>0</v>
      </c>
      <c r="AS459" s="772">
        <f t="shared" ca="1" si="499"/>
        <v>0</v>
      </c>
      <c r="AT459" s="231"/>
      <c r="AU459" s="770">
        <f>'Main Results - IRR DC Operator'!$F$16</f>
        <v>2</v>
      </c>
      <c r="AV459" s="773">
        <f>'Main Results - IRR DC Operator'!$F$15</f>
        <v>1</v>
      </c>
      <c r="AW459" s="771">
        <f t="shared" ca="1" si="500"/>
        <v>0</v>
      </c>
      <c r="AX459" s="772">
        <f t="shared" si="501"/>
        <v>0</v>
      </c>
      <c r="AY459" s="231"/>
      <c r="AZ459" s="770" cm="1">
        <f t="array" aca="1" ref="AZ459" ca="1">INDIRECT("'Definition of Typical Day'!"&amp; ADDRESS($D459+29*(AZ$16-1),$E459))+$AZ$17</f>
        <v>11</v>
      </c>
      <c r="BA459" s="771" cm="1">
        <f t="array" aca="1" ref="BA459" ca="1">INDIRECT("'Definition of Typical Day'!"&amp; ADDRESS($D459+29*(BA$16-1),$E459))+$BA$17</f>
        <v>11</v>
      </c>
      <c r="BB459" s="772" cm="1">
        <f t="array" aca="1" ref="BB459" ca="1">INDIRECT("'Definition of Typical Day'!"&amp;ADDRESS(BB$16,$E459))</f>
        <v>0</v>
      </c>
      <c r="BC459" s="776" cm="1">
        <f t="array" aca="1" ref="BC459" ca="1">INDIRECT("'Definition of Typical Day'!"&amp; ADDRESS($D459+29*(BC$16-1),$E459))</f>
        <v>0</v>
      </c>
      <c r="BD459" s="777" cm="1">
        <f t="array" aca="1" ref="BD459" ca="1">INDIRECT("'Definition of Typical Day'!"&amp; ADDRESS($D459+29*(BD$16-1),$E459))</f>
        <v>0</v>
      </c>
      <c r="BE459" s="776">
        <f t="shared" si="502"/>
        <v>0</v>
      </c>
      <c r="BF459" s="771">
        <f t="shared" ca="1" si="503"/>
        <v>0</v>
      </c>
      <c r="BG459" s="771">
        <f t="shared" ca="1" si="504"/>
        <v>0</v>
      </c>
      <c r="BH459" s="771">
        <f t="shared" ca="1" si="505"/>
        <v>0</v>
      </c>
      <c r="BI459" s="776">
        <f t="shared" ca="1" si="506"/>
        <v>0</v>
      </c>
      <c r="BJ459" s="776">
        <f t="shared" ca="1" si="507"/>
        <v>0</v>
      </c>
      <c r="BK459" s="776">
        <f t="shared" ca="1" si="508"/>
        <v>0</v>
      </c>
      <c r="BL459" s="776">
        <f t="shared" ca="1" si="509"/>
        <v>0</v>
      </c>
      <c r="BM459" s="135"/>
      <c r="BN459" s="776">
        <f t="shared" ca="1" si="510"/>
        <v>0</v>
      </c>
      <c r="BO459" s="778">
        <f t="shared" ca="1" si="447"/>
        <v>0</v>
      </c>
      <c r="BP459" s="770">
        <f t="shared" ca="1" si="448"/>
        <v>0</v>
      </c>
      <c r="BQ459" s="771">
        <f t="shared" ca="1" si="449"/>
        <v>0</v>
      </c>
      <c r="BR459" s="771">
        <f t="shared" ca="1" si="450"/>
        <v>0</v>
      </c>
      <c r="BS459" s="776">
        <f t="shared" ca="1" si="511"/>
        <v>0</v>
      </c>
      <c r="BT459" s="776">
        <f t="shared" ca="1" si="451"/>
        <v>0</v>
      </c>
      <c r="BU459" s="783">
        <f t="shared" ca="1" si="452"/>
        <v>0</v>
      </c>
      <c r="BV459" s="783">
        <f t="shared" ca="1" si="453"/>
        <v>0</v>
      </c>
      <c r="BW459" s="1019">
        <f t="shared" ca="1" si="512"/>
        <v>0</v>
      </c>
      <c r="BX459" s="771" cm="1">
        <f t="array" aca="1" ref="BX459" ca="1">INDIRECT("'Definition of Typical Day'!"&amp; ADDRESS($D459+29*(BX$16-1),$E459))</f>
        <v>0</v>
      </c>
      <c r="BY459" s="771">
        <f t="shared" ca="1" si="513"/>
        <v>0</v>
      </c>
      <c r="BZ459" s="781">
        <f t="shared" ca="1" si="454"/>
        <v>0</v>
      </c>
      <c r="CA459" s="781">
        <f t="shared" ca="1" si="455"/>
        <v>0</v>
      </c>
      <c r="CB459" s="776">
        <f t="shared" ca="1" si="456"/>
        <v>0</v>
      </c>
      <c r="CC459" s="782">
        <f t="shared" si="457"/>
        <v>19</v>
      </c>
      <c r="CD459" s="782">
        <f t="shared" si="458"/>
        <v>7</v>
      </c>
      <c r="CE459" s="784" cm="1">
        <f t="array" aca="1" ref="CE459" ca="1">INDIRECT("'Definition of Typical Day'!"&amp;ADDRESS(CE$16,$E459))</f>
        <v>19</v>
      </c>
      <c r="CF459" s="232"/>
      <c r="CG459" s="232"/>
      <c r="CH459" s="776">
        <f t="shared" ca="1" si="459"/>
        <v>0</v>
      </c>
      <c r="CI459" s="806">
        <f t="shared" ca="1" si="460"/>
        <v>0</v>
      </c>
      <c r="CJ459" s="770">
        <f t="shared" ca="1" si="461"/>
        <v>0</v>
      </c>
      <c r="CK459" s="771">
        <f t="shared" ca="1" si="462"/>
        <v>0</v>
      </c>
      <c r="CL459" s="771">
        <f t="shared" ca="1" si="463"/>
        <v>0</v>
      </c>
      <c r="CM459" s="772">
        <f t="shared" ca="1" si="464"/>
        <v>0</v>
      </c>
      <c r="CN459" s="135"/>
      <c r="CO459" s="770">
        <f t="shared" ca="1" si="514"/>
        <v>1.05</v>
      </c>
      <c r="CP459" s="771">
        <f t="shared" ca="1" si="465"/>
        <v>0.02</v>
      </c>
      <c r="CQ459" s="771">
        <f t="shared" ca="1" si="466"/>
        <v>-2.5000000000000001E-2</v>
      </c>
      <c r="CR459" s="771">
        <f t="shared" ca="1" si="467"/>
        <v>0.95</v>
      </c>
      <c r="CS459" s="771">
        <f t="shared" ca="1" si="468"/>
        <v>0.03</v>
      </c>
      <c r="CT459" s="772">
        <f t="shared" ca="1" si="469"/>
        <v>0.02</v>
      </c>
      <c r="CU459" s="135"/>
      <c r="CV459" s="135"/>
      <c r="CW459" s="135"/>
      <c r="CX459" s="135"/>
      <c r="CY459" s="135"/>
      <c r="CZ459" s="135"/>
      <c r="DA459" s="135"/>
      <c r="DB459" s="135"/>
      <c r="DC459" s="135"/>
      <c r="DD459" s="135"/>
      <c r="DE459" s="135"/>
      <c r="DF459" s="135"/>
      <c r="DG459" s="135"/>
      <c r="DH459" s="135"/>
      <c r="DI459" s="135"/>
      <c r="DJ459" s="135"/>
      <c r="DK459" s="135"/>
      <c r="DL459" s="135"/>
      <c r="DX459" s="135"/>
      <c r="DY459" s="135"/>
      <c r="DZ459" s="135"/>
      <c r="EA459" s="135"/>
      <c r="EB459" s="135"/>
      <c r="EC459" s="135"/>
      <c r="ED459" s="135"/>
      <c r="EE459" s="135"/>
      <c r="EF459" s="135"/>
      <c r="EG459" s="135"/>
      <c r="EH459" s="135"/>
      <c r="EI459" s="135"/>
      <c r="EJ459" s="135"/>
      <c r="EK459" s="135"/>
      <c r="EL459" s="135"/>
      <c r="EM459" s="135"/>
      <c r="EN459" s="135"/>
      <c r="EO459" s="135"/>
      <c r="EP459" s="135"/>
      <c r="EQ459" s="135"/>
      <c r="ER459" s="135"/>
      <c r="ES459" s="135"/>
      <c r="ET459" s="135"/>
      <c r="EU459" s="135"/>
      <c r="EV459" s="135"/>
      <c r="EW459" s="135"/>
      <c r="EX459" s="135"/>
      <c r="EY459" s="135"/>
      <c r="EZ459" s="135"/>
      <c r="FA459" s="135"/>
      <c r="FB459" s="135"/>
      <c r="FC459" s="135"/>
      <c r="FD459" s="135"/>
      <c r="FE459" s="135"/>
      <c r="FF459" s="135"/>
      <c r="FG459" s="135"/>
    </row>
    <row r="460" spans="1:163" s="57" customFormat="1" ht="11.25" outlineLevel="1">
      <c r="A460" s="765">
        <f t="shared" si="515"/>
        <v>19</v>
      </c>
      <c r="B460" s="715" cm="1">
        <f t="array" aca="1" ref="B460" ca="1">INDIRECT("'Definition of Typical Day'!"&amp;ADDRESS(B$16,$E460))</f>
        <v>19</v>
      </c>
      <c r="C460" s="766">
        <f t="shared" si="516"/>
        <v>8</v>
      </c>
      <c r="D460" s="715">
        <f t="shared" si="516"/>
        <v>42</v>
      </c>
      <c r="E460" s="715">
        <f t="shared" si="444"/>
        <v>23</v>
      </c>
      <c r="F460" s="767" cm="1">
        <f t="array" aca="1" ref="F460" ca="1">INDIRECT("'Definition of Typical Day'!D"&amp;D460)</f>
        <v>8</v>
      </c>
      <c r="G460" s="767" cm="1">
        <f t="array" aca="1" ref="G460" ca="1">INDIRECT("'Definition of Typical Day'!"&amp;ADDRESS(13,E460))</f>
        <v>19</v>
      </c>
      <c r="H460" s="768" cm="1">
        <f t="array" aca="1" ref="H460" ca="1">INDIRECT("'Definition of Typical Day'!"&amp; ADDRESS($D460+28*(H$16-1),$E460))</f>
        <v>0</v>
      </c>
      <c r="I460" s="715" cm="1">
        <f t="array" aca="1" ref="I460" ca="1">INDIRECT("'Definition of Typical Day'!"&amp; ADDRESS($D460+29*(I$16-1),$E460))</f>
        <v>0</v>
      </c>
      <c r="J460" s="715">
        <f t="shared" ca="1" si="470"/>
        <v>0</v>
      </c>
      <c r="K460" s="785">
        <f t="shared" si="471"/>
        <v>28</v>
      </c>
      <c r="L460" s="786" cm="1">
        <f t="array" aca="1" ref="L460" ca="1">INDIRECT("'Definition of Typical Day'!"&amp; ADDRESS($D460+29*(L$16-1),$E460))</f>
        <v>0</v>
      </c>
      <c r="M460" s="768" cm="1">
        <f t="array" aca="1" ref="M460" ca="1">INDIRECT("'Definition of Typical Day'!"&amp; ADDRESS($D460+29*(M$16-1),$E460))</f>
        <v>0</v>
      </c>
      <c r="N460" s="715">
        <f t="shared" si="472"/>
        <v>3</v>
      </c>
      <c r="O460" s="715">
        <f t="shared" ca="1" si="473"/>
        <v>3</v>
      </c>
      <c r="P460" s="715" cm="1">
        <f t="array" aca="1" ref="P460" ca="1">INDIRECT("'Definition of Typical Day'!"&amp; ADDRESS($D460+29*(P$16-1),$E460))</f>
        <v>0</v>
      </c>
      <c r="Q460" s="787">
        <f t="shared" ca="1" si="474"/>
        <v>3</v>
      </c>
      <c r="R460" s="792">
        <f t="shared" ca="1" si="475"/>
        <v>3</v>
      </c>
      <c r="S460" s="769">
        <f t="shared" si="476"/>
        <v>3</v>
      </c>
      <c r="T460" s="769">
        <f t="shared" ca="1" si="477"/>
        <v>-0.5</v>
      </c>
      <c r="U460" s="769">
        <f t="shared" ca="1" si="478"/>
        <v>2.262</v>
      </c>
      <c r="V460" s="769">
        <f t="shared" ca="1" si="479"/>
        <v>0</v>
      </c>
      <c r="W460" s="769">
        <f t="shared" ca="1" si="480"/>
        <v>4.7620000000000005</v>
      </c>
      <c r="X460" s="794">
        <f t="shared" si="481"/>
        <v>3</v>
      </c>
      <c r="Y460" s="769">
        <f t="shared" ca="1" si="482"/>
        <v>0.54772255750516607</v>
      </c>
      <c r="Z460" s="769">
        <f t="shared" ca="1" si="483"/>
        <v>0</v>
      </c>
      <c r="AA460" s="795">
        <f t="shared" ca="1" si="484"/>
        <v>0</v>
      </c>
      <c r="AB460" s="769">
        <f t="shared" ca="1" si="485"/>
        <v>0</v>
      </c>
      <c r="AC460" s="769">
        <f t="shared" ca="1" si="486"/>
        <v>0</v>
      </c>
      <c r="AD460" s="769">
        <f t="shared" ca="1" si="487"/>
        <v>0</v>
      </c>
      <c r="AE460" s="794">
        <f t="shared" ca="1" si="488"/>
        <v>0</v>
      </c>
      <c r="AF460" s="769">
        <f t="shared" ca="1" si="489"/>
        <v>0</v>
      </c>
      <c r="AG460" s="769">
        <f t="shared" ca="1" si="490"/>
        <v>0</v>
      </c>
      <c r="AH460" s="799">
        <f t="shared" ca="1" si="491"/>
        <v>0</v>
      </c>
      <c r="AI460" s="801">
        <f t="shared" ca="1" si="492"/>
        <v>1</v>
      </c>
      <c r="AJ460" s="794">
        <f t="shared" ca="1" si="493"/>
        <v>0</v>
      </c>
      <c r="AK460" s="769">
        <f t="shared" ca="1" si="494"/>
        <v>0</v>
      </c>
      <c r="AL460" s="769">
        <f t="shared" ca="1" si="495"/>
        <v>0</v>
      </c>
      <c r="AM460" s="804">
        <f t="shared" ca="1" si="445"/>
        <v>0</v>
      </c>
      <c r="AN460" s="795">
        <f t="shared" ca="1" si="446"/>
        <v>0</v>
      </c>
      <c r="AO460" s="251"/>
      <c r="AP460" s="770">
        <f t="shared" si="496"/>
        <v>0</v>
      </c>
      <c r="AQ460" s="771">
        <f t="shared" ca="1" si="497"/>
        <v>0</v>
      </c>
      <c r="AR460" s="771">
        <f t="shared" ca="1" si="498"/>
        <v>0</v>
      </c>
      <c r="AS460" s="772">
        <f t="shared" ca="1" si="499"/>
        <v>0</v>
      </c>
      <c r="AT460" s="231"/>
      <c r="AU460" s="770">
        <f>'Main Results - IRR DC Operator'!$F$16</f>
        <v>2</v>
      </c>
      <c r="AV460" s="773">
        <f>'Main Results - IRR DC Operator'!$F$15</f>
        <v>1</v>
      </c>
      <c r="AW460" s="771">
        <f t="shared" ca="1" si="500"/>
        <v>0</v>
      </c>
      <c r="AX460" s="772">
        <f t="shared" si="501"/>
        <v>0</v>
      </c>
      <c r="AY460" s="231"/>
      <c r="AZ460" s="770" cm="1">
        <f t="array" aca="1" ref="AZ460" ca="1">INDIRECT("'Definition of Typical Day'!"&amp; ADDRESS($D460+29*(AZ$16-1),$E460))+$AZ$17</f>
        <v>11</v>
      </c>
      <c r="BA460" s="771" cm="1">
        <f t="array" aca="1" ref="BA460" ca="1">INDIRECT("'Definition of Typical Day'!"&amp; ADDRESS($D460+29*(BA$16-1),$E460))+$BA$17</f>
        <v>11</v>
      </c>
      <c r="BB460" s="772" cm="1">
        <f t="array" aca="1" ref="BB460" ca="1">INDIRECT("'Definition of Typical Day'!"&amp;ADDRESS(BB$16,$E460))</f>
        <v>0</v>
      </c>
      <c r="BC460" s="776" cm="1">
        <f t="array" aca="1" ref="BC460" ca="1">INDIRECT("'Definition of Typical Day'!"&amp; ADDRESS($D460+29*(BC$16-1),$E460))</f>
        <v>0</v>
      </c>
      <c r="BD460" s="777" cm="1">
        <f t="array" aca="1" ref="BD460" ca="1">INDIRECT("'Definition of Typical Day'!"&amp; ADDRESS($D460+29*(BD$16-1),$E460))</f>
        <v>0</v>
      </c>
      <c r="BE460" s="776">
        <f t="shared" si="502"/>
        <v>0</v>
      </c>
      <c r="BF460" s="771">
        <f t="shared" ca="1" si="503"/>
        <v>0</v>
      </c>
      <c r="BG460" s="771">
        <f t="shared" ca="1" si="504"/>
        <v>0</v>
      </c>
      <c r="BH460" s="771">
        <f t="shared" ca="1" si="505"/>
        <v>0</v>
      </c>
      <c r="BI460" s="776">
        <f t="shared" ca="1" si="506"/>
        <v>0</v>
      </c>
      <c r="BJ460" s="776">
        <f t="shared" ca="1" si="507"/>
        <v>0</v>
      </c>
      <c r="BK460" s="776">
        <f t="shared" ca="1" si="508"/>
        <v>0</v>
      </c>
      <c r="BL460" s="776">
        <f t="shared" ca="1" si="509"/>
        <v>0</v>
      </c>
      <c r="BM460" s="135"/>
      <c r="BN460" s="776">
        <f t="shared" ca="1" si="510"/>
        <v>0</v>
      </c>
      <c r="BO460" s="778">
        <f t="shared" ca="1" si="447"/>
        <v>0</v>
      </c>
      <c r="BP460" s="770">
        <f t="shared" ca="1" si="448"/>
        <v>0</v>
      </c>
      <c r="BQ460" s="771">
        <f t="shared" ca="1" si="449"/>
        <v>0</v>
      </c>
      <c r="BR460" s="771">
        <f t="shared" ca="1" si="450"/>
        <v>0</v>
      </c>
      <c r="BS460" s="776">
        <f t="shared" ca="1" si="511"/>
        <v>0</v>
      </c>
      <c r="BT460" s="776">
        <f t="shared" ca="1" si="451"/>
        <v>0</v>
      </c>
      <c r="BU460" s="783">
        <f t="shared" ca="1" si="452"/>
        <v>0</v>
      </c>
      <c r="BV460" s="783">
        <f t="shared" ca="1" si="453"/>
        <v>0</v>
      </c>
      <c r="BW460" s="1019">
        <f t="shared" ca="1" si="512"/>
        <v>0</v>
      </c>
      <c r="BX460" s="771" cm="1">
        <f t="array" aca="1" ref="BX460" ca="1">INDIRECT("'Definition of Typical Day'!"&amp; ADDRESS($D460+29*(BX$16-1),$E460))</f>
        <v>0</v>
      </c>
      <c r="BY460" s="771">
        <f t="shared" ca="1" si="513"/>
        <v>0</v>
      </c>
      <c r="BZ460" s="781">
        <f t="shared" ca="1" si="454"/>
        <v>0</v>
      </c>
      <c r="CA460" s="781">
        <f t="shared" ca="1" si="455"/>
        <v>0</v>
      </c>
      <c r="CB460" s="776">
        <f t="shared" ca="1" si="456"/>
        <v>0</v>
      </c>
      <c r="CC460" s="782">
        <f t="shared" si="457"/>
        <v>19</v>
      </c>
      <c r="CD460" s="782">
        <f t="shared" si="458"/>
        <v>8</v>
      </c>
      <c r="CE460" s="784" cm="1">
        <f t="array" aca="1" ref="CE460" ca="1">INDIRECT("'Definition of Typical Day'!"&amp;ADDRESS(CE$16,$E460))</f>
        <v>19</v>
      </c>
      <c r="CF460" s="232"/>
      <c r="CG460" s="232"/>
      <c r="CH460" s="776">
        <f t="shared" ca="1" si="459"/>
        <v>0</v>
      </c>
      <c r="CI460" s="806">
        <f t="shared" ca="1" si="460"/>
        <v>0</v>
      </c>
      <c r="CJ460" s="770">
        <f t="shared" ca="1" si="461"/>
        <v>0</v>
      </c>
      <c r="CK460" s="771">
        <f t="shared" ca="1" si="462"/>
        <v>0</v>
      </c>
      <c r="CL460" s="771">
        <f t="shared" ca="1" si="463"/>
        <v>0</v>
      </c>
      <c r="CM460" s="772">
        <f t="shared" ca="1" si="464"/>
        <v>0</v>
      </c>
      <c r="CN460" s="135"/>
      <c r="CO460" s="770">
        <f t="shared" ca="1" si="514"/>
        <v>1.05</v>
      </c>
      <c r="CP460" s="771">
        <f t="shared" ca="1" si="465"/>
        <v>0.02</v>
      </c>
      <c r="CQ460" s="771">
        <f t="shared" ca="1" si="466"/>
        <v>-2.5000000000000001E-2</v>
      </c>
      <c r="CR460" s="771">
        <f t="shared" ca="1" si="467"/>
        <v>0.95</v>
      </c>
      <c r="CS460" s="771">
        <f t="shared" ca="1" si="468"/>
        <v>0.03</v>
      </c>
      <c r="CT460" s="772">
        <f t="shared" ca="1" si="469"/>
        <v>0.02</v>
      </c>
      <c r="CU460" s="135"/>
      <c r="CV460" s="135"/>
      <c r="CW460" s="135"/>
      <c r="CX460" s="135"/>
      <c r="CY460" s="135"/>
      <c r="CZ460" s="135"/>
      <c r="DA460" s="135"/>
      <c r="DB460" s="135"/>
      <c r="DC460" s="135"/>
      <c r="DD460" s="135"/>
      <c r="DE460" s="135"/>
      <c r="DF460" s="135"/>
      <c r="DG460" s="135"/>
      <c r="DH460" s="135"/>
      <c r="DI460" s="135"/>
      <c r="DJ460" s="135"/>
      <c r="DK460" s="135"/>
      <c r="DL460" s="135"/>
      <c r="DX460" s="135"/>
      <c r="DY460" s="135"/>
      <c r="DZ460" s="135"/>
      <c r="EA460" s="135"/>
      <c r="EB460" s="135"/>
      <c r="EC460" s="135"/>
      <c r="ED460" s="135"/>
      <c r="EE460" s="135"/>
      <c r="EF460" s="135"/>
      <c r="EG460" s="135"/>
      <c r="EH460" s="135"/>
      <c r="EI460" s="135"/>
      <c r="EJ460" s="135"/>
      <c r="EK460" s="135"/>
      <c r="EL460" s="135"/>
      <c r="EM460" s="135"/>
      <c r="EN460" s="135"/>
      <c r="EO460" s="135"/>
      <c r="EP460" s="135"/>
      <c r="EQ460" s="135"/>
      <c r="ER460" s="135"/>
      <c r="ES460" s="135"/>
      <c r="ET460" s="135"/>
      <c r="EU460" s="135"/>
      <c r="EV460" s="135"/>
      <c r="EW460" s="135"/>
      <c r="EX460" s="135"/>
      <c r="EY460" s="135"/>
      <c r="EZ460" s="135"/>
      <c r="FA460" s="135"/>
      <c r="FB460" s="135"/>
      <c r="FC460" s="135"/>
      <c r="FD460" s="135"/>
      <c r="FE460" s="135"/>
      <c r="FF460" s="135"/>
      <c r="FG460" s="135"/>
    </row>
    <row r="461" spans="1:163" s="57" customFormat="1" ht="11.25" outlineLevel="1">
      <c r="A461" s="765">
        <f t="shared" si="515"/>
        <v>19</v>
      </c>
      <c r="B461" s="715" cm="1">
        <f t="array" aca="1" ref="B461" ca="1">INDIRECT("'Definition of Typical Day'!"&amp;ADDRESS(B$16,$E461))</f>
        <v>19</v>
      </c>
      <c r="C461" s="766">
        <f t="shared" si="516"/>
        <v>9</v>
      </c>
      <c r="D461" s="715">
        <f t="shared" si="516"/>
        <v>43</v>
      </c>
      <c r="E461" s="715">
        <f t="shared" si="444"/>
        <v>23</v>
      </c>
      <c r="F461" s="767" cm="1">
        <f t="array" aca="1" ref="F461" ca="1">INDIRECT("'Definition of Typical Day'!D"&amp;D461)</f>
        <v>9</v>
      </c>
      <c r="G461" s="767" cm="1">
        <f t="array" aca="1" ref="G461" ca="1">INDIRECT("'Definition of Typical Day'!"&amp;ADDRESS(13,E461))</f>
        <v>19</v>
      </c>
      <c r="H461" s="768" cm="1">
        <f t="array" aca="1" ref="H461" ca="1">INDIRECT("'Definition of Typical Day'!"&amp; ADDRESS($D461+28*(H$16-1),$E461))</f>
        <v>0</v>
      </c>
      <c r="I461" s="715" cm="1">
        <f t="array" aca="1" ref="I461" ca="1">INDIRECT("'Definition of Typical Day'!"&amp; ADDRESS($D461+29*(I$16-1),$E461))</f>
        <v>0</v>
      </c>
      <c r="J461" s="715">
        <f t="shared" ca="1" si="470"/>
        <v>0</v>
      </c>
      <c r="K461" s="785">
        <f t="shared" si="471"/>
        <v>28</v>
      </c>
      <c r="L461" s="786" cm="1">
        <f t="array" aca="1" ref="L461" ca="1">INDIRECT("'Definition of Typical Day'!"&amp; ADDRESS($D461+29*(L$16-1),$E461))</f>
        <v>0</v>
      </c>
      <c r="M461" s="768" cm="1">
        <f t="array" aca="1" ref="M461" ca="1">INDIRECT("'Definition of Typical Day'!"&amp; ADDRESS($D461+29*(M$16-1),$E461))</f>
        <v>0</v>
      </c>
      <c r="N461" s="715">
        <f t="shared" si="472"/>
        <v>3</v>
      </c>
      <c r="O461" s="715">
        <f t="shared" ca="1" si="473"/>
        <v>3</v>
      </c>
      <c r="P461" s="715" cm="1">
        <f t="array" aca="1" ref="P461" ca="1">INDIRECT("'Definition of Typical Day'!"&amp; ADDRESS($D461+29*(P$16-1),$E461))</f>
        <v>0</v>
      </c>
      <c r="Q461" s="787">
        <f t="shared" ca="1" si="474"/>
        <v>3</v>
      </c>
      <c r="R461" s="792">
        <f t="shared" ca="1" si="475"/>
        <v>3</v>
      </c>
      <c r="S461" s="769">
        <f t="shared" si="476"/>
        <v>3</v>
      </c>
      <c r="T461" s="769">
        <f t="shared" ca="1" si="477"/>
        <v>-0.5</v>
      </c>
      <c r="U461" s="769">
        <f t="shared" ca="1" si="478"/>
        <v>2.262</v>
      </c>
      <c r="V461" s="769">
        <f t="shared" ca="1" si="479"/>
        <v>0</v>
      </c>
      <c r="W461" s="769">
        <f t="shared" ca="1" si="480"/>
        <v>4.7620000000000005</v>
      </c>
      <c r="X461" s="794">
        <f t="shared" si="481"/>
        <v>3</v>
      </c>
      <c r="Y461" s="769">
        <f t="shared" ca="1" si="482"/>
        <v>0.54772255750516607</v>
      </c>
      <c r="Z461" s="769">
        <f t="shared" ca="1" si="483"/>
        <v>0</v>
      </c>
      <c r="AA461" s="795">
        <f t="shared" ca="1" si="484"/>
        <v>0</v>
      </c>
      <c r="AB461" s="769">
        <f t="shared" ca="1" si="485"/>
        <v>0</v>
      </c>
      <c r="AC461" s="769">
        <f t="shared" ca="1" si="486"/>
        <v>0</v>
      </c>
      <c r="AD461" s="769">
        <f t="shared" ca="1" si="487"/>
        <v>0</v>
      </c>
      <c r="AE461" s="794">
        <f t="shared" ca="1" si="488"/>
        <v>0</v>
      </c>
      <c r="AF461" s="769">
        <f t="shared" ca="1" si="489"/>
        <v>0</v>
      </c>
      <c r="AG461" s="769">
        <f t="shared" ca="1" si="490"/>
        <v>0</v>
      </c>
      <c r="AH461" s="799">
        <f t="shared" ca="1" si="491"/>
        <v>0</v>
      </c>
      <c r="AI461" s="801">
        <f t="shared" ca="1" si="492"/>
        <v>1</v>
      </c>
      <c r="AJ461" s="794">
        <f t="shared" ca="1" si="493"/>
        <v>0</v>
      </c>
      <c r="AK461" s="769">
        <f t="shared" ca="1" si="494"/>
        <v>0</v>
      </c>
      <c r="AL461" s="769">
        <f t="shared" ca="1" si="495"/>
        <v>0</v>
      </c>
      <c r="AM461" s="804">
        <f t="shared" ca="1" si="445"/>
        <v>0</v>
      </c>
      <c r="AN461" s="795">
        <f t="shared" ca="1" si="446"/>
        <v>0</v>
      </c>
      <c r="AO461" s="251"/>
      <c r="AP461" s="770">
        <f t="shared" si="496"/>
        <v>0</v>
      </c>
      <c r="AQ461" s="771">
        <f t="shared" ca="1" si="497"/>
        <v>0</v>
      </c>
      <c r="AR461" s="771">
        <f t="shared" ca="1" si="498"/>
        <v>0</v>
      </c>
      <c r="AS461" s="772">
        <f t="shared" ca="1" si="499"/>
        <v>0</v>
      </c>
      <c r="AT461" s="231"/>
      <c r="AU461" s="770">
        <f>'Main Results - IRR DC Operator'!$F$16</f>
        <v>2</v>
      </c>
      <c r="AV461" s="773">
        <f>'Main Results - IRR DC Operator'!$F$15</f>
        <v>1</v>
      </c>
      <c r="AW461" s="771">
        <f t="shared" ca="1" si="500"/>
        <v>0</v>
      </c>
      <c r="AX461" s="772">
        <f t="shared" si="501"/>
        <v>0</v>
      </c>
      <c r="AY461" s="231"/>
      <c r="AZ461" s="770" cm="1">
        <f t="array" aca="1" ref="AZ461" ca="1">INDIRECT("'Definition of Typical Day'!"&amp; ADDRESS($D461+29*(AZ$16-1),$E461))+$AZ$17</f>
        <v>11</v>
      </c>
      <c r="BA461" s="771" cm="1">
        <f t="array" aca="1" ref="BA461" ca="1">INDIRECT("'Definition of Typical Day'!"&amp; ADDRESS($D461+29*(BA$16-1),$E461))+$BA$17</f>
        <v>11</v>
      </c>
      <c r="BB461" s="772" cm="1">
        <f t="array" aca="1" ref="BB461" ca="1">INDIRECT("'Definition of Typical Day'!"&amp;ADDRESS(BB$16,$E461))</f>
        <v>0</v>
      </c>
      <c r="BC461" s="776" cm="1">
        <f t="array" aca="1" ref="BC461" ca="1">INDIRECT("'Definition of Typical Day'!"&amp; ADDRESS($D461+29*(BC$16-1),$E461))</f>
        <v>0</v>
      </c>
      <c r="BD461" s="777" cm="1">
        <f t="array" aca="1" ref="BD461" ca="1">INDIRECT("'Definition of Typical Day'!"&amp; ADDRESS($D461+29*(BD$16-1),$E461))</f>
        <v>0</v>
      </c>
      <c r="BE461" s="776">
        <f t="shared" si="502"/>
        <v>0</v>
      </c>
      <c r="BF461" s="771">
        <f t="shared" ca="1" si="503"/>
        <v>0</v>
      </c>
      <c r="BG461" s="771">
        <f t="shared" ca="1" si="504"/>
        <v>0</v>
      </c>
      <c r="BH461" s="771">
        <f t="shared" ca="1" si="505"/>
        <v>0</v>
      </c>
      <c r="BI461" s="776">
        <f t="shared" ca="1" si="506"/>
        <v>0</v>
      </c>
      <c r="BJ461" s="776">
        <f t="shared" ca="1" si="507"/>
        <v>0</v>
      </c>
      <c r="BK461" s="776">
        <f t="shared" ca="1" si="508"/>
        <v>0</v>
      </c>
      <c r="BL461" s="776">
        <f t="shared" ca="1" si="509"/>
        <v>0</v>
      </c>
      <c r="BM461" s="135"/>
      <c r="BN461" s="776">
        <f t="shared" ca="1" si="510"/>
        <v>0</v>
      </c>
      <c r="BO461" s="778">
        <f t="shared" ca="1" si="447"/>
        <v>0</v>
      </c>
      <c r="BP461" s="770">
        <f t="shared" ca="1" si="448"/>
        <v>0</v>
      </c>
      <c r="BQ461" s="771">
        <f t="shared" ca="1" si="449"/>
        <v>0</v>
      </c>
      <c r="BR461" s="771">
        <f t="shared" ca="1" si="450"/>
        <v>0</v>
      </c>
      <c r="BS461" s="776">
        <f t="shared" ca="1" si="511"/>
        <v>0</v>
      </c>
      <c r="BT461" s="776">
        <f t="shared" ca="1" si="451"/>
        <v>0</v>
      </c>
      <c r="BU461" s="783">
        <f t="shared" ca="1" si="452"/>
        <v>0</v>
      </c>
      <c r="BV461" s="783">
        <f t="shared" ca="1" si="453"/>
        <v>0</v>
      </c>
      <c r="BW461" s="1019">
        <f t="shared" ca="1" si="512"/>
        <v>0</v>
      </c>
      <c r="BX461" s="771" cm="1">
        <f t="array" aca="1" ref="BX461" ca="1">INDIRECT("'Definition of Typical Day'!"&amp; ADDRESS($D461+29*(BX$16-1),$E461))</f>
        <v>0</v>
      </c>
      <c r="BY461" s="771">
        <f t="shared" ca="1" si="513"/>
        <v>0</v>
      </c>
      <c r="BZ461" s="781">
        <f t="shared" ca="1" si="454"/>
        <v>0</v>
      </c>
      <c r="CA461" s="781">
        <f t="shared" ca="1" si="455"/>
        <v>0</v>
      </c>
      <c r="CB461" s="776">
        <f t="shared" ca="1" si="456"/>
        <v>0</v>
      </c>
      <c r="CC461" s="782">
        <f t="shared" si="457"/>
        <v>19</v>
      </c>
      <c r="CD461" s="782">
        <f t="shared" si="458"/>
        <v>9</v>
      </c>
      <c r="CE461" s="784" cm="1">
        <f t="array" aca="1" ref="CE461" ca="1">INDIRECT("'Definition of Typical Day'!"&amp;ADDRESS(CE$16,$E461))</f>
        <v>19</v>
      </c>
      <c r="CF461" s="232"/>
      <c r="CG461" s="232"/>
      <c r="CH461" s="776">
        <f t="shared" ca="1" si="459"/>
        <v>0</v>
      </c>
      <c r="CI461" s="806">
        <f t="shared" ca="1" si="460"/>
        <v>0</v>
      </c>
      <c r="CJ461" s="770">
        <f t="shared" ca="1" si="461"/>
        <v>0</v>
      </c>
      <c r="CK461" s="771">
        <f t="shared" ca="1" si="462"/>
        <v>0</v>
      </c>
      <c r="CL461" s="771">
        <f t="shared" ca="1" si="463"/>
        <v>0</v>
      </c>
      <c r="CM461" s="772">
        <f t="shared" ca="1" si="464"/>
        <v>0</v>
      </c>
      <c r="CN461" s="135"/>
      <c r="CO461" s="770">
        <f t="shared" ca="1" si="514"/>
        <v>1.05</v>
      </c>
      <c r="CP461" s="771">
        <f t="shared" ca="1" si="465"/>
        <v>0.02</v>
      </c>
      <c r="CQ461" s="771">
        <f t="shared" ca="1" si="466"/>
        <v>-2.5000000000000001E-2</v>
      </c>
      <c r="CR461" s="771">
        <f t="shared" ca="1" si="467"/>
        <v>0.95</v>
      </c>
      <c r="CS461" s="771">
        <f t="shared" ca="1" si="468"/>
        <v>0.03</v>
      </c>
      <c r="CT461" s="772">
        <f t="shared" ca="1" si="469"/>
        <v>0.02</v>
      </c>
      <c r="CU461" s="135"/>
      <c r="CV461" s="135"/>
      <c r="CW461" s="135"/>
      <c r="CX461" s="135"/>
      <c r="CY461" s="135"/>
      <c r="CZ461" s="135"/>
      <c r="DA461" s="135"/>
      <c r="DB461" s="135"/>
      <c r="DC461" s="135"/>
      <c r="DD461" s="135"/>
      <c r="DE461" s="135"/>
      <c r="DF461" s="135"/>
      <c r="DG461" s="135"/>
      <c r="DH461" s="135"/>
      <c r="DI461" s="135"/>
      <c r="DJ461" s="135"/>
      <c r="DK461" s="135"/>
      <c r="DL461" s="135"/>
      <c r="DX461" s="135"/>
      <c r="DY461" s="135"/>
      <c r="DZ461" s="135"/>
      <c r="EA461" s="135"/>
      <c r="EB461" s="135"/>
      <c r="EC461" s="135"/>
      <c r="ED461" s="135"/>
      <c r="EE461" s="135"/>
      <c r="EF461" s="135"/>
      <c r="EG461" s="135"/>
      <c r="EH461" s="135"/>
      <c r="EI461" s="135"/>
      <c r="EJ461" s="135"/>
      <c r="EK461" s="135"/>
      <c r="EL461" s="135"/>
      <c r="EM461" s="135"/>
      <c r="EN461" s="135"/>
      <c r="EO461" s="135"/>
      <c r="EP461" s="135"/>
      <c r="EQ461" s="135"/>
      <c r="ER461" s="135"/>
      <c r="ES461" s="135"/>
      <c r="ET461" s="135"/>
      <c r="EU461" s="135"/>
      <c r="EV461" s="135"/>
      <c r="EW461" s="135"/>
      <c r="EX461" s="135"/>
      <c r="EY461" s="135"/>
      <c r="EZ461" s="135"/>
      <c r="FA461" s="135"/>
      <c r="FB461" s="135"/>
      <c r="FC461" s="135"/>
      <c r="FD461" s="135"/>
      <c r="FE461" s="135"/>
      <c r="FF461" s="135"/>
      <c r="FG461" s="135"/>
    </row>
    <row r="462" spans="1:163" s="57" customFormat="1" ht="11.25" outlineLevel="1">
      <c r="A462" s="765">
        <f t="shared" si="515"/>
        <v>19</v>
      </c>
      <c r="B462" s="715" cm="1">
        <f t="array" aca="1" ref="B462" ca="1">INDIRECT("'Definition of Typical Day'!"&amp;ADDRESS(B$16,$E462))</f>
        <v>19</v>
      </c>
      <c r="C462" s="766">
        <f t="shared" si="516"/>
        <v>10</v>
      </c>
      <c r="D462" s="715">
        <f t="shared" si="516"/>
        <v>44</v>
      </c>
      <c r="E462" s="715">
        <f t="shared" si="444"/>
        <v>23</v>
      </c>
      <c r="F462" s="767" cm="1">
        <f t="array" aca="1" ref="F462" ca="1">INDIRECT("'Definition of Typical Day'!D"&amp;D462)</f>
        <v>10</v>
      </c>
      <c r="G462" s="767" cm="1">
        <f t="array" aca="1" ref="G462" ca="1">INDIRECT("'Definition of Typical Day'!"&amp;ADDRESS(13,E462))</f>
        <v>19</v>
      </c>
      <c r="H462" s="768" cm="1">
        <f t="array" aca="1" ref="H462" ca="1">INDIRECT("'Definition of Typical Day'!"&amp; ADDRESS($D462+28*(H$16-1),$E462))</f>
        <v>0</v>
      </c>
      <c r="I462" s="715" cm="1">
        <f t="array" aca="1" ref="I462" ca="1">INDIRECT("'Definition of Typical Day'!"&amp; ADDRESS($D462+29*(I$16-1),$E462))</f>
        <v>0</v>
      </c>
      <c r="J462" s="715">
        <f t="shared" ca="1" si="470"/>
        <v>0</v>
      </c>
      <c r="K462" s="785">
        <f t="shared" si="471"/>
        <v>28</v>
      </c>
      <c r="L462" s="786" cm="1">
        <f t="array" aca="1" ref="L462" ca="1">INDIRECT("'Definition of Typical Day'!"&amp; ADDRESS($D462+29*(L$16-1),$E462))</f>
        <v>0</v>
      </c>
      <c r="M462" s="768" cm="1">
        <f t="array" aca="1" ref="M462" ca="1">INDIRECT("'Definition of Typical Day'!"&amp; ADDRESS($D462+29*(M$16-1),$E462))</f>
        <v>0</v>
      </c>
      <c r="N462" s="715">
        <f t="shared" si="472"/>
        <v>3</v>
      </c>
      <c r="O462" s="715">
        <f t="shared" ca="1" si="473"/>
        <v>3</v>
      </c>
      <c r="P462" s="715" cm="1">
        <f t="array" aca="1" ref="P462" ca="1">INDIRECT("'Definition of Typical Day'!"&amp; ADDRESS($D462+29*(P$16-1),$E462))</f>
        <v>0</v>
      </c>
      <c r="Q462" s="787">
        <f t="shared" ca="1" si="474"/>
        <v>3</v>
      </c>
      <c r="R462" s="792">
        <f t="shared" ca="1" si="475"/>
        <v>3</v>
      </c>
      <c r="S462" s="769">
        <f t="shared" si="476"/>
        <v>3</v>
      </c>
      <c r="T462" s="769">
        <f t="shared" ca="1" si="477"/>
        <v>-0.5</v>
      </c>
      <c r="U462" s="769">
        <f t="shared" ca="1" si="478"/>
        <v>2.262</v>
      </c>
      <c r="V462" s="769">
        <f t="shared" ca="1" si="479"/>
        <v>0</v>
      </c>
      <c r="W462" s="769">
        <f t="shared" ca="1" si="480"/>
        <v>4.7620000000000005</v>
      </c>
      <c r="X462" s="794">
        <f t="shared" si="481"/>
        <v>3</v>
      </c>
      <c r="Y462" s="769">
        <f t="shared" ca="1" si="482"/>
        <v>0.54772255750516607</v>
      </c>
      <c r="Z462" s="769">
        <f t="shared" ca="1" si="483"/>
        <v>0</v>
      </c>
      <c r="AA462" s="795">
        <f t="shared" ca="1" si="484"/>
        <v>0</v>
      </c>
      <c r="AB462" s="769">
        <f t="shared" ca="1" si="485"/>
        <v>0</v>
      </c>
      <c r="AC462" s="769">
        <f t="shared" ca="1" si="486"/>
        <v>0</v>
      </c>
      <c r="AD462" s="769">
        <f t="shared" ca="1" si="487"/>
        <v>0</v>
      </c>
      <c r="AE462" s="794">
        <f t="shared" ca="1" si="488"/>
        <v>0</v>
      </c>
      <c r="AF462" s="769">
        <f t="shared" ca="1" si="489"/>
        <v>0</v>
      </c>
      <c r="AG462" s="769">
        <f t="shared" ca="1" si="490"/>
        <v>0</v>
      </c>
      <c r="AH462" s="799">
        <f t="shared" ca="1" si="491"/>
        <v>0</v>
      </c>
      <c r="AI462" s="801">
        <f t="shared" ca="1" si="492"/>
        <v>1</v>
      </c>
      <c r="AJ462" s="794">
        <f t="shared" ca="1" si="493"/>
        <v>0</v>
      </c>
      <c r="AK462" s="769">
        <f t="shared" ca="1" si="494"/>
        <v>0</v>
      </c>
      <c r="AL462" s="769">
        <f t="shared" ca="1" si="495"/>
        <v>0</v>
      </c>
      <c r="AM462" s="804">
        <f t="shared" ca="1" si="445"/>
        <v>0</v>
      </c>
      <c r="AN462" s="795">
        <f t="shared" ca="1" si="446"/>
        <v>0</v>
      </c>
      <c r="AO462" s="251"/>
      <c r="AP462" s="770">
        <f t="shared" si="496"/>
        <v>0</v>
      </c>
      <c r="AQ462" s="771">
        <f t="shared" ca="1" si="497"/>
        <v>0</v>
      </c>
      <c r="AR462" s="771">
        <f t="shared" ca="1" si="498"/>
        <v>0</v>
      </c>
      <c r="AS462" s="772">
        <f t="shared" ca="1" si="499"/>
        <v>0</v>
      </c>
      <c r="AT462" s="231"/>
      <c r="AU462" s="770">
        <f>'Main Results - IRR DC Operator'!$F$16</f>
        <v>2</v>
      </c>
      <c r="AV462" s="773">
        <f>'Main Results - IRR DC Operator'!$F$15</f>
        <v>1</v>
      </c>
      <c r="AW462" s="771">
        <f t="shared" ca="1" si="500"/>
        <v>0</v>
      </c>
      <c r="AX462" s="772">
        <f t="shared" si="501"/>
        <v>0</v>
      </c>
      <c r="AY462" s="231"/>
      <c r="AZ462" s="770" cm="1">
        <f t="array" aca="1" ref="AZ462" ca="1">INDIRECT("'Definition of Typical Day'!"&amp; ADDRESS($D462+29*(AZ$16-1),$E462))+$AZ$17</f>
        <v>11</v>
      </c>
      <c r="BA462" s="771" cm="1">
        <f t="array" aca="1" ref="BA462" ca="1">INDIRECT("'Definition of Typical Day'!"&amp; ADDRESS($D462+29*(BA$16-1),$E462))+$BA$17</f>
        <v>11</v>
      </c>
      <c r="BB462" s="772" cm="1">
        <f t="array" aca="1" ref="BB462" ca="1">INDIRECT("'Definition of Typical Day'!"&amp;ADDRESS(BB$16,$E462))</f>
        <v>0</v>
      </c>
      <c r="BC462" s="776" cm="1">
        <f t="array" aca="1" ref="BC462" ca="1">INDIRECT("'Definition of Typical Day'!"&amp; ADDRESS($D462+29*(BC$16-1),$E462))</f>
        <v>0</v>
      </c>
      <c r="BD462" s="777" cm="1">
        <f t="array" aca="1" ref="BD462" ca="1">INDIRECT("'Definition of Typical Day'!"&amp; ADDRESS($D462+29*(BD$16-1),$E462))</f>
        <v>0</v>
      </c>
      <c r="BE462" s="776">
        <f t="shared" si="502"/>
        <v>0</v>
      </c>
      <c r="BF462" s="771">
        <f t="shared" ca="1" si="503"/>
        <v>0</v>
      </c>
      <c r="BG462" s="771">
        <f t="shared" ca="1" si="504"/>
        <v>0</v>
      </c>
      <c r="BH462" s="771">
        <f t="shared" ca="1" si="505"/>
        <v>0</v>
      </c>
      <c r="BI462" s="776">
        <f t="shared" ca="1" si="506"/>
        <v>0</v>
      </c>
      <c r="BJ462" s="776">
        <f t="shared" ca="1" si="507"/>
        <v>0</v>
      </c>
      <c r="BK462" s="776">
        <f t="shared" ca="1" si="508"/>
        <v>0</v>
      </c>
      <c r="BL462" s="776">
        <f t="shared" ca="1" si="509"/>
        <v>0</v>
      </c>
      <c r="BM462" s="135"/>
      <c r="BN462" s="776">
        <f t="shared" ca="1" si="510"/>
        <v>0</v>
      </c>
      <c r="BO462" s="778">
        <f t="shared" ca="1" si="447"/>
        <v>0</v>
      </c>
      <c r="BP462" s="770">
        <f t="shared" ca="1" si="448"/>
        <v>0</v>
      </c>
      <c r="BQ462" s="771">
        <f t="shared" ca="1" si="449"/>
        <v>0</v>
      </c>
      <c r="BR462" s="771">
        <f t="shared" ca="1" si="450"/>
        <v>0</v>
      </c>
      <c r="BS462" s="776">
        <f t="shared" ca="1" si="511"/>
        <v>0</v>
      </c>
      <c r="BT462" s="776">
        <f t="shared" ca="1" si="451"/>
        <v>0</v>
      </c>
      <c r="BU462" s="783">
        <f t="shared" ca="1" si="452"/>
        <v>0</v>
      </c>
      <c r="BV462" s="783">
        <f t="shared" ca="1" si="453"/>
        <v>0</v>
      </c>
      <c r="BW462" s="1019">
        <f t="shared" ca="1" si="512"/>
        <v>0</v>
      </c>
      <c r="BX462" s="771" cm="1">
        <f t="array" aca="1" ref="BX462" ca="1">INDIRECT("'Definition of Typical Day'!"&amp; ADDRESS($D462+29*(BX$16-1),$E462))</f>
        <v>0</v>
      </c>
      <c r="BY462" s="771">
        <f t="shared" ca="1" si="513"/>
        <v>0</v>
      </c>
      <c r="BZ462" s="781">
        <f t="shared" ca="1" si="454"/>
        <v>0</v>
      </c>
      <c r="CA462" s="781">
        <f t="shared" ca="1" si="455"/>
        <v>0</v>
      </c>
      <c r="CB462" s="776">
        <f t="shared" ca="1" si="456"/>
        <v>0</v>
      </c>
      <c r="CC462" s="782">
        <f t="shared" si="457"/>
        <v>19</v>
      </c>
      <c r="CD462" s="782">
        <f t="shared" si="458"/>
        <v>10</v>
      </c>
      <c r="CE462" s="784" cm="1">
        <f t="array" aca="1" ref="CE462" ca="1">INDIRECT("'Definition of Typical Day'!"&amp;ADDRESS(CE$16,$E462))</f>
        <v>19</v>
      </c>
      <c r="CF462" s="232"/>
      <c r="CG462" s="232"/>
      <c r="CH462" s="776">
        <f t="shared" ca="1" si="459"/>
        <v>0</v>
      </c>
      <c r="CI462" s="806">
        <f t="shared" ca="1" si="460"/>
        <v>0</v>
      </c>
      <c r="CJ462" s="770">
        <f t="shared" ca="1" si="461"/>
        <v>0</v>
      </c>
      <c r="CK462" s="771">
        <f t="shared" ca="1" si="462"/>
        <v>0</v>
      </c>
      <c r="CL462" s="771">
        <f t="shared" ca="1" si="463"/>
        <v>0</v>
      </c>
      <c r="CM462" s="772">
        <f t="shared" ca="1" si="464"/>
        <v>0</v>
      </c>
      <c r="CN462" s="135"/>
      <c r="CO462" s="770">
        <f t="shared" ca="1" si="514"/>
        <v>1.05</v>
      </c>
      <c r="CP462" s="771">
        <f t="shared" ca="1" si="465"/>
        <v>0.02</v>
      </c>
      <c r="CQ462" s="771">
        <f t="shared" ca="1" si="466"/>
        <v>-2.5000000000000001E-2</v>
      </c>
      <c r="CR462" s="771">
        <f t="shared" ca="1" si="467"/>
        <v>0.95</v>
      </c>
      <c r="CS462" s="771">
        <f t="shared" ca="1" si="468"/>
        <v>0.03</v>
      </c>
      <c r="CT462" s="772">
        <f t="shared" ca="1" si="469"/>
        <v>0.02</v>
      </c>
      <c r="CU462" s="135"/>
      <c r="CV462" s="135"/>
      <c r="CW462" s="135"/>
      <c r="CX462" s="135"/>
      <c r="CY462" s="135"/>
      <c r="CZ462" s="135"/>
      <c r="DA462" s="135"/>
      <c r="DB462" s="135"/>
      <c r="DC462" s="135"/>
      <c r="DD462" s="135"/>
      <c r="DE462" s="135"/>
      <c r="DF462" s="135"/>
      <c r="DG462" s="135"/>
      <c r="DH462" s="135"/>
      <c r="DI462" s="135"/>
      <c r="DJ462" s="135"/>
      <c r="DK462" s="135"/>
      <c r="DL462" s="135"/>
      <c r="DX462" s="135"/>
      <c r="DY462" s="135"/>
      <c r="DZ462" s="135"/>
      <c r="EA462" s="135"/>
      <c r="EB462" s="135"/>
      <c r="EC462" s="135"/>
      <c r="ED462" s="135"/>
      <c r="EE462" s="135"/>
      <c r="EF462" s="135"/>
      <c r="EG462" s="135"/>
      <c r="EH462" s="135"/>
      <c r="EI462" s="135"/>
      <c r="EJ462" s="135"/>
      <c r="EK462" s="135"/>
      <c r="EL462" s="135"/>
      <c r="EM462" s="135"/>
      <c r="EN462" s="135"/>
      <c r="EO462" s="135"/>
      <c r="EP462" s="135"/>
      <c r="EQ462" s="135"/>
      <c r="ER462" s="135"/>
      <c r="ES462" s="135"/>
      <c r="ET462" s="135"/>
      <c r="EU462" s="135"/>
      <c r="EV462" s="135"/>
      <c r="EW462" s="135"/>
      <c r="EX462" s="135"/>
      <c r="EY462" s="135"/>
      <c r="EZ462" s="135"/>
      <c r="FA462" s="135"/>
      <c r="FB462" s="135"/>
      <c r="FC462" s="135"/>
      <c r="FD462" s="135"/>
      <c r="FE462" s="135"/>
      <c r="FF462" s="135"/>
      <c r="FG462" s="135"/>
    </row>
    <row r="463" spans="1:163" s="57" customFormat="1" ht="11.25" outlineLevel="1">
      <c r="A463" s="765">
        <f t="shared" si="515"/>
        <v>19</v>
      </c>
      <c r="B463" s="715" cm="1">
        <f t="array" aca="1" ref="B463" ca="1">INDIRECT("'Definition of Typical Day'!"&amp;ADDRESS(B$16,$E463))</f>
        <v>19</v>
      </c>
      <c r="C463" s="766">
        <f t="shared" si="516"/>
        <v>11</v>
      </c>
      <c r="D463" s="715">
        <f t="shared" si="516"/>
        <v>45</v>
      </c>
      <c r="E463" s="715">
        <f t="shared" si="444"/>
        <v>23</v>
      </c>
      <c r="F463" s="767" cm="1">
        <f t="array" aca="1" ref="F463" ca="1">INDIRECT("'Definition of Typical Day'!D"&amp;D463)</f>
        <v>11</v>
      </c>
      <c r="G463" s="767" cm="1">
        <f t="array" aca="1" ref="G463" ca="1">INDIRECT("'Definition of Typical Day'!"&amp;ADDRESS(13,E463))</f>
        <v>19</v>
      </c>
      <c r="H463" s="768" cm="1">
        <f t="array" aca="1" ref="H463" ca="1">INDIRECT("'Definition of Typical Day'!"&amp; ADDRESS($D463+28*(H$16-1),$E463))</f>
        <v>0</v>
      </c>
      <c r="I463" s="715" cm="1">
        <f t="array" aca="1" ref="I463" ca="1">INDIRECT("'Definition of Typical Day'!"&amp; ADDRESS($D463+29*(I$16-1),$E463))</f>
        <v>0</v>
      </c>
      <c r="J463" s="715">
        <f t="shared" ca="1" si="470"/>
        <v>0</v>
      </c>
      <c r="K463" s="785">
        <f t="shared" si="471"/>
        <v>28</v>
      </c>
      <c r="L463" s="786" cm="1">
        <f t="array" aca="1" ref="L463" ca="1">INDIRECT("'Definition of Typical Day'!"&amp; ADDRESS($D463+29*(L$16-1),$E463))</f>
        <v>0</v>
      </c>
      <c r="M463" s="768" cm="1">
        <f t="array" aca="1" ref="M463" ca="1">INDIRECT("'Definition of Typical Day'!"&amp; ADDRESS($D463+29*(M$16-1),$E463))</f>
        <v>0</v>
      </c>
      <c r="N463" s="715">
        <f t="shared" si="472"/>
        <v>3</v>
      </c>
      <c r="O463" s="715">
        <f t="shared" ca="1" si="473"/>
        <v>3</v>
      </c>
      <c r="P463" s="715" cm="1">
        <f t="array" aca="1" ref="P463" ca="1">INDIRECT("'Definition of Typical Day'!"&amp; ADDRESS($D463+29*(P$16-1),$E463))</f>
        <v>0</v>
      </c>
      <c r="Q463" s="787">
        <f t="shared" ca="1" si="474"/>
        <v>3</v>
      </c>
      <c r="R463" s="792">
        <f t="shared" ca="1" si="475"/>
        <v>3</v>
      </c>
      <c r="S463" s="769">
        <f t="shared" si="476"/>
        <v>3</v>
      </c>
      <c r="T463" s="769">
        <f t="shared" ca="1" si="477"/>
        <v>-0.5</v>
      </c>
      <c r="U463" s="769">
        <f t="shared" ca="1" si="478"/>
        <v>2.262</v>
      </c>
      <c r="V463" s="769">
        <f t="shared" ca="1" si="479"/>
        <v>0</v>
      </c>
      <c r="W463" s="769">
        <f t="shared" ca="1" si="480"/>
        <v>4.7620000000000005</v>
      </c>
      <c r="X463" s="794">
        <f t="shared" si="481"/>
        <v>3</v>
      </c>
      <c r="Y463" s="769">
        <f t="shared" ca="1" si="482"/>
        <v>0.54772255750516607</v>
      </c>
      <c r="Z463" s="769">
        <f t="shared" ca="1" si="483"/>
        <v>0</v>
      </c>
      <c r="AA463" s="795">
        <f t="shared" ca="1" si="484"/>
        <v>0</v>
      </c>
      <c r="AB463" s="769">
        <f t="shared" ca="1" si="485"/>
        <v>0</v>
      </c>
      <c r="AC463" s="769">
        <f t="shared" ca="1" si="486"/>
        <v>0</v>
      </c>
      <c r="AD463" s="769">
        <f t="shared" ca="1" si="487"/>
        <v>0</v>
      </c>
      <c r="AE463" s="794">
        <f t="shared" ca="1" si="488"/>
        <v>0</v>
      </c>
      <c r="AF463" s="769">
        <f t="shared" ca="1" si="489"/>
        <v>0</v>
      </c>
      <c r="AG463" s="769">
        <f t="shared" ca="1" si="490"/>
        <v>0</v>
      </c>
      <c r="AH463" s="799">
        <f t="shared" ca="1" si="491"/>
        <v>0</v>
      </c>
      <c r="AI463" s="801">
        <f t="shared" ca="1" si="492"/>
        <v>1</v>
      </c>
      <c r="AJ463" s="794">
        <f t="shared" ca="1" si="493"/>
        <v>0</v>
      </c>
      <c r="AK463" s="769">
        <f t="shared" ca="1" si="494"/>
        <v>0</v>
      </c>
      <c r="AL463" s="769">
        <f t="shared" ca="1" si="495"/>
        <v>0</v>
      </c>
      <c r="AM463" s="804">
        <f t="shared" ca="1" si="445"/>
        <v>0</v>
      </c>
      <c r="AN463" s="795">
        <f t="shared" ca="1" si="446"/>
        <v>0</v>
      </c>
      <c r="AO463" s="251"/>
      <c r="AP463" s="770">
        <f t="shared" si="496"/>
        <v>0</v>
      </c>
      <c r="AQ463" s="771">
        <f t="shared" ca="1" si="497"/>
        <v>0</v>
      </c>
      <c r="AR463" s="771">
        <f t="shared" ca="1" si="498"/>
        <v>0</v>
      </c>
      <c r="AS463" s="772">
        <f t="shared" ca="1" si="499"/>
        <v>0</v>
      </c>
      <c r="AT463" s="231"/>
      <c r="AU463" s="770">
        <f>'Main Results - IRR DC Operator'!$F$16</f>
        <v>2</v>
      </c>
      <c r="AV463" s="773">
        <f>'Main Results - IRR DC Operator'!$F$15</f>
        <v>1</v>
      </c>
      <c r="AW463" s="771">
        <f t="shared" ca="1" si="500"/>
        <v>0</v>
      </c>
      <c r="AX463" s="772">
        <f t="shared" si="501"/>
        <v>0</v>
      </c>
      <c r="AY463" s="231"/>
      <c r="AZ463" s="770" cm="1">
        <f t="array" aca="1" ref="AZ463" ca="1">INDIRECT("'Definition of Typical Day'!"&amp; ADDRESS($D463+29*(AZ$16-1),$E463))+$AZ$17</f>
        <v>11</v>
      </c>
      <c r="BA463" s="771" cm="1">
        <f t="array" aca="1" ref="BA463" ca="1">INDIRECT("'Definition of Typical Day'!"&amp; ADDRESS($D463+29*(BA$16-1),$E463))+$BA$17</f>
        <v>11</v>
      </c>
      <c r="BB463" s="772" cm="1">
        <f t="array" aca="1" ref="BB463" ca="1">INDIRECT("'Definition of Typical Day'!"&amp;ADDRESS(BB$16,$E463))</f>
        <v>0</v>
      </c>
      <c r="BC463" s="776" cm="1">
        <f t="array" aca="1" ref="BC463" ca="1">INDIRECT("'Definition of Typical Day'!"&amp; ADDRESS($D463+29*(BC$16-1),$E463))</f>
        <v>0</v>
      </c>
      <c r="BD463" s="777" cm="1">
        <f t="array" aca="1" ref="BD463" ca="1">INDIRECT("'Definition of Typical Day'!"&amp; ADDRESS($D463+29*(BD$16-1),$E463))</f>
        <v>0</v>
      </c>
      <c r="BE463" s="776">
        <f t="shared" si="502"/>
        <v>0</v>
      </c>
      <c r="BF463" s="771">
        <f t="shared" ca="1" si="503"/>
        <v>0</v>
      </c>
      <c r="BG463" s="771">
        <f t="shared" ca="1" si="504"/>
        <v>0</v>
      </c>
      <c r="BH463" s="771">
        <f t="shared" ca="1" si="505"/>
        <v>0</v>
      </c>
      <c r="BI463" s="776">
        <f t="shared" ca="1" si="506"/>
        <v>0</v>
      </c>
      <c r="BJ463" s="776">
        <f t="shared" ca="1" si="507"/>
        <v>0</v>
      </c>
      <c r="BK463" s="776">
        <f t="shared" ca="1" si="508"/>
        <v>0</v>
      </c>
      <c r="BL463" s="776">
        <f t="shared" ca="1" si="509"/>
        <v>0</v>
      </c>
      <c r="BM463" s="135"/>
      <c r="BN463" s="776">
        <f t="shared" ca="1" si="510"/>
        <v>0</v>
      </c>
      <c r="BO463" s="778">
        <f t="shared" ca="1" si="447"/>
        <v>0</v>
      </c>
      <c r="BP463" s="770">
        <f t="shared" ca="1" si="448"/>
        <v>0</v>
      </c>
      <c r="BQ463" s="771">
        <f t="shared" ca="1" si="449"/>
        <v>0</v>
      </c>
      <c r="BR463" s="771">
        <f t="shared" ca="1" si="450"/>
        <v>0</v>
      </c>
      <c r="BS463" s="776">
        <f t="shared" ca="1" si="511"/>
        <v>0</v>
      </c>
      <c r="BT463" s="776">
        <f t="shared" ca="1" si="451"/>
        <v>0</v>
      </c>
      <c r="BU463" s="783">
        <f t="shared" ca="1" si="452"/>
        <v>0</v>
      </c>
      <c r="BV463" s="783">
        <f t="shared" ca="1" si="453"/>
        <v>0</v>
      </c>
      <c r="BW463" s="1019">
        <f t="shared" ca="1" si="512"/>
        <v>0</v>
      </c>
      <c r="BX463" s="771" cm="1">
        <f t="array" aca="1" ref="BX463" ca="1">INDIRECT("'Definition of Typical Day'!"&amp; ADDRESS($D463+29*(BX$16-1),$E463))</f>
        <v>0</v>
      </c>
      <c r="BY463" s="771">
        <f t="shared" ca="1" si="513"/>
        <v>0</v>
      </c>
      <c r="BZ463" s="781">
        <f t="shared" ca="1" si="454"/>
        <v>0</v>
      </c>
      <c r="CA463" s="781">
        <f t="shared" ca="1" si="455"/>
        <v>0</v>
      </c>
      <c r="CB463" s="776">
        <f t="shared" ca="1" si="456"/>
        <v>0</v>
      </c>
      <c r="CC463" s="782">
        <f t="shared" si="457"/>
        <v>19</v>
      </c>
      <c r="CD463" s="782">
        <f t="shared" si="458"/>
        <v>11</v>
      </c>
      <c r="CE463" s="784" cm="1">
        <f t="array" aca="1" ref="CE463" ca="1">INDIRECT("'Definition of Typical Day'!"&amp;ADDRESS(CE$16,$E463))</f>
        <v>19</v>
      </c>
      <c r="CF463" s="232"/>
      <c r="CG463" s="232"/>
      <c r="CH463" s="776">
        <f t="shared" ca="1" si="459"/>
        <v>0</v>
      </c>
      <c r="CI463" s="806">
        <f t="shared" ca="1" si="460"/>
        <v>0</v>
      </c>
      <c r="CJ463" s="770">
        <f t="shared" ca="1" si="461"/>
        <v>0</v>
      </c>
      <c r="CK463" s="771">
        <f t="shared" ca="1" si="462"/>
        <v>0</v>
      </c>
      <c r="CL463" s="771">
        <f t="shared" ca="1" si="463"/>
        <v>0</v>
      </c>
      <c r="CM463" s="772">
        <f t="shared" ca="1" si="464"/>
        <v>0</v>
      </c>
      <c r="CN463" s="135"/>
      <c r="CO463" s="770">
        <f t="shared" ca="1" si="514"/>
        <v>1.05</v>
      </c>
      <c r="CP463" s="771">
        <f t="shared" ca="1" si="465"/>
        <v>0.02</v>
      </c>
      <c r="CQ463" s="771">
        <f t="shared" ca="1" si="466"/>
        <v>-2.5000000000000001E-2</v>
      </c>
      <c r="CR463" s="771">
        <f t="shared" ca="1" si="467"/>
        <v>0.95</v>
      </c>
      <c r="CS463" s="771">
        <f t="shared" ca="1" si="468"/>
        <v>0.03</v>
      </c>
      <c r="CT463" s="772">
        <f t="shared" ca="1" si="469"/>
        <v>0.02</v>
      </c>
      <c r="CU463" s="135"/>
      <c r="CV463" s="135"/>
      <c r="CW463" s="135"/>
      <c r="CX463" s="135"/>
      <c r="CY463" s="135"/>
      <c r="CZ463" s="135"/>
      <c r="DA463" s="135"/>
      <c r="DB463" s="135"/>
      <c r="DC463" s="135"/>
      <c r="DD463" s="135"/>
      <c r="DE463" s="135"/>
      <c r="DF463" s="135"/>
      <c r="DG463" s="135"/>
      <c r="DH463" s="135"/>
      <c r="DI463" s="135"/>
      <c r="DJ463" s="135"/>
      <c r="DK463" s="135"/>
      <c r="DL463" s="135"/>
      <c r="DX463" s="135"/>
      <c r="DY463" s="135"/>
      <c r="DZ463" s="135"/>
      <c r="EA463" s="135"/>
      <c r="EB463" s="135"/>
      <c r="EC463" s="135"/>
      <c r="ED463" s="135"/>
      <c r="EE463" s="135"/>
      <c r="EF463" s="135"/>
      <c r="EG463" s="135"/>
      <c r="EH463" s="135"/>
      <c r="EI463" s="135"/>
      <c r="EJ463" s="135"/>
      <c r="EK463" s="135"/>
      <c r="EL463" s="135"/>
      <c r="EM463" s="135"/>
      <c r="EN463" s="135"/>
      <c r="EO463" s="135"/>
      <c r="EP463" s="135"/>
      <c r="EQ463" s="135"/>
      <c r="ER463" s="135"/>
      <c r="ES463" s="135"/>
      <c r="ET463" s="135"/>
      <c r="EU463" s="135"/>
      <c r="EV463" s="135"/>
      <c r="EW463" s="135"/>
      <c r="EX463" s="135"/>
      <c r="EY463" s="135"/>
      <c r="EZ463" s="135"/>
      <c r="FA463" s="135"/>
      <c r="FB463" s="135"/>
      <c r="FC463" s="135"/>
      <c r="FD463" s="135"/>
      <c r="FE463" s="135"/>
      <c r="FF463" s="135"/>
      <c r="FG463" s="135"/>
    </row>
    <row r="464" spans="1:163" s="57" customFormat="1" ht="11.25" outlineLevel="1">
      <c r="A464" s="765">
        <f t="shared" si="515"/>
        <v>19</v>
      </c>
      <c r="B464" s="715" cm="1">
        <f t="array" aca="1" ref="B464" ca="1">INDIRECT("'Definition of Typical Day'!"&amp;ADDRESS(B$16,$E464))</f>
        <v>19</v>
      </c>
      <c r="C464" s="766">
        <f t="shared" si="516"/>
        <v>12</v>
      </c>
      <c r="D464" s="715">
        <f t="shared" si="516"/>
        <v>46</v>
      </c>
      <c r="E464" s="715">
        <f t="shared" si="444"/>
        <v>23</v>
      </c>
      <c r="F464" s="767" cm="1">
        <f t="array" aca="1" ref="F464" ca="1">INDIRECT("'Definition of Typical Day'!D"&amp;D464)</f>
        <v>12</v>
      </c>
      <c r="G464" s="767" cm="1">
        <f t="array" aca="1" ref="G464" ca="1">INDIRECT("'Definition of Typical Day'!"&amp;ADDRESS(13,E464))</f>
        <v>19</v>
      </c>
      <c r="H464" s="768" cm="1">
        <f t="array" aca="1" ref="H464" ca="1">INDIRECT("'Definition of Typical Day'!"&amp; ADDRESS($D464+28*(H$16-1),$E464))</f>
        <v>0</v>
      </c>
      <c r="I464" s="715" cm="1">
        <f t="array" aca="1" ref="I464" ca="1">INDIRECT("'Definition of Typical Day'!"&amp; ADDRESS($D464+29*(I$16-1),$E464))</f>
        <v>0</v>
      </c>
      <c r="J464" s="715">
        <f t="shared" ca="1" si="470"/>
        <v>0</v>
      </c>
      <c r="K464" s="785">
        <f t="shared" si="471"/>
        <v>28</v>
      </c>
      <c r="L464" s="786" cm="1">
        <f t="array" aca="1" ref="L464" ca="1">INDIRECT("'Definition of Typical Day'!"&amp; ADDRESS($D464+29*(L$16-1),$E464))</f>
        <v>0</v>
      </c>
      <c r="M464" s="768" cm="1">
        <f t="array" aca="1" ref="M464" ca="1">INDIRECT("'Definition of Typical Day'!"&amp; ADDRESS($D464+29*(M$16-1),$E464))</f>
        <v>0</v>
      </c>
      <c r="N464" s="715">
        <f t="shared" si="472"/>
        <v>3</v>
      </c>
      <c r="O464" s="715">
        <f t="shared" ca="1" si="473"/>
        <v>3</v>
      </c>
      <c r="P464" s="715" cm="1">
        <f t="array" aca="1" ref="P464" ca="1">INDIRECT("'Definition of Typical Day'!"&amp; ADDRESS($D464+29*(P$16-1),$E464))</f>
        <v>0</v>
      </c>
      <c r="Q464" s="787">
        <f t="shared" ca="1" si="474"/>
        <v>3</v>
      </c>
      <c r="R464" s="792">
        <f t="shared" ca="1" si="475"/>
        <v>3</v>
      </c>
      <c r="S464" s="769">
        <f t="shared" si="476"/>
        <v>3</v>
      </c>
      <c r="T464" s="769">
        <f t="shared" ca="1" si="477"/>
        <v>-0.5</v>
      </c>
      <c r="U464" s="769">
        <f t="shared" ca="1" si="478"/>
        <v>2.262</v>
      </c>
      <c r="V464" s="769">
        <f t="shared" ca="1" si="479"/>
        <v>0</v>
      </c>
      <c r="W464" s="769">
        <f t="shared" ca="1" si="480"/>
        <v>4.7620000000000005</v>
      </c>
      <c r="X464" s="794">
        <f t="shared" si="481"/>
        <v>3</v>
      </c>
      <c r="Y464" s="769">
        <f t="shared" ca="1" si="482"/>
        <v>0.54772255750516607</v>
      </c>
      <c r="Z464" s="769">
        <f t="shared" ca="1" si="483"/>
        <v>0</v>
      </c>
      <c r="AA464" s="795">
        <f t="shared" ca="1" si="484"/>
        <v>0</v>
      </c>
      <c r="AB464" s="769">
        <f t="shared" ca="1" si="485"/>
        <v>0</v>
      </c>
      <c r="AC464" s="769">
        <f t="shared" ca="1" si="486"/>
        <v>0</v>
      </c>
      <c r="AD464" s="769">
        <f t="shared" ca="1" si="487"/>
        <v>0</v>
      </c>
      <c r="AE464" s="794">
        <f t="shared" ca="1" si="488"/>
        <v>0</v>
      </c>
      <c r="AF464" s="769">
        <f t="shared" ca="1" si="489"/>
        <v>0</v>
      </c>
      <c r="AG464" s="769">
        <f t="shared" ca="1" si="490"/>
        <v>0</v>
      </c>
      <c r="AH464" s="799">
        <f t="shared" ca="1" si="491"/>
        <v>0</v>
      </c>
      <c r="AI464" s="801">
        <f t="shared" ca="1" si="492"/>
        <v>1</v>
      </c>
      <c r="AJ464" s="794">
        <f t="shared" ca="1" si="493"/>
        <v>0</v>
      </c>
      <c r="AK464" s="769">
        <f t="shared" ca="1" si="494"/>
        <v>0</v>
      </c>
      <c r="AL464" s="769">
        <f t="shared" ca="1" si="495"/>
        <v>0</v>
      </c>
      <c r="AM464" s="804">
        <f t="shared" ca="1" si="445"/>
        <v>0</v>
      </c>
      <c r="AN464" s="795">
        <f t="shared" ca="1" si="446"/>
        <v>0</v>
      </c>
      <c r="AO464" s="251"/>
      <c r="AP464" s="770">
        <f t="shared" si="496"/>
        <v>0</v>
      </c>
      <c r="AQ464" s="771">
        <f t="shared" ca="1" si="497"/>
        <v>0</v>
      </c>
      <c r="AR464" s="771">
        <f t="shared" ca="1" si="498"/>
        <v>0</v>
      </c>
      <c r="AS464" s="772">
        <f t="shared" ca="1" si="499"/>
        <v>0</v>
      </c>
      <c r="AT464" s="231"/>
      <c r="AU464" s="770">
        <f>'Main Results - IRR DC Operator'!$F$16</f>
        <v>2</v>
      </c>
      <c r="AV464" s="773">
        <f>'Main Results - IRR DC Operator'!$F$15</f>
        <v>1</v>
      </c>
      <c r="AW464" s="771">
        <f t="shared" ca="1" si="500"/>
        <v>0</v>
      </c>
      <c r="AX464" s="772">
        <f t="shared" si="501"/>
        <v>0</v>
      </c>
      <c r="AY464" s="231"/>
      <c r="AZ464" s="770" cm="1">
        <f t="array" aca="1" ref="AZ464" ca="1">INDIRECT("'Definition of Typical Day'!"&amp; ADDRESS($D464+29*(AZ$16-1),$E464))+$AZ$17</f>
        <v>11</v>
      </c>
      <c r="BA464" s="771" cm="1">
        <f t="array" aca="1" ref="BA464" ca="1">INDIRECT("'Definition of Typical Day'!"&amp; ADDRESS($D464+29*(BA$16-1),$E464))+$BA$17</f>
        <v>11</v>
      </c>
      <c r="BB464" s="772" cm="1">
        <f t="array" aca="1" ref="BB464" ca="1">INDIRECT("'Definition of Typical Day'!"&amp;ADDRESS(BB$16,$E464))</f>
        <v>0</v>
      </c>
      <c r="BC464" s="776" cm="1">
        <f t="array" aca="1" ref="BC464" ca="1">INDIRECT("'Definition of Typical Day'!"&amp; ADDRESS($D464+29*(BC$16-1),$E464))</f>
        <v>0</v>
      </c>
      <c r="BD464" s="777" cm="1">
        <f t="array" aca="1" ref="BD464" ca="1">INDIRECT("'Definition of Typical Day'!"&amp; ADDRESS($D464+29*(BD$16-1),$E464))</f>
        <v>0</v>
      </c>
      <c r="BE464" s="776">
        <f t="shared" si="502"/>
        <v>0</v>
      </c>
      <c r="BF464" s="771">
        <f t="shared" ca="1" si="503"/>
        <v>0</v>
      </c>
      <c r="BG464" s="771">
        <f t="shared" ca="1" si="504"/>
        <v>0</v>
      </c>
      <c r="BH464" s="771">
        <f t="shared" ca="1" si="505"/>
        <v>0</v>
      </c>
      <c r="BI464" s="776">
        <f t="shared" ca="1" si="506"/>
        <v>0</v>
      </c>
      <c r="BJ464" s="776">
        <f t="shared" ca="1" si="507"/>
        <v>0</v>
      </c>
      <c r="BK464" s="776">
        <f t="shared" ca="1" si="508"/>
        <v>0</v>
      </c>
      <c r="BL464" s="776">
        <f t="shared" ca="1" si="509"/>
        <v>0</v>
      </c>
      <c r="BM464" s="135"/>
      <c r="BN464" s="776">
        <f t="shared" ca="1" si="510"/>
        <v>0</v>
      </c>
      <c r="BO464" s="778">
        <f t="shared" ca="1" si="447"/>
        <v>0</v>
      </c>
      <c r="BP464" s="770">
        <f t="shared" ca="1" si="448"/>
        <v>0</v>
      </c>
      <c r="BQ464" s="771">
        <f t="shared" ca="1" si="449"/>
        <v>0</v>
      </c>
      <c r="BR464" s="771">
        <f t="shared" ca="1" si="450"/>
        <v>0</v>
      </c>
      <c r="BS464" s="776">
        <f t="shared" ca="1" si="511"/>
        <v>0</v>
      </c>
      <c r="BT464" s="776">
        <f t="shared" ca="1" si="451"/>
        <v>0</v>
      </c>
      <c r="BU464" s="783">
        <f t="shared" ca="1" si="452"/>
        <v>0</v>
      </c>
      <c r="BV464" s="783">
        <f t="shared" ca="1" si="453"/>
        <v>0</v>
      </c>
      <c r="BW464" s="1019">
        <f t="shared" ca="1" si="512"/>
        <v>0</v>
      </c>
      <c r="BX464" s="771" cm="1">
        <f t="array" aca="1" ref="BX464" ca="1">INDIRECT("'Definition of Typical Day'!"&amp; ADDRESS($D464+29*(BX$16-1),$E464))</f>
        <v>0</v>
      </c>
      <c r="BY464" s="771">
        <f t="shared" ca="1" si="513"/>
        <v>0</v>
      </c>
      <c r="BZ464" s="781">
        <f t="shared" ca="1" si="454"/>
        <v>0</v>
      </c>
      <c r="CA464" s="781">
        <f t="shared" ca="1" si="455"/>
        <v>0</v>
      </c>
      <c r="CB464" s="776">
        <f t="shared" ca="1" si="456"/>
        <v>0</v>
      </c>
      <c r="CC464" s="782">
        <f t="shared" si="457"/>
        <v>19</v>
      </c>
      <c r="CD464" s="782">
        <f t="shared" si="458"/>
        <v>12</v>
      </c>
      <c r="CE464" s="784" cm="1">
        <f t="array" aca="1" ref="CE464" ca="1">INDIRECT("'Definition of Typical Day'!"&amp;ADDRESS(CE$16,$E464))</f>
        <v>19</v>
      </c>
      <c r="CF464" s="232"/>
      <c r="CG464" s="232"/>
      <c r="CH464" s="776">
        <f t="shared" ca="1" si="459"/>
        <v>0</v>
      </c>
      <c r="CI464" s="806">
        <f t="shared" ca="1" si="460"/>
        <v>0</v>
      </c>
      <c r="CJ464" s="770">
        <f t="shared" ca="1" si="461"/>
        <v>0</v>
      </c>
      <c r="CK464" s="771">
        <f t="shared" ca="1" si="462"/>
        <v>0</v>
      </c>
      <c r="CL464" s="771">
        <f t="shared" ca="1" si="463"/>
        <v>0</v>
      </c>
      <c r="CM464" s="772">
        <f t="shared" ca="1" si="464"/>
        <v>0</v>
      </c>
      <c r="CN464" s="135"/>
      <c r="CO464" s="770">
        <f t="shared" ca="1" si="514"/>
        <v>1.05</v>
      </c>
      <c r="CP464" s="771">
        <f t="shared" ca="1" si="465"/>
        <v>0.02</v>
      </c>
      <c r="CQ464" s="771">
        <f t="shared" ca="1" si="466"/>
        <v>-2.5000000000000001E-2</v>
      </c>
      <c r="CR464" s="771">
        <f t="shared" ca="1" si="467"/>
        <v>0.95</v>
      </c>
      <c r="CS464" s="771">
        <f t="shared" ca="1" si="468"/>
        <v>0.03</v>
      </c>
      <c r="CT464" s="772">
        <f t="shared" ca="1" si="469"/>
        <v>0.02</v>
      </c>
      <c r="CU464" s="135"/>
      <c r="CV464" s="135"/>
      <c r="CW464" s="135"/>
      <c r="CX464" s="135"/>
      <c r="CY464" s="135"/>
      <c r="CZ464" s="135"/>
      <c r="DA464" s="135"/>
      <c r="DB464" s="135"/>
      <c r="DC464" s="135"/>
      <c r="DD464" s="135"/>
      <c r="DE464" s="135"/>
      <c r="DF464" s="135"/>
      <c r="DG464" s="135"/>
      <c r="DH464" s="135"/>
      <c r="DI464" s="135"/>
      <c r="DJ464" s="135"/>
      <c r="DK464" s="135"/>
      <c r="DL464" s="135"/>
      <c r="DX464" s="135"/>
      <c r="DY464" s="135"/>
      <c r="DZ464" s="135"/>
      <c r="EA464" s="135"/>
      <c r="EB464" s="135"/>
      <c r="EC464" s="135"/>
      <c r="ED464" s="135"/>
      <c r="EE464" s="135"/>
      <c r="EF464" s="135"/>
      <c r="EG464" s="135"/>
      <c r="EH464" s="135"/>
      <c r="EI464" s="135"/>
      <c r="EJ464" s="135"/>
      <c r="EK464" s="135"/>
      <c r="EL464" s="135"/>
      <c r="EM464" s="135"/>
      <c r="EN464" s="135"/>
      <c r="EO464" s="135"/>
      <c r="EP464" s="135"/>
      <c r="EQ464" s="135"/>
      <c r="ER464" s="135"/>
      <c r="ES464" s="135"/>
      <c r="ET464" s="135"/>
      <c r="EU464" s="135"/>
      <c r="EV464" s="135"/>
      <c r="EW464" s="135"/>
      <c r="EX464" s="135"/>
      <c r="EY464" s="135"/>
      <c r="EZ464" s="135"/>
      <c r="FA464" s="135"/>
      <c r="FB464" s="135"/>
      <c r="FC464" s="135"/>
      <c r="FD464" s="135"/>
      <c r="FE464" s="135"/>
      <c r="FF464" s="135"/>
      <c r="FG464" s="135"/>
    </row>
    <row r="465" spans="1:163" s="57" customFormat="1" ht="11.25" outlineLevel="1">
      <c r="A465" s="765">
        <f t="shared" si="515"/>
        <v>19</v>
      </c>
      <c r="B465" s="715" cm="1">
        <f t="array" aca="1" ref="B465" ca="1">INDIRECT("'Definition of Typical Day'!"&amp;ADDRESS(B$16,$E465))</f>
        <v>19</v>
      </c>
      <c r="C465" s="766">
        <f t="shared" si="516"/>
        <v>13</v>
      </c>
      <c r="D465" s="715">
        <f t="shared" si="516"/>
        <v>47</v>
      </c>
      <c r="E465" s="715">
        <f t="shared" si="444"/>
        <v>23</v>
      </c>
      <c r="F465" s="767" cm="1">
        <f t="array" aca="1" ref="F465" ca="1">INDIRECT("'Definition of Typical Day'!D"&amp;D465)</f>
        <v>13</v>
      </c>
      <c r="G465" s="767" cm="1">
        <f t="array" aca="1" ref="G465" ca="1">INDIRECT("'Definition of Typical Day'!"&amp;ADDRESS(13,E465))</f>
        <v>19</v>
      </c>
      <c r="H465" s="768" cm="1">
        <f t="array" aca="1" ref="H465" ca="1">INDIRECT("'Definition of Typical Day'!"&amp; ADDRESS($D465+28*(H$16-1),$E465))</f>
        <v>0</v>
      </c>
      <c r="I465" s="715" cm="1">
        <f t="array" aca="1" ref="I465" ca="1">INDIRECT("'Definition of Typical Day'!"&amp; ADDRESS($D465+29*(I$16-1),$E465))</f>
        <v>0</v>
      </c>
      <c r="J465" s="715">
        <f t="shared" ca="1" si="470"/>
        <v>0</v>
      </c>
      <c r="K465" s="785">
        <f t="shared" si="471"/>
        <v>28</v>
      </c>
      <c r="L465" s="786" cm="1">
        <f t="array" aca="1" ref="L465" ca="1">INDIRECT("'Definition of Typical Day'!"&amp; ADDRESS($D465+29*(L$16-1),$E465))</f>
        <v>0</v>
      </c>
      <c r="M465" s="768" cm="1">
        <f t="array" aca="1" ref="M465" ca="1">INDIRECT("'Definition of Typical Day'!"&amp; ADDRESS($D465+29*(M$16-1),$E465))</f>
        <v>0</v>
      </c>
      <c r="N465" s="715">
        <f t="shared" si="472"/>
        <v>3</v>
      </c>
      <c r="O465" s="715">
        <f t="shared" ca="1" si="473"/>
        <v>3</v>
      </c>
      <c r="P465" s="715" cm="1">
        <f t="array" aca="1" ref="P465" ca="1">INDIRECT("'Definition of Typical Day'!"&amp; ADDRESS($D465+29*(P$16-1),$E465))</f>
        <v>0</v>
      </c>
      <c r="Q465" s="787">
        <f t="shared" ca="1" si="474"/>
        <v>3</v>
      </c>
      <c r="R465" s="792">
        <f t="shared" ca="1" si="475"/>
        <v>3</v>
      </c>
      <c r="S465" s="769">
        <f t="shared" si="476"/>
        <v>3</v>
      </c>
      <c r="T465" s="769">
        <f t="shared" ca="1" si="477"/>
        <v>-0.5</v>
      </c>
      <c r="U465" s="769">
        <f t="shared" ca="1" si="478"/>
        <v>2.262</v>
      </c>
      <c r="V465" s="769">
        <f t="shared" ca="1" si="479"/>
        <v>0</v>
      </c>
      <c r="W465" s="769">
        <f t="shared" ca="1" si="480"/>
        <v>4.7620000000000005</v>
      </c>
      <c r="X465" s="794">
        <f t="shared" si="481"/>
        <v>3</v>
      </c>
      <c r="Y465" s="769">
        <f t="shared" ca="1" si="482"/>
        <v>0.54772255750516607</v>
      </c>
      <c r="Z465" s="769">
        <f t="shared" ca="1" si="483"/>
        <v>0</v>
      </c>
      <c r="AA465" s="795">
        <f t="shared" ca="1" si="484"/>
        <v>0</v>
      </c>
      <c r="AB465" s="769">
        <f t="shared" ca="1" si="485"/>
        <v>0</v>
      </c>
      <c r="AC465" s="769">
        <f t="shared" ca="1" si="486"/>
        <v>0</v>
      </c>
      <c r="AD465" s="769">
        <f t="shared" ca="1" si="487"/>
        <v>0</v>
      </c>
      <c r="AE465" s="794">
        <f t="shared" ca="1" si="488"/>
        <v>0</v>
      </c>
      <c r="AF465" s="769">
        <f t="shared" ca="1" si="489"/>
        <v>0</v>
      </c>
      <c r="AG465" s="769">
        <f t="shared" ca="1" si="490"/>
        <v>0</v>
      </c>
      <c r="AH465" s="799">
        <f t="shared" ca="1" si="491"/>
        <v>0</v>
      </c>
      <c r="AI465" s="801">
        <f t="shared" ca="1" si="492"/>
        <v>1</v>
      </c>
      <c r="AJ465" s="794">
        <f t="shared" ca="1" si="493"/>
        <v>0</v>
      </c>
      <c r="AK465" s="769">
        <f t="shared" ca="1" si="494"/>
        <v>0</v>
      </c>
      <c r="AL465" s="769">
        <f t="shared" ca="1" si="495"/>
        <v>0</v>
      </c>
      <c r="AM465" s="804">
        <f t="shared" ca="1" si="445"/>
        <v>0</v>
      </c>
      <c r="AN465" s="795">
        <f t="shared" ca="1" si="446"/>
        <v>0</v>
      </c>
      <c r="AO465" s="251"/>
      <c r="AP465" s="770">
        <f t="shared" si="496"/>
        <v>0</v>
      </c>
      <c r="AQ465" s="771">
        <f t="shared" ca="1" si="497"/>
        <v>0</v>
      </c>
      <c r="AR465" s="771">
        <f t="shared" ca="1" si="498"/>
        <v>0</v>
      </c>
      <c r="AS465" s="772">
        <f t="shared" ca="1" si="499"/>
        <v>0</v>
      </c>
      <c r="AT465" s="231"/>
      <c r="AU465" s="770">
        <f>'Main Results - IRR DC Operator'!$F$16</f>
        <v>2</v>
      </c>
      <c r="AV465" s="773">
        <f>'Main Results - IRR DC Operator'!$F$15</f>
        <v>1</v>
      </c>
      <c r="AW465" s="771">
        <f t="shared" ca="1" si="500"/>
        <v>0</v>
      </c>
      <c r="AX465" s="772">
        <f t="shared" si="501"/>
        <v>0</v>
      </c>
      <c r="AY465" s="231"/>
      <c r="AZ465" s="770" cm="1">
        <f t="array" aca="1" ref="AZ465" ca="1">INDIRECT("'Definition of Typical Day'!"&amp; ADDRESS($D465+29*(AZ$16-1),$E465))+$AZ$17</f>
        <v>11</v>
      </c>
      <c r="BA465" s="771" cm="1">
        <f t="array" aca="1" ref="BA465" ca="1">INDIRECT("'Definition of Typical Day'!"&amp; ADDRESS($D465+29*(BA$16-1),$E465))+$BA$17</f>
        <v>11</v>
      </c>
      <c r="BB465" s="772" cm="1">
        <f t="array" aca="1" ref="BB465" ca="1">INDIRECT("'Definition of Typical Day'!"&amp;ADDRESS(BB$16,$E465))</f>
        <v>0</v>
      </c>
      <c r="BC465" s="776" cm="1">
        <f t="array" aca="1" ref="BC465" ca="1">INDIRECT("'Definition of Typical Day'!"&amp; ADDRESS($D465+29*(BC$16-1),$E465))</f>
        <v>0</v>
      </c>
      <c r="BD465" s="777" cm="1">
        <f t="array" aca="1" ref="BD465" ca="1">INDIRECT("'Definition of Typical Day'!"&amp; ADDRESS($D465+29*(BD$16-1),$E465))</f>
        <v>0</v>
      </c>
      <c r="BE465" s="776">
        <f t="shared" si="502"/>
        <v>0</v>
      </c>
      <c r="BF465" s="771">
        <f t="shared" ca="1" si="503"/>
        <v>0</v>
      </c>
      <c r="BG465" s="771">
        <f t="shared" ca="1" si="504"/>
        <v>0</v>
      </c>
      <c r="BH465" s="771">
        <f t="shared" ca="1" si="505"/>
        <v>0</v>
      </c>
      <c r="BI465" s="776">
        <f t="shared" ca="1" si="506"/>
        <v>0</v>
      </c>
      <c r="BJ465" s="776">
        <f t="shared" ca="1" si="507"/>
        <v>0</v>
      </c>
      <c r="BK465" s="776">
        <f t="shared" ca="1" si="508"/>
        <v>0</v>
      </c>
      <c r="BL465" s="776">
        <f t="shared" ca="1" si="509"/>
        <v>0</v>
      </c>
      <c r="BM465" s="135"/>
      <c r="BN465" s="776">
        <f t="shared" ca="1" si="510"/>
        <v>0</v>
      </c>
      <c r="BO465" s="778">
        <f t="shared" ca="1" si="447"/>
        <v>0</v>
      </c>
      <c r="BP465" s="770">
        <f t="shared" ca="1" si="448"/>
        <v>0</v>
      </c>
      <c r="BQ465" s="771">
        <f t="shared" ca="1" si="449"/>
        <v>0</v>
      </c>
      <c r="BR465" s="771">
        <f t="shared" ca="1" si="450"/>
        <v>0</v>
      </c>
      <c r="BS465" s="776">
        <f t="shared" ca="1" si="511"/>
        <v>0</v>
      </c>
      <c r="BT465" s="776">
        <f t="shared" ca="1" si="451"/>
        <v>0</v>
      </c>
      <c r="BU465" s="783">
        <f t="shared" ca="1" si="452"/>
        <v>0</v>
      </c>
      <c r="BV465" s="783">
        <f t="shared" ca="1" si="453"/>
        <v>0</v>
      </c>
      <c r="BW465" s="1019">
        <f t="shared" ca="1" si="512"/>
        <v>0</v>
      </c>
      <c r="BX465" s="771" cm="1">
        <f t="array" aca="1" ref="BX465" ca="1">INDIRECT("'Definition of Typical Day'!"&amp; ADDRESS($D465+29*(BX$16-1),$E465))</f>
        <v>0</v>
      </c>
      <c r="BY465" s="771">
        <f t="shared" ca="1" si="513"/>
        <v>0</v>
      </c>
      <c r="BZ465" s="781">
        <f t="shared" ca="1" si="454"/>
        <v>0</v>
      </c>
      <c r="CA465" s="781">
        <f t="shared" ca="1" si="455"/>
        <v>0</v>
      </c>
      <c r="CB465" s="776">
        <f t="shared" ca="1" si="456"/>
        <v>0</v>
      </c>
      <c r="CC465" s="782">
        <f t="shared" si="457"/>
        <v>19</v>
      </c>
      <c r="CD465" s="782">
        <f t="shared" si="458"/>
        <v>13</v>
      </c>
      <c r="CE465" s="784" cm="1">
        <f t="array" aca="1" ref="CE465" ca="1">INDIRECT("'Definition of Typical Day'!"&amp;ADDRESS(CE$16,$E465))</f>
        <v>19</v>
      </c>
      <c r="CF465" s="232"/>
      <c r="CG465" s="232"/>
      <c r="CH465" s="776">
        <f t="shared" ca="1" si="459"/>
        <v>0</v>
      </c>
      <c r="CI465" s="806">
        <f t="shared" ca="1" si="460"/>
        <v>0</v>
      </c>
      <c r="CJ465" s="770">
        <f t="shared" ca="1" si="461"/>
        <v>0</v>
      </c>
      <c r="CK465" s="771">
        <f t="shared" ca="1" si="462"/>
        <v>0</v>
      </c>
      <c r="CL465" s="771">
        <f t="shared" ca="1" si="463"/>
        <v>0</v>
      </c>
      <c r="CM465" s="772">
        <f t="shared" ca="1" si="464"/>
        <v>0</v>
      </c>
      <c r="CN465" s="135"/>
      <c r="CO465" s="770">
        <f t="shared" ca="1" si="514"/>
        <v>1.05</v>
      </c>
      <c r="CP465" s="771">
        <f t="shared" ca="1" si="465"/>
        <v>0.02</v>
      </c>
      <c r="CQ465" s="771">
        <f t="shared" ca="1" si="466"/>
        <v>-2.5000000000000001E-2</v>
      </c>
      <c r="CR465" s="771">
        <f t="shared" ca="1" si="467"/>
        <v>0.95</v>
      </c>
      <c r="CS465" s="771">
        <f t="shared" ca="1" si="468"/>
        <v>0.03</v>
      </c>
      <c r="CT465" s="772">
        <f t="shared" ca="1" si="469"/>
        <v>0.02</v>
      </c>
      <c r="CU465" s="135"/>
      <c r="CV465" s="135"/>
      <c r="CW465" s="135"/>
      <c r="CX465" s="135"/>
      <c r="CY465" s="135"/>
      <c r="CZ465" s="135"/>
      <c r="DA465" s="135"/>
      <c r="DB465" s="135"/>
      <c r="DC465" s="135"/>
      <c r="DD465" s="135"/>
      <c r="DE465" s="135"/>
      <c r="DF465" s="135"/>
      <c r="DG465" s="135"/>
      <c r="DH465" s="135"/>
      <c r="DI465" s="135"/>
      <c r="DJ465" s="135"/>
      <c r="DK465" s="135"/>
      <c r="DL465" s="135"/>
      <c r="DX465" s="135"/>
      <c r="DY465" s="135"/>
      <c r="DZ465" s="135"/>
      <c r="EA465" s="135"/>
      <c r="EB465" s="135"/>
      <c r="EC465" s="135"/>
      <c r="ED465" s="135"/>
      <c r="EE465" s="135"/>
      <c r="EF465" s="135"/>
      <c r="EG465" s="135"/>
      <c r="EH465" s="135"/>
      <c r="EI465" s="135"/>
      <c r="EJ465" s="135"/>
      <c r="EK465" s="135"/>
      <c r="EL465" s="135"/>
      <c r="EM465" s="135"/>
      <c r="EN465" s="135"/>
      <c r="EO465" s="135"/>
      <c r="EP465" s="135"/>
      <c r="EQ465" s="135"/>
      <c r="ER465" s="135"/>
      <c r="ES465" s="135"/>
      <c r="ET465" s="135"/>
      <c r="EU465" s="135"/>
      <c r="EV465" s="135"/>
      <c r="EW465" s="135"/>
      <c r="EX465" s="135"/>
      <c r="EY465" s="135"/>
      <c r="EZ465" s="135"/>
      <c r="FA465" s="135"/>
      <c r="FB465" s="135"/>
      <c r="FC465" s="135"/>
      <c r="FD465" s="135"/>
      <c r="FE465" s="135"/>
      <c r="FF465" s="135"/>
      <c r="FG465" s="135"/>
    </row>
    <row r="466" spans="1:163" s="57" customFormat="1" ht="11.25" outlineLevel="1">
      <c r="A466" s="765">
        <f t="shared" si="515"/>
        <v>19</v>
      </c>
      <c r="B466" s="715" cm="1">
        <f t="array" aca="1" ref="B466" ca="1">INDIRECT("'Definition of Typical Day'!"&amp;ADDRESS(B$16,$E466))</f>
        <v>19</v>
      </c>
      <c r="C466" s="766">
        <f t="shared" si="516"/>
        <v>14</v>
      </c>
      <c r="D466" s="715">
        <f t="shared" si="516"/>
        <v>48</v>
      </c>
      <c r="E466" s="715">
        <f t="shared" si="444"/>
        <v>23</v>
      </c>
      <c r="F466" s="767" cm="1">
        <f t="array" aca="1" ref="F466" ca="1">INDIRECT("'Definition of Typical Day'!D"&amp;D466)</f>
        <v>14</v>
      </c>
      <c r="G466" s="767" cm="1">
        <f t="array" aca="1" ref="G466" ca="1">INDIRECT("'Definition of Typical Day'!"&amp;ADDRESS(13,E466))</f>
        <v>19</v>
      </c>
      <c r="H466" s="768" cm="1">
        <f t="array" aca="1" ref="H466" ca="1">INDIRECT("'Definition of Typical Day'!"&amp; ADDRESS($D466+28*(H$16-1),$E466))</f>
        <v>0</v>
      </c>
      <c r="I466" s="715" cm="1">
        <f t="array" aca="1" ref="I466" ca="1">INDIRECT("'Definition of Typical Day'!"&amp; ADDRESS($D466+29*(I$16-1),$E466))</f>
        <v>0</v>
      </c>
      <c r="J466" s="715">
        <f t="shared" ca="1" si="470"/>
        <v>0</v>
      </c>
      <c r="K466" s="785">
        <f t="shared" si="471"/>
        <v>28</v>
      </c>
      <c r="L466" s="786" cm="1">
        <f t="array" aca="1" ref="L466" ca="1">INDIRECT("'Definition of Typical Day'!"&amp; ADDRESS($D466+29*(L$16-1),$E466))</f>
        <v>0</v>
      </c>
      <c r="M466" s="768" cm="1">
        <f t="array" aca="1" ref="M466" ca="1">INDIRECT("'Definition of Typical Day'!"&amp; ADDRESS($D466+29*(M$16-1),$E466))</f>
        <v>0</v>
      </c>
      <c r="N466" s="715">
        <f t="shared" si="472"/>
        <v>3</v>
      </c>
      <c r="O466" s="715">
        <f t="shared" ca="1" si="473"/>
        <v>3</v>
      </c>
      <c r="P466" s="715" cm="1">
        <f t="array" aca="1" ref="P466" ca="1">INDIRECT("'Definition of Typical Day'!"&amp; ADDRESS($D466+29*(P$16-1),$E466))</f>
        <v>0</v>
      </c>
      <c r="Q466" s="787">
        <f t="shared" ca="1" si="474"/>
        <v>3</v>
      </c>
      <c r="R466" s="792">
        <f t="shared" ca="1" si="475"/>
        <v>3</v>
      </c>
      <c r="S466" s="769">
        <f t="shared" si="476"/>
        <v>3</v>
      </c>
      <c r="T466" s="769">
        <f t="shared" ca="1" si="477"/>
        <v>-0.5</v>
      </c>
      <c r="U466" s="769">
        <f t="shared" ca="1" si="478"/>
        <v>2.262</v>
      </c>
      <c r="V466" s="769">
        <f t="shared" ca="1" si="479"/>
        <v>0</v>
      </c>
      <c r="W466" s="769">
        <f t="shared" ca="1" si="480"/>
        <v>4.7620000000000005</v>
      </c>
      <c r="X466" s="794">
        <f t="shared" si="481"/>
        <v>3</v>
      </c>
      <c r="Y466" s="769">
        <f t="shared" ca="1" si="482"/>
        <v>0.54772255750516607</v>
      </c>
      <c r="Z466" s="769">
        <f t="shared" ca="1" si="483"/>
        <v>0</v>
      </c>
      <c r="AA466" s="795">
        <f t="shared" ca="1" si="484"/>
        <v>0</v>
      </c>
      <c r="AB466" s="769">
        <f t="shared" ca="1" si="485"/>
        <v>0</v>
      </c>
      <c r="AC466" s="769">
        <f t="shared" ca="1" si="486"/>
        <v>0</v>
      </c>
      <c r="AD466" s="769">
        <f t="shared" ca="1" si="487"/>
        <v>0</v>
      </c>
      <c r="AE466" s="794">
        <f t="shared" ca="1" si="488"/>
        <v>0</v>
      </c>
      <c r="AF466" s="769">
        <f t="shared" ca="1" si="489"/>
        <v>0</v>
      </c>
      <c r="AG466" s="769">
        <f t="shared" ca="1" si="490"/>
        <v>0</v>
      </c>
      <c r="AH466" s="799">
        <f t="shared" ca="1" si="491"/>
        <v>0</v>
      </c>
      <c r="AI466" s="801">
        <f t="shared" ca="1" si="492"/>
        <v>1</v>
      </c>
      <c r="AJ466" s="794">
        <f t="shared" ca="1" si="493"/>
        <v>0</v>
      </c>
      <c r="AK466" s="769">
        <f t="shared" ca="1" si="494"/>
        <v>0</v>
      </c>
      <c r="AL466" s="769">
        <f t="shared" ca="1" si="495"/>
        <v>0</v>
      </c>
      <c r="AM466" s="804">
        <f t="shared" ca="1" si="445"/>
        <v>0</v>
      </c>
      <c r="AN466" s="795">
        <f t="shared" ca="1" si="446"/>
        <v>0</v>
      </c>
      <c r="AO466" s="251"/>
      <c r="AP466" s="770">
        <f t="shared" si="496"/>
        <v>0</v>
      </c>
      <c r="AQ466" s="771">
        <f t="shared" ca="1" si="497"/>
        <v>0</v>
      </c>
      <c r="AR466" s="771">
        <f t="shared" ca="1" si="498"/>
        <v>0</v>
      </c>
      <c r="AS466" s="772">
        <f t="shared" ca="1" si="499"/>
        <v>0</v>
      </c>
      <c r="AT466" s="231"/>
      <c r="AU466" s="770">
        <f>'Main Results - IRR DC Operator'!$F$16</f>
        <v>2</v>
      </c>
      <c r="AV466" s="773">
        <f>'Main Results - IRR DC Operator'!$F$15</f>
        <v>1</v>
      </c>
      <c r="AW466" s="771">
        <f t="shared" ca="1" si="500"/>
        <v>0</v>
      </c>
      <c r="AX466" s="772">
        <f t="shared" si="501"/>
        <v>0</v>
      </c>
      <c r="AY466" s="231"/>
      <c r="AZ466" s="770" cm="1">
        <f t="array" aca="1" ref="AZ466" ca="1">INDIRECT("'Definition of Typical Day'!"&amp; ADDRESS($D466+29*(AZ$16-1),$E466))+$AZ$17</f>
        <v>11</v>
      </c>
      <c r="BA466" s="771" cm="1">
        <f t="array" aca="1" ref="BA466" ca="1">INDIRECT("'Definition of Typical Day'!"&amp; ADDRESS($D466+29*(BA$16-1),$E466))+$BA$17</f>
        <v>11</v>
      </c>
      <c r="BB466" s="772" cm="1">
        <f t="array" aca="1" ref="BB466" ca="1">INDIRECT("'Definition of Typical Day'!"&amp;ADDRESS(BB$16,$E466))</f>
        <v>0</v>
      </c>
      <c r="BC466" s="776" cm="1">
        <f t="array" aca="1" ref="BC466" ca="1">INDIRECT("'Definition of Typical Day'!"&amp; ADDRESS($D466+29*(BC$16-1),$E466))</f>
        <v>0</v>
      </c>
      <c r="BD466" s="777" cm="1">
        <f t="array" aca="1" ref="BD466" ca="1">INDIRECT("'Definition of Typical Day'!"&amp; ADDRESS($D466+29*(BD$16-1),$E466))</f>
        <v>0</v>
      </c>
      <c r="BE466" s="776">
        <f t="shared" si="502"/>
        <v>0</v>
      </c>
      <c r="BF466" s="771">
        <f t="shared" ca="1" si="503"/>
        <v>0</v>
      </c>
      <c r="BG466" s="771">
        <f t="shared" ca="1" si="504"/>
        <v>0</v>
      </c>
      <c r="BH466" s="771">
        <f t="shared" ca="1" si="505"/>
        <v>0</v>
      </c>
      <c r="BI466" s="776">
        <f t="shared" ca="1" si="506"/>
        <v>0</v>
      </c>
      <c r="BJ466" s="776">
        <f t="shared" ca="1" si="507"/>
        <v>0</v>
      </c>
      <c r="BK466" s="776">
        <f t="shared" ca="1" si="508"/>
        <v>0</v>
      </c>
      <c r="BL466" s="776">
        <f t="shared" ca="1" si="509"/>
        <v>0</v>
      </c>
      <c r="BM466" s="135"/>
      <c r="BN466" s="776">
        <f t="shared" ca="1" si="510"/>
        <v>0</v>
      </c>
      <c r="BO466" s="778">
        <f t="shared" ca="1" si="447"/>
        <v>0</v>
      </c>
      <c r="BP466" s="770">
        <f t="shared" ca="1" si="448"/>
        <v>0</v>
      </c>
      <c r="BQ466" s="771">
        <f t="shared" ca="1" si="449"/>
        <v>0</v>
      </c>
      <c r="BR466" s="771">
        <f t="shared" ca="1" si="450"/>
        <v>0</v>
      </c>
      <c r="BS466" s="776">
        <f t="shared" ca="1" si="511"/>
        <v>0</v>
      </c>
      <c r="BT466" s="776">
        <f t="shared" ca="1" si="451"/>
        <v>0</v>
      </c>
      <c r="BU466" s="783">
        <f t="shared" ca="1" si="452"/>
        <v>0</v>
      </c>
      <c r="BV466" s="783">
        <f t="shared" ca="1" si="453"/>
        <v>0</v>
      </c>
      <c r="BW466" s="1019">
        <f t="shared" ca="1" si="512"/>
        <v>0</v>
      </c>
      <c r="BX466" s="771" cm="1">
        <f t="array" aca="1" ref="BX466" ca="1">INDIRECT("'Definition of Typical Day'!"&amp; ADDRESS($D466+29*(BX$16-1),$E466))</f>
        <v>0</v>
      </c>
      <c r="BY466" s="771">
        <f t="shared" ca="1" si="513"/>
        <v>0</v>
      </c>
      <c r="BZ466" s="781">
        <f t="shared" ca="1" si="454"/>
        <v>0</v>
      </c>
      <c r="CA466" s="781">
        <f t="shared" ca="1" si="455"/>
        <v>0</v>
      </c>
      <c r="CB466" s="776">
        <f t="shared" ca="1" si="456"/>
        <v>0</v>
      </c>
      <c r="CC466" s="782">
        <f t="shared" si="457"/>
        <v>19</v>
      </c>
      <c r="CD466" s="782">
        <f t="shared" si="458"/>
        <v>14</v>
      </c>
      <c r="CE466" s="784" cm="1">
        <f t="array" aca="1" ref="CE466" ca="1">INDIRECT("'Definition of Typical Day'!"&amp;ADDRESS(CE$16,$E466))</f>
        <v>19</v>
      </c>
      <c r="CF466" s="232"/>
      <c r="CG466" s="232"/>
      <c r="CH466" s="776">
        <f t="shared" ca="1" si="459"/>
        <v>0</v>
      </c>
      <c r="CI466" s="806">
        <f t="shared" ca="1" si="460"/>
        <v>0</v>
      </c>
      <c r="CJ466" s="770">
        <f t="shared" ca="1" si="461"/>
        <v>0</v>
      </c>
      <c r="CK466" s="771">
        <f t="shared" ca="1" si="462"/>
        <v>0</v>
      </c>
      <c r="CL466" s="771">
        <f t="shared" ca="1" si="463"/>
        <v>0</v>
      </c>
      <c r="CM466" s="772">
        <f t="shared" ca="1" si="464"/>
        <v>0</v>
      </c>
      <c r="CN466" s="135"/>
      <c r="CO466" s="770">
        <f t="shared" ca="1" si="514"/>
        <v>1.05</v>
      </c>
      <c r="CP466" s="771">
        <f t="shared" ca="1" si="465"/>
        <v>0.02</v>
      </c>
      <c r="CQ466" s="771">
        <f t="shared" ca="1" si="466"/>
        <v>-2.5000000000000001E-2</v>
      </c>
      <c r="CR466" s="771">
        <f t="shared" ca="1" si="467"/>
        <v>0.95</v>
      </c>
      <c r="CS466" s="771">
        <f t="shared" ca="1" si="468"/>
        <v>0.03</v>
      </c>
      <c r="CT466" s="772">
        <f t="shared" ca="1" si="469"/>
        <v>0.02</v>
      </c>
      <c r="CU466" s="135"/>
      <c r="CV466" s="135"/>
      <c r="CW466" s="135"/>
      <c r="CX466" s="135"/>
      <c r="CY466" s="135"/>
      <c r="CZ466" s="135"/>
      <c r="DA466" s="135"/>
      <c r="DB466" s="135"/>
      <c r="DC466" s="135"/>
      <c r="DD466" s="135"/>
      <c r="DE466" s="135"/>
      <c r="DF466" s="135"/>
      <c r="DG466" s="135"/>
      <c r="DH466" s="135"/>
      <c r="DI466" s="135"/>
      <c r="DJ466" s="135"/>
      <c r="DK466" s="135"/>
      <c r="DL466" s="135"/>
      <c r="DX466" s="135"/>
      <c r="DY466" s="135"/>
      <c r="DZ466" s="135"/>
      <c r="EA466" s="135"/>
      <c r="EB466" s="135"/>
      <c r="EC466" s="135"/>
      <c r="ED466" s="135"/>
      <c r="EE466" s="135"/>
      <c r="EF466" s="135"/>
      <c r="EG466" s="135"/>
      <c r="EH466" s="135"/>
      <c r="EI466" s="135"/>
      <c r="EJ466" s="135"/>
      <c r="EK466" s="135"/>
      <c r="EL466" s="135"/>
      <c r="EM466" s="135"/>
      <c r="EN466" s="135"/>
      <c r="EO466" s="135"/>
      <c r="EP466" s="135"/>
      <c r="EQ466" s="135"/>
      <c r="ER466" s="135"/>
      <c r="ES466" s="135"/>
      <c r="ET466" s="135"/>
      <c r="EU466" s="135"/>
      <c r="EV466" s="135"/>
      <c r="EW466" s="135"/>
      <c r="EX466" s="135"/>
      <c r="EY466" s="135"/>
      <c r="EZ466" s="135"/>
      <c r="FA466" s="135"/>
      <c r="FB466" s="135"/>
      <c r="FC466" s="135"/>
      <c r="FD466" s="135"/>
      <c r="FE466" s="135"/>
      <c r="FF466" s="135"/>
      <c r="FG466" s="135"/>
    </row>
    <row r="467" spans="1:163" s="57" customFormat="1" ht="11.25" outlineLevel="1">
      <c r="A467" s="765">
        <f t="shared" si="515"/>
        <v>19</v>
      </c>
      <c r="B467" s="715" cm="1">
        <f t="array" aca="1" ref="B467" ca="1">INDIRECT("'Definition of Typical Day'!"&amp;ADDRESS(B$16,$E467))</f>
        <v>19</v>
      </c>
      <c r="C467" s="766">
        <f t="shared" si="516"/>
        <v>15</v>
      </c>
      <c r="D467" s="715">
        <f t="shared" si="516"/>
        <v>49</v>
      </c>
      <c r="E467" s="715">
        <f t="shared" si="444"/>
        <v>23</v>
      </c>
      <c r="F467" s="767" cm="1">
        <f t="array" aca="1" ref="F467" ca="1">INDIRECT("'Definition of Typical Day'!D"&amp;D467)</f>
        <v>15</v>
      </c>
      <c r="G467" s="767" cm="1">
        <f t="array" aca="1" ref="G467" ca="1">INDIRECT("'Definition of Typical Day'!"&amp;ADDRESS(13,E467))</f>
        <v>19</v>
      </c>
      <c r="H467" s="768" cm="1">
        <f t="array" aca="1" ref="H467" ca="1">INDIRECT("'Definition of Typical Day'!"&amp; ADDRESS($D467+28*(H$16-1),$E467))</f>
        <v>0</v>
      </c>
      <c r="I467" s="715" cm="1">
        <f t="array" aca="1" ref="I467" ca="1">INDIRECT("'Definition of Typical Day'!"&amp; ADDRESS($D467+29*(I$16-1),$E467))</f>
        <v>0</v>
      </c>
      <c r="J467" s="715">
        <f t="shared" ca="1" si="470"/>
        <v>0</v>
      </c>
      <c r="K467" s="785">
        <f t="shared" si="471"/>
        <v>28</v>
      </c>
      <c r="L467" s="786" cm="1">
        <f t="array" aca="1" ref="L467" ca="1">INDIRECT("'Definition of Typical Day'!"&amp; ADDRESS($D467+29*(L$16-1),$E467))</f>
        <v>0</v>
      </c>
      <c r="M467" s="768" cm="1">
        <f t="array" aca="1" ref="M467" ca="1">INDIRECT("'Definition of Typical Day'!"&amp; ADDRESS($D467+29*(M$16-1),$E467))</f>
        <v>0</v>
      </c>
      <c r="N467" s="715">
        <f t="shared" si="472"/>
        <v>3</v>
      </c>
      <c r="O467" s="715">
        <f t="shared" ca="1" si="473"/>
        <v>3</v>
      </c>
      <c r="P467" s="715" cm="1">
        <f t="array" aca="1" ref="P467" ca="1">INDIRECT("'Definition of Typical Day'!"&amp; ADDRESS($D467+29*(P$16-1),$E467))</f>
        <v>0</v>
      </c>
      <c r="Q467" s="787">
        <f t="shared" ca="1" si="474"/>
        <v>3</v>
      </c>
      <c r="R467" s="792">
        <f t="shared" ca="1" si="475"/>
        <v>3</v>
      </c>
      <c r="S467" s="769">
        <f t="shared" si="476"/>
        <v>3</v>
      </c>
      <c r="T467" s="769">
        <f t="shared" ca="1" si="477"/>
        <v>-0.5</v>
      </c>
      <c r="U467" s="769">
        <f t="shared" ca="1" si="478"/>
        <v>2.262</v>
      </c>
      <c r="V467" s="769">
        <f t="shared" ca="1" si="479"/>
        <v>0</v>
      </c>
      <c r="W467" s="769">
        <f t="shared" ca="1" si="480"/>
        <v>4.7620000000000005</v>
      </c>
      <c r="X467" s="794">
        <f t="shared" si="481"/>
        <v>3</v>
      </c>
      <c r="Y467" s="769">
        <f t="shared" ca="1" si="482"/>
        <v>0.54772255750516607</v>
      </c>
      <c r="Z467" s="769">
        <f t="shared" ca="1" si="483"/>
        <v>0</v>
      </c>
      <c r="AA467" s="795">
        <f t="shared" ca="1" si="484"/>
        <v>0</v>
      </c>
      <c r="AB467" s="769">
        <f t="shared" ca="1" si="485"/>
        <v>0</v>
      </c>
      <c r="AC467" s="769">
        <f t="shared" ca="1" si="486"/>
        <v>0</v>
      </c>
      <c r="AD467" s="769">
        <f t="shared" ca="1" si="487"/>
        <v>0</v>
      </c>
      <c r="AE467" s="794">
        <f t="shared" ca="1" si="488"/>
        <v>0</v>
      </c>
      <c r="AF467" s="769">
        <f t="shared" ca="1" si="489"/>
        <v>0</v>
      </c>
      <c r="AG467" s="769">
        <f t="shared" ca="1" si="490"/>
        <v>0</v>
      </c>
      <c r="AH467" s="799">
        <f t="shared" ca="1" si="491"/>
        <v>0</v>
      </c>
      <c r="AI467" s="801">
        <f t="shared" ca="1" si="492"/>
        <v>1</v>
      </c>
      <c r="AJ467" s="794">
        <f t="shared" ca="1" si="493"/>
        <v>0</v>
      </c>
      <c r="AK467" s="769">
        <f t="shared" ca="1" si="494"/>
        <v>0</v>
      </c>
      <c r="AL467" s="769">
        <f t="shared" ca="1" si="495"/>
        <v>0</v>
      </c>
      <c r="AM467" s="804">
        <f t="shared" ca="1" si="445"/>
        <v>0</v>
      </c>
      <c r="AN467" s="795">
        <f t="shared" ca="1" si="446"/>
        <v>0</v>
      </c>
      <c r="AO467" s="251"/>
      <c r="AP467" s="770">
        <f t="shared" si="496"/>
        <v>0</v>
      </c>
      <c r="AQ467" s="771">
        <f t="shared" ca="1" si="497"/>
        <v>0</v>
      </c>
      <c r="AR467" s="771">
        <f t="shared" ca="1" si="498"/>
        <v>0</v>
      </c>
      <c r="AS467" s="772">
        <f t="shared" ca="1" si="499"/>
        <v>0</v>
      </c>
      <c r="AT467" s="231"/>
      <c r="AU467" s="770">
        <f>'Main Results - IRR DC Operator'!$F$16</f>
        <v>2</v>
      </c>
      <c r="AV467" s="773">
        <f>'Main Results - IRR DC Operator'!$F$15</f>
        <v>1</v>
      </c>
      <c r="AW467" s="771">
        <f t="shared" ca="1" si="500"/>
        <v>0</v>
      </c>
      <c r="AX467" s="772">
        <f t="shared" si="501"/>
        <v>0</v>
      </c>
      <c r="AY467" s="231"/>
      <c r="AZ467" s="770" cm="1">
        <f t="array" aca="1" ref="AZ467" ca="1">INDIRECT("'Definition of Typical Day'!"&amp; ADDRESS($D467+29*(AZ$16-1),$E467))+$AZ$17</f>
        <v>11</v>
      </c>
      <c r="BA467" s="771" cm="1">
        <f t="array" aca="1" ref="BA467" ca="1">INDIRECT("'Definition of Typical Day'!"&amp; ADDRESS($D467+29*(BA$16-1),$E467))+$BA$17</f>
        <v>11</v>
      </c>
      <c r="BB467" s="772" cm="1">
        <f t="array" aca="1" ref="BB467" ca="1">INDIRECT("'Definition of Typical Day'!"&amp;ADDRESS(BB$16,$E467))</f>
        <v>0</v>
      </c>
      <c r="BC467" s="776" cm="1">
        <f t="array" aca="1" ref="BC467" ca="1">INDIRECT("'Definition of Typical Day'!"&amp; ADDRESS($D467+29*(BC$16-1),$E467))</f>
        <v>0</v>
      </c>
      <c r="BD467" s="777" cm="1">
        <f t="array" aca="1" ref="BD467" ca="1">INDIRECT("'Definition of Typical Day'!"&amp; ADDRESS($D467+29*(BD$16-1),$E467))</f>
        <v>0</v>
      </c>
      <c r="BE467" s="776">
        <f t="shared" si="502"/>
        <v>0</v>
      </c>
      <c r="BF467" s="771">
        <f t="shared" ca="1" si="503"/>
        <v>0</v>
      </c>
      <c r="BG467" s="771">
        <f t="shared" ca="1" si="504"/>
        <v>0</v>
      </c>
      <c r="BH467" s="771">
        <f t="shared" ca="1" si="505"/>
        <v>0</v>
      </c>
      <c r="BI467" s="776">
        <f t="shared" ca="1" si="506"/>
        <v>0</v>
      </c>
      <c r="BJ467" s="776">
        <f t="shared" ca="1" si="507"/>
        <v>0</v>
      </c>
      <c r="BK467" s="776">
        <f t="shared" ca="1" si="508"/>
        <v>0</v>
      </c>
      <c r="BL467" s="776">
        <f t="shared" ca="1" si="509"/>
        <v>0</v>
      </c>
      <c r="BM467" s="135"/>
      <c r="BN467" s="776">
        <f t="shared" ca="1" si="510"/>
        <v>0</v>
      </c>
      <c r="BO467" s="778">
        <f t="shared" ca="1" si="447"/>
        <v>0</v>
      </c>
      <c r="BP467" s="770">
        <f t="shared" ca="1" si="448"/>
        <v>0</v>
      </c>
      <c r="BQ467" s="771">
        <f t="shared" ca="1" si="449"/>
        <v>0</v>
      </c>
      <c r="BR467" s="771">
        <f t="shared" ca="1" si="450"/>
        <v>0</v>
      </c>
      <c r="BS467" s="776">
        <f t="shared" ca="1" si="511"/>
        <v>0</v>
      </c>
      <c r="BT467" s="776">
        <f t="shared" ca="1" si="451"/>
        <v>0</v>
      </c>
      <c r="BU467" s="783">
        <f t="shared" ca="1" si="452"/>
        <v>0</v>
      </c>
      <c r="BV467" s="783">
        <f t="shared" ca="1" si="453"/>
        <v>0</v>
      </c>
      <c r="BW467" s="1019">
        <f t="shared" ca="1" si="512"/>
        <v>0</v>
      </c>
      <c r="BX467" s="771" cm="1">
        <f t="array" aca="1" ref="BX467" ca="1">INDIRECT("'Definition of Typical Day'!"&amp; ADDRESS($D467+29*(BX$16-1),$E467))</f>
        <v>0</v>
      </c>
      <c r="BY467" s="771">
        <f t="shared" ca="1" si="513"/>
        <v>0</v>
      </c>
      <c r="BZ467" s="781">
        <f t="shared" ca="1" si="454"/>
        <v>0</v>
      </c>
      <c r="CA467" s="781">
        <f t="shared" ca="1" si="455"/>
        <v>0</v>
      </c>
      <c r="CB467" s="776">
        <f t="shared" ca="1" si="456"/>
        <v>0</v>
      </c>
      <c r="CC467" s="782">
        <f t="shared" si="457"/>
        <v>19</v>
      </c>
      <c r="CD467" s="782">
        <f t="shared" si="458"/>
        <v>15</v>
      </c>
      <c r="CE467" s="784" cm="1">
        <f t="array" aca="1" ref="CE467" ca="1">INDIRECT("'Definition of Typical Day'!"&amp;ADDRESS(CE$16,$E467))</f>
        <v>19</v>
      </c>
      <c r="CF467" s="232"/>
      <c r="CG467" s="232"/>
      <c r="CH467" s="776">
        <f t="shared" ca="1" si="459"/>
        <v>0</v>
      </c>
      <c r="CI467" s="806">
        <f t="shared" ca="1" si="460"/>
        <v>0</v>
      </c>
      <c r="CJ467" s="770">
        <f t="shared" ca="1" si="461"/>
        <v>0</v>
      </c>
      <c r="CK467" s="771">
        <f t="shared" ca="1" si="462"/>
        <v>0</v>
      </c>
      <c r="CL467" s="771">
        <f t="shared" ca="1" si="463"/>
        <v>0</v>
      </c>
      <c r="CM467" s="772">
        <f t="shared" ca="1" si="464"/>
        <v>0</v>
      </c>
      <c r="CN467" s="135"/>
      <c r="CO467" s="770">
        <f t="shared" ca="1" si="514"/>
        <v>1.05</v>
      </c>
      <c r="CP467" s="771">
        <f t="shared" ca="1" si="465"/>
        <v>0.02</v>
      </c>
      <c r="CQ467" s="771">
        <f t="shared" ca="1" si="466"/>
        <v>-2.5000000000000001E-2</v>
      </c>
      <c r="CR467" s="771">
        <f t="shared" ca="1" si="467"/>
        <v>0.95</v>
      </c>
      <c r="CS467" s="771">
        <f t="shared" ca="1" si="468"/>
        <v>0.03</v>
      </c>
      <c r="CT467" s="772">
        <f t="shared" ca="1" si="469"/>
        <v>0.02</v>
      </c>
      <c r="CU467" s="135"/>
      <c r="CV467" s="135"/>
      <c r="CW467" s="135"/>
      <c r="CX467" s="135"/>
      <c r="CY467" s="135"/>
      <c r="CZ467" s="135"/>
      <c r="DA467" s="135"/>
      <c r="DB467" s="135"/>
      <c r="DC467" s="135"/>
      <c r="DD467" s="135"/>
      <c r="DE467" s="135"/>
      <c r="DF467" s="135"/>
      <c r="DG467" s="135"/>
      <c r="DH467" s="135"/>
      <c r="DI467" s="135"/>
      <c r="DJ467" s="135"/>
      <c r="DK467" s="135"/>
      <c r="DL467" s="135"/>
      <c r="DX467" s="135"/>
      <c r="DY467" s="135"/>
      <c r="DZ467" s="135"/>
      <c r="EA467" s="135"/>
      <c r="EB467" s="135"/>
      <c r="EC467" s="135"/>
      <c r="ED467" s="135"/>
      <c r="EE467" s="135"/>
      <c r="EF467" s="135"/>
      <c r="EG467" s="135"/>
      <c r="EH467" s="135"/>
      <c r="EI467" s="135"/>
      <c r="EJ467" s="135"/>
      <c r="EK467" s="135"/>
      <c r="EL467" s="135"/>
      <c r="EM467" s="135"/>
      <c r="EN467" s="135"/>
      <c r="EO467" s="135"/>
      <c r="EP467" s="135"/>
      <c r="EQ467" s="135"/>
      <c r="ER467" s="135"/>
      <c r="ES467" s="135"/>
      <c r="ET467" s="135"/>
      <c r="EU467" s="135"/>
      <c r="EV467" s="135"/>
      <c r="EW467" s="135"/>
      <c r="EX467" s="135"/>
      <c r="EY467" s="135"/>
      <c r="EZ467" s="135"/>
      <c r="FA467" s="135"/>
      <c r="FB467" s="135"/>
      <c r="FC467" s="135"/>
      <c r="FD467" s="135"/>
      <c r="FE467" s="135"/>
      <c r="FF467" s="135"/>
      <c r="FG467" s="135"/>
    </row>
    <row r="468" spans="1:163" s="57" customFormat="1" ht="11.25" outlineLevel="1">
      <c r="A468" s="765">
        <f t="shared" si="515"/>
        <v>19</v>
      </c>
      <c r="B468" s="715" cm="1">
        <f t="array" aca="1" ref="B468" ca="1">INDIRECT("'Definition of Typical Day'!"&amp;ADDRESS(B$16,$E468))</f>
        <v>19</v>
      </c>
      <c r="C468" s="766">
        <f t="shared" si="516"/>
        <v>16</v>
      </c>
      <c r="D468" s="715">
        <f t="shared" si="516"/>
        <v>50</v>
      </c>
      <c r="E468" s="715">
        <f t="shared" si="444"/>
        <v>23</v>
      </c>
      <c r="F468" s="767" cm="1">
        <f t="array" aca="1" ref="F468" ca="1">INDIRECT("'Definition of Typical Day'!D"&amp;D468)</f>
        <v>16</v>
      </c>
      <c r="G468" s="767" cm="1">
        <f t="array" aca="1" ref="G468" ca="1">INDIRECT("'Definition of Typical Day'!"&amp;ADDRESS(13,E468))</f>
        <v>19</v>
      </c>
      <c r="H468" s="768" cm="1">
        <f t="array" aca="1" ref="H468" ca="1">INDIRECT("'Definition of Typical Day'!"&amp; ADDRESS($D468+28*(H$16-1),$E468))</f>
        <v>0</v>
      </c>
      <c r="I468" s="715" cm="1">
        <f t="array" aca="1" ref="I468" ca="1">INDIRECT("'Definition of Typical Day'!"&amp; ADDRESS($D468+29*(I$16-1),$E468))</f>
        <v>0</v>
      </c>
      <c r="J468" s="715">
        <f t="shared" ca="1" si="470"/>
        <v>0</v>
      </c>
      <c r="K468" s="785">
        <f t="shared" si="471"/>
        <v>28</v>
      </c>
      <c r="L468" s="786" cm="1">
        <f t="array" aca="1" ref="L468" ca="1">INDIRECT("'Definition of Typical Day'!"&amp; ADDRESS($D468+29*(L$16-1),$E468))</f>
        <v>0</v>
      </c>
      <c r="M468" s="768" cm="1">
        <f t="array" aca="1" ref="M468" ca="1">INDIRECT("'Definition of Typical Day'!"&amp; ADDRESS($D468+29*(M$16-1),$E468))</f>
        <v>0</v>
      </c>
      <c r="N468" s="715">
        <f t="shared" si="472"/>
        <v>3</v>
      </c>
      <c r="O468" s="715">
        <f t="shared" ca="1" si="473"/>
        <v>3</v>
      </c>
      <c r="P468" s="715" cm="1">
        <f t="array" aca="1" ref="P468" ca="1">INDIRECT("'Definition of Typical Day'!"&amp; ADDRESS($D468+29*(P$16-1),$E468))</f>
        <v>0</v>
      </c>
      <c r="Q468" s="787">
        <f t="shared" ca="1" si="474"/>
        <v>3</v>
      </c>
      <c r="R468" s="792">
        <f t="shared" ca="1" si="475"/>
        <v>3</v>
      </c>
      <c r="S468" s="769">
        <f t="shared" si="476"/>
        <v>3</v>
      </c>
      <c r="T468" s="769">
        <f t="shared" ca="1" si="477"/>
        <v>-0.5</v>
      </c>
      <c r="U468" s="769">
        <f t="shared" ca="1" si="478"/>
        <v>2.262</v>
      </c>
      <c r="V468" s="769">
        <f t="shared" ca="1" si="479"/>
        <v>0</v>
      </c>
      <c r="W468" s="769">
        <f t="shared" ca="1" si="480"/>
        <v>4.7620000000000005</v>
      </c>
      <c r="X468" s="794">
        <f t="shared" si="481"/>
        <v>3</v>
      </c>
      <c r="Y468" s="769">
        <f t="shared" ca="1" si="482"/>
        <v>0.54772255750516607</v>
      </c>
      <c r="Z468" s="769">
        <f t="shared" ca="1" si="483"/>
        <v>0</v>
      </c>
      <c r="AA468" s="795">
        <f t="shared" ca="1" si="484"/>
        <v>0</v>
      </c>
      <c r="AB468" s="769">
        <f t="shared" ca="1" si="485"/>
        <v>0</v>
      </c>
      <c r="AC468" s="769">
        <f t="shared" ca="1" si="486"/>
        <v>0</v>
      </c>
      <c r="AD468" s="769">
        <f t="shared" ca="1" si="487"/>
        <v>0</v>
      </c>
      <c r="AE468" s="794">
        <f t="shared" ca="1" si="488"/>
        <v>0</v>
      </c>
      <c r="AF468" s="769">
        <f t="shared" ca="1" si="489"/>
        <v>0</v>
      </c>
      <c r="AG468" s="769">
        <f t="shared" ca="1" si="490"/>
        <v>0</v>
      </c>
      <c r="AH468" s="799">
        <f t="shared" ca="1" si="491"/>
        <v>0</v>
      </c>
      <c r="AI468" s="801">
        <f t="shared" ca="1" si="492"/>
        <v>1</v>
      </c>
      <c r="AJ468" s="794">
        <f t="shared" ca="1" si="493"/>
        <v>0</v>
      </c>
      <c r="AK468" s="769">
        <f t="shared" ca="1" si="494"/>
        <v>0</v>
      </c>
      <c r="AL468" s="769">
        <f t="shared" ca="1" si="495"/>
        <v>0</v>
      </c>
      <c r="AM468" s="804">
        <f t="shared" ca="1" si="445"/>
        <v>0</v>
      </c>
      <c r="AN468" s="795">
        <f t="shared" ca="1" si="446"/>
        <v>0</v>
      </c>
      <c r="AO468" s="251"/>
      <c r="AP468" s="770">
        <f t="shared" si="496"/>
        <v>0</v>
      </c>
      <c r="AQ468" s="771">
        <f t="shared" ca="1" si="497"/>
        <v>0</v>
      </c>
      <c r="AR468" s="771">
        <f t="shared" ca="1" si="498"/>
        <v>0</v>
      </c>
      <c r="AS468" s="772">
        <f t="shared" ca="1" si="499"/>
        <v>0</v>
      </c>
      <c r="AT468" s="231"/>
      <c r="AU468" s="770">
        <f>'Main Results - IRR DC Operator'!$F$16</f>
        <v>2</v>
      </c>
      <c r="AV468" s="773">
        <f>'Main Results - IRR DC Operator'!$F$15</f>
        <v>1</v>
      </c>
      <c r="AW468" s="771">
        <f t="shared" ca="1" si="500"/>
        <v>0</v>
      </c>
      <c r="AX468" s="772">
        <f t="shared" si="501"/>
        <v>0</v>
      </c>
      <c r="AY468" s="231"/>
      <c r="AZ468" s="770" cm="1">
        <f t="array" aca="1" ref="AZ468" ca="1">INDIRECT("'Definition of Typical Day'!"&amp; ADDRESS($D468+29*(AZ$16-1),$E468))+$AZ$17</f>
        <v>11</v>
      </c>
      <c r="BA468" s="771" cm="1">
        <f t="array" aca="1" ref="BA468" ca="1">INDIRECT("'Definition of Typical Day'!"&amp; ADDRESS($D468+29*(BA$16-1),$E468))+$BA$17</f>
        <v>11</v>
      </c>
      <c r="BB468" s="772" cm="1">
        <f t="array" aca="1" ref="BB468" ca="1">INDIRECT("'Definition of Typical Day'!"&amp;ADDRESS(BB$16,$E468))</f>
        <v>0</v>
      </c>
      <c r="BC468" s="776" cm="1">
        <f t="array" aca="1" ref="BC468" ca="1">INDIRECT("'Definition of Typical Day'!"&amp; ADDRESS($D468+29*(BC$16-1),$E468))</f>
        <v>0</v>
      </c>
      <c r="BD468" s="777" cm="1">
        <f t="array" aca="1" ref="BD468" ca="1">INDIRECT("'Definition of Typical Day'!"&amp; ADDRESS($D468+29*(BD$16-1),$E468))</f>
        <v>0</v>
      </c>
      <c r="BE468" s="776">
        <f t="shared" si="502"/>
        <v>0</v>
      </c>
      <c r="BF468" s="771">
        <f t="shared" ca="1" si="503"/>
        <v>0</v>
      </c>
      <c r="BG468" s="771">
        <f t="shared" ca="1" si="504"/>
        <v>0</v>
      </c>
      <c r="BH468" s="771">
        <f t="shared" ca="1" si="505"/>
        <v>0</v>
      </c>
      <c r="BI468" s="776">
        <f t="shared" ca="1" si="506"/>
        <v>0</v>
      </c>
      <c r="BJ468" s="776">
        <f t="shared" ca="1" si="507"/>
        <v>0</v>
      </c>
      <c r="BK468" s="776">
        <f t="shared" ca="1" si="508"/>
        <v>0</v>
      </c>
      <c r="BL468" s="776">
        <f t="shared" ca="1" si="509"/>
        <v>0</v>
      </c>
      <c r="BM468" s="135"/>
      <c r="BN468" s="776">
        <f t="shared" ca="1" si="510"/>
        <v>0</v>
      </c>
      <c r="BO468" s="778">
        <f t="shared" ca="1" si="447"/>
        <v>0</v>
      </c>
      <c r="BP468" s="770">
        <f t="shared" ca="1" si="448"/>
        <v>0</v>
      </c>
      <c r="BQ468" s="771">
        <f t="shared" ca="1" si="449"/>
        <v>0</v>
      </c>
      <c r="BR468" s="771">
        <f t="shared" ca="1" si="450"/>
        <v>0</v>
      </c>
      <c r="BS468" s="776">
        <f t="shared" ca="1" si="511"/>
        <v>0</v>
      </c>
      <c r="BT468" s="776">
        <f t="shared" ca="1" si="451"/>
        <v>0</v>
      </c>
      <c r="BU468" s="783">
        <f t="shared" ca="1" si="452"/>
        <v>0</v>
      </c>
      <c r="BV468" s="783">
        <f t="shared" ca="1" si="453"/>
        <v>0</v>
      </c>
      <c r="BW468" s="1019">
        <f t="shared" ca="1" si="512"/>
        <v>0</v>
      </c>
      <c r="BX468" s="771" cm="1">
        <f t="array" aca="1" ref="BX468" ca="1">INDIRECT("'Definition of Typical Day'!"&amp; ADDRESS($D468+29*(BX$16-1),$E468))</f>
        <v>0</v>
      </c>
      <c r="BY468" s="771">
        <f t="shared" ca="1" si="513"/>
        <v>0</v>
      </c>
      <c r="BZ468" s="781">
        <f t="shared" ca="1" si="454"/>
        <v>0</v>
      </c>
      <c r="CA468" s="781">
        <f t="shared" ca="1" si="455"/>
        <v>0</v>
      </c>
      <c r="CB468" s="776">
        <f t="shared" ca="1" si="456"/>
        <v>0</v>
      </c>
      <c r="CC468" s="782">
        <f t="shared" si="457"/>
        <v>19</v>
      </c>
      <c r="CD468" s="782">
        <f t="shared" si="458"/>
        <v>16</v>
      </c>
      <c r="CE468" s="784" cm="1">
        <f t="array" aca="1" ref="CE468" ca="1">INDIRECT("'Definition of Typical Day'!"&amp;ADDRESS(CE$16,$E468))</f>
        <v>19</v>
      </c>
      <c r="CF468" s="232"/>
      <c r="CG468" s="232"/>
      <c r="CH468" s="776">
        <f t="shared" ca="1" si="459"/>
        <v>0</v>
      </c>
      <c r="CI468" s="806">
        <f t="shared" ca="1" si="460"/>
        <v>0</v>
      </c>
      <c r="CJ468" s="770">
        <f t="shared" ca="1" si="461"/>
        <v>0</v>
      </c>
      <c r="CK468" s="771">
        <f t="shared" ca="1" si="462"/>
        <v>0</v>
      </c>
      <c r="CL468" s="771">
        <f t="shared" ca="1" si="463"/>
        <v>0</v>
      </c>
      <c r="CM468" s="772">
        <f t="shared" ca="1" si="464"/>
        <v>0</v>
      </c>
      <c r="CN468" s="135"/>
      <c r="CO468" s="770">
        <f t="shared" ca="1" si="514"/>
        <v>1.05</v>
      </c>
      <c r="CP468" s="771">
        <f t="shared" ca="1" si="465"/>
        <v>0.02</v>
      </c>
      <c r="CQ468" s="771">
        <f t="shared" ca="1" si="466"/>
        <v>-2.5000000000000001E-2</v>
      </c>
      <c r="CR468" s="771">
        <f t="shared" ca="1" si="467"/>
        <v>0.95</v>
      </c>
      <c r="CS468" s="771">
        <f t="shared" ca="1" si="468"/>
        <v>0.03</v>
      </c>
      <c r="CT468" s="772">
        <f t="shared" ca="1" si="469"/>
        <v>0.02</v>
      </c>
      <c r="CU468" s="135"/>
      <c r="CV468" s="135"/>
      <c r="CW468" s="135"/>
      <c r="CX468" s="135"/>
      <c r="CY468" s="135"/>
      <c r="CZ468" s="135"/>
      <c r="DA468" s="135"/>
      <c r="DB468" s="135"/>
      <c r="DC468" s="135"/>
      <c r="DD468" s="135"/>
      <c r="DE468" s="135"/>
      <c r="DF468" s="135"/>
      <c r="DG468" s="135"/>
      <c r="DH468" s="135"/>
      <c r="DI468" s="135"/>
      <c r="DJ468" s="135"/>
      <c r="DK468" s="135"/>
      <c r="DL468" s="135"/>
      <c r="DX468" s="135"/>
      <c r="DY468" s="135"/>
      <c r="DZ468" s="135"/>
      <c r="EA468" s="135"/>
      <c r="EB468" s="135"/>
      <c r="EC468" s="135"/>
      <c r="ED468" s="135"/>
      <c r="EE468" s="135"/>
      <c r="EF468" s="135"/>
      <c r="EG468" s="135"/>
      <c r="EH468" s="135"/>
      <c r="EI468" s="135"/>
      <c r="EJ468" s="135"/>
      <c r="EK468" s="135"/>
      <c r="EL468" s="135"/>
      <c r="EM468" s="135"/>
      <c r="EN468" s="135"/>
      <c r="EO468" s="135"/>
      <c r="EP468" s="135"/>
      <c r="EQ468" s="135"/>
      <c r="ER468" s="135"/>
      <c r="ES468" s="135"/>
      <c r="ET468" s="135"/>
      <c r="EU468" s="135"/>
      <c r="EV468" s="135"/>
      <c r="EW468" s="135"/>
      <c r="EX468" s="135"/>
      <c r="EY468" s="135"/>
      <c r="EZ468" s="135"/>
      <c r="FA468" s="135"/>
      <c r="FB468" s="135"/>
      <c r="FC468" s="135"/>
      <c r="FD468" s="135"/>
      <c r="FE468" s="135"/>
      <c r="FF468" s="135"/>
      <c r="FG468" s="135"/>
    </row>
    <row r="469" spans="1:163" s="57" customFormat="1" ht="11.25" outlineLevel="1">
      <c r="A469" s="765">
        <f t="shared" si="515"/>
        <v>19</v>
      </c>
      <c r="B469" s="715" cm="1">
        <f t="array" aca="1" ref="B469" ca="1">INDIRECT("'Definition of Typical Day'!"&amp;ADDRESS(B$16,$E469))</f>
        <v>19</v>
      </c>
      <c r="C469" s="766">
        <f t="shared" si="516"/>
        <v>17</v>
      </c>
      <c r="D469" s="715">
        <f t="shared" si="516"/>
        <v>51</v>
      </c>
      <c r="E469" s="715">
        <f t="shared" ref="E469:E500" si="517">A469+4</f>
        <v>23</v>
      </c>
      <c r="F469" s="767" cm="1">
        <f t="array" aca="1" ref="F469" ca="1">INDIRECT("'Definition of Typical Day'!D"&amp;D469)</f>
        <v>17</v>
      </c>
      <c r="G469" s="767" cm="1">
        <f t="array" aca="1" ref="G469" ca="1">INDIRECT("'Definition of Typical Day'!"&amp;ADDRESS(13,E469))</f>
        <v>19</v>
      </c>
      <c r="H469" s="768" cm="1">
        <f t="array" aca="1" ref="H469" ca="1">INDIRECT("'Definition of Typical Day'!"&amp; ADDRESS($D469+28*(H$16-1),$E469))</f>
        <v>0</v>
      </c>
      <c r="I469" s="715" cm="1">
        <f t="array" aca="1" ref="I469" ca="1">INDIRECT("'Definition of Typical Day'!"&amp; ADDRESS($D469+29*(I$16-1),$E469))</f>
        <v>0</v>
      </c>
      <c r="J469" s="715">
        <f t="shared" ca="1" si="470"/>
        <v>0</v>
      </c>
      <c r="K469" s="785">
        <f t="shared" si="471"/>
        <v>28</v>
      </c>
      <c r="L469" s="786" cm="1">
        <f t="array" aca="1" ref="L469" ca="1">INDIRECT("'Definition of Typical Day'!"&amp; ADDRESS($D469+29*(L$16-1),$E469))</f>
        <v>0</v>
      </c>
      <c r="M469" s="768" cm="1">
        <f t="array" aca="1" ref="M469" ca="1">INDIRECT("'Definition of Typical Day'!"&amp; ADDRESS($D469+29*(M$16-1),$E469))</f>
        <v>0</v>
      </c>
      <c r="N469" s="715">
        <f t="shared" si="472"/>
        <v>3</v>
      </c>
      <c r="O469" s="715">
        <f t="shared" ca="1" si="473"/>
        <v>3</v>
      </c>
      <c r="P469" s="715" cm="1">
        <f t="array" aca="1" ref="P469" ca="1">INDIRECT("'Definition of Typical Day'!"&amp; ADDRESS($D469+29*(P$16-1),$E469))</f>
        <v>0</v>
      </c>
      <c r="Q469" s="787">
        <f t="shared" ca="1" si="474"/>
        <v>3</v>
      </c>
      <c r="R469" s="792">
        <f t="shared" ca="1" si="475"/>
        <v>3</v>
      </c>
      <c r="S469" s="769">
        <f t="shared" si="476"/>
        <v>3</v>
      </c>
      <c r="T469" s="769">
        <f t="shared" ca="1" si="477"/>
        <v>-0.5</v>
      </c>
      <c r="U469" s="769">
        <f t="shared" ca="1" si="478"/>
        <v>2.262</v>
      </c>
      <c r="V469" s="769">
        <f t="shared" ca="1" si="479"/>
        <v>0</v>
      </c>
      <c r="W469" s="769">
        <f t="shared" ca="1" si="480"/>
        <v>4.7620000000000005</v>
      </c>
      <c r="X469" s="794">
        <f t="shared" si="481"/>
        <v>3</v>
      </c>
      <c r="Y469" s="769">
        <f t="shared" ca="1" si="482"/>
        <v>0.54772255750516607</v>
      </c>
      <c r="Z469" s="769">
        <f t="shared" ca="1" si="483"/>
        <v>0</v>
      </c>
      <c r="AA469" s="795">
        <f t="shared" ca="1" si="484"/>
        <v>0</v>
      </c>
      <c r="AB469" s="769">
        <f t="shared" ca="1" si="485"/>
        <v>0</v>
      </c>
      <c r="AC469" s="769">
        <f t="shared" ca="1" si="486"/>
        <v>0</v>
      </c>
      <c r="AD469" s="769">
        <f t="shared" ca="1" si="487"/>
        <v>0</v>
      </c>
      <c r="AE469" s="794">
        <f t="shared" ca="1" si="488"/>
        <v>0</v>
      </c>
      <c r="AF469" s="769">
        <f t="shared" ca="1" si="489"/>
        <v>0</v>
      </c>
      <c r="AG469" s="769">
        <f t="shared" ca="1" si="490"/>
        <v>0</v>
      </c>
      <c r="AH469" s="799">
        <f t="shared" ca="1" si="491"/>
        <v>0</v>
      </c>
      <c r="AI469" s="801">
        <f t="shared" ca="1" si="492"/>
        <v>1</v>
      </c>
      <c r="AJ469" s="794">
        <f t="shared" ca="1" si="493"/>
        <v>0</v>
      </c>
      <c r="AK469" s="769">
        <f t="shared" ca="1" si="494"/>
        <v>0</v>
      </c>
      <c r="AL469" s="769">
        <f t="shared" ca="1" si="495"/>
        <v>0</v>
      </c>
      <c r="AM469" s="804">
        <f t="shared" ref="AM469:AM500" ca="1" si="518">IF($BY469=1,$AJ469,0)*$BD469/AM$16</f>
        <v>0</v>
      </c>
      <c r="AN469" s="795">
        <f t="shared" ref="AN469:AN500" ca="1" si="519">(H469-IF($BY469=1,$AJ469,0))*$BD469/AN$16</f>
        <v>0</v>
      </c>
      <c r="AO469" s="251"/>
      <c r="AP469" s="770">
        <f t="shared" si="496"/>
        <v>0</v>
      </c>
      <c r="AQ469" s="771">
        <f t="shared" ca="1" si="497"/>
        <v>0</v>
      </c>
      <c r="AR469" s="771">
        <f t="shared" ca="1" si="498"/>
        <v>0</v>
      </c>
      <c r="AS469" s="772">
        <f t="shared" ca="1" si="499"/>
        <v>0</v>
      </c>
      <c r="AT469" s="231"/>
      <c r="AU469" s="770">
        <f>'Main Results - IRR DC Operator'!$F$16</f>
        <v>2</v>
      </c>
      <c r="AV469" s="773">
        <f>'Main Results - IRR DC Operator'!$F$15</f>
        <v>1</v>
      </c>
      <c r="AW469" s="771">
        <f t="shared" ca="1" si="500"/>
        <v>0</v>
      </c>
      <c r="AX469" s="772">
        <f t="shared" si="501"/>
        <v>0</v>
      </c>
      <c r="AY469" s="231"/>
      <c r="AZ469" s="770" cm="1">
        <f t="array" aca="1" ref="AZ469" ca="1">INDIRECT("'Definition of Typical Day'!"&amp; ADDRESS($D469+29*(AZ$16-1),$E469))+$AZ$17</f>
        <v>11</v>
      </c>
      <c r="BA469" s="771" cm="1">
        <f t="array" aca="1" ref="BA469" ca="1">INDIRECT("'Definition of Typical Day'!"&amp; ADDRESS($D469+29*(BA$16-1),$E469))+$BA$17</f>
        <v>11</v>
      </c>
      <c r="BB469" s="772" cm="1">
        <f t="array" aca="1" ref="BB469" ca="1">INDIRECT("'Definition of Typical Day'!"&amp;ADDRESS(BB$16,$E469))</f>
        <v>0</v>
      </c>
      <c r="BC469" s="776" cm="1">
        <f t="array" aca="1" ref="BC469" ca="1">INDIRECT("'Definition of Typical Day'!"&amp; ADDRESS($D469+29*(BC$16-1),$E469))</f>
        <v>0</v>
      </c>
      <c r="BD469" s="777" cm="1">
        <f t="array" aca="1" ref="BD469" ca="1">INDIRECT("'Definition of Typical Day'!"&amp; ADDRESS($D469+29*(BD$16-1),$E469))</f>
        <v>0</v>
      </c>
      <c r="BE469" s="776">
        <f t="shared" si="502"/>
        <v>0</v>
      </c>
      <c r="BF469" s="771">
        <f t="shared" ca="1" si="503"/>
        <v>0</v>
      </c>
      <c r="BG469" s="771">
        <f t="shared" ca="1" si="504"/>
        <v>0</v>
      </c>
      <c r="BH469" s="771">
        <f t="shared" ca="1" si="505"/>
        <v>0</v>
      </c>
      <c r="BI469" s="776">
        <f t="shared" ca="1" si="506"/>
        <v>0</v>
      </c>
      <c r="BJ469" s="776">
        <f t="shared" ca="1" si="507"/>
        <v>0</v>
      </c>
      <c r="BK469" s="776">
        <f t="shared" ca="1" si="508"/>
        <v>0</v>
      </c>
      <c r="BL469" s="776">
        <f t="shared" ca="1" si="509"/>
        <v>0</v>
      </c>
      <c r="BM469" s="135"/>
      <c r="BN469" s="776">
        <f t="shared" ca="1" si="510"/>
        <v>0</v>
      </c>
      <c r="BO469" s="778">
        <f t="shared" ref="BO469:BO500" ca="1" si="520">BN469/MAX(0.0001,AH469)</f>
        <v>0</v>
      </c>
      <c r="BP469" s="770">
        <f t="shared" ref="BP469:BP500" ca="1" si="521">SUM(AX469,BF469:BH469)</f>
        <v>0</v>
      </c>
      <c r="BQ469" s="771">
        <f t="shared" ref="BQ469:BQ500" ca="1" si="522">$BQ$16*AH469</f>
        <v>0</v>
      </c>
      <c r="BR469" s="771">
        <f t="shared" ref="BR469:BR500" ca="1" si="523">$BR$16*AD469</f>
        <v>0</v>
      </c>
      <c r="BS469" s="776">
        <f t="shared" ca="1" si="511"/>
        <v>0</v>
      </c>
      <c r="BT469" s="776">
        <f t="shared" ref="BT469:BT500" ca="1" si="524">BP469+BQ469+BR469</f>
        <v>0</v>
      </c>
      <c r="BU469" s="783">
        <f t="shared" ref="BU469:BU500" ca="1" si="525">BT469/MAX(0.0001,AH469)</f>
        <v>0</v>
      </c>
      <c r="BV469" s="783">
        <f t="shared" ref="BV469:BV500" ca="1" si="526">(BT469-BL469)/MAX(0.0001,AH469)</f>
        <v>0</v>
      </c>
      <c r="BW469" s="1019">
        <f t="shared" ca="1" si="512"/>
        <v>0</v>
      </c>
      <c r="BX469" s="771" cm="1">
        <f t="array" aca="1" ref="BX469" ca="1">INDIRECT("'Definition of Typical Day'!"&amp; ADDRESS($D469+29*(BX$16-1),$E469))</f>
        <v>0</v>
      </c>
      <c r="BY469" s="771">
        <f t="shared" ca="1" si="513"/>
        <v>0</v>
      </c>
      <c r="BZ469" s="781">
        <f t="shared" ref="BZ469:BZ500" ca="1" si="527">IF(AND(AJ469&gt;0,BY469&gt;0),1,0)</f>
        <v>0</v>
      </c>
      <c r="CA469" s="781">
        <f t="shared" ref="CA469:CA500" ca="1" si="528">IF(BY469&gt;0,(AJ469+AK469)/X$16,0)</f>
        <v>0</v>
      </c>
      <c r="CB469" s="776">
        <f t="shared" ref="CB469:CB500" ca="1" si="529">BX469*AH469</f>
        <v>0</v>
      </c>
      <c r="CC469" s="782">
        <f t="shared" ref="CC469:CC500" si="530">A469</f>
        <v>19</v>
      </c>
      <c r="CD469" s="782">
        <f t="shared" ref="CD469:CD500" si="531">C469</f>
        <v>17</v>
      </c>
      <c r="CE469" s="784" cm="1">
        <f t="array" aca="1" ref="CE469" ca="1">INDIRECT("'Definition of Typical Day'!"&amp;ADDRESS(CE$16,$E469))</f>
        <v>19</v>
      </c>
      <c r="CF469" s="232"/>
      <c r="CG469" s="232"/>
      <c r="CH469" s="776">
        <f t="shared" ref="CH469:CH500" ca="1" si="532">H469</f>
        <v>0</v>
      </c>
      <c r="CI469" s="806">
        <f t="shared" ref="CI469:CI500" ca="1" si="533">L469</f>
        <v>0</v>
      </c>
      <c r="CJ469" s="770">
        <f t="shared" ref="CJ469:CJ500" ca="1" si="534">AH469*$BY469</f>
        <v>0</v>
      </c>
      <c r="CK469" s="771">
        <f t="shared" ref="CK469:CK500" ca="1" si="535">AJ469*$BY469</f>
        <v>0</v>
      </c>
      <c r="CL469" s="771">
        <f t="shared" ref="CL469:CL500" ca="1" si="536">AK469*$BY469</f>
        <v>0</v>
      </c>
      <c r="CM469" s="772">
        <f t="shared" ref="CM469:CM500" ca="1" si="537">AL469*$BY469</f>
        <v>0</v>
      </c>
      <c r="CN469" s="135"/>
      <c r="CO469" s="770">
        <f t="shared" ca="1" si="514"/>
        <v>1.05</v>
      </c>
      <c r="CP469" s="771">
        <f t="shared" ref="CP469:CP500" ca="1" si="538">IF(L469&lt;0.01,2%,98%)</f>
        <v>0.02</v>
      </c>
      <c r="CQ469" s="771">
        <f t="shared" ref="CQ469:CQ500" ca="1" si="539">IF(H469&lt;0.01,-2.5%,96%)</f>
        <v>-2.5000000000000001E-2</v>
      </c>
      <c r="CR469" s="771">
        <f t="shared" ref="CR469:CR500" ca="1" si="540">IF(OR(AB469=0,AD469&gt;0),95%,5%)</f>
        <v>0.95</v>
      </c>
      <c r="CS469" s="771">
        <f t="shared" ref="CS469:CS500" ca="1" si="541">IF(AJ469&gt;0.01,102%,3%)</f>
        <v>0.03</v>
      </c>
      <c r="CT469" s="772">
        <f t="shared" ref="CT469:CT500" ca="1" si="542">IF(AL469&gt;0.01,101%,2%)</f>
        <v>0.02</v>
      </c>
      <c r="CU469" s="135"/>
      <c r="CV469" s="135"/>
      <c r="CW469" s="135"/>
      <c r="CX469" s="135"/>
      <c r="CY469" s="135"/>
      <c r="CZ469" s="135"/>
      <c r="DA469" s="135"/>
      <c r="DB469" s="135"/>
      <c r="DC469" s="135"/>
      <c r="DD469" s="135"/>
      <c r="DE469" s="135"/>
      <c r="DF469" s="135"/>
      <c r="DG469" s="135"/>
      <c r="DH469" s="135"/>
      <c r="DI469" s="135"/>
      <c r="DJ469" s="135"/>
      <c r="DK469" s="135"/>
      <c r="DL469" s="135"/>
      <c r="DX469" s="135"/>
      <c r="DY469" s="135"/>
      <c r="DZ469" s="135"/>
      <c r="EA469" s="135"/>
      <c r="EB469" s="135"/>
      <c r="EC469" s="135"/>
      <c r="ED469" s="135"/>
      <c r="EE469" s="135"/>
      <c r="EF469" s="135"/>
      <c r="EG469" s="135"/>
      <c r="EH469" s="135"/>
      <c r="EI469" s="135"/>
      <c r="EJ469" s="135"/>
      <c r="EK469" s="135"/>
      <c r="EL469" s="135"/>
      <c r="EM469" s="135"/>
      <c r="EN469" s="135"/>
      <c r="EO469" s="135"/>
      <c r="EP469" s="135"/>
      <c r="EQ469" s="135"/>
      <c r="ER469" s="135"/>
      <c r="ES469" s="135"/>
      <c r="ET469" s="135"/>
      <c r="EU469" s="135"/>
      <c r="EV469" s="135"/>
      <c r="EW469" s="135"/>
      <c r="EX469" s="135"/>
      <c r="EY469" s="135"/>
      <c r="EZ469" s="135"/>
      <c r="FA469" s="135"/>
      <c r="FB469" s="135"/>
      <c r="FC469" s="135"/>
      <c r="FD469" s="135"/>
      <c r="FE469" s="135"/>
      <c r="FF469" s="135"/>
      <c r="FG469" s="135"/>
    </row>
    <row r="470" spans="1:163" s="57" customFormat="1" ht="11.25" outlineLevel="1">
      <c r="A470" s="765">
        <f t="shared" si="515"/>
        <v>19</v>
      </c>
      <c r="B470" s="715" cm="1">
        <f t="array" aca="1" ref="B470" ca="1">INDIRECT("'Definition of Typical Day'!"&amp;ADDRESS(B$16,$E470))</f>
        <v>19</v>
      </c>
      <c r="C470" s="766">
        <f t="shared" si="516"/>
        <v>18</v>
      </c>
      <c r="D470" s="715">
        <f t="shared" si="516"/>
        <v>52</v>
      </c>
      <c r="E470" s="715">
        <f t="shared" si="517"/>
        <v>23</v>
      </c>
      <c r="F470" s="767" cm="1">
        <f t="array" aca="1" ref="F470" ca="1">INDIRECT("'Definition of Typical Day'!D"&amp;D470)</f>
        <v>18</v>
      </c>
      <c r="G470" s="767" cm="1">
        <f t="array" aca="1" ref="G470" ca="1">INDIRECT("'Definition of Typical Day'!"&amp;ADDRESS(13,E470))</f>
        <v>19</v>
      </c>
      <c r="H470" s="768" cm="1">
        <f t="array" aca="1" ref="H470" ca="1">INDIRECT("'Definition of Typical Day'!"&amp; ADDRESS($D470+28*(H$16-1),$E470))</f>
        <v>0</v>
      </c>
      <c r="I470" s="715" cm="1">
        <f t="array" aca="1" ref="I470" ca="1">INDIRECT("'Definition of Typical Day'!"&amp; ADDRESS($D470+29*(I$16-1),$E470))</f>
        <v>0</v>
      </c>
      <c r="J470" s="715">
        <f t="shared" ref="J470:J500" ca="1" si="543">IF(I470&lt;K470,0,I470-$J$16)</f>
        <v>0</v>
      </c>
      <c r="K470" s="785">
        <f t="shared" ref="K470:K500" si="544">$K$16</f>
        <v>28</v>
      </c>
      <c r="L470" s="786" cm="1">
        <f t="array" aca="1" ref="L470" ca="1">INDIRECT("'Definition of Typical Day'!"&amp; ADDRESS($D470+29*(L$16-1),$E470))</f>
        <v>0</v>
      </c>
      <c r="M470" s="768" cm="1">
        <f t="array" aca="1" ref="M470" ca="1">INDIRECT("'Definition of Typical Day'!"&amp; ADDRESS($D470+29*(M$16-1),$E470))</f>
        <v>0</v>
      </c>
      <c r="N470" s="715">
        <f t="shared" ref="N470:N500" si="545">$N$16</f>
        <v>3</v>
      </c>
      <c r="O470" s="715">
        <f t="shared" ref="O470:O500" ca="1" si="546">N470+M470</f>
        <v>3</v>
      </c>
      <c r="P470" s="715" cm="1">
        <f t="array" aca="1" ref="P470" ca="1">INDIRECT("'Definition of Typical Day'!"&amp; ADDRESS($D470+29*(P$16-1),$E470))</f>
        <v>0</v>
      </c>
      <c r="Q470" s="787">
        <f t="shared" ref="Q470:Q500" ca="1" si="547">P470+N470</f>
        <v>3</v>
      </c>
      <c r="R470" s="792">
        <f t="shared" ref="R470:R500" ca="1" si="548">MIN($R$16,O470)</f>
        <v>3</v>
      </c>
      <c r="S470" s="769">
        <f t="shared" ref="S470:S500" si="549">$S$16</f>
        <v>3</v>
      </c>
      <c r="T470" s="769">
        <f t="shared" ref="T470:T500" ca="1" si="550">ABS($T$16)*(J470-$T$17)</f>
        <v>-0.5</v>
      </c>
      <c r="U470" s="769">
        <f t="shared" ref="U470:U500" ca="1" si="551">ABS($U$16)*($U$17-R470)</f>
        <v>2.262</v>
      </c>
      <c r="V470" s="769">
        <f t="shared" ref="V470:V500" ca="1" si="552">($V$16)*(Q470-$V$17)</f>
        <v>0</v>
      </c>
      <c r="W470" s="769">
        <f t="shared" ref="W470:W500" ca="1" si="553">SUM(S470:V470)</f>
        <v>4.7620000000000005</v>
      </c>
      <c r="X470" s="794">
        <f t="shared" ref="X470:X500" si="554">$X$16</f>
        <v>3</v>
      </c>
      <c r="Y470" s="769">
        <f t="shared" ref="Y470:Y500" ca="1" si="555">X470*MIN(1,(MAX(1,R470-Q470)/$Y$16)^$Y$17)</f>
        <v>0.54772255750516607</v>
      </c>
      <c r="Z470" s="769">
        <f t="shared" ref="Z470:Z500" ca="1" si="556">MIN(H470*W470/(W470-1),Y470)</f>
        <v>0</v>
      </c>
      <c r="AA470" s="795">
        <f t="shared" ref="AA470:AA500" ca="1" si="557">(0.00001 + AD470)/(0.00001+AC470)*Z470</f>
        <v>0</v>
      </c>
      <c r="AB470" s="769">
        <f t="shared" ref="AB470:AB500" ca="1" si="558">MAX(0, O470-R470)</f>
        <v>0</v>
      </c>
      <c r="AC470" s="769">
        <f t="shared" ref="AC470:AC500" ca="1" si="559">(AB470/MAX(1,R470-Q470)*Z470)</f>
        <v>0</v>
      </c>
      <c r="AD470" s="769">
        <f t="shared" ref="AD470:AD500" ca="1" si="560">MIN(AC470,$AD$16)</f>
        <v>0</v>
      </c>
      <c r="AE470" s="794">
        <f t="shared" ref="AE470:AE500" ca="1" si="561">AD470+AA470</f>
        <v>0</v>
      </c>
      <c r="AF470" s="769">
        <f t="shared" ref="AF470:AF500" ca="1" si="562">AE470*$AF$16/100</f>
        <v>0</v>
      </c>
      <c r="AG470" s="769">
        <f t="shared" ref="AG470:AG500" ca="1" si="563">AE470-AF470</f>
        <v>0</v>
      </c>
      <c r="AH470" s="799">
        <f t="shared" ref="AH470:AH500" ca="1" si="564">MIN(AG470,L470)</f>
        <v>0</v>
      </c>
      <c r="AI470" s="801">
        <f t="shared" ref="AI470:AI500" ca="1" si="565">(0.00001 + AH470)/(0.00001+AG470)</f>
        <v>1</v>
      </c>
      <c r="AJ470" s="794">
        <f t="shared" ref="AJ470:AJ500" ca="1" si="566">AA470*(W470-1)/(W470)*$AI470</f>
        <v>0</v>
      </c>
      <c r="AK470" s="769">
        <f t="shared" ref="AK470:AK500" ca="1" si="567">AA470/(W470)*$AI470</f>
        <v>0</v>
      </c>
      <c r="AL470" s="769">
        <f t="shared" ref="AL470:AL500" ca="1" si="568">AD470/MAX(0.001, $AL$16/100)*$AI470</f>
        <v>0</v>
      </c>
      <c r="AM470" s="804">
        <f t="shared" ca="1" si="518"/>
        <v>0</v>
      </c>
      <c r="AN470" s="795">
        <f t="shared" ca="1" si="519"/>
        <v>0</v>
      </c>
      <c r="AO470" s="251"/>
      <c r="AP470" s="770">
        <f t="shared" ref="AP470:AP500" si="569">$AP$16</f>
        <v>0</v>
      </c>
      <c r="AQ470" s="771">
        <f t="shared" ref="AQ470:AQ500" ca="1" si="570">AP470*H470</f>
        <v>0</v>
      </c>
      <c r="AR470" s="771">
        <f t="shared" ref="AR470:AR500" ca="1" si="571">$AR$16*AJ470</f>
        <v>0</v>
      </c>
      <c r="AS470" s="772">
        <f t="shared" ref="AS470:AS500" ca="1" si="572">AR470+AQ470</f>
        <v>0</v>
      </c>
      <c r="AT470" s="231"/>
      <c r="AU470" s="770">
        <f>'Main Results - IRR DC Operator'!$F$16</f>
        <v>2</v>
      </c>
      <c r="AV470" s="773">
        <f>'Main Results - IRR DC Operator'!$F$15</f>
        <v>1</v>
      </c>
      <c r="AW470" s="771">
        <f t="shared" ref="AW470:AW500" ca="1" si="573">IF(AV470=1,H470*AU470,0)</f>
        <v>0</v>
      </c>
      <c r="AX470" s="772">
        <f t="shared" ref="AX470:AX500" si="574">IF(AV470=2,AJ470*AU470,0)</f>
        <v>0</v>
      </c>
      <c r="AY470" s="231"/>
      <c r="AZ470" s="770" cm="1">
        <f t="array" aca="1" ref="AZ470" ca="1">INDIRECT("'Definition of Typical Day'!"&amp; ADDRESS($D470+29*(AZ$16-1),$E470))+$AZ$17</f>
        <v>11</v>
      </c>
      <c r="BA470" s="771" cm="1">
        <f t="array" aca="1" ref="BA470" ca="1">INDIRECT("'Definition of Typical Day'!"&amp; ADDRESS($D470+29*(BA$16-1),$E470))+$BA$17</f>
        <v>11</v>
      </c>
      <c r="BB470" s="772" cm="1">
        <f t="array" aca="1" ref="BB470" ca="1">INDIRECT("'Definition of Typical Day'!"&amp;ADDRESS(BB$16,$E470))</f>
        <v>0</v>
      </c>
      <c r="BC470" s="776" cm="1">
        <f t="array" aca="1" ref="BC470" ca="1">INDIRECT("'Definition of Typical Day'!"&amp; ADDRESS($D470+29*(BC$16-1),$E470))</f>
        <v>0</v>
      </c>
      <c r="BD470" s="777" cm="1">
        <f t="array" aca="1" ref="BD470" ca="1">INDIRECT("'Definition of Typical Day'!"&amp; ADDRESS($D470+29*(BD$16-1),$E470))</f>
        <v>0</v>
      </c>
      <c r="BE470" s="776">
        <f t="shared" ref="BE470:BE500" si="575">$BE$16</f>
        <v>0</v>
      </c>
      <c r="BF470" s="771">
        <f t="shared" ref="BF470:BF500" ca="1" si="576">AZ470*AK470</f>
        <v>0</v>
      </c>
      <c r="BG470" s="771">
        <f t="shared" ref="BG470:BG500" ca="1" si="577">AE470*BG$16/100*BB470*AI470</f>
        <v>0</v>
      </c>
      <c r="BH470" s="771">
        <f t="shared" ref="BH470:BH500" ca="1" si="578">BA470*AL470</f>
        <v>0</v>
      </c>
      <c r="BI470" s="776">
        <f t="shared" ref="BI470:BI500" ca="1" si="579">AM470*$BC470</f>
        <v>0</v>
      </c>
      <c r="BJ470" s="776">
        <f t="shared" ref="BJ470:BJ500" ca="1" si="580">AN470*$BC470</f>
        <v>0</v>
      </c>
      <c r="BK470" s="776">
        <f t="shared" ref="BK470:BK500" ca="1" si="581">BE470*AJ470</f>
        <v>0</v>
      </c>
      <c r="BL470" s="776">
        <f t="shared" ref="BL470:BL500" ca="1" si="582">MIN(MAX(SUM(BF470:BG470),0), BK470)</f>
        <v>0</v>
      </c>
      <c r="BM470" s="135"/>
      <c r="BN470" s="776">
        <f t="shared" ref="BN470:BN500" ca="1" si="583">SUM(AW470:AX470,BF470:BH470)-BL470</f>
        <v>0</v>
      </c>
      <c r="BO470" s="778">
        <f t="shared" ca="1" si="520"/>
        <v>0</v>
      </c>
      <c r="BP470" s="770">
        <f t="shared" ca="1" si="521"/>
        <v>0</v>
      </c>
      <c r="BQ470" s="771">
        <f t="shared" ca="1" si="522"/>
        <v>0</v>
      </c>
      <c r="BR470" s="771">
        <f t="shared" ca="1" si="523"/>
        <v>0</v>
      </c>
      <c r="BS470" s="776">
        <f t="shared" ref="BS470:BS500" ca="1" si="584">BN470+BQ470+BR470</f>
        <v>0</v>
      </c>
      <c r="BT470" s="776">
        <f t="shared" ca="1" si="524"/>
        <v>0</v>
      </c>
      <c r="BU470" s="783">
        <f t="shared" ca="1" si="525"/>
        <v>0</v>
      </c>
      <c r="BV470" s="783">
        <f t="shared" ca="1" si="526"/>
        <v>0</v>
      </c>
      <c r="BW470" s="1019">
        <f t="shared" ref="BW470:BW500" ca="1" si="585">IF(BW$16=1,BV470,BU470)</f>
        <v>0</v>
      </c>
      <c r="BX470" s="771" cm="1">
        <f t="array" aca="1" ref="BX470" ca="1">INDIRECT("'Definition of Typical Day'!"&amp; ADDRESS($D470+29*(BX$16-1),$E470))</f>
        <v>0</v>
      </c>
      <c r="BY470" s="771">
        <f t="shared" ref="BY470:BY500" ca="1" si="586">IF(OR(BW470&gt;BX470,SUM(AJ470:AL470)&lt;0.01),0%,100%)</f>
        <v>0</v>
      </c>
      <c r="BZ470" s="781">
        <f t="shared" ca="1" si="527"/>
        <v>0</v>
      </c>
      <c r="CA470" s="781">
        <f t="shared" ca="1" si="528"/>
        <v>0</v>
      </c>
      <c r="CB470" s="776">
        <f t="shared" ca="1" si="529"/>
        <v>0</v>
      </c>
      <c r="CC470" s="782">
        <f t="shared" si="530"/>
        <v>19</v>
      </c>
      <c r="CD470" s="782">
        <f t="shared" si="531"/>
        <v>18</v>
      </c>
      <c r="CE470" s="784" cm="1">
        <f t="array" aca="1" ref="CE470" ca="1">INDIRECT("'Definition of Typical Day'!"&amp;ADDRESS(CE$16,$E470))</f>
        <v>19</v>
      </c>
      <c r="CF470" s="232"/>
      <c r="CG470" s="232"/>
      <c r="CH470" s="776">
        <f t="shared" ca="1" si="532"/>
        <v>0</v>
      </c>
      <c r="CI470" s="806">
        <f t="shared" ca="1" si="533"/>
        <v>0</v>
      </c>
      <c r="CJ470" s="770">
        <f t="shared" ca="1" si="534"/>
        <v>0</v>
      </c>
      <c r="CK470" s="771">
        <f t="shared" ca="1" si="535"/>
        <v>0</v>
      </c>
      <c r="CL470" s="771">
        <f t="shared" ca="1" si="536"/>
        <v>0</v>
      </c>
      <c r="CM470" s="772">
        <f t="shared" ca="1" si="537"/>
        <v>0</v>
      </c>
      <c r="CN470" s="135"/>
      <c r="CO470" s="770">
        <f t="shared" ca="1" si="514"/>
        <v>1.05</v>
      </c>
      <c r="CP470" s="771">
        <f t="shared" ca="1" si="538"/>
        <v>0.02</v>
      </c>
      <c r="CQ470" s="771">
        <f t="shared" ca="1" si="539"/>
        <v>-2.5000000000000001E-2</v>
      </c>
      <c r="CR470" s="771">
        <f t="shared" ca="1" si="540"/>
        <v>0.95</v>
      </c>
      <c r="CS470" s="771">
        <f t="shared" ca="1" si="541"/>
        <v>0.03</v>
      </c>
      <c r="CT470" s="772">
        <f t="shared" ca="1" si="542"/>
        <v>0.02</v>
      </c>
      <c r="CU470" s="135"/>
      <c r="CV470" s="135"/>
      <c r="CW470" s="135"/>
      <c r="CX470" s="135"/>
      <c r="CY470" s="135"/>
      <c r="CZ470" s="135"/>
      <c r="DA470" s="135"/>
      <c r="DB470" s="135"/>
      <c r="DC470" s="135"/>
      <c r="DD470" s="135"/>
      <c r="DE470" s="135"/>
      <c r="DF470" s="135"/>
      <c r="DG470" s="135"/>
      <c r="DH470" s="135"/>
      <c r="DI470" s="135"/>
      <c r="DJ470" s="135"/>
      <c r="DK470" s="135"/>
      <c r="DL470" s="135"/>
      <c r="DX470" s="135"/>
      <c r="DY470" s="135"/>
      <c r="DZ470" s="135"/>
      <c r="EA470" s="135"/>
      <c r="EB470" s="135"/>
      <c r="EC470" s="135"/>
      <c r="ED470" s="135"/>
      <c r="EE470" s="135"/>
      <c r="EF470" s="135"/>
      <c r="EG470" s="135"/>
      <c r="EH470" s="135"/>
      <c r="EI470" s="135"/>
      <c r="EJ470" s="135"/>
      <c r="EK470" s="135"/>
      <c r="EL470" s="135"/>
      <c r="EM470" s="135"/>
      <c r="EN470" s="135"/>
      <c r="EO470" s="135"/>
      <c r="EP470" s="135"/>
      <c r="EQ470" s="135"/>
      <c r="ER470" s="135"/>
      <c r="ES470" s="135"/>
      <c r="ET470" s="135"/>
      <c r="EU470" s="135"/>
      <c r="EV470" s="135"/>
      <c r="EW470" s="135"/>
      <c r="EX470" s="135"/>
      <c r="EY470" s="135"/>
      <c r="EZ470" s="135"/>
      <c r="FA470" s="135"/>
      <c r="FB470" s="135"/>
      <c r="FC470" s="135"/>
      <c r="FD470" s="135"/>
      <c r="FE470" s="135"/>
      <c r="FF470" s="135"/>
      <c r="FG470" s="135"/>
    </row>
    <row r="471" spans="1:163" s="57" customFormat="1" ht="11.25" outlineLevel="1">
      <c r="A471" s="765">
        <f t="shared" si="515"/>
        <v>19</v>
      </c>
      <c r="B471" s="715" cm="1">
        <f t="array" aca="1" ref="B471" ca="1">INDIRECT("'Definition of Typical Day'!"&amp;ADDRESS(B$16,$E471))</f>
        <v>19</v>
      </c>
      <c r="C471" s="766">
        <f t="shared" si="516"/>
        <v>19</v>
      </c>
      <c r="D471" s="715">
        <f t="shared" si="516"/>
        <v>53</v>
      </c>
      <c r="E471" s="715">
        <f t="shared" si="517"/>
        <v>23</v>
      </c>
      <c r="F471" s="767" cm="1">
        <f t="array" aca="1" ref="F471" ca="1">INDIRECT("'Definition of Typical Day'!D"&amp;D471)</f>
        <v>19</v>
      </c>
      <c r="G471" s="767" cm="1">
        <f t="array" aca="1" ref="G471" ca="1">INDIRECT("'Definition of Typical Day'!"&amp;ADDRESS(13,E471))</f>
        <v>19</v>
      </c>
      <c r="H471" s="768" cm="1">
        <f t="array" aca="1" ref="H471" ca="1">INDIRECT("'Definition of Typical Day'!"&amp; ADDRESS($D471+28*(H$16-1),$E471))</f>
        <v>0</v>
      </c>
      <c r="I471" s="715" cm="1">
        <f t="array" aca="1" ref="I471" ca="1">INDIRECT("'Definition of Typical Day'!"&amp; ADDRESS($D471+29*(I$16-1),$E471))</f>
        <v>0</v>
      </c>
      <c r="J471" s="715">
        <f t="shared" ca="1" si="543"/>
        <v>0</v>
      </c>
      <c r="K471" s="785">
        <f t="shared" si="544"/>
        <v>28</v>
      </c>
      <c r="L471" s="786" cm="1">
        <f t="array" aca="1" ref="L471" ca="1">INDIRECT("'Definition of Typical Day'!"&amp; ADDRESS($D471+29*(L$16-1),$E471))</f>
        <v>0</v>
      </c>
      <c r="M471" s="768" cm="1">
        <f t="array" aca="1" ref="M471" ca="1">INDIRECT("'Definition of Typical Day'!"&amp; ADDRESS($D471+29*(M$16-1),$E471))</f>
        <v>0</v>
      </c>
      <c r="N471" s="715">
        <f t="shared" si="545"/>
        <v>3</v>
      </c>
      <c r="O471" s="715">
        <f t="shared" ca="1" si="546"/>
        <v>3</v>
      </c>
      <c r="P471" s="715" cm="1">
        <f t="array" aca="1" ref="P471" ca="1">INDIRECT("'Definition of Typical Day'!"&amp; ADDRESS($D471+29*(P$16-1),$E471))</f>
        <v>0</v>
      </c>
      <c r="Q471" s="787">
        <f t="shared" ca="1" si="547"/>
        <v>3</v>
      </c>
      <c r="R471" s="792">
        <f t="shared" ca="1" si="548"/>
        <v>3</v>
      </c>
      <c r="S471" s="769">
        <f t="shared" si="549"/>
        <v>3</v>
      </c>
      <c r="T471" s="769">
        <f t="shared" ca="1" si="550"/>
        <v>-0.5</v>
      </c>
      <c r="U471" s="769">
        <f t="shared" ca="1" si="551"/>
        <v>2.262</v>
      </c>
      <c r="V471" s="769">
        <f t="shared" ca="1" si="552"/>
        <v>0</v>
      </c>
      <c r="W471" s="769">
        <f t="shared" ca="1" si="553"/>
        <v>4.7620000000000005</v>
      </c>
      <c r="X471" s="794">
        <f t="shared" si="554"/>
        <v>3</v>
      </c>
      <c r="Y471" s="769">
        <f t="shared" ca="1" si="555"/>
        <v>0.54772255750516607</v>
      </c>
      <c r="Z471" s="769">
        <f t="shared" ca="1" si="556"/>
        <v>0</v>
      </c>
      <c r="AA471" s="795">
        <f t="shared" ca="1" si="557"/>
        <v>0</v>
      </c>
      <c r="AB471" s="769">
        <f t="shared" ca="1" si="558"/>
        <v>0</v>
      </c>
      <c r="AC471" s="769">
        <f t="shared" ca="1" si="559"/>
        <v>0</v>
      </c>
      <c r="AD471" s="769">
        <f t="shared" ca="1" si="560"/>
        <v>0</v>
      </c>
      <c r="AE471" s="794">
        <f t="shared" ca="1" si="561"/>
        <v>0</v>
      </c>
      <c r="AF471" s="769">
        <f t="shared" ca="1" si="562"/>
        <v>0</v>
      </c>
      <c r="AG471" s="769">
        <f t="shared" ca="1" si="563"/>
        <v>0</v>
      </c>
      <c r="AH471" s="799">
        <f t="shared" ca="1" si="564"/>
        <v>0</v>
      </c>
      <c r="AI471" s="801">
        <f t="shared" ca="1" si="565"/>
        <v>1</v>
      </c>
      <c r="AJ471" s="794">
        <f t="shared" ca="1" si="566"/>
        <v>0</v>
      </c>
      <c r="AK471" s="769">
        <f t="shared" ca="1" si="567"/>
        <v>0</v>
      </c>
      <c r="AL471" s="769">
        <f t="shared" ca="1" si="568"/>
        <v>0</v>
      </c>
      <c r="AM471" s="804">
        <f t="shared" ca="1" si="518"/>
        <v>0</v>
      </c>
      <c r="AN471" s="795">
        <f t="shared" ca="1" si="519"/>
        <v>0</v>
      </c>
      <c r="AO471" s="251"/>
      <c r="AP471" s="770">
        <f t="shared" si="569"/>
        <v>0</v>
      </c>
      <c r="AQ471" s="771">
        <f t="shared" ca="1" si="570"/>
        <v>0</v>
      </c>
      <c r="AR471" s="771">
        <f t="shared" ca="1" si="571"/>
        <v>0</v>
      </c>
      <c r="AS471" s="772">
        <f t="shared" ca="1" si="572"/>
        <v>0</v>
      </c>
      <c r="AT471" s="231"/>
      <c r="AU471" s="770">
        <f>'Main Results - IRR DC Operator'!$F$16</f>
        <v>2</v>
      </c>
      <c r="AV471" s="773">
        <f>'Main Results - IRR DC Operator'!$F$15</f>
        <v>1</v>
      </c>
      <c r="AW471" s="771">
        <f t="shared" ca="1" si="573"/>
        <v>0</v>
      </c>
      <c r="AX471" s="772">
        <f t="shared" si="574"/>
        <v>0</v>
      </c>
      <c r="AY471" s="231"/>
      <c r="AZ471" s="770" cm="1">
        <f t="array" aca="1" ref="AZ471" ca="1">INDIRECT("'Definition of Typical Day'!"&amp; ADDRESS($D471+29*(AZ$16-1),$E471))+$AZ$17</f>
        <v>11</v>
      </c>
      <c r="BA471" s="771" cm="1">
        <f t="array" aca="1" ref="BA471" ca="1">INDIRECT("'Definition of Typical Day'!"&amp; ADDRESS($D471+29*(BA$16-1),$E471))+$BA$17</f>
        <v>11</v>
      </c>
      <c r="BB471" s="772" cm="1">
        <f t="array" aca="1" ref="BB471" ca="1">INDIRECT("'Definition of Typical Day'!"&amp;ADDRESS(BB$16,$E471))</f>
        <v>0</v>
      </c>
      <c r="BC471" s="776" cm="1">
        <f t="array" aca="1" ref="BC471" ca="1">INDIRECT("'Definition of Typical Day'!"&amp; ADDRESS($D471+29*(BC$16-1),$E471))</f>
        <v>0</v>
      </c>
      <c r="BD471" s="777" cm="1">
        <f t="array" aca="1" ref="BD471" ca="1">INDIRECT("'Definition of Typical Day'!"&amp; ADDRESS($D471+29*(BD$16-1),$E471))</f>
        <v>0</v>
      </c>
      <c r="BE471" s="776">
        <f t="shared" si="575"/>
        <v>0</v>
      </c>
      <c r="BF471" s="771">
        <f t="shared" ca="1" si="576"/>
        <v>0</v>
      </c>
      <c r="BG471" s="771">
        <f t="shared" ca="1" si="577"/>
        <v>0</v>
      </c>
      <c r="BH471" s="771">
        <f t="shared" ca="1" si="578"/>
        <v>0</v>
      </c>
      <c r="BI471" s="776">
        <f t="shared" ca="1" si="579"/>
        <v>0</v>
      </c>
      <c r="BJ471" s="776">
        <f t="shared" ca="1" si="580"/>
        <v>0</v>
      </c>
      <c r="BK471" s="776">
        <f t="shared" ca="1" si="581"/>
        <v>0</v>
      </c>
      <c r="BL471" s="776">
        <f t="shared" ca="1" si="582"/>
        <v>0</v>
      </c>
      <c r="BM471" s="135"/>
      <c r="BN471" s="776">
        <f t="shared" ca="1" si="583"/>
        <v>0</v>
      </c>
      <c r="BO471" s="778">
        <f t="shared" ca="1" si="520"/>
        <v>0</v>
      </c>
      <c r="BP471" s="770">
        <f t="shared" ca="1" si="521"/>
        <v>0</v>
      </c>
      <c r="BQ471" s="771">
        <f t="shared" ca="1" si="522"/>
        <v>0</v>
      </c>
      <c r="BR471" s="771">
        <f t="shared" ca="1" si="523"/>
        <v>0</v>
      </c>
      <c r="BS471" s="776">
        <f t="shared" ca="1" si="584"/>
        <v>0</v>
      </c>
      <c r="BT471" s="776">
        <f t="shared" ca="1" si="524"/>
        <v>0</v>
      </c>
      <c r="BU471" s="783">
        <f t="shared" ca="1" si="525"/>
        <v>0</v>
      </c>
      <c r="BV471" s="783">
        <f t="shared" ca="1" si="526"/>
        <v>0</v>
      </c>
      <c r="BW471" s="1019">
        <f t="shared" ca="1" si="585"/>
        <v>0</v>
      </c>
      <c r="BX471" s="771" cm="1">
        <f t="array" aca="1" ref="BX471" ca="1">INDIRECT("'Definition of Typical Day'!"&amp; ADDRESS($D471+29*(BX$16-1),$E471))</f>
        <v>0</v>
      </c>
      <c r="BY471" s="771">
        <f t="shared" ca="1" si="586"/>
        <v>0</v>
      </c>
      <c r="BZ471" s="781">
        <f t="shared" ca="1" si="527"/>
        <v>0</v>
      </c>
      <c r="CA471" s="781">
        <f t="shared" ca="1" si="528"/>
        <v>0</v>
      </c>
      <c r="CB471" s="776">
        <f t="shared" ca="1" si="529"/>
        <v>0</v>
      </c>
      <c r="CC471" s="782">
        <f t="shared" si="530"/>
        <v>19</v>
      </c>
      <c r="CD471" s="782">
        <f t="shared" si="531"/>
        <v>19</v>
      </c>
      <c r="CE471" s="784" cm="1">
        <f t="array" aca="1" ref="CE471" ca="1">INDIRECT("'Definition of Typical Day'!"&amp;ADDRESS(CE$16,$E471))</f>
        <v>19</v>
      </c>
      <c r="CF471" s="232"/>
      <c r="CG471" s="232"/>
      <c r="CH471" s="776">
        <f t="shared" ca="1" si="532"/>
        <v>0</v>
      </c>
      <c r="CI471" s="806">
        <f t="shared" ca="1" si="533"/>
        <v>0</v>
      </c>
      <c r="CJ471" s="770">
        <f t="shared" ca="1" si="534"/>
        <v>0</v>
      </c>
      <c r="CK471" s="771">
        <f t="shared" ca="1" si="535"/>
        <v>0</v>
      </c>
      <c r="CL471" s="771">
        <f t="shared" ca="1" si="536"/>
        <v>0</v>
      </c>
      <c r="CM471" s="772">
        <f t="shared" ca="1" si="537"/>
        <v>0</v>
      </c>
      <c r="CN471" s="135"/>
      <c r="CO471" s="770">
        <f t="shared" ca="1" si="514"/>
        <v>1.05</v>
      </c>
      <c r="CP471" s="771">
        <f t="shared" ca="1" si="538"/>
        <v>0.02</v>
      </c>
      <c r="CQ471" s="771">
        <f t="shared" ca="1" si="539"/>
        <v>-2.5000000000000001E-2</v>
      </c>
      <c r="CR471" s="771">
        <f t="shared" ca="1" si="540"/>
        <v>0.95</v>
      </c>
      <c r="CS471" s="771">
        <f t="shared" ca="1" si="541"/>
        <v>0.03</v>
      </c>
      <c r="CT471" s="772">
        <f t="shared" ca="1" si="542"/>
        <v>0.02</v>
      </c>
      <c r="CU471" s="135"/>
      <c r="CV471" s="135"/>
      <c r="CW471" s="135"/>
      <c r="CX471" s="135"/>
      <c r="CY471" s="135"/>
      <c r="CZ471" s="135"/>
      <c r="DA471" s="135"/>
      <c r="DB471" s="135"/>
      <c r="DC471" s="135"/>
      <c r="DD471" s="135"/>
      <c r="DE471" s="135"/>
      <c r="DF471" s="135"/>
      <c r="DG471" s="135"/>
      <c r="DH471" s="135"/>
      <c r="DI471" s="135"/>
      <c r="DJ471" s="135"/>
      <c r="DK471" s="135"/>
      <c r="DL471" s="135"/>
      <c r="DX471" s="135"/>
      <c r="DY471" s="135"/>
      <c r="DZ471" s="135"/>
      <c r="EA471" s="135"/>
      <c r="EB471" s="135"/>
      <c r="EC471" s="135"/>
      <c r="ED471" s="135"/>
      <c r="EE471" s="135"/>
      <c r="EF471" s="135"/>
      <c r="EG471" s="135"/>
      <c r="EH471" s="135"/>
      <c r="EI471" s="135"/>
      <c r="EJ471" s="135"/>
      <c r="EK471" s="135"/>
      <c r="EL471" s="135"/>
      <c r="EM471" s="135"/>
      <c r="EN471" s="135"/>
      <c r="EO471" s="135"/>
      <c r="EP471" s="135"/>
      <c r="EQ471" s="135"/>
      <c r="ER471" s="135"/>
      <c r="ES471" s="135"/>
      <c r="ET471" s="135"/>
      <c r="EU471" s="135"/>
      <c r="EV471" s="135"/>
      <c r="EW471" s="135"/>
      <c r="EX471" s="135"/>
      <c r="EY471" s="135"/>
      <c r="EZ471" s="135"/>
      <c r="FA471" s="135"/>
      <c r="FB471" s="135"/>
      <c r="FC471" s="135"/>
      <c r="FD471" s="135"/>
      <c r="FE471" s="135"/>
      <c r="FF471" s="135"/>
      <c r="FG471" s="135"/>
    </row>
    <row r="472" spans="1:163" s="57" customFormat="1" ht="11.25" outlineLevel="1">
      <c r="A472" s="765">
        <f t="shared" si="515"/>
        <v>19</v>
      </c>
      <c r="B472" s="715" cm="1">
        <f t="array" aca="1" ref="B472" ca="1">INDIRECT("'Definition of Typical Day'!"&amp;ADDRESS(B$16,$E472))</f>
        <v>19</v>
      </c>
      <c r="C472" s="766">
        <f t="shared" si="516"/>
        <v>20</v>
      </c>
      <c r="D472" s="715">
        <f t="shared" si="516"/>
        <v>54</v>
      </c>
      <c r="E472" s="715">
        <f t="shared" si="517"/>
        <v>23</v>
      </c>
      <c r="F472" s="767" cm="1">
        <f t="array" aca="1" ref="F472" ca="1">INDIRECT("'Definition of Typical Day'!D"&amp;D472)</f>
        <v>20</v>
      </c>
      <c r="G472" s="767" cm="1">
        <f t="array" aca="1" ref="G472" ca="1">INDIRECT("'Definition of Typical Day'!"&amp;ADDRESS(13,E472))</f>
        <v>19</v>
      </c>
      <c r="H472" s="768" cm="1">
        <f t="array" aca="1" ref="H472" ca="1">INDIRECT("'Definition of Typical Day'!"&amp; ADDRESS($D472+28*(H$16-1),$E472))</f>
        <v>0</v>
      </c>
      <c r="I472" s="715" cm="1">
        <f t="array" aca="1" ref="I472" ca="1">INDIRECT("'Definition of Typical Day'!"&amp; ADDRESS($D472+29*(I$16-1),$E472))</f>
        <v>0</v>
      </c>
      <c r="J472" s="715">
        <f t="shared" ca="1" si="543"/>
        <v>0</v>
      </c>
      <c r="K472" s="785">
        <f t="shared" si="544"/>
        <v>28</v>
      </c>
      <c r="L472" s="786" cm="1">
        <f t="array" aca="1" ref="L472" ca="1">INDIRECT("'Definition of Typical Day'!"&amp; ADDRESS($D472+29*(L$16-1),$E472))</f>
        <v>0</v>
      </c>
      <c r="M472" s="768" cm="1">
        <f t="array" aca="1" ref="M472" ca="1">INDIRECT("'Definition of Typical Day'!"&amp; ADDRESS($D472+29*(M$16-1),$E472))</f>
        <v>0</v>
      </c>
      <c r="N472" s="715">
        <f t="shared" si="545"/>
        <v>3</v>
      </c>
      <c r="O472" s="715">
        <f t="shared" ca="1" si="546"/>
        <v>3</v>
      </c>
      <c r="P472" s="715" cm="1">
        <f t="array" aca="1" ref="P472" ca="1">INDIRECT("'Definition of Typical Day'!"&amp; ADDRESS($D472+29*(P$16-1),$E472))</f>
        <v>0</v>
      </c>
      <c r="Q472" s="787">
        <f t="shared" ca="1" si="547"/>
        <v>3</v>
      </c>
      <c r="R472" s="792">
        <f t="shared" ca="1" si="548"/>
        <v>3</v>
      </c>
      <c r="S472" s="769">
        <f t="shared" si="549"/>
        <v>3</v>
      </c>
      <c r="T472" s="769">
        <f t="shared" ca="1" si="550"/>
        <v>-0.5</v>
      </c>
      <c r="U472" s="769">
        <f t="shared" ca="1" si="551"/>
        <v>2.262</v>
      </c>
      <c r="V472" s="769">
        <f t="shared" ca="1" si="552"/>
        <v>0</v>
      </c>
      <c r="W472" s="769">
        <f t="shared" ca="1" si="553"/>
        <v>4.7620000000000005</v>
      </c>
      <c r="X472" s="794">
        <f t="shared" si="554"/>
        <v>3</v>
      </c>
      <c r="Y472" s="769">
        <f t="shared" ca="1" si="555"/>
        <v>0.54772255750516607</v>
      </c>
      <c r="Z472" s="769">
        <f t="shared" ca="1" si="556"/>
        <v>0</v>
      </c>
      <c r="AA472" s="795">
        <f t="shared" ca="1" si="557"/>
        <v>0</v>
      </c>
      <c r="AB472" s="769">
        <f t="shared" ca="1" si="558"/>
        <v>0</v>
      </c>
      <c r="AC472" s="769">
        <f t="shared" ca="1" si="559"/>
        <v>0</v>
      </c>
      <c r="AD472" s="769">
        <f t="shared" ca="1" si="560"/>
        <v>0</v>
      </c>
      <c r="AE472" s="794">
        <f t="shared" ca="1" si="561"/>
        <v>0</v>
      </c>
      <c r="AF472" s="769">
        <f t="shared" ca="1" si="562"/>
        <v>0</v>
      </c>
      <c r="AG472" s="769">
        <f t="shared" ca="1" si="563"/>
        <v>0</v>
      </c>
      <c r="AH472" s="799">
        <f t="shared" ca="1" si="564"/>
        <v>0</v>
      </c>
      <c r="AI472" s="801">
        <f t="shared" ca="1" si="565"/>
        <v>1</v>
      </c>
      <c r="AJ472" s="794">
        <f t="shared" ca="1" si="566"/>
        <v>0</v>
      </c>
      <c r="AK472" s="769">
        <f t="shared" ca="1" si="567"/>
        <v>0</v>
      </c>
      <c r="AL472" s="769">
        <f t="shared" ca="1" si="568"/>
        <v>0</v>
      </c>
      <c r="AM472" s="804">
        <f t="shared" ca="1" si="518"/>
        <v>0</v>
      </c>
      <c r="AN472" s="795">
        <f t="shared" ca="1" si="519"/>
        <v>0</v>
      </c>
      <c r="AO472" s="251"/>
      <c r="AP472" s="770">
        <f t="shared" si="569"/>
        <v>0</v>
      </c>
      <c r="AQ472" s="771">
        <f t="shared" ca="1" si="570"/>
        <v>0</v>
      </c>
      <c r="AR472" s="771">
        <f t="shared" ca="1" si="571"/>
        <v>0</v>
      </c>
      <c r="AS472" s="772">
        <f t="shared" ca="1" si="572"/>
        <v>0</v>
      </c>
      <c r="AT472" s="231"/>
      <c r="AU472" s="770">
        <f>'Main Results - IRR DC Operator'!$F$16</f>
        <v>2</v>
      </c>
      <c r="AV472" s="773">
        <f>'Main Results - IRR DC Operator'!$F$15</f>
        <v>1</v>
      </c>
      <c r="AW472" s="771">
        <f t="shared" ca="1" si="573"/>
        <v>0</v>
      </c>
      <c r="AX472" s="772">
        <f t="shared" si="574"/>
        <v>0</v>
      </c>
      <c r="AY472" s="231"/>
      <c r="AZ472" s="770" cm="1">
        <f t="array" aca="1" ref="AZ472" ca="1">INDIRECT("'Definition of Typical Day'!"&amp; ADDRESS($D472+29*(AZ$16-1),$E472))+$AZ$17</f>
        <v>11</v>
      </c>
      <c r="BA472" s="771" cm="1">
        <f t="array" aca="1" ref="BA472" ca="1">INDIRECT("'Definition of Typical Day'!"&amp; ADDRESS($D472+29*(BA$16-1),$E472))+$BA$17</f>
        <v>11</v>
      </c>
      <c r="BB472" s="772" cm="1">
        <f t="array" aca="1" ref="BB472" ca="1">INDIRECT("'Definition of Typical Day'!"&amp;ADDRESS(BB$16,$E472))</f>
        <v>0</v>
      </c>
      <c r="BC472" s="776" cm="1">
        <f t="array" aca="1" ref="BC472" ca="1">INDIRECT("'Definition of Typical Day'!"&amp; ADDRESS($D472+29*(BC$16-1),$E472))</f>
        <v>0</v>
      </c>
      <c r="BD472" s="777" cm="1">
        <f t="array" aca="1" ref="BD472" ca="1">INDIRECT("'Definition of Typical Day'!"&amp; ADDRESS($D472+29*(BD$16-1),$E472))</f>
        <v>0</v>
      </c>
      <c r="BE472" s="776">
        <f t="shared" si="575"/>
        <v>0</v>
      </c>
      <c r="BF472" s="771">
        <f t="shared" ca="1" si="576"/>
        <v>0</v>
      </c>
      <c r="BG472" s="771">
        <f t="shared" ca="1" si="577"/>
        <v>0</v>
      </c>
      <c r="BH472" s="771">
        <f t="shared" ca="1" si="578"/>
        <v>0</v>
      </c>
      <c r="BI472" s="776">
        <f t="shared" ca="1" si="579"/>
        <v>0</v>
      </c>
      <c r="BJ472" s="776">
        <f t="shared" ca="1" si="580"/>
        <v>0</v>
      </c>
      <c r="BK472" s="776">
        <f t="shared" ca="1" si="581"/>
        <v>0</v>
      </c>
      <c r="BL472" s="776">
        <f t="shared" ca="1" si="582"/>
        <v>0</v>
      </c>
      <c r="BM472" s="135"/>
      <c r="BN472" s="776">
        <f t="shared" ca="1" si="583"/>
        <v>0</v>
      </c>
      <c r="BO472" s="778">
        <f t="shared" ca="1" si="520"/>
        <v>0</v>
      </c>
      <c r="BP472" s="770">
        <f t="shared" ca="1" si="521"/>
        <v>0</v>
      </c>
      <c r="BQ472" s="771">
        <f t="shared" ca="1" si="522"/>
        <v>0</v>
      </c>
      <c r="BR472" s="771">
        <f t="shared" ca="1" si="523"/>
        <v>0</v>
      </c>
      <c r="BS472" s="776">
        <f t="shared" ca="1" si="584"/>
        <v>0</v>
      </c>
      <c r="BT472" s="776">
        <f t="shared" ca="1" si="524"/>
        <v>0</v>
      </c>
      <c r="BU472" s="783">
        <f t="shared" ca="1" si="525"/>
        <v>0</v>
      </c>
      <c r="BV472" s="783">
        <f t="shared" ca="1" si="526"/>
        <v>0</v>
      </c>
      <c r="BW472" s="1019">
        <f t="shared" ca="1" si="585"/>
        <v>0</v>
      </c>
      <c r="BX472" s="771" cm="1">
        <f t="array" aca="1" ref="BX472" ca="1">INDIRECT("'Definition of Typical Day'!"&amp; ADDRESS($D472+29*(BX$16-1),$E472))</f>
        <v>0</v>
      </c>
      <c r="BY472" s="771">
        <f t="shared" ca="1" si="586"/>
        <v>0</v>
      </c>
      <c r="BZ472" s="781">
        <f t="shared" ca="1" si="527"/>
        <v>0</v>
      </c>
      <c r="CA472" s="781">
        <f t="shared" ca="1" si="528"/>
        <v>0</v>
      </c>
      <c r="CB472" s="776">
        <f t="shared" ca="1" si="529"/>
        <v>0</v>
      </c>
      <c r="CC472" s="782">
        <f t="shared" si="530"/>
        <v>19</v>
      </c>
      <c r="CD472" s="782">
        <f t="shared" si="531"/>
        <v>20</v>
      </c>
      <c r="CE472" s="784" cm="1">
        <f t="array" aca="1" ref="CE472" ca="1">INDIRECT("'Definition of Typical Day'!"&amp;ADDRESS(CE$16,$E472))</f>
        <v>19</v>
      </c>
      <c r="CF472" s="232"/>
      <c r="CG472" s="232"/>
      <c r="CH472" s="776">
        <f t="shared" ca="1" si="532"/>
        <v>0</v>
      </c>
      <c r="CI472" s="806">
        <f t="shared" ca="1" si="533"/>
        <v>0</v>
      </c>
      <c r="CJ472" s="770">
        <f t="shared" ca="1" si="534"/>
        <v>0</v>
      </c>
      <c r="CK472" s="771">
        <f t="shared" ca="1" si="535"/>
        <v>0</v>
      </c>
      <c r="CL472" s="771">
        <f t="shared" ca="1" si="536"/>
        <v>0</v>
      </c>
      <c r="CM472" s="772">
        <f t="shared" ca="1" si="537"/>
        <v>0</v>
      </c>
      <c r="CN472" s="135"/>
      <c r="CO472" s="770">
        <f t="shared" ca="1" si="514"/>
        <v>1.05</v>
      </c>
      <c r="CP472" s="771">
        <f t="shared" ca="1" si="538"/>
        <v>0.02</v>
      </c>
      <c r="CQ472" s="771">
        <f t="shared" ca="1" si="539"/>
        <v>-2.5000000000000001E-2</v>
      </c>
      <c r="CR472" s="771">
        <f t="shared" ca="1" si="540"/>
        <v>0.95</v>
      </c>
      <c r="CS472" s="771">
        <f t="shared" ca="1" si="541"/>
        <v>0.03</v>
      </c>
      <c r="CT472" s="772">
        <f t="shared" ca="1" si="542"/>
        <v>0.02</v>
      </c>
      <c r="CU472" s="135"/>
      <c r="CV472" s="135"/>
      <c r="CW472" s="135"/>
      <c r="CX472" s="135"/>
      <c r="CY472" s="135"/>
      <c r="CZ472" s="135"/>
      <c r="DA472" s="135"/>
      <c r="DB472" s="135"/>
      <c r="DC472" s="135"/>
      <c r="DD472" s="135"/>
      <c r="DE472" s="135"/>
      <c r="DF472" s="135"/>
      <c r="DG472" s="135"/>
      <c r="DH472" s="135"/>
      <c r="DI472" s="135"/>
      <c r="DJ472" s="135"/>
      <c r="DK472" s="135"/>
      <c r="DL472" s="135"/>
      <c r="DX472" s="135"/>
      <c r="DY472" s="135"/>
      <c r="DZ472" s="135"/>
      <c r="EA472" s="135"/>
      <c r="EB472" s="135"/>
      <c r="EC472" s="135"/>
      <c r="ED472" s="135"/>
      <c r="EE472" s="135"/>
      <c r="EF472" s="135"/>
      <c r="EG472" s="135"/>
      <c r="EH472" s="135"/>
      <c r="EI472" s="135"/>
      <c r="EJ472" s="135"/>
      <c r="EK472" s="135"/>
      <c r="EL472" s="135"/>
      <c r="EM472" s="135"/>
      <c r="EN472" s="135"/>
      <c r="EO472" s="135"/>
      <c r="EP472" s="135"/>
      <c r="EQ472" s="135"/>
      <c r="ER472" s="135"/>
      <c r="ES472" s="135"/>
      <c r="ET472" s="135"/>
      <c r="EU472" s="135"/>
      <c r="EV472" s="135"/>
      <c r="EW472" s="135"/>
      <c r="EX472" s="135"/>
      <c r="EY472" s="135"/>
      <c r="EZ472" s="135"/>
      <c r="FA472" s="135"/>
      <c r="FB472" s="135"/>
      <c r="FC472" s="135"/>
      <c r="FD472" s="135"/>
      <c r="FE472" s="135"/>
      <c r="FF472" s="135"/>
      <c r="FG472" s="135"/>
    </row>
    <row r="473" spans="1:163" s="57" customFormat="1" ht="11.25" outlineLevel="1">
      <c r="A473" s="765">
        <f t="shared" si="515"/>
        <v>19</v>
      </c>
      <c r="B473" s="715" cm="1">
        <f t="array" aca="1" ref="B473" ca="1">INDIRECT("'Definition of Typical Day'!"&amp;ADDRESS(B$16,$E473))</f>
        <v>19</v>
      </c>
      <c r="C473" s="766">
        <f t="shared" si="516"/>
        <v>21</v>
      </c>
      <c r="D473" s="715">
        <f t="shared" si="516"/>
        <v>55</v>
      </c>
      <c r="E473" s="715">
        <f t="shared" si="517"/>
        <v>23</v>
      </c>
      <c r="F473" s="767" cm="1">
        <f t="array" aca="1" ref="F473" ca="1">INDIRECT("'Definition of Typical Day'!D"&amp;D473)</f>
        <v>21</v>
      </c>
      <c r="G473" s="767" cm="1">
        <f t="array" aca="1" ref="G473" ca="1">INDIRECT("'Definition of Typical Day'!"&amp;ADDRESS(13,E473))</f>
        <v>19</v>
      </c>
      <c r="H473" s="768" cm="1">
        <f t="array" aca="1" ref="H473" ca="1">INDIRECT("'Definition of Typical Day'!"&amp; ADDRESS($D473+28*(H$16-1),$E473))</f>
        <v>0</v>
      </c>
      <c r="I473" s="715" cm="1">
        <f t="array" aca="1" ref="I473" ca="1">INDIRECT("'Definition of Typical Day'!"&amp; ADDRESS($D473+29*(I$16-1),$E473))</f>
        <v>0</v>
      </c>
      <c r="J473" s="715">
        <f t="shared" ca="1" si="543"/>
        <v>0</v>
      </c>
      <c r="K473" s="785">
        <f t="shared" si="544"/>
        <v>28</v>
      </c>
      <c r="L473" s="786" cm="1">
        <f t="array" aca="1" ref="L473" ca="1">INDIRECT("'Definition of Typical Day'!"&amp; ADDRESS($D473+29*(L$16-1),$E473))</f>
        <v>0</v>
      </c>
      <c r="M473" s="768" cm="1">
        <f t="array" aca="1" ref="M473" ca="1">INDIRECT("'Definition of Typical Day'!"&amp; ADDRESS($D473+29*(M$16-1),$E473))</f>
        <v>0</v>
      </c>
      <c r="N473" s="715">
        <f t="shared" si="545"/>
        <v>3</v>
      </c>
      <c r="O473" s="715">
        <f t="shared" ca="1" si="546"/>
        <v>3</v>
      </c>
      <c r="P473" s="715" cm="1">
        <f t="array" aca="1" ref="P473" ca="1">INDIRECT("'Definition of Typical Day'!"&amp; ADDRESS($D473+29*(P$16-1),$E473))</f>
        <v>0</v>
      </c>
      <c r="Q473" s="787">
        <f t="shared" ca="1" si="547"/>
        <v>3</v>
      </c>
      <c r="R473" s="792">
        <f t="shared" ca="1" si="548"/>
        <v>3</v>
      </c>
      <c r="S473" s="769">
        <f t="shared" si="549"/>
        <v>3</v>
      </c>
      <c r="T473" s="769">
        <f t="shared" ca="1" si="550"/>
        <v>-0.5</v>
      </c>
      <c r="U473" s="769">
        <f t="shared" ca="1" si="551"/>
        <v>2.262</v>
      </c>
      <c r="V473" s="769">
        <f t="shared" ca="1" si="552"/>
        <v>0</v>
      </c>
      <c r="W473" s="769">
        <f t="shared" ca="1" si="553"/>
        <v>4.7620000000000005</v>
      </c>
      <c r="X473" s="794">
        <f t="shared" si="554"/>
        <v>3</v>
      </c>
      <c r="Y473" s="769">
        <f t="shared" ca="1" si="555"/>
        <v>0.54772255750516607</v>
      </c>
      <c r="Z473" s="769">
        <f t="shared" ca="1" si="556"/>
        <v>0</v>
      </c>
      <c r="AA473" s="795">
        <f t="shared" ca="1" si="557"/>
        <v>0</v>
      </c>
      <c r="AB473" s="769">
        <f t="shared" ca="1" si="558"/>
        <v>0</v>
      </c>
      <c r="AC473" s="769">
        <f t="shared" ca="1" si="559"/>
        <v>0</v>
      </c>
      <c r="AD473" s="769">
        <f t="shared" ca="1" si="560"/>
        <v>0</v>
      </c>
      <c r="AE473" s="794">
        <f t="shared" ca="1" si="561"/>
        <v>0</v>
      </c>
      <c r="AF473" s="769">
        <f t="shared" ca="1" si="562"/>
        <v>0</v>
      </c>
      <c r="AG473" s="769">
        <f t="shared" ca="1" si="563"/>
        <v>0</v>
      </c>
      <c r="AH473" s="799">
        <f t="shared" ca="1" si="564"/>
        <v>0</v>
      </c>
      <c r="AI473" s="801">
        <f t="shared" ca="1" si="565"/>
        <v>1</v>
      </c>
      <c r="AJ473" s="794">
        <f t="shared" ca="1" si="566"/>
        <v>0</v>
      </c>
      <c r="AK473" s="769">
        <f t="shared" ca="1" si="567"/>
        <v>0</v>
      </c>
      <c r="AL473" s="769">
        <f t="shared" ca="1" si="568"/>
        <v>0</v>
      </c>
      <c r="AM473" s="804">
        <f t="shared" ca="1" si="518"/>
        <v>0</v>
      </c>
      <c r="AN473" s="795">
        <f t="shared" ca="1" si="519"/>
        <v>0</v>
      </c>
      <c r="AO473" s="251"/>
      <c r="AP473" s="770">
        <f t="shared" si="569"/>
        <v>0</v>
      </c>
      <c r="AQ473" s="771">
        <f t="shared" ca="1" si="570"/>
        <v>0</v>
      </c>
      <c r="AR473" s="771">
        <f t="shared" ca="1" si="571"/>
        <v>0</v>
      </c>
      <c r="AS473" s="772">
        <f t="shared" ca="1" si="572"/>
        <v>0</v>
      </c>
      <c r="AT473" s="231"/>
      <c r="AU473" s="770">
        <f>'Main Results - IRR DC Operator'!$F$16</f>
        <v>2</v>
      </c>
      <c r="AV473" s="773">
        <f>'Main Results - IRR DC Operator'!$F$15</f>
        <v>1</v>
      </c>
      <c r="AW473" s="771">
        <f t="shared" ca="1" si="573"/>
        <v>0</v>
      </c>
      <c r="AX473" s="772">
        <f t="shared" si="574"/>
        <v>0</v>
      </c>
      <c r="AY473" s="231"/>
      <c r="AZ473" s="770" cm="1">
        <f t="array" aca="1" ref="AZ473" ca="1">INDIRECT("'Definition of Typical Day'!"&amp; ADDRESS($D473+29*(AZ$16-1),$E473))+$AZ$17</f>
        <v>11</v>
      </c>
      <c r="BA473" s="771" cm="1">
        <f t="array" aca="1" ref="BA473" ca="1">INDIRECT("'Definition of Typical Day'!"&amp; ADDRESS($D473+29*(BA$16-1),$E473))+$BA$17</f>
        <v>11</v>
      </c>
      <c r="BB473" s="772" cm="1">
        <f t="array" aca="1" ref="BB473" ca="1">INDIRECT("'Definition of Typical Day'!"&amp;ADDRESS(BB$16,$E473))</f>
        <v>0</v>
      </c>
      <c r="BC473" s="776" cm="1">
        <f t="array" aca="1" ref="BC473" ca="1">INDIRECT("'Definition of Typical Day'!"&amp; ADDRESS($D473+29*(BC$16-1),$E473))</f>
        <v>0</v>
      </c>
      <c r="BD473" s="777" cm="1">
        <f t="array" aca="1" ref="BD473" ca="1">INDIRECT("'Definition of Typical Day'!"&amp; ADDRESS($D473+29*(BD$16-1),$E473))</f>
        <v>0</v>
      </c>
      <c r="BE473" s="776">
        <f t="shared" si="575"/>
        <v>0</v>
      </c>
      <c r="BF473" s="771">
        <f t="shared" ca="1" si="576"/>
        <v>0</v>
      </c>
      <c r="BG473" s="771">
        <f t="shared" ca="1" si="577"/>
        <v>0</v>
      </c>
      <c r="BH473" s="771">
        <f t="shared" ca="1" si="578"/>
        <v>0</v>
      </c>
      <c r="BI473" s="776">
        <f t="shared" ca="1" si="579"/>
        <v>0</v>
      </c>
      <c r="BJ473" s="776">
        <f t="shared" ca="1" si="580"/>
        <v>0</v>
      </c>
      <c r="BK473" s="776">
        <f t="shared" ca="1" si="581"/>
        <v>0</v>
      </c>
      <c r="BL473" s="776">
        <f t="shared" ca="1" si="582"/>
        <v>0</v>
      </c>
      <c r="BM473" s="135"/>
      <c r="BN473" s="776">
        <f t="shared" ca="1" si="583"/>
        <v>0</v>
      </c>
      <c r="BO473" s="778">
        <f t="shared" ca="1" si="520"/>
        <v>0</v>
      </c>
      <c r="BP473" s="770">
        <f t="shared" ca="1" si="521"/>
        <v>0</v>
      </c>
      <c r="BQ473" s="771">
        <f t="shared" ca="1" si="522"/>
        <v>0</v>
      </c>
      <c r="BR473" s="771">
        <f t="shared" ca="1" si="523"/>
        <v>0</v>
      </c>
      <c r="BS473" s="776">
        <f t="shared" ca="1" si="584"/>
        <v>0</v>
      </c>
      <c r="BT473" s="776">
        <f t="shared" ca="1" si="524"/>
        <v>0</v>
      </c>
      <c r="BU473" s="783">
        <f t="shared" ca="1" si="525"/>
        <v>0</v>
      </c>
      <c r="BV473" s="783">
        <f t="shared" ca="1" si="526"/>
        <v>0</v>
      </c>
      <c r="BW473" s="1019">
        <f t="shared" ca="1" si="585"/>
        <v>0</v>
      </c>
      <c r="BX473" s="771" cm="1">
        <f t="array" aca="1" ref="BX473" ca="1">INDIRECT("'Definition of Typical Day'!"&amp; ADDRESS($D473+29*(BX$16-1),$E473))</f>
        <v>0</v>
      </c>
      <c r="BY473" s="771">
        <f t="shared" ca="1" si="586"/>
        <v>0</v>
      </c>
      <c r="BZ473" s="781">
        <f t="shared" ca="1" si="527"/>
        <v>0</v>
      </c>
      <c r="CA473" s="781">
        <f t="shared" ca="1" si="528"/>
        <v>0</v>
      </c>
      <c r="CB473" s="776">
        <f t="shared" ca="1" si="529"/>
        <v>0</v>
      </c>
      <c r="CC473" s="782">
        <f t="shared" si="530"/>
        <v>19</v>
      </c>
      <c r="CD473" s="782">
        <f t="shared" si="531"/>
        <v>21</v>
      </c>
      <c r="CE473" s="784" cm="1">
        <f t="array" aca="1" ref="CE473" ca="1">INDIRECT("'Definition of Typical Day'!"&amp;ADDRESS(CE$16,$E473))</f>
        <v>19</v>
      </c>
      <c r="CF473" s="232"/>
      <c r="CG473" s="232"/>
      <c r="CH473" s="776">
        <f t="shared" ca="1" si="532"/>
        <v>0</v>
      </c>
      <c r="CI473" s="806">
        <f t="shared" ca="1" si="533"/>
        <v>0</v>
      </c>
      <c r="CJ473" s="770">
        <f t="shared" ca="1" si="534"/>
        <v>0</v>
      </c>
      <c r="CK473" s="771">
        <f t="shared" ca="1" si="535"/>
        <v>0</v>
      </c>
      <c r="CL473" s="771">
        <f t="shared" ca="1" si="536"/>
        <v>0</v>
      </c>
      <c r="CM473" s="772">
        <f t="shared" ca="1" si="537"/>
        <v>0</v>
      </c>
      <c r="CN473" s="135"/>
      <c r="CO473" s="770">
        <f t="shared" ca="1" si="514"/>
        <v>1.05</v>
      </c>
      <c r="CP473" s="771">
        <f t="shared" ca="1" si="538"/>
        <v>0.02</v>
      </c>
      <c r="CQ473" s="771">
        <f t="shared" ca="1" si="539"/>
        <v>-2.5000000000000001E-2</v>
      </c>
      <c r="CR473" s="771">
        <f t="shared" ca="1" si="540"/>
        <v>0.95</v>
      </c>
      <c r="CS473" s="771">
        <f t="shared" ca="1" si="541"/>
        <v>0.03</v>
      </c>
      <c r="CT473" s="772">
        <f t="shared" ca="1" si="542"/>
        <v>0.02</v>
      </c>
      <c r="CU473" s="135"/>
      <c r="CV473" s="135"/>
      <c r="CW473" s="135"/>
      <c r="CX473" s="135"/>
      <c r="CY473" s="135"/>
      <c r="CZ473" s="135"/>
      <c r="DA473" s="135"/>
      <c r="DB473" s="135"/>
      <c r="DC473" s="135"/>
      <c r="DD473" s="135"/>
      <c r="DE473" s="135"/>
      <c r="DF473" s="135"/>
      <c r="DG473" s="135"/>
      <c r="DH473" s="135"/>
      <c r="DI473" s="135"/>
      <c r="DJ473" s="135"/>
      <c r="DK473" s="135"/>
      <c r="DL473" s="135"/>
      <c r="DX473" s="135"/>
      <c r="DY473" s="135"/>
      <c r="DZ473" s="135"/>
      <c r="EA473" s="135"/>
      <c r="EB473" s="135"/>
      <c r="EC473" s="135"/>
      <c r="ED473" s="135"/>
      <c r="EE473" s="135"/>
      <c r="EF473" s="135"/>
      <c r="EG473" s="135"/>
      <c r="EH473" s="135"/>
      <c r="EI473" s="135"/>
      <c r="EJ473" s="135"/>
      <c r="EK473" s="135"/>
      <c r="EL473" s="135"/>
      <c r="EM473" s="135"/>
      <c r="EN473" s="135"/>
      <c r="EO473" s="135"/>
      <c r="EP473" s="135"/>
      <c r="EQ473" s="135"/>
      <c r="ER473" s="135"/>
      <c r="ES473" s="135"/>
      <c r="ET473" s="135"/>
      <c r="EU473" s="135"/>
      <c r="EV473" s="135"/>
      <c r="EW473" s="135"/>
      <c r="EX473" s="135"/>
      <c r="EY473" s="135"/>
      <c r="EZ473" s="135"/>
      <c r="FA473" s="135"/>
      <c r="FB473" s="135"/>
      <c r="FC473" s="135"/>
      <c r="FD473" s="135"/>
      <c r="FE473" s="135"/>
      <c r="FF473" s="135"/>
      <c r="FG473" s="135"/>
    </row>
    <row r="474" spans="1:163" s="57" customFormat="1" ht="11.25" outlineLevel="1">
      <c r="A474" s="765">
        <f t="shared" si="515"/>
        <v>19</v>
      </c>
      <c r="B474" s="715" cm="1">
        <f t="array" aca="1" ref="B474" ca="1">INDIRECT("'Definition of Typical Day'!"&amp;ADDRESS(B$16,$E474))</f>
        <v>19</v>
      </c>
      <c r="C474" s="766">
        <f t="shared" si="516"/>
        <v>22</v>
      </c>
      <c r="D474" s="715">
        <f t="shared" si="516"/>
        <v>56</v>
      </c>
      <c r="E474" s="715">
        <f t="shared" si="517"/>
        <v>23</v>
      </c>
      <c r="F474" s="767" cm="1">
        <f t="array" aca="1" ref="F474" ca="1">INDIRECT("'Definition of Typical Day'!D"&amp;D474)</f>
        <v>22</v>
      </c>
      <c r="G474" s="767" cm="1">
        <f t="array" aca="1" ref="G474" ca="1">INDIRECT("'Definition of Typical Day'!"&amp;ADDRESS(13,E474))</f>
        <v>19</v>
      </c>
      <c r="H474" s="768" cm="1">
        <f t="array" aca="1" ref="H474" ca="1">INDIRECT("'Definition of Typical Day'!"&amp; ADDRESS($D474+28*(H$16-1),$E474))</f>
        <v>0</v>
      </c>
      <c r="I474" s="715" cm="1">
        <f t="array" aca="1" ref="I474" ca="1">INDIRECT("'Definition of Typical Day'!"&amp; ADDRESS($D474+29*(I$16-1),$E474))</f>
        <v>0</v>
      </c>
      <c r="J474" s="715">
        <f t="shared" ca="1" si="543"/>
        <v>0</v>
      </c>
      <c r="K474" s="785">
        <f t="shared" si="544"/>
        <v>28</v>
      </c>
      <c r="L474" s="786" cm="1">
        <f t="array" aca="1" ref="L474" ca="1">INDIRECT("'Definition of Typical Day'!"&amp; ADDRESS($D474+29*(L$16-1),$E474))</f>
        <v>0</v>
      </c>
      <c r="M474" s="768" cm="1">
        <f t="array" aca="1" ref="M474" ca="1">INDIRECT("'Definition of Typical Day'!"&amp; ADDRESS($D474+29*(M$16-1),$E474))</f>
        <v>0</v>
      </c>
      <c r="N474" s="715">
        <f t="shared" si="545"/>
        <v>3</v>
      </c>
      <c r="O474" s="715">
        <f t="shared" ca="1" si="546"/>
        <v>3</v>
      </c>
      <c r="P474" s="715" cm="1">
        <f t="array" aca="1" ref="P474" ca="1">INDIRECT("'Definition of Typical Day'!"&amp; ADDRESS($D474+29*(P$16-1),$E474))</f>
        <v>0</v>
      </c>
      <c r="Q474" s="787">
        <f t="shared" ca="1" si="547"/>
        <v>3</v>
      </c>
      <c r="R474" s="792">
        <f t="shared" ca="1" si="548"/>
        <v>3</v>
      </c>
      <c r="S474" s="769">
        <f t="shared" si="549"/>
        <v>3</v>
      </c>
      <c r="T474" s="769">
        <f t="shared" ca="1" si="550"/>
        <v>-0.5</v>
      </c>
      <c r="U474" s="769">
        <f t="shared" ca="1" si="551"/>
        <v>2.262</v>
      </c>
      <c r="V474" s="769">
        <f t="shared" ca="1" si="552"/>
        <v>0</v>
      </c>
      <c r="W474" s="769">
        <f t="shared" ca="1" si="553"/>
        <v>4.7620000000000005</v>
      </c>
      <c r="X474" s="794">
        <f t="shared" si="554"/>
        <v>3</v>
      </c>
      <c r="Y474" s="769">
        <f t="shared" ca="1" si="555"/>
        <v>0.54772255750516607</v>
      </c>
      <c r="Z474" s="769">
        <f t="shared" ca="1" si="556"/>
        <v>0</v>
      </c>
      <c r="AA474" s="795">
        <f t="shared" ca="1" si="557"/>
        <v>0</v>
      </c>
      <c r="AB474" s="769">
        <f t="shared" ca="1" si="558"/>
        <v>0</v>
      </c>
      <c r="AC474" s="769">
        <f t="shared" ca="1" si="559"/>
        <v>0</v>
      </c>
      <c r="AD474" s="769">
        <f t="shared" ca="1" si="560"/>
        <v>0</v>
      </c>
      <c r="AE474" s="794">
        <f t="shared" ca="1" si="561"/>
        <v>0</v>
      </c>
      <c r="AF474" s="769">
        <f t="shared" ca="1" si="562"/>
        <v>0</v>
      </c>
      <c r="AG474" s="769">
        <f t="shared" ca="1" si="563"/>
        <v>0</v>
      </c>
      <c r="AH474" s="799">
        <f t="shared" ca="1" si="564"/>
        <v>0</v>
      </c>
      <c r="AI474" s="801">
        <f t="shared" ca="1" si="565"/>
        <v>1</v>
      </c>
      <c r="AJ474" s="794">
        <f t="shared" ca="1" si="566"/>
        <v>0</v>
      </c>
      <c r="AK474" s="769">
        <f t="shared" ca="1" si="567"/>
        <v>0</v>
      </c>
      <c r="AL474" s="769">
        <f t="shared" ca="1" si="568"/>
        <v>0</v>
      </c>
      <c r="AM474" s="804">
        <f t="shared" ca="1" si="518"/>
        <v>0</v>
      </c>
      <c r="AN474" s="795">
        <f t="shared" ca="1" si="519"/>
        <v>0</v>
      </c>
      <c r="AO474" s="251"/>
      <c r="AP474" s="770">
        <f t="shared" si="569"/>
        <v>0</v>
      </c>
      <c r="AQ474" s="771">
        <f t="shared" ca="1" si="570"/>
        <v>0</v>
      </c>
      <c r="AR474" s="771">
        <f t="shared" ca="1" si="571"/>
        <v>0</v>
      </c>
      <c r="AS474" s="772">
        <f t="shared" ca="1" si="572"/>
        <v>0</v>
      </c>
      <c r="AT474" s="231"/>
      <c r="AU474" s="770">
        <f>'Main Results - IRR DC Operator'!$F$16</f>
        <v>2</v>
      </c>
      <c r="AV474" s="773">
        <f>'Main Results - IRR DC Operator'!$F$15</f>
        <v>1</v>
      </c>
      <c r="AW474" s="771">
        <f t="shared" ca="1" si="573"/>
        <v>0</v>
      </c>
      <c r="AX474" s="772">
        <f t="shared" si="574"/>
        <v>0</v>
      </c>
      <c r="AY474" s="231"/>
      <c r="AZ474" s="770" cm="1">
        <f t="array" aca="1" ref="AZ474" ca="1">INDIRECT("'Definition of Typical Day'!"&amp; ADDRESS($D474+29*(AZ$16-1),$E474))+$AZ$17</f>
        <v>11</v>
      </c>
      <c r="BA474" s="771" cm="1">
        <f t="array" aca="1" ref="BA474" ca="1">INDIRECT("'Definition of Typical Day'!"&amp; ADDRESS($D474+29*(BA$16-1),$E474))+$BA$17</f>
        <v>11</v>
      </c>
      <c r="BB474" s="772" cm="1">
        <f t="array" aca="1" ref="BB474" ca="1">INDIRECT("'Definition of Typical Day'!"&amp;ADDRESS(BB$16,$E474))</f>
        <v>0</v>
      </c>
      <c r="BC474" s="776" cm="1">
        <f t="array" aca="1" ref="BC474" ca="1">INDIRECT("'Definition of Typical Day'!"&amp; ADDRESS($D474+29*(BC$16-1),$E474))</f>
        <v>0</v>
      </c>
      <c r="BD474" s="777" cm="1">
        <f t="array" aca="1" ref="BD474" ca="1">INDIRECT("'Definition of Typical Day'!"&amp; ADDRESS($D474+29*(BD$16-1),$E474))</f>
        <v>0</v>
      </c>
      <c r="BE474" s="776">
        <f t="shared" si="575"/>
        <v>0</v>
      </c>
      <c r="BF474" s="771">
        <f t="shared" ca="1" si="576"/>
        <v>0</v>
      </c>
      <c r="BG474" s="771">
        <f t="shared" ca="1" si="577"/>
        <v>0</v>
      </c>
      <c r="BH474" s="771">
        <f t="shared" ca="1" si="578"/>
        <v>0</v>
      </c>
      <c r="BI474" s="776">
        <f t="shared" ca="1" si="579"/>
        <v>0</v>
      </c>
      <c r="BJ474" s="776">
        <f t="shared" ca="1" si="580"/>
        <v>0</v>
      </c>
      <c r="BK474" s="776">
        <f t="shared" ca="1" si="581"/>
        <v>0</v>
      </c>
      <c r="BL474" s="776">
        <f t="shared" ca="1" si="582"/>
        <v>0</v>
      </c>
      <c r="BM474" s="135"/>
      <c r="BN474" s="776">
        <f t="shared" ca="1" si="583"/>
        <v>0</v>
      </c>
      <c r="BO474" s="778">
        <f t="shared" ca="1" si="520"/>
        <v>0</v>
      </c>
      <c r="BP474" s="770">
        <f t="shared" ca="1" si="521"/>
        <v>0</v>
      </c>
      <c r="BQ474" s="771">
        <f t="shared" ca="1" si="522"/>
        <v>0</v>
      </c>
      <c r="BR474" s="771">
        <f t="shared" ca="1" si="523"/>
        <v>0</v>
      </c>
      <c r="BS474" s="776">
        <f t="shared" ca="1" si="584"/>
        <v>0</v>
      </c>
      <c r="BT474" s="776">
        <f t="shared" ca="1" si="524"/>
        <v>0</v>
      </c>
      <c r="BU474" s="783">
        <f t="shared" ca="1" si="525"/>
        <v>0</v>
      </c>
      <c r="BV474" s="783">
        <f t="shared" ca="1" si="526"/>
        <v>0</v>
      </c>
      <c r="BW474" s="1019">
        <f t="shared" ca="1" si="585"/>
        <v>0</v>
      </c>
      <c r="BX474" s="771" cm="1">
        <f t="array" aca="1" ref="BX474" ca="1">INDIRECT("'Definition of Typical Day'!"&amp; ADDRESS($D474+29*(BX$16-1),$E474))</f>
        <v>0</v>
      </c>
      <c r="BY474" s="771">
        <f t="shared" ca="1" si="586"/>
        <v>0</v>
      </c>
      <c r="BZ474" s="781">
        <f t="shared" ca="1" si="527"/>
        <v>0</v>
      </c>
      <c r="CA474" s="781">
        <f t="shared" ca="1" si="528"/>
        <v>0</v>
      </c>
      <c r="CB474" s="776">
        <f t="shared" ca="1" si="529"/>
        <v>0</v>
      </c>
      <c r="CC474" s="782">
        <f t="shared" si="530"/>
        <v>19</v>
      </c>
      <c r="CD474" s="782">
        <f t="shared" si="531"/>
        <v>22</v>
      </c>
      <c r="CE474" s="784" cm="1">
        <f t="array" aca="1" ref="CE474" ca="1">INDIRECT("'Definition of Typical Day'!"&amp;ADDRESS(CE$16,$E474))</f>
        <v>19</v>
      </c>
      <c r="CF474" s="232"/>
      <c r="CG474" s="232"/>
      <c r="CH474" s="776">
        <f t="shared" ca="1" si="532"/>
        <v>0</v>
      </c>
      <c r="CI474" s="806">
        <f t="shared" ca="1" si="533"/>
        <v>0</v>
      </c>
      <c r="CJ474" s="770">
        <f t="shared" ca="1" si="534"/>
        <v>0</v>
      </c>
      <c r="CK474" s="771">
        <f t="shared" ca="1" si="535"/>
        <v>0</v>
      </c>
      <c r="CL474" s="771">
        <f t="shared" ca="1" si="536"/>
        <v>0</v>
      </c>
      <c r="CM474" s="772">
        <f t="shared" ca="1" si="537"/>
        <v>0</v>
      </c>
      <c r="CN474" s="135"/>
      <c r="CO474" s="770">
        <f t="shared" ca="1" si="514"/>
        <v>1.05</v>
      </c>
      <c r="CP474" s="771">
        <f t="shared" ca="1" si="538"/>
        <v>0.02</v>
      </c>
      <c r="CQ474" s="771">
        <f t="shared" ca="1" si="539"/>
        <v>-2.5000000000000001E-2</v>
      </c>
      <c r="CR474" s="771">
        <f t="shared" ca="1" si="540"/>
        <v>0.95</v>
      </c>
      <c r="CS474" s="771">
        <f t="shared" ca="1" si="541"/>
        <v>0.03</v>
      </c>
      <c r="CT474" s="772">
        <f t="shared" ca="1" si="542"/>
        <v>0.02</v>
      </c>
      <c r="CU474" s="135"/>
      <c r="CV474" s="135"/>
      <c r="CW474" s="135"/>
      <c r="CX474" s="135"/>
      <c r="CY474" s="135"/>
      <c r="CZ474" s="135"/>
      <c r="DA474" s="135"/>
      <c r="DB474" s="135"/>
      <c r="DC474" s="135"/>
      <c r="DD474" s="135"/>
      <c r="DE474" s="135"/>
      <c r="DF474" s="135"/>
      <c r="DG474" s="135"/>
      <c r="DH474" s="135"/>
      <c r="DI474" s="135"/>
      <c r="DJ474" s="135"/>
      <c r="DK474" s="135"/>
      <c r="DL474" s="135"/>
      <c r="DX474" s="135"/>
      <c r="DY474" s="135"/>
      <c r="DZ474" s="135"/>
      <c r="EA474" s="135"/>
      <c r="EB474" s="135"/>
      <c r="EC474" s="135"/>
      <c r="ED474" s="135"/>
      <c r="EE474" s="135"/>
      <c r="EF474" s="135"/>
      <c r="EG474" s="135"/>
      <c r="EH474" s="135"/>
      <c r="EI474" s="135"/>
      <c r="EJ474" s="135"/>
      <c r="EK474" s="135"/>
      <c r="EL474" s="135"/>
      <c r="EM474" s="135"/>
      <c r="EN474" s="135"/>
      <c r="EO474" s="135"/>
      <c r="EP474" s="135"/>
      <c r="EQ474" s="135"/>
      <c r="ER474" s="135"/>
      <c r="ES474" s="135"/>
      <c r="ET474" s="135"/>
      <c r="EU474" s="135"/>
      <c r="EV474" s="135"/>
      <c r="EW474" s="135"/>
      <c r="EX474" s="135"/>
      <c r="EY474" s="135"/>
      <c r="EZ474" s="135"/>
      <c r="FA474" s="135"/>
      <c r="FB474" s="135"/>
      <c r="FC474" s="135"/>
      <c r="FD474" s="135"/>
      <c r="FE474" s="135"/>
      <c r="FF474" s="135"/>
      <c r="FG474" s="135"/>
    </row>
    <row r="475" spans="1:163" s="57" customFormat="1" ht="11.25" outlineLevel="1">
      <c r="A475" s="765">
        <f t="shared" si="515"/>
        <v>19</v>
      </c>
      <c r="B475" s="715" cm="1">
        <f t="array" aca="1" ref="B475" ca="1">INDIRECT("'Definition of Typical Day'!"&amp;ADDRESS(B$16,$E475))</f>
        <v>19</v>
      </c>
      <c r="C475" s="766">
        <f t="shared" si="516"/>
        <v>23</v>
      </c>
      <c r="D475" s="715">
        <f t="shared" si="516"/>
        <v>57</v>
      </c>
      <c r="E475" s="715">
        <f t="shared" si="517"/>
        <v>23</v>
      </c>
      <c r="F475" s="767" cm="1">
        <f t="array" aca="1" ref="F475" ca="1">INDIRECT("'Definition of Typical Day'!D"&amp;D475)</f>
        <v>23</v>
      </c>
      <c r="G475" s="767" cm="1">
        <f t="array" aca="1" ref="G475" ca="1">INDIRECT("'Definition of Typical Day'!"&amp;ADDRESS(13,E475))</f>
        <v>19</v>
      </c>
      <c r="H475" s="768" cm="1">
        <f t="array" aca="1" ref="H475" ca="1">INDIRECT("'Definition of Typical Day'!"&amp; ADDRESS($D475+28*(H$16-1),$E475))</f>
        <v>0</v>
      </c>
      <c r="I475" s="715" cm="1">
        <f t="array" aca="1" ref="I475" ca="1">INDIRECT("'Definition of Typical Day'!"&amp; ADDRESS($D475+29*(I$16-1),$E475))</f>
        <v>0</v>
      </c>
      <c r="J475" s="715">
        <f t="shared" ca="1" si="543"/>
        <v>0</v>
      </c>
      <c r="K475" s="785">
        <f t="shared" si="544"/>
        <v>28</v>
      </c>
      <c r="L475" s="786" cm="1">
        <f t="array" aca="1" ref="L475" ca="1">INDIRECT("'Definition of Typical Day'!"&amp; ADDRESS($D475+29*(L$16-1),$E475))</f>
        <v>0</v>
      </c>
      <c r="M475" s="768" cm="1">
        <f t="array" aca="1" ref="M475" ca="1">INDIRECT("'Definition of Typical Day'!"&amp; ADDRESS($D475+29*(M$16-1),$E475))</f>
        <v>0</v>
      </c>
      <c r="N475" s="715">
        <f t="shared" si="545"/>
        <v>3</v>
      </c>
      <c r="O475" s="715">
        <f t="shared" ca="1" si="546"/>
        <v>3</v>
      </c>
      <c r="P475" s="715" cm="1">
        <f t="array" aca="1" ref="P475" ca="1">INDIRECT("'Definition of Typical Day'!"&amp; ADDRESS($D475+29*(P$16-1),$E475))</f>
        <v>0</v>
      </c>
      <c r="Q475" s="787">
        <f t="shared" ca="1" si="547"/>
        <v>3</v>
      </c>
      <c r="R475" s="792">
        <f t="shared" ca="1" si="548"/>
        <v>3</v>
      </c>
      <c r="S475" s="769">
        <f t="shared" si="549"/>
        <v>3</v>
      </c>
      <c r="T475" s="769">
        <f t="shared" ca="1" si="550"/>
        <v>-0.5</v>
      </c>
      <c r="U475" s="769">
        <f t="shared" ca="1" si="551"/>
        <v>2.262</v>
      </c>
      <c r="V475" s="769">
        <f t="shared" ca="1" si="552"/>
        <v>0</v>
      </c>
      <c r="W475" s="769">
        <f t="shared" ca="1" si="553"/>
        <v>4.7620000000000005</v>
      </c>
      <c r="X475" s="794">
        <f t="shared" si="554"/>
        <v>3</v>
      </c>
      <c r="Y475" s="769">
        <f t="shared" ca="1" si="555"/>
        <v>0.54772255750516607</v>
      </c>
      <c r="Z475" s="769">
        <f t="shared" ca="1" si="556"/>
        <v>0</v>
      </c>
      <c r="AA475" s="795">
        <f t="shared" ca="1" si="557"/>
        <v>0</v>
      </c>
      <c r="AB475" s="769">
        <f t="shared" ca="1" si="558"/>
        <v>0</v>
      </c>
      <c r="AC475" s="769">
        <f t="shared" ca="1" si="559"/>
        <v>0</v>
      </c>
      <c r="AD475" s="769">
        <f t="shared" ca="1" si="560"/>
        <v>0</v>
      </c>
      <c r="AE475" s="794">
        <f t="shared" ca="1" si="561"/>
        <v>0</v>
      </c>
      <c r="AF475" s="769">
        <f t="shared" ca="1" si="562"/>
        <v>0</v>
      </c>
      <c r="AG475" s="769">
        <f t="shared" ca="1" si="563"/>
        <v>0</v>
      </c>
      <c r="AH475" s="799">
        <f t="shared" ca="1" si="564"/>
        <v>0</v>
      </c>
      <c r="AI475" s="801">
        <f t="shared" ca="1" si="565"/>
        <v>1</v>
      </c>
      <c r="AJ475" s="794">
        <f t="shared" ca="1" si="566"/>
        <v>0</v>
      </c>
      <c r="AK475" s="769">
        <f t="shared" ca="1" si="567"/>
        <v>0</v>
      </c>
      <c r="AL475" s="769">
        <f t="shared" ca="1" si="568"/>
        <v>0</v>
      </c>
      <c r="AM475" s="804">
        <f t="shared" ca="1" si="518"/>
        <v>0</v>
      </c>
      <c r="AN475" s="795">
        <f t="shared" ca="1" si="519"/>
        <v>0</v>
      </c>
      <c r="AO475" s="251"/>
      <c r="AP475" s="770">
        <f t="shared" si="569"/>
        <v>0</v>
      </c>
      <c r="AQ475" s="771">
        <f t="shared" ca="1" si="570"/>
        <v>0</v>
      </c>
      <c r="AR475" s="771">
        <f t="shared" ca="1" si="571"/>
        <v>0</v>
      </c>
      <c r="AS475" s="772">
        <f t="shared" ca="1" si="572"/>
        <v>0</v>
      </c>
      <c r="AT475" s="231"/>
      <c r="AU475" s="770">
        <f>'Main Results - IRR DC Operator'!$F$16</f>
        <v>2</v>
      </c>
      <c r="AV475" s="773">
        <f>'Main Results - IRR DC Operator'!$F$15</f>
        <v>1</v>
      </c>
      <c r="AW475" s="771">
        <f t="shared" ca="1" si="573"/>
        <v>0</v>
      </c>
      <c r="AX475" s="772">
        <f t="shared" si="574"/>
        <v>0</v>
      </c>
      <c r="AY475" s="231"/>
      <c r="AZ475" s="770" cm="1">
        <f t="array" aca="1" ref="AZ475" ca="1">INDIRECT("'Definition of Typical Day'!"&amp; ADDRESS($D475+29*(AZ$16-1),$E475))+$AZ$17</f>
        <v>11</v>
      </c>
      <c r="BA475" s="771" cm="1">
        <f t="array" aca="1" ref="BA475" ca="1">INDIRECT("'Definition of Typical Day'!"&amp; ADDRESS($D475+29*(BA$16-1),$E475))+$BA$17</f>
        <v>11</v>
      </c>
      <c r="BB475" s="772" cm="1">
        <f t="array" aca="1" ref="BB475" ca="1">INDIRECT("'Definition of Typical Day'!"&amp;ADDRESS(BB$16,$E475))</f>
        <v>0</v>
      </c>
      <c r="BC475" s="776" cm="1">
        <f t="array" aca="1" ref="BC475" ca="1">INDIRECT("'Definition of Typical Day'!"&amp; ADDRESS($D475+29*(BC$16-1),$E475))</f>
        <v>0</v>
      </c>
      <c r="BD475" s="777" cm="1">
        <f t="array" aca="1" ref="BD475" ca="1">INDIRECT("'Definition of Typical Day'!"&amp; ADDRESS($D475+29*(BD$16-1),$E475))</f>
        <v>0</v>
      </c>
      <c r="BE475" s="776">
        <f t="shared" si="575"/>
        <v>0</v>
      </c>
      <c r="BF475" s="771">
        <f t="shared" ca="1" si="576"/>
        <v>0</v>
      </c>
      <c r="BG475" s="771">
        <f t="shared" ca="1" si="577"/>
        <v>0</v>
      </c>
      <c r="BH475" s="771">
        <f t="shared" ca="1" si="578"/>
        <v>0</v>
      </c>
      <c r="BI475" s="776">
        <f t="shared" ca="1" si="579"/>
        <v>0</v>
      </c>
      <c r="BJ475" s="776">
        <f t="shared" ca="1" si="580"/>
        <v>0</v>
      </c>
      <c r="BK475" s="776">
        <f t="shared" ca="1" si="581"/>
        <v>0</v>
      </c>
      <c r="BL475" s="776">
        <f t="shared" ca="1" si="582"/>
        <v>0</v>
      </c>
      <c r="BM475" s="135"/>
      <c r="BN475" s="776">
        <f t="shared" ca="1" si="583"/>
        <v>0</v>
      </c>
      <c r="BO475" s="778">
        <f t="shared" ca="1" si="520"/>
        <v>0</v>
      </c>
      <c r="BP475" s="770">
        <f t="shared" ca="1" si="521"/>
        <v>0</v>
      </c>
      <c r="BQ475" s="771">
        <f t="shared" ca="1" si="522"/>
        <v>0</v>
      </c>
      <c r="BR475" s="771">
        <f t="shared" ca="1" si="523"/>
        <v>0</v>
      </c>
      <c r="BS475" s="776">
        <f t="shared" ca="1" si="584"/>
        <v>0</v>
      </c>
      <c r="BT475" s="776">
        <f t="shared" ca="1" si="524"/>
        <v>0</v>
      </c>
      <c r="BU475" s="783">
        <f t="shared" ca="1" si="525"/>
        <v>0</v>
      </c>
      <c r="BV475" s="783">
        <f t="shared" ca="1" si="526"/>
        <v>0</v>
      </c>
      <c r="BW475" s="1019">
        <f t="shared" ca="1" si="585"/>
        <v>0</v>
      </c>
      <c r="BX475" s="771" cm="1">
        <f t="array" aca="1" ref="BX475" ca="1">INDIRECT("'Definition of Typical Day'!"&amp; ADDRESS($D475+29*(BX$16-1),$E475))</f>
        <v>0</v>
      </c>
      <c r="BY475" s="771">
        <f t="shared" ca="1" si="586"/>
        <v>0</v>
      </c>
      <c r="BZ475" s="781">
        <f t="shared" ca="1" si="527"/>
        <v>0</v>
      </c>
      <c r="CA475" s="781">
        <f t="shared" ca="1" si="528"/>
        <v>0</v>
      </c>
      <c r="CB475" s="776">
        <f t="shared" ca="1" si="529"/>
        <v>0</v>
      </c>
      <c r="CC475" s="782">
        <f t="shared" si="530"/>
        <v>19</v>
      </c>
      <c r="CD475" s="782">
        <f t="shared" si="531"/>
        <v>23</v>
      </c>
      <c r="CE475" s="784" cm="1">
        <f t="array" aca="1" ref="CE475" ca="1">INDIRECT("'Definition of Typical Day'!"&amp;ADDRESS(CE$16,$E475))</f>
        <v>19</v>
      </c>
      <c r="CF475" s="232"/>
      <c r="CG475" s="232"/>
      <c r="CH475" s="776">
        <f t="shared" ca="1" si="532"/>
        <v>0</v>
      </c>
      <c r="CI475" s="806">
        <f t="shared" ca="1" si="533"/>
        <v>0</v>
      </c>
      <c r="CJ475" s="770">
        <f t="shared" ca="1" si="534"/>
        <v>0</v>
      </c>
      <c r="CK475" s="771">
        <f t="shared" ca="1" si="535"/>
        <v>0</v>
      </c>
      <c r="CL475" s="771">
        <f t="shared" ca="1" si="536"/>
        <v>0</v>
      </c>
      <c r="CM475" s="772">
        <f t="shared" ca="1" si="537"/>
        <v>0</v>
      </c>
      <c r="CN475" s="135"/>
      <c r="CO475" s="770">
        <f t="shared" ca="1" si="514"/>
        <v>1.05</v>
      </c>
      <c r="CP475" s="771">
        <f t="shared" ca="1" si="538"/>
        <v>0.02</v>
      </c>
      <c r="CQ475" s="771">
        <f t="shared" ca="1" si="539"/>
        <v>-2.5000000000000001E-2</v>
      </c>
      <c r="CR475" s="771">
        <f t="shared" ca="1" si="540"/>
        <v>0.95</v>
      </c>
      <c r="CS475" s="771">
        <f t="shared" ca="1" si="541"/>
        <v>0.03</v>
      </c>
      <c r="CT475" s="772">
        <f t="shared" ca="1" si="542"/>
        <v>0.02</v>
      </c>
      <c r="CU475" s="135"/>
      <c r="CV475" s="135"/>
      <c r="CW475" s="135"/>
      <c r="CX475" s="135"/>
      <c r="CY475" s="135"/>
      <c r="CZ475" s="135"/>
      <c r="DA475" s="135"/>
      <c r="DB475" s="135"/>
      <c r="DC475" s="135"/>
      <c r="DD475" s="135"/>
      <c r="DE475" s="135"/>
      <c r="DF475" s="135"/>
      <c r="DG475" s="135"/>
      <c r="DH475" s="135"/>
      <c r="DI475" s="135"/>
      <c r="DJ475" s="135"/>
      <c r="DK475" s="135"/>
      <c r="DL475" s="135"/>
      <c r="DX475" s="135"/>
      <c r="DY475" s="135"/>
      <c r="DZ475" s="135"/>
      <c r="EA475" s="135"/>
      <c r="EB475" s="135"/>
      <c r="EC475" s="135"/>
      <c r="ED475" s="135"/>
      <c r="EE475" s="135"/>
      <c r="EF475" s="135"/>
      <c r="EG475" s="135"/>
      <c r="EH475" s="135"/>
      <c r="EI475" s="135"/>
      <c r="EJ475" s="135"/>
      <c r="EK475" s="135"/>
      <c r="EL475" s="135"/>
      <c r="EM475" s="135"/>
      <c r="EN475" s="135"/>
      <c r="EO475" s="135"/>
      <c r="EP475" s="135"/>
      <c r="EQ475" s="135"/>
      <c r="ER475" s="135"/>
      <c r="ES475" s="135"/>
      <c r="ET475" s="135"/>
      <c r="EU475" s="135"/>
      <c r="EV475" s="135"/>
      <c r="EW475" s="135"/>
      <c r="EX475" s="135"/>
      <c r="EY475" s="135"/>
      <c r="EZ475" s="135"/>
      <c r="FA475" s="135"/>
      <c r="FB475" s="135"/>
      <c r="FC475" s="135"/>
      <c r="FD475" s="135"/>
      <c r="FE475" s="135"/>
      <c r="FF475" s="135"/>
      <c r="FG475" s="135"/>
    </row>
    <row r="476" spans="1:163" s="57" customFormat="1" ht="11.25" outlineLevel="1">
      <c r="A476" s="765">
        <f t="shared" si="515"/>
        <v>19</v>
      </c>
      <c r="B476" s="715" cm="1">
        <f t="array" aca="1" ref="B476" ca="1">INDIRECT("'Definition of Typical Day'!"&amp;ADDRESS(B$16,$E476))</f>
        <v>19</v>
      </c>
      <c r="C476" s="766">
        <f t="shared" si="516"/>
        <v>24</v>
      </c>
      <c r="D476" s="715">
        <f t="shared" si="516"/>
        <v>58</v>
      </c>
      <c r="E476" s="715">
        <f t="shared" si="517"/>
        <v>23</v>
      </c>
      <c r="F476" s="767" cm="1">
        <f t="array" aca="1" ref="F476" ca="1">INDIRECT("'Definition of Typical Day'!D"&amp;D476)</f>
        <v>24</v>
      </c>
      <c r="G476" s="767" cm="1">
        <f t="array" aca="1" ref="G476" ca="1">INDIRECT("'Definition of Typical Day'!"&amp;ADDRESS(13,E476))</f>
        <v>19</v>
      </c>
      <c r="H476" s="768" cm="1">
        <f t="array" aca="1" ref="H476" ca="1">INDIRECT("'Definition of Typical Day'!"&amp; ADDRESS($D476+28*(H$16-1),$E476))</f>
        <v>0</v>
      </c>
      <c r="I476" s="715" cm="1">
        <f t="array" aca="1" ref="I476" ca="1">INDIRECT("'Definition of Typical Day'!"&amp; ADDRESS($D476+29*(I$16-1),$E476))</f>
        <v>0</v>
      </c>
      <c r="J476" s="715">
        <f t="shared" ca="1" si="543"/>
        <v>0</v>
      </c>
      <c r="K476" s="785">
        <f t="shared" si="544"/>
        <v>28</v>
      </c>
      <c r="L476" s="786" cm="1">
        <f t="array" aca="1" ref="L476" ca="1">INDIRECT("'Definition of Typical Day'!"&amp; ADDRESS($D476+29*(L$16-1),$E476))</f>
        <v>0</v>
      </c>
      <c r="M476" s="768" cm="1">
        <f t="array" aca="1" ref="M476" ca="1">INDIRECT("'Definition of Typical Day'!"&amp; ADDRESS($D476+29*(M$16-1),$E476))</f>
        <v>0</v>
      </c>
      <c r="N476" s="715">
        <f t="shared" si="545"/>
        <v>3</v>
      </c>
      <c r="O476" s="715">
        <f t="shared" ca="1" si="546"/>
        <v>3</v>
      </c>
      <c r="P476" s="715" cm="1">
        <f t="array" aca="1" ref="P476" ca="1">INDIRECT("'Definition of Typical Day'!"&amp; ADDRESS($D476+29*(P$16-1),$E476))</f>
        <v>0</v>
      </c>
      <c r="Q476" s="787">
        <f t="shared" ca="1" si="547"/>
        <v>3</v>
      </c>
      <c r="R476" s="792">
        <f t="shared" ca="1" si="548"/>
        <v>3</v>
      </c>
      <c r="S476" s="769">
        <f t="shared" si="549"/>
        <v>3</v>
      </c>
      <c r="T476" s="769">
        <f t="shared" ca="1" si="550"/>
        <v>-0.5</v>
      </c>
      <c r="U476" s="769">
        <f t="shared" ca="1" si="551"/>
        <v>2.262</v>
      </c>
      <c r="V476" s="769">
        <f t="shared" ca="1" si="552"/>
        <v>0</v>
      </c>
      <c r="W476" s="769">
        <f t="shared" ca="1" si="553"/>
        <v>4.7620000000000005</v>
      </c>
      <c r="X476" s="794">
        <f t="shared" si="554"/>
        <v>3</v>
      </c>
      <c r="Y476" s="769">
        <f t="shared" ca="1" si="555"/>
        <v>0.54772255750516607</v>
      </c>
      <c r="Z476" s="769">
        <f t="shared" ca="1" si="556"/>
        <v>0</v>
      </c>
      <c r="AA476" s="795">
        <f t="shared" ca="1" si="557"/>
        <v>0</v>
      </c>
      <c r="AB476" s="769">
        <f t="shared" ca="1" si="558"/>
        <v>0</v>
      </c>
      <c r="AC476" s="769">
        <f t="shared" ca="1" si="559"/>
        <v>0</v>
      </c>
      <c r="AD476" s="769">
        <f t="shared" ca="1" si="560"/>
        <v>0</v>
      </c>
      <c r="AE476" s="794">
        <f t="shared" ca="1" si="561"/>
        <v>0</v>
      </c>
      <c r="AF476" s="769">
        <f t="shared" ca="1" si="562"/>
        <v>0</v>
      </c>
      <c r="AG476" s="769">
        <f t="shared" ca="1" si="563"/>
        <v>0</v>
      </c>
      <c r="AH476" s="799">
        <f t="shared" ca="1" si="564"/>
        <v>0</v>
      </c>
      <c r="AI476" s="801">
        <f t="shared" ca="1" si="565"/>
        <v>1</v>
      </c>
      <c r="AJ476" s="794">
        <f t="shared" ca="1" si="566"/>
        <v>0</v>
      </c>
      <c r="AK476" s="769">
        <f t="shared" ca="1" si="567"/>
        <v>0</v>
      </c>
      <c r="AL476" s="769">
        <f t="shared" ca="1" si="568"/>
        <v>0</v>
      </c>
      <c r="AM476" s="804">
        <f t="shared" ca="1" si="518"/>
        <v>0</v>
      </c>
      <c r="AN476" s="795">
        <f t="shared" ca="1" si="519"/>
        <v>0</v>
      </c>
      <c r="AO476" s="251"/>
      <c r="AP476" s="770">
        <f t="shared" si="569"/>
        <v>0</v>
      </c>
      <c r="AQ476" s="771">
        <f t="shared" ca="1" si="570"/>
        <v>0</v>
      </c>
      <c r="AR476" s="771">
        <f t="shared" ca="1" si="571"/>
        <v>0</v>
      </c>
      <c r="AS476" s="772">
        <f t="shared" ca="1" si="572"/>
        <v>0</v>
      </c>
      <c r="AT476" s="231"/>
      <c r="AU476" s="770">
        <f>'Main Results - IRR DC Operator'!$F$16</f>
        <v>2</v>
      </c>
      <c r="AV476" s="773">
        <f>'Main Results - IRR DC Operator'!$F$15</f>
        <v>1</v>
      </c>
      <c r="AW476" s="771">
        <f t="shared" ca="1" si="573"/>
        <v>0</v>
      </c>
      <c r="AX476" s="772">
        <f t="shared" si="574"/>
        <v>0</v>
      </c>
      <c r="AY476" s="231"/>
      <c r="AZ476" s="770" cm="1">
        <f t="array" aca="1" ref="AZ476" ca="1">INDIRECT("'Definition of Typical Day'!"&amp; ADDRESS($D476+29*(AZ$16-1),$E476))+$AZ$17</f>
        <v>11</v>
      </c>
      <c r="BA476" s="771" cm="1">
        <f t="array" aca="1" ref="BA476" ca="1">INDIRECT("'Definition of Typical Day'!"&amp; ADDRESS($D476+29*(BA$16-1),$E476))+$BA$17</f>
        <v>11</v>
      </c>
      <c r="BB476" s="772" cm="1">
        <f t="array" aca="1" ref="BB476" ca="1">INDIRECT("'Definition of Typical Day'!"&amp;ADDRESS(BB$16,$E476))</f>
        <v>0</v>
      </c>
      <c r="BC476" s="776" cm="1">
        <f t="array" aca="1" ref="BC476" ca="1">INDIRECT("'Definition of Typical Day'!"&amp; ADDRESS($D476+29*(BC$16-1),$E476))</f>
        <v>0</v>
      </c>
      <c r="BD476" s="777" cm="1">
        <f t="array" aca="1" ref="BD476" ca="1">INDIRECT("'Definition of Typical Day'!"&amp; ADDRESS($D476+29*(BD$16-1),$E476))</f>
        <v>0</v>
      </c>
      <c r="BE476" s="776">
        <f t="shared" si="575"/>
        <v>0</v>
      </c>
      <c r="BF476" s="771">
        <f t="shared" ca="1" si="576"/>
        <v>0</v>
      </c>
      <c r="BG476" s="771">
        <f t="shared" ca="1" si="577"/>
        <v>0</v>
      </c>
      <c r="BH476" s="771">
        <f t="shared" ca="1" si="578"/>
        <v>0</v>
      </c>
      <c r="BI476" s="776">
        <f t="shared" ca="1" si="579"/>
        <v>0</v>
      </c>
      <c r="BJ476" s="776">
        <f t="shared" ca="1" si="580"/>
        <v>0</v>
      </c>
      <c r="BK476" s="776">
        <f t="shared" ca="1" si="581"/>
        <v>0</v>
      </c>
      <c r="BL476" s="776">
        <f t="shared" ca="1" si="582"/>
        <v>0</v>
      </c>
      <c r="BM476" s="135"/>
      <c r="BN476" s="776">
        <f t="shared" ca="1" si="583"/>
        <v>0</v>
      </c>
      <c r="BO476" s="778">
        <f t="shared" ca="1" si="520"/>
        <v>0</v>
      </c>
      <c r="BP476" s="770">
        <f t="shared" ca="1" si="521"/>
        <v>0</v>
      </c>
      <c r="BQ476" s="771">
        <f t="shared" ca="1" si="522"/>
        <v>0</v>
      </c>
      <c r="BR476" s="771">
        <f t="shared" ca="1" si="523"/>
        <v>0</v>
      </c>
      <c r="BS476" s="776">
        <f t="shared" ca="1" si="584"/>
        <v>0</v>
      </c>
      <c r="BT476" s="776">
        <f t="shared" ca="1" si="524"/>
        <v>0</v>
      </c>
      <c r="BU476" s="783">
        <f t="shared" ca="1" si="525"/>
        <v>0</v>
      </c>
      <c r="BV476" s="783">
        <f t="shared" ca="1" si="526"/>
        <v>0</v>
      </c>
      <c r="BW476" s="1019">
        <f t="shared" ca="1" si="585"/>
        <v>0</v>
      </c>
      <c r="BX476" s="771" cm="1">
        <f t="array" aca="1" ref="BX476" ca="1">INDIRECT("'Definition of Typical Day'!"&amp; ADDRESS($D476+29*(BX$16-1),$E476))</f>
        <v>0</v>
      </c>
      <c r="BY476" s="771">
        <f t="shared" ca="1" si="586"/>
        <v>0</v>
      </c>
      <c r="BZ476" s="781">
        <f t="shared" ca="1" si="527"/>
        <v>0</v>
      </c>
      <c r="CA476" s="781">
        <f t="shared" ca="1" si="528"/>
        <v>0</v>
      </c>
      <c r="CB476" s="776">
        <f t="shared" ca="1" si="529"/>
        <v>0</v>
      </c>
      <c r="CC476" s="782">
        <f t="shared" si="530"/>
        <v>19</v>
      </c>
      <c r="CD476" s="782">
        <f t="shared" si="531"/>
        <v>24</v>
      </c>
      <c r="CE476" s="784" cm="1">
        <f t="array" aca="1" ref="CE476" ca="1">INDIRECT("'Definition of Typical Day'!"&amp;ADDRESS(CE$16,$E476))</f>
        <v>19</v>
      </c>
      <c r="CF476" s="232"/>
      <c r="CG476" s="232"/>
      <c r="CH476" s="776">
        <f t="shared" ca="1" si="532"/>
        <v>0</v>
      </c>
      <c r="CI476" s="806">
        <f t="shared" ca="1" si="533"/>
        <v>0</v>
      </c>
      <c r="CJ476" s="770">
        <f t="shared" ca="1" si="534"/>
        <v>0</v>
      </c>
      <c r="CK476" s="771">
        <f t="shared" ca="1" si="535"/>
        <v>0</v>
      </c>
      <c r="CL476" s="771">
        <f t="shared" ca="1" si="536"/>
        <v>0</v>
      </c>
      <c r="CM476" s="772">
        <f t="shared" ca="1" si="537"/>
        <v>0</v>
      </c>
      <c r="CN476" s="135"/>
      <c r="CO476" s="770">
        <f t="shared" ca="1" si="514"/>
        <v>1.05</v>
      </c>
      <c r="CP476" s="771">
        <f t="shared" ca="1" si="538"/>
        <v>0.02</v>
      </c>
      <c r="CQ476" s="771">
        <f t="shared" ca="1" si="539"/>
        <v>-2.5000000000000001E-2</v>
      </c>
      <c r="CR476" s="771">
        <f t="shared" ca="1" si="540"/>
        <v>0.95</v>
      </c>
      <c r="CS476" s="771">
        <f t="shared" ca="1" si="541"/>
        <v>0.03</v>
      </c>
      <c r="CT476" s="772">
        <f t="shared" ca="1" si="542"/>
        <v>0.02</v>
      </c>
      <c r="CU476" s="135"/>
      <c r="CV476" s="135"/>
      <c r="CW476" s="135"/>
      <c r="CX476" s="135"/>
      <c r="CY476" s="135"/>
      <c r="CZ476" s="135"/>
      <c r="DA476" s="135"/>
      <c r="DB476" s="135"/>
      <c r="DC476" s="135"/>
      <c r="DD476" s="135"/>
      <c r="DE476" s="135"/>
      <c r="DF476" s="135"/>
      <c r="DG476" s="135"/>
      <c r="DH476" s="135"/>
      <c r="DI476" s="135"/>
      <c r="DJ476" s="135"/>
      <c r="DK476" s="135"/>
      <c r="DL476" s="135"/>
      <c r="DX476" s="135"/>
      <c r="DY476" s="135"/>
      <c r="DZ476" s="135"/>
      <c r="EA476" s="135"/>
      <c r="EB476" s="135"/>
      <c r="EC476" s="135"/>
      <c r="ED476" s="135"/>
      <c r="EE476" s="135"/>
      <c r="EF476" s="135"/>
      <c r="EG476" s="135"/>
      <c r="EH476" s="135"/>
      <c r="EI476" s="135"/>
      <c r="EJ476" s="135"/>
      <c r="EK476" s="135"/>
      <c r="EL476" s="135"/>
      <c r="EM476" s="135"/>
      <c r="EN476" s="135"/>
      <c r="EO476" s="135"/>
      <c r="EP476" s="135"/>
      <c r="EQ476" s="135"/>
      <c r="ER476" s="135"/>
      <c r="ES476" s="135"/>
      <c r="ET476" s="135"/>
      <c r="EU476" s="135"/>
      <c r="EV476" s="135"/>
      <c r="EW476" s="135"/>
      <c r="EX476" s="135"/>
      <c r="EY476" s="135"/>
      <c r="EZ476" s="135"/>
      <c r="FA476" s="135"/>
      <c r="FB476" s="135"/>
      <c r="FC476" s="135"/>
      <c r="FD476" s="135"/>
      <c r="FE476" s="135"/>
      <c r="FF476" s="135"/>
      <c r="FG476" s="135"/>
    </row>
    <row r="477" spans="1:163" s="57" customFormat="1" ht="11.25" outlineLevel="1">
      <c r="A477" s="765">
        <f t="shared" si="515"/>
        <v>20</v>
      </c>
      <c r="B477" s="715" t="str" cm="1">
        <f t="array" aca="1" ref="B477" ca="1">INDIRECT("'Definition of Typical Day'!"&amp;ADDRESS(B$16,$E477))</f>
        <v>20</v>
      </c>
      <c r="C477" s="766">
        <f t="shared" si="516"/>
        <v>1</v>
      </c>
      <c r="D477" s="715">
        <f t="shared" si="516"/>
        <v>35</v>
      </c>
      <c r="E477" s="715">
        <f t="shared" si="517"/>
        <v>24</v>
      </c>
      <c r="F477" s="767" cm="1">
        <f t="array" aca="1" ref="F477" ca="1">INDIRECT("'Definition of Typical Day'!D"&amp;D477)</f>
        <v>1</v>
      </c>
      <c r="G477" s="767" cm="1">
        <f t="array" aca="1" ref="G477" ca="1">INDIRECT("'Definition of Typical Day'!"&amp;ADDRESS(13,E477))</f>
        <v>20</v>
      </c>
      <c r="H477" s="768" cm="1">
        <f t="array" aca="1" ref="H477" ca="1">INDIRECT("'Definition of Typical Day'!"&amp; ADDRESS($D477+28*(H$16-1),$E477))</f>
        <v>1E-3</v>
      </c>
      <c r="I477" s="715" cm="1">
        <f t="array" aca="1" ref="I477" ca="1">INDIRECT("'Definition of Typical Day'!"&amp; ADDRESS($D477+29*(I$16-1),$E477))</f>
        <v>30</v>
      </c>
      <c r="J477" s="715">
        <f t="shared" ca="1" si="543"/>
        <v>27</v>
      </c>
      <c r="K477" s="785">
        <f t="shared" si="544"/>
        <v>28</v>
      </c>
      <c r="L477" s="786" cm="1">
        <f t="array" aca="1" ref="L477" ca="1">INDIRECT("'Definition of Typical Day'!"&amp; ADDRESS($D477+29*(L$16-1),$E477))</f>
        <v>100</v>
      </c>
      <c r="M477" s="768" cm="1">
        <f t="array" aca="1" ref="M477" ca="1">INDIRECT("'Definition of Typical Day'!"&amp; ADDRESS($D477+29*(M$16-1),$E477))</f>
        <v>93</v>
      </c>
      <c r="N477" s="715">
        <f t="shared" si="545"/>
        <v>3</v>
      </c>
      <c r="O477" s="715">
        <f t="shared" ca="1" si="546"/>
        <v>96</v>
      </c>
      <c r="P477" s="715" cm="1">
        <f t="array" aca="1" ref="P477" ca="1">INDIRECT("'Definition of Typical Day'!"&amp; ADDRESS($D477+29*(P$16-1),$E477))</f>
        <v>45</v>
      </c>
      <c r="Q477" s="787">
        <f t="shared" ca="1" si="547"/>
        <v>48</v>
      </c>
      <c r="R477" s="792">
        <f t="shared" ca="1" si="548"/>
        <v>95</v>
      </c>
      <c r="S477" s="769">
        <f t="shared" si="549"/>
        <v>3</v>
      </c>
      <c r="T477" s="769">
        <f t="shared" ca="1" si="550"/>
        <v>0.04</v>
      </c>
      <c r="U477" s="769">
        <f t="shared" ca="1" si="551"/>
        <v>-0.13</v>
      </c>
      <c r="V477" s="769">
        <f t="shared" ca="1" si="552"/>
        <v>0</v>
      </c>
      <c r="W477" s="769">
        <f t="shared" ca="1" si="553"/>
        <v>2.91</v>
      </c>
      <c r="X477" s="794">
        <f t="shared" si="554"/>
        <v>3</v>
      </c>
      <c r="Y477" s="769">
        <f t="shared" ca="1" si="555"/>
        <v>3</v>
      </c>
      <c r="Z477" s="769">
        <f t="shared" ca="1" si="556"/>
        <v>1.5235602094240837E-3</v>
      </c>
      <c r="AA477" s="795">
        <f t="shared" ca="1" si="557"/>
        <v>1.5235602094240837E-3</v>
      </c>
      <c r="AB477" s="769">
        <f t="shared" ca="1" si="558"/>
        <v>1</v>
      </c>
      <c r="AC477" s="769">
        <f t="shared" ca="1" si="559"/>
        <v>3.2416174668597527E-5</v>
      </c>
      <c r="AD477" s="769">
        <f t="shared" ca="1" si="560"/>
        <v>3.2416174668597527E-5</v>
      </c>
      <c r="AE477" s="794">
        <f t="shared" ca="1" si="561"/>
        <v>1.5559763840926812E-3</v>
      </c>
      <c r="AF477" s="769">
        <f t="shared" ca="1" si="562"/>
        <v>1.5559763840926811E-5</v>
      </c>
      <c r="AG477" s="769">
        <f t="shared" ca="1" si="563"/>
        <v>1.5404166202517544E-3</v>
      </c>
      <c r="AH477" s="799">
        <f t="shared" ca="1" si="564"/>
        <v>1.5404166202517544E-3</v>
      </c>
      <c r="AI477" s="801">
        <f t="shared" ca="1" si="565"/>
        <v>1</v>
      </c>
      <c r="AJ477" s="794">
        <f t="shared" ca="1" si="566"/>
        <v>1E-3</v>
      </c>
      <c r="AK477" s="769">
        <f t="shared" ca="1" si="567"/>
        <v>5.2356020942408371E-4</v>
      </c>
      <c r="AL477" s="769">
        <f t="shared" ca="1" si="568"/>
        <v>3.2743610776361136E-5</v>
      </c>
      <c r="AM477" s="804">
        <f t="shared" ca="1" si="518"/>
        <v>0</v>
      </c>
      <c r="AN477" s="795">
        <f t="shared" ca="1" si="519"/>
        <v>1.3333333333333334E-4</v>
      </c>
      <c r="AO477" s="251"/>
      <c r="AP477" s="770">
        <f t="shared" si="569"/>
        <v>0</v>
      </c>
      <c r="AQ477" s="771">
        <f t="shared" ca="1" si="570"/>
        <v>0</v>
      </c>
      <c r="AR477" s="771">
        <f t="shared" ca="1" si="571"/>
        <v>2E-3</v>
      </c>
      <c r="AS477" s="772">
        <f t="shared" ca="1" si="572"/>
        <v>2E-3</v>
      </c>
      <c r="AT477" s="231"/>
      <c r="AU477" s="770">
        <f>'Main Results - IRR DC Operator'!$F$16</f>
        <v>2</v>
      </c>
      <c r="AV477" s="773">
        <f>'Main Results - IRR DC Operator'!$F$15</f>
        <v>1</v>
      </c>
      <c r="AW477" s="771">
        <f t="shared" ca="1" si="573"/>
        <v>2E-3</v>
      </c>
      <c r="AX477" s="772">
        <f t="shared" si="574"/>
        <v>0</v>
      </c>
      <c r="AY477" s="231"/>
      <c r="AZ477" s="770" cm="1">
        <f t="array" aca="1" ref="AZ477" ca="1">INDIRECT("'Definition of Typical Day'!"&amp; ADDRESS($D477+29*(AZ$16-1),$E477))+$AZ$17</f>
        <v>77</v>
      </c>
      <c r="BA477" s="771" cm="1">
        <f t="array" aca="1" ref="BA477" ca="1">INDIRECT("'Definition of Typical Day'!"&amp; ADDRESS($D477+29*(BA$16-1),$E477))+$BA$17</f>
        <v>77</v>
      </c>
      <c r="BB477" s="772" cm="1">
        <f t="array" aca="1" ref="BB477" ca="1">INDIRECT("'Definition of Typical Day'!"&amp;ADDRESS(BB$16,$E477))</f>
        <v>0</v>
      </c>
      <c r="BC477" s="776" cm="1">
        <f t="array" aca="1" ref="BC477" ca="1">INDIRECT("'Definition of Typical Day'!"&amp; ADDRESS($D477+29*(BC$16-1),$E477))</f>
        <v>100</v>
      </c>
      <c r="BD477" s="777" cm="1">
        <f t="array" aca="1" ref="BD477" ca="1">INDIRECT("'Definition of Typical Day'!"&amp; ADDRESS($D477+29*(BD$16-1),$E477))</f>
        <v>1</v>
      </c>
      <c r="BE477" s="776">
        <f t="shared" si="575"/>
        <v>0</v>
      </c>
      <c r="BF477" s="771">
        <f t="shared" ca="1" si="576"/>
        <v>4.0314136125654446E-2</v>
      </c>
      <c r="BG477" s="771">
        <f t="shared" ca="1" si="577"/>
        <v>0</v>
      </c>
      <c r="BH477" s="771">
        <f t="shared" ca="1" si="578"/>
        <v>2.5212580297798073E-3</v>
      </c>
      <c r="BI477" s="776">
        <f t="shared" ca="1" si="579"/>
        <v>0</v>
      </c>
      <c r="BJ477" s="776">
        <f t="shared" ca="1" si="580"/>
        <v>1.3333333333333334E-2</v>
      </c>
      <c r="BK477" s="776">
        <f t="shared" ca="1" si="581"/>
        <v>0</v>
      </c>
      <c r="BL477" s="776">
        <f t="shared" ca="1" si="582"/>
        <v>0</v>
      </c>
      <c r="BM477" s="135"/>
      <c r="BN477" s="776">
        <f t="shared" ca="1" si="583"/>
        <v>4.4835394155434256E-2</v>
      </c>
      <c r="BO477" s="778">
        <f t="shared" ca="1" si="520"/>
        <v>29.106018181046817</v>
      </c>
      <c r="BP477" s="770">
        <f t="shared" ca="1" si="521"/>
        <v>4.2835394155434255E-2</v>
      </c>
      <c r="BQ477" s="771">
        <f t="shared" ca="1" si="522"/>
        <v>0</v>
      </c>
      <c r="BR477" s="771">
        <f t="shared" ca="1" si="523"/>
        <v>0</v>
      </c>
      <c r="BS477" s="776">
        <f t="shared" ca="1" si="584"/>
        <v>4.4835394155434256E-2</v>
      </c>
      <c r="BT477" s="776">
        <f t="shared" ca="1" si="524"/>
        <v>4.2835394155434255E-2</v>
      </c>
      <c r="BU477" s="783">
        <f t="shared" ca="1" si="525"/>
        <v>27.807668128401232</v>
      </c>
      <c r="BV477" s="783">
        <f t="shared" ca="1" si="526"/>
        <v>27.807668128401232</v>
      </c>
      <c r="BW477" s="1019">
        <f t="shared" ca="1" si="585"/>
        <v>27.807668128401232</v>
      </c>
      <c r="BX477" s="771" cm="1">
        <f t="array" aca="1" ref="BX477" ca="1">INDIRECT("'Definition of Typical Day'!"&amp; ADDRESS($D477+29*(BX$16-1),$E477))</f>
        <v>65</v>
      </c>
      <c r="BY477" s="771">
        <f t="shared" ca="1" si="586"/>
        <v>0</v>
      </c>
      <c r="BZ477" s="781">
        <f t="shared" ca="1" si="527"/>
        <v>0</v>
      </c>
      <c r="CA477" s="781">
        <f t="shared" ca="1" si="528"/>
        <v>0</v>
      </c>
      <c r="CB477" s="776">
        <f t="shared" ca="1" si="529"/>
        <v>0.10012708031636404</v>
      </c>
      <c r="CC477" s="782">
        <f t="shared" si="530"/>
        <v>20</v>
      </c>
      <c r="CD477" s="782">
        <f t="shared" si="531"/>
        <v>1</v>
      </c>
      <c r="CE477" s="784" t="str" cm="1">
        <f t="array" aca="1" ref="CE477" ca="1">INDIRECT("'Definition of Typical Day'!"&amp;ADDRESS(CE$16,$E477))</f>
        <v>20</v>
      </c>
      <c r="CF477" s="232"/>
      <c r="CG477" s="232"/>
      <c r="CH477" s="776">
        <f t="shared" ca="1" si="532"/>
        <v>1E-3</v>
      </c>
      <c r="CI477" s="806">
        <f t="shared" ca="1" si="533"/>
        <v>100</v>
      </c>
      <c r="CJ477" s="770">
        <f t="shared" ca="1" si="534"/>
        <v>0</v>
      </c>
      <c r="CK477" s="771">
        <f t="shared" ca="1" si="535"/>
        <v>0</v>
      </c>
      <c r="CL477" s="771">
        <f t="shared" ca="1" si="536"/>
        <v>0</v>
      </c>
      <c r="CM477" s="772">
        <f t="shared" ca="1" si="537"/>
        <v>0</v>
      </c>
      <c r="CN477" s="135"/>
      <c r="CO477" s="770">
        <f t="shared" ca="1" si="514"/>
        <v>1.05</v>
      </c>
      <c r="CP477" s="771">
        <f t="shared" ca="1" si="538"/>
        <v>0.98</v>
      </c>
      <c r="CQ477" s="771">
        <f t="shared" ca="1" si="539"/>
        <v>-2.5000000000000001E-2</v>
      </c>
      <c r="CR477" s="771">
        <f t="shared" ca="1" si="540"/>
        <v>0.95</v>
      </c>
      <c r="CS477" s="771">
        <f t="shared" ca="1" si="541"/>
        <v>0.03</v>
      </c>
      <c r="CT477" s="772">
        <f t="shared" ca="1" si="542"/>
        <v>0.02</v>
      </c>
      <c r="CU477" s="135"/>
      <c r="CV477" s="135"/>
      <c r="CW477" s="135"/>
      <c r="CX477" s="135"/>
      <c r="CY477" s="135"/>
      <c r="CZ477" s="135"/>
      <c r="DA477" s="135"/>
      <c r="DB477" s="135"/>
      <c r="DC477" s="135"/>
      <c r="DD477" s="135"/>
      <c r="DE477" s="135"/>
      <c r="DF477" s="135"/>
      <c r="DG477" s="135"/>
      <c r="DH477" s="135"/>
      <c r="DI477" s="135"/>
      <c r="DJ477" s="135"/>
      <c r="DK477" s="135"/>
      <c r="DL477" s="135"/>
      <c r="DX477" s="135"/>
      <c r="DY477" s="135"/>
      <c r="DZ477" s="135"/>
      <c r="EA477" s="135"/>
      <c r="EB477" s="135"/>
      <c r="EC477" s="135"/>
      <c r="ED477" s="135"/>
      <c r="EE477" s="135"/>
      <c r="EF477" s="135"/>
      <c r="EG477" s="135"/>
      <c r="EH477" s="135"/>
      <c r="EI477" s="135"/>
      <c r="EJ477" s="135"/>
      <c r="EK477" s="135"/>
      <c r="EL477" s="135"/>
      <c r="EM477" s="135"/>
      <c r="EN477" s="135"/>
      <c r="EO477" s="135"/>
      <c r="EP477" s="135"/>
      <c r="EQ477" s="135"/>
      <c r="ER477" s="135"/>
      <c r="ES477" s="135"/>
      <c r="ET477" s="135"/>
      <c r="EU477" s="135"/>
      <c r="EV477" s="135"/>
      <c r="EW477" s="135"/>
      <c r="EX477" s="135"/>
      <c r="EY477" s="135"/>
      <c r="EZ477" s="135"/>
      <c r="FA477" s="135"/>
      <c r="FB477" s="135"/>
      <c r="FC477" s="135"/>
      <c r="FD477" s="135"/>
      <c r="FE477" s="135"/>
      <c r="FF477" s="135"/>
      <c r="FG477" s="135"/>
    </row>
    <row r="478" spans="1:163" s="57" customFormat="1" ht="11.25" outlineLevel="1">
      <c r="A478" s="765">
        <f t="shared" si="515"/>
        <v>20</v>
      </c>
      <c r="B478" s="715" t="str" cm="1">
        <f t="array" aca="1" ref="B478" ca="1">INDIRECT("'Definition of Typical Day'!"&amp;ADDRESS(B$16,$E478))</f>
        <v>20</v>
      </c>
      <c r="C478" s="766">
        <f t="shared" si="516"/>
        <v>2</v>
      </c>
      <c r="D478" s="715">
        <f t="shared" si="516"/>
        <v>36</v>
      </c>
      <c r="E478" s="715">
        <f t="shared" si="517"/>
        <v>24</v>
      </c>
      <c r="F478" s="767" cm="1">
        <f t="array" aca="1" ref="F478" ca="1">INDIRECT("'Definition of Typical Day'!D"&amp;D478)</f>
        <v>2</v>
      </c>
      <c r="G478" s="767" cm="1">
        <f t="array" aca="1" ref="G478" ca="1">INDIRECT("'Definition of Typical Day'!"&amp;ADDRESS(13,E478))</f>
        <v>20</v>
      </c>
      <c r="H478" s="768" cm="1">
        <f t="array" aca="1" ref="H478" ca="1">INDIRECT("'Definition of Typical Day'!"&amp; ADDRESS($D478+28*(H$16-1),$E478))</f>
        <v>1E-3</v>
      </c>
      <c r="I478" s="715" cm="1">
        <f t="array" aca="1" ref="I478" ca="1">INDIRECT("'Definition of Typical Day'!"&amp; ADDRESS($D478+29*(I$16-1),$E478))</f>
        <v>30</v>
      </c>
      <c r="J478" s="715">
        <f t="shared" ca="1" si="543"/>
        <v>27</v>
      </c>
      <c r="K478" s="785">
        <f t="shared" si="544"/>
        <v>28</v>
      </c>
      <c r="L478" s="786" cm="1">
        <f t="array" aca="1" ref="L478" ca="1">INDIRECT("'Definition of Typical Day'!"&amp; ADDRESS($D478+29*(L$16-1),$E478))</f>
        <v>100</v>
      </c>
      <c r="M478" s="768" cm="1">
        <f t="array" aca="1" ref="M478" ca="1">INDIRECT("'Definition of Typical Day'!"&amp; ADDRESS($D478+29*(M$16-1),$E478))</f>
        <v>86.666666666666657</v>
      </c>
      <c r="N478" s="715">
        <f t="shared" si="545"/>
        <v>3</v>
      </c>
      <c r="O478" s="715">
        <f t="shared" ca="1" si="546"/>
        <v>89.666666666666657</v>
      </c>
      <c r="P478" s="715" cm="1">
        <f t="array" aca="1" ref="P478" ca="1">INDIRECT("'Definition of Typical Day'!"&amp; ADDRESS($D478+29*(P$16-1),$E478))</f>
        <v>45</v>
      </c>
      <c r="Q478" s="787">
        <f t="shared" ca="1" si="547"/>
        <v>48</v>
      </c>
      <c r="R478" s="792">
        <f t="shared" ca="1" si="548"/>
        <v>89.666666666666657</v>
      </c>
      <c r="S478" s="769">
        <f t="shared" si="549"/>
        <v>3</v>
      </c>
      <c r="T478" s="769">
        <f t="shared" ca="1" si="550"/>
        <v>0.04</v>
      </c>
      <c r="U478" s="769">
        <f t="shared" ca="1" si="551"/>
        <v>8.6666666666669126E-3</v>
      </c>
      <c r="V478" s="769">
        <f t="shared" ca="1" si="552"/>
        <v>0</v>
      </c>
      <c r="W478" s="769">
        <f t="shared" ca="1" si="553"/>
        <v>3.0486666666666671</v>
      </c>
      <c r="X478" s="794">
        <f t="shared" si="554"/>
        <v>3</v>
      </c>
      <c r="Y478" s="769">
        <f t="shared" ca="1" si="555"/>
        <v>3</v>
      </c>
      <c r="Z478" s="769">
        <f t="shared" ca="1" si="556"/>
        <v>1.4881223560039049E-3</v>
      </c>
      <c r="AA478" s="795">
        <f t="shared" ca="1" si="557"/>
        <v>1.4881223560039049E-3</v>
      </c>
      <c r="AB478" s="769">
        <f t="shared" ca="1" si="558"/>
        <v>0</v>
      </c>
      <c r="AC478" s="769">
        <f t="shared" ca="1" si="559"/>
        <v>0</v>
      </c>
      <c r="AD478" s="769">
        <f t="shared" ca="1" si="560"/>
        <v>0</v>
      </c>
      <c r="AE478" s="794">
        <f t="shared" ca="1" si="561"/>
        <v>1.4881223560039049E-3</v>
      </c>
      <c r="AF478" s="769">
        <f t="shared" ca="1" si="562"/>
        <v>1.4881223560039049E-5</v>
      </c>
      <c r="AG478" s="769">
        <f t="shared" ca="1" si="563"/>
        <v>1.4732411324438659E-3</v>
      </c>
      <c r="AH478" s="799">
        <f t="shared" ca="1" si="564"/>
        <v>1.4732411324438659E-3</v>
      </c>
      <c r="AI478" s="801">
        <f t="shared" ca="1" si="565"/>
        <v>1</v>
      </c>
      <c r="AJ478" s="794">
        <f t="shared" ca="1" si="566"/>
        <v>1E-3</v>
      </c>
      <c r="AK478" s="769">
        <f t="shared" ca="1" si="567"/>
        <v>4.8812235600390486E-4</v>
      </c>
      <c r="AL478" s="769">
        <f t="shared" ca="1" si="568"/>
        <v>0</v>
      </c>
      <c r="AM478" s="804">
        <f t="shared" ca="1" si="518"/>
        <v>0</v>
      </c>
      <c r="AN478" s="795">
        <f t="shared" ca="1" si="519"/>
        <v>1.3333333333333334E-4</v>
      </c>
      <c r="AO478" s="251"/>
      <c r="AP478" s="770">
        <f t="shared" si="569"/>
        <v>0</v>
      </c>
      <c r="AQ478" s="771">
        <f t="shared" ca="1" si="570"/>
        <v>0</v>
      </c>
      <c r="AR478" s="771">
        <f t="shared" ca="1" si="571"/>
        <v>2E-3</v>
      </c>
      <c r="AS478" s="772">
        <f t="shared" ca="1" si="572"/>
        <v>2E-3</v>
      </c>
      <c r="AT478" s="231"/>
      <c r="AU478" s="770">
        <f>'Main Results - IRR DC Operator'!$F$16</f>
        <v>2</v>
      </c>
      <c r="AV478" s="773">
        <f>'Main Results - IRR DC Operator'!$F$15</f>
        <v>1</v>
      </c>
      <c r="AW478" s="771">
        <f t="shared" ca="1" si="573"/>
        <v>2E-3</v>
      </c>
      <c r="AX478" s="772">
        <f t="shared" si="574"/>
        <v>0</v>
      </c>
      <c r="AY478" s="231"/>
      <c r="AZ478" s="770" cm="1">
        <f t="array" aca="1" ref="AZ478" ca="1">INDIRECT("'Definition of Typical Day'!"&amp; ADDRESS($D478+29*(AZ$16-1),$E478))+$AZ$17</f>
        <v>74.45</v>
      </c>
      <c r="BA478" s="771" cm="1">
        <f t="array" aca="1" ref="BA478" ca="1">INDIRECT("'Definition of Typical Day'!"&amp; ADDRESS($D478+29*(BA$16-1),$E478))+$BA$17</f>
        <v>74.45</v>
      </c>
      <c r="BB478" s="772" cm="1">
        <f t="array" aca="1" ref="BB478" ca="1">INDIRECT("'Definition of Typical Day'!"&amp;ADDRESS(BB$16,$E478))</f>
        <v>0</v>
      </c>
      <c r="BC478" s="776" cm="1">
        <f t="array" aca="1" ref="BC478" ca="1">INDIRECT("'Definition of Typical Day'!"&amp; ADDRESS($D478+29*(BC$16-1),$E478))</f>
        <v>100</v>
      </c>
      <c r="BD478" s="777" cm="1">
        <f t="array" aca="1" ref="BD478" ca="1">INDIRECT("'Definition of Typical Day'!"&amp; ADDRESS($D478+29*(BD$16-1),$E478))</f>
        <v>1</v>
      </c>
      <c r="BE478" s="776">
        <f t="shared" si="575"/>
        <v>0</v>
      </c>
      <c r="BF478" s="771">
        <f t="shared" ca="1" si="576"/>
        <v>3.6340709404490718E-2</v>
      </c>
      <c r="BG478" s="771">
        <f t="shared" ca="1" si="577"/>
        <v>0</v>
      </c>
      <c r="BH478" s="771">
        <f t="shared" ca="1" si="578"/>
        <v>0</v>
      </c>
      <c r="BI478" s="776">
        <f t="shared" ca="1" si="579"/>
        <v>0</v>
      </c>
      <c r="BJ478" s="776">
        <f t="shared" ca="1" si="580"/>
        <v>1.3333333333333334E-2</v>
      </c>
      <c r="BK478" s="776">
        <f t="shared" ca="1" si="581"/>
        <v>0</v>
      </c>
      <c r="BL478" s="776">
        <f t="shared" ca="1" si="582"/>
        <v>0</v>
      </c>
      <c r="BM478" s="135"/>
      <c r="BN478" s="776">
        <f t="shared" ca="1" si="583"/>
        <v>3.8340709404490719E-2</v>
      </c>
      <c r="BO478" s="778">
        <f t="shared" ca="1" si="520"/>
        <v>26.024734553052941</v>
      </c>
      <c r="BP478" s="770">
        <f t="shared" ca="1" si="521"/>
        <v>3.6340709404490718E-2</v>
      </c>
      <c r="BQ478" s="771">
        <f t="shared" ca="1" si="522"/>
        <v>0</v>
      </c>
      <c r="BR478" s="771">
        <f t="shared" ca="1" si="523"/>
        <v>0</v>
      </c>
      <c r="BS478" s="776">
        <f t="shared" ca="1" si="584"/>
        <v>3.8340709404490719E-2</v>
      </c>
      <c r="BT478" s="776">
        <f t="shared" ca="1" si="524"/>
        <v>3.6340709404490718E-2</v>
      </c>
      <c r="BU478" s="783">
        <f t="shared" ca="1" si="525"/>
        <v>24.667183534447908</v>
      </c>
      <c r="BV478" s="783">
        <f t="shared" ca="1" si="526"/>
        <v>24.667183534447908</v>
      </c>
      <c r="BW478" s="1019">
        <f t="shared" ca="1" si="585"/>
        <v>24.667183534447908</v>
      </c>
      <c r="BX478" s="771" cm="1">
        <f t="array" aca="1" ref="BX478" ca="1">INDIRECT("'Definition of Typical Day'!"&amp; ADDRESS($D478+29*(BX$16-1),$E478))</f>
        <v>65</v>
      </c>
      <c r="BY478" s="771">
        <f t="shared" ca="1" si="586"/>
        <v>0</v>
      </c>
      <c r="BZ478" s="781">
        <f t="shared" ca="1" si="527"/>
        <v>0</v>
      </c>
      <c r="CA478" s="781">
        <f t="shared" ca="1" si="528"/>
        <v>0</v>
      </c>
      <c r="CB478" s="776">
        <f t="shared" ca="1" si="529"/>
        <v>9.5760673608851279E-2</v>
      </c>
      <c r="CC478" s="782">
        <f t="shared" si="530"/>
        <v>20</v>
      </c>
      <c r="CD478" s="782">
        <f t="shared" si="531"/>
        <v>2</v>
      </c>
      <c r="CE478" s="784" t="str" cm="1">
        <f t="array" aca="1" ref="CE478" ca="1">INDIRECT("'Definition of Typical Day'!"&amp;ADDRESS(CE$16,$E478))</f>
        <v>20</v>
      </c>
      <c r="CF478" s="232"/>
      <c r="CG478" s="232"/>
      <c r="CH478" s="776">
        <f t="shared" ca="1" si="532"/>
        <v>1E-3</v>
      </c>
      <c r="CI478" s="806">
        <f t="shared" ca="1" si="533"/>
        <v>100</v>
      </c>
      <c r="CJ478" s="770">
        <f t="shared" ca="1" si="534"/>
        <v>0</v>
      </c>
      <c r="CK478" s="771">
        <f t="shared" ca="1" si="535"/>
        <v>0</v>
      </c>
      <c r="CL478" s="771">
        <f t="shared" ca="1" si="536"/>
        <v>0</v>
      </c>
      <c r="CM478" s="772">
        <f t="shared" ca="1" si="537"/>
        <v>0</v>
      </c>
      <c r="CN478" s="135"/>
      <c r="CO478" s="770">
        <f t="shared" ca="1" si="514"/>
        <v>1.05</v>
      </c>
      <c r="CP478" s="771">
        <f t="shared" ca="1" si="538"/>
        <v>0.98</v>
      </c>
      <c r="CQ478" s="771">
        <f t="shared" ca="1" si="539"/>
        <v>-2.5000000000000001E-2</v>
      </c>
      <c r="CR478" s="771">
        <f t="shared" ca="1" si="540"/>
        <v>0.95</v>
      </c>
      <c r="CS478" s="771">
        <f t="shared" ca="1" si="541"/>
        <v>0.03</v>
      </c>
      <c r="CT478" s="772">
        <f t="shared" ca="1" si="542"/>
        <v>0.02</v>
      </c>
      <c r="CU478" s="135"/>
      <c r="CV478" s="135"/>
      <c r="CW478" s="135"/>
      <c r="CX478" s="135"/>
      <c r="CY478" s="135"/>
      <c r="CZ478" s="135"/>
      <c r="DA478" s="135"/>
      <c r="DB478" s="135"/>
      <c r="DC478" s="135"/>
      <c r="DD478" s="135"/>
      <c r="DE478" s="135"/>
      <c r="DF478" s="135"/>
      <c r="DG478" s="135"/>
      <c r="DH478" s="135"/>
      <c r="DI478" s="135"/>
      <c r="DJ478" s="135"/>
      <c r="DK478" s="135"/>
      <c r="DL478" s="135"/>
      <c r="DX478" s="135"/>
      <c r="DY478" s="135"/>
      <c r="DZ478" s="135"/>
      <c r="EA478" s="135"/>
      <c r="EB478" s="135"/>
      <c r="EC478" s="135"/>
      <c r="ED478" s="135"/>
      <c r="EE478" s="135"/>
      <c r="EF478" s="135"/>
      <c r="EG478" s="135"/>
      <c r="EH478" s="135"/>
      <c r="EI478" s="135"/>
      <c r="EJ478" s="135"/>
      <c r="EK478" s="135"/>
      <c r="EL478" s="135"/>
      <c r="EM478" s="135"/>
      <c r="EN478" s="135"/>
      <c r="EO478" s="135"/>
      <c r="EP478" s="135"/>
      <c r="EQ478" s="135"/>
      <c r="ER478" s="135"/>
      <c r="ES478" s="135"/>
      <c r="ET478" s="135"/>
      <c r="EU478" s="135"/>
      <c r="EV478" s="135"/>
      <c r="EW478" s="135"/>
      <c r="EX478" s="135"/>
      <c r="EY478" s="135"/>
      <c r="EZ478" s="135"/>
      <c r="FA478" s="135"/>
      <c r="FB478" s="135"/>
      <c r="FC478" s="135"/>
      <c r="FD478" s="135"/>
      <c r="FE478" s="135"/>
      <c r="FF478" s="135"/>
      <c r="FG478" s="135"/>
    </row>
    <row r="479" spans="1:163" s="57" customFormat="1" ht="11.25" outlineLevel="1">
      <c r="A479" s="765">
        <f t="shared" si="515"/>
        <v>20</v>
      </c>
      <c r="B479" s="715" t="str" cm="1">
        <f t="array" aca="1" ref="B479" ca="1">INDIRECT("'Definition of Typical Day'!"&amp;ADDRESS(B$16,$E479))</f>
        <v>20</v>
      </c>
      <c r="C479" s="766">
        <f t="shared" si="516"/>
        <v>3</v>
      </c>
      <c r="D479" s="715">
        <f t="shared" si="516"/>
        <v>37</v>
      </c>
      <c r="E479" s="715">
        <f t="shared" si="517"/>
        <v>24</v>
      </c>
      <c r="F479" s="767" cm="1">
        <f t="array" aca="1" ref="F479" ca="1">INDIRECT("'Definition of Typical Day'!D"&amp;D479)</f>
        <v>3</v>
      </c>
      <c r="G479" s="767" cm="1">
        <f t="array" aca="1" ref="G479" ca="1">INDIRECT("'Definition of Typical Day'!"&amp;ADDRESS(13,E479))</f>
        <v>20</v>
      </c>
      <c r="H479" s="768" cm="1">
        <f t="array" aca="1" ref="H479" ca="1">INDIRECT("'Definition of Typical Day'!"&amp; ADDRESS($D479+28*(H$16-1),$E479))</f>
        <v>1E-3</v>
      </c>
      <c r="I479" s="715" cm="1">
        <f t="array" aca="1" ref="I479" ca="1">INDIRECT("'Definition of Typical Day'!"&amp; ADDRESS($D479+29*(I$16-1),$E479))</f>
        <v>30</v>
      </c>
      <c r="J479" s="715">
        <f t="shared" ca="1" si="543"/>
        <v>27</v>
      </c>
      <c r="K479" s="785">
        <f t="shared" si="544"/>
        <v>28</v>
      </c>
      <c r="L479" s="786" cm="1">
        <f t="array" aca="1" ref="L479" ca="1">INDIRECT("'Definition of Typical Day'!"&amp; ADDRESS($D479+29*(L$16-1),$E479))</f>
        <v>100</v>
      </c>
      <c r="M479" s="768" cm="1">
        <f t="array" aca="1" ref="M479" ca="1">INDIRECT("'Definition of Typical Day'!"&amp; ADDRESS($D479+29*(M$16-1),$E479))</f>
        <v>86.666666666666657</v>
      </c>
      <c r="N479" s="715">
        <f t="shared" si="545"/>
        <v>3</v>
      </c>
      <c r="O479" s="715">
        <f t="shared" ca="1" si="546"/>
        <v>89.666666666666657</v>
      </c>
      <c r="P479" s="715" cm="1">
        <f t="array" aca="1" ref="P479" ca="1">INDIRECT("'Definition of Typical Day'!"&amp; ADDRESS($D479+29*(P$16-1),$E479))</f>
        <v>45</v>
      </c>
      <c r="Q479" s="787">
        <f t="shared" ca="1" si="547"/>
        <v>48</v>
      </c>
      <c r="R479" s="792">
        <f t="shared" ca="1" si="548"/>
        <v>89.666666666666657</v>
      </c>
      <c r="S479" s="769">
        <f t="shared" si="549"/>
        <v>3</v>
      </c>
      <c r="T479" s="769">
        <f t="shared" ca="1" si="550"/>
        <v>0.04</v>
      </c>
      <c r="U479" s="769">
        <f t="shared" ca="1" si="551"/>
        <v>8.6666666666669126E-3</v>
      </c>
      <c r="V479" s="769">
        <f t="shared" ca="1" si="552"/>
        <v>0</v>
      </c>
      <c r="W479" s="769">
        <f t="shared" ca="1" si="553"/>
        <v>3.0486666666666671</v>
      </c>
      <c r="X479" s="794">
        <f t="shared" si="554"/>
        <v>3</v>
      </c>
      <c r="Y479" s="769">
        <f t="shared" ca="1" si="555"/>
        <v>3</v>
      </c>
      <c r="Z479" s="769">
        <f t="shared" ca="1" si="556"/>
        <v>1.4881223560039049E-3</v>
      </c>
      <c r="AA479" s="795">
        <f t="shared" ca="1" si="557"/>
        <v>1.4881223560039049E-3</v>
      </c>
      <c r="AB479" s="769">
        <f t="shared" ca="1" si="558"/>
        <v>0</v>
      </c>
      <c r="AC479" s="769">
        <f t="shared" ca="1" si="559"/>
        <v>0</v>
      </c>
      <c r="AD479" s="769">
        <f t="shared" ca="1" si="560"/>
        <v>0</v>
      </c>
      <c r="AE479" s="794">
        <f t="shared" ca="1" si="561"/>
        <v>1.4881223560039049E-3</v>
      </c>
      <c r="AF479" s="769">
        <f t="shared" ca="1" si="562"/>
        <v>1.4881223560039049E-5</v>
      </c>
      <c r="AG479" s="769">
        <f t="shared" ca="1" si="563"/>
        <v>1.4732411324438659E-3</v>
      </c>
      <c r="AH479" s="799">
        <f t="shared" ca="1" si="564"/>
        <v>1.4732411324438659E-3</v>
      </c>
      <c r="AI479" s="801">
        <f t="shared" ca="1" si="565"/>
        <v>1</v>
      </c>
      <c r="AJ479" s="794">
        <f t="shared" ca="1" si="566"/>
        <v>1E-3</v>
      </c>
      <c r="AK479" s="769">
        <f t="shared" ca="1" si="567"/>
        <v>4.8812235600390486E-4</v>
      </c>
      <c r="AL479" s="769">
        <f t="shared" ca="1" si="568"/>
        <v>0</v>
      </c>
      <c r="AM479" s="804">
        <f t="shared" ca="1" si="518"/>
        <v>0</v>
      </c>
      <c r="AN479" s="795">
        <f t="shared" ca="1" si="519"/>
        <v>1.3333333333333334E-4</v>
      </c>
      <c r="AO479" s="251"/>
      <c r="AP479" s="770">
        <f t="shared" si="569"/>
        <v>0</v>
      </c>
      <c r="AQ479" s="771">
        <f t="shared" ca="1" si="570"/>
        <v>0</v>
      </c>
      <c r="AR479" s="771">
        <f t="shared" ca="1" si="571"/>
        <v>2E-3</v>
      </c>
      <c r="AS479" s="772">
        <f t="shared" ca="1" si="572"/>
        <v>2E-3</v>
      </c>
      <c r="AT479" s="231"/>
      <c r="AU479" s="770">
        <f>'Main Results - IRR DC Operator'!$F$16</f>
        <v>2</v>
      </c>
      <c r="AV479" s="773">
        <f>'Main Results - IRR DC Operator'!$F$15</f>
        <v>1</v>
      </c>
      <c r="AW479" s="771">
        <f t="shared" ca="1" si="573"/>
        <v>2E-3</v>
      </c>
      <c r="AX479" s="772">
        <f t="shared" si="574"/>
        <v>0</v>
      </c>
      <c r="AY479" s="231"/>
      <c r="AZ479" s="770" cm="1">
        <f t="array" aca="1" ref="AZ479" ca="1">INDIRECT("'Definition of Typical Day'!"&amp; ADDRESS($D479+29*(AZ$16-1),$E479))+$AZ$17</f>
        <v>74.539999999999992</v>
      </c>
      <c r="BA479" s="771" cm="1">
        <f t="array" aca="1" ref="BA479" ca="1">INDIRECT("'Definition of Typical Day'!"&amp; ADDRESS($D479+29*(BA$16-1),$E479))+$BA$17</f>
        <v>74.539999999999992</v>
      </c>
      <c r="BB479" s="772" cm="1">
        <f t="array" aca="1" ref="BB479" ca="1">INDIRECT("'Definition of Typical Day'!"&amp;ADDRESS(BB$16,$E479))</f>
        <v>0</v>
      </c>
      <c r="BC479" s="776" cm="1">
        <f t="array" aca="1" ref="BC479" ca="1">INDIRECT("'Definition of Typical Day'!"&amp; ADDRESS($D479+29*(BC$16-1),$E479))</f>
        <v>100</v>
      </c>
      <c r="BD479" s="777" cm="1">
        <f t="array" aca="1" ref="BD479" ca="1">INDIRECT("'Definition of Typical Day'!"&amp; ADDRESS($D479+29*(BD$16-1),$E479))</f>
        <v>1</v>
      </c>
      <c r="BE479" s="776">
        <f t="shared" si="575"/>
        <v>0</v>
      </c>
      <c r="BF479" s="771">
        <f t="shared" ca="1" si="576"/>
        <v>3.6384640416531062E-2</v>
      </c>
      <c r="BG479" s="771">
        <f t="shared" ca="1" si="577"/>
        <v>0</v>
      </c>
      <c r="BH479" s="771">
        <f t="shared" ca="1" si="578"/>
        <v>0</v>
      </c>
      <c r="BI479" s="776">
        <f t="shared" ca="1" si="579"/>
        <v>0</v>
      </c>
      <c r="BJ479" s="776">
        <f t="shared" ca="1" si="580"/>
        <v>1.3333333333333334E-2</v>
      </c>
      <c r="BK479" s="776">
        <f t="shared" ca="1" si="581"/>
        <v>0</v>
      </c>
      <c r="BL479" s="776">
        <f t="shared" ca="1" si="582"/>
        <v>0</v>
      </c>
      <c r="BM479" s="135"/>
      <c r="BN479" s="776">
        <f t="shared" ca="1" si="583"/>
        <v>3.8384640416531064E-2</v>
      </c>
      <c r="BO479" s="778">
        <f t="shared" ca="1" si="520"/>
        <v>26.054553848124801</v>
      </c>
      <c r="BP479" s="770">
        <f t="shared" ca="1" si="521"/>
        <v>3.6384640416531062E-2</v>
      </c>
      <c r="BQ479" s="771">
        <f t="shared" ca="1" si="522"/>
        <v>0</v>
      </c>
      <c r="BR479" s="771">
        <f t="shared" ca="1" si="523"/>
        <v>0</v>
      </c>
      <c r="BS479" s="776">
        <f t="shared" ca="1" si="584"/>
        <v>3.8384640416531064E-2</v>
      </c>
      <c r="BT479" s="776">
        <f t="shared" ca="1" si="524"/>
        <v>3.6384640416531062E-2</v>
      </c>
      <c r="BU479" s="783">
        <f t="shared" ca="1" si="525"/>
        <v>24.697002829519768</v>
      </c>
      <c r="BV479" s="783">
        <f t="shared" ca="1" si="526"/>
        <v>24.697002829519768</v>
      </c>
      <c r="BW479" s="1019">
        <f t="shared" ca="1" si="585"/>
        <v>24.697002829519768</v>
      </c>
      <c r="BX479" s="771" cm="1">
        <f t="array" aca="1" ref="BX479" ca="1">INDIRECT("'Definition of Typical Day'!"&amp; ADDRESS($D479+29*(BX$16-1),$E479))</f>
        <v>65</v>
      </c>
      <c r="BY479" s="771">
        <f t="shared" ca="1" si="586"/>
        <v>0</v>
      </c>
      <c r="BZ479" s="781">
        <f t="shared" ca="1" si="527"/>
        <v>0</v>
      </c>
      <c r="CA479" s="781">
        <f t="shared" ca="1" si="528"/>
        <v>0</v>
      </c>
      <c r="CB479" s="776">
        <f t="shared" ca="1" si="529"/>
        <v>9.5760673608851279E-2</v>
      </c>
      <c r="CC479" s="782">
        <f t="shared" si="530"/>
        <v>20</v>
      </c>
      <c r="CD479" s="782">
        <f t="shared" si="531"/>
        <v>3</v>
      </c>
      <c r="CE479" s="784" t="str" cm="1">
        <f t="array" aca="1" ref="CE479" ca="1">INDIRECT("'Definition of Typical Day'!"&amp;ADDRESS(CE$16,$E479))</f>
        <v>20</v>
      </c>
      <c r="CF479" s="232"/>
      <c r="CG479" s="232"/>
      <c r="CH479" s="776">
        <f t="shared" ca="1" si="532"/>
        <v>1E-3</v>
      </c>
      <c r="CI479" s="806">
        <f t="shared" ca="1" si="533"/>
        <v>100</v>
      </c>
      <c r="CJ479" s="770">
        <f t="shared" ca="1" si="534"/>
        <v>0</v>
      </c>
      <c r="CK479" s="771">
        <f t="shared" ca="1" si="535"/>
        <v>0</v>
      </c>
      <c r="CL479" s="771">
        <f t="shared" ca="1" si="536"/>
        <v>0</v>
      </c>
      <c r="CM479" s="772">
        <f t="shared" ca="1" si="537"/>
        <v>0</v>
      </c>
      <c r="CN479" s="135"/>
      <c r="CO479" s="770">
        <f t="shared" ref="CO479:CO500" ca="1" si="587">IF(BU479&gt;BX479,3%,105%)</f>
        <v>1.05</v>
      </c>
      <c r="CP479" s="771">
        <f t="shared" ca="1" si="538"/>
        <v>0.98</v>
      </c>
      <c r="CQ479" s="771">
        <f t="shared" ca="1" si="539"/>
        <v>-2.5000000000000001E-2</v>
      </c>
      <c r="CR479" s="771">
        <f t="shared" ca="1" si="540"/>
        <v>0.95</v>
      </c>
      <c r="CS479" s="771">
        <f t="shared" ca="1" si="541"/>
        <v>0.03</v>
      </c>
      <c r="CT479" s="772">
        <f t="shared" ca="1" si="542"/>
        <v>0.02</v>
      </c>
      <c r="CU479" s="135"/>
      <c r="CV479" s="135"/>
      <c r="CW479" s="135"/>
      <c r="CX479" s="135"/>
      <c r="CY479" s="135"/>
      <c r="CZ479" s="135"/>
      <c r="DA479" s="135"/>
      <c r="DB479" s="135"/>
      <c r="DC479" s="135"/>
      <c r="DD479" s="135"/>
      <c r="DE479" s="135"/>
      <c r="DF479" s="135"/>
      <c r="DG479" s="135"/>
      <c r="DH479" s="135"/>
      <c r="DI479" s="135"/>
      <c r="DJ479" s="135"/>
      <c r="DK479" s="135"/>
      <c r="DL479" s="135"/>
      <c r="DX479" s="135"/>
      <c r="DY479" s="135"/>
      <c r="DZ479" s="135"/>
      <c r="EA479" s="135"/>
      <c r="EB479" s="135"/>
      <c r="EC479" s="135"/>
      <c r="ED479" s="135"/>
      <c r="EE479" s="135"/>
      <c r="EF479" s="135"/>
      <c r="EG479" s="135"/>
      <c r="EH479" s="135"/>
      <c r="EI479" s="135"/>
      <c r="EJ479" s="135"/>
      <c r="EK479" s="135"/>
      <c r="EL479" s="135"/>
      <c r="EM479" s="135"/>
      <c r="EN479" s="135"/>
      <c r="EO479" s="135"/>
      <c r="EP479" s="135"/>
      <c r="EQ479" s="135"/>
      <c r="ER479" s="135"/>
      <c r="ES479" s="135"/>
      <c r="ET479" s="135"/>
      <c r="EU479" s="135"/>
      <c r="EV479" s="135"/>
      <c r="EW479" s="135"/>
      <c r="EX479" s="135"/>
      <c r="EY479" s="135"/>
      <c r="EZ479" s="135"/>
      <c r="FA479" s="135"/>
      <c r="FB479" s="135"/>
      <c r="FC479" s="135"/>
      <c r="FD479" s="135"/>
      <c r="FE479" s="135"/>
      <c r="FF479" s="135"/>
      <c r="FG479" s="135"/>
    </row>
    <row r="480" spans="1:163" s="57" customFormat="1" ht="11.25" outlineLevel="1">
      <c r="A480" s="765">
        <f t="shared" si="515"/>
        <v>20</v>
      </c>
      <c r="B480" s="715" t="str" cm="1">
        <f t="array" aca="1" ref="B480" ca="1">INDIRECT("'Definition of Typical Day'!"&amp;ADDRESS(B$16,$E480))</f>
        <v>20</v>
      </c>
      <c r="C480" s="766">
        <f t="shared" si="516"/>
        <v>4</v>
      </c>
      <c r="D480" s="715">
        <f t="shared" si="516"/>
        <v>38</v>
      </c>
      <c r="E480" s="715">
        <f t="shared" si="517"/>
        <v>24</v>
      </c>
      <c r="F480" s="767" cm="1">
        <f t="array" aca="1" ref="F480" ca="1">INDIRECT("'Definition of Typical Day'!D"&amp;D480)</f>
        <v>4</v>
      </c>
      <c r="G480" s="767" cm="1">
        <f t="array" aca="1" ref="G480" ca="1">INDIRECT("'Definition of Typical Day'!"&amp;ADDRESS(13,E480))</f>
        <v>20</v>
      </c>
      <c r="H480" s="768" cm="1">
        <f t="array" aca="1" ref="H480" ca="1">INDIRECT("'Definition of Typical Day'!"&amp; ADDRESS($D480+28*(H$16-1),$E480))</f>
        <v>1E-3</v>
      </c>
      <c r="I480" s="715" cm="1">
        <f t="array" aca="1" ref="I480" ca="1">INDIRECT("'Definition of Typical Day'!"&amp; ADDRESS($D480+29*(I$16-1),$E480))</f>
        <v>30</v>
      </c>
      <c r="J480" s="715">
        <f t="shared" ca="1" si="543"/>
        <v>27</v>
      </c>
      <c r="K480" s="785">
        <f t="shared" si="544"/>
        <v>28</v>
      </c>
      <c r="L480" s="786" cm="1">
        <f t="array" aca="1" ref="L480" ca="1">INDIRECT("'Definition of Typical Day'!"&amp; ADDRESS($D480+29*(L$16-1),$E480))</f>
        <v>100</v>
      </c>
      <c r="M480" s="768" cm="1">
        <f t="array" aca="1" ref="M480" ca="1">INDIRECT("'Definition of Typical Day'!"&amp; ADDRESS($D480+29*(M$16-1),$E480))</f>
        <v>88.333333333333329</v>
      </c>
      <c r="N480" s="715">
        <f t="shared" si="545"/>
        <v>3</v>
      </c>
      <c r="O480" s="715">
        <f t="shared" ca="1" si="546"/>
        <v>91.333333333333329</v>
      </c>
      <c r="P480" s="715" cm="1">
        <f t="array" aca="1" ref="P480" ca="1">INDIRECT("'Definition of Typical Day'!"&amp; ADDRESS($D480+29*(P$16-1),$E480))</f>
        <v>45</v>
      </c>
      <c r="Q480" s="787">
        <f t="shared" ca="1" si="547"/>
        <v>48</v>
      </c>
      <c r="R480" s="792">
        <f t="shared" ca="1" si="548"/>
        <v>91.333333333333329</v>
      </c>
      <c r="S480" s="769">
        <f t="shared" si="549"/>
        <v>3</v>
      </c>
      <c r="T480" s="769">
        <f t="shared" ca="1" si="550"/>
        <v>0.04</v>
      </c>
      <c r="U480" s="769">
        <f t="shared" ca="1" si="551"/>
        <v>-3.466666666666654E-2</v>
      </c>
      <c r="V480" s="769">
        <f t="shared" ca="1" si="552"/>
        <v>0</v>
      </c>
      <c r="W480" s="769">
        <f t="shared" ca="1" si="553"/>
        <v>3.0053333333333336</v>
      </c>
      <c r="X480" s="794">
        <f t="shared" si="554"/>
        <v>3</v>
      </c>
      <c r="Y480" s="769">
        <f t="shared" ca="1" si="555"/>
        <v>3</v>
      </c>
      <c r="Z480" s="769">
        <f t="shared" ca="1" si="556"/>
        <v>1.4986702127659575E-3</v>
      </c>
      <c r="AA480" s="795">
        <f t="shared" ca="1" si="557"/>
        <v>1.4986702127659575E-3</v>
      </c>
      <c r="AB480" s="769">
        <f t="shared" ca="1" si="558"/>
        <v>0</v>
      </c>
      <c r="AC480" s="769">
        <f t="shared" ca="1" si="559"/>
        <v>0</v>
      </c>
      <c r="AD480" s="769">
        <f t="shared" ca="1" si="560"/>
        <v>0</v>
      </c>
      <c r="AE480" s="794">
        <f t="shared" ca="1" si="561"/>
        <v>1.4986702127659575E-3</v>
      </c>
      <c r="AF480" s="769">
        <f t="shared" ca="1" si="562"/>
        <v>1.4986702127659575E-5</v>
      </c>
      <c r="AG480" s="769">
        <f t="shared" ca="1" si="563"/>
        <v>1.4836835106382979E-3</v>
      </c>
      <c r="AH480" s="799">
        <f t="shared" ca="1" si="564"/>
        <v>1.4836835106382979E-3</v>
      </c>
      <c r="AI480" s="801">
        <f t="shared" ca="1" si="565"/>
        <v>1</v>
      </c>
      <c r="AJ480" s="794">
        <f t="shared" ca="1" si="566"/>
        <v>1E-3</v>
      </c>
      <c r="AK480" s="769">
        <f t="shared" ca="1" si="567"/>
        <v>4.9867021276595741E-4</v>
      </c>
      <c r="AL480" s="769">
        <f t="shared" ca="1" si="568"/>
        <v>0</v>
      </c>
      <c r="AM480" s="804">
        <f t="shared" ca="1" si="518"/>
        <v>0</v>
      </c>
      <c r="AN480" s="795">
        <f t="shared" ca="1" si="519"/>
        <v>1.3333333333333334E-4</v>
      </c>
      <c r="AO480" s="251"/>
      <c r="AP480" s="770">
        <f t="shared" si="569"/>
        <v>0</v>
      </c>
      <c r="AQ480" s="771">
        <f t="shared" ca="1" si="570"/>
        <v>0</v>
      </c>
      <c r="AR480" s="771">
        <f t="shared" ca="1" si="571"/>
        <v>2E-3</v>
      </c>
      <c r="AS480" s="772">
        <f t="shared" ca="1" si="572"/>
        <v>2E-3</v>
      </c>
      <c r="AT480" s="231"/>
      <c r="AU480" s="770">
        <f>'Main Results - IRR DC Operator'!$F$16</f>
        <v>2</v>
      </c>
      <c r="AV480" s="773">
        <f>'Main Results - IRR DC Operator'!$F$15</f>
        <v>1</v>
      </c>
      <c r="AW480" s="771">
        <f t="shared" ca="1" si="573"/>
        <v>2E-3</v>
      </c>
      <c r="AX480" s="772">
        <f t="shared" si="574"/>
        <v>0</v>
      </c>
      <c r="AY480" s="231"/>
      <c r="AZ480" s="770" cm="1">
        <f t="array" aca="1" ref="AZ480" ca="1">INDIRECT("'Definition of Typical Day'!"&amp; ADDRESS($D480+29*(AZ$16-1),$E480))+$AZ$17</f>
        <v>72.819999999999993</v>
      </c>
      <c r="BA480" s="771" cm="1">
        <f t="array" aca="1" ref="BA480" ca="1">INDIRECT("'Definition of Typical Day'!"&amp; ADDRESS($D480+29*(BA$16-1),$E480))+$BA$17</f>
        <v>72.819999999999993</v>
      </c>
      <c r="BB480" s="772" cm="1">
        <f t="array" aca="1" ref="BB480" ca="1">INDIRECT("'Definition of Typical Day'!"&amp;ADDRESS(BB$16,$E480))</f>
        <v>0</v>
      </c>
      <c r="BC480" s="776" cm="1">
        <f t="array" aca="1" ref="BC480" ca="1">INDIRECT("'Definition of Typical Day'!"&amp; ADDRESS($D480+29*(BC$16-1),$E480))</f>
        <v>100</v>
      </c>
      <c r="BD480" s="777" cm="1">
        <f t="array" aca="1" ref="BD480" ca="1">INDIRECT("'Definition of Typical Day'!"&amp; ADDRESS($D480+29*(BD$16-1),$E480))</f>
        <v>1</v>
      </c>
      <c r="BE480" s="776">
        <f t="shared" si="575"/>
        <v>0</v>
      </c>
      <c r="BF480" s="771">
        <f t="shared" ca="1" si="576"/>
        <v>3.6313164893617016E-2</v>
      </c>
      <c r="BG480" s="771">
        <f t="shared" ca="1" si="577"/>
        <v>0</v>
      </c>
      <c r="BH480" s="771">
        <f t="shared" ca="1" si="578"/>
        <v>0</v>
      </c>
      <c r="BI480" s="776">
        <f t="shared" ca="1" si="579"/>
        <v>0</v>
      </c>
      <c r="BJ480" s="776">
        <f t="shared" ca="1" si="580"/>
        <v>1.3333333333333334E-2</v>
      </c>
      <c r="BK480" s="776">
        <f t="shared" ca="1" si="581"/>
        <v>0</v>
      </c>
      <c r="BL480" s="776">
        <f t="shared" ca="1" si="582"/>
        <v>0</v>
      </c>
      <c r="BM480" s="135"/>
      <c r="BN480" s="776">
        <f t="shared" ca="1" si="583"/>
        <v>3.8313164893617017E-2</v>
      </c>
      <c r="BO480" s="778">
        <f t="shared" ca="1" si="520"/>
        <v>25.82300377331433</v>
      </c>
      <c r="BP480" s="770">
        <f t="shared" ca="1" si="521"/>
        <v>3.6313164893617016E-2</v>
      </c>
      <c r="BQ480" s="771">
        <f t="shared" ca="1" si="522"/>
        <v>0</v>
      </c>
      <c r="BR480" s="771">
        <f t="shared" ca="1" si="523"/>
        <v>0</v>
      </c>
      <c r="BS480" s="776">
        <f t="shared" ca="1" si="584"/>
        <v>3.8313164893617017E-2</v>
      </c>
      <c r="BT480" s="776">
        <f t="shared" ca="1" si="524"/>
        <v>3.6313164893617016E-2</v>
      </c>
      <c r="BU480" s="783">
        <f t="shared" ca="1" si="525"/>
        <v>24.47500739426205</v>
      </c>
      <c r="BV480" s="783">
        <f t="shared" ca="1" si="526"/>
        <v>24.47500739426205</v>
      </c>
      <c r="BW480" s="1019">
        <f t="shared" ca="1" si="585"/>
        <v>24.47500739426205</v>
      </c>
      <c r="BX480" s="771" cm="1">
        <f t="array" aca="1" ref="BX480" ca="1">INDIRECT("'Definition of Typical Day'!"&amp; ADDRESS($D480+29*(BX$16-1),$E480))</f>
        <v>65</v>
      </c>
      <c r="BY480" s="771">
        <f t="shared" ca="1" si="586"/>
        <v>0</v>
      </c>
      <c r="BZ480" s="781">
        <f t="shared" ca="1" si="527"/>
        <v>0</v>
      </c>
      <c r="CA480" s="781">
        <f t="shared" ca="1" si="528"/>
        <v>0</v>
      </c>
      <c r="CB480" s="776">
        <f t="shared" ca="1" si="529"/>
        <v>9.643942819148936E-2</v>
      </c>
      <c r="CC480" s="782">
        <f t="shared" si="530"/>
        <v>20</v>
      </c>
      <c r="CD480" s="782">
        <f t="shared" si="531"/>
        <v>4</v>
      </c>
      <c r="CE480" s="784" t="str" cm="1">
        <f t="array" aca="1" ref="CE480" ca="1">INDIRECT("'Definition of Typical Day'!"&amp;ADDRESS(CE$16,$E480))</f>
        <v>20</v>
      </c>
      <c r="CF480" s="232"/>
      <c r="CG480" s="232"/>
      <c r="CH480" s="776">
        <f t="shared" ca="1" si="532"/>
        <v>1E-3</v>
      </c>
      <c r="CI480" s="806">
        <f t="shared" ca="1" si="533"/>
        <v>100</v>
      </c>
      <c r="CJ480" s="770">
        <f t="shared" ca="1" si="534"/>
        <v>0</v>
      </c>
      <c r="CK480" s="771">
        <f t="shared" ca="1" si="535"/>
        <v>0</v>
      </c>
      <c r="CL480" s="771">
        <f t="shared" ca="1" si="536"/>
        <v>0</v>
      </c>
      <c r="CM480" s="772">
        <f t="shared" ca="1" si="537"/>
        <v>0</v>
      </c>
      <c r="CN480" s="135"/>
      <c r="CO480" s="770">
        <f t="shared" ca="1" si="587"/>
        <v>1.05</v>
      </c>
      <c r="CP480" s="771">
        <f t="shared" ca="1" si="538"/>
        <v>0.98</v>
      </c>
      <c r="CQ480" s="771">
        <f t="shared" ca="1" si="539"/>
        <v>-2.5000000000000001E-2</v>
      </c>
      <c r="CR480" s="771">
        <f t="shared" ca="1" si="540"/>
        <v>0.95</v>
      </c>
      <c r="CS480" s="771">
        <f t="shared" ca="1" si="541"/>
        <v>0.03</v>
      </c>
      <c r="CT480" s="772">
        <f t="shared" ca="1" si="542"/>
        <v>0.02</v>
      </c>
      <c r="CU480" s="135"/>
      <c r="CV480" s="135"/>
      <c r="CW480" s="135"/>
      <c r="CX480" s="135"/>
      <c r="CY480" s="135"/>
      <c r="CZ480" s="135"/>
      <c r="DA480" s="135"/>
      <c r="DB480" s="135"/>
      <c r="DC480" s="135"/>
      <c r="DD480" s="135"/>
      <c r="DE480" s="135"/>
      <c r="DF480" s="135"/>
      <c r="DG480" s="135"/>
      <c r="DH480" s="135"/>
      <c r="DI480" s="135"/>
      <c r="DJ480" s="135"/>
      <c r="DK480" s="135"/>
      <c r="DL480" s="135"/>
      <c r="DX480" s="135"/>
      <c r="DY480" s="135"/>
      <c r="DZ480" s="135"/>
      <c r="EA480" s="135"/>
      <c r="EB480" s="135"/>
      <c r="EC480" s="135"/>
      <c r="ED480" s="135"/>
      <c r="EE480" s="135"/>
      <c r="EF480" s="135"/>
      <c r="EG480" s="135"/>
      <c r="EH480" s="135"/>
      <c r="EI480" s="135"/>
      <c r="EJ480" s="135"/>
      <c r="EK480" s="135"/>
      <c r="EL480" s="135"/>
      <c r="EM480" s="135"/>
      <c r="EN480" s="135"/>
      <c r="EO480" s="135"/>
      <c r="EP480" s="135"/>
      <c r="EQ480" s="135"/>
      <c r="ER480" s="135"/>
      <c r="ES480" s="135"/>
      <c r="ET480" s="135"/>
      <c r="EU480" s="135"/>
      <c r="EV480" s="135"/>
      <c r="EW480" s="135"/>
      <c r="EX480" s="135"/>
      <c r="EY480" s="135"/>
      <c r="EZ480" s="135"/>
      <c r="FA480" s="135"/>
      <c r="FB480" s="135"/>
      <c r="FC480" s="135"/>
      <c r="FD480" s="135"/>
      <c r="FE480" s="135"/>
      <c r="FF480" s="135"/>
      <c r="FG480" s="135"/>
    </row>
    <row r="481" spans="1:163" s="57" customFormat="1" ht="11.25" outlineLevel="1">
      <c r="A481" s="765">
        <f t="shared" si="515"/>
        <v>20</v>
      </c>
      <c r="B481" s="715" t="str" cm="1">
        <f t="array" aca="1" ref="B481" ca="1">INDIRECT("'Definition of Typical Day'!"&amp;ADDRESS(B$16,$E481))</f>
        <v>20</v>
      </c>
      <c r="C481" s="766">
        <f t="shared" si="516"/>
        <v>5</v>
      </c>
      <c r="D481" s="715">
        <f t="shared" si="516"/>
        <v>39</v>
      </c>
      <c r="E481" s="715">
        <f t="shared" si="517"/>
        <v>24</v>
      </c>
      <c r="F481" s="767" cm="1">
        <f t="array" aca="1" ref="F481" ca="1">INDIRECT("'Definition of Typical Day'!D"&amp;D481)</f>
        <v>5</v>
      </c>
      <c r="G481" s="767" cm="1">
        <f t="array" aca="1" ref="G481" ca="1">INDIRECT("'Definition of Typical Day'!"&amp;ADDRESS(13,E481))</f>
        <v>20</v>
      </c>
      <c r="H481" s="768" cm="1">
        <f t="array" aca="1" ref="H481" ca="1">INDIRECT("'Definition of Typical Day'!"&amp; ADDRESS($D481+28*(H$16-1),$E481))</f>
        <v>1E-3</v>
      </c>
      <c r="I481" s="715" cm="1">
        <f t="array" aca="1" ref="I481" ca="1">INDIRECT("'Definition of Typical Day'!"&amp; ADDRESS($D481+29*(I$16-1),$E481))</f>
        <v>30</v>
      </c>
      <c r="J481" s="715">
        <f t="shared" ca="1" si="543"/>
        <v>27</v>
      </c>
      <c r="K481" s="785">
        <f t="shared" si="544"/>
        <v>28</v>
      </c>
      <c r="L481" s="786" cm="1">
        <f t="array" aca="1" ref="L481" ca="1">INDIRECT("'Definition of Typical Day'!"&amp; ADDRESS($D481+29*(L$16-1),$E481))</f>
        <v>100</v>
      </c>
      <c r="M481" s="768" cm="1">
        <f t="array" aca="1" ref="M481" ca="1">INDIRECT("'Definition of Typical Day'!"&amp; ADDRESS($D481+29*(M$16-1),$E481))</f>
        <v>88</v>
      </c>
      <c r="N481" s="715">
        <f t="shared" si="545"/>
        <v>3</v>
      </c>
      <c r="O481" s="715">
        <f t="shared" ca="1" si="546"/>
        <v>91</v>
      </c>
      <c r="P481" s="715" cm="1">
        <f t="array" aca="1" ref="P481" ca="1">INDIRECT("'Definition of Typical Day'!"&amp; ADDRESS($D481+29*(P$16-1),$E481))</f>
        <v>45</v>
      </c>
      <c r="Q481" s="787">
        <f t="shared" ca="1" si="547"/>
        <v>48</v>
      </c>
      <c r="R481" s="792">
        <f t="shared" ca="1" si="548"/>
        <v>91</v>
      </c>
      <c r="S481" s="769">
        <f t="shared" si="549"/>
        <v>3</v>
      </c>
      <c r="T481" s="769">
        <f t="shared" ca="1" si="550"/>
        <v>0.04</v>
      </c>
      <c r="U481" s="769">
        <f t="shared" ca="1" si="551"/>
        <v>-2.5999999999999999E-2</v>
      </c>
      <c r="V481" s="769">
        <f t="shared" ca="1" si="552"/>
        <v>0</v>
      </c>
      <c r="W481" s="769">
        <f t="shared" ca="1" si="553"/>
        <v>3.0140000000000002</v>
      </c>
      <c r="X481" s="794">
        <f t="shared" si="554"/>
        <v>3</v>
      </c>
      <c r="Y481" s="769">
        <f t="shared" ca="1" si="555"/>
        <v>3</v>
      </c>
      <c r="Z481" s="769">
        <f t="shared" ca="1" si="556"/>
        <v>1.4965243296921548E-3</v>
      </c>
      <c r="AA481" s="795">
        <f t="shared" ca="1" si="557"/>
        <v>1.4965243296921548E-3</v>
      </c>
      <c r="AB481" s="769">
        <f t="shared" ca="1" si="558"/>
        <v>0</v>
      </c>
      <c r="AC481" s="769">
        <f t="shared" ca="1" si="559"/>
        <v>0</v>
      </c>
      <c r="AD481" s="769">
        <f t="shared" ca="1" si="560"/>
        <v>0</v>
      </c>
      <c r="AE481" s="794">
        <f t="shared" ca="1" si="561"/>
        <v>1.4965243296921548E-3</v>
      </c>
      <c r="AF481" s="769">
        <f t="shared" ca="1" si="562"/>
        <v>1.4965243296921548E-5</v>
      </c>
      <c r="AG481" s="769">
        <f t="shared" ca="1" si="563"/>
        <v>1.4815590863952333E-3</v>
      </c>
      <c r="AH481" s="799">
        <f t="shared" ca="1" si="564"/>
        <v>1.4815590863952333E-3</v>
      </c>
      <c r="AI481" s="801">
        <f t="shared" ca="1" si="565"/>
        <v>1</v>
      </c>
      <c r="AJ481" s="794">
        <f t="shared" ca="1" si="566"/>
        <v>1E-3</v>
      </c>
      <c r="AK481" s="769">
        <f t="shared" ca="1" si="567"/>
        <v>4.9652432969215479E-4</v>
      </c>
      <c r="AL481" s="769">
        <f t="shared" ca="1" si="568"/>
        <v>0</v>
      </c>
      <c r="AM481" s="804">
        <f t="shared" ca="1" si="518"/>
        <v>0</v>
      </c>
      <c r="AN481" s="795">
        <f t="shared" ca="1" si="519"/>
        <v>1.3333333333333334E-4</v>
      </c>
      <c r="AO481" s="251"/>
      <c r="AP481" s="770">
        <f t="shared" si="569"/>
        <v>0</v>
      </c>
      <c r="AQ481" s="771">
        <f t="shared" ca="1" si="570"/>
        <v>0</v>
      </c>
      <c r="AR481" s="771">
        <f t="shared" ca="1" si="571"/>
        <v>2E-3</v>
      </c>
      <c r="AS481" s="772">
        <f t="shared" ca="1" si="572"/>
        <v>2E-3</v>
      </c>
      <c r="AT481" s="231"/>
      <c r="AU481" s="770">
        <f>'Main Results - IRR DC Operator'!$F$16</f>
        <v>2</v>
      </c>
      <c r="AV481" s="773">
        <f>'Main Results - IRR DC Operator'!$F$15</f>
        <v>1</v>
      </c>
      <c r="AW481" s="771">
        <f t="shared" ca="1" si="573"/>
        <v>2E-3</v>
      </c>
      <c r="AX481" s="772">
        <f t="shared" si="574"/>
        <v>0</v>
      </c>
      <c r="AY481" s="231"/>
      <c r="AZ481" s="770" cm="1">
        <f t="array" aca="1" ref="AZ481" ca="1">INDIRECT("'Definition of Typical Day'!"&amp; ADDRESS($D481+29*(AZ$16-1),$E481))+$AZ$17</f>
        <v>72.849999999999994</v>
      </c>
      <c r="BA481" s="771" cm="1">
        <f t="array" aca="1" ref="BA481" ca="1">INDIRECT("'Definition of Typical Day'!"&amp; ADDRESS($D481+29*(BA$16-1),$E481))+$BA$17</f>
        <v>72.849999999999994</v>
      </c>
      <c r="BB481" s="772" cm="1">
        <f t="array" aca="1" ref="BB481" ca="1">INDIRECT("'Definition of Typical Day'!"&amp;ADDRESS(BB$16,$E481))</f>
        <v>0</v>
      </c>
      <c r="BC481" s="776" cm="1">
        <f t="array" aca="1" ref="BC481" ca="1">INDIRECT("'Definition of Typical Day'!"&amp; ADDRESS($D481+29*(BC$16-1),$E481))</f>
        <v>100</v>
      </c>
      <c r="BD481" s="777" cm="1">
        <f t="array" aca="1" ref="BD481" ca="1">INDIRECT("'Definition of Typical Day'!"&amp; ADDRESS($D481+29*(BD$16-1),$E481))</f>
        <v>1</v>
      </c>
      <c r="BE481" s="776">
        <f t="shared" si="575"/>
        <v>0</v>
      </c>
      <c r="BF481" s="771">
        <f t="shared" ca="1" si="576"/>
        <v>3.6171797418073477E-2</v>
      </c>
      <c r="BG481" s="771">
        <f t="shared" ca="1" si="577"/>
        <v>0</v>
      </c>
      <c r="BH481" s="771">
        <f t="shared" ca="1" si="578"/>
        <v>0</v>
      </c>
      <c r="BI481" s="776">
        <f t="shared" ca="1" si="579"/>
        <v>0</v>
      </c>
      <c r="BJ481" s="776">
        <f t="shared" ca="1" si="580"/>
        <v>1.3333333333333334E-2</v>
      </c>
      <c r="BK481" s="776">
        <f t="shared" ca="1" si="581"/>
        <v>0</v>
      </c>
      <c r="BL481" s="776">
        <f t="shared" ca="1" si="582"/>
        <v>0</v>
      </c>
      <c r="BM481" s="135"/>
      <c r="BN481" s="776">
        <f t="shared" ca="1" si="583"/>
        <v>3.8171797418073479E-2</v>
      </c>
      <c r="BO481" s="778">
        <f t="shared" ca="1" si="520"/>
        <v>25.764613621282496</v>
      </c>
      <c r="BP481" s="770">
        <f t="shared" ca="1" si="521"/>
        <v>3.6171797418073477E-2</v>
      </c>
      <c r="BQ481" s="771">
        <f t="shared" ca="1" si="522"/>
        <v>0</v>
      </c>
      <c r="BR481" s="771">
        <f t="shared" ca="1" si="523"/>
        <v>0</v>
      </c>
      <c r="BS481" s="776">
        <f t="shared" ca="1" si="584"/>
        <v>3.8171797418073479E-2</v>
      </c>
      <c r="BT481" s="776">
        <f t="shared" ca="1" si="524"/>
        <v>3.6171797418073477E-2</v>
      </c>
      <c r="BU481" s="783">
        <f t="shared" ca="1" si="525"/>
        <v>24.414684335055931</v>
      </c>
      <c r="BV481" s="783">
        <f t="shared" ca="1" si="526"/>
        <v>24.414684335055931</v>
      </c>
      <c r="BW481" s="1019">
        <f t="shared" ca="1" si="585"/>
        <v>24.414684335055931</v>
      </c>
      <c r="BX481" s="771" cm="1">
        <f t="array" aca="1" ref="BX481" ca="1">INDIRECT("'Definition of Typical Day'!"&amp; ADDRESS($D481+29*(BX$16-1),$E481))</f>
        <v>65</v>
      </c>
      <c r="BY481" s="771">
        <f t="shared" ca="1" si="586"/>
        <v>0</v>
      </c>
      <c r="BZ481" s="781">
        <f t="shared" ca="1" si="527"/>
        <v>0</v>
      </c>
      <c r="CA481" s="781">
        <f t="shared" ca="1" si="528"/>
        <v>0</v>
      </c>
      <c r="CB481" s="776">
        <f t="shared" ca="1" si="529"/>
        <v>9.6301340615690165E-2</v>
      </c>
      <c r="CC481" s="782">
        <f t="shared" si="530"/>
        <v>20</v>
      </c>
      <c r="CD481" s="782">
        <f t="shared" si="531"/>
        <v>5</v>
      </c>
      <c r="CE481" s="784" t="str" cm="1">
        <f t="array" aca="1" ref="CE481" ca="1">INDIRECT("'Definition of Typical Day'!"&amp;ADDRESS(CE$16,$E481))</f>
        <v>20</v>
      </c>
      <c r="CF481" s="232"/>
      <c r="CG481" s="232"/>
      <c r="CH481" s="776">
        <f t="shared" ca="1" si="532"/>
        <v>1E-3</v>
      </c>
      <c r="CI481" s="806">
        <f t="shared" ca="1" si="533"/>
        <v>100</v>
      </c>
      <c r="CJ481" s="770">
        <f t="shared" ca="1" si="534"/>
        <v>0</v>
      </c>
      <c r="CK481" s="771">
        <f t="shared" ca="1" si="535"/>
        <v>0</v>
      </c>
      <c r="CL481" s="771">
        <f t="shared" ca="1" si="536"/>
        <v>0</v>
      </c>
      <c r="CM481" s="772">
        <f t="shared" ca="1" si="537"/>
        <v>0</v>
      </c>
      <c r="CN481" s="135"/>
      <c r="CO481" s="770">
        <f t="shared" ca="1" si="587"/>
        <v>1.05</v>
      </c>
      <c r="CP481" s="771">
        <f t="shared" ca="1" si="538"/>
        <v>0.98</v>
      </c>
      <c r="CQ481" s="771">
        <f t="shared" ca="1" si="539"/>
        <v>-2.5000000000000001E-2</v>
      </c>
      <c r="CR481" s="771">
        <f t="shared" ca="1" si="540"/>
        <v>0.95</v>
      </c>
      <c r="CS481" s="771">
        <f t="shared" ca="1" si="541"/>
        <v>0.03</v>
      </c>
      <c r="CT481" s="772">
        <f t="shared" ca="1" si="542"/>
        <v>0.02</v>
      </c>
      <c r="CU481" s="135"/>
      <c r="CV481" s="135"/>
      <c r="CW481" s="135"/>
      <c r="CX481" s="135"/>
      <c r="CY481" s="135"/>
      <c r="CZ481" s="135"/>
      <c r="DA481" s="135"/>
      <c r="DB481" s="135"/>
      <c r="DC481" s="135"/>
      <c r="DD481" s="135"/>
      <c r="DE481" s="135"/>
      <c r="DF481" s="135"/>
      <c r="DG481" s="135"/>
      <c r="DH481" s="135"/>
      <c r="DI481" s="135"/>
      <c r="DJ481" s="135"/>
      <c r="DK481" s="135"/>
      <c r="DL481" s="135"/>
      <c r="DX481" s="135"/>
      <c r="DY481" s="135"/>
      <c r="DZ481" s="135"/>
      <c r="EA481" s="135"/>
      <c r="EB481" s="135"/>
      <c r="EC481" s="135"/>
      <c r="ED481" s="135"/>
      <c r="EE481" s="135"/>
      <c r="EF481" s="135"/>
      <c r="EG481" s="135"/>
      <c r="EH481" s="135"/>
      <c r="EI481" s="135"/>
      <c r="EJ481" s="135"/>
      <c r="EK481" s="135"/>
      <c r="EL481" s="135"/>
      <c r="EM481" s="135"/>
      <c r="EN481" s="135"/>
      <c r="EO481" s="135"/>
      <c r="EP481" s="135"/>
      <c r="EQ481" s="135"/>
      <c r="ER481" s="135"/>
      <c r="ES481" s="135"/>
      <c r="ET481" s="135"/>
      <c r="EU481" s="135"/>
      <c r="EV481" s="135"/>
      <c r="EW481" s="135"/>
      <c r="EX481" s="135"/>
      <c r="EY481" s="135"/>
      <c r="EZ481" s="135"/>
      <c r="FA481" s="135"/>
      <c r="FB481" s="135"/>
      <c r="FC481" s="135"/>
      <c r="FD481" s="135"/>
      <c r="FE481" s="135"/>
      <c r="FF481" s="135"/>
      <c r="FG481" s="135"/>
    </row>
    <row r="482" spans="1:163" s="57" customFormat="1" ht="11.25" outlineLevel="1">
      <c r="A482" s="765">
        <f t="shared" si="515"/>
        <v>20</v>
      </c>
      <c r="B482" s="715" t="str" cm="1">
        <f t="array" aca="1" ref="B482" ca="1">INDIRECT("'Definition of Typical Day'!"&amp;ADDRESS(B$16,$E482))</f>
        <v>20</v>
      </c>
      <c r="C482" s="766">
        <f t="shared" si="516"/>
        <v>6</v>
      </c>
      <c r="D482" s="715">
        <f t="shared" si="516"/>
        <v>40</v>
      </c>
      <c r="E482" s="715">
        <f t="shared" si="517"/>
        <v>24</v>
      </c>
      <c r="F482" s="767" cm="1">
        <f t="array" aca="1" ref="F482" ca="1">INDIRECT("'Definition of Typical Day'!D"&amp;D482)</f>
        <v>6</v>
      </c>
      <c r="G482" s="767" cm="1">
        <f t="array" aca="1" ref="G482" ca="1">INDIRECT("'Definition of Typical Day'!"&amp;ADDRESS(13,E482))</f>
        <v>20</v>
      </c>
      <c r="H482" s="768" cm="1">
        <f t="array" aca="1" ref="H482" ca="1">INDIRECT("'Definition of Typical Day'!"&amp; ADDRESS($D482+28*(H$16-1),$E482))</f>
        <v>1E-3</v>
      </c>
      <c r="I482" s="715" cm="1">
        <f t="array" aca="1" ref="I482" ca="1">INDIRECT("'Definition of Typical Day'!"&amp; ADDRESS($D482+29*(I$16-1),$E482))</f>
        <v>30</v>
      </c>
      <c r="J482" s="715">
        <f t="shared" ca="1" si="543"/>
        <v>27</v>
      </c>
      <c r="K482" s="785">
        <f t="shared" si="544"/>
        <v>28</v>
      </c>
      <c r="L482" s="786" cm="1">
        <f t="array" aca="1" ref="L482" ca="1">INDIRECT("'Definition of Typical Day'!"&amp; ADDRESS($D482+29*(L$16-1),$E482))</f>
        <v>100</v>
      </c>
      <c r="M482" s="768" cm="1">
        <f t="array" aca="1" ref="M482" ca="1">INDIRECT("'Definition of Typical Day'!"&amp; ADDRESS($D482+29*(M$16-1),$E482))</f>
        <v>88.333333333333329</v>
      </c>
      <c r="N482" s="715">
        <f t="shared" si="545"/>
        <v>3</v>
      </c>
      <c r="O482" s="715">
        <f t="shared" ca="1" si="546"/>
        <v>91.333333333333329</v>
      </c>
      <c r="P482" s="715" cm="1">
        <f t="array" aca="1" ref="P482" ca="1">INDIRECT("'Definition of Typical Day'!"&amp; ADDRESS($D482+29*(P$16-1),$E482))</f>
        <v>45</v>
      </c>
      <c r="Q482" s="787">
        <f t="shared" ca="1" si="547"/>
        <v>48</v>
      </c>
      <c r="R482" s="792">
        <f t="shared" ca="1" si="548"/>
        <v>91.333333333333329</v>
      </c>
      <c r="S482" s="769">
        <f t="shared" si="549"/>
        <v>3</v>
      </c>
      <c r="T482" s="769">
        <f t="shared" ca="1" si="550"/>
        <v>0.04</v>
      </c>
      <c r="U482" s="769">
        <f t="shared" ca="1" si="551"/>
        <v>-3.466666666666654E-2</v>
      </c>
      <c r="V482" s="769">
        <f t="shared" ca="1" si="552"/>
        <v>0</v>
      </c>
      <c r="W482" s="769">
        <f t="shared" ca="1" si="553"/>
        <v>3.0053333333333336</v>
      </c>
      <c r="X482" s="794">
        <f t="shared" si="554"/>
        <v>3</v>
      </c>
      <c r="Y482" s="769">
        <f t="shared" ca="1" si="555"/>
        <v>3</v>
      </c>
      <c r="Z482" s="769">
        <f t="shared" ca="1" si="556"/>
        <v>1.4986702127659575E-3</v>
      </c>
      <c r="AA482" s="795">
        <f t="shared" ca="1" si="557"/>
        <v>1.4986702127659575E-3</v>
      </c>
      <c r="AB482" s="769">
        <f t="shared" ca="1" si="558"/>
        <v>0</v>
      </c>
      <c r="AC482" s="769">
        <f t="shared" ca="1" si="559"/>
        <v>0</v>
      </c>
      <c r="AD482" s="769">
        <f t="shared" ca="1" si="560"/>
        <v>0</v>
      </c>
      <c r="AE482" s="794">
        <f t="shared" ca="1" si="561"/>
        <v>1.4986702127659575E-3</v>
      </c>
      <c r="AF482" s="769">
        <f t="shared" ca="1" si="562"/>
        <v>1.4986702127659575E-5</v>
      </c>
      <c r="AG482" s="769">
        <f t="shared" ca="1" si="563"/>
        <v>1.4836835106382979E-3</v>
      </c>
      <c r="AH482" s="799">
        <f t="shared" ca="1" si="564"/>
        <v>1.4836835106382979E-3</v>
      </c>
      <c r="AI482" s="801">
        <f t="shared" ca="1" si="565"/>
        <v>1</v>
      </c>
      <c r="AJ482" s="794">
        <f t="shared" ca="1" si="566"/>
        <v>1E-3</v>
      </c>
      <c r="AK482" s="769">
        <f t="shared" ca="1" si="567"/>
        <v>4.9867021276595741E-4</v>
      </c>
      <c r="AL482" s="769">
        <f t="shared" ca="1" si="568"/>
        <v>0</v>
      </c>
      <c r="AM482" s="804">
        <f t="shared" ca="1" si="518"/>
        <v>0</v>
      </c>
      <c r="AN482" s="795">
        <f t="shared" ca="1" si="519"/>
        <v>1.3333333333333334E-4</v>
      </c>
      <c r="AO482" s="251"/>
      <c r="AP482" s="770">
        <f t="shared" si="569"/>
        <v>0</v>
      </c>
      <c r="AQ482" s="771">
        <f t="shared" ca="1" si="570"/>
        <v>0</v>
      </c>
      <c r="AR482" s="771">
        <f t="shared" ca="1" si="571"/>
        <v>2E-3</v>
      </c>
      <c r="AS482" s="772">
        <f t="shared" ca="1" si="572"/>
        <v>2E-3</v>
      </c>
      <c r="AT482" s="231"/>
      <c r="AU482" s="770">
        <f>'Main Results - IRR DC Operator'!$F$16</f>
        <v>2</v>
      </c>
      <c r="AV482" s="773">
        <f>'Main Results - IRR DC Operator'!$F$15</f>
        <v>1</v>
      </c>
      <c r="AW482" s="771">
        <f t="shared" ca="1" si="573"/>
        <v>2E-3</v>
      </c>
      <c r="AX482" s="772">
        <f t="shared" si="574"/>
        <v>0</v>
      </c>
      <c r="AY482" s="231"/>
      <c r="AZ482" s="770" cm="1">
        <f t="array" aca="1" ref="AZ482" ca="1">INDIRECT("'Definition of Typical Day'!"&amp; ADDRESS($D482+29*(AZ$16-1),$E482))+$AZ$17</f>
        <v>72.75</v>
      </c>
      <c r="BA482" s="771" cm="1">
        <f t="array" aca="1" ref="BA482" ca="1">INDIRECT("'Definition of Typical Day'!"&amp; ADDRESS($D482+29*(BA$16-1),$E482))+$BA$17</f>
        <v>72.75</v>
      </c>
      <c r="BB482" s="772" cm="1">
        <f t="array" aca="1" ref="BB482" ca="1">INDIRECT("'Definition of Typical Day'!"&amp;ADDRESS(BB$16,$E482))</f>
        <v>0</v>
      </c>
      <c r="BC482" s="776" cm="1">
        <f t="array" aca="1" ref="BC482" ca="1">INDIRECT("'Definition of Typical Day'!"&amp; ADDRESS($D482+29*(BC$16-1),$E482))</f>
        <v>100</v>
      </c>
      <c r="BD482" s="777" cm="1">
        <f t="array" aca="1" ref="BD482" ca="1">INDIRECT("'Definition of Typical Day'!"&amp; ADDRESS($D482+29*(BD$16-1),$E482))</f>
        <v>1</v>
      </c>
      <c r="BE482" s="776">
        <f t="shared" si="575"/>
        <v>0</v>
      </c>
      <c r="BF482" s="771">
        <f t="shared" ca="1" si="576"/>
        <v>3.6278257978723402E-2</v>
      </c>
      <c r="BG482" s="771">
        <f t="shared" ca="1" si="577"/>
        <v>0</v>
      </c>
      <c r="BH482" s="771">
        <f t="shared" ca="1" si="578"/>
        <v>0</v>
      </c>
      <c r="BI482" s="776">
        <f t="shared" ca="1" si="579"/>
        <v>0</v>
      </c>
      <c r="BJ482" s="776">
        <f t="shared" ca="1" si="580"/>
        <v>1.3333333333333334E-2</v>
      </c>
      <c r="BK482" s="776">
        <f t="shared" ca="1" si="581"/>
        <v>0</v>
      </c>
      <c r="BL482" s="776">
        <f t="shared" ca="1" si="582"/>
        <v>0</v>
      </c>
      <c r="BM482" s="135"/>
      <c r="BN482" s="776">
        <f t="shared" ca="1" si="583"/>
        <v>3.8278257978723404E-2</v>
      </c>
      <c r="BO482" s="778">
        <f t="shared" ca="1" si="520"/>
        <v>25.799476575874092</v>
      </c>
      <c r="BP482" s="770">
        <f t="shared" ca="1" si="521"/>
        <v>3.6278257978723402E-2</v>
      </c>
      <c r="BQ482" s="771">
        <f t="shared" ca="1" si="522"/>
        <v>0</v>
      </c>
      <c r="BR482" s="771">
        <f t="shared" ca="1" si="523"/>
        <v>0</v>
      </c>
      <c r="BS482" s="776">
        <f t="shared" ca="1" si="584"/>
        <v>3.8278257978723404E-2</v>
      </c>
      <c r="BT482" s="776">
        <f t="shared" ca="1" si="524"/>
        <v>3.6278257978723402E-2</v>
      </c>
      <c r="BU482" s="783">
        <f t="shared" ca="1" si="525"/>
        <v>24.451480196821809</v>
      </c>
      <c r="BV482" s="783">
        <f t="shared" ca="1" si="526"/>
        <v>24.451480196821809</v>
      </c>
      <c r="BW482" s="1019">
        <f t="shared" ca="1" si="585"/>
        <v>24.451480196821809</v>
      </c>
      <c r="BX482" s="771" cm="1">
        <f t="array" aca="1" ref="BX482" ca="1">INDIRECT("'Definition of Typical Day'!"&amp; ADDRESS($D482+29*(BX$16-1),$E482))</f>
        <v>65</v>
      </c>
      <c r="BY482" s="771">
        <f t="shared" ca="1" si="586"/>
        <v>0</v>
      </c>
      <c r="BZ482" s="781">
        <f t="shared" ca="1" si="527"/>
        <v>0</v>
      </c>
      <c r="CA482" s="781">
        <f t="shared" ca="1" si="528"/>
        <v>0</v>
      </c>
      <c r="CB482" s="776">
        <f t="shared" ca="1" si="529"/>
        <v>9.643942819148936E-2</v>
      </c>
      <c r="CC482" s="782">
        <f t="shared" si="530"/>
        <v>20</v>
      </c>
      <c r="CD482" s="782">
        <f t="shared" si="531"/>
        <v>6</v>
      </c>
      <c r="CE482" s="784" t="str" cm="1">
        <f t="array" aca="1" ref="CE482" ca="1">INDIRECT("'Definition of Typical Day'!"&amp;ADDRESS(CE$16,$E482))</f>
        <v>20</v>
      </c>
      <c r="CF482" s="232"/>
      <c r="CG482" s="232"/>
      <c r="CH482" s="776">
        <f t="shared" ca="1" si="532"/>
        <v>1E-3</v>
      </c>
      <c r="CI482" s="806">
        <f t="shared" ca="1" si="533"/>
        <v>100</v>
      </c>
      <c r="CJ482" s="770">
        <f t="shared" ca="1" si="534"/>
        <v>0</v>
      </c>
      <c r="CK482" s="771">
        <f t="shared" ca="1" si="535"/>
        <v>0</v>
      </c>
      <c r="CL482" s="771">
        <f t="shared" ca="1" si="536"/>
        <v>0</v>
      </c>
      <c r="CM482" s="772">
        <f t="shared" ca="1" si="537"/>
        <v>0</v>
      </c>
      <c r="CN482" s="135"/>
      <c r="CO482" s="770">
        <f t="shared" ca="1" si="587"/>
        <v>1.05</v>
      </c>
      <c r="CP482" s="771">
        <f t="shared" ca="1" si="538"/>
        <v>0.98</v>
      </c>
      <c r="CQ482" s="771">
        <f t="shared" ca="1" si="539"/>
        <v>-2.5000000000000001E-2</v>
      </c>
      <c r="CR482" s="771">
        <f t="shared" ca="1" si="540"/>
        <v>0.95</v>
      </c>
      <c r="CS482" s="771">
        <f t="shared" ca="1" si="541"/>
        <v>0.03</v>
      </c>
      <c r="CT482" s="772">
        <f t="shared" ca="1" si="542"/>
        <v>0.02</v>
      </c>
      <c r="CU482" s="135"/>
      <c r="CV482" s="135"/>
      <c r="CW482" s="135"/>
      <c r="CX482" s="135"/>
      <c r="CY482" s="135"/>
      <c r="CZ482" s="135"/>
      <c r="DA482" s="135"/>
      <c r="DB482" s="135"/>
      <c r="DC482" s="135"/>
      <c r="DD482" s="135"/>
      <c r="DE482" s="135"/>
      <c r="DF482" s="135"/>
      <c r="DG482" s="135"/>
      <c r="DH482" s="135"/>
      <c r="DI482" s="135"/>
      <c r="DJ482" s="135"/>
      <c r="DK482" s="135"/>
      <c r="DL482" s="135"/>
      <c r="DX482" s="135"/>
      <c r="DY482" s="135"/>
      <c r="DZ482" s="135"/>
      <c r="EA482" s="135"/>
      <c r="EB482" s="135"/>
      <c r="EC482" s="135"/>
      <c r="ED482" s="135"/>
      <c r="EE482" s="135"/>
      <c r="EF482" s="135"/>
      <c r="EG482" s="135"/>
      <c r="EH482" s="135"/>
      <c r="EI482" s="135"/>
      <c r="EJ482" s="135"/>
      <c r="EK482" s="135"/>
      <c r="EL482" s="135"/>
      <c r="EM482" s="135"/>
      <c r="EN482" s="135"/>
      <c r="EO482" s="135"/>
      <c r="EP482" s="135"/>
      <c r="EQ482" s="135"/>
      <c r="ER482" s="135"/>
      <c r="ES482" s="135"/>
      <c r="ET482" s="135"/>
      <c r="EU482" s="135"/>
      <c r="EV482" s="135"/>
      <c r="EW482" s="135"/>
      <c r="EX482" s="135"/>
      <c r="EY482" s="135"/>
      <c r="EZ482" s="135"/>
      <c r="FA482" s="135"/>
      <c r="FB482" s="135"/>
      <c r="FC482" s="135"/>
      <c r="FD482" s="135"/>
      <c r="FE482" s="135"/>
      <c r="FF482" s="135"/>
      <c r="FG482" s="135"/>
    </row>
    <row r="483" spans="1:163" s="57" customFormat="1" ht="11.25" outlineLevel="1">
      <c r="A483" s="765">
        <f t="shared" si="515"/>
        <v>20</v>
      </c>
      <c r="B483" s="715" t="str" cm="1">
        <f t="array" aca="1" ref="B483" ca="1">INDIRECT("'Definition of Typical Day'!"&amp;ADDRESS(B$16,$E483))</f>
        <v>20</v>
      </c>
      <c r="C483" s="766">
        <f t="shared" si="516"/>
        <v>7</v>
      </c>
      <c r="D483" s="715">
        <f t="shared" si="516"/>
        <v>41</v>
      </c>
      <c r="E483" s="715">
        <f t="shared" si="517"/>
        <v>24</v>
      </c>
      <c r="F483" s="767" cm="1">
        <f t="array" aca="1" ref="F483" ca="1">INDIRECT("'Definition of Typical Day'!D"&amp;D483)</f>
        <v>7</v>
      </c>
      <c r="G483" s="767" cm="1">
        <f t="array" aca="1" ref="G483" ca="1">INDIRECT("'Definition of Typical Day'!"&amp;ADDRESS(13,E483))</f>
        <v>20</v>
      </c>
      <c r="H483" s="768" cm="1">
        <f t="array" aca="1" ref="H483" ca="1">INDIRECT("'Definition of Typical Day'!"&amp; ADDRESS($D483+28*(H$16-1),$E483))</f>
        <v>1E-3</v>
      </c>
      <c r="I483" s="715" cm="1">
        <f t="array" aca="1" ref="I483" ca="1">INDIRECT("'Definition of Typical Day'!"&amp; ADDRESS($D483+29*(I$16-1),$E483))</f>
        <v>30</v>
      </c>
      <c r="J483" s="715">
        <f t="shared" ca="1" si="543"/>
        <v>27</v>
      </c>
      <c r="K483" s="785">
        <f t="shared" si="544"/>
        <v>28</v>
      </c>
      <c r="L483" s="786" cm="1">
        <f t="array" aca="1" ref="L483" ca="1">INDIRECT("'Definition of Typical Day'!"&amp; ADDRESS($D483+29*(L$16-1),$E483))</f>
        <v>100</v>
      </c>
      <c r="M483" s="768" cm="1">
        <f t="array" aca="1" ref="M483" ca="1">INDIRECT("'Definition of Typical Day'!"&amp; ADDRESS($D483+29*(M$16-1),$E483))</f>
        <v>88.333333333333329</v>
      </c>
      <c r="N483" s="715">
        <f t="shared" si="545"/>
        <v>3</v>
      </c>
      <c r="O483" s="715">
        <f t="shared" ca="1" si="546"/>
        <v>91.333333333333329</v>
      </c>
      <c r="P483" s="715" cm="1">
        <f t="array" aca="1" ref="P483" ca="1">INDIRECT("'Definition of Typical Day'!"&amp; ADDRESS($D483+29*(P$16-1),$E483))</f>
        <v>45</v>
      </c>
      <c r="Q483" s="787">
        <f t="shared" ca="1" si="547"/>
        <v>48</v>
      </c>
      <c r="R483" s="792">
        <f t="shared" ca="1" si="548"/>
        <v>91.333333333333329</v>
      </c>
      <c r="S483" s="769">
        <f t="shared" si="549"/>
        <v>3</v>
      </c>
      <c r="T483" s="769">
        <f t="shared" ca="1" si="550"/>
        <v>0.04</v>
      </c>
      <c r="U483" s="769">
        <f t="shared" ca="1" si="551"/>
        <v>-3.466666666666654E-2</v>
      </c>
      <c r="V483" s="769">
        <f t="shared" ca="1" si="552"/>
        <v>0</v>
      </c>
      <c r="W483" s="769">
        <f t="shared" ca="1" si="553"/>
        <v>3.0053333333333336</v>
      </c>
      <c r="X483" s="794">
        <f t="shared" si="554"/>
        <v>3</v>
      </c>
      <c r="Y483" s="769">
        <f t="shared" ca="1" si="555"/>
        <v>3</v>
      </c>
      <c r="Z483" s="769">
        <f t="shared" ca="1" si="556"/>
        <v>1.4986702127659575E-3</v>
      </c>
      <c r="AA483" s="795">
        <f t="shared" ca="1" si="557"/>
        <v>1.4986702127659575E-3</v>
      </c>
      <c r="AB483" s="769">
        <f t="shared" ca="1" si="558"/>
        <v>0</v>
      </c>
      <c r="AC483" s="769">
        <f t="shared" ca="1" si="559"/>
        <v>0</v>
      </c>
      <c r="AD483" s="769">
        <f t="shared" ca="1" si="560"/>
        <v>0</v>
      </c>
      <c r="AE483" s="794">
        <f t="shared" ca="1" si="561"/>
        <v>1.4986702127659575E-3</v>
      </c>
      <c r="AF483" s="769">
        <f t="shared" ca="1" si="562"/>
        <v>1.4986702127659575E-5</v>
      </c>
      <c r="AG483" s="769">
        <f t="shared" ca="1" si="563"/>
        <v>1.4836835106382979E-3</v>
      </c>
      <c r="AH483" s="799">
        <f t="shared" ca="1" si="564"/>
        <v>1.4836835106382979E-3</v>
      </c>
      <c r="AI483" s="801">
        <f t="shared" ca="1" si="565"/>
        <v>1</v>
      </c>
      <c r="AJ483" s="794">
        <f t="shared" ca="1" si="566"/>
        <v>1E-3</v>
      </c>
      <c r="AK483" s="769">
        <f t="shared" ca="1" si="567"/>
        <v>4.9867021276595741E-4</v>
      </c>
      <c r="AL483" s="769">
        <f t="shared" ca="1" si="568"/>
        <v>0</v>
      </c>
      <c r="AM483" s="804">
        <f t="shared" ca="1" si="518"/>
        <v>0</v>
      </c>
      <c r="AN483" s="795">
        <f t="shared" ca="1" si="519"/>
        <v>1.3333333333333334E-4</v>
      </c>
      <c r="AO483" s="251"/>
      <c r="AP483" s="770">
        <f t="shared" si="569"/>
        <v>0</v>
      </c>
      <c r="AQ483" s="771">
        <f t="shared" ca="1" si="570"/>
        <v>0</v>
      </c>
      <c r="AR483" s="771">
        <f t="shared" ca="1" si="571"/>
        <v>2E-3</v>
      </c>
      <c r="AS483" s="772">
        <f t="shared" ca="1" si="572"/>
        <v>2E-3</v>
      </c>
      <c r="AT483" s="231"/>
      <c r="AU483" s="770">
        <f>'Main Results - IRR DC Operator'!$F$16</f>
        <v>2</v>
      </c>
      <c r="AV483" s="773">
        <f>'Main Results - IRR DC Operator'!$F$15</f>
        <v>1</v>
      </c>
      <c r="AW483" s="771">
        <f t="shared" ca="1" si="573"/>
        <v>2E-3</v>
      </c>
      <c r="AX483" s="772">
        <f t="shared" si="574"/>
        <v>0</v>
      </c>
      <c r="AY483" s="231"/>
      <c r="AZ483" s="770" cm="1">
        <f t="array" aca="1" ref="AZ483" ca="1">INDIRECT("'Definition of Typical Day'!"&amp; ADDRESS($D483+29*(AZ$16-1),$E483))+$AZ$17</f>
        <v>73.59</v>
      </c>
      <c r="BA483" s="771" cm="1">
        <f t="array" aca="1" ref="BA483" ca="1">INDIRECT("'Definition of Typical Day'!"&amp; ADDRESS($D483+29*(BA$16-1),$E483))+$BA$17</f>
        <v>73.59</v>
      </c>
      <c r="BB483" s="772" cm="1">
        <f t="array" aca="1" ref="BB483" ca="1">INDIRECT("'Definition of Typical Day'!"&amp;ADDRESS(BB$16,$E483))</f>
        <v>0</v>
      </c>
      <c r="BC483" s="776" cm="1">
        <f t="array" aca="1" ref="BC483" ca="1">INDIRECT("'Definition of Typical Day'!"&amp; ADDRESS($D483+29*(BC$16-1),$E483))</f>
        <v>100</v>
      </c>
      <c r="BD483" s="777" cm="1">
        <f t="array" aca="1" ref="BD483" ca="1">INDIRECT("'Definition of Typical Day'!"&amp; ADDRESS($D483+29*(BD$16-1),$E483))</f>
        <v>1</v>
      </c>
      <c r="BE483" s="776">
        <f t="shared" si="575"/>
        <v>0</v>
      </c>
      <c r="BF483" s="771">
        <f t="shared" ca="1" si="576"/>
        <v>3.6697140957446805E-2</v>
      </c>
      <c r="BG483" s="771">
        <f t="shared" ca="1" si="577"/>
        <v>0</v>
      </c>
      <c r="BH483" s="771">
        <f t="shared" ca="1" si="578"/>
        <v>0</v>
      </c>
      <c r="BI483" s="776">
        <f t="shared" ca="1" si="579"/>
        <v>0</v>
      </c>
      <c r="BJ483" s="776">
        <f t="shared" ca="1" si="580"/>
        <v>1.3333333333333334E-2</v>
      </c>
      <c r="BK483" s="776">
        <f t="shared" ca="1" si="581"/>
        <v>0</v>
      </c>
      <c r="BL483" s="776">
        <f t="shared" ca="1" si="582"/>
        <v>0</v>
      </c>
      <c r="BM483" s="135"/>
      <c r="BN483" s="776">
        <f t="shared" ca="1" si="583"/>
        <v>3.8697140957446807E-2</v>
      </c>
      <c r="BO483" s="778">
        <f t="shared" ca="1" si="520"/>
        <v>26.08180294515698</v>
      </c>
      <c r="BP483" s="770">
        <f t="shared" ca="1" si="521"/>
        <v>3.6697140957446805E-2</v>
      </c>
      <c r="BQ483" s="771">
        <f t="shared" ca="1" si="522"/>
        <v>0</v>
      </c>
      <c r="BR483" s="771">
        <f t="shared" ca="1" si="523"/>
        <v>0</v>
      </c>
      <c r="BS483" s="776">
        <f t="shared" ca="1" si="584"/>
        <v>3.8697140957446807E-2</v>
      </c>
      <c r="BT483" s="776">
        <f t="shared" ca="1" si="524"/>
        <v>3.6697140957446805E-2</v>
      </c>
      <c r="BU483" s="783">
        <f t="shared" ca="1" si="525"/>
        <v>24.7338065661047</v>
      </c>
      <c r="BV483" s="783">
        <f t="shared" ca="1" si="526"/>
        <v>24.7338065661047</v>
      </c>
      <c r="BW483" s="1019">
        <f t="shared" ca="1" si="585"/>
        <v>24.7338065661047</v>
      </c>
      <c r="BX483" s="771" cm="1">
        <f t="array" aca="1" ref="BX483" ca="1">INDIRECT("'Definition of Typical Day'!"&amp; ADDRESS($D483+29*(BX$16-1),$E483))</f>
        <v>65</v>
      </c>
      <c r="BY483" s="771">
        <f t="shared" ca="1" si="586"/>
        <v>0</v>
      </c>
      <c r="BZ483" s="781">
        <f t="shared" ca="1" si="527"/>
        <v>0</v>
      </c>
      <c r="CA483" s="781">
        <f t="shared" ca="1" si="528"/>
        <v>0</v>
      </c>
      <c r="CB483" s="776">
        <f t="shared" ca="1" si="529"/>
        <v>9.643942819148936E-2</v>
      </c>
      <c r="CC483" s="782">
        <f t="shared" si="530"/>
        <v>20</v>
      </c>
      <c r="CD483" s="782">
        <f t="shared" si="531"/>
        <v>7</v>
      </c>
      <c r="CE483" s="784" t="str" cm="1">
        <f t="array" aca="1" ref="CE483" ca="1">INDIRECT("'Definition of Typical Day'!"&amp;ADDRESS(CE$16,$E483))</f>
        <v>20</v>
      </c>
      <c r="CF483" s="232"/>
      <c r="CG483" s="232"/>
      <c r="CH483" s="776">
        <f t="shared" ca="1" si="532"/>
        <v>1E-3</v>
      </c>
      <c r="CI483" s="806">
        <f t="shared" ca="1" si="533"/>
        <v>100</v>
      </c>
      <c r="CJ483" s="770">
        <f t="shared" ca="1" si="534"/>
        <v>0</v>
      </c>
      <c r="CK483" s="771">
        <f t="shared" ca="1" si="535"/>
        <v>0</v>
      </c>
      <c r="CL483" s="771">
        <f t="shared" ca="1" si="536"/>
        <v>0</v>
      </c>
      <c r="CM483" s="772">
        <f t="shared" ca="1" si="537"/>
        <v>0</v>
      </c>
      <c r="CN483" s="135"/>
      <c r="CO483" s="770">
        <f t="shared" ca="1" si="587"/>
        <v>1.05</v>
      </c>
      <c r="CP483" s="771">
        <f t="shared" ca="1" si="538"/>
        <v>0.98</v>
      </c>
      <c r="CQ483" s="771">
        <f t="shared" ca="1" si="539"/>
        <v>-2.5000000000000001E-2</v>
      </c>
      <c r="CR483" s="771">
        <f t="shared" ca="1" si="540"/>
        <v>0.95</v>
      </c>
      <c r="CS483" s="771">
        <f t="shared" ca="1" si="541"/>
        <v>0.03</v>
      </c>
      <c r="CT483" s="772">
        <f t="shared" ca="1" si="542"/>
        <v>0.02</v>
      </c>
      <c r="CU483" s="135"/>
      <c r="CV483" s="135"/>
      <c r="CW483" s="135"/>
      <c r="CX483" s="135"/>
      <c r="CY483" s="135"/>
      <c r="CZ483" s="135"/>
      <c r="DA483" s="135"/>
      <c r="DB483" s="135"/>
      <c r="DC483" s="135"/>
      <c r="DD483" s="135"/>
      <c r="DE483" s="135"/>
      <c r="DF483" s="135"/>
      <c r="DG483" s="135"/>
      <c r="DH483" s="135"/>
      <c r="DI483" s="135"/>
      <c r="DJ483" s="135"/>
      <c r="DK483" s="135"/>
      <c r="DL483" s="135"/>
      <c r="DX483" s="135"/>
      <c r="DY483" s="135"/>
      <c r="DZ483" s="135"/>
      <c r="EA483" s="135"/>
      <c r="EB483" s="135"/>
      <c r="EC483" s="135"/>
      <c r="ED483" s="135"/>
      <c r="EE483" s="135"/>
      <c r="EF483" s="135"/>
      <c r="EG483" s="135"/>
      <c r="EH483" s="135"/>
      <c r="EI483" s="135"/>
      <c r="EJ483" s="135"/>
      <c r="EK483" s="135"/>
      <c r="EL483" s="135"/>
      <c r="EM483" s="135"/>
      <c r="EN483" s="135"/>
      <c r="EO483" s="135"/>
      <c r="EP483" s="135"/>
      <c r="EQ483" s="135"/>
      <c r="ER483" s="135"/>
      <c r="ES483" s="135"/>
      <c r="ET483" s="135"/>
      <c r="EU483" s="135"/>
      <c r="EV483" s="135"/>
      <c r="EW483" s="135"/>
      <c r="EX483" s="135"/>
      <c r="EY483" s="135"/>
      <c r="EZ483" s="135"/>
      <c r="FA483" s="135"/>
      <c r="FB483" s="135"/>
      <c r="FC483" s="135"/>
      <c r="FD483" s="135"/>
      <c r="FE483" s="135"/>
      <c r="FF483" s="135"/>
      <c r="FG483" s="135"/>
    </row>
    <row r="484" spans="1:163" s="57" customFormat="1" ht="11.25" outlineLevel="1">
      <c r="A484" s="765">
        <f t="shared" si="515"/>
        <v>20</v>
      </c>
      <c r="B484" s="715" t="str" cm="1">
        <f t="array" aca="1" ref="B484" ca="1">INDIRECT("'Definition of Typical Day'!"&amp;ADDRESS(B$16,$E484))</f>
        <v>20</v>
      </c>
      <c r="C484" s="766">
        <f t="shared" si="516"/>
        <v>8</v>
      </c>
      <c r="D484" s="715">
        <f t="shared" si="516"/>
        <v>42</v>
      </c>
      <c r="E484" s="715">
        <f t="shared" si="517"/>
        <v>24</v>
      </c>
      <c r="F484" s="767" cm="1">
        <f t="array" aca="1" ref="F484" ca="1">INDIRECT("'Definition of Typical Day'!D"&amp;D484)</f>
        <v>8</v>
      </c>
      <c r="G484" s="767" cm="1">
        <f t="array" aca="1" ref="G484" ca="1">INDIRECT("'Definition of Typical Day'!"&amp;ADDRESS(13,E484))</f>
        <v>20</v>
      </c>
      <c r="H484" s="768" cm="1">
        <f t="array" aca="1" ref="H484" ca="1">INDIRECT("'Definition of Typical Day'!"&amp; ADDRESS($D484+28*(H$16-1),$E484))</f>
        <v>1E-3</v>
      </c>
      <c r="I484" s="715" cm="1">
        <f t="array" aca="1" ref="I484" ca="1">INDIRECT("'Definition of Typical Day'!"&amp; ADDRESS($D484+29*(I$16-1),$E484))</f>
        <v>30</v>
      </c>
      <c r="J484" s="715">
        <f t="shared" ca="1" si="543"/>
        <v>27</v>
      </c>
      <c r="K484" s="785">
        <f t="shared" si="544"/>
        <v>28</v>
      </c>
      <c r="L484" s="786" cm="1">
        <f t="array" aca="1" ref="L484" ca="1">INDIRECT("'Definition of Typical Day'!"&amp; ADDRESS($D484+29*(L$16-1),$E484))</f>
        <v>100</v>
      </c>
      <c r="M484" s="768" cm="1">
        <f t="array" aca="1" ref="M484" ca="1">INDIRECT("'Definition of Typical Day'!"&amp; ADDRESS($D484+29*(M$16-1),$E484))</f>
        <v>86.666666666666657</v>
      </c>
      <c r="N484" s="715">
        <f t="shared" si="545"/>
        <v>3</v>
      </c>
      <c r="O484" s="715">
        <f t="shared" ca="1" si="546"/>
        <v>89.666666666666657</v>
      </c>
      <c r="P484" s="715" cm="1">
        <f t="array" aca="1" ref="P484" ca="1">INDIRECT("'Definition of Typical Day'!"&amp; ADDRESS($D484+29*(P$16-1),$E484))</f>
        <v>45</v>
      </c>
      <c r="Q484" s="787">
        <f t="shared" ca="1" si="547"/>
        <v>48</v>
      </c>
      <c r="R484" s="792">
        <f t="shared" ca="1" si="548"/>
        <v>89.666666666666657</v>
      </c>
      <c r="S484" s="769">
        <f t="shared" si="549"/>
        <v>3</v>
      </c>
      <c r="T484" s="769">
        <f t="shared" ca="1" si="550"/>
        <v>0.04</v>
      </c>
      <c r="U484" s="769">
        <f t="shared" ca="1" si="551"/>
        <v>8.6666666666669126E-3</v>
      </c>
      <c r="V484" s="769">
        <f t="shared" ca="1" si="552"/>
        <v>0</v>
      </c>
      <c r="W484" s="769">
        <f t="shared" ca="1" si="553"/>
        <v>3.0486666666666671</v>
      </c>
      <c r="X484" s="794">
        <f t="shared" si="554"/>
        <v>3</v>
      </c>
      <c r="Y484" s="769">
        <f t="shared" ca="1" si="555"/>
        <v>3</v>
      </c>
      <c r="Z484" s="769">
        <f t="shared" ca="1" si="556"/>
        <v>1.4881223560039049E-3</v>
      </c>
      <c r="AA484" s="795">
        <f t="shared" ca="1" si="557"/>
        <v>1.4881223560039049E-3</v>
      </c>
      <c r="AB484" s="769">
        <f t="shared" ca="1" si="558"/>
        <v>0</v>
      </c>
      <c r="AC484" s="769">
        <f t="shared" ca="1" si="559"/>
        <v>0</v>
      </c>
      <c r="AD484" s="769">
        <f t="shared" ca="1" si="560"/>
        <v>0</v>
      </c>
      <c r="AE484" s="794">
        <f t="shared" ca="1" si="561"/>
        <v>1.4881223560039049E-3</v>
      </c>
      <c r="AF484" s="769">
        <f t="shared" ca="1" si="562"/>
        <v>1.4881223560039049E-5</v>
      </c>
      <c r="AG484" s="769">
        <f t="shared" ca="1" si="563"/>
        <v>1.4732411324438659E-3</v>
      </c>
      <c r="AH484" s="799">
        <f t="shared" ca="1" si="564"/>
        <v>1.4732411324438659E-3</v>
      </c>
      <c r="AI484" s="801">
        <f t="shared" ca="1" si="565"/>
        <v>1</v>
      </c>
      <c r="AJ484" s="794">
        <f t="shared" ca="1" si="566"/>
        <v>1E-3</v>
      </c>
      <c r="AK484" s="769">
        <f t="shared" ca="1" si="567"/>
        <v>4.8812235600390486E-4</v>
      </c>
      <c r="AL484" s="769">
        <f t="shared" ca="1" si="568"/>
        <v>0</v>
      </c>
      <c r="AM484" s="804">
        <f t="shared" ca="1" si="518"/>
        <v>0</v>
      </c>
      <c r="AN484" s="795">
        <f t="shared" ca="1" si="519"/>
        <v>1.3333333333333334E-4</v>
      </c>
      <c r="AO484" s="251"/>
      <c r="AP484" s="770">
        <f t="shared" si="569"/>
        <v>0</v>
      </c>
      <c r="AQ484" s="771">
        <f t="shared" ca="1" si="570"/>
        <v>0</v>
      </c>
      <c r="AR484" s="771">
        <f t="shared" ca="1" si="571"/>
        <v>2E-3</v>
      </c>
      <c r="AS484" s="772">
        <f t="shared" ca="1" si="572"/>
        <v>2E-3</v>
      </c>
      <c r="AT484" s="231"/>
      <c r="AU484" s="770">
        <f>'Main Results - IRR DC Operator'!$F$16</f>
        <v>2</v>
      </c>
      <c r="AV484" s="773">
        <f>'Main Results - IRR DC Operator'!$F$15</f>
        <v>1</v>
      </c>
      <c r="AW484" s="771">
        <f t="shared" ca="1" si="573"/>
        <v>2E-3</v>
      </c>
      <c r="AX484" s="772">
        <f t="shared" si="574"/>
        <v>0</v>
      </c>
      <c r="AY484" s="231"/>
      <c r="AZ484" s="770" cm="1">
        <f t="array" aca="1" ref="AZ484" ca="1">INDIRECT("'Definition of Typical Day'!"&amp; ADDRESS($D484+29*(AZ$16-1),$E484))+$AZ$17</f>
        <v>77.900000000000006</v>
      </c>
      <c r="BA484" s="771" cm="1">
        <f t="array" aca="1" ref="BA484" ca="1">INDIRECT("'Definition of Typical Day'!"&amp; ADDRESS($D484+29*(BA$16-1),$E484))+$BA$17</f>
        <v>77.900000000000006</v>
      </c>
      <c r="BB484" s="772" cm="1">
        <f t="array" aca="1" ref="BB484" ca="1">INDIRECT("'Definition of Typical Day'!"&amp;ADDRESS(BB$16,$E484))</f>
        <v>0</v>
      </c>
      <c r="BC484" s="776" cm="1">
        <f t="array" aca="1" ref="BC484" ca="1">INDIRECT("'Definition of Typical Day'!"&amp; ADDRESS($D484+29*(BC$16-1),$E484))</f>
        <v>100</v>
      </c>
      <c r="BD484" s="777" cm="1">
        <f t="array" aca="1" ref="BD484" ca="1">INDIRECT("'Definition of Typical Day'!"&amp; ADDRESS($D484+29*(BD$16-1),$E484))</f>
        <v>1</v>
      </c>
      <c r="BE484" s="776">
        <f t="shared" si="575"/>
        <v>0</v>
      </c>
      <c r="BF484" s="771">
        <f t="shared" ca="1" si="576"/>
        <v>3.8024731532704192E-2</v>
      </c>
      <c r="BG484" s="771">
        <f t="shared" ca="1" si="577"/>
        <v>0</v>
      </c>
      <c r="BH484" s="771">
        <f t="shared" ca="1" si="578"/>
        <v>0</v>
      </c>
      <c r="BI484" s="776">
        <f t="shared" ca="1" si="579"/>
        <v>0</v>
      </c>
      <c r="BJ484" s="776">
        <f t="shared" ca="1" si="580"/>
        <v>1.3333333333333334E-2</v>
      </c>
      <c r="BK484" s="776">
        <f t="shared" ca="1" si="581"/>
        <v>0</v>
      </c>
      <c r="BL484" s="776">
        <f t="shared" ca="1" si="582"/>
        <v>0</v>
      </c>
      <c r="BM484" s="135"/>
      <c r="BN484" s="776">
        <f t="shared" ca="1" si="583"/>
        <v>4.0024731532704194E-2</v>
      </c>
      <c r="BO484" s="778">
        <f t="shared" ca="1" si="520"/>
        <v>27.167807530807746</v>
      </c>
      <c r="BP484" s="770">
        <f t="shared" ca="1" si="521"/>
        <v>3.8024731532704192E-2</v>
      </c>
      <c r="BQ484" s="771">
        <f t="shared" ca="1" si="522"/>
        <v>0</v>
      </c>
      <c r="BR484" s="771">
        <f t="shared" ca="1" si="523"/>
        <v>0</v>
      </c>
      <c r="BS484" s="776">
        <f t="shared" ca="1" si="584"/>
        <v>4.0024731532704194E-2</v>
      </c>
      <c r="BT484" s="776">
        <f t="shared" ca="1" si="524"/>
        <v>3.8024731532704192E-2</v>
      </c>
      <c r="BU484" s="783">
        <f t="shared" ca="1" si="525"/>
        <v>25.810256512202717</v>
      </c>
      <c r="BV484" s="783">
        <f t="shared" ca="1" si="526"/>
        <v>25.810256512202717</v>
      </c>
      <c r="BW484" s="1019">
        <f t="shared" ca="1" si="585"/>
        <v>25.810256512202717</v>
      </c>
      <c r="BX484" s="771" cm="1">
        <f t="array" aca="1" ref="BX484" ca="1">INDIRECT("'Definition of Typical Day'!"&amp; ADDRESS($D484+29*(BX$16-1),$E484))</f>
        <v>65</v>
      </c>
      <c r="BY484" s="771">
        <f t="shared" ca="1" si="586"/>
        <v>0</v>
      </c>
      <c r="BZ484" s="781">
        <f t="shared" ca="1" si="527"/>
        <v>0</v>
      </c>
      <c r="CA484" s="781">
        <f t="shared" ca="1" si="528"/>
        <v>0</v>
      </c>
      <c r="CB484" s="776">
        <f t="shared" ca="1" si="529"/>
        <v>9.5760673608851279E-2</v>
      </c>
      <c r="CC484" s="782">
        <f t="shared" si="530"/>
        <v>20</v>
      </c>
      <c r="CD484" s="782">
        <f t="shared" si="531"/>
        <v>8</v>
      </c>
      <c r="CE484" s="784" t="str" cm="1">
        <f t="array" aca="1" ref="CE484" ca="1">INDIRECT("'Definition of Typical Day'!"&amp;ADDRESS(CE$16,$E484))</f>
        <v>20</v>
      </c>
      <c r="CF484" s="232"/>
      <c r="CG484" s="232"/>
      <c r="CH484" s="776">
        <f t="shared" ca="1" si="532"/>
        <v>1E-3</v>
      </c>
      <c r="CI484" s="806">
        <f t="shared" ca="1" si="533"/>
        <v>100</v>
      </c>
      <c r="CJ484" s="770">
        <f t="shared" ca="1" si="534"/>
        <v>0</v>
      </c>
      <c r="CK484" s="771">
        <f t="shared" ca="1" si="535"/>
        <v>0</v>
      </c>
      <c r="CL484" s="771">
        <f t="shared" ca="1" si="536"/>
        <v>0</v>
      </c>
      <c r="CM484" s="772">
        <f t="shared" ca="1" si="537"/>
        <v>0</v>
      </c>
      <c r="CN484" s="135"/>
      <c r="CO484" s="770">
        <f t="shared" ca="1" si="587"/>
        <v>1.05</v>
      </c>
      <c r="CP484" s="771">
        <f t="shared" ca="1" si="538"/>
        <v>0.98</v>
      </c>
      <c r="CQ484" s="771">
        <f t="shared" ca="1" si="539"/>
        <v>-2.5000000000000001E-2</v>
      </c>
      <c r="CR484" s="771">
        <f t="shared" ca="1" si="540"/>
        <v>0.95</v>
      </c>
      <c r="CS484" s="771">
        <f t="shared" ca="1" si="541"/>
        <v>0.03</v>
      </c>
      <c r="CT484" s="772">
        <f t="shared" ca="1" si="542"/>
        <v>0.02</v>
      </c>
      <c r="CU484" s="135"/>
      <c r="CV484" s="135"/>
      <c r="CW484" s="135"/>
      <c r="CX484" s="135"/>
      <c r="CY484" s="135"/>
      <c r="CZ484" s="135"/>
      <c r="DA484" s="135"/>
      <c r="DB484" s="135"/>
      <c r="DC484" s="135"/>
      <c r="DD484" s="135"/>
      <c r="DE484" s="135"/>
      <c r="DF484" s="135"/>
      <c r="DG484" s="135"/>
      <c r="DH484" s="135"/>
      <c r="DI484" s="135"/>
      <c r="DJ484" s="135"/>
      <c r="DK484" s="135"/>
      <c r="DL484" s="135"/>
      <c r="DX484" s="135"/>
      <c r="DY484" s="135"/>
      <c r="DZ484" s="135"/>
      <c r="EA484" s="135"/>
      <c r="EB484" s="135"/>
      <c r="EC484" s="135"/>
      <c r="ED484" s="135"/>
      <c r="EE484" s="135"/>
      <c r="EF484" s="135"/>
      <c r="EG484" s="135"/>
      <c r="EH484" s="135"/>
      <c r="EI484" s="135"/>
      <c r="EJ484" s="135"/>
      <c r="EK484" s="135"/>
      <c r="EL484" s="135"/>
      <c r="EM484" s="135"/>
      <c r="EN484" s="135"/>
      <c r="EO484" s="135"/>
      <c r="EP484" s="135"/>
      <c r="EQ484" s="135"/>
      <c r="ER484" s="135"/>
      <c r="ES484" s="135"/>
      <c r="ET484" s="135"/>
      <c r="EU484" s="135"/>
      <c r="EV484" s="135"/>
      <c r="EW484" s="135"/>
      <c r="EX484" s="135"/>
      <c r="EY484" s="135"/>
      <c r="EZ484" s="135"/>
      <c r="FA484" s="135"/>
      <c r="FB484" s="135"/>
      <c r="FC484" s="135"/>
      <c r="FD484" s="135"/>
      <c r="FE484" s="135"/>
      <c r="FF484" s="135"/>
      <c r="FG484" s="135"/>
    </row>
    <row r="485" spans="1:163" s="57" customFormat="1" ht="11.25" outlineLevel="1">
      <c r="A485" s="765">
        <f t="shared" si="515"/>
        <v>20</v>
      </c>
      <c r="B485" s="715" t="str" cm="1">
        <f t="array" aca="1" ref="B485" ca="1">INDIRECT("'Definition of Typical Day'!"&amp;ADDRESS(B$16,$E485))</f>
        <v>20</v>
      </c>
      <c r="C485" s="766">
        <f t="shared" si="516"/>
        <v>9</v>
      </c>
      <c r="D485" s="715">
        <f t="shared" si="516"/>
        <v>43</v>
      </c>
      <c r="E485" s="715">
        <f t="shared" si="517"/>
        <v>24</v>
      </c>
      <c r="F485" s="767" cm="1">
        <f t="array" aca="1" ref="F485" ca="1">INDIRECT("'Definition of Typical Day'!D"&amp;D485)</f>
        <v>9</v>
      </c>
      <c r="G485" s="767" cm="1">
        <f t="array" aca="1" ref="G485" ca="1">INDIRECT("'Definition of Typical Day'!"&amp;ADDRESS(13,E485))</f>
        <v>20</v>
      </c>
      <c r="H485" s="768" cm="1">
        <f t="array" aca="1" ref="H485" ca="1">INDIRECT("'Definition of Typical Day'!"&amp; ADDRESS($D485+28*(H$16-1),$E485))</f>
        <v>1E-3</v>
      </c>
      <c r="I485" s="715" cm="1">
        <f t="array" aca="1" ref="I485" ca="1">INDIRECT("'Definition of Typical Day'!"&amp; ADDRESS($D485+29*(I$16-1),$E485))</f>
        <v>30</v>
      </c>
      <c r="J485" s="715">
        <f t="shared" ca="1" si="543"/>
        <v>27</v>
      </c>
      <c r="K485" s="785">
        <f t="shared" si="544"/>
        <v>28</v>
      </c>
      <c r="L485" s="786" cm="1">
        <f t="array" aca="1" ref="L485" ca="1">INDIRECT("'Definition of Typical Day'!"&amp; ADDRESS($D485+29*(L$16-1),$E485))</f>
        <v>100</v>
      </c>
      <c r="M485" s="768" cm="1">
        <f t="array" aca="1" ref="M485" ca="1">INDIRECT("'Definition of Typical Day'!"&amp; ADDRESS($D485+29*(M$16-1),$E485))</f>
        <v>85</v>
      </c>
      <c r="N485" s="715">
        <f t="shared" si="545"/>
        <v>3</v>
      </c>
      <c r="O485" s="715">
        <f t="shared" ca="1" si="546"/>
        <v>88</v>
      </c>
      <c r="P485" s="715" cm="1">
        <f t="array" aca="1" ref="P485" ca="1">INDIRECT("'Definition of Typical Day'!"&amp; ADDRESS($D485+29*(P$16-1),$E485))</f>
        <v>45</v>
      </c>
      <c r="Q485" s="787">
        <f t="shared" ca="1" si="547"/>
        <v>48</v>
      </c>
      <c r="R485" s="792">
        <f t="shared" ca="1" si="548"/>
        <v>88</v>
      </c>
      <c r="S485" s="769">
        <f t="shared" si="549"/>
        <v>3</v>
      </c>
      <c r="T485" s="769">
        <f t="shared" ca="1" si="550"/>
        <v>0.04</v>
      </c>
      <c r="U485" s="769">
        <f t="shared" ca="1" si="551"/>
        <v>5.1999999999999998E-2</v>
      </c>
      <c r="V485" s="769">
        <f t="shared" ca="1" si="552"/>
        <v>0</v>
      </c>
      <c r="W485" s="769">
        <f t="shared" ca="1" si="553"/>
        <v>3.0920000000000001</v>
      </c>
      <c r="X485" s="794">
        <f t="shared" si="554"/>
        <v>3</v>
      </c>
      <c r="Y485" s="769">
        <f t="shared" ca="1" si="555"/>
        <v>3</v>
      </c>
      <c r="Z485" s="769">
        <f t="shared" ca="1" si="556"/>
        <v>1.4780114722753347E-3</v>
      </c>
      <c r="AA485" s="795">
        <f t="shared" ca="1" si="557"/>
        <v>1.4780114722753347E-3</v>
      </c>
      <c r="AB485" s="769">
        <f t="shared" ca="1" si="558"/>
        <v>0</v>
      </c>
      <c r="AC485" s="769">
        <f t="shared" ca="1" si="559"/>
        <v>0</v>
      </c>
      <c r="AD485" s="769">
        <f t="shared" ca="1" si="560"/>
        <v>0</v>
      </c>
      <c r="AE485" s="794">
        <f t="shared" ca="1" si="561"/>
        <v>1.4780114722753347E-3</v>
      </c>
      <c r="AF485" s="769">
        <f t="shared" ca="1" si="562"/>
        <v>1.4780114722753347E-5</v>
      </c>
      <c r="AG485" s="769">
        <f t="shared" ca="1" si="563"/>
        <v>1.4632313575525815E-3</v>
      </c>
      <c r="AH485" s="799">
        <f t="shared" ca="1" si="564"/>
        <v>1.4632313575525815E-3</v>
      </c>
      <c r="AI485" s="801">
        <f t="shared" ca="1" si="565"/>
        <v>1</v>
      </c>
      <c r="AJ485" s="794">
        <f t="shared" ca="1" si="566"/>
        <v>1.0000000000000002E-3</v>
      </c>
      <c r="AK485" s="769">
        <f t="shared" ca="1" si="567"/>
        <v>4.7801147227533465E-4</v>
      </c>
      <c r="AL485" s="769">
        <f t="shared" ca="1" si="568"/>
        <v>0</v>
      </c>
      <c r="AM485" s="804">
        <f t="shared" ca="1" si="518"/>
        <v>0</v>
      </c>
      <c r="AN485" s="795">
        <f t="shared" ca="1" si="519"/>
        <v>1.3333333333333334E-4</v>
      </c>
      <c r="AO485" s="251"/>
      <c r="AP485" s="770">
        <f t="shared" si="569"/>
        <v>0</v>
      </c>
      <c r="AQ485" s="771">
        <f t="shared" ca="1" si="570"/>
        <v>0</v>
      </c>
      <c r="AR485" s="771">
        <f t="shared" ca="1" si="571"/>
        <v>2.0000000000000005E-3</v>
      </c>
      <c r="AS485" s="772">
        <f t="shared" ca="1" si="572"/>
        <v>2.0000000000000005E-3</v>
      </c>
      <c r="AT485" s="231"/>
      <c r="AU485" s="770">
        <f>'Main Results - IRR DC Operator'!$F$16</f>
        <v>2</v>
      </c>
      <c r="AV485" s="773">
        <f>'Main Results - IRR DC Operator'!$F$15</f>
        <v>1</v>
      </c>
      <c r="AW485" s="771">
        <f t="shared" ca="1" si="573"/>
        <v>2E-3</v>
      </c>
      <c r="AX485" s="772">
        <f t="shared" si="574"/>
        <v>0</v>
      </c>
      <c r="AY485" s="231"/>
      <c r="AZ485" s="770" cm="1">
        <f t="array" aca="1" ref="AZ485" ca="1">INDIRECT("'Definition of Typical Day'!"&amp; ADDRESS($D485+29*(AZ$16-1),$E485))+$AZ$17</f>
        <v>85.82</v>
      </c>
      <c r="BA485" s="771" cm="1">
        <f t="array" aca="1" ref="BA485" ca="1">INDIRECT("'Definition of Typical Day'!"&amp; ADDRESS($D485+29*(BA$16-1),$E485))+$BA$17</f>
        <v>85.82</v>
      </c>
      <c r="BB485" s="772" cm="1">
        <f t="array" aca="1" ref="BB485" ca="1">INDIRECT("'Definition of Typical Day'!"&amp;ADDRESS(BB$16,$E485))</f>
        <v>0</v>
      </c>
      <c r="BC485" s="776" cm="1">
        <f t="array" aca="1" ref="BC485" ca="1">INDIRECT("'Definition of Typical Day'!"&amp; ADDRESS($D485+29*(BC$16-1),$E485))</f>
        <v>100</v>
      </c>
      <c r="BD485" s="777" cm="1">
        <f t="array" aca="1" ref="BD485" ca="1">INDIRECT("'Definition of Typical Day'!"&amp; ADDRESS($D485+29*(BD$16-1),$E485))</f>
        <v>1</v>
      </c>
      <c r="BE485" s="776">
        <f t="shared" si="575"/>
        <v>0</v>
      </c>
      <c r="BF485" s="771">
        <f t="shared" ca="1" si="576"/>
        <v>4.1022944550669217E-2</v>
      </c>
      <c r="BG485" s="771">
        <f t="shared" ca="1" si="577"/>
        <v>0</v>
      </c>
      <c r="BH485" s="771">
        <f t="shared" ca="1" si="578"/>
        <v>0</v>
      </c>
      <c r="BI485" s="776">
        <f t="shared" ca="1" si="579"/>
        <v>0</v>
      </c>
      <c r="BJ485" s="776">
        <f t="shared" ca="1" si="580"/>
        <v>1.3333333333333334E-2</v>
      </c>
      <c r="BK485" s="776">
        <f t="shared" ca="1" si="581"/>
        <v>0</v>
      </c>
      <c r="BL485" s="776">
        <f t="shared" ca="1" si="582"/>
        <v>0</v>
      </c>
      <c r="BM485" s="135"/>
      <c r="BN485" s="776">
        <f t="shared" ca="1" si="583"/>
        <v>4.3022944550669219E-2</v>
      </c>
      <c r="BO485" s="778">
        <f t="shared" ca="1" si="520"/>
        <v>29.40269447384583</v>
      </c>
      <c r="BP485" s="770">
        <f t="shared" ca="1" si="521"/>
        <v>4.1022944550669217E-2</v>
      </c>
      <c r="BQ485" s="771">
        <f t="shared" ca="1" si="522"/>
        <v>0</v>
      </c>
      <c r="BR485" s="771">
        <f t="shared" ca="1" si="523"/>
        <v>0</v>
      </c>
      <c r="BS485" s="776">
        <f t="shared" ca="1" si="584"/>
        <v>4.3022944550669219E-2</v>
      </c>
      <c r="BT485" s="776">
        <f t="shared" ca="1" si="524"/>
        <v>4.1022944550669217E-2</v>
      </c>
      <c r="BU485" s="783">
        <f t="shared" ca="1" si="525"/>
        <v>28.035856625766066</v>
      </c>
      <c r="BV485" s="783">
        <f t="shared" ca="1" si="526"/>
        <v>28.035856625766066</v>
      </c>
      <c r="BW485" s="1019">
        <f t="shared" ca="1" si="585"/>
        <v>28.035856625766066</v>
      </c>
      <c r="BX485" s="771" cm="1">
        <f t="array" aca="1" ref="BX485" ca="1">INDIRECT("'Definition of Typical Day'!"&amp; ADDRESS($D485+29*(BX$16-1),$E485))</f>
        <v>65</v>
      </c>
      <c r="BY485" s="771">
        <f t="shared" ca="1" si="586"/>
        <v>0</v>
      </c>
      <c r="BZ485" s="781">
        <f t="shared" ca="1" si="527"/>
        <v>0</v>
      </c>
      <c r="CA485" s="781">
        <f t="shared" ca="1" si="528"/>
        <v>0</v>
      </c>
      <c r="CB485" s="776">
        <f t="shared" ca="1" si="529"/>
        <v>9.5110038240917794E-2</v>
      </c>
      <c r="CC485" s="782">
        <f t="shared" si="530"/>
        <v>20</v>
      </c>
      <c r="CD485" s="782">
        <f t="shared" si="531"/>
        <v>9</v>
      </c>
      <c r="CE485" s="784" t="str" cm="1">
        <f t="array" aca="1" ref="CE485" ca="1">INDIRECT("'Definition of Typical Day'!"&amp;ADDRESS(CE$16,$E485))</f>
        <v>20</v>
      </c>
      <c r="CF485" s="232"/>
      <c r="CG485" s="232"/>
      <c r="CH485" s="776">
        <f t="shared" ca="1" si="532"/>
        <v>1E-3</v>
      </c>
      <c r="CI485" s="806">
        <f t="shared" ca="1" si="533"/>
        <v>100</v>
      </c>
      <c r="CJ485" s="770">
        <f t="shared" ca="1" si="534"/>
        <v>0</v>
      </c>
      <c r="CK485" s="771">
        <f t="shared" ca="1" si="535"/>
        <v>0</v>
      </c>
      <c r="CL485" s="771">
        <f t="shared" ca="1" si="536"/>
        <v>0</v>
      </c>
      <c r="CM485" s="772">
        <f t="shared" ca="1" si="537"/>
        <v>0</v>
      </c>
      <c r="CN485" s="135"/>
      <c r="CO485" s="770">
        <f t="shared" ca="1" si="587"/>
        <v>1.05</v>
      </c>
      <c r="CP485" s="771">
        <f t="shared" ca="1" si="538"/>
        <v>0.98</v>
      </c>
      <c r="CQ485" s="771">
        <f t="shared" ca="1" si="539"/>
        <v>-2.5000000000000001E-2</v>
      </c>
      <c r="CR485" s="771">
        <f t="shared" ca="1" si="540"/>
        <v>0.95</v>
      </c>
      <c r="CS485" s="771">
        <f t="shared" ca="1" si="541"/>
        <v>0.03</v>
      </c>
      <c r="CT485" s="772">
        <f t="shared" ca="1" si="542"/>
        <v>0.02</v>
      </c>
      <c r="CU485" s="135"/>
      <c r="CV485" s="135"/>
      <c r="CW485" s="135"/>
      <c r="CX485" s="135"/>
      <c r="CY485" s="135"/>
      <c r="CZ485" s="135"/>
      <c r="DA485" s="135"/>
      <c r="DB485" s="135"/>
      <c r="DC485" s="135"/>
      <c r="DD485" s="135"/>
      <c r="DE485" s="135"/>
      <c r="DF485" s="135"/>
      <c r="DG485" s="135"/>
      <c r="DH485" s="135"/>
      <c r="DI485" s="135"/>
      <c r="DJ485" s="135"/>
      <c r="DK485" s="135"/>
      <c r="DL485" s="135"/>
      <c r="DX485" s="135"/>
      <c r="DY485" s="135"/>
      <c r="DZ485" s="135"/>
      <c r="EA485" s="135"/>
      <c r="EB485" s="135"/>
      <c r="EC485" s="135"/>
      <c r="ED485" s="135"/>
      <c r="EE485" s="135"/>
      <c r="EF485" s="135"/>
      <c r="EG485" s="135"/>
      <c r="EH485" s="135"/>
      <c r="EI485" s="135"/>
      <c r="EJ485" s="135"/>
      <c r="EK485" s="135"/>
      <c r="EL485" s="135"/>
      <c r="EM485" s="135"/>
      <c r="EN485" s="135"/>
      <c r="EO485" s="135"/>
      <c r="EP485" s="135"/>
      <c r="EQ485" s="135"/>
      <c r="ER485" s="135"/>
      <c r="ES485" s="135"/>
      <c r="ET485" s="135"/>
      <c r="EU485" s="135"/>
      <c r="EV485" s="135"/>
      <c r="EW485" s="135"/>
      <c r="EX485" s="135"/>
      <c r="EY485" s="135"/>
      <c r="EZ485" s="135"/>
      <c r="FA485" s="135"/>
      <c r="FB485" s="135"/>
      <c r="FC485" s="135"/>
      <c r="FD485" s="135"/>
      <c r="FE485" s="135"/>
      <c r="FF485" s="135"/>
      <c r="FG485" s="135"/>
    </row>
    <row r="486" spans="1:163" s="57" customFormat="1" ht="11.25" outlineLevel="1">
      <c r="A486" s="765">
        <f t="shared" si="515"/>
        <v>20</v>
      </c>
      <c r="B486" s="715" t="str" cm="1">
        <f t="array" aca="1" ref="B486" ca="1">INDIRECT("'Definition of Typical Day'!"&amp;ADDRESS(B$16,$E486))</f>
        <v>20</v>
      </c>
      <c r="C486" s="766">
        <f t="shared" si="516"/>
        <v>10</v>
      </c>
      <c r="D486" s="715">
        <f t="shared" si="516"/>
        <v>44</v>
      </c>
      <c r="E486" s="715">
        <f t="shared" si="517"/>
        <v>24</v>
      </c>
      <c r="F486" s="767" cm="1">
        <f t="array" aca="1" ref="F486" ca="1">INDIRECT("'Definition of Typical Day'!D"&amp;D486)</f>
        <v>10</v>
      </c>
      <c r="G486" s="767" cm="1">
        <f t="array" aca="1" ref="G486" ca="1">INDIRECT("'Definition of Typical Day'!"&amp;ADDRESS(13,E486))</f>
        <v>20</v>
      </c>
      <c r="H486" s="768" cm="1">
        <f t="array" aca="1" ref="H486" ca="1">INDIRECT("'Definition of Typical Day'!"&amp; ADDRESS($D486+28*(H$16-1),$E486))</f>
        <v>1E-3</v>
      </c>
      <c r="I486" s="715" cm="1">
        <f t="array" aca="1" ref="I486" ca="1">INDIRECT("'Definition of Typical Day'!"&amp; ADDRESS($D486+29*(I$16-1),$E486))</f>
        <v>30</v>
      </c>
      <c r="J486" s="715">
        <f t="shared" ca="1" si="543"/>
        <v>27</v>
      </c>
      <c r="K486" s="785">
        <f t="shared" si="544"/>
        <v>28</v>
      </c>
      <c r="L486" s="786" cm="1">
        <f t="array" aca="1" ref="L486" ca="1">INDIRECT("'Definition of Typical Day'!"&amp; ADDRESS($D486+29*(L$16-1),$E486))</f>
        <v>100</v>
      </c>
      <c r="M486" s="768" cm="1">
        <f t="array" aca="1" ref="M486" ca="1">INDIRECT("'Definition of Typical Day'!"&amp; ADDRESS($D486+29*(M$16-1),$E486))</f>
        <v>83.333333333333314</v>
      </c>
      <c r="N486" s="715">
        <f t="shared" si="545"/>
        <v>3</v>
      </c>
      <c r="O486" s="715">
        <f t="shared" ca="1" si="546"/>
        <v>86.333333333333314</v>
      </c>
      <c r="P486" s="715" cm="1">
        <f t="array" aca="1" ref="P486" ca="1">INDIRECT("'Definition of Typical Day'!"&amp; ADDRESS($D486+29*(P$16-1),$E486))</f>
        <v>45</v>
      </c>
      <c r="Q486" s="787">
        <f t="shared" ca="1" si="547"/>
        <v>48</v>
      </c>
      <c r="R486" s="792">
        <f t="shared" ca="1" si="548"/>
        <v>86.333333333333314</v>
      </c>
      <c r="S486" s="769">
        <f t="shared" si="549"/>
        <v>3</v>
      </c>
      <c r="T486" s="769">
        <f t="shared" ca="1" si="550"/>
        <v>0.04</v>
      </c>
      <c r="U486" s="769">
        <f t="shared" ca="1" si="551"/>
        <v>9.5333333333333825E-2</v>
      </c>
      <c r="V486" s="769">
        <f t="shared" ca="1" si="552"/>
        <v>0</v>
      </c>
      <c r="W486" s="769">
        <f t="shared" ca="1" si="553"/>
        <v>3.135333333333334</v>
      </c>
      <c r="X486" s="794">
        <f t="shared" si="554"/>
        <v>3</v>
      </c>
      <c r="Y486" s="769">
        <f t="shared" ca="1" si="555"/>
        <v>3</v>
      </c>
      <c r="Z486" s="769">
        <f t="shared" ca="1" si="556"/>
        <v>1.4683109584764282E-3</v>
      </c>
      <c r="AA486" s="795">
        <f t="shared" ca="1" si="557"/>
        <v>1.4683109584764282E-3</v>
      </c>
      <c r="AB486" s="769">
        <f t="shared" ca="1" si="558"/>
        <v>0</v>
      </c>
      <c r="AC486" s="769">
        <f t="shared" ca="1" si="559"/>
        <v>0</v>
      </c>
      <c r="AD486" s="769">
        <f t="shared" ca="1" si="560"/>
        <v>0</v>
      </c>
      <c r="AE486" s="794">
        <f t="shared" ca="1" si="561"/>
        <v>1.4683109584764282E-3</v>
      </c>
      <c r="AF486" s="769">
        <f t="shared" ca="1" si="562"/>
        <v>1.4683109584764282E-5</v>
      </c>
      <c r="AG486" s="769">
        <f t="shared" ca="1" si="563"/>
        <v>1.4536278488916639E-3</v>
      </c>
      <c r="AH486" s="799">
        <f t="shared" ca="1" si="564"/>
        <v>1.4536278488916639E-3</v>
      </c>
      <c r="AI486" s="801">
        <f t="shared" ca="1" si="565"/>
        <v>1</v>
      </c>
      <c r="AJ486" s="794">
        <f t="shared" ca="1" si="566"/>
        <v>1E-3</v>
      </c>
      <c r="AK486" s="769">
        <f t="shared" ca="1" si="567"/>
        <v>4.6831095847642821E-4</v>
      </c>
      <c r="AL486" s="769">
        <f t="shared" ca="1" si="568"/>
        <v>0</v>
      </c>
      <c r="AM486" s="804">
        <f t="shared" ca="1" si="518"/>
        <v>0</v>
      </c>
      <c r="AN486" s="795">
        <f t="shared" ca="1" si="519"/>
        <v>1.3333333333333334E-4</v>
      </c>
      <c r="AO486" s="251"/>
      <c r="AP486" s="770">
        <f t="shared" si="569"/>
        <v>0</v>
      </c>
      <c r="AQ486" s="771">
        <f t="shared" ca="1" si="570"/>
        <v>0</v>
      </c>
      <c r="AR486" s="771">
        <f t="shared" ca="1" si="571"/>
        <v>2E-3</v>
      </c>
      <c r="AS486" s="772">
        <f t="shared" ca="1" si="572"/>
        <v>2E-3</v>
      </c>
      <c r="AT486" s="231"/>
      <c r="AU486" s="770">
        <f>'Main Results - IRR DC Operator'!$F$16</f>
        <v>2</v>
      </c>
      <c r="AV486" s="773">
        <f>'Main Results - IRR DC Operator'!$F$15</f>
        <v>1</v>
      </c>
      <c r="AW486" s="771">
        <f t="shared" ca="1" si="573"/>
        <v>2E-3</v>
      </c>
      <c r="AX486" s="772">
        <f t="shared" si="574"/>
        <v>0</v>
      </c>
      <c r="AY486" s="231"/>
      <c r="AZ486" s="770" cm="1">
        <f t="array" aca="1" ref="AZ486" ca="1">INDIRECT("'Definition of Typical Day'!"&amp; ADDRESS($D486+29*(AZ$16-1),$E486))+$AZ$17</f>
        <v>88.9</v>
      </c>
      <c r="BA486" s="771" cm="1">
        <f t="array" aca="1" ref="BA486" ca="1">INDIRECT("'Definition of Typical Day'!"&amp; ADDRESS($D486+29*(BA$16-1),$E486))+$BA$17</f>
        <v>88.9</v>
      </c>
      <c r="BB486" s="772" cm="1">
        <f t="array" aca="1" ref="BB486" ca="1">INDIRECT("'Definition of Typical Day'!"&amp;ADDRESS(BB$16,$E486))</f>
        <v>0</v>
      </c>
      <c r="BC486" s="776" cm="1">
        <f t="array" aca="1" ref="BC486" ca="1">INDIRECT("'Definition of Typical Day'!"&amp; ADDRESS($D486+29*(BC$16-1),$E486))</f>
        <v>100</v>
      </c>
      <c r="BD486" s="777" cm="1">
        <f t="array" aca="1" ref="BD486" ca="1">INDIRECT("'Definition of Typical Day'!"&amp; ADDRESS($D486+29*(BD$16-1),$E486))</f>
        <v>1</v>
      </c>
      <c r="BE486" s="776">
        <f t="shared" si="575"/>
        <v>0</v>
      </c>
      <c r="BF486" s="771">
        <f t="shared" ca="1" si="576"/>
        <v>4.1632844208554468E-2</v>
      </c>
      <c r="BG486" s="771">
        <f t="shared" ca="1" si="577"/>
        <v>0</v>
      </c>
      <c r="BH486" s="771">
        <f t="shared" ca="1" si="578"/>
        <v>0</v>
      </c>
      <c r="BI486" s="776">
        <f t="shared" ca="1" si="579"/>
        <v>0</v>
      </c>
      <c r="BJ486" s="776">
        <f t="shared" ca="1" si="580"/>
        <v>1.3333333333333334E-2</v>
      </c>
      <c r="BK486" s="776">
        <f t="shared" ca="1" si="581"/>
        <v>0</v>
      </c>
      <c r="BL486" s="776">
        <f t="shared" ca="1" si="582"/>
        <v>0</v>
      </c>
      <c r="BM486" s="135"/>
      <c r="BN486" s="776">
        <f t="shared" ca="1" si="583"/>
        <v>4.3632844208554469E-2</v>
      </c>
      <c r="BO486" s="778">
        <f t="shared" ca="1" si="520"/>
        <v>30.016516429444344</v>
      </c>
      <c r="BP486" s="770">
        <f t="shared" ca="1" si="521"/>
        <v>4.1632844208554468E-2</v>
      </c>
      <c r="BQ486" s="771">
        <f t="shared" ca="1" si="522"/>
        <v>0</v>
      </c>
      <c r="BR486" s="771">
        <f t="shared" ca="1" si="523"/>
        <v>0</v>
      </c>
      <c r="BS486" s="776">
        <f t="shared" ca="1" si="584"/>
        <v>4.3632844208554469E-2</v>
      </c>
      <c r="BT486" s="776">
        <f t="shared" ca="1" si="524"/>
        <v>4.1632844208554468E-2</v>
      </c>
      <c r="BU486" s="783">
        <f t="shared" ca="1" si="525"/>
        <v>28.640648457786451</v>
      </c>
      <c r="BV486" s="783">
        <f t="shared" ca="1" si="526"/>
        <v>28.640648457786451</v>
      </c>
      <c r="BW486" s="1019">
        <f t="shared" ca="1" si="585"/>
        <v>28.640648457786451</v>
      </c>
      <c r="BX486" s="771" cm="1">
        <f t="array" aca="1" ref="BX486" ca="1">INDIRECT("'Definition of Typical Day'!"&amp; ADDRESS($D486+29*(BX$16-1),$E486))</f>
        <v>65</v>
      </c>
      <c r="BY486" s="771">
        <f t="shared" ca="1" si="586"/>
        <v>0</v>
      </c>
      <c r="BZ486" s="781">
        <f t="shared" ca="1" si="527"/>
        <v>0</v>
      </c>
      <c r="CA486" s="781">
        <f t="shared" ca="1" si="528"/>
        <v>0</v>
      </c>
      <c r="CB486" s="776">
        <f t="shared" ca="1" si="529"/>
        <v>9.4485810177958152E-2</v>
      </c>
      <c r="CC486" s="782">
        <f t="shared" si="530"/>
        <v>20</v>
      </c>
      <c r="CD486" s="782">
        <f t="shared" si="531"/>
        <v>10</v>
      </c>
      <c r="CE486" s="784" t="str" cm="1">
        <f t="array" aca="1" ref="CE486" ca="1">INDIRECT("'Definition of Typical Day'!"&amp;ADDRESS(CE$16,$E486))</f>
        <v>20</v>
      </c>
      <c r="CF486" s="232"/>
      <c r="CG486" s="232"/>
      <c r="CH486" s="776">
        <f t="shared" ca="1" si="532"/>
        <v>1E-3</v>
      </c>
      <c r="CI486" s="806">
        <f t="shared" ca="1" si="533"/>
        <v>100</v>
      </c>
      <c r="CJ486" s="770">
        <f t="shared" ca="1" si="534"/>
        <v>0</v>
      </c>
      <c r="CK486" s="771">
        <f t="shared" ca="1" si="535"/>
        <v>0</v>
      </c>
      <c r="CL486" s="771">
        <f t="shared" ca="1" si="536"/>
        <v>0</v>
      </c>
      <c r="CM486" s="772">
        <f t="shared" ca="1" si="537"/>
        <v>0</v>
      </c>
      <c r="CN486" s="135"/>
      <c r="CO486" s="770">
        <f t="shared" ca="1" si="587"/>
        <v>1.05</v>
      </c>
      <c r="CP486" s="771">
        <f t="shared" ca="1" si="538"/>
        <v>0.98</v>
      </c>
      <c r="CQ486" s="771">
        <f t="shared" ca="1" si="539"/>
        <v>-2.5000000000000001E-2</v>
      </c>
      <c r="CR486" s="771">
        <f t="shared" ca="1" si="540"/>
        <v>0.95</v>
      </c>
      <c r="CS486" s="771">
        <f t="shared" ca="1" si="541"/>
        <v>0.03</v>
      </c>
      <c r="CT486" s="772">
        <f t="shared" ca="1" si="542"/>
        <v>0.02</v>
      </c>
      <c r="CU486" s="135"/>
      <c r="CV486" s="135"/>
      <c r="CW486" s="135"/>
      <c r="CX486" s="135"/>
      <c r="CY486" s="135"/>
      <c r="CZ486" s="135"/>
      <c r="DA486" s="135"/>
      <c r="DB486" s="135"/>
      <c r="DC486" s="135"/>
      <c r="DD486" s="135"/>
      <c r="DE486" s="135"/>
      <c r="DF486" s="135"/>
      <c r="DG486" s="135"/>
      <c r="DH486" s="135"/>
      <c r="DI486" s="135"/>
      <c r="DJ486" s="135"/>
      <c r="DK486" s="135"/>
      <c r="DL486" s="135"/>
      <c r="DX486" s="135"/>
      <c r="DY486" s="135"/>
      <c r="DZ486" s="135"/>
      <c r="EA486" s="135"/>
      <c r="EB486" s="135"/>
      <c r="EC486" s="135"/>
      <c r="ED486" s="135"/>
      <c r="EE486" s="135"/>
      <c r="EF486" s="135"/>
      <c r="EG486" s="135"/>
      <c r="EH486" s="135"/>
      <c r="EI486" s="135"/>
      <c r="EJ486" s="135"/>
      <c r="EK486" s="135"/>
      <c r="EL486" s="135"/>
      <c r="EM486" s="135"/>
      <c r="EN486" s="135"/>
      <c r="EO486" s="135"/>
      <c r="EP486" s="135"/>
      <c r="EQ486" s="135"/>
      <c r="ER486" s="135"/>
      <c r="ES486" s="135"/>
      <c r="ET486" s="135"/>
      <c r="EU486" s="135"/>
      <c r="EV486" s="135"/>
      <c r="EW486" s="135"/>
      <c r="EX486" s="135"/>
      <c r="EY486" s="135"/>
      <c r="EZ486" s="135"/>
      <c r="FA486" s="135"/>
      <c r="FB486" s="135"/>
      <c r="FC486" s="135"/>
      <c r="FD486" s="135"/>
      <c r="FE486" s="135"/>
      <c r="FF486" s="135"/>
      <c r="FG486" s="135"/>
    </row>
    <row r="487" spans="1:163" s="57" customFormat="1" ht="11.25" outlineLevel="1">
      <c r="A487" s="765">
        <f t="shared" si="515"/>
        <v>20</v>
      </c>
      <c r="B487" s="715" t="str" cm="1">
        <f t="array" aca="1" ref="B487" ca="1">INDIRECT("'Definition of Typical Day'!"&amp;ADDRESS(B$16,$E487))</f>
        <v>20</v>
      </c>
      <c r="C487" s="766">
        <f t="shared" si="516"/>
        <v>11</v>
      </c>
      <c r="D487" s="715">
        <f t="shared" si="516"/>
        <v>45</v>
      </c>
      <c r="E487" s="715">
        <f t="shared" si="517"/>
        <v>24</v>
      </c>
      <c r="F487" s="767" cm="1">
        <f t="array" aca="1" ref="F487" ca="1">INDIRECT("'Definition of Typical Day'!D"&amp;D487)</f>
        <v>11</v>
      </c>
      <c r="G487" s="767" cm="1">
        <f t="array" aca="1" ref="G487" ca="1">INDIRECT("'Definition of Typical Day'!"&amp;ADDRESS(13,E487))</f>
        <v>20</v>
      </c>
      <c r="H487" s="768" cm="1">
        <f t="array" aca="1" ref="H487" ca="1">INDIRECT("'Definition of Typical Day'!"&amp; ADDRESS($D487+28*(H$16-1),$E487))</f>
        <v>1E-3</v>
      </c>
      <c r="I487" s="715" cm="1">
        <f t="array" aca="1" ref="I487" ca="1">INDIRECT("'Definition of Typical Day'!"&amp; ADDRESS($D487+29*(I$16-1),$E487))</f>
        <v>30</v>
      </c>
      <c r="J487" s="715">
        <f t="shared" ca="1" si="543"/>
        <v>27</v>
      </c>
      <c r="K487" s="785">
        <f t="shared" si="544"/>
        <v>28</v>
      </c>
      <c r="L487" s="786" cm="1">
        <f t="array" aca="1" ref="L487" ca="1">INDIRECT("'Definition of Typical Day'!"&amp; ADDRESS($D487+29*(L$16-1),$E487))</f>
        <v>100</v>
      </c>
      <c r="M487" s="768" cm="1">
        <f t="array" aca="1" ref="M487" ca="1">INDIRECT("'Definition of Typical Day'!"&amp; ADDRESS($D487+29*(M$16-1),$E487))</f>
        <v>81.666666666666643</v>
      </c>
      <c r="N487" s="715">
        <f t="shared" si="545"/>
        <v>3</v>
      </c>
      <c r="O487" s="715">
        <f t="shared" ca="1" si="546"/>
        <v>84.666666666666643</v>
      </c>
      <c r="P487" s="715" cm="1">
        <f t="array" aca="1" ref="P487" ca="1">INDIRECT("'Definition of Typical Day'!"&amp; ADDRESS($D487+29*(P$16-1),$E487))</f>
        <v>45</v>
      </c>
      <c r="Q487" s="787">
        <f t="shared" ca="1" si="547"/>
        <v>48</v>
      </c>
      <c r="R487" s="792">
        <f t="shared" ca="1" si="548"/>
        <v>84.666666666666643</v>
      </c>
      <c r="S487" s="769">
        <f t="shared" si="549"/>
        <v>3</v>
      </c>
      <c r="T487" s="769">
        <f t="shared" ca="1" si="550"/>
        <v>0.04</v>
      </c>
      <c r="U487" s="769">
        <f t="shared" ca="1" si="551"/>
        <v>0.13866666666666727</v>
      </c>
      <c r="V487" s="769">
        <f t="shared" ca="1" si="552"/>
        <v>0</v>
      </c>
      <c r="W487" s="769">
        <f t="shared" ca="1" si="553"/>
        <v>3.1786666666666674</v>
      </c>
      <c r="X487" s="794">
        <f t="shared" si="554"/>
        <v>3</v>
      </c>
      <c r="Y487" s="769">
        <f t="shared" ca="1" si="555"/>
        <v>3</v>
      </c>
      <c r="Z487" s="769">
        <f t="shared" ca="1" si="556"/>
        <v>1.4589963280293755E-3</v>
      </c>
      <c r="AA487" s="795">
        <f t="shared" ca="1" si="557"/>
        <v>1.4589963280293755E-3</v>
      </c>
      <c r="AB487" s="769">
        <f t="shared" ca="1" si="558"/>
        <v>0</v>
      </c>
      <c r="AC487" s="769">
        <f t="shared" ca="1" si="559"/>
        <v>0</v>
      </c>
      <c r="AD487" s="769">
        <f t="shared" ca="1" si="560"/>
        <v>0</v>
      </c>
      <c r="AE487" s="794">
        <f t="shared" ca="1" si="561"/>
        <v>1.4589963280293755E-3</v>
      </c>
      <c r="AF487" s="769">
        <f t="shared" ca="1" si="562"/>
        <v>1.4589963280293756E-5</v>
      </c>
      <c r="AG487" s="769">
        <f t="shared" ca="1" si="563"/>
        <v>1.4444063647490817E-3</v>
      </c>
      <c r="AH487" s="799">
        <f t="shared" ca="1" si="564"/>
        <v>1.4444063647490817E-3</v>
      </c>
      <c r="AI487" s="801">
        <f t="shared" ca="1" si="565"/>
        <v>1</v>
      </c>
      <c r="AJ487" s="794">
        <f t="shared" ca="1" si="566"/>
        <v>1E-3</v>
      </c>
      <c r="AK487" s="769">
        <f t="shared" ca="1" si="567"/>
        <v>4.5899632802937556E-4</v>
      </c>
      <c r="AL487" s="769">
        <f t="shared" ca="1" si="568"/>
        <v>0</v>
      </c>
      <c r="AM487" s="804">
        <f t="shared" ca="1" si="518"/>
        <v>0</v>
      </c>
      <c r="AN487" s="795">
        <f t="shared" ca="1" si="519"/>
        <v>1.3333333333333334E-4</v>
      </c>
      <c r="AO487" s="251"/>
      <c r="AP487" s="770">
        <f t="shared" si="569"/>
        <v>0</v>
      </c>
      <c r="AQ487" s="771">
        <f t="shared" ca="1" si="570"/>
        <v>0</v>
      </c>
      <c r="AR487" s="771">
        <f t="shared" ca="1" si="571"/>
        <v>2E-3</v>
      </c>
      <c r="AS487" s="772">
        <f t="shared" ca="1" si="572"/>
        <v>2E-3</v>
      </c>
      <c r="AT487" s="231"/>
      <c r="AU487" s="770">
        <f>'Main Results - IRR DC Operator'!$F$16</f>
        <v>2</v>
      </c>
      <c r="AV487" s="773">
        <f>'Main Results - IRR DC Operator'!$F$15</f>
        <v>1</v>
      </c>
      <c r="AW487" s="771">
        <f t="shared" ca="1" si="573"/>
        <v>2E-3</v>
      </c>
      <c r="AX487" s="772">
        <f t="shared" si="574"/>
        <v>0</v>
      </c>
      <c r="AY487" s="231"/>
      <c r="AZ487" s="770" cm="1">
        <f t="array" aca="1" ref="AZ487" ca="1">INDIRECT("'Definition of Typical Day'!"&amp; ADDRESS($D487+29*(AZ$16-1),$E487))+$AZ$17</f>
        <v>82.8</v>
      </c>
      <c r="BA487" s="771" cm="1">
        <f t="array" aca="1" ref="BA487" ca="1">INDIRECT("'Definition of Typical Day'!"&amp; ADDRESS($D487+29*(BA$16-1),$E487))+$BA$17</f>
        <v>82.8</v>
      </c>
      <c r="BB487" s="772" cm="1">
        <f t="array" aca="1" ref="BB487" ca="1">INDIRECT("'Definition of Typical Day'!"&amp;ADDRESS(BB$16,$E487))</f>
        <v>0</v>
      </c>
      <c r="BC487" s="776" cm="1">
        <f t="array" aca="1" ref="BC487" ca="1">INDIRECT("'Definition of Typical Day'!"&amp; ADDRESS($D487+29*(BC$16-1),$E487))</f>
        <v>100</v>
      </c>
      <c r="BD487" s="777" cm="1">
        <f t="array" aca="1" ref="BD487" ca="1">INDIRECT("'Definition of Typical Day'!"&amp; ADDRESS($D487+29*(BD$16-1),$E487))</f>
        <v>1</v>
      </c>
      <c r="BE487" s="776">
        <f t="shared" si="575"/>
        <v>0</v>
      </c>
      <c r="BF487" s="771">
        <f t="shared" ca="1" si="576"/>
        <v>3.8004895960832293E-2</v>
      </c>
      <c r="BG487" s="771">
        <f t="shared" ca="1" si="577"/>
        <v>0</v>
      </c>
      <c r="BH487" s="771">
        <f t="shared" ca="1" si="578"/>
        <v>0</v>
      </c>
      <c r="BI487" s="776">
        <f t="shared" ca="1" si="579"/>
        <v>0</v>
      </c>
      <c r="BJ487" s="776">
        <f t="shared" ca="1" si="580"/>
        <v>1.3333333333333334E-2</v>
      </c>
      <c r="BK487" s="776">
        <f t="shared" ca="1" si="581"/>
        <v>0</v>
      </c>
      <c r="BL487" s="776">
        <f t="shared" ca="1" si="582"/>
        <v>0</v>
      </c>
      <c r="BM487" s="135"/>
      <c r="BN487" s="776">
        <f t="shared" ca="1" si="583"/>
        <v>4.0004895960832294E-2</v>
      </c>
      <c r="BO487" s="778">
        <f t="shared" ca="1" si="520"/>
        <v>27.696427360856884</v>
      </c>
      <c r="BP487" s="770">
        <f t="shared" ca="1" si="521"/>
        <v>3.8004895960832293E-2</v>
      </c>
      <c r="BQ487" s="771">
        <f t="shared" ca="1" si="522"/>
        <v>0</v>
      </c>
      <c r="BR487" s="771">
        <f t="shared" ca="1" si="523"/>
        <v>0</v>
      </c>
      <c r="BS487" s="776">
        <f t="shared" ca="1" si="584"/>
        <v>4.0004895960832294E-2</v>
      </c>
      <c r="BT487" s="776">
        <f t="shared" ca="1" si="524"/>
        <v>3.8004895960832293E-2</v>
      </c>
      <c r="BU487" s="783">
        <f t="shared" ca="1" si="525"/>
        <v>26.311775472849288</v>
      </c>
      <c r="BV487" s="783">
        <f t="shared" ca="1" si="526"/>
        <v>26.311775472849288</v>
      </c>
      <c r="BW487" s="1019">
        <f t="shared" ca="1" si="585"/>
        <v>26.311775472849288</v>
      </c>
      <c r="BX487" s="771" cm="1">
        <f t="array" aca="1" ref="BX487" ca="1">INDIRECT("'Definition of Typical Day'!"&amp; ADDRESS($D487+29*(BX$16-1),$E487))</f>
        <v>65</v>
      </c>
      <c r="BY487" s="771">
        <f t="shared" ca="1" si="586"/>
        <v>0</v>
      </c>
      <c r="BZ487" s="781">
        <f t="shared" ca="1" si="527"/>
        <v>0</v>
      </c>
      <c r="CA487" s="781">
        <f t="shared" ca="1" si="528"/>
        <v>0</v>
      </c>
      <c r="CB487" s="776">
        <f t="shared" ca="1" si="529"/>
        <v>9.3886413708690317E-2</v>
      </c>
      <c r="CC487" s="782">
        <f t="shared" si="530"/>
        <v>20</v>
      </c>
      <c r="CD487" s="782">
        <f t="shared" si="531"/>
        <v>11</v>
      </c>
      <c r="CE487" s="784" t="str" cm="1">
        <f t="array" aca="1" ref="CE487" ca="1">INDIRECT("'Definition of Typical Day'!"&amp;ADDRESS(CE$16,$E487))</f>
        <v>20</v>
      </c>
      <c r="CF487" s="232"/>
      <c r="CG487" s="232"/>
      <c r="CH487" s="776">
        <f t="shared" ca="1" si="532"/>
        <v>1E-3</v>
      </c>
      <c r="CI487" s="806">
        <f t="shared" ca="1" si="533"/>
        <v>100</v>
      </c>
      <c r="CJ487" s="770">
        <f t="shared" ca="1" si="534"/>
        <v>0</v>
      </c>
      <c r="CK487" s="771">
        <f t="shared" ca="1" si="535"/>
        <v>0</v>
      </c>
      <c r="CL487" s="771">
        <f t="shared" ca="1" si="536"/>
        <v>0</v>
      </c>
      <c r="CM487" s="772">
        <f t="shared" ca="1" si="537"/>
        <v>0</v>
      </c>
      <c r="CN487" s="135"/>
      <c r="CO487" s="770">
        <f t="shared" ca="1" si="587"/>
        <v>1.05</v>
      </c>
      <c r="CP487" s="771">
        <f t="shared" ca="1" si="538"/>
        <v>0.98</v>
      </c>
      <c r="CQ487" s="771">
        <f t="shared" ca="1" si="539"/>
        <v>-2.5000000000000001E-2</v>
      </c>
      <c r="CR487" s="771">
        <f t="shared" ca="1" si="540"/>
        <v>0.95</v>
      </c>
      <c r="CS487" s="771">
        <f t="shared" ca="1" si="541"/>
        <v>0.03</v>
      </c>
      <c r="CT487" s="772">
        <f t="shared" ca="1" si="542"/>
        <v>0.02</v>
      </c>
      <c r="CU487" s="135"/>
      <c r="CV487" s="135"/>
      <c r="CW487" s="135"/>
      <c r="CX487" s="135"/>
      <c r="CY487" s="135"/>
      <c r="CZ487" s="135"/>
      <c r="DA487" s="135"/>
      <c r="DB487" s="135"/>
      <c r="DC487" s="135"/>
      <c r="DD487" s="135"/>
      <c r="DE487" s="135"/>
      <c r="DF487" s="135"/>
      <c r="DG487" s="135"/>
      <c r="DH487" s="135"/>
      <c r="DI487" s="135"/>
      <c r="DJ487" s="135"/>
      <c r="DK487" s="135"/>
      <c r="DL487" s="135"/>
      <c r="DX487" s="135"/>
      <c r="DY487" s="135"/>
      <c r="DZ487" s="135"/>
      <c r="EA487" s="135"/>
      <c r="EB487" s="135"/>
      <c r="EC487" s="135"/>
      <c r="ED487" s="135"/>
      <c r="EE487" s="135"/>
      <c r="EF487" s="135"/>
      <c r="EG487" s="135"/>
      <c r="EH487" s="135"/>
      <c r="EI487" s="135"/>
      <c r="EJ487" s="135"/>
      <c r="EK487" s="135"/>
      <c r="EL487" s="135"/>
      <c r="EM487" s="135"/>
      <c r="EN487" s="135"/>
      <c r="EO487" s="135"/>
      <c r="EP487" s="135"/>
      <c r="EQ487" s="135"/>
      <c r="ER487" s="135"/>
      <c r="ES487" s="135"/>
      <c r="ET487" s="135"/>
      <c r="EU487" s="135"/>
      <c r="EV487" s="135"/>
      <c r="EW487" s="135"/>
      <c r="EX487" s="135"/>
      <c r="EY487" s="135"/>
      <c r="EZ487" s="135"/>
      <c r="FA487" s="135"/>
      <c r="FB487" s="135"/>
      <c r="FC487" s="135"/>
      <c r="FD487" s="135"/>
      <c r="FE487" s="135"/>
      <c r="FF487" s="135"/>
      <c r="FG487" s="135"/>
    </row>
    <row r="488" spans="1:163" s="57" customFormat="1" ht="11.25" outlineLevel="1">
      <c r="A488" s="765">
        <f t="shared" si="515"/>
        <v>20</v>
      </c>
      <c r="B488" s="715" t="str" cm="1">
        <f t="array" aca="1" ref="B488" ca="1">INDIRECT("'Definition of Typical Day'!"&amp;ADDRESS(B$16,$E488))</f>
        <v>20</v>
      </c>
      <c r="C488" s="766">
        <f t="shared" si="516"/>
        <v>12</v>
      </c>
      <c r="D488" s="715">
        <f t="shared" si="516"/>
        <v>46</v>
      </c>
      <c r="E488" s="715">
        <f t="shared" si="517"/>
        <v>24</v>
      </c>
      <c r="F488" s="767" cm="1">
        <f t="array" aca="1" ref="F488" ca="1">INDIRECT("'Definition of Typical Day'!D"&amp;D488)</f>
        <v>12</v>
      </c>
      <c r="G488" s="767" cm="1">
        <f t="array" aca="1" ref="G488" ca="1">INDIRECT("'Definition of Typical Day'!"&amp;ADDRESS(13,E488))</f>
        <v>20</v>
      </c>
      <c r="H488" s="768" cm="1">
        <f t="array" aca="1" ref="H488" ca="1">INDIRECT("'Definition of Typical Day'!"&amp; ADDRESS($D488+28*(H$16-1),$E488))</f>
        <v>1E-3</v>
      </c>
      <c r="I488" s="715" cm="1">
        <f t="array" aca="1" ref="I488" ca="1">INDIRECT("'Definition of Typical Day'!"&amp; ADDRESS($D488+29*(I$16-1),$E488))</f>
        <v>30</v>
      </c>
      <c r="J488" s="715">
        <f t="shared" ca="1" si="543"/>
        <v>27</v>
      </c>
      <c r="K488" s="785">
        <f t="shared" si="544"/>
        <v>28</v>
      </c>
      <c r="L488" s="786" cm="1">
        <f t="array" aca="1" ref="L488" ca="1">INDIRECT("'Definition of Typical Day'!"&amp; ADDRESS($D488+29*(L$16-1),$E488))</f>
        <v>100</v>
      </c>
      <c r="M488" s="768" cm="1">
        <f t="array" aca="1" ref="M488" ca="1">INDIRECT("'Definition of Typical Day'!"&amp; ADDRESS($D488+29*(M$16-1),$E488))</f>
        <v>80</v>
      </c>
      <c r="N488" s="715">
        <f t="shared" si="545"/>
        <v>3</v>
      </c>
      <c r="O488" s="715">
        <f t="shared" ca="1" si="546"/>
        <v>83</v>
      </c>
      <c r="P488" s="715" cm="1">
        <f t="array" aca="1" ref="P488" ca="1">INDIRECT("'Definition of Typical Day'!"&amp; ADDRESS($D488+29*(P$16-1),$E488))</f>
        <v>45</v>
      </c>
      <c r="Q488" s="787">
        <f t="shared" ca="1" si="547"/>
        <v>48</v>
      </c>
      <c r="R488" s="792">
        <f t="shared" ca="1" si="548"/>
        <v>83</v>
      </c>
      <c r="S488" s="769">
        <f t="shared" si="549"/>
        <v>3</v>
      </c>
      <c r="T488" s="769">
        <f t="shared" ca="1" si="550"/>
        <v>0.04</v>
      </c>
      <c r="U488" s="769">
        <f t="shared" ca="1" si="551"/>
        <v>0.182</v>
      </c>
      <c r="V488" s="769">
        <f t="shared" ca="1" si="552"/>
        <v>0</v>
      </c>
      <c r="W488" s="769">
        <f t="shared" ca="1" si="553"/>
        <v>3.222</v>
      </c>
      <c r="X488" s="794">
        <f t="shared" si="554"/>
        <v>3</v>
      </c>
      <c r="Y488" s="769">
        <f t="shared" ca="1" si="555"/>
        <v>3</v>
      </c>
      <c r="Z488" s="769">
        <f t="shared" ca="1" si="556"/>
        <v>1.45004500450045E-3</v>
      </c>
      <c r="AA488" s="795">
        <f t="shared" ca="1" si="557"/>
        <v>1.45004500450045E-3</v>
      </c>
      <c r="AB488" s="769">
        <f t="shared" ca="1" si="558"/>
        <v>0</v>
      </c>
      <c r="AC488" s="769">
        <f t="shared" ca="1" si="559"/>
        <v>0</v>
      </c>
      <c r="AD488" s="769">
        <f t="shared" ca="1" si="560"/>
        <v>0</v>
      </c>
      <c r="AE488" s="794">
        <f t="shared" ca="1" si="561"/>
        <v>1.45004500450045E-3</v>
      </c>
      <c r="AF488" s="769">
        <f t="shared" ca="1" si="562"/>
        <v>1.45004500450045E-5</v>
      </c>
      <c r="AG488" s="769">
        <f t="shared" ca="1" si="563"/>
        <v>1.4355445544554455E-3</v>
      </c>
      <c r="AH488" s="799">
        <f t="shared" ca="1" si="564"/>
        <v>1.4355445544554455E-3</v>
      </c>
      <c r="AI488" s="801">
        <f t="shared" ca="1" si="565"/>
        <v>1</v>
      </c>
      <c r="AJ488" s="794">
        <f t="shared" ca="1" si="566"/>
        <v>1E-3</v>
      </c>
      <c r="AK488" s="769">
        <f t="shared" ca="1" si="567"/>
        <v>4.5004500450045003E-4</v>
      </c>
      <c r="AL488" s="769">
        <f t="shared" ca="1" si="568"/>
        <v>0</v>
      </c>
      <c r="AM488" s="804">
        <f t="shared" ca="1" si="518"/>
        <v>0</v>
      </c>
      <c r="AN488" s="795">
        <f t="shared" ca="1" si="519"/>
        <v>1.3333333333333334E-4</v>
      </c>
      <c r="AO488" s="251"/>
      <c r="AP488" s="770">
        <f t="shared" si="569"/>
        <v>0</v>
      </c>
      <c r="AQ488" s="771">
        <f t="shared" ca="1" si="570"/>
        <v>0</v>
      </c>
      <c r="AR488" s="771">
        <f t="shared" ca="1" si="571"/>
        <v>2E-3</v>
      </c>
      <c r="AS488" s="772">
        <f t="shared" ca="1" si="572"/>
        <v>2E-3</v>
      </c>
      <c r="AT488" s="231"/>
      <c r="AU488" s="770">
        <f>'Main Results - IRR DC Operator'!$F$16</f>
        <v>2</v>
      </c>
      <c r="AV488" s="773">
        <f>'Main Results - IRR DC Operator'!$F$15</f>
        <v>1</v>
      </c>
      <c r="AW488" s="771">
        <f t="shared" ca="1" si="573"/>
        <v>2E-3</v>
      </c>
      <c r="AX488" s="772">
        <f t="shared" si="574"/>
        <v>0</v>
      </c>
      <c r="AY488" s="231"/>
      <c r="AZ488" s="770" cm="1">
        <f t="array" aca="1" ref="AZ488" ca="1">INDIRECT("'Definition of Typical Day'!"&amp; ADDRESS($D488+29*(AZ$16-1),$E488))+$AZ$17</f>
        <v>81.77</v>
      </c>
      <c r="BA488" s="771" cm="1">
        <f t="array" aca="1" ref="BA488" ca="1">INDIRECT("'Definition of Typical Day'!"&amp; ADDRESS($D488+29*(BA$16-1),$E488))+$BA$17</f>
        <v>81.77</v>
      </c>
      <c r="BB488" s="772" cm="1">
        <f t="array" aca="1" ref="BB488" ca="1">INDIRECT("'Definition of Typical Day'!"&amp;ADDRESS(BB$16,$E488))</f>
        <v>0</v>
      </c>
      <c r="BC488" s="776" cm="1">
        <f t="array" aca="1" ref="BC488" ca="1">INDIRECT("'Definition of Typical Day'!"&amp; ADDRESS($D488+29*(BC$16-1),$E488))</f>
        <v>100</v>
      </c>
      <c r="BD488" s="777" cm="1">
        <f t="array" aca="1" ref="BD488" ca="1">INDIRECT("'Definition of Typical Day'!"&amp; ADDRESS($D488+29*(BD$16-1),$E488))</f>
        <v>1</v>
      </c>
      <c r="BE488" s="776">
        <f t="shared" si="575"/>
        <v>0</v>
      </c>
      <c r="BF488" s="771">
        <f t="shared" ca="1" si="576"/>
        <v>3.6800180018001796E-2</v>
      </c>
      <c r="BG488" s="771">
        <f t="shared" ca="1" si="577"/>
        <v>0</v>
      </c>
      <c r="BH488" s="771">
        <f t="shared" ca="1" si="578"/>
        <v>0</v>
      </c>
      <c r="BI488" s="776">
        <f t="shared" ca="1" si="579"/>
        <v>0</v>
      </c>
      <c r="BJ488" s="776">
        <f t="shared" ca="1" si="580"/>
        <v>1.3333333333333334E-2</v>
      </c>
      <c r="BK488" s="776">
        <f t="shared" ca="1" si="581"/>
        <v>0</v>
      </c>
      <c r="BL488" s="776">
        <f t="shared" ca="1" si="582"/>
        <v>0</v>
      </c>
      <c r="BM488" s="135"/>
      <c r="BN488" s="776">
        <f t="shared" ca="1" si="583"/>
        <v>3.8800180018001798E-2</v>
      </c>
      <c r="BO488" s="778">
        <f t="shared" ca="1" si="520"/>
        <v>27.028196301939317</v>
      </c>
      <c r="BP488" s="770">
        <f t="shared" ca="1" si="521"/>
        <v>3.6800180018001796E-2</v>
      </c>
      <c r="BQ488" s="771">
        <f t="shared" ca="1" si="522"/>
        <v>0</v>
      </c>
      <c r="BR488" s="771">
        <f t="shared" ca="1" si="523"/>
        <v>0</v>
      </c>
      <c r="BS488" s="776">
        <f t="shared" ca="1" si="584"/>
        <v>3.8800180018001798E-2</v>
      </c>
      <c r="BT488" s="776">
        <f t="shared" ca="1" si="524"/>
        <v>3.6800180018001796E-2</v>
      </c>
      <c r="BU488" s="783">
        <f t="shared" ca="1" si="525"/>
        <v>25.634996770937178</v>
      </c>
      <c r="BV488" s="783">
        <f t="shared" ca="1" si="526"/>
        <v>25.634996770937178</v>
      </c>
      <c r="BW488" s="1019">
        <f t="shared" ca="1" si="585"/>
        <v>25.634996770937178</v>
      </c>
      <c r="BX488" s="771" cm="1">
        <f t="array" aca="1" ref="BX488" ca="1">INDIRECT("'Definition of Typical Day'!"&amp; ADDRESS($D488+29*(BX$16-1),$E488))</f>
        <v>65</v>
      </c>
      <c r="BY488" s="771">
        <f t="shared" ca="1" si="586"/>
        <v>0</v>
      </c>
      <c r="BZ488" s="781">
        <f t="shared" ca="1" si="527"/>
        <v>0</v>
      </c>
      <c r="CA488" s="781">
        <f t="shared" ca="1" si="528"/>
        <v>0</v>
      </c>
      <c r="CB488" s="776">
        <f t="shared" ca="1" si="529"/>
        <v>9.3310396039603963E-2</v>
      </c>
      <c r="CC488" s="782">
        <f t="shared" si="530"/>
        <v>20</v>
      </c>
      <c r="CD488" s="782">
        <f t="shared" si="531"/>
        <v>12</v>
      </c>
      <c r="CE488" s="784" t="str" cm="1">
        <f t="array" aca="1" ref="CE488" ca="1">INDIRECT("'Definition of Typical Day'!"&amp;ADDRESS(CE$16,$E488))</f>
        <v>20</v>
      </c>
      <c r="CF488" s="232"/>
      <c r="CG488" s="232"/>
      <c r="CH488" s="776">
        <f t="shared" ca="1" si="532"/>
        <v>1E-3</v>
      </c>
      <c r="CI488" s="806">
        <f t="shared" ca="1" si="533"/>
        <v>100</v>
      </c>
      <c r="CJ488" s="770">
        <f t="shared" ca="1" si="534"/>
        <v>0</v>
      </c>
      <c r="CK488" s="771">
        <f t="shared" ca="1" si="535"/>
        <v>0</v>
      </c>
      <c r="CL488" s="771">
        <f t="shared" ca="1" si="536"/>
        <v>0</v>
      </c>
      <c r="CM488" s="772">
        <f t="shared" ca="1" si="537"/>
        <v>0</v>
      </c>
      <c r="CN488" s="135"/>
      <c r="CO488" s="770">
        <f t="shared" ca="1" si="587"/>
        <v>1.05</v>
      </c>
      <c r="CP488" s="771">
        <f t="shared" ca="1" si="538"/>
        <v>0.98</v>
      </c>
      <c r="CQ488" s="771">
        <f t="shared" ca="1" si="539"/>
        <v>-2.5000000000000001E-2</v>
      </c>
      <c r="CR488" s="771">
        <f t="shared" ca="1" si="540"/>
        <v>0.95</v>
      </c>
      <c r="CS488" s="771">
        <f t="shared" ca="1" si="541"/>
        <v>0.03</v>
      </c>
      <c r="CT488" s="772">
        <f t="shared" ca="1" si="542"/>
        <v>0.02</v>
      </c>
      <c r="CU488" s="135"/>
      <c r="CV488" s="135"/>
      <c r="CW488" s="135"/>
      <c r="CX488" s="135"/>
      <c r="CY488" s="135"/>
      <c r="CZ488" s="135"/>
      <c r="DA488" s="135"/>
      <c r="DB488" s="135"/>
      <c r="DC488" s="135"/>
      <c r="DD488" s="135"/>
      <c r="DE488" s="135"/>
      <c r="DF488" s="135"/>
      <c r="DG488" s="135"/>
      <c r="DH488" s="135"/>
      <c r="DI488" s="135"/>
      <c r="DJ488" s="135"/>
      <c r="DK488" s="135"/>
      <c r="DL488" s="135"/>
      <c r="DX488" s="135"/>
      <c r="DY488" s="135"/>
      <c r="DZ488" s="135"/>
      <c r="EA488" s="135"/>
      <c r="EB488" s="135"/>
      <c r="EC488" s="135"/>
      <c r="ED488" s="135"/>
      <c r="EE488" s="135"/>
      <c r="EF488" s="135"/>
      <c r="EG488" s="135"/>
      <c r="EH488" s="135"/>
      <c r="EI488" s="135"/>
      <c r="EJ488" s="135"/>
      <c r="EK488" s="135"/>
      <c r="EL488" s="135"/>
      <c r="EM488" s="135"/>
      <c r="EN488" s="135"/>
      <c r="EO488" s="135"/>
      <c r="EP488" s="135"/>
      <c r="EQ488" s="135"/>
      <c r="ER488" s="135"/>
      <c r="ES488" s="135"/>
      <c r="ET488" s="135"/>
      <c r="EU488" s="135"/>
      <c r="EV488" s="135"/>
      <c r="EW488" s="135"/>
      <c r="EX488" s="135"/>
      <c r="EY488" s="135"/>
      <c r="EZ488" s="135"/>
      <c r="FA488" s="135"/>
      <c r="FB488" s="135"/>
      <c r="FC488" s="135"/>
      <c r="FD488" s="135"/>
      <c r="FE488" s="135"/>
      <c r="FF488" s="135"/>
      <c r="FG488" s="135"/>
    </row>
    <row r="489" spans="1:163" s="57" customFormat="1" ht="11.25" outlineLevel="1">
      <c r="A489" s="765">
        <f t="shared" si="515"/>
        <v>20</v>
      </c>
      <c r="B489" s="715" t="str" cm="1">
        <f t="array" aca="1" ref="B489" ca="1">INDIRECT("'Definition of Typical Day'!"&amp;ADDRESS(B$16,$E489))</f>
        <v>20</v>
      </c>
      <c r="C489" s="766">
        <f t="shared" si="516"/>
        <v>13</v>
      </c>
      <c r="D489" s="715">
        <f t="shared" si="516"/>
        <v>47</v>
      </c>
      <c r="E489" s="715">
        <f t="shared" si="517"/>
        <v>24</v>
      </c>
      <c r="F489" s="767" cm="1">
        <f t="array" aca="1" ref="F489" ca="1">INDIRECT("'Definition of Typical Day'!D"&amp;D489)</f>
        <v>13</v>
      </c>
      <c r="G489" s="767" cm="1">
        <f t="array" aca="1" ref="G489" ca="1">INDIRECT("'Definition of Typical Day'!"&amp;ADDRESS(13,E489))</f>
        <v>20</v>
      </c>
      <c r="H489" s="768" cm="1">
        <f t="array" aca="1" ref="H489" ca="1">INDIRECT("'Definition of Typical Day'!"&amp; ADDRESS($D489+28*(H$16-1),$E489))</f>
        <v>1E-3</v>
      </c>
      <c r="I489" s="715" cm="1">
        <f t="array" aca="1" ref="I489" ca="1">INDIRECT("'Definition of Typical Day'!"&amp; ADDRESS($D489+29*(I$16-1),$E489))</f>
        <v>30</v>
      </c>
      <c r="J489" s="715">
        <f t="shared" ca="1" si="543"/>
        <v>27</v>
      </c>
      <c r="K489" s="785">
        <f t="shared" si="544"/>
        <v>28</v>
      </c>
      <c r="L489" s="786" cm="1">
        <f t="array" aca="1" ref="L489" ca="1">INDIRECT("'Definition of Typical Day'!"&amp; ADDRESS($D489+29*(L$16-1),$E489))</f>
        <v>100</v>
      </c>
      <c r="M489" s="768" cm="1">
        <f t="array" aca="1" ref="M489" ca="1">INDIRECT("'Definition of Typical Day'!"&amp; ADDRESS($D489+29*(M$16-1),$E489))</f>
        <v>78.3333333333333</v>
      </c>
      <c r="N489" s="715">
        <f t="shared" si="545"/>
        <v>3</v>
      </c>
      <c r="O489" s="715">
        <f t="shared" ca="1" si="546"/>
        <v>81.3333333333333</v>
      </c>
      <c r="P489" s="715" cm="1">
        <f t="array" aca="1" ref="P489" ca="1">INDIRECT("'Definition of Typical Day'!"&amp; ADDRESS($D489+29*(P$16-1),$E489))</f>
        <v>45</v>
      </c>
      <c r="Q489" s="787">
        <f t="shared" ca="1" si="547"/>
        <v>48</v>
      </c>
      <c r="R489" s="792">
        <f t="shared" ca="1" si="548"/>
        <v>81.3333333333333</v>
      </c>
      <c r="S489" s="769">
        <f t="shared" si="549"/>
        <v>3</v>
      </c>
      <c r="T489" s="769">
        <f t="shared" ca="1" si="550"/>
        <v>0.04</v>
      </c>
      <c r="U489" s="769">
        <f t="shared" ca="1" si="551"/>
        <v>0.22533333333333419</v>
      </c>
      <c r="V489" s="769">
        <f t="shared" ca="1" si="552"/>
        <v>0</v>
      </c>
      <c r="W489" s="769">
        <f t="shared" ca="1" si="553"/>
        <v>3.2653333333333343</v>
      </c>
      <c r="X489" s="794">
        <f t="shared" si="554"/>
        <v>3</v>
      </c>
      <c r="Y489" s="769">
        <f t="shared" ca="1" si="555"/>
        <v>3</v>
      </c>
      <c r="Z489" s="769">
        <f t="shared" ca="1" si="556"/>
        <v>1.4414361389052384E-3</v>
      </c>
      <c r="AA489" s="795">
        <f t="shared" ca="1" si="557"/>
        <v>1.4414361389052384E-3</v>
      </c>
      <c r="AB489" s="769">
        <f t="shared" ca="1" si="558"/>
        <v>0</v>
      </c>
      <c r="AC489" s="769">
        <f t="shared" ca="1" si="559"/>
        <v>0</v>
      </c>
      <c r="AD489" s="769">
        <f t="shared" ca="1" si="560"/>
        <v>0</v>
      </c>
      <c r="AE489" s="794">
        <f t="shared" ca="1" si="561"/>
        <v>1.4414361389052384E-3</v>
      </c>
      <c r="AF489" s="769">
        <f t="shared" ca="1" si="562"/>
        <v>1.4414361389052384E-5</v>
      </c>
      <c r="AG489" s="769">
        <f t="shared" ca="1" si="563"/>
        <v>1.4270217775161861E-3</v>
      </c>
      <c r="AH489" s="799">
        <f t="shared" ca="1" si="564"/>
        <v>1.4270217775161861E-3</v>
      </c>
      <c r="AI489" s="801">
        <f t="shared" ca="1" si="565"/>
        <v>1</v>
      </c>
      <c r="AJ489" s="794">
        <f t="shared" ca="1" si="566"/>
        <v>1.0000000000000002E-3</v>
      </c>
      <c r="AK489" s="769">
        <f t="shared" ca="1" si="567"/>
        <v>4.4143613890523824E-4</v>
      </c>
      <c r="AL489" s="769">
        <f t="shared" ca="1" si="568"/>
        <v>0</v>
      </c>
      <c r="AM489" s="804">
        <f t="shared" ca="1" si="518"/>
        <v>0</v>
      </c>
      <c r="AN489" s="795">
        <f t="shared" ca="1" si="519"/>
        <v>1.3333333333333334E-4</v>
      </c>
      <c r="AO489" s="251"/>
      <c r="AP489" s="770">
        <f t="shared" si="569"/>
        <v>0</v>
      </c>
      <c r="AQ489" s="771">
        <f t="shared" ca="1" si="570"/>
        <v>0</v>
      </c>
      <c r="AR489" s="771">
        <f t="shared" ca="1" si="571"/>
        <v>2.0000000000000005E-3</v>
      </c>
      <c r="AS489" s="772">
        <f t="shared" ca="1" si="572"/>
        <v>2.0000000000000005E-3</v>
      </c>
      <c r="AT489" s="231"/>
      <c r="AU489" s="770">
        <f>'Main Results - IRR DC Operator'!$F$16</f>
        <v>2</v>
      </c>
      <c r="AV489" s="773">
        <f>'Main Results - IRR DC Operator'!$F$15</f>
        <v>1</v>
      </c>
      <c r="AW489" s="771">
        <f t="shared" ca="1" si="573"/>
        <v>2E-3</v>
      </c>
      <c r="AX489" s="772">
        <f t="shared" si="574"/>
        <v>0</v>
      </c>
      <c r="AY489" s="231"/>
      <c r="AZ489" s="770" cm="1">
        <f t="array" aca="1" ref="AZ489" ca="1">INDIRECT("'Definition of Typical Day'!"&amp; ADDRESS($D489+29*(AZ$16-1),$E489))+$AZ$17</f>
        <v>78.73</v>
      </c>
      <c r="BA489" s="771" cm="1">
        <f t="array" aca="1" ref="BA489" ca="1">INDIRECT("'Definition of Typical Day'!"&amp; ADDRESS($D489+29*(BA$16-1),$E489))+$BA$17</f>
        <v>78.73</v>
      </c>
      <c r="BB489" s="772" cm="1">
        <f t="array" aca="1" ref="BB489" ca="1">INDIRECT("'Definition of Typical Day'!"&amp;ADDRESS(BB$16,$E489))</f>
        <v>0</v>
      </c>
      <c r="BC489" s="776" cm="1">
        <f t="array" aca="1" ref="BC489" ca="1">INDIRECT("'Definition of Typical Day'!"&amp; ADDRESS($D489+29*(BC$16-1),$E489))</f>
        <v>100</v>
      </c>
      <c r="BD489" s="777" cm="1">
        <f t="array" aca="1" ref="BD489" ca="1">INDIRECT("'Definition of Typical Day'!"&amp; ADDRESS($D489+29*(BD$16-1),$E489))</f>
        <v>1</v>
      </c>
      <c r="BE489" s="776">
        <f t="shared" si="575"/>
        <v>0</v>
      </c>
      <c r="BF489" s="771">
        <f t="shared" ca="1" si="576"/>
        <v>3.475426721600941E-2</v>
      </c>
      <c r="BG489" s="771">
        <f t="shared" ca="1" si="577"/>
        <v>0</v>
      </c>
      <c r="BH489" s="771">
        <f t="shared" ca="1" si="578"/>
        <v>0</v>
      </c>
      <c r="BI489" s="776">
        <f t="shared" ca="1" si="579"/>
        <v>0</v>
      </c>
      <c r="BJ489" s="776">
        <f t="shared" ca="1" si="580"/>
        <v>1.3333333333333334E-2</v>
      </c>
      <c r="BK489" s="776">
        <f t="shared" ca="1" si="581"/>
        <v>0</v>
      </c>
      <c r="BL489" s="776">
        <f t="shared" ca="1" si="582"/>
        <v>0</v>
      </c>
      <c r="BM489" s="135"/>
      <c r="BN489" s="776">
        <f t="shared" ca="1" si="583"/>
        <v>3.6754267216009412E-2</v>
      </c>
      <c r="BO489" s="778">
        <f t="shared" ca="1" si="520"/>
        <v>25.755925939674402</v>
      </c>
      <c r="BP489" s="770">
        <f t="shared" ca="1" si="521"/>
        <v>3.475426721600941E-2</v>
      </c>
      <c r="BQ489" s="771">
        <f t="shared" ca="1" si="522"/>
        <v>0</v>
      </c>
      <c r="BR489" s="771">
        <f t="shared" ca="1" si="523"/>
        <v>0</v>
      </c>
      <c r="BS489" s="776">
        <f t="shared" ca="1" si="584"/>
        <v>3.6754267216009412E-2</v>
      </c>
      <c r="BT489" s="776">
        <f t="shared" ca="1" si="524"/>
        <v>3.475426721600941E-2</v>
      </c>
      <c r="BU489" s="783">
        <f t="shared" ca="1" si="525"/>
        <v>24.354405632478308</v>
      </c>
      <c r="BV489" s="783">
        <f t="shared" ca="1" si="526"/>
        <v>24.354405632478308</v>
      </c>
      <c r="BW489" s="1019">
        <f t="shared" ca="1" si="585"/>
        <v>24.354405632478308</v>
      </c>
      <c r="BX489" s="771" cm="1">
        <f t="array" aca="1" ref="BX489" ca="1">INDIRECT("'Definition of Typical Day'!"&amp; ADDRESS($D489+29*(BX$16-1),$E489))</f>
        <v>65</v>
      </c>
      <c r="BY489" s="771">
        <f t="shared" ca="1" si="586"/>
        <v>0</v>
      </c>
      <c r="BZ489" s="781">
        <f t="shared" ca="1" si="527"/>
        <v>0</v>
      </c>
      <c r="CA489" s="781">
        <f t="shared" ca="1" si="528"/>
        <v>0</v>
      </c>
      <c r="CB489" s="776">
        <f t="shared" ca="1" si="529"/>
        <v>9.2756415538552101E-2</v>
      </c>
      <c r="CC489" s="782">
        <f t="shared" si="530"/>
        <v>20</v>
      </c>
      <c r="CD489" s="782">
        <f t="shared" si="531"/>
        <v>13</v>
      </c>
      <c r="CE489" s="784" t="str" cm="1">
        <f t="array" aca="1" ref="CE489" ca="1">INDIRECT("'Definition of Typical Day'!"&amp;ADDRESS(CE$16,$E489))</f>
        <v>20</v>
      </c>
      <c r="CF489" s="232"/>
      <c r="CG489" s="232"/>
      <c r="CH489" s="776">
        <f t="shared" ca="1" si="532"/>
        <v>1E-3</v>
      </c>
      <c r="CI489" s="806">
        <f t="shared" ca="1" si="533"/>
        <v>100</v>
      </c>
      <c r="CJ489" s="770">
        <f t="shared" ca="1" si="534"/>
        <v>0</v>
      </c>
      <c r="CK489" s="771">
        <f t="shared" ca="1" si="535"/>
        <v>0</v>
      </c>
      <c r="CL489" s="771">
        <f t="shared" ca="1" si="536"/>
        <v>0</v>
      </c>
      <c r="CM489" s="772">
        <f t="shared" ca="1" si="537"/>
        <v>0</v>
      </c>
      <c r="CN489" s="135"/>
      <c r="CO489" s="770">
        <f t="shared" ca="1" si="587"/>
        <v>1.05</v>
      </c>
      <c r="CP489" s="771">
        <f t="shared" ca="1" si="538"/>
        <v>0.98</v>
      </c>
      <c r="CQ489" s="771">
        <f t="shared" ca="1" si="539"/>
        <v>-2.5000000000000001E-2</v>
      </c>
      <c r="CR489" s="771">
        <f t="shared" ca="1" si="540"/>
        <v>0.95</v>
      </c>
      <c r="CS489" s="771">
        <f t="shared" ca="1" si="541"/>
        <v>0.03</v>
      </c>
      <c r="CT489" s="772">
        <f t="shared" ca="1" si="542"/>
        <v>0.02</v>
      </c>
      <c r="CU489" s="135"/>
      <c r="CV489" s="135"/>
      <c r="CW489" s="135"/>
      <c r="CX489" s="135"/>
      <c r="CY489" s="135"/>
      <c r="CZ489" s="135"/>
      <c r="DA489" s="135"/>
      <c r="DB489" s="135"/>
      <c r="DC489" s="135"/>
      <c r="DD489" s="135"/>
      <c r="DE489" s="135"/>
      <c r="DF489" s="135"/>
      <c r="DG489" s="135"/>
      <c r="DH489" s="135"/>
      <c r="DI489" s="135"/>
      <c r="DJ489" s="135"/>
      <c r="DK489" s="135"/>
      <c r="DL489" s="135"/>
      <c r="DX489" s="135"/>
      <c r="DY489" s="135"/>
      <c r="DZ489" s="135"/>
      <c r="EA489" s="135"/>
      <c r="EB489" s="135"/>
      <c r="EC489" s="135"/>
      <c r="ED489" s="135"/>
      <c r="EE489" s="135"/>
      <c r="EF489" s="135"/>
      <c r="EG489" s="135"/>
      <c r="EH489" s="135"/>
      <c r="EI489" s="135"/>
      <c r="EJ489" s="135"/>
      <c r="EK489" s="135"/>
      <c r="EL489" s="135"/>
      <c r="EM489" s="135"/>
      <c r="EN489" s="135"/>
      <c r="EO489" s="135"/>
      <c r="EP489" s="135"/>
      <c r="EQ489" s="135"/>
      <c r="ER489" s="135"/>
      <c r="ES489" s="135"/>
      <c r="ET489" s="135"/>
      <c r="EU489" s="135"/>
      <c r="EV489" s="135"/>
      <c r="EW489" s="135"/>
      <c r="EX489" s="135"/>
      <c r="EY489" s="135"/>
      <c r="EZ489" s="135"/>
      <c r="FA489" s="135"/>
      <c r="FB489" s="135"/>
      <c r="FC489" s="135"/>
      <c r="FD489" s="135"/>
      <c r="FE489" s="135"/>
      <c r="FF489" s="135"/>
      <c r="FG489" s="135"/>
    </row>
    <row r="490" spans="1:163" s="57" customFormat="1" ht="11.25" outlineLevel="1">
      <c r="A490" s="765">
        <f t="shared" si="515"/>
        <v>20</v>
      </c>
      <c r="B490" s="715" t="str" cm="1">
        <f t="array" aca="1" ref="B490" ca="1">INDIRECT("'Definition of Typical Day'!"&amp;ADDRESS(B$16,$E490))</f>
        <v>20</v>
      </c>
      <c r="C490" s="766">
        <f t="shared" si="516"/>
        <v>14</v>
      </c>
      <c r="D490" s="715">
        <f t="shared" si="516"/>
        <v>48</v>
      </c>
      <c r="E490" s="715">
        <f t="shared" si="517"/>
        <v>24</v>
      </c>
      <c r="F490" s="767" cm="1">
        <f t="array" aca="1" ref="F490" ca="1">INDIRECT("'Definition of Typical Day'!D"&amp;D490)</f>
        <v>14</v>
      </c>
      <c r="G490" s="767" cm="1">
        <f t="array" aca="1" ref="G490" ca="1">INDIRECT("'Definition of Typical Day'!"&amp;ADDRESS(13,E490))</f>
        <v>20</v>
      </c>
      <c r="H490" s="768" cm="1">
        <f t="array" aca="1" ref="H490" ca="1">INDIRECT("'Definition of Typical Day'!"&amp; ADDRESS($D490+28*(H$16-1),$E490))</f>
        <v>1E-3</v>
      </c>
      <c r="I490" s="715" cm="1">
        <f t="array" aca="1" ref="I490" ca="1">INDIRECT("'Definition of Typical Day'!"&amp; ADDRESS($D490+29*(I$16-1),$E490))</f>
        <v>30</v>
      </c>
      <c r="J490" s="715">
        <f t="shared" ca="1" si="543"/>
        <v>27</v>
      </c>
      <c r="K490" s="785">
        <f t="shared" si="544"/>
        <v>28</v>
      </c>
      <c r="L490" s="786" cm="1">
        <f t="array" aca="1" ref="L490" ca="1">INDIRECT("'Definition of Typical Day'!"&amp; ADDRESS($D490+29*(L$16-1),$E490))</f>
        <v>100</v>
      </c>
      <c r="M490" s="768" cm="1">
        <f t="array" aca="1" ref="M490" ca="1">INDIRECT("'Definition of Typical Day'!"&amp; ADDRESS($D490+29*(M$16-1),$E490))</f>
        <v>76.666666666666629</v>
      </c>
      <c r="N490" s="715">
        <f t="shared" si="545"/>
        <v>3</v>
      </c>
      <c r="O490" s="715">
        <f t="shared" ca="1" si="546"/>
        <v>79.666666666666629</v>
      </c>
      <c r="P490" s="715" cm="1">
        <f t="array" aca="1" ref="P490" ca="1">INDIRECT("'Definition of Typical Day'!"&amp; ADDRESS($D490+29*(P$16-1),$E490))</f>
        <v>45</v>
      </c>
      <c r="Q490" s="787">
        <f t="shared" ca="1" si="547"/>
        <v>48</v>
      </c>
      <c r="R490" s="792">
        <f t="shared" ca="1" si="548"/>
        <v>79.666666666666629</v>
      </c>
      <c r="S490" s="769">
        <f t="shared" si="549"/>
        <v>3</v>
      </c>
      <c r="T490" s="769">
        <f t="shared" ca="1" si="550"/>
        <v>0.04</v>
      </c>
      <c r="U490" s="769">
        <f t="shared" ca="1" si="551"/>
        <v>0.26866666666666766</v>
      </c>
      <c r="V490" s="769">
        <f t="shared" ca="1" si="552"/>
        <v>0</v>
      </c>
      <c r="W490" s="769">
        <f t="shared" ca="1" si="553"/>
        <v>3.3086666666666678</v>
      </c>
      <c r="X490" s="794">
        <f t="shared" si="554"/>
        <v>3</v>
      </c>
      <c r="Y490" s="769">
        <f t="shared" ca="1" si="555"/>
        <v>3</v>
      </c>
      <c r="Z490" s="769">
        <f t="shared" ca="1" si="556"/>
        <v>1.4331504475887957E-3</v>
      </c>
      <c r="AA490" s="795">
        <f t="shared" ca="1" si="557"/>
        <v>1.4331504475887957E-3</v>
      </c>
      <c r="AB490" s="769">
        <f t="shared" ca="1" si="558"/>
        <v>0</v>
      </c>
      <c r="AC490" s="769">
        <f t="shared" ca="1" si="559"/>
        <v>0</v>
      </c>
      <c r="AD490" s="769">
        <f t="shared" ca="1" si="560"/>
        <v>0</v>
      </c>
      <c r="AE490" s="794">
        <f t="shared" ca="1" si="561"/>
        <v>1.4331504475887957E-3</v>
      </c>
      <c r="AF490" s="769">
        <f t="shared" ca="1" si="562"/>
        <v>1.4331504475887958E-5</v>
      </c>
      <c r="AG490" s="769">
        <f t="shared" ca="1" si="563"/>
        <v>1.4188189431129077E-3</v>
      </c>
      <c r="AH490" s="799">
        <f t="shared" ca="1" si="564"/>
        <v>1.4188189431129077E-3</v>
      </c>
      <c r="AI490" s="801">
        <f t="shared" ca="1" si="565"/>
        <v>1</v>
      </c>
      <c r="AJ490" s="794">
        <f t="shared" ca="1" si="566"/>
        <v>1E-3</v>
      </c>
      <c r="AK490" s="769">
        <f t="shared" ca="1" si="567"/>
        <v>4.3315044758879566E-4</v>
      </c>
      <c r="AL490" s="769">
        <f t="shared" ca="1" si="568"/>
        <v>0</v>
      </c>
      <c r="AM490" s="804">
        <f t="shared" ca="1" si="518"/>
        <v>0</v>
      </c>
      <c r="AN490" s="795">
        <f t="shared" ca="1" si="519"/>
        <v>1.3333333333333334E-4</v>
      </c>
      <c r="AO490" s="251"/>
      <c r="AP490" s="770">
        <f t="shared" si="569"/>
        <v>0</v>
      </c>
      <c r="AQ490" s="771">
        <f t="shared" ca="1" si="570"/>
        <v>0</v>
      </c>
      <c r="AR490" s="771">
        <f t="shared" ca="1" si="571"/>
        <v>2E-3</v>
      </c>
      <c r="AS490" s="772">
        <f t="shared" ca="1" si="572"/>
        <v>2E-3</v>
      </c>
      <c r="AT490" s="231"/>
      <c r="AU490" s="770">
        <f>'Main Results - IRR DC Operator'!$F$16</f>
        <v>2</v>
      </c>
      <c r="AV490" s="773">
        <f>'Main Results - IRR DC Operator'!$F$15</f>
        <v>1</v>
      </c>
      <c r="AW490" s="771">
        <f t="shared" ca="1" si="573"/>
        <v>2E-3</v>
      </c>
      <c r="AX490" s="772">
        <f t="shared" si="574"/>
        <v>0</v>
      </c>
      <c r="AY490" s="231"/>
      <c r="AZ490" s="770" cm="1">
        <f t="array" aca="1" ref="AZ490" ca="1">INDIRECT("'Definition of Typical Day'!"&amp; ADDRESS($D490+29*(AZ$16-1),$E490))+$AZ$17</f>
        <v>79.78</v>
      </c>
      <c r="BA490" s="771" cm="1">
        <f t="array" aca="1" ref="BA490" ca="1">INDIRECT("'Definition of Typical Day'!"&amp; ADDRESS($D490+29*(BA$16-1),$E490))+$BA$17</f>
        <v>79.78</v>
      </c>
      <c r="BB490" s="772" cm="1">
        <f t="array" aca="1" ref="BB490" ca="1">INDIRECT("'Definition of Typical Day'!"&amp;ADDRESS(BB$16,$E490))</f>
        <v>0</v>
      </c>
      <c r="BC490" s="776" cm="1">
        <f t="array" aca="1" ref="BC490" ca="1">INDIRECT("'Definition of Typical Day'!"&amp; ADDRESS($D490+29*(BC$16-1),$E490))</f>
        <v>100</v>
      </c>
      <c r="BD490" s="777" cm="1">
        <f t="array" aca="1" ref="BD490" ca="1">INDIRECT("'Definition of Typical Day'!"&amp; ADDRESS($D490+29*(BD$16-1),$E490))</f>
        <v>1</v>
      </c>
      <c r="BE490" s="776">
        <f t="shared" si="575"/>
        <v>0</v>
      </c>
      <c r="BF490" s="771">
        <f t="shared" ca="1" si="576"/>
        <v>3.4556742708634118E-2</v>
      </c>
      <c r="BG490" s="771">
        <f t="shared" ca="1" si="577"/>
        <v>0</v>
      </c>
      <c r="BH490" s="771">
        <f t="shared" ca="1" si="578"/>
        <v>0</v>
      </c>
      <c r="BI490" s="776">
        <f t="shared" ca="1" si="579"/>
        <v>0</v>
      </c>
      <c r="BJ490" s="776">
        <f t="shared" ca="1" si="580"/>
        <v>1.3333333333333334E-2</v>
      </c>
      <c r="BK490" s="776">
        <f t="shared" ca="1" si="581"/>
        <v>0</v>
      </c>
      <c r="BL490" s="776">
        <f t="shared" ca="1" si="582"/>
        <v>0</v>
      </c>
      <c r="BM490" s="135"/>
      <c r="BN490" s="776">
        <f t="shared" ca="1" si="583"/>
        <v>3.655674270863412E-2</v>
      </c>
      <c r="BO490" s="778">
        <f t="shared" ca="1" si="520"/>
        <v>25.765615046292051</v>
      </c>
      <c r="BP490" s="770">
        <f t="shared" ca="1" si="521"/>
        <v>3.4556742708634118E-2</v>
      </c>
      <c r="BQ490" s="771">
        <f t="shared" ca="1" si="522"/>
        <v>0</v>
      </c>
      <c r="BR490" s="771">
        <f t="shared" ca="1" si="523"/>
        <v>0</v>
      </c>
      <c r="BS490" s="776">
        <f t="shared" ca="1" si="584"/>
        <v>3.655674270863412E-2</v>
      </c>
      <c r="BT490" s="776">
        <f t="shared" ca="1" si="524"/>
        <v>3.4556742708634118E-2</v>
      </c>
      <c r="BU490" s="783">
        <f t="shared" ca="1" si="525"/>
        <v>24.355991915935491</v>
      </c>
      <c r="BV490" s="783">
        <f t="shared" ca="1" si="526"/>
        <v>24.355991915935491</v>
      </c>
      <c r="BW490" s="1019">
        <f t="shared" ca="1" si="585"/>
        <v>24.355991915935491</v>
      </c>
      <c r="BX490" s="771" cm="1">
        <f t="array" aca="1" ref="BX490" ca="1">INDIRECT("'Definition of Typical Day'!"&amp; ADDRESS($D490+29*(BX$16-1),$E490))</f>
        <v>65</v>
      </c>
      <c r="BY490" s="771">
        <f t="shared" ca="1" si="586"/>
        <v>0</v>
      </c>
      <c r="BZ490" s="781">
        <f t="shared" ca="1" si="527"/>
        <v>0</v>
      </c>
      <c r="CA490" s="781">
        <f t="shared" ca="1" si="528"/>
        <v>0</v>
      </c>
      <c r="CB490" s="776">
        <f t="shared" ca="1" si="529"/>
        <v>9.2223231302339004E-2</v>
      </c>
      <c r="CC490" s="782">
        <f t="shared" si="530"/>
        <v>20</v>
      </c>
      <c r="CD490" s="782">
        <f t="shared" si="531"/>
        <v>14</v>
      </c>
      <c r="CE490" s="784" t="str" cm="1">
        <f t="array" aca="1" ref="CE490" ca="1">INDIRECT("'Definition of Typical Day'!"&amp;ADDRESS(CE$16,$E490))</f>
        <v>20</v>
      </c>
      <c r="CF490" s="232"/>
      <c r="CG490" s="232"/>
      <c r="CH490" s="776">
        <f t="shared" ca="1" si="532"/>
        <v>1E-3</v>
      </c>
      <c r="CI490" s="806">
        <f t="shared" ca="1" si="533"/>
        <v>100</v>
      </c>
      <c r="CJ490" s="770">
        <f t="shared" ca="1" si="534"/>
        <v>0</v>
      </c>
      <c r="CK490" s="771">
        <f t="shared" ca="1" si="535"/>
        <v>0</v>
      </c>
      <c r="CL490" s="771">
        <f t="shared" ca="1" si="536"/>
        <v>0</v>
      </c>
      <c r="CM490" s="772">
        <f t="shared" ca="1" si="537"/>
        <v>0</v>
      </c>
      <c r="CN490" s="135"/>
      <c r="CO490" s="770">
        <f t="shared" ca="1" si="587"/>
        <v>1.05</v>
      </c>
      <c r="CP490" s="771">
        <f t="shared" ca="1" si="538"/>
        <v>0.98</v>
      </c>
      <c r="CQ490" s="771">
        <f t="shared" ca="1" si="539"/>
        <v>-2.5000000000000001E-2</v>
      </c>
      <c r="CR490" s="771">
        <f t="shared" ca="1" si="540"/>
        <v>0.95</v>
      </c>
      <c r="CS490" s="771">
        <f t="shared" ca="1" si="541"/>
        <v>0.03</v>
      </c>
      <c r="CT490" s="772">
        <f t="shared" ca="1" si="542"/>
        <v>0.02</v>
      </c>
      <c r="CU490" s="135"/>
      <c r="CV490" s="135"/>
      <c r="CW490" s="135"/>
      <c r="CX490" s="135"/>
      <c r="CY490" s="135"/>
      <c r="CZ490" s="135"/>
      <c r="DA490" s="135"/>
      <c r="DB490" s="135"/>
      <c r="DC490" s="135"/>
      <c r="DD490" s="135"/>
      <c r="DE490" s="135"/>
      <c r="DF490" s="135"/>
      <c r="DG490" s="135"/>
      <c r="DH490" s="135"/>
      <c r="DI490" s="135"/>
      <c r="DJ490" s="135"/>
      <c r="DK490" s="135"/>
      <c r="DL490" s="135"/>
      <c r="DX490" s="135"/>
      <c r="DY490" s="135"/>
      <c r="DZ490" s="135"/>
      <c r="EA490" s="135"/>
      <c r="EB490" s="135"/>
      <c r="EC490" s="135"/>
      <c r="ED490" s="135"/>
      <c r="EE490" s="135"/>
      <c r="EF490" s="135"/>
      <c r="EG490" s="135"/>
      <c r="EH490" s="135"/>
      <c r="EI490" s="135"/>
      <c r="EJ490" s="135"/>
      <c r="EK490" s="135"/>
      <c r="EL490" s="135"/>
      <c r="EM490" s="135"/>
      <c r="EN490" s="135"/>
      <c r="EO490" s="135"/>
      <c r="EP490" s="135"/>
      <c r="EQ490" s="135"/>
      <c r="ER490" s="135"/>
      <c r="ES490" s="135"/>
      <c r="ET490" s="135"/>
      <c r="EU490" s="135"/>
      <c r="EV490" s="135"/>
      <c r="EW490" s="135"/>
      <c r="EX490" s="135"/>
      <c r="EY490" s="135"/>
      <c r="EZ490" s="135"/>
      <c r="FA490" s="135"/>
      <c r="FB490" s="135"/>
      <c r="FC490" s="135"/>
      <c r="FD490" s="135"/>
      <c r="FE490" s="135"/>
      <c r="FF490" s="135"/>
      <c r="FG490" s="135"/>
    </row>
    <row r="491" spans="1:163" s="57" customFormat="1" ht="11.25" outlineLevel="1">
      <c r="A491" s="765">
        <f t="shared" si="515"/>
        <v>20</v>
      </c>
      <c r="B491" s="715" t="str" cm="1">
        <f t="array" aca="1" ref="B491" ca="1">INDIRECT("'Definition of Typical Day'!"&amp;ADDRESS(B$16,$E491))</f>
        <v>20</v>
      </c>
      <c r="C491" s="766">
        <f t="shared" si="516"/>
        <v>15</v>
      </c>
      <c r="D491" s="715">
        <f t="shared" si="516"/>
        <v>49</v>
      </c>
      <c r="E491" s="715">
        <f t="shared" si="517"/>
        <v>24</v>
      </c>
      <c r="F491" s="767" cm="1">
        <f t="array" aca="1" ref="F491" ca="1">INDIRECT("'Definition of Typical Day'!D"&amp;D491)</f>
        <v>15</v>
      </c>
      <c r="G491" s="767" cm="1">
        <f t="array" aca="1" ref="G491" ca="1">INDIRECT("'Definition of Typical Day'!"&amp;ADDRESS(13,E491))</f>
        <v>20</v>
      </c>
      <c r="H491" s="768" cm="1">
        <f t="array" aca="1" ref="H491" ca="1">INDIRECT("'Definition of Typical Day'!"&amp; ADDRESS($D491+28*(H$16-1),$E491))</f>
        <v>1E-3</v>
      </c>
      <c r="I491" s="715" cm="1">
        <f t="array" aca="1" ref="I491" ca="1">INDIRECT("'Definition of Typical Day'!"&amp; ADDRESS($D491+29*(I$16-1),$E491))</f>
        <v>30</v>
      </c>
      <c r="J491" s="715">
        <f t="shared" ca="1" si="543"/>
        <v>27</v>
      </c>
      <c r="K491" s="785">
        <f t="shared" si="544"/>
        <v>28</v>
      </c>
      <c r="L491" s="786" cm="1">
        <f t="array" aca="1" ref="L491" ca="1">INDIRECT("'Definition of Typical Day'!"&amp; ADDRESS($D491+29*(L$16-1),$E491))</f>
        <v>100</v>
      </c>
      <c r="M491" s="768" cm="1">
        <f t="array" aca="1" ref="M491" ca="1">INDIRECT("'Definition of Typical Day'!"&amp; ADDRESS($D491+29*(M$16-1),$E491))</f>
        <v>76.666666666666629</v>
      </c>
      <c r="N491" s="715">
        <f t="shared" si="545"/>
        <v>3</v>
      </c>
      <c r="O491" s="715">
        <f t="shared" ca="1" si="546"/>
        <v>79.666666666666629</v>
      </c>
      <c r="P491" s="715" cm="1">
        <f t="array" aca="1" ref="P491" ca="1">INDIRECT("'Definition of Typical Day'!"&amp; ADDRESS($D491+29*(P$16-1),$E491))</f>
        <v>45</v>
      </c>
      <c r="Q491" s="787">
        <f t="shared" ca="1" si="547"/>
        <v>48</v>
      </c>
      <c r="R491" s="792">
        <f t="shared" ca="1" si="548"/>
        <v>79.666666666666629</v>
      </c>
      <c r="S491" s="769">
        <f t="shared" si="549"/>
        <v>3</v>
      </c>
      <c r="T491" s="769">
        <f t="shared" ca="1" si="550"/>
        <v>0.04</v>
      </c>
      <c r="U491" s="769">
        <f t="shared" ca="1" si="551"/>
        <v>0.26866666666666766</v>
      </c>
      <c r="V491" s="769">
        <f t="shared" ca="1" si="552"/>
        <v>0</v>
      </c>
      <c r="W491" s="769">
        <f t="shared" ca="1" si="553"/>
        <v>3.3086666666666678</v>
      </c>
      <c r="X491" s="794">
        <f t="shared" si="554"/>
        <v>3</v>
      </c>
      <c r="Y491" s="769">
        <f t="shared" ca="1" si="555"/>
        <v>3</v>
      </c>
      <c r="Z491" s="769">
        <f t="shared" ca="1" si="556"/>
        <v>1.4331504475887957E-3</v>
      </c>
      <c r="AA491" s="795">
        <f t="shared" ca="1" si="557"/>
        <v>1.4331504475887957E-3</v>
      </c>
      <c r="AB491" s="769">
        <f t="shared" ca="1" si="558"/>
        <v>0</v>
      </c>
      <c r="AC491" s="769">
        <f t="shared" ca="1" si="559"/>
        <v>0</v>
      </c>
      <c r="AD491" s="769">
        <f t="shared" ca="1" si="560"/>
        <v>0</v>
      </c>
      <c r="AE491" s="794">
        <f t="shared" ca="1" si="561"/>
        <v>1.4331504475887957E-3</v>
      </c>
      <c r="AF491" s="769">
        <f t="shared" ca="1" si="562"/>
        <v>1.4331504475887958E-5</v>
      </c>
      <c r="AG491" s="769">
        <f t="shared" ca="1" si="563"/>
        <v>1.4188189431129077E-3</v>
      </c>
      <c r="AH491" s="799">
        <f t="shared" ca="1" si="564"/>
        <v>1.4188189431129077E-3</v>
      </c>
      <c r="AI491" s="801">
        <f t="shared" ca="1" si="565"/>
        <v>1</v>
      </c>
      <c r="AJ491" s="794">
        <f t="shared" ca="1" si="566"/>
        <v>1E-3</v>
      </c>
      <c r="AK491" s="769">
        <f t="shared" ca="1" si="567"/>
        <v>4.3315044758879566E-4</v>
      </c>
      <c r="AL491" s="769">
        <f t="shared" ca="1" si="568"/>
        <v>0</v>
      </c>
      <c r="AM491" s="804">
        <f t="shared" ca="1" si="518"/>
        <v>0</v>
      </c>
      <c r="AN491" s="795">
        <f t="shared" ca="1" si="519"/>
        <v>1.3333333333333334E-4</v>
      </c>
      <c r="AO491" s="251"/>
      <c r="AP491" s="770">
        <f t="shared" si="569"/>
        <v>0</v>
      </c>
      <c r="AQ491" s="771">
        <f t="shared" ca="1" si="570"/>
        <v>0</v>
      </c>
      <c r="AR491" s="771">
        <f t="shared" ca="1" si="571"/>
        <v>2E-3</v>
      </c>
      <c r="AS491" s="772">
        <f t="shared" ca="1" si="572"/>
        <v>2E-3</v>
      </c>
      <c r="AT491" s="231"/>
      <c r="AU491" s="770">
        <f>'Main Results - IRR DC Operator'!$F$16</f>
        <v>2</v>
      </c>
      <c r="AV491" s="773">
        <f>'Main Results - IRR DC Operator'!$F$15</f>
        <v>1</v>
      </c>
      <c r="AW491" s="771">
        <f t="shared" ca="1" si="573"/>
        <v>2E-3</v>
      </c>
      <c r="AX491" s="772">
        <f t="shared" si="574"/>
        <v>0</v>
      </c>
      <c r="AY491" s="231"/>
      <c r="AZ491" s="770" cm="1">
        <f t="array" aca="1" ref="AZ491" ca="1">INDIRECT("'Definition of Typical Day'!"&amp; ADDRESS($D491+29*(AZ$16-1),$E491))+$AZ$17</f>
        <v>84.39</v>
      </c>
      <c r="BA491" s="771" cm="1">
        <f t="array" aca="1" ref="BA491" ca="1">INDIRECT("'Definition of Typical Day'!"&amp; ADDRESS($D491+29*(BA$16-1),$E491))+$BA$17</f>
        <v>84.39</v>
      </c>
      <c r="BB491" s="772" cm="1">
        <f t="array" aca="1" ref="BB491" ca="1">INDIRECT("'Definition of Typical Day'!"&amp;ADDRESS(BB$16,$E491))</f>
        <v>0</v>
      </c>
      <c r="BC491" s="776" cm="1">
        <f t="array" aca="1" ref="BC491" ca="1">INDIRECT("'Definition of Typical Day'!"&amp; ADDRESS($D491+29*(BC$16-1),$E491))</f>
        <v>100</v>
      </c>
      <c r="BD491" s="777" cm="1">
        <f t="array" aca="1" ref="BD491" ca="1">INDIRECT("'Definition of Typical Day'!"&amp; ADDRESS($D491+29*(BD$16-1),$E491))</f>
        <v>1</v>
      </c>
      <c r="BE491" s="776">
        <f t="shared" si="575"/>
        <v>0</v>
      </c>
      <c r="BF491" s="771">
        <f t="shared" ca="1" si="576"/>
        <v>3.6553566272018466E-2</v>
      </c>
      <c r="BG491" s="771">
        <f t="shared" ca="1" si="577"/>
        <v>0</v>
      </c>
      <c r="BH491" s="771">
        <f t="shared" ca="1" si="578"/>
        <v>0</v>
      </c>
      <c r="BI491" s="776">
        <f t="shared" ca="1" si="579"/>
        <v>0</v>
      </c>
      <c r="BJ491" s="776">
        <f t="shared" ca="1" si="580"/>
        <v>1.3333333333333334E-2</v>
      </c>
      <c r="BK491" s="776">
        <f t="shared" ca="1" si="581"/>
        <v>0</v>
      </c>
      <c r="BL491" s="776">
        <f t="shared" ca="1" si="582"/>
        <v>0</v>
      </c>
      <c r="BM491" s="135"/>
      <c r="BN491" s="776">
        <f t="shared" ca="1" si="583"/>
        <v>3.8553566272018468E-2</v>
      </c>
      <c r="BO491" s="778">
        <f t="shared" ca="1" si="520"/>
        <v>27.17299938738584</v>
      </c>
      <c r="BP491" s="770">
        <f t="shared" ca="1" si="521"/>
        <v>3.6553566272018466E-2</v>
      </c>
      <c r="BQ491" s="771">
        <f t="shared" ca="1" si="522"/>
        <v>0</v>
      </c>
      <c r="BR491" s="771">
        <f t="shared" ca="1" si="523"/>
        <v>0</v>
      </c>
      <c r="BS491" s="776">
        <f t="shared" ca="1" si="584"/>
        <v>3.8553566272018468E-2</v>
      </c>
      <c r="BT491" s="776">
        <f t="shared" ca="1" si="524"/>
        <v>3.6553566272018466E-2</v>
      </c>
      <c r="BU491" s="783">
        <f t="shared" ca="1" si="525"/>
        <v>25.763376257029282</v>
      </c>
      <c r="BV491" s="783">
        <f t="shared" ca="1" si="526"/>
        <v>25.763376257029282</v>
      </c>
      <c r="BW491" s="1019">
        <f t="shared" ca="1" si="585"/>
        <v>25.763376257029282</v>
      </c>
      <c r="BX491" s="771" cm="1">
        <f t="array" aca="1" ref="BX491" ca="1">INDIRECT("'Definition of Typical Day'!"&amp; ADDRESS($D491+29*(BX$16-1),$E491))</f>
        <v>65</v>
      </c>
      <c r="BY491" s="771">
        <f t="shared" ca="1" si="586"/>
        <v>0</v>
      </c>
      <c r="BZ491" s="781">
        <f t="shared" ca="1" si="527"/>
        <v>0</v>
      </c>
      <c r="CA491" s="781">
        <f t="shared" ca="1" si="528"/>
        <v>0</v>
      </c>
      <c r="CB491" s="776">
        <f t="shared" ca="1" si="529"/>
        <v>9.2223231302339004E-2</v>
      </c>
      <c r="CC491" s="782">
        <f t="shared" si="530"/>
        <v>20</v>
      </c>
      <c r="CD491" s="782">
        <f t="shared" si="531"/>
        <v>15</v>
      </c>
      <c r="CE491" s="784" t="str" cm="1">
        <f t="array" aca="1" ref="CE491" ca="1">INDIRECT("'Definition of Typical Day'!"&amp;ADDRESS(CE$16,$E491))</f>
        <v>20</v>
      </c>
      <c r="CF491" s="232"/>
      <c r="CG491" s="232"/>
      <c r="CH491" s="776">
        <f t="shared" ca="1" si="532"/>
        <v>1E-3</v>
      </c>
      <c r="CI491" s="806">
        <f t="shared" ca="1" si="533"/>
        <v>100</v>
      </c>
      <c r="CJ491" s="770">
        <f t="shared" ca="1" si="534"/>
        <v>0</v>
      </c>
      <c r="CK491" s="771">
        <f t="shared" ca="1" si="535"/>
        <v>0</v>
      </c>
      <c r="CL491" s="771">
        <f t="shared" ca="1" si="536"/>
        <v>0</v>
      </c>
      <c r="CM491" s="772">
        <f t="shared" ca="1" si="537"/>
        <v>0</v>
      </c>
      <c r="CN491" s="135"/>
      <c r="CO491" s="770">
        <f t="shared" ca="1" si="587"/>
        <v>1.05</v>
      </c>
      <c r="CP491" s="771">
        <f t="shared" ca="1" si="538"/>
        <v>0.98</v>
      </c>
      <c r="CQ491" s="771">
        <f t="shared" ca="1" si="539"/>
        <v>-2.5000000000000001E-2</v>
      </c>
      <c r="CR491" s="771">
        <f t="shared" ca="1" si="540"/>
        <v>0.95</v>
      </c>
      <c r="CS491" s="771">
        <f t="shared" ca="1" si="541"/>
        <v>0.03</v>
      </c>
      <c r="CT491" s="772">
        <f t="shared" ca="1" si="542"/>
        <v>0.02</v>
      </c>
      <c r="CU491" s="135"/>
      <c r="CV491" s="135"/>
      <c r="CW491" s="135"/>
      <c r="CX491" s="135"/>
      <c r="CY491" s="135"/>
      <c r="CZ491" s="135"/>
      <c r="DA491" s="135"/>
      <c r="DB491" s="135"/>
      <c r="DC491" s="135"/>
      <c r="DD491" s="135"/>
      <c r="DE491" s="135"/>
      <c r="DF491" s="135"/>
      <c r="DG491" s="135"/>
      <c r="DH491" s="135"/>
      <c r="DI491" s="135"/>
      <c r="DJ491" s="135"/>
      <c r="DK491" s="135"/>
      <c r="DL491" s="135"/>
      <c r="DX491" s="135"/>
      <c r="DY491" s="135"/>
      <c r="DZ491" s="135"/>
      <c r="EA491" s="135"/>
      <c r="EB491" s="135"/>
      <c r="EC491" s="135"/>
      <c r="ED491" s="135"/>
      <c r="EE491" s="135"/>
      <c r="EF491" s="135"/>
      <c r="EG491" s="135"/>
      <c r="EH491" s="135"/>
      <c r="EI491" s="135"/>
      <c r="EJ491" s="135"/>
      <c r="EK491" s="135"/>
      <c r="EL491" s="135"/>
      <c r="EM491" s="135"/>
      <c r="EN491" s="135"/>
      <c r="EO491" s="135"/>
      <c r="EP491" s="135"/>
      <c r="EQ491" s="135"/>
      <c r="ER491" s="135"/>
      <c r="ES491" s="135"/>
      <c r="ET491" s="135"/>
      <c r="EU491" s="135"/>
      <c r="EV491" s="135"/>
      <c r="EW491" s="135"/>
      <c r="EX491" s="135"/>
      <c r="EY491" s="135"/>
      <c r="EZ491" s="135"/>
      <c r="FA491" s="135"/>
      <c r="FB491" s="135"/>
      <c r="FC491" s="135"/>
      <c r="FD491" s="135"/>
      <c r="FE491" s="135"/>
      <c r="FF491" s="135"/>
      <c r="FG491" s="135"/>
    </row>
    <row r="492" spans="1:163" s="57" customFormat="1" ht="11.25" outlineLevel="1">
      <c r="A492" s="765">
        <f t="shared" si="515"/>
        <v>20</v>
      </c>
      <c r="B492" s="715" t="str" cm="1">
        <f t="array" aca="1" ref="B492" ca="1">INDIRECT("'Definition of Typical Day'!"&amp;ADDRESS(B$16,$E492))</f>
        <v>20</v>
      </c>
      <c r="C492" s="766">
        <f t="shared" si="516"/>
        <v>16</v>
      </c>
      <c r="D492" s="715">
        <f t="shared" si="516"/>
        <v>50</v>
      </c>
      <c r="E492" s="715">
        <f t="shared" si="517"/>
        <v>24</v>
      </c>
      <c r="F492" s="767" cm="1">
        <f t="array" aca="1" ref="F492" ca="1">INDIRECT("'Definition of Typical Day'!D"&amp;D492)</f>
        <v>16</v>
      </c>
      <c r="G492" s="767" cm="1">
        <f t="array" aca="1" ref="G492" ca="1">INDIRECT("'Definition of Typical Day'!"&amp;ADDRESS(13,E492))</f>
        <v>20</v>
      </c>
      <c r="H492" s="768" cm="1">
        <f t="array" aca="1" ref="H492" ca="1">INDIRECT("'Definition of Typical Day'!"&amp; ADDRESS($D492+28*(H$16-1),$E492))</f>
        <v>1E-3</v>
      </c>
      <c r="I492" s="715" cm="1">
        <f t="array" aca="1" ref="I492" ca="1">INDIRECT("'Definition of Typical Day'!"&amp; ADDRESS($D492+29*(I$16-1),$E492))</f>
        <v>30</v>
      </c>
      <c r="J492" s="715">
        <f t="shared" ca="1" si="543"/>
        <v>27</v>
      </c>
      <c r="K492" s="785">
        <f t="shared" si="544"/>
        <v>28</v>
      </c>
      <c r="L492" s="786" cm="1">
        <f t="array" aca="1" ref="L492" ca="1">INDIRECT("'Definition of Typical Day'!"&amp; ADDRESS($D492+29*(L$16-1),$E492))</f>
        <v>100</v>
      </c>
      <c r="M492" s="768" cm="1">
        <f t="array" aca="1" ref="M492" ca="1">INDIRECT("'Definition of Typical Day'!"&amp; ADDRESS($D492+29*(M$16-1),$E492))</f>
        <v>75</v>
      </c>
      <c r="N492" s="715">
        <f t="shared" si="545"/>
        <v>3</v>
      </c>
      <c r="O492" s="715">
        <f t="shared" ca="1" si="546"/>
        <v>78</v>
      </c>
      <c r="P492" s="715" cm="1">
        <f t="array" aca="1" ref="P492" ca="1">INDIRECT("'Definition of Typical Day'!"&amp; ADDRESS($D492+29*(P$16-1),$E492))</f>
        <v>45</v>
      </c>
      <c r="Q492" s="787">
        <f t="shared" ca="1" si="547"/>
        <v>48</v>
      </c>
      <c r="R492" s="792">
        <f t="shared" ca="1" si="548"/>
        <v>78</v>
      </c>
      <c r="S492" s="769">
        <f t="shared" si="549"/>
        <v>3</v>
      </c>
      <c r="T492" s="769">
        <f t="shared" ca="1" si="550"/>
        <v>0.04</v>
      </c>
      <c r="U492" s="769">
        <f t="shared" ca="1" si="551"/>
        <v>0.312</v>
      </c>
      <c r="V492" s="769">
        <f t="shared" ca="1" si="552"/>
        <v>0</v>
      </c>
      <c r="W492" s="769">
        <f t="shared" ca="1" si="553"/>
        <v>3.3519999999999999</v>
      </c>
      <c r="X492" s="794">
        <f t="shared" si="554"/>
        <v>3</v>
      </c>
      <c r="Y492" s="769">
        <f t="shared" ca="1" si="555"/>
        <v>3</v>
      </c>
      <c r="Z492" s="769">
        <f t="shared" ca="1" si="556"/>
        <v>1.4251700680272109E-3</v>
      </c>
      <c r="AA492" s="795">
        <f t="shared" ca="1" si="557"/>
        <v>1.4251700680272109E-3</v>
      </c>
      <c r="AB492" s="769">
        <f t="shared" ca="1" si="558"/>
        <v>0</v>
      </c>
      <c r="AC492" s="769">
        <f t="shared" ca="1" si="559"/>
        <v>0</v>
      </c>
      <c r="AD492" s="769">
        <f t="shared" ca="1" si="560"/>
        <v>0</v>
      </c>
      <c r="AE492" s="794">
        <f t="shared" ca="1" si="561"/>
        <v>1.4251700680272109E-3</v>
      </c>
      <c r="AF492" s="769">
        <f t="shared" ca="1" si="562"/>
        <v>1.4251700680272109E-5</v>
      </c>
      <c r="AG492" s="769">
        <f t="shared" ca="1" si="563"/>
        <v>1.4109183673469388E-3</v>
      </c>
      <c r="AH492" s="799">
        <f t="shared" ca="1" si="564"/>
        <v>1.4109183673469388E-3</v>
      </c>
      <c r="AI492" s="801">
        <f t="shared" ca="1" si="565"/>
        <v>1</v>
      </c>
      <c r="AJ492" s="794">
        <f t="shared" ca="1" si="566"/>
        <v>1E-3</v>
      </c>
      <c r="AK492" s="769">
        <f t="shared" ca="1" si="567"/>
        <v>4.2517006802721092E-4</v>
      </c>
      <c r="AL492" s="769">
        <f t="shared" ca="1" si="568"/>
        <v>0</v>
      </c>
      <c r="AM492" s="804">
        <f t="shared" ca="1" si="518"/>
        <v>0</v>
      </c>
      <c r="AN492" s="795">
        <f t="shared" ca="1" si="519"/>
        <v>1.3333333333333334E-4</v>
      </c>
      <c r="AO492" s="251"/>
      <c r="AP492" s="770">
        <f t="shared" si="569"/>
        <v>0</v>
      </c>
      <c r="AQ492" s="771">
        <f t="shared" ca="1" si="570"/>
        <v>0</v>
      </c>
      <c r="AR492" s="771">
        <f t="shared" ca="1" si="571"/>
        <v>2E-3</v>
      </c>
      <c r="AS492" s="772">
        <f t="shared" ca="1" si="572"/>
        <v>2E-3</v>
      </c>
      <c r="AT492" s="231"/>
      <c r="AU492" s="770">
        <f>'Main Results - IRR DC Operator'!$F$16</f>
        <v>2</v>
      </c>
      <c r="AV492" s="773">
        <f>'Main Results - IRR DC Operator'!$F$15</f>
        <v>1</v>
      </c>
      <c r="AW492" s="771">
        <f t="shared" ca="1" si="573"/>
        <v>2E-3</v>
      </c>
      <c r="AX492" s="772">
        <f t="shared" si="574"/>
        <v>0</v>
      </c>
      <c r="AY492" s="231"/>
      <c r="AZ492" s="770" cm="1">
        <f t="array" aca="1" ref="AZ492" ca="1">INDIRECT("'Definition of Typical Day'!"&amp; ADDRESS($D492+29*(AZ$16-1),$E492))+$AZ$17</f>
        <v>90.11</v>
      </c>
      <c r="BA492" s="771" cm="1">
        <f t="array" aca="1" ref="BA492" ca="1">INDIRECT("'Definition of Typical Day'!"&amp; ADDRESS($D492+29*(BA$16-1),$E492))+$BA$17</f>
        <v>90.11</v>
      </c>
      <c r="BB492" s="772" cm="1">
        <f t="array" aca="1" ref="BB492" ca="1">INDIRECT("'Definition of Typical Day'!"&amp;ADDRESS(BB$16,$E492))</f>
        <v>0</v>
      </c>
      <c r="BC492" s="776" cm="1">
        <f t="array" aca="1" ref="BC492" ca="1">INDIRECT("'Definition of Typical Day'!"&amp; ADDRESS($D492+29*(BC$16-1),$E492))</f>
        <v>100</v>
      </c>
      <c r="BD492" s="777" cm="1">
        <f t="array" aca="1" ref="BD492" ca="1">INDIRECT("'Definition of Typical Day'!"&amp; ADDRESS($D492+29*(BD$16-1),$E492))</f>
        <v>1</v>
      </c>
      <c r="BE492" s="776">
        <f t="shared" si="575"/>
        <v>0</v>
      </c>
      <c r="BF492" s="771">
        <f t="shared" ca="1" si="576"/>
        <v>3.8312074829931979E-2</v>
      </c>
      <c r="BG492" s="771">
        <f t="shared" ca="1" si="577"/>
        <v>0</v>
      </c>
      <c r="BH492" s="771">
        <f t="shared" ca="1" si="578"/>
        <v>0</v>
      </c>
      <c r="BI492" s="776">
        <f t="shared" ca="1" si="579"/>
        <v>0</v>
      </c>
      <c r="BJ492" s="776">
        <f t="shared" ca="1" si="580"/>
        <v>1.3333333333333334E-2</v>
      </c>
      <c r="BK492" s="776">
        <f t="shared" ca="1" si="581"/>
        <v>0</v>
      </c>
      <c r="BL492" s="776">
        <f t="shared" ca="1" si="582"/>
        <v>0</v>
      </c>
      <c r="BM492" s="135"/>
      <c r="BN492" s="776">
        <f t="shared" ca="1" si="583"/>
        <v>4.0312074829931981E-2</v>
      </c>
      <c r="BO492" s="778">
        <f t="shared" ca="1" si="520"/>
        <v>28.571514669366703</v>
      </c>
      <c r="BP492" s="770">
        <f t="shared" ca="1" si="521"/>
        <v>3.8312074829931979E-2</v>
      </c>
      <c r="BQ492" s="771">
        <f t="shared" ca="1" si="522"/>
        <v>0</v>
      </c>
      <c r="BR492" s="771">
        <f t="shared" ca="1" si="523"/>
        <v>0</v>
      </c>
      <c r="BS492" s="776">
        <f t="shared" ca="1" si="584"/>
        <v>4.0312074829931981E-2</v>
      </c>
      <c r="BT492" s="776">
        <f t="shared" ca="1" si="524"/>
        <v>3.8312074829931979E-2</v>
      </c>
      <c r="BU492" s="783">
        <f t="shared" ca="1" si="525"/>
        <v>27.153998216050724</v>
      </c>
      <c r="BV492" s="783">
        <f t="shared" ca="1" si="526"/>
        <v>27.153998216050724</v>
      </c>
      <c r="BW492" s="1019">
        <f t="shared" ca="1" si="585"/>
        <v>27.153998216050724</v>
      </c>
      <c r="BX492" s="771" cm="1">
        <f t="array" aca="1" ref="BX492" ca="1">INDIRECT("'Definition of Typical Day'!"&amp; ADDRESS($D492+29*(BX$16-1),$E492))</f>
        <v>65</v>
      </c>
      <c r="BY492" s="771">
        <f t="shared" ca="1" si="586"/>
        <v>0</v>
      </c>
      <c r="BZ492" s="781">
        <f t="shared" ca="1" si="527"/>
        <v>0</v>
      </c>
      <c r="CA492" s="781">
        <f t="shared" ca="1" si="528"/>
        <v>0</v>
      </c>
      <c r="CB492" s="776">
        <f t="shared" ca="1" si="529"/>
        <v>9.1709693877551027E-2</v>
      </c>
      <c r="CC492" s="782">
        <f t="shared" si="530"/>
        <v>20</v>
      </c>
      <c r="CD492" s="782">
        <f t="shared" si="531"/>
        <v>16</v>
      </c>
      <c r="CE492" s="784" t="str" cm="1">
        <f t="array" aca="1" ref="CE492" ca="1">INDIRECT("'Definition of Typical Day'!"&amp;ADDRESS(CE$16,$E492))</f>
        <v>20</v>
      </c>
      <c r="CF492" s="232"/>
      <c r="CG492" s="232"/>
      <c r="CH492" s="776">
        <f t="shared" ca="1" si="532"/>
        <v>1E-3</v>
      </c>
      <c r="CI492" s="806">
        <f t="shared" ca="1" si="533"/>
        <v>100</v>
      </c>
      <c r="CJ492" s="770">
        <f t="shared" ca="1" si="534"/>
        <v>0</v>
      </c>
      <c r="CK492" s="771">
        <f t="shared" ca="1" si="535"/>
        <v>0</v>
      </c>
      <c r="CL492" s="771">
        <f t="shared" ca="1" si="536"/>
        <v>0</v>
      </c>
      <c r="CM492" s="772">
        <f t="shared" ca="1" si="537"/>
        <v>0</v>
      </c>
      <c r="CN492" s="135"/>
      <c r="CO492" s="770">
        <f t="shared" ca="1" si="587"/>
        <v>1.05</v>
      </c>
      <c r="CP492" s="771">
        <f t="shared" ca="1" si="538"/>
        <v>0.98</v>
      </c>
      <c r="CQ492" s="771">
        <f t="shared" ca="1" si="539"/>
        <v>-2.5000000000000001E-2</v>
      </c>
      <c r="CR492" s="771">
        <f t="shared" ca="1" si="540"/>
        <v>0.95</v>
      </c>
      <c r="CS492" s="771">
        <f t="shared" ca="1" si="541"/>
        <v>0.03</v>
      </c>
      <c r="CT492" s="772">
        <f t="shared" ca="1" si="542"/>
        <v>0.02</v>
      </c>
      <c r="CU492" s="135"/>
      <c r="CV492" s="135"/>
      <c r="CW492" s="135"/>
      <c r="CX492" s="135"/>
      <c r="CY492" s="135"/>
      <c r="CZ492" s="135"/>
      <c r="DA492" s="135"/>
      <c r="DB492" s="135"/>
      <c r="DC492" s="135"/>
      <c r="DD492" s="135"/>
      <c r="DE492" s="135"/>
      <c r="DF492" s="135"/>
      <c r="DG492" s="135"/>
      <c r="DH492" s="135"/>
      <c r="DI492" s="135"/>
      <c r="DJ492" s="135"/>
      <c r="DK492" s="135"/>
      <c r="DL492" s="135"/>
      <c r="DX492" s="135"/>
      <c r="DY492" s="135"/>
      <c r="DZ492" s="135"/>
      <c r="EA492" s="135"/>
      <c r="EB492" s="135"/>
      <c r="EC492" s="135"/>
      <c r="ED492" s="135"/>
      <c r="EE492" s="135"/>
      <c r="EF492" s="135"/>
      <c r="EG492" s="135"/>
      <c r="EH492" s="135"/>
      <c r="EI492" s="135"/>
      <c r="EJ492" s="135"/>
      <c r="EK492" s="135"/>
      <c r="EL492" s="135"/>
      <c r="EM492" s="135"/>
      <c r="EN492" s="135"/>
      <c r="EO492" s="135"/>
      <c r="EP492" s="135"/>
      <c r="EQ492" s="135"/>
      <c r="ER492" s="135"/>
      <c r="ES492" s="135"/>
      <c r="ET492" s="135"/>
      <c r="EU492" s="135"/>
      <c r="EV492" s="135"/>
      <c r="EW492" s="135"/>
      <c r="EX492" s="135"/>
      <c r="EY492" s="135"/>
      <c r="EZ492" s="135"/>
      <c r="FA492" s="135"/>
      <c r="FB492" s="135"/>
      <c r="FC492" s="135"/>
      <c r="FD492" s="135"/>
      <c r="FE492" s="135"/>
      <c r="FF492" s="135"/>
      <c r="FG492" s="135"/>
    </row>
    <row r="493" spans="1:163" s="57" customFormat="1" ht="11.25" outlineLevel="1">
      <c r="A493" s="765">
        <f t="shared" si="515"/>
        <v>20</v>
      </c>
      <c r="B493" s="715" t="str" cm="1">
        <f t="array" aca="1" ref="B493" ca="1">INDIRECT("'Definition of Typical Day'!"&amp;ADDRESS(B$16,$E493))</f>
        <v>20</v>
      </c>
      <c r="C493" s="766">
        <f t="shared" si="516"/>
        <v>17</v>
      </c>
      <c r="D493" s="715">
        <f t="shared" si="516"/>
        <v>51</v>
      </c>
      <c r="E493" s="715">
        <f t="shared" si="517"/>
        <v>24</v>
      </c>
      <c r="F493" s="767" cm="1">
        <f t="array" aca="1" ref="F493" ca="1">INDIRECT("'Definition of Typical Day'!D"&amp;D493)</f>
        <v>17</v>
      </c>
      <c r="G493" s="767" cm="1">
        <f t="array" aca="1" ref="G493" ca="1">INDIRECT("'Definition of Typical Day'!"&amp;ADDRESS(13,E493))</f>
        <v>20</v>
      </c>
      <c r="H493" s="768" cm="1">
        <f t="array" aca="1" ref="H493" ca="1">INDIRECT("'Definition of Typical Day'!"&amp; ADDRESS($D493+28*(H$16-1),$E493))</f>
        <v>1E-3</v>
      </c>
      <c r="I493" s="715" cm="1">
        <f t="array" aca="1" ref="I493" ca="1">INDIRECT("'Definition of Typical Day'!"&amp; ADDRESS($D493+29*(I$16-1),$E493))</f>
        <v>30</v>
      </c>
      <c r="J493" s="715">
        <f t="shared" ca="1" si="543"/>
        <v>27</v>
      </c>
      <c r="K493" s="785">
        <f t="shared" si="544"/>
        <v>28</v>
      </c>
      <c r="L493" s="786" cm="1">
        <f t="array" aca="1" ref="L493" ca="1">INDIRECT("'Definition of Typical Day'!"&amp; ADDRESS($D493+29*(L$16-1),$E493))</f>
        <v>100</v>
      </c>
      <c r="M493" s="768" cm="1">
        <f t="array" aca="1" ref="M493" ca="1">INDIRECT("'Definition of Typical Day'!"&amp; ADDRESS($D493+29*(M$16-1),$E493))</f>
        <v>76.666666666666629</v>
      </c>
      <c r="N493" s="715">
        <f t="shared" si="545"/>
        <v>3</v>
      </c>
      <c r="O493" s="715">
        <f t="shared" ca="1" si="546"/>
        <v>79.666666666666629</v>
      </c>
      <c r="P493" s="715" cm="1">
        <f t="array" aca="1" ref="P493" ca="1">INDIRECT("'Definition of Typical Day'!"&amp; ADDRESS($D493+29*(P$16-1),$E493))</f>
        <v>45</v>
      </c>
      <c r="Q493" s="787">
        <f t="shared" ca="1" si="547"/>
        <v>48</v>
      </c>
      <c r="R493" s="792">
        <f t="shared" ca="1" si="548"/>
        <v>79.666666666666629</v>
      </c>
      <c r="S493" s="769">
        <f t="shared" si="549"/>
        <v>3</v>
      </c>
      <c r="T493" s="769">
        <f t="shared" ca="1" si="550"/>
        <v>0.04</v>
      </c>
      <c r="U493" s="769">
        <f t="shared" ca="1" si="551"/>
        <v>0.26866666666666766</v>
      </c>
      <c r="V493" s="769">
        <f t="shared" ca="1" si="552"/>
        <v>0</v>
      </c>
      <c r="W493" s="769">
        <f t="shared" ca="1" si="553"/>
        <v>3.3086666666666678</v>
      </c>
      <c r="X493" s="794">
        <f t="shared" si="554"/>
        <v>3</v>
      </c>
      <c r="Y493" s="769">
        <f t="shared" ca="1" si="555"/>
        <v>3</v>
      </c>
      <c r="Z493" s="769">
        <f t="shared" ca="1" si="556"/>
        <v>1.4331504475887957E-3</v>
      </c>
      <c r="AA493" s="795">
        <f t="shared" ca="1" si="557"/>
        <v>1.4331504475887957E-3</v>
      </c>
      <c r="AB493" s="769">
        <f t="shared" ca="1" si="558"/>
        <v>0</v>
      </c>
      <c r="AC493" s="769">
        <f t="shared" ca="1" si="559"/>
        <v>0</v>
      </c>
      <c r="AD493" s="769">
        <f t="shared" ca="1" si="560"/>
        <v>0</v>
      </c>
      <c r="AE493" s="794">
        <f t="shared" ca="1" si="561"/>
        <v>1.4331504475887957E-3</v>
      </c>
      <c r="AF493" s="769">
        <f t="shared" ca="1" si="562"/>
        <v>1.4331504475887958E-5</v>
      </c>
      <c r="AG493" s="769">
        <f t="shared" ca="1" si="563"/>
        <v>1.4188189431129077E-3</v>
      </c>
      <c r="AH493" s="799">
        <f t="shared" ca="1" si="564"/>
        <v>1.4188189431129077E-3</v>
      </c>
      <c r="AI493" s="801">
        <f t="shared" ca="1" si="565"/>
        <v>1</v>
      </c>
      <c r="AJ493" s="794">
        <f t="shared" ca="1" si="566"/>
        <v>1E-3</v>
      </c>
      <c r="AK493" s="769">
        <f t="shared" ca="1" si="567"/>
        <v>4.3315044758879566E-4</v>
      </c>
      <c r="AL493" s="769">
        <f t="shared" ca="1" si="568"/>
        <v>0</v>
      </c>
      <c r="AM493" s="804">
        <f t="shared" ca="1" si="518"/>
        <v>0</v>
      </c>
      <c r="AN493" s="795">
        <f t="shared" ca="1" si="519"/>
        <v>1.3333333333333334E-4</v>
      </c>
      <c r="AO493" s="251"/>
      <c r="AP493" s="770">
        <f t="shared" si="569"/>
        <v>0</v>
      </c>
      <c r="AQ493" s="771">
        <f t="shared" ca="1" si="570"/>
        <v>0</v>
      </c>
      <c r="AR493" s="771">
        <f t="shared" ca="1" si="571"/>
        <v>2E-3</v>
      </c>
      <c r="AS493" s="772">
        <f t="shared" ca="1" si="572"/>
        <v>2E-3</v>
      </c>
      <c r="AT493" s="231"/>
      <c r="AU493" s="770">
        <f>'Main Results - IRR DC Operator'!$F$16</f>
        <v>2</v>
      </c>
      <c r="AV493" s="773">
        <f>'Main Results - IRR DC Operator'!$F$15</f>
        <v>1</v>
      </c>
      <c r="AW493" s="771">
        <f t="shared" ca="1" si="573"/>
        <v>2E-3</v>
      </c>
      <c r="AX493" s="772">
        <f t="shared" si="574"/>
        <v>0</v>
      </c>
      <c r="AY493" s="231"/>
      <c r="AZ493" s="770" cm="1">
        <f t="array" aca="1" ref="AZ493" ca="1">INDIRECT("'Definition of Typical Day'!"&amp; ADDRESS($D493+29*(AZ$16-1),$E493))+$AZ$17</f>
        <v>98.8</v>
      </c>
      <c r="BA493" s="771" cm="1">
        <f t="array" aca="1" ref="BA493" ca="1">INDIRECT("'Definition of Typical Day'!"&amp; ADDRESS($D493+29*(BA$16-1),$E493))+$BA$17</f>
        <v>98.8</v>
      </c>
      <c r="BB493" s="772" cm="1">
        <f t="array" aca="1" ref="BB493" ca="1">INDIRECT("'Definition of Typical Day'!"&amp;ADDRESS(BB$16,$E493))</f>
        <v>0</v>
      </c>
      <c r="BC493" s="776" cm="1">
        <f t="array" aca="1" ref="BC493" ca="1">INDIRECT("'Definition of Typical Day'!"&amp; ADDRESS($D493+29*(BC$16-1),$E493))</f>
        <v>100</v>
      </c>
      <c r="BD493" s="777" cm="1">
        <f t="array" aca="1" ref="BD493" ca="1">INDIRECT("'Definition of Typical Day'!"&amp; ADDRESS($D493+29*(BD$16-1),$E493))</f>
        <v>1</v>
      </c>
      <c r="BE493" s="776">
        <f t="shared" si="575"/>
        <v>0</v>
      </c>
      <c r="BF493" s="771">
        <f t="shared" ca="1" si="576"/>
        <v>4.2795264221773009E-2</v>
      </c>
      <c r="BG493" s="771">
        <f t="shared" ca="1" si="577"/>
        <v>0</v>
      </c>
      <c r="BH493" s="771">
        <f t="shared" ca="1" si="578"/>
        <v>0</v>
      </c>
      <c r="BI493" s="776">
        <f t="shared" ca="1" si="579"/>
        <v>0</v>
      </c>
      <c r="BJ493" s="776">
        <f t="shared" ca="1" si="580"/>
        <v>1.3333333333333334E-2</v>
      </c>
      <c r="BK493" s="776">
        <f t="shared" ca="1" si="581"/>
        <v>0</v>
      </c>
      <c r="BL493" s="776">
        <f t="shared" ca="1" si="582"/>
        <v>0</v>
      </c>
      <c r="BM493" s="135"/>
      <c r="BN493" s="776">
        <f t="shared" ca="1" si="583"/>
        <v>4.4795264221773011E-2</v>
      </c>
      <c r="BO493" s="778">
        <f t="shared" ca="1" si="520"/>
        <v>31.572220288722395</v>
      </c>
      <c r="BP493" s="770">
        <f t="shared" ca="1" si="521"/>
        <v>4.2795264221773009E-2</v>
      </c>
      <c r="BQ493" s="771">
        <f t="shared" ca="1" si="522"/>
        <v>0</v>
      </c>
      <c r="BR493" s="771">
        <f t="shared" ca="1" si="523"/>
        <v>0</v>
      </c>
      <c r="BS493" s="776">
        <f t="shared" ca="1" si="584"/>
        <v>4.4795264221773011E-2</v>
      </c>
      <c r="BT493" s="776">
        <f t="shared" ca="1" si="524"/>
        <v>4.2795264221773009E-2</v>
      </c>
      <c r="BU493" s="783">
        <f t="shared" ca="1" si="525"/>
        <v>30.162597158365838</v>
      </c>
      <c r="BV493" s="783">
        <f t="shared" ca="1" si="526"/>
        <v>30.162597158365838</v>
      </c>
      <c r="BW493" s="1019">
        <f t="shared" ca="1" si="585"/>
        <v>30.162597158365838</v>
      </c>
      <c r="BX493" s="771" cm="1">
        <f t="array" aca="1" ref="BX493" ca="1">INDIRECT("'Definition of Typical Day'!"&amp; ADDRESS($D493+29*(BX$16-1),$E493))</f>
        <v>65</v>
      </c>
      <c r="BY493" s="771">
        <f t="shared" ca="1" si="586"/>
        <v>0</v>
      </c>
      <c r="BZ493" s="781">
        <f t="shared" ca="1" si="527"/>
        <v>0</v>
      </c>
      <c r="CA493" s="781">
        <f t="shared" ca="1" si="528"/>
        <v>0</v>
      </c>
      <c r="CB493" s="776">
        <f t="shared" ca="1" si="529"/>
        <v>9.2223231302339004E-2</v>
      </c>
      <c r="CC493" s="782">
        <f t="shared" si="530"/>
        <v>20</v>
      </c>
      <c r="CD493" s="782">
        <f t="shared" si="531"/>
        <v>17</v>
      </c>
      <c r="CE493" s="784" t="str" cm="1">
        <f t="array" aca="1" ref="CE493" ca="1">INDIRECT("'Definition of Typical Day'!"&amp;ADDRESS(CE$16,$E493))</f>
        <v>20</v>
      </c>
      <c r="CF493" s="232"/>
      <c r="CG493" s="232"/>
      <c r="CH493" s="776">
        <f t="shared" ca="1" si="532"/>
        <v>1E-3</v>
      </c>
      <c r="CI493" s="806">
        <f t="shared" ca="1" si="533"/>
        <v>100</v>
      </c>
      <c r="CJ493" s="770">
        <f t="shared" ca="1" si="534"/>
        <v>0</v>
      </c>
      <c r="CK493" s="771">
        <f t="shared" ca="1" si="535"/>
        <v>0</v>
      </c>
      <c r="CL493" s="771">
        <f t="shared" ca="1" si="536"/>
        <v>0</v>
      </c>
      <c r="CM493" s="772">
        <f t="shared" ca="1" si="537"/>
        <v>0</v>
      </c>
      <c r="CN493" s="135"/>
      <c r="CO493" s="770">
        <f t="shared" ca="1" si="587"/>
        <v>1.05</v>
      </c>
      <c r="CP493" s="771">
        <f t="shared" ca="1" si="538"/>
        <v>0.98</v>
      </c>
      <c r="CQ493" s="771">
        <f t="shared" ca="1" si="539"/>
        <v>-2.5000000000000001E-2</v>
      </c>
      <c r="CR493" s="771">
        <f t="shared" ca="1" si="540"/>
        <v>0.95</v>
      </c>
      <c r="CS493" s="771">
        <f t="shared" ca="1" si="541"/>
        <v>0.03</v>
      </c>
      <c r="CT493" s="772">
        <f t="shared" ca="1" si="542"/>
        <v>0.02</v>
      </c>
      <c r="CU493" s="135"/>
      <c r="CV493" s="135"/>
      <c r="CW493" s="135"/>
      <c r="CX493" s="135"/>
      <c r="CY493" s="135"/>
      <c r="CZ493" s="135"/>
      <c r="DA493" s="135"/>
      <c r="DB493" s="135"/>
      <c r="DC493" s="135"/>
      <c r="DD493" s="135"/>
      <c r="DE493" s="135"/>
      <c r="DF493" s="135"/>
      <c r="DG493" s="135"/>
      <c r="DH493" s="135"/>
      <c r="DI493" s="135"/>
      <c r="DJ493" s="135"/>
      <c r="DK493" s="135"/>
      <c r="DL493" s="135"/>
      <c r="DX493" s="135"/>
      <c r="DY493" s="135"/>
      <c r="DZ493" s="135"/>
      <c r="EA493" s="135"/>
      <c r="EB493" s="135"/>
      <c r="EC493" s="135"/>
      <c r="ED493" s="135"/>
      <c r="EE493" s="135"/>
      <c r="EF493" s="135"/>
      <c r="EG493" s="135"/>
      <c r="EH493" s="135"/>
      <c r="EI493" s="135"/>
      <c r="EJ493" s="135"/>
      <c r="EK493" s="135"/>
      <c r="EL493" s="135"/>
      <c r="EM493" s="135"/>
      <c r="EN493" s="135"/>
      <c r="EO493" s="135"/>
      <c r="EP493" s="135"/>
      <c r="EQ493" s="135"/>
      <c r="ER493" s="135"/>
      <c r="ES493" s="135"/>
      <c r="ET493" s="135"/>
      <c r="EU493" s="135"/>
      <c r="EV493" s="135"/>
      <c r="EW493" s="135"/>
      <c r="EX493" s="135"/>
      <c r="EY493" s="135"/>
      <c r="EZ493" s="135"/>
      <c r="FA493" s="135"/>
      <c r="FB493" s="135"/>
      <c r="FC493" s="135"/>
      <c r="FD493" s="135"/>
      <c r="FE493" s="135"/>
      <c r="FF493" s="135"/>
      <c r="FG493" s="135"/>
    </row>
    <row r="494" spans="1:163" s="57" customFormat="1" ht="11.25" outlineLevel="1">
      <c r="A494" s="765">
        <f t="shared" ref="A494:A500" si="588">A470+1</f>
        <v>20</v>
      </c>
      <c r="B494" s="715" t="str" cm="1">
        <f t="array" aca="1" ref="B494" ca="1">INDIRECT("'Definition of Typical Day'!"&amp;ADDRESS(B$16,$E494))</f>
        <v>20</v>
      </c>
      <c r="C494" s="766">
        <f t="shared" ref="C494:D500" si="589">C470</f>
        <v>18</v>
      </c>
      <c r="D494" s="715">
        <f t="shared" si="589"/>
        <v>52</v>
      </c>
      <c r="E494" s="715">
        <f t="shared" si="517"/>
        <v>24</v>
      </c>
      <c r="F494" s="767" cm="1">
        <f t="array" aca="1" ref="F494" ca="1">INDIRECT("'Definition of Typical Day'!D"&amp;D494)</f>
        <v>18</v>
      </c>
      <c r="G494" s="767" cm="1">
        <f t="array" aca="1" ref="G494" ca="1">INDIRECT("'Definition of Typical Day'!"&amp;ADDRESS(13,E494))</f>
        <v>20</v>
      </c>
      <c r="H494" s="768" cm="1">
        <f t="array" aca="1" ref="H494" ca="1">INDIRECT("'Definition of Typical Day'!"&amp; ADDRESS($D494+28*(H$16-1),$E494))</f>
        <v>1E-3</v>
      </c>
      <c r="I494" s="715" cm="1">
        <f t="array" aca="1" ref="I494" ca="1">INDIRECT("'Definition of Typical Day'!"&amp; ADDRESS($D494+29*(I$16-1),$E494))</f>
        <v>30</v>
      </c>
      <c r="J494" s="715">
        <f t="shared" ca="1" si="543"/>
        <v>27</v>
      </c>
      <c r="K494" s="785">
        <f t="shared" si="544"/>
        <v>28</v>
      </c>
      <c r="L494" s="786" cm="1">
        <f t="array" aca="1" ref="L494" ca="1">INDIRECT("'Definition of Typical Day'!"&amp; ADDRESS($D494+29*(L$16-1),$E494))</f>
        <v>100</v>
      </c>
      <c r="M494" s="768" cm="1">
        <f t="array" aca="1" ref="M494" ca="1">INDIRECT("'Definition of Typical Day'!"&amp; ADDRESS($D494+29*(M$16-1),$E494))</f>
        <v>78.3333333333333</v>
      </c>
      <c r="N494" s="715">
        <f t="shared" si="545"/>
        <v>3</v>
      </c>
      <c r="O494" s="715">
        <f t="shared" ca="1" si="546"/>
        <v>81.3333333333333</v>
      </c>
      <c r="P494" s="715" cm="1">
        <f t="array" aca="1" ref="P494" ca="1">INDIRECT("'Definition of Typical Day'!"&amp; ADDRESS($D494+29*(P$16-1),$E494))</f>
        <v>45</v>
      </c>
      <c r="Q494" s="787">
        <f t="shared" ca="1" si="547"/>
        <v>48</v>
      </c>
      <c r="R494" s="792">
        <f t="shared" ca="1" si="548"/>
        <v>81.3333333333333</v>
      </c>
      <c r="S494" s="769">
        <f t="shared" si="549"/>
        <v>3</v>
      </c>
      <c r="T494" s="769">
        <f t="shared" ca="1" si="550"/>
        <v>0.04</v>
      </c>
      <c r="U494" s="769">
        <f t="shared" ca="1" si="551"/>
        <v>0.22533333333333419</v>
      </c>
      <c r="V494" s="769">
        <f t="shared" ca="1" si="552"/>
        <v>0</v>
      </c>
      <c r="W494" s="769">
        <f t="shared" ca="1" si="553"/>
        <v>3.2653333333333343</v>
      </c>
      <c r="X494" s="794">
        <f t="shared" si="554"/>
        <v>3</v>
      </c>
      <c r="Y494" s="769">
        <f t="shared" ca="1" si="555"/>
        <v>3</v>
      </c>
      <c r="Z494" s="769">
        <f t="shared" ca="1" si="556"/>
        <v>1.4414361389052384E-3</v>
      </c>
      <c r="AA494" s="795">
        <f t="shared" ca="1" si="557"/>
        <v>1.4414361389052384E-3</v>
      </c>
      <c r="AB494" s="769">
        <f t="shared" ca="1" si="558"/>
        <v>0</v>
      </c>
      <c r="AC494" s="769">
        <f t="shared" ca="1" si="559"/>
        <v>0</v>
      </c>
      <c r="AD494" s="769">
        <f t="shared" ca="1" si="560"/>
        <v>0</v>
      </c>
      <c r="AE494" s="794">
        <f t="shared" ca="1" si="561"/>
        <v>1.4414361389052384E-3</v>
      </c>
      <c r="AF494" s="769">
        <f t="shared" ca="1" si="562"/>
        <v>1.4414361389052384E-5</v>
      </c>
      <c r="AG494" s="769">
        <f t="shared" ca="1" si="563"/>
        <v>1.4270217775161861E-3</v>
      </c>
      <c r="AH494" s="799">
        <f t="shared" ca="1" si="564"/>
        <v>1.4270217775161861E-3</v>
      </c>
      <c r="AI494" s="801">
        <f t="shared" ca="1" si="565"/>
        <v>1</v>
      </c>
      <c r="AJ494" s="794">
        <f t="shared" ca="1" si="566"/>
        <v>1.0000000000000002E-3</v>
      </c>
      <c r="AK494" s="769">
        <f t="shared" ca="1" si="567"/>
        <v>4.4143613890523824E-4</v>
      </c>
      <c r="AL494" s="769">
        <f t="shared" ca="1" si="568"/>
        <v>0</v>
      </c>
      <c r="AM494" s="804">
        <f t="shared" ca="1" si="518"/>
        <v>0</v>
      </c>
      <c r="AN494" s="795">
        <f t="shared" ca="1" si="519"/>
        <v>1.3333333333333334E-4</v>
      </c>
      <c r="AO494" s="251"/>
      <c r="AP494" s="770">
        <f t="shared" si="569"/>
        <v>0</v>
      </c>
      <c r="AQ494" s="771">
        <f t="shared" ca="1" si="570"/>
        <v>0</v>
      </c>
      <c r="AR494" s="771">
        <f t="shared" ca="1" si="571"/>
        <v>2.0000000000000005E-3</v>
      </c>
      <c r="AS494" s="772">
        <f t="shared" ca="1" si="572"/>
        <v>2.0000000000000005E-3</v>
      </c>
      <c r="AT494" s="231"/>
      <c r="AU494" s="770">
        <f>'Main Results - IRR DC Operator'!$F$16</f>
        <v>2</v>
      </c>
      <c r="AV494" s="773">
        <f>'Main Results - IRR DC Operator'!$F$15</f>
        <v>1</v>
      </c>
      <c r="AW494" s="771">
        <f t="shared" ca="1" si="573"/>
        <v>2E-3</v>
      </c>
      <c r="AX494" s="772">
        <f t="shared" si="574"/>
        <v>0</v>
      </c>
      <c r="AY494" s="231"/>
      <c r="AZ494" s="770" cm="1">
        <f t="array" aca="1" ref="AZ494" ca="1">INDIRECT("'Definition of Typical Day'!"&amp; ADDRESS($D494+29*(AZ$16-1),$E494))+$AZ$17</f>
        <v>105.93</v>
      </c>
      <c r="BA494" s="771" cm="1">
        <f t="array" aca="1" ref="BA494" ca="1">INDIRECT("'Definition of Typical Day'!"&amp; ADDRESS($D494+29*(BA$16-1),$E494))+$BA$17</f>
        <v>105.93</v>
      </c>
      <c r="BB494" s="772" cm="1">
        <f t="array" aca="1" ref="BB494" ca="1">INDIRECT("'Definition of Typical Day'!"&amp;ADDRESS(BB$16,$E494))</f>
        <v>0</v>
      </c>
      <c r="BC494" s="776" cm="1">
        <f t="array" aca="1" ref="BC494" ca="1">INDIRECT("'Definition of Typical Day'!"&amp; ADDRESS($D494+29*(BC$16-1),$E494))</f>
        <v>100</v>
      </c>
      <c r="BD494" s="777" cm="1">
        <f t="array" aca="1" ref="BD494" ca="1">INDIRECT("'Definition of Typical Day'!"&amp; ADDRESS($D494+29*(BD$16-1),$E494))</f>
        <v>1</v>
      </c>
      <c r="BE494" s="776">
        <f t="shared" si="575"/>
        <v>0</v>
      </c>
      <c r="BF494" s="771">
        <f t="shared" ca="1" si="576"/>
        <v>4.6761330194231891E-2</v>
      </c>
      <c r="BG494" s="771">
        <f t="shared" ca="1" si="577"/>
        <v>0</v>
      </c>
      <c r="BH494" s="771">
        <f t="shared" ca="1" si="578"/>
        <v>0</v>
      </c>
      <c r="BI494" s="776">
        <f t="shared" ca="1" si="579"/>
        <v>0</v>
      </c>
      <c r="BJ494" s="776">
        <f t="shared" ca="1" si="580"/>
        <v>1.3333333333333334E-2</v>
      </c>
      <c r="BK494" s="776">
        <f t="shared" ca="1" si="581"/>
        <v>0</v>
      </c>
      <c r="BL494" s="776">
        <f t="shared" ca="1" si="582"/>
        <v>0</v>
      </c>
      <c r="BM494" s="135"/>
      <c r="BN494" s="776">
        <f t="shared" ca="1" si="583"/>
        <v>4.8761330194231893E-2</v>
      </c>
      <c r="BO494" s="778">
        <f t="shared" ca="1" si="520"/>
        <v>34.169997236555005</v>
      </c>
      <c r="BP494" s="770">
        <f t="shared" ca="1" si="521"/>
        <v>4.6761330194231891E-2</v>
      </c>
      <c r="BQ494" s="771">
        <f t="shared" ca="1" si="522"/>
        <v>0</v>
      </c>
      <c r="BR494" s="771">
        <f t="shared" ca="1" si="523"/>
        <v>0</v>
      </c>
      <c r="BS494" s="776">
        <f t="shared" ca="1" si="584"/>
        <v>4.8761330194231893E-2</v>
      </c>
      <c r="BT494" s="776">
        <f t="shared" ca="1" si="524"/>
        <v>4.6761330194231891E-2</v>
      </c>
      <c r="BU494" s="783">
        <f t="shared" ca="1" si="525"/>
        <v>32.768476929358911</v>
      </c>
      <c r="BV494" s="783">
        <f t="shared" ca="1" si="526"/>
        <v>32.768476929358911</v>
      </c>
      <c r="BW494" s="1019">
        <f t="shared" ca="1" si="585"/>
        <v>32.768476929358911</v>
      </c>
      <c r="BX494" s="771" cm="1">
        <f t="array" aca="1" ref="BX494" ca="1">INDIRECT("'Definition of Typical Day'!"&amp; ADDRESS($D494+29*(BX$16-1),$E494))</f>
        <v>65</v>
      </c>
      <c r="BY494" s="771">
        <f t="shared" ca="1" si="586"/>
        <v>0</v>
      </c>
      <c r="BZ494" s="781">
        <f t="shared" ca="1" si="527"/>
        <v>0</v>
      </c>
      <c r="CA494" s="781">
        <f t="shared" ca="1" si="528"/>
        <v>0</v>
      </c>
      <c r="CB494" s="776">
        <f t="shared" ca="1" si="529"/>
        <v>9.2756415538552101E-2</v>
      </c>
      <c r="CC494" s="782">
        <f t="shared" si="530"/>
        <v>20</v>
      </c>
      <c r="CD494" s="782">
        <f t="shared" si="531"/>
        <v>18</v>
      </c>
      <c r="CE494" s="784" t="str" cm="1">
        <f t="array" aca="1" ref="CE494" ca="1">INDIRECT("'Definition of Typical Day'!"&amp;ADDRESS(CE$16,$E494))</f>
        <v>20</v>
      </c>
      <c r="CF494" s="232"/>
      <c r="CG494" s="232"/>
      <c r="CH494" s="776">
        <f t="shared" ca="1" si="532"/>
        <v>1E-3</v>
      </c>
      <c r="CI494" s="806">
        <f t="shared" ca="1" si="533"/>
        <v>100</v>
      </c>
      <c r="CJ494" s="770">
        <f t="shared" ca="1" si="534"/>
        <v>0</v>
      </c>
      <c r="CK494" s="771">
        <f t="shared" ca="1" si="535"/>
        <v>0</v>
      </c>
      <c r="CL494" s="771">
        <f t="shared" ca="1" si="536"/>
        <v>0</v>
      </c>
      <c r="CM494" s="772">
        <f t="shared" ca="1" si="537"/>
        <v>0</v>
      </c>
      <c r="CN494" s="135"/>
      <c r="CO494" s="770">
        <f t="shared" ca="1" si="587"/>
        <v>1.05</v>
      </c>
      <c r="CP494" s="771">
        <f t="shared" ca="1" si="538"/>
        <v>0.98</v>
      </c>
      <c r="CQ494" s="771">
        <f t="shared" ca="1" si="539"/>
        <v>-2.5000000000000001E-2</v>
      </c>
      <c r="CR494" s="771">
        <f t="shared" ca="1" si="540"/>
        <v>0.95</v>
      </c>
      <c r="CS494" s="771">
        <f t="shared" ca="1" si="541"/>
        <v>0.03</v>
      </c>
      <c r="CT494" s="772">
        <f t="shared" ca="1" si="542"/>
        <v>0.02</v>
      </c>
      <c r="CU494" s="135"/>
      <c r="CV494" s="135"/>
      <c r="CW494" s="135"/>
      <c r="CX494" s="135"/>
      <c r="CY494" s="135"/>
      <c r="CZ494" s="135"/>
      <c r="DA494" s="135"/>
      <c r="DB494" s="135"/>
      <c r="DC494" s="135"/>
      <c r="DD494" s="135"/>
      <c r="DE494" s="135"/>
      <c r="DF494" s="135"/>
      <c r="DG494" s="135"/>
      <c r="DH494" s="135"/>
      <c r="DI494" s="135"/>
      <c r="DJ494" s="135"/>
      <c r="DK494" s="135"/>
      <c r="DL494" s="135"/>
      <c r="DX494" s="135"/>
      <c r="DY494" s="135"/>
      <c r="DZ494" s="135"/>
      <c r="EA494" s="135"/>
      <c r="EB494" s="135"/>
      <c r="EC494" s="135"/>
      <c r="ED494" s="135"/>
      <c r="EE494" s="135"/>
      <c r="EF494" s="135"/>
      <c r="EG494" s="135"/>
      <c r="EH494" s="135"/>
      <c r="EI494" s="135"/>
      <c r="EJ494" s="135"/>
      <c r="EK494" s="135"/>
      <c r="EL494" s="135"/>
      <c r="EM494" s="135"/>
      <c r="EN494" s="135"/>
      <c r="EO494" s="135"/>
      <c r="EP494" s="135"/>
      <c r="EQ494" s="135"/>
      <c r="ER494" s="135"/>
      <c r="ES494" s="135"/>
      <c r="ET494" s="135"/>
      <c r="EU494" s="135"/>
      <c r="EV494" s="135"/>
      <c r="EW494" s="135"/>
      <c r="EX494" s="135"/>
      <c r="EY494" s="135"/>
      <c r="EZ494" s="135"/>
      <c r="FA494" s="135"/>
      <c r="FB494" s="135"/>
      <c r="FC494" s="135"/>
      <c r="FD494" s="135"/>
      <c r="FE494" s="135"/>
      <c r="FF494" s="135"/>
      <c r="FG494" s="135"/>
    </row>
    <row r="495" spans="1:163" s="57" customFormat="1" ht="11.25" outlineLevel="1">
      <c r="A495" s="765">
        <f t="shared" si="588"/>
        <v>20</v>
      </c>
      <c r="B495" s="715" t="str" cm="1">
        <f t="array" aca="1" ref="B495" ca="1">INDIRECT("'Definition of Typical Day'!"&amp;ADDRESS(B$16,$E495))</f>
        <v>20</v>
      </c>
      <c r="C495" s="766">
        <f t="shared" si="589"/>
        <v>19</v>
      </c>
      <c r="D495" s="715">
        <f t="shared" si="589"/>
        <v>53</v>
      </c>
      <c r="E495" s="715">
        <f t="shared" si="517"/>
        <v>24</v>
      </c>
      <c r="F495" s="767" cm="1">
        <f t="array" aca="1" ref="F495" ca="1">INDIRECT("'Definition of Typical Day'!D"&amp;D495)</f>
        <v>19</v>
      </c>
      <c r="G495" s="767" cm="1">
        <f t="array" aca="1" ref="G495" ca="1">INDIRECT("'Definition of Typical Day'!"&amp;ADDRESS(13,E495))</f>
        <v>20</v>
      </c>
      <c r="H495" s="768" cm="1">
        <f t="array" aca="1" ref="H495" ca="1">INDIRECT("'Definition of Typical Day'!"&amp; ADDRESS($D495+28*(H$16-1),$E495))</f>
        <v>1E-3</v>
      </c>
      <c r="I495" s="715" cm="1">
        <f t="array" aca="1" ref="I495" ca="1">INDIRECT("'Definition of Typical Day'!"&amp; ADDRESS($D495+29*(I$16-1),$E495))</f>
        <v>30</v>
      </c>
      <c r="J495" s="715">
        <f t="shared" ca="1" si="543"/>
        <v>27</v>
      </c>
      <c r="K495" s="785">
        <f t="shared" si="544"/>
        <v>28</v>
      </c>
      <c r="L495" s="786" cm="1">
        <f t="array" aca="1" ref="L495" ca="1">INDIRECT("'Definition of Typical Day'!"&amp; ADDRESS($D495+29*(L$16-1),$E495))</f>
        <v>100</v>
      </c>
      <c r="M495" s="768" cm="1">
        <f t="array" aca="1" ref="M495" ca="1">INDIRECT("'Definition of Typical Day'!"&amp; ADDRESS($D495+29*(M$16-1),$E495))</f>
        <v>80</v>
      </c>
      <c r="N495" s="715">
        <f t="shared" si="545"/>
        <v>3</v>
      </c>
      <c r="O495" s="715">
        <f t="shared" ca="1" si="546"/>
        <v>83</v>
      </c>
      <c r="P495" s="715" cm="1">
        <f t="array" aca="1" ref="P495" ca="1">INDIRECT("'Definition of Typical Day'!"&amp; ADDRESS($D495+29*(P$16-1),$E495))</f>
        <v>45</v>
      </c>
      <c r="Q495" s="787">
        <f t="shared" ca="1" si="547"/>
        <v>48</v>
      </c>
      <c r="R495" s="792">
        <f t="shared" ca="1" si="548"/>
        <v>83</v>
      </c>
      <c r="S495" s="769">
        <f t="shared" si="549"/>
        <v>3</v>
      </c>
      <c r="T495" s="769">
        <f t="shared" ca="1" si="550"/>
        <v>0.04</v>
      </c>
      <c r="U495" s="769">
        <f t="shared" ca="1" si="551"/>
        <v>0.182</v>
      </c>
      <c r="V495" s="769">
        <f t="shared" ca="1" si="552"/>
        <v>0</v>
      </c>
      <c r="W495" s="769">
        <f t="shared" ca="1" si="553"/>
        <v>3.222</v>
      </c>
      <c r="X495" s="794">
        <f t="shared" si="554"/>
        <v>3</v>
      </c>
      <c r="Y495" s="769">
        <f t="shared" ca="1" si="555"/>
        <v>3</v>
      </c>
      <c r="Z495" s="769">
        <f t="shared" ca="1" si="556"/>
        <v>1.45004500450045E-3</v>
      </c>
      <c r="AA495" s="795">
        <f t="shared" ca="1" si="557"/>
        <v>1.45004500450045E-3</v>
      </c>
      <c r="AB495" s="769">
        <f t="shared" ca="1" si="558"/>
        <v>0</v>
      </c>
      <c r="AC495" s="769">
        <f t="shared" ca="1" si="559"/>
        <v>0</v>
      </c>
      <c r="AD495" s="769">
        <f t="shared" ca="1" si="560"/>
        <v>0</v>
      </c>
      <c r="AE495" s="794">
        <f t="shared" ca="1" si="561"/>
        <v>1.45004500450045E-3</v>
      </c>
      <c r="AF495" s="769">
        <f t="shared" ca="1" si="562"/>
        <v>1.45004500450045E-5</v>
      </c>
      <c r="AG495" s="769">
        <f t="shared" ca="1" si="563"/>
        <v>1.4355445544554455E-3</v>
      </c>
      <c r="AH495" s="799">
        <f t="shared" ca="1" si="564"/>
        <v>1.4355445544554455E-3</v>
      </c>
      <c r="AI495" s="801">
        <f t="shared" ca="1" si="565"/>
        <v>1</v>
      </c>
      <c r="AJ495" s="794">
        <f t="shared" ca="1" si="566"/>
        <v>1E-3</v>
      </c>
      <c r="AK495" s="769">
        <f t="shared" ca="1" si="567"/>
        <v>4.5004500450045003E-4</v>
      </c>
      <c r="AL495" s="769">
        <f t="shared" ca="1" si="568"/>
        <v>0</v>
      </c>
      <c r="AM495" s="804">
        <f t="shared" ca="1" si="518"/>
        <v>0</v>
      </c>
      <c r="AN495" s="795">
        <f t="shared" ca="1" si="519"/>
        <v>1.3333333333333334E-4</v>
      </c>
      <c r="AO495" s="251"/>
      <c r="AP495" s="770">
        <f t="shared" si="569"/>
        <v>0</v>
      </c>
      <c r="AQ495" s="771">
        <f t="shared" ca="1" si="570"/>
        <v>0</v>
      </c>
      <c r="AR495" s="771">
        <f t="shared" ca="1" si="571"/>
        <v>2E-3</v>
      </c>
      <c r="AS495" s="772">
        <f t="shared" ca="1" si="572"/>
        <v>2E-3</v>
      </c>
      <c r="AT495" s="231"/>
      <c r="AU495" s="770">
        <f>'Main Results - IRR DC Operator'!$F$16</f>
        <v>2</v>
      </c>
      <c r="AV495" s="773">
        <f>'Main Results - IRR DC Operator'!$F$15</f>
        <v>1</v>
      </c>
      <c r="AW495" s="771">
        <f t="shared" ca="1" si="573"/>
        <v>2E-3</v>
      </c>
      <c r="AX495" s="772">
        <f t="shared" si="574"/>
        <v>0</v>
      </c>
      <c r="AY495" s="231"/>
      <c r="AZ495" s="770" cm="1">
        <f t="array" aca="1" ref="AZ495" ca="1">INDIRECT("'Definition of Typical Day'!"&amp; ADDRESS($D495+29*(AZ$16-1),$E495))+$AZ$17</f>
        <v>110.87</v>
      </c>
      <c r="BA495" s="771" cm="1">
        <f t="array" aca="1" ref="BA495" ca="1">INDIRECT("'Definition of Typical Day'!"&amp; ADDRESS($D495+29*(BA$16-1),$E495))+$BA$17</f>
        <v>110.87</v>
      </c>
      <c r="BB495" s="772" cm="1">
        <f t="array" aca="1" ref="BB495" ca="1">INDIRECT("'Definition of Typical Day'!"&amp;ADDRESS(BB$16,$E495))</f>
        <v>0</v>
      </c>
      <c r="BC495" s="776" cm="1">
        <f t="array" aca="1" ref="BC495" ca="1">INDIRECT("'Definition of Typical Day'!"&amp; ADDRESS($D495+29*(BC$16-1),$E495))</f>
        <v>100</v>
      </c>
      <c r="BD495" s="777" cm="1">
        <f t="array" aca="1" ref="BD495" ca="1">INDIRECT("'Definition of Typical Day'!"&amp; ADDRESS($D495+29*(BD$16-1),$E495))</f>
        <v>1</v>
      </c>
      <c r="BE495" s="776">
        <f t="shared" si="575"/>
        <v>0</v>
      </c>
      <c r="BF495" s="771">
        <f t="shared" ca="1" si="576"/>
        <v>4.9896489648964898E-2</v>
      </c>
      <c r="BG495" s="771">
        <f t="shared" ca="1" si="577"/>
        <v>0</v>
      </c>
      <c r="BH495" s="771">
        <f t="shared" ca="1" si="578"/>
        <v>0</v>
      </c>
      <c r="BI495" s="776">
        <f t="shared" ca="1" si="579"/>
        <v>0</v>
      </c>
      <c r="BJ495" s="776">
        <f t="shared" ca="1" si="580"/>
        <v>1.3333333333333334E-2</v>
      </c>
      <c r="BK495" s="776">
        <f t="shared" ca="1" si="581"/>
        <v>0</v>
      </c>
      <c r="BL495" s="776">
        <f t="shared" ca="1" si="582"/>
        <v>0</v>
      </c>
      <c r="BM495" s="135"/>
      <c r="BN495" s="776">
        <f t="shared" ca="1" si="583"/>
        <v>5.18964896489649E-2</v>
      </c>
      <c r="BO495" s="778">
        <f t="shared" ca="1" si="520"/>
        <v>36.151082519797605</v>
      </c>
      <c r="BP495" s="770">
        <f t="shared" ca="1" si="521"/>
        <v>4.9896489648964898E-2</v>
      </c>
      <c r="BQ495" s="771">
        <f t="shared" ca="1" si="522"/>
        <v>0</v>
      </c>
      <c r="BR495" s="771">
        <f t="shared" ca="1" si="523"/>
        <v>0</v>
      </c>
      <c r="BS495" s="776">
        <f t="shared" ca="1" si="584"/>
        <v>5.18964896489649E-2</v>
      </c>
      <c r="BT495" s="776">
        <f t="shared" ca="1" si="524"/>
        <v>4.9896489648964898E-2</v>
      </c>
      <c r="BU495" s="783">
        <f t="shared" ca="1" si="525"/>
        <v>34.757882988795465</v>
      </c>
      <c r="BV495" s="783">
        <f t="shared" ca="1" si="526"/>
        <v>34.757882988795465</v>
      </c>
      <c r="BW495" s="1019">
        <f t="shared" ca="1" si="585"/>
        <v>34.757882988795465</v>
      </c>
      <c r="BX495" s="771" cm="1">
        <f t="array" aca="1" ref="BX495" ca="1">INDIRECT("'Definition of Typical Day'!"&amp; ADDRESS($D495+29*(BX$16-1),$E495))</f>
        <v>65</v>
      </c>
      <c r="BY495" s="771">
        <f t="shared" ca="1" si="586"/>
        <v>0</v>
      </c>
      <c r="BZ495" s="781">
        <f t="shared" ca="1" si="527"/>
        <v>0</v>
      </c>
      <c r="CA495" s="781">
        <f t="shared" ca="1" si="528"/>
        <v>0</v>
      </c>
      <c r="CB495" s="776">
        <f t="shared" ca="1" si="529"/>
        <v>9.3310396039603963E-2</v>
      </c>
      <c r="CC495" s="782">
        <f t="shared" si="530"/>
        <v>20</v>
      </c>
      <c r="CD495" s="782">
        <f t="shared" si="531"/>
        <v>19</v>
      </c>
      <c r="CE495" s="784" t="str" cm="1">
        <f t="array" aca="1" ref="CE495" ca="1">INDIRECT("'Definition of Typical Day'!"&amp;ADDRESS(CE$16,$E495))</f>
        <v>20</v>
      </c>
      <c r="CF495" s="232"/>
      <c r="CG495" s="232"/>
      <c r="CH495" s="776">
        <f t="shared" ca="1" si="532"/>
        <v>1E-3</v>
      </c>
      <c r="CI495" s="806">
        <f t="shared" ca="1" si="533"/>
        <v>100</v>
      </c>
      <c r="CJ495" s="770">
        <f t="shared" ca="1" si="534"/>
        <v>0</v>
      </c>
      <c r="CK495" s="771">
        <f t="shared" ca="1" si="535"/>
        <v>0</v>
      </c>
      <c r="CL495" s="771">
        <f t="shared" ca="1" si="536"/>
        <v>0</v>
      </c>
      <c r="CM495" s="772">
        <f t="shared" ca="1" si="537"/>
        <v>0</v>
      </c>
      <c r="CN495" s="135"/>
      <c r="CO495" s="770">
        <f t="shared" ca="1" si="587"/>
        <v>1.05</v>
      </c>
      <c r="CP495" s="771">
        <f t="shared" ca="1" si="538"/>
        <v>0.98</v>
      </c>
      <c r="CQ495" s="771">
        <f t="shared" ca="1" si="539"/>
        <v>-2.5000000000000001E-2</v>
      </c>
      <c r="CR495" s="771">
        <f t="shared" ca="1" si="540"/>
        <v>0.95</v>
      </c>
      <c r="CS495" s="771">
        <f t="shared" ca="1" si="541"/>
        <v>0.03</v>
      </c>
      <c r="CT495" s="772">
        <f t="shared" ca="1" si="542"/>
        <v>0.02</v>
      </c>
      <c r="CU495" s="135"/>
      <c r="CV495" s="135"/>
      <c r="CW495" s="135"/>
      <c r="CX495" s="135"/>
      <c r="CY495" s="135"/>
      <c r="CZ495" s="135"/>
      <c r="DA495" s="135"/>
      <c r="DB495" s="135"/>
      <c r="DC495" s="135"/>
      <c r="DD495" s="135"/>
      <c r="DE495" s="135"/>
      <c r="DF495" s="135"/>
      <c r="DG495" s="135"/>
      <c r="DH495" s="135"/>
      <c r="DI495" s="135"/>
      <c r="DJ495" s="135"/>
      <c r="DK495" s="135"/>
      <c r="DL495" s="135"/>
      <c r="DX495" s="135"/>
      <c r="DY495" s="135"/>
      <c r="DZ495" s="135"/>
      <c r="EA495" s="135"/>
      <c r="EB495" s="135"/>
      <c r="EC495" s="135"/>
      <c r="ED495" s="135"/>
      <c r="EE495" s="135"/>
      <c r="EF495" s="135"/>
      <c r="EG495" s="135"/>
      <c r="EH495" s="135"/>
      <c r="EI495" s="135"/>
      <c r="EJ495" s="135"/>
      <c r="EK495" s="135"/>
      <c r="EL495" s="135"/>
      <c r="EM495" s="135"/>
      <c r="EN495" s="135"/>
      <c r="EO495" s="135"/>
      <c r="EP495" s="135"/>
      <c r="EQ495" s="135"/>
      <c r="ER495" s="135"/>
      <c r="ES495" s="135"/>
      <c r="ET495" s="135"/>
      <c r="EU495" s="135"/>
      <c r="EV495" s="135"/>
      <c r="EW495" s="135"/>
      <c r="EX495" s="135"/>
      <c r="EY495" s="135"/>
      <c r="EZ495" s="135"/>
      <c r="FA495" s="135"/>
      <c r="FB495" s="135"/>
      <c r="FC495" s="135"/>
      <c r="FD495" s="135"/>
      <c r="FE495" s="135"/>
      <c r="FF495" s="135"/>
      <c r="FG495" s="135"/>
    </row>
    <row r="496" spans="1:163" s="57" customFormat="1" ht="11.25" outlineLevel="1">
      <c r="A496" s="765">
        <f t="shared" si="588"/>
        <v>20</v>
      </c>
      <c r="B496" s="715" t="str" cm="1">
        <f t="array" aca="1" ref="B496" ca="1">INDIRECT("'Definition of Typical Day'!"&amp;ADDRESS(B$16,$E496))</f>
        <v>20</v>
      </c>
      <c r="C496" s="766">
        <f t="shared" si="589"/>
        <v>20</v>
      </c>
      <c r="D496" s="715">
        <f t="shared" si="589"/>
        <v>54</v>
      </c>
      <c r="E496" s="715">
        <f t="shared" si="517"/>
        <v>24</v>
      </c>
      <c r="F496" s="767" cm="1">
        <f t="array" aca="1" ref="F496" ca="1">INDIRECT("'Definition of Typical Day'!D"&amp;D496)</f>
        <v>20</v>
      </c>
      <c r="G496" s="767" cm="1">
        <f t="array" aca="1" ref="G496" ca="1">INDIRECT("'Definition of Typical Day'!"&amp;ADDRESS(13,E496))</f>
        <v>20</v>
      </c>
      <c r="H496" s="768" cm="1">
        <f t="array" aca="1" ref="H496" ca="1">INDIRECT("'Definition of Typical Day'!"&amp; ADDRESS($D496+28*(H$16-1),$E496))</f>
        <v>1E-3</v>
      </c>
      <c r="I496" s="715" cm="1">
        <f t="array" aca="1" ref="I496" ca="1">INDIRECT("'Definition of Typical Day'!"&amp; ADDRESS($D496+29*(I$16-1),$E496))</f>
        <v>30</v>
      </c>
      <c r="J496" s="715">
        <f t="shared" ca="1" si="543"/>
        <v>27</v>
      </c>
      <c r="K496" s="785">
        <f t="shared" si="544"/>
        <v>28</v>
      </c>
      <c r="L496" s="786" cm="1">
        <f t="array" aca="1" ref="L496" ca="1">INDIRECT("'Definition of Typical Day'!"&amp; ADDRESS($D496+29*(L$16-1),$E496))</f>
        <v>100</v>
      </c>
      <c r="M496" s="768" cm="1">
        <f t="array" aca="1" ref="M496" ca="1">INDIRECT("'Definition of Typical Day'!"&amp; ADDRESS($D496+29*(M$16-1),$E496))</f>
        <v>81.666666666666643</v>
      </c>
      <c r="N496" s="715">
        <f t="shared" si="545"/>
        <v>3</v>
      </c>
      <c r="O496" s="715">
        <f t="shared" ca="1" si="546"/>
        <v>84.666666666666643</v>
      </c>
      <c r="P496" s="715" cm="1">
        <f t="array" aca="1" ref="P496" ca="1">INDIRECT("'Definition of Typical Day'!"&amp; ADDRESS($D496+29*(P$16-1),$E496))</f>
        <v>45</v>
      </c>
      <c r="Q496" s="787">
        <f t="shared" ca="1" si="547"/>
        <v>48</v>
      </c>
      <c r="R496" s="792">
        <f t="shared" ca="1" si="548"/>
        <v>84.666666666666643</v>
      </c>
      <c r="S496" s="769">
        <f t="shared" si="549"/>
        <v>3</v>
      </c>
      <c r="T496" s="769">
        <f t="shared" ca="1" si="550"/>
        <v>0.04</v>
      </c>
      <c r="U496" s="769">
        <f t="shared" ca="1" si="551"/>
        <v>0.13866666666666727</v>
      </c>
      <c r="V496" s="769">
        <f t="shared" ca="1" si="552"/>
        <v>0</v>
      </c>
      <c r="W496" s="769">
        <f t="shared" ca="1" si="553"/>
        <v>3.1786666666666674</v>
      </c>
      <c r="X496" s="794">
        <f t="shared" si="554"/>
        <v>3</v>
      </c>
      <c r="Y496" s="769">
        <f t="shared" ca="1" si="555"/>
        <v>3</v>
      </c>
      <c r="Z496" s="769">
        <f t="shared" ca="1" si="556"/>
        <v>1.4589963280293755E-3</v>
      </c>
      <c r="AA496" s="795">
        <f t="shared" ca="1" si="557"/>
        <v>1.4589963280293755E-3</v>
      </c>
      <c r="AB496" s="769">
        <f t="shared" ca="1" si="558"/>
        <v>0</v>
      </c>
      <c r="AC496" s="769">
        <f t="shared" ca="1" si="559"/>
        <v>0</v>
      </c>
      <c r="AD496" s="769">
        <f t="shared" ca="1" si="560"/>
        <v>0</v>
      </c>
      <c r="AE496" s="794">
        <f t="shared" ca="1" si="561"/>
        <v>1.4589963280293755E-3</v>
      </c>
      <c r="AF496" s="769">
        <f t="shared" ca="1" si="562"/>
        <v>1.4589963280293756E-5</v>
      </c>
      <c r="AG496" s="769">
        <f t="shared" ca="1" si="563"/>
        <v>1.4444063647490817E-3</v>
      </c>
      <c r="AH496" s="799">
        <f t="shared" ca="1" si="564"/>
        <v>1.4444063647490817E-3</v>
      </c>
      <c r="AI496" s="801">
        <f t="shared" ca="1" si="565"/>
        <v>1</v>
      </c>
      <c r="AJ496" s="794">
        <f t="shared" ca="1" si="566"/>
        <v>1E-3</v>
      </c>
      <c r="AK496" s="769">
        <f t="shared" ca="1" si="567"/>
        <v>4.5899632802937556E-4</v>
      </c>
      <c r="AL496" s="769">
        <f t="shared" ca="1" si="568"/>
        <v>0</v>
      </c>
      <c r="AM496" s="804">
        <f t="shared" ca="1" si="518"/>
        <v>0</v>
      </c>
      <c r="AN496" s="795">
        <f t="shared" ca="1" si="519"/>
        <v>1.3333333333333334E-4</v>
      </c>
      <c r="AO496" s="251"/>
      <c r="AP496" s="770">
        <f t="shared" si="569"/>
        <v>0</v>
      </c>
      <c r="AQ496" s="771">
        <f t="shared" ca="1" si="570"/>
        <v>0</v>
      </c>
      <c r="AR496" s="771">
        <f t="shared" ca="1" si="571"/>
        <v>2E-3</v>
      </c>
      <c r="AS496" s="772">
        <f t="shared" ca="1" si="572"/>
        <v>2E-3</v>
      </c>
      <c r="AT496" s="231"/>
      <c r="AU496" s="770">
        <f>'Main Results - IRR DC Operator'!$F$16</f>
        <v>2</v>
      </c>
      <c r="AV496" s="773">
        <f>'Main Results - IRR DC Operator'!$F$15</f>
        <v>1</v>
      </c>
      <c r="AW496" s="771">
        <f t="shared" ca="1" si="573"/>
        <v>2E-3</v>
      </c>
      <c r="AX496" s="772">
        <f t="shared" si="574"/>
        <v>0</v>
      </c>
      <c r="AY496" s="231"/>
      <c r="AZ496" s="770" cm="1">
        <f t="array" aca="1" ref="AZ496" ca="1">INDIRECT("'Definition of Typical Day'!"&amp; ADDRESS($D496+29*(AZ$16-1),$E496))+$AZ$17</f>
        <v>102.57</v>
      </c>
      <c r="BA496" s="771" cm="1">
        <f t="array" aca="1" ref="BA496" ca="1">INDIRECT("'Definition of Typical Day'!"&amp; ADDRESS($D496+29*(BA$16-1),$E496))+$BA$17</f>
        <v>102.57</v>
      </c>
      <c r="BB496" s="772" cm="1">
        <f t="array" aca="1" ref="BB496" ca="1">INDIRECT("'Definition of Typical Day'!"&amp;ADDRESS(BB$16,$E496))</f>
        <v>0</v>
      </c>
      <c r="BC496" s="776" cm="1">
        <f t="array" aca="1" ref="BC496" ca="1">INDIRECT("'Definition of Typical Day'!"&amp; ADDRESS($D496+29*(BC$16-1),$E496))</f>
        <v>100</v>
      </c>
      <c r="BD496" s="777" cm="1">
        <f t="array" aca="1" ref="BD496" ca="1">INDIRECT("'Definition of Typical Day'!"&amp; ADDRESS($D496+29*(BD$16-1),$E496))</f>
        <v>1</v>
      </c>
      <c r="BE496" s="776">
        <f t="shared" si="575"/>
        <v>0</v>
      </c>
      <c r="BF496" s="771">
        <f t="shared" ca="1" si="576"/>
        <v>4.7079253365973045E-2</v>
      </c>
      <c r="BG496" s="771">
        <f t="shared" ca="1" si="577"/>
        <v>0</v>
      </c>
      <c r="BH496" s="771">
        <f t="shared" ca="1" si="578"/>
        <v>0</v>
      </c>
      <c r="BI496" s="776">
        <f t="shared" ca="1" si="579"/>
        <v>0</v>
      </c>
      <c r="BJ496" s="776">
        <f t="shared" ca="1" si="580"/>
        <v>1.3333333333333334E-2</v>
      </c>
      <c r="BK496" s="776">
        <f t="shared" ca="1" si="581"/>
        <v>0</v>
      </c>
      <c r="BL496" s="776">
        <f t="shared" ca="1" si="582"/>
        <v>0</v>
      </c>
      <c r="BM496" s="135"/>
      <c r="BN496" s="776">
        <f t="shared" ca="1" si="583"/>
        <v>4.9079253365973047E-2</v>
      </c>
      <c r="BO496" s="778">
        <f t="shared" ca="1" si="520"/>
        <v>33.978840417598796</v>
      </c>
      <c r="BP496" s="770">
        <f t="shared" ca="1" si="521"/>
        <v>4.7079253365973045E-2</v>
      </c>
      <c r="BQ496" s="771">
        <f t="shared" ca="1" si="522"/>
        <v>0</v>
      </c>
      <c r="BR496" s="771">
        <f t="shared" ca="1" si="523"/>
        <v>0</v>
      </c>
      <c r="BS496" s="776">
        <f t="shared" ca="1" si="584"/>
        <v>4.9079253365973047E-2</v>
      </c>
      <c r="BT496" s="776">
        <f t="shared" ca="1" si="524"/>
        <v>4.7079253365973045E-2</v>
      </c>
      <c r="BU496" s="783">
        <f t="shared" ca="1" si="525"/>
        <v>32.5941885295912</v>
      </c>
      <c r="BV496" s="783">
        <f t="shared" ca="1" si="526"/>
        <v>32.5941885295912</v>
      </c>
      <c r="BW496" s="1019">
        <f t="shared" ca="1" si="585"/>
        <v>32.5941885295912</v>
      </c>
      <c r="BX496" s="771" cm="1">
        <f t="array" aca="1" ref="BX496" ca="1">INDIRECT("'Definition of Typical Day'!"&amp; ADDRESS($D496+29*(BX$16-1),$E496))</f>
        <v>65</v>
      </c>
      <c r="BY496" s="771">
        <f t="shared" ca="1" si="586"/>
        <v>0</v>
      </c>
      <c r="BZ496" s="781">
        <f t="shared" ca="1" si="527"/>
        <v>0</v>
      </c>
      <c r="CA496" s="781">
        <f t="shared" ca="1" si="528"/>
        <v>0</v>
      </c>
      <c r="CB496" s="776">
        <f t="shared" ca="1" si="529"/>
        <v>9.3886413708690317E-2</v>
      </c>
      <c r="CC496" s="782">
        <f t="shared" si="530"/>
        <v>20</v>
      </c>
      <c r="CD496" s="782">
        <f t="shared" si="531"/>
        <v>20</v>
      </c>
      <c r="CE496" s="784" t="str" cm="1">
        <f t="array" aca="1" ref="CE496" ca="1">INDIRECT("'Definition of Typical Day'!"&amp;ADDRESS(CE$16,$E496))</f>
        <v>20</v>
      </c>
      <c r="CF496" s="232"/>
      <c r="CG496" s="232"/>
      <c r="CH496" s="776">
        <f t="shared" ca="1" si="532"/>
        <v>1E-3</v>
      </c>
      <c r="CI496" s="806">
        <f t="shared" ca="1" si="533"/>
        <v>100</v>
      </c>
      <c r="CJ496" s="770">
        <f t="shared" ca="1" si="534"/>
        <v>0</v>
      </c>
      <c r="CK496" s="771">
        <f t="shared" ca="1" si="535"/>
        <v>0</v>
      </c>
      <c r="CL496" s="771">
        <f t="shared" ca="1" si="536"/>
        <v>0</v>
      </c>
      <c r="CM496" s="772">
        <f t="shared" ca="1" si="537"/>
        <v>0</v>
      </c>
      <c r="CN496" s="135"/>
      <c r="CO496" s="770">
        <f t="shared" ca="1" si="587"/>
        <v>1.05</v>
      </c>
      <c r="CP496" s="771">
        <f t="shared" ca="1" si="538"/>
        <v>0.98</v>
      </c>
      <c r="CQ496" s="771">
        <f t="shared" ca="1" si="539"/>
        <v>-2.5000000000000001E-2</v>
      </c>
      <c r="CR496" s="771">
        <f t="shared" ca="1" si="540"/>
        <v>0.95</v>
      </c>
      <c r="CS496" s="771">
        <f t="shared" ca="1" si="541"/>
        <v>0.03</v>
      </c>
      <c r="CT496" s="772">
        <f t="shared" ca="1" si="542"/>
        <v>0.02</v>
      </c>
      <c r="CU496" s="135"/>
      <c r="CV496" s="135"/>
      <c r="CW496" s="135"/>
      <c r="CX496" s="135"/>
      <c r="CY496" s="135"/>
      <c r="CZ496" s="135"/>
      <c r="DA496" s="135"/>
      <c r="DB496" s="135"/>
      <c r="DC496" s="135"/>
      <c r="DD496" s="135"/>
      <c r="DE496" s="135"/>
      <c r="DF496" s="135"/>
      <c r="DG496" s="135"/>
      <c r="DH496" s="135"/>
      <c r="DI496" s="135"/>
      <c r="DJ496" s="135"/>
      <c r="DK496" s="135"/>
      <c r="DL496" s="135"/>
      <c r="DX496" s="135"/>
      <c r="DY496" s="135"/>
      <c r="DZ496" s="135"/>
      <c r="EA496" s="135"/>
      <c r="EB496" s="135"/>
      <c r="EC496" s="135"/>
      <c r="ED496" s="135"/>
      <c r="EE496" s="135"/>
      <c r="EF496" s="135"/>
      <c r="EG496" s="135"/>
      <c r="EH496" s="135"/>
      <c r="EI496" s="135"/>
      <c r="EJ496" s="135"/>
      <c r="EK496" s="135"/>
      <c r="EL496" s="135"/>
      <c r="EM496" s="135"/>
      <c r="EN496" s="135"/>
      <c r="EO496" s="135"/>
      <c r="EP496" s="135"/>
      <c r="EQ496" s="135"/>
      <c r="ER496" s="135"/>
      <c r="ES496" s="135"/>
      <c r="ET496" s="135"/>
      <c r="EU496" s="135"/>
      <c r="EV496" s="135"/>
      <c r="EW496" s="135"/>
      <c r="EX496" s="135"/>
      <c r="EY496" s="135"/>
      <c r="EZ496" s="135"/>
      <c r="FA496" s="135"/>
      <c r="FB496" s="135"/>
      <c r="FC496" s="135"/>
      <c r="FD496" s="135"/>
      <c r="FE496" s="135"/>
      <c r="FF496" s="135"/>
      <c r="FG496" s="135"/>
    </row>
    <row r="497" spans="1:163" s="57" customFormat="1" ht="11.25" outlineLevel="1">
      <c r="A497" s="765">
        <f t="shared" si="588"/>
        <v>20</v>
      </c>
      <c r="B497" s="715" t="str" cm="1">
        <f t="array" aca="1" ref="B497" ca="1">INDIRECT("'Definition of Typical Day'!"&amp;ADDRESS(B$16,$E497))</f>
        <v>20</v>
      </c>
      <c r="C497" s="766">
        <f t="shared" si="589"/>
        <v>21</v>
      </c>
      <c r="D497" s="715">
        <f t="shared" si="589"/>
        <v>55</v>
      </c>
      <c r="E497" s="715">
        <f t="shared" si="517"/>
        <v>24</v>
      </c>
      <c r="F497" s="767" cm="1">
        <f t="array" aca="1" ref="F497" ca="1">INDIRECT("'Definition of Typical Day'!D"&amp;D497)</f>
        <v>21</v>
      </c>
      <c r="G497" s="767" cm="1">
        <f t="array" aca="1" ref="G497" ca="1">INDIRECT("'Definition of Typical Day'!"&amp;ADDRESS(13,E497))</f>
        <v>20</v>
      </c>
      <c r="H497" s="768" cm="1">
        <f t="array" aca="1" ref="H497" ca="1">INDIRECT("'Definition of Typical Day'!"&amp; ADDRESS($D497+28*(H$16-1),$E497))</f>
        <v>1E-3</v>
      </c>
      <c r="I497" s="715" cm="1">
        <f t="array" aca="1" ref="I497" ca="1">INDIRECT("'Definition of Typical Day'!"&amp; ADDRESS($D497+29*(I$16-1),$E497))</f>
        <v>30</v>
      </c>
      <c r="J497" s="715">
        <f t="shared" ca="1" si="543"/>
        <v>27</v>
      </c>
      <c r="K497" s="785">
        <f t="shared" si="544"/>
        <v>28</v>
      </c>
      <c r="L497" s="786" cm="1">
        <f t="array" aca="1" ref="L497" ca="1">INDIRECT("'Definition of Typical Day'!"&amp; ADDRESS($D497+29*(L$16-1),$E497))</f>
        <v>100</v>
      </c>
      <c r="M497" s="768" cm="1">
        <f t="array" aca="1" ref="M497" ca="1">INDIRECT("'Definition of Typical Day'!"&amp; ADDRESS($D497+29*(M$16-1),$E497))</f>
        <v>83.333333333333314</v>
      </c>
      <c r="N497" s="715">
        <f t="shared" si="545"/>
        <v>3</v>
      </c>
      <c r="O497" s="715">
        <f t="shared" ca="1" si="546"/>
        <v>86.333333333333314</v>
      </c>
      <c r="P497" s="715" cm="1">
        <f t="array" aca="1" ref="P497" ca="1">INDIRECT("'Definition of Typical Day'!"&amp; ADDRESS($D497+29*(P$16-1),$E497))</f>
        <v>45</v>
      </c>
      <c r="Q497" s="787">
        <f t="shared" ca="1" si="547"/>
        <v>48</v>
      </c>
      <c r="R497" s="792">
        <f t="shared" ca="1" si="548"/>
        <v>86.333333333333314</v>
      </c>
      <c r="S497" s="769">
        <f t="shared" si="549"/>
        <v>3</v>
      </c>
      <c r="T497" s="769">
        <f t="shared" ca="1" si="550"/>
        <v>0.04</v>
      </c>
      <c r="U497" s="769">
        <f t="shared" ca="1" si="551"/>
        <v>9.5333333333333825E-2</v>
      </c>
      <c r="V497" s="769">
        <f t="shared" ca="1" si="552"/>
        <v>0</v>
      </c>
      <c r="W497" s="769">
        <f t="shared" ca="1" si="553"/>
        <v>3.135333333333334</v>
      </c>
      <c r="X497" s="794">
        <f t="shared" si="554"/>
        <v>3</v>
      </c>
      <c r="Y497" s="769">
        <f t="shared" ca="1" si="555"/>
        <v>3</v>
      </c>
      <c r="Z497" s="769">
        <f t="shared" ca="1" si="556"/>
        <v>1.4683109584764282E-3</v>
      </c>
      <c r="AA497" s="795">
        <f t="shared" ca="1" si="557"/>
        <v>1.4683109584764282E-3</v>
      </c>
      <c r="AB497" s="769">
        <f t="shared" ca="1" si="558"/>
        <v>0</v>
      </c>
      <c r="AC497" s="769">
        <f t="shared" ca="1" si="559"/>
        <v>0</v>
      </c>
      <c r="AD497" s="769">
        <f t="shared" ca="1" si="560"/>
        <v>0</v>
      </c>
      <c r="AE497" s="794">
        <f t="shared" ca="1" si="561"/>
        <v>1.4683109584764282E-3</v>
      </c>
      <c r="AF497" s="769">
        <f t="shared" ca="1" si="562"/>
        <v>1.4683109584764282E-5</v>
      </c>
      <c r="AG497" s="769">
        <f t="shared" ca="1" si="563"/>
        <v>1.4536278488916639E-3</v>
      </c>
      <c r="AH497" s="799">
        <f t="shared" ca="1" si="564"/>
        <v>1.4536278488916639E-3</v>
      </c>
      <c r="AI497" s="801">
        <f t="shared" ca="1" si="565"/>
        <v>1</v>
      </c>
      <c r="AJ497" s="794">
        <f t="shared" ca="1" si="566"/>
        <v>1E-3</v>
      </c>
      <c r="AK497" s="769">
        <f t="shared" ca="1" si="567"/>
        <v>4.6831095847642821E-4</v>
      </c>
      <c r="AL497" s="769">
        <f t="shared" ca="1" si="568"/>
        <v>0</v>
      </c>
      <c r="AM497" s="804">
        <f t="shared" ca="1" si="518"/>
        <v>0</v>
      </c>
      <c r="AN497" s="795">
        <f t="shared" ca="1" si="519"/>
        <v>1.3333333333333334E-4</v>
      </c>
      <c r="AO497" s="251"/>
      <c r="AP497" s="770">
        <f t="shared" si="569"/>
        <v>0</v>
      </c>
      <c r="AQ497" s="771">
        <f t="shared" ca="1" si="570"/>
        <v>0</v>
      </c>
      <c r="AR497" s="771">
        <f t="shared" ca="1" si="571"/>
        <v>2E-3</v>
      </c>
      <c r="AS497" s="772">
        <f t="shared" ca="1" si="572"/>
        <v>2E-3</v>
      </c>
      <c r="AT497" s="231"/>
      <c r="AU497" s="770">
        <f>'Main Results - IRR DC Operator'!$F$16</f>
        <v>2</v>
      </c>
      <c r="AV497" s="773">
        <f>'Main Results - IRR DC Operator'!$F$15</f>
        <v>1</v>
      </c>
      <c r="AW497" s="771">
        <f t="shared" ca="1" si="573"/>
        <v>2E-3</v>
      </c>
      <c r="AX497" s="772">
        <f t="shared" si="574"/>
        <v>0</v>
      </c>
      <c r="AY497" s="231"/>
      <c r="AZ497" s="770" cm="1">
        <f t="array" aca="1" ref="AZ497" ca="1">INDIRECT("'Definition of Typical Day'!"&amp; ADDRESS($D497+29*(AZ$16-1),$E497))+$AZ$17</f>
        <v>92.97</v>
      </c>
      <c r="BA497" s="771" cm="1">
        <f t="array" aca="1" ref="BA497" ca="1">INDIRECT("'Definition of Typical Day'!"&amp; ADDRESS($D497+29*(BA$16-1),$E497))+$BA$17</f>
        <v>92.97</v>
      </c>
      <c r="BB497" s="772" cm="1">
        <f t="array" aca="1" ref="BB497" ca="1">INDIRECT("'Definition of Typical Day'!"&amp;ADDRESS(BB$16,$E497))</f>
        <v>0</v>
      </c>
      <c r="BC497" s="776" cm="1">
        <f t="array" aca="1" ref="BC497" ca="1">INDIRECT("'Definition of Typical Day'!"&amp; ADDRESS($D497+29*(BC$16-1),$E497))</f>
        <v>100</v>
      </c>
      <c r="BD497" s="777" cm="1">
        <f t="array" aca="1" ref="BD497" ca="1">INDIRECT("'Definition of Typical Day'!"&amp; ADDRESS($D497+29*(BD$16-1),$E497))</f>
        <v>1</v>
      </c>
      <c r="BE497" s="776">
        <f t="shared" si="575"/>
        <v>0</v>
      </c>
      <c r="BF497" s="771">
        <f t="shared" ca="1" si="576"/>
        <v>4.3538869809553529E-2</v>
      </c>
      <c r="BG497" s="771">
        <f t="shared" ca="1" si="577"/>
        <v>0</v>
      </c>
      <c r="BH497" s="771">
        <f t="shared" ca="1" si="578"/>
        <v>0</v>
      </c>
      <c r="BI497" s="776">
        <f t="shared" ca="1" si="579"/>
        <v>0</v>
      </c>
      <c r="BJ497" s="776">
        <f t="shared" ca="1" si="580"/>
        <v>1.3333333333333334E-2</v>
      </c>
      <c r="BK497" s="776">
        <f t="shared" ca="1" si="581"/>
        <v>0</v>
      </c>
      <c r="BL497" s="776">
        <f t="shared" ca="1" si="582"/>
        <v>0</v>
      </c>
      <c r="BM497" s="135"/>
      <c r="BN497" s="776">
        <f t="shared" ca="1" si="583"/>
        <v>4.5538869809553531E-2</v>
      </c>
      <c r="BO497" s="778">
        <f t="shared" ca="1" si="520"/>
        <v>31.327736218231642</v>
      </c>
      <c r="BP497" s="770">
        <f t="shared" ca="1" si="521"/>
        <v>4.3538869809553529E-2</v>
      </c>
      <c r="BQ497" s="771">
        <f t="shared" ca="1" si="522"/>
        <v>0</v>
      </c>
      <c r="BR497" s="771">
        <f t="shared" ca="1" si="523"/>
        <v>0</v>
      </c>
      <c r="BS497" s="776">
        <f t="shared" ca="1" si="584"/>
        <v>4.5538869809553531E-2</v>
      </c>
      <c r="BT497" s="776">
        <f t="shared" ca="1" si="524"/>
        <v>4.3538869809553529E-2</v>
      </c>
      <c r="BU497" s="783">
        <f t="shared" ca="1" si="525"/>
        <v>29.951868246573749</v>
      </c>
      <c r="BV497" s="783">
        <f t="shared" ca="1" si="526"/>
        <v>29.951868246573749</v>
      </c>
      <c r="BW497" s="1019">
        <f t="shared" ca="1" si="585"/>
        <v>29.951868246573749</v>
      </c>
      <c r="BX497" s="771" cm="1">
        <f t="array" aca="1" ref="BX497" ca="1">INDIRECT("'Definition of Typical Day'!"&amp; ADDRESS($D497+29*(BX$16-1),$E497))</f>
        <v>65</v>
      </c>
      <c r="BY497" s="771">
        <f t="shared" ca="1" si="586"/>
        <v>0</v>
      </c>
      <c r="BZ497" s="781">
        <f t="shared" ca="1" si="527"/>
        <v>0</v>
      </c>
      <c r="CA497" s="781">
        <f t="shared" ca="1" si="528"/>
        <v>0</v>
      </c>
      <c r="CB497" s="776">
        <f t="shared" ca="1" si="529"/>
        <v>9.4485810177958152E-2</v>
      </c>
      <c r="CC497" s="782">
        <f t="shared" si="530"/>
        <v>20</v>
      </c>
      <c r="CD497" s="782">
        <f t="shared" si="531"/>
        <v>21</v>
      </c>
      <c r="CE497" s="784" t="str" cm="1">
        <f t="array" aca="1" ref="CE497" ca="1">INDIRECT("'Definition of Typical Day'!"&amp;ADDRESS(CE$16,$E497))</f>
        <v>20</v>
      </c>
      <c r="CF497" s="232"/>
      <c r="CG497" s="232"/>
      <c r="CH497" s="776">
        <f t="shared" ca="1" si="532"/>
        <v>1E-3</v>
      </c>
      <c r="CI497" s="806">
        <f t="shared" ca="1" si="533"/>
        <v>100</v>
      </c>
      <c r="CJ497" s="770">
        <f t="shared" ca="1" si="534"/>
        <v>0</v>
      </c>
      <c r="CK497" s="771">
        <f t="shared" ca="1" si="535"/>
        <v>0</v>
      </c>
      <c r="CL497" s="771">
        <f t="shared" ca="1" si="536"/>
        <v>0</v>
      </c>
      <c r="CM497" s="772">
        <f t="shared" ca="1" si="537"/>
        <v>0</v>
      </c>
      <c r="CN497" s="135"/>
      <c r="CO497" s="770">
        <f t="shared" ca="1" si="587"/>
        <v>1.05</v>
      </c>
      <c r="CP497" s="771">
        <f t="shared" ca="1" si="538"/>
        <v>0.98</v>
      </c>
      <c r="CQ497" s="771">
        <f t="shared" ca="1" si="539"/>
        <v>-2.5000000000000001E-2</v>
      </c>
      <c r="CR497" s="771">
        <f t="shared" ca="1" si="540"/>
        <v>0.95</v>
      </c>
      <c r="CS497" s="771">
        <f t="shared" ca="1" si="541"/>
        <v>0.03</v>
      </c>
      <c r="CT497" s="772">
        <f t="shared" ca="1" si="542"/>
        <v>0.02</v>
      </c>
      <c r="CU497" s="135"/>
      <c r="CV497" s="135"/>
      <c r="CW497" s="135"/>
      <c r="CX497" s="135"/>
      <c r="CY497" s="135"/>
      <c r="CZ497" s="135"/>
      <c r="DA497" s="135"/>
      <c r="DB497" s="135"/>
      <c r="DC497" s="135"/>
      <c r="DD497" s="135"/>
      <c r="DE497" s="135"/>
      <c r="DF497" s="135"/>
      <c r="DG497" s="135"/>
      <c r="DH497" s="135"/>
      <c r="DI497" s="135"/>
      <c r="DJ497" s="135"/>
      <c r="DK497" s="135"/>
      <c r="DL497" s="135"/>
      <c r="DX497" s="135"/>
      <c r="DY497" s="135"/>
      <c r="DZ497" s="135"/>
      <c r="EA497" s="135"/>
      <c r="EB497" s="135"/>
      <c r="EC497" s="135"/>
      <c r="ED497" s="135"/>
      <c r="EE497" s="135"/>
      <c r="EF497" s="135"/>
      <c r="EG497" s="135"/>
      <c r="EH497" s="135"/>
      <c r="EI497" s="135"/>
      <c r="EJ497" s="135"/>
      <c r="EK497" s="135"/>
      <c r="EL497" s="135"/>
      <c r="EM497" s="135"/>
      <c r="EN497" s="135"/>
      <c r="EO497" s="135"/>
      <c r="EP497" s="135"/>
      <c r="EQ497" s="135"/>
      <c r="ER497" s="135"/>
      <c r="ES497" s="135"/>
      <c r="ET497" s="135"/>
      <c r="EU497" s="135"/>
      <c r="EV497" s="135"/>
      <c r="EW497" s="135"/>
      <c r="EX497" s="135"/>
      <c r="EY497" s="135"/>
      <c r="EZ497" s="135"/>
      <c r="FA497" s="135"/>
      <c r="FB497" s="135"/>
      <c r="FC497" s="135"/>
      <c r="FD497" s="135"/>
      <c r="FE497" s="135"/>
      <c r="FF497" s="135"/>
      <c r="FG497" s="135"/>
    </row>
    <row r="498" spans="1:163" s="57" customFormat="1" ht="11.25" outlineLevel="1">
      <c r="A498" s="765">
        <f t="shared" si="588"/>
        <v>20</v>
      </c>
      <c r="B498" s="715" t="str" cm="1">
        <f t="array" aca="1" ref="B498" ca="1">INDIRECT("'Definition of Typical Day'!"&amp;ADDRESS(B$16,$E498))</f>
        <v>20</v>
      </c>
      <c r="C498" s="766">
        <f t="shared" si="589"/>
        <v>22</v>
      </c>
      <c r="D498" s="715">
        <f t="shared" si="589"/>
        <v>56</v>
      </c>
      <c r="E498" s="715">
        <f t="shared" si="517"/>
        <v>24</v>
      </c>
      <c r="F498" s="767" cm="1">
        <f t="array" aca="1" ref="F498" ca="1">INDIRECT("'Definition of Typical Day'!D"&amp;D498)</f>
        <v>22</v>
      </c>
      <c r="G498" s="767" cm="1">
        <f t="array" aca="1" ref="G498" ca="1">INDIRECT("'Definition of Typical Day'!"&amp;ADDRESS(13,E498))</f>
        <v>20</v>
      </c>
      <c r="H498" s="768" cm="1">
        <f t="array" aca="1" ref="H498" ca="1">INDIRECT("'Definition of Typical Day'!"&amp; ADDRESS($D498+28*(H$16-1),$E498))</f>
        <v>1E-3</v>
      </c>
      <c r="I498" s="715" cm="1">
        <f t="array" aca="1" ref="I498" ca="1">INDIRECT("'Definition of Typical Day'!"&amp; ADDRESS($D498+29*(I$16-1),$E498))</f>
        <v>30</v>
      </c>
      <c r="J498" s="715">
        <f t="shared" ca="1" si="543"/>
        <v>27</v>
      </c>
      <c r="K498" s="785">
        <f t="shared" si="544"/>
        <v>28</v>
      </c>
      <c r="L498" s="786" cm="1">
        <f t="array" aca="1" ref="L498" ca="1">INDIRECT("'Definition of Typical Day'!"&amp; ADDRESS($D498+29*(L$16-1),$E498))</f>
        <v>100</v>
      </c>
      <c r="M498" s="768" cm="1">
        <f t="array" aca="1" ref="M498" ca="1">INDIRECT("'Definition of Typical Day'!"&amp; ADDRESS($D498+29*(M$16-1),$E498))</f>
        <v>84.999999999999986</v>
      </c>
      <c r="N498" s="715">
        <f t="shared" si="545"/>
        <v>3</v>
      </c>
      <c r="O498" s="715">
        <f t="shared" ca="1" si="546"/>
        <v>87.999999999999986</v>
      </c>
      <c r="P498" s="715" cm="1">
        <f t="array" aca="1" ref="P498" ca="1">INDIRECT("'Definition of Typical Day'!"&amp; ADDRESS($D498+29*(P$16-1),$E498))</f>
        <v>45</v>
      </c>
      <c r="Q498" s="787">
        <f t="shared" ca="1" si="547"/>
        <v>48</v>
      </c>
      <c r="R498" s="792">
        <f t="shared" ca="1" si="548"/>
        <v>87.999999999999986</v>
      </c>
      <c r="S498" s="769">
        <f t="shared" si="549"/>
        <v>3</v>
      </c>
      <c r="T498" s="769">
        <f t="shared" ca="1" si="550"/>
        <v>0.04</v>
      </c>
      <c r="U498" s="769">
        <f t="shared" ca="1" si="551"/>
        <v>5.2000000000000365E-2</v>
      </c>
      <c r="V498" s="769">
        <f t="shared" ca="1" si="552"/>
        <v>0</v>
      </c>
      <c r="W498" s="769">
        <f t="shared" ca="1" si="553"/>
        <v>3.0920000000000005</v>
      </c>
      <c r="X498" s="794">
        <f t="shared" si="554"/>
        <v>3</v>
      </c>
      <c r="Y498" s="769">
        <f t="shared" ca="1" si="555"/>
        <v>3</v>
      </c>
      <c r="Z498" s="769">
        <f t="shared" ca="1" si="556"/>
        <v>1.4780114722753345E-3</v>
      </c>
      <c r="AA498" s="795">
        <f t="shared" ca="1" si="557"/>
        <v>1.4780114722753345E-3</v>
      </c>
      <c r="AB498" s="769">
        <f t="shared" ca="1" si="558"/>
        <v>0</v>
      </c>
      <c r="AC498" s="769">
        <f t="shared" ca="1" si="559"/>
        <v>0</v>
      </c>
      <c r="AD498" s="769">
        <f t="shared" ca="1" si="560"/>
        <v>0</v>
      </c>
      <c r="AE498" s="794">
        <f t="shared" ca="1" si="561"/>
        <v>1.4780114722753345E-3</v>
      </c>
      <c r="AF498" s="769">
        <f t="shared" ca="1" si="562"/>
        <v>1.4780114722753345E-5</v>
      </c>
      <c r="AG498" s="769">
        <f t="shared" ca="1" si="563"/>
        <v>1.4632313575525812E-3</v>
      </c>
      <c r="AH498" s="799">
        <f t="shared" ca="1" si="564"/>
        <v>1.4632313575525812E-3</v>
      </c>
      <c r="AI498" s="801">
        <f t="shared" ca="1" si="565"/>
        <v>1</v>
      </c>
      <c r="AJ498" s="794">
        <f t="shared" ca="1" si="566"/>
        <v>1E-3</v>
      </c>
      <c r="AK498" s="769">
        <f t="shared" ca="1" si="567"/>
        <v>4.7801147227533448E-4</v>
      </c>
      <c r="AL498" s="769">
        <f t="shared" ca="1" si="568"/>
        <v>0</v>
      </c>
      <c r="AM498" s="804">
        <f t="shared" ca="1" si="518"/>
        <v>0</v>
      </c>
      <c r="AN498" s="795">
        <f t="shared" ca="1" si="519"/>
        <v>1.3333333333333334E-4</v>
      </c>
      <c r="AO498" s="251"/>
      <c r="AP498" s="770">
        <f t="shared" si="569"/>
        <v>0</v>
      </c>
      <c r="AQ498" s="771">
        <f t="shared" ca="1" si="570"/>
        <v>0</v>
      </c>
      <c r="AR498" s="771">
        <f t="shared" ca="1" si="571"/>
        <v>2E-3</v>
      </c>
      <c r="AS498" s="772">
        <f t="shared" ca="1" si="572"/>
        <v>2E-3</v>
      </c>
      <c r="AT498" s="231"/>
      <c r="AU498" s="770">
        <f>'Main Results - IRR DC Operator'!$F$16</f>
        <v>2</v>
      </c>
      <c r="AV498" s="773">
        <f>'Main Results - IRR DC Operator'!$F$15</f>
        <v>1</v>
      </c>
      <c r="AW498" s="771">
        <f t="shared" ca="1" si="573"/>
        <v>2E-3</v>
      </c>
      <c r="AX498" s="772">
        <f t="shared" si="574"/>
        <v>0</v>
      </c>
      <c r="AY498" s="231"/>
      <c r="AZ498" s="770" cm="1">
        <f t="array" aca="1" ref="AZ498" ca="1">INDIRECT("'Definition of Typical Day'!"&amp; ADDRESS($D498+29*(AZ$16-1),$E498))+$AZ$17</f>
        <v>86.74</v>
      </c>
      <c r="BA498" s="771" cm="1">
        <f t="array" aca="1" ref="BA498" ca="1">INDIRECT("'Definition of Typical Day'!"&amp; ADDRESS($D498+29*(BA$16-1),$E498))+$BA$17</f>
        <v>86.74</v>
      </c>
      <c r="BB498" s="772" cm="1">
        <f t="array" aca="1" ref="BB498" ca="1">INDIRECT("'Definition of Typical Day'!"&amp;ADDRESS(BB$16,$E498))</f>
        <v>0</v>
      </c>
      <c r="BC498" s="776" cm="1">
        <f t="array" aca="1" ref="BC498" ca="1">INDIRECT("'Definition of Typical Day'!"&amp; ADDRESS($D498+29*(BC$16-1),$E498))</f>
        <v>100</v>
      </c>
      <c r="BD498" s="777" cm="1">
        <f t="array" aca="1" ref="BD498" ca="1">INDIRECT("'Definition of Typical Day'!"&amp; ADDRESS($D498+29*(BD$16-1),$E498))</f>
        <v>1</v>
      </c>
      <c r="BE498" s="776">
        <f t="shared" si="575"/>
        <v>0</v>
      </c>
      <c r="BF498" s="771">
        <f t="shared" ca="1" si="576"/>
        <v>4.1462715105162508E-2</v>
      </c>
      <c r="BG498" s="771">
        <f t="shared" ca="1" si="577"/>
        <v>0</v>
      </c>
      <c r="BH498" s="771">
        <f t="shared" ca="1" si="578"/>
        <v>0</v>
      </c>
      <c r="BI498" s="776">
        <f t="shared" ca="1" si="579"/>
        <v>0</v>
      </c>
      <c r="BJ498" s="776">
        <f t="shared" ca="1" si="580"/>
        <v>1.3333333333333334E-2</v>
      </c>
      <c r="BK498" s="776">
        <f t="shared" ca="1" si="581"/>
        <v>0</v>
      </c>
      <c r="BL498" s="776">
        <f t="shared" ca="1" si="582"/>
        <v>0</v>
      </c>
      <c r="BM498" s="135"/>
      <c r="BN498" s="776">
        <f t="shared" ca="1" si="583"/>
        <v>4.346271510516251E-2</v>
      </c>
      <c r="BO498" s="778">
        <f t="shared" ca="1" si="520"/>
        <v>29.703241993022061</v>
      </c>
      <c r="BP498" s="770">
        <f t="shared" ca="1" si="521"/>
        <v>4.1462715105162508E-2</v>
      </c>
      <c r="BQ498" s="771">
        <f t="shared" ca="1" si="522"/>
        <v>0</v>
      </c>
      <c r="BR498" s="771">
        <f t="shared" ca="1" si="523"/>
        <v>0</v>
      </c>
      <c r="BS498" s="776">
        <f t="shared" ca="1" si="584"/>
        <v>4.346271510516251E-2</v>
      </c>
      <c r="BT498" s="776">
        <f t="shared" ca="1" si="524"/>
        <v>4.1462715105162508E-2</v>
      </c>
      <c r="BU498" s="783">
        <f t="shared" ca="1" si="525"/>
        <v>28.336404144942296</v>
      </c>
      <c r="BV498" s="783">
        <f t="shared" ca="1" si="526"/>
        <v>28.336404144942296</v>
      </c>
      <c r="BW498" s="1019">
        <f t="shared" ca="1" si="585"/>
        <v>28.336404144942296</v>
      </c>
      <c r="BX498" s="771" cm="1">
        <f t="array" aca="1" ref="BX498" ca="1">INDIRECT("'Definition of Typical Day'!"&amp; ADDRESS($D498+29*(BX$16-1),$E498))</f>
        <v>65</v>
      </c>
      <c r="BY498" s="771">
        <f t="shared" ca="1" si="586"/>
        <v>0</v>
      </c>
      <c r="BZ498" s="781">
        <f t="shared" ca="1" si="527"/>
        <v>0</v>
      </c>
      <c r="CA498" s="781">
        <f t="shared" ca="1" si="528"/>
        <v>0</v>
      </c>
      <c r="CB498" s="776">
        <f t="shared" ca="1" si="529"/>
        <v>9.511003824091778E-2</v>
      </c>
      <c r="CC498" s="782">
        <f t="shared" si="530"/>
        <v>20</v>
      </c>
      <c r="CD498" s="782">
        <f t="shared" si="531"/>
        <v>22</v>
      </c>
      <c r="CE498" s="784" t="str" cm="1">
        <f t="array" aca="1" ref="CE498" ca="1">INDIRECT("'Definition of Typical Day'!"&amp;ADDRESS(CE$16,$E498))</f>
        <v>20</v>
      </c>
      <c r="CF498" s="232"/>
      <c r="CG498" s="232"/>
      <c r="CH498" s="776">
        <f t="shared" ca="1" si="532"/>
        <v>1E-3</v>
      </c>
      <c r="CI498" s="806">
        <f t="shared" ca="1" si="533"/>
        <v>100</v>
      </c>
      <c r="CJ498" s="770">
        <f t="shared" ca="1" si="534"/>
        <v>0</v>
      </c>
      <c r="CK498" s="771">
        <f t="shared" ca="1" si="535"/>
        <v>0</v>
      </c>
      <c r="CL498" s="771">
        <f t="shared" ca="1" si="536"/>
        <v>0</v>
      </c>
      <c r="CM498" s="772">
        <f t="shared" ca="1" si="537"/>
        <v>0</v>
      </c>
      <c r="CN498" s="135"/>
      <c r="CO498" s="770">
        <f t="shared" ca="1" si="587"/>
        <v>1.05</v>
      </c>
      <c r="CP498" s="771">
        <f t="shared" ca="1" si="538"/>
        <v>0.98</v>
      </c>
      <c r="CQ498" s="771">
        <f t="shared" ca="1" si="539"/>
        <v>-2.5000000000000001E-2</v>
      </c>
      <c r="CR498" s="771">
        <f t="shared" ca="1" si="540"/>
        <v>0.95</v>
      </c>
      <c r="CS498" s="771">
        <f t="shared" ca="1" si="541"/>
        <v>0.03</v>
      </c>
      <c r="CT498" s="772">
        <f t="shared" ca="1" si="542"/>
        <v>0.02</v>
      </c>
      <c r="CU498" s="135"/>
      <c r="CV498" s="135"/>
      <c r="CW498" s="135"/>
      <c r="CX498" s="135"/>
      <c r="CY498" s="135"/>
      <c r="CZ498" s="135"/>
      <c r="DA498" s="135"/>
      <c r="DB498" s="135"/>
      <c r="DC498" s="135"/>
      <c r="DD498" s="135"/>
      <c r="DE498" s="135"/>
      <c r="DF498" s="135"/>
      <c r="DG498" s="135"/>
      <c r="DH498" s="135"/>
      <c r="DI498" s="135"/>
      <c r="DJ498" s="135"/>
      <c r="DK498" s="135"/>
      <c r="DL498" s="135"/>
      <c r="DX498" s="135"/>
      <c r="DY498" s="135"/>
      <c r="DZ498" s="135"/>
      <c r="EA498" s="135"/>
      <c r="EB498" s="135"/>
      <c r="EC498" s="135"/>
      <c r="ED498" s="135"/>
      <c r="EE498" s="135"/>
      <c r="EF498" s="135"/>
      <c r="EG498" s="135"/>
      <c r="EH498" s="135"/>
      <c r="EI498" s="135"/>
      <c r="EJ498" s="135"/>
      <c r="EK498" s="135"/>
      <c r="EL498" s="135"/>
      <c r="EM498" s="135"/>
      <c r="EN498" s="135"/>
      <c r="EO498" s="135"/>
      <c r="EP498" s="135"/>
      <c r="EQ498" s="135"/>
      <c r="ER498" s="135"/>
      <c r="ES498" s="135"/>
      <c r="ET498" s="135"/>
      <c r="EU498" s="135"/>
      <c r="EV498" s="135"/>
      <c r="EW498" s="135"/>
      <c r="EX498" s="135"/>
      <c r="EY498" s="135"/>
      <c r="EZ498" s="135"/>
      <c r="FA498" s="135"/>
      <c r="FB498" s="135"/>
      <c r="FC498" s="135"/>
      <c r="FD498" s="135"/>
      <c r="FE498" s="135"/>
      <c r="FF498" s="135"/>
      <c r="FG498" s="135"/>
    </row>
    <row r="499" spans="1:163" s="57" customFormat="1" ht="11.25" outlineLevel="1">
      <c r="A499" s="765">
        <f t="shared" si="588"/>
        <v>20</v>
      </c>
      <c r="B499" s="715" t="str" cm="1">
        <f t="array" aca="1" ref="B499" ca="1">INDIRECT("'Definition of Typical Day'!"&amp;ADDRESS(B$16,$E499))</f>
        <v>20</v>
      </c>
      <c r="C499" s="766">
        <f t="shared" si="589"/>
        <v>23</v>
      </c>
      <c r="D499" s="715">
        <f t="shared" si="589"/>
        <v>57</v>
      </c>
      <c r="E499" s="715">
        <f t="shared" si="517"/>
        <v>24</v>
      </c>
      <c r="F499" s="767" cm="1">
        <f t="array" aca="1" ref="F499" ca="1">INDIRECT("'Definition of Typical Day'!D"&amp;D499)</f>
        <v>23</v>
      </c>
      <c r="G499" s="767" cm="1">
        <f t="array" aca="1" ref="G499" ca="1">INDIRECT("'Definition of Typical Day'!"&amp;ADDRESS(13,E499))</f>
        <v>20</v>
      </c>
      <c r="H499" s="768" cm="1">
        <f t="array" aca="1" ref="H499" ca="1">INDIRECT("'Definition of Typical Day'!"&amp; ADDRESS($D499+28*(H$16-1),$E499))</f>
        <v>1E-3</v>
      </c>
      <c r="I499" s="715" cm="1">
        <f t="array" aca="1" ref="I499" ca="1">INDIRECT("'Definition of Typical Day'!"&amp; ADDRESS($D499+29*(I$16-1),$E499))</f>
        <v>30</v>
      </c>
      <c r="J499" s="715">
        <f t="shared" ca="1" si="543"/>
        <v>27</v>
      </c>
      <c r="K499" s="785">
        <f t="shared" si="544"/>
        <v>28</v>
      </c>
      <c r="L499" s="786" cm="1">
        <f t="array" aca="1" ref="L499" ca="1">INDIRECT("'Definition of Typical Day'!"&amp; ADDRESS($D499+29*(L$16-1),$E499))</f>
        <v>100</v>
      </c>
      <c r="M499" s="768" cm="1">
        <f t="array" aca="1" ref="M499" ca="1">INDIRECT("'Definition of Typical Day'!"&amp; ADDRESS($D499+29*(M$16-1),$E499))</f>
        <v>84.999999999999986</v>
      </c>
      <c r="N499" s="715">
        <f t="shared" si="545"/>
        <v>3</v>
      </c>
      <c r="O499" s="715">
        <f t="shared" ca="1" si="546"/>
        <v>87.999999999999986</v>
      </c>
      <c r="P499" s="715" cm="1">
        <f t="array" aca="1" ref="P499" ca="1">INDIRECT("'Definition of Typical Day'!"&amp; ADDRESS($D499+29*(P$16-1),$E499))</f>
        <v>45</v>
      </c>
      <c r="Q499" s="787">
        <f t="shared" ca="1" si="547"/>
        <v>48</v>
      </c>
      <c r="R499" s="792">
        <f t="shared" ca="1" si="548"/>
        <v>87.999999999999986</v>
      </c>
      <c r="S499" s="769">
        <f t="shared" si="549"/>
        <v>3</v>
      </c>
      <c r="T499" s="769">
        <f t="shared" ca="1" si="550"/>
        <v>0.04</v>
      </c>
      <c r="U499" s="769">
        <f t="shared" ca="1" si="551"/>
        <v>5.2000000000000365E-2</v>
      </c>
      <c r="V499" s="769">
        <f t="shared" ca="1" si="552"/>
        <v>0</v>
      </c>
      <c r="W499" s="769">
        <f t="shared" ca="1" si="553"/>
        <v>3.0920000000000005</v>
      </c>
      <c r="X499" s="794">
        <f t="shared" si="554"/>
        <v>3</v>
      </c>
      <c r="Y499" s="769">
        <f t="shared" ca="1" si="555"/>
        <v>3</v>
      </c>
      <c r="Z499" s="769">
        <f t="shared" ca="1" si="556"/>
        <v>1.4780114722753345E-3</v>
      </c>
      <c r="AA499" s="795">
        <f t="shared" ca="1" si="557"/>
        <v>1.4780114722753345E-3</v>
      </c>
      <c r="AB499" s="769">
        <f t="shared" ca="1" si="558"/>
        <v>0</v>
      </c>
      <c r="AC499" s="769">
        <f t="shared" ca="1" si="559"/>
        <v>0</v>
      </c>
      <c r="AD499" s="769">
        <f t="shared" ca="1" si="560"/>
        <v>0</v>
      </c>
      <c r="AE499" s="794">
        <f t="shared" ca="1" si="561"/>
        <v>1.4780114722753345E-3</v>
      </c>
      <c r="AF499" s="769">
        <f t="shared" ca="1" si="562"/>
        <v>1.4780114722753345E-5</v>
      </c>
      <c r="AG499" s="769">
        <f t="shared" ca="1" si="563"/>
        <v>1.4632313575525812E-3</v>
      </c>
      <c r="AH499" s="799">
        <f t="shared" ca="1" si="564"/>
        <v>1.4632313575525812E-3</v>
      </c>
      <c r="AI499" s="801">
        <f t="shared" ca="1" si="565"/>
        <v>1</v>
      </c>
      <c r="AJ499" s="794">
        <f t="shared" ca="1" si="566"/>
        <v>1E-3</v>
      </c>
      <c r="AK499" s="769">
        <f t="shared" ca="1" si="567"/>
        <v>4.7801147227533448E-4</v>
      </c>
      <c r="AL499" s="769">
        <f t="shared" ca="1" si="568"/>
        <v>0</v>
      </c>
      <c r="AM499" s="804">
        <f t="shared" ca="1" si="518"/>
        <v>0</v>
      </c>
      <c r="AN499" s="795">
        <f t="shared" ca="1" si="519"/>
        <v>1.3333333333333334E-4</v>
      </c>
      <c r="AO499" s="251"/>
      <c r="AP499" s="770">
        <f t="shared" si="569"/>
        <v>0</v>
      </c>
      <c r="AQ499" s="771">
        <f t="shared" ca="1" si="570"/>
        <v>0</v>
      </c>
      <c r="AR499" s="771">
        <f t="shared" ca="1" si="571"/>
        <v>2E-3</v>
      </c>
      <c r="AS499" s="772">
        <f t="shared" ca="1" si="572"/>
        <v>2E-3</v>
      </c>
      <c r="AT499" s="231"/>
      <c r="AU499" s="770">
        <f>'Main Results - IRR DC Operator'!$F$16</f>
        <v>2</v>
      </c>
      <c r="AV499" s="773">
        <f>'Main Results - IRR DC Operator'!$F$15</f>
        <v>1</v>
      </c>
      <c r="AW499" s="771">
        <f t="shared" ca="1" si="573"/>
        <v>2E-3</v>
      </c>
      <c r="AX499" s="772">
        <f t="shared" si="574"/>
        <v>0</v>
      </c>
      <c r="AY499" s="231"/>
      <c r="AZ499" s="770" cm="1">
        <f t="array" aca="1" ref="AZ499" ca="1">INDIRECT("'Definition of Typical Day'!"&amp; ADDRESS($D499+29*(AZ$16-1),$E499))+$AZ$17</f>
        <v>85.68</v>
      </c>
      <c r="BA499" s="771" cm="1">
        <f t="array" aca="1" ref="BA499" ca="1">INDIRECT("'Definition of Typical Day'!"&amp; ADDRESS($D499+29*(BA$16-1),$E499))+$BA$17</f>
        <v>85.68</v>
      </c>
      <c r="BB499" s="772" cm="1">
        <f t="array" aca="1" ref="BB499" ca="1">INDIRECT("'Definition of Typical Day'!"&amp;ADDRESS(BB$16,$E499))</f>
        <v>0</v>
      </c>
      <c r="BC499" s="776" cm="1">
        <f t="array" aca="1" ref="BC499" ca="1">INDIRECT("'Definition of Typical Day'!"&amp; ADDRESS($D499+29*(BC$16-1),$E499))</f>
        <v>100</v>
      </c>
      <c r="BD499" s="777" cm="1">
        <f t="array" aca="1" ref="BD499" ca="1">INDIRECT("'Definition of Typical Day'!"&amp; ADDRESS($D499+29*(BD$16-1),$E499))</f>
        <v>1</v>
      </c>
      <c r="BE499" s="776">
        <f t="shared" si="575"/>
        <v>0</v>
      </c>
      <c r="BF499" s="771">
        <f t="shared" ca="1" si="576"/>
        <v>4.0956022944550662E-2</v>
      </c>
      <c r="BG499" s="771">
        <f t="shared" ca="1" si="577"/>
        <v>0</v>
      </c>
      <c r="BH499" s="771">
        <f t="shared" ca="1" si="578"/>
        <v>0</v>
      </c>
      <c r="BI499" s="776">
        <f t="shared" ca="1" si="579"/>
        <v>0</v>
      </c>
      <c r="BJ499" s="776">
        <f t="shared" ca="1" si="580"/>
        <v>1.3333333333333334E-2</v>
      </c>
      <c r="BK499" s="776">
        <f t="shared" ca="1" si="581"/>
        <v>0</v>
      </c>
      <c r="BL499" s="776">
        <f t="shared" ca="1" si="582"/>
        <v>0</v>
      </c>
      <c r="BM499" s="135"/>
      <c r="BN499" s="776">
        <f t="shared" ca="1" si="583"/>
        <v>4.2956022944550663E-2</v>
      </c>
      <c r="BO499" s="778">
        <f t="shared" ca="1" si="520"/>
        <v>29.35695898179727</v>
      </c>
      <c r="BP499" s="770">
        <f t="shared" ca="1" si="521"/>
        <v>4.0956022944550662E-2</v>
      </c>
      <c r="BQ499" s="771">
        <f t="shared" ca="1" si="522"/>
        <v>0</v>
      </c>
      <c r="BR499" s="771">
        <f t="shared" ca="1" si="523"/>
        <v>0</v>
      </c>
      <c r="BS499" s="776">
        <f t="shared" ca="1" si="584"/>
        <v>4.2956022944550663E-2</v>
      </c>
      <c r="BT499" s="776">
        <f t="shared" ca="1" si="524"/>
        <v>4.0956022944550662E-2</v>
      </c>
      <c r="BU499" s="783">
        <f t="shared" ca="1" si="525"/>
        <v>27.990121133717505</v>
      </c>
      <c r="BV499" s="783">
        <f t="shared" ca="1" si="526"/>
        <v>27.990121133717505</v>
      </c>
      <c r="BW499" s="1019">
        <f t="shared" ca="1" si="585"/>
        <v>27.990121133717505</v>
      </c>
      <c r="BX499" s="771" cm="1">
        <f t="array" aca="1" ref="BX499" ca="1">INDIRECT("'Definition of Typical Day'!"&amp; ADDRESS($D499+29*(BX$16-1),$E499))</f>
        <v>65</v>
      </c>
      <c r="BY499" s="771">
        <f t="shared" ca="1" si="586"/>
        <v>0</v>
      </c>
      <c r="BZ499" s="781">
        <f t="shared" ca="1" si="527"/>
        <v>0</v>
      </c>
      <c r="CA499" s="781">
        <f t="shared" ca="1" si="528"/>
        <v>0</v>
      </c>
      <c r="CB499" s="776">
        <f t="shared" ca="1" si="529"/>
        <v>9.511003824091778E-2</v>
      </c>
      <c r="CC499" s="782">
        <f t="shared" si="530"/>
        <v>20</v>
      </c>
      <c r="CD499" s="782">
        <f t="shared" si="531"/>
        <v>23</v>
      </c>
      <c r="CE499" s="784" t="str" cm="1">
        <f t="array" aca="1" ref="CE499" ca="1">INDIRECT("'Definition of Typical Day'!"&amp;ADDRESS(CE$16,$E499))</f>
        <v>20</v>
      </c>
      <c r="CF499" s="232"/>
      <c r="CG499" s="232"/>
      <c r="CH499" s="776">
        <f t="shared" ca="1" si="532"/>
        <v>1E-3</v>
      </c>
      <c r="CI499" s="806">
        <f t="shared" ca="1" si="533"/>
        <v>100</v>
      </c>
      <c r="CJ499" s="770">
        <f t="shared" ca="1" si="534"/>
        <v>0</v>
      </c>
      <c r="CK499" s="771">
        <f t="shared" ca="1" si="535"/>
        <v>0</v>
      </c>
      <c r="CL499" s="771">
        <f t="shared" ca="1" si="536"/>
        <v>0</v>
      </c>
      <c r="CM499" s="772">
        <f t="shared" ca="1" si="537"/>
        <v>0</v>
      </c>
      <c r="CN499" s="135"/>
      <c r="CO499" s="770">
        <f t="shared" ca="1" si="587"/>
        <v>1.05</v>
      </c>
      <c r="CP499" s="771">
        <f t="shared" ca="1" si="538"/>
        <v>0.98</v>
      </c>
      <c r="CQ499" s="771">
        <f t="shared" ca="1" si="539"/>
        <v>-2.5000000000000001E-2</v>
      </c>
      <c r="CR499" s="771">
        <f t="shared" ca="1" si="540"/>
        <v>0.95</v>
      </c>
      <c r="CS499" s="771">
        <f t="shared" ca="1" si="541"/>
        <v>0.03</v>
      </c>
      <c r="CT499" s="772">
        <f t="shared" ca="1" si="542"/>
        <v>0.02</v>
      </c>
      <c r="CU499" s="135"/>
      <c r="CV499" s="135"/>
      <c r="CW499" s="135"/>
      <c r="CX499" s="135"/>
      <c r="CY499" s="135"/>
      <c r="CZ499" s="135"/>
      <c r="DA499" s="135"/>
      <c r="DB499" s="135"/>
      <c r="DC499" s="135"/>
      <c r="DD499" s="135"/>
      <c r="DE499" s="135"/>
      <c r="DF499" s="135"/>
      <c r="DG499" s="135"/>
      <c r="DH499" s="135"/>
      <c r="DI499" s="135"/>
      <c r="DJ499" s="135"/>
      <c r="DK499" s="135"/>
      <c r="DL499" s="135"/>
      <c r="DX499" s="135"/>
      <c r="DY499" s="135"/>
      <c r="DZ499" s="135"/>
      <c r="EA499" s="135"/>
      <c r="EB499" s="135"/>
      <c r="EC499" s="135"/>
      <c r="ED499" s="135"/>
      <c r="EE499" s="135"/>
      <c r="EF499" s="135"/>
      <c r="EG499" s="135"/>
      <c r="EH499" s="135"/>
      <c r="EI499" s="135"/>
      <c r="EJ499" s="135"/>
      <c r="EK499" s="135"/>
      <c r="EL499" s="135"/>
      <c r="EM499" s="135"/>
      <c r="EN499" s="135"/>
      <c r="EO499" s="135"/>
      <c r="EP499" s="135"/>
      <c r="EQ499" s="135"/>
      <c r="ER499" s="135"/>
      <c r="ES499" s="135"/>
      <c r="ET499" s="135"/>
      <c r="EU499" s="135"/>
      <c r="EV499" s="135"/>
      <c r="EW499" s="135"/>
      <c r="EX499" s="135"/>
      <c r="EY499" s="135"/>
      <c r="EZ499" s="135"/>
      <c r="FA499" s="135"/>
      <c r="FB499" s="135"/>
      <c r="FC499" s="135"/>
      <c r="FD499" s="135"/>
      <c r="FE499" s="135"/>
      <c r="FF499" s="135"/>
      <c r="FG499" s="135"/>
    </row>
    <row r="500" spans="1:163" s="57" customFormat="1" ht="11.25" outlineLevel="1">
      <c r="A500" s="765">
        <f t="shared" si="588"/>
        <v>20</v>
      </c>
      <c r="B500" s="715" t="str" cm="1">
        <f t="array" aca="1" ref="B500" ca="1">INDIRECT("'Definition of Typical Day'!"&amp;ADDRESS(B$16,$E500))</f>
        <v>20</v>
      </c>
      <c r="C500" s="766">
        <f t="shared" si="589"/>
        <v>24</v>
      </c>
      <c r="D500" s="715">
        <f t="shared" si="589"/>
        <v>58</v>
      </c>
      <c r="E500" s="715">
        <f t="shared" si="517"/>
        <v>24</v>
      </c>
      <c r="F500" s="767" cm="1">
        <f t="array" aca="1" ref="F500" ca="1">INDIRECT("'Definition of Typical Day'!D"&amp;D500)</f>
        <v>24</v>
      </c>
      <c r="G500" s="767" cm="1">
        <f t="array" aca="1" ref="G500" ca="1">INDIRECT("'Definition of Typical Day'!"&amp;ADDRESS(13,E500))</f>
        <v>20</v>
      </c>
      <c r="H500" s="768" cm="1">
        <f t="array" aca="1" ref="H500" ca="1">INDIRECT("'Definition of Typical Day'!"&amp; ADDRESS($D500+28*(H$16-1),$E500))</f>
        <v>1E-3</v>
      </c>
      <c r="I500" s="715" cm="1">
        <f t="array" aca="1" ref="I500" ca="1">INDIRECT("'Definition of Typical Day'!"&amp; ADDRESS($D500+29*(I$16-1),$E500))</f>
        <v>30</v>
      </c>
      <c r="J500" s="715">
        <f t="shared" ca="1" si="543"/>
        <v>27</v>
      </c>
      <c r="K500" s="785">
        <f t="shared" si="544"/>
        <v>28</v>
      </c>
      <c r="L500" s="788" cm="1">
        <f t="array" aca="1" ref="L500" ca="1">INDIRECT("'Definition of Typical Day'!"&amp; ADDRESS($D500+29*(L$16-1),$E500))</f>
        <v>100</v>
      </c>
      <c r="M500" s="789" cm="1">
        <f t="array" aca="1" ref="M500" ca="1">INDIRECT("'Definition of Typical Day'!"&amp; ADDRESS($D500+29*(M$16-1),$E500))</f>
        <v>86.666666666666657</v>
      </c>
      <c r="N500" s="790">
        <f t="shared" si="545"/>
        <v>3</v>
      </c>
      <c r="O500" s="790">
        <f t="shared" ca="1" si="546"/>
        <v>89.666666666666657</v>
      </c>
      <c r="P500" s="790" cm="1">
        <f t="array" aca="1" ref="P500" ca="1">INDIRECT("'Definition of Typical Day'!"&amp; ADDRESS($D500+29*(P$16-1),$E500))</f>
        <v>0</v>
      </c>
      <c r="Q500" s="791">
        <f t="shared" ca="1" si="547"/>
        <v>3</v>
      </c>
      <c r="R500" s="793">
        <f t="shared" ca="1" si="548"/>
        <v>89.666666666666657</v>
      </c>
      <c r="S500" s="769">
        <f t="shared" si="549"/>
        <v>3</v>
      </c>
      <c r="T500" s="769">
        <f t="shared" ca="1" si="550"/>
        <v>0.04</v>
      </c>
      <c r="U500" s="769">
        <f t="shared" ca="1" si="551"/>
        <v>8.6666666666669126E-3</v>
      </c>
      <c r="V500" s="769">
        <f t="shared" ca="1" si="552"/>
        <v>0</v>
      </c>
      <c r="W500" s="769">
        <f t="shared" ca="1" si="553"/>
        <v>3.0486666666666671</v>
      </c>
      <c r="X500" s="796">
        <f t="shared" si="554"/>
        <v>3</v>
      </c>
      <c r="Y500" s="797">
        <f t="shared" ca="1" si="555"/>
        <v>3</v>
      </c>
      <c r="Z500" s="797">
        <f t="shared" ca="1" si="556"/>
        <v>1.4881223560039049E-3</v>
      </c>
      <c r="AA500" s="798">
        <f t="shared" ca="1" si="557"/>
        <v>1.4881223560039049E-3</v>
      </c>
      <c r="AB500" s="769">
        <f t="shared" ca="1" si="558"/>
        <v>0</v>
      </c>
      <c r="AC500" s="769">
        <f t="shared" ca="1" si="559"/>
        <v>0</v>
      </c>
      <c r="AD500" s="769">
        <f t="shared" ca="1" si="560"/>
        <v>0</v>
      </c>
      <c r="AE500" s="796">
        <f t="shared" ca="1" si="561"/>
        <v>1.4881223560039049E-3</v>
      </c>
      <c r="AF500" s="797">
        <f t="shared" ca="1" si="562"/>
        <v>1.4881223560039049E-5</v>
      </c>
      <c r="AG500" s="797">
        <f t="shared" ca="1" si="563"/>
        <v>1.4732411324438659E-3</v>
      </c>
      <c r="AH500" s="800">
        <f t="shared" ca="1" si="564"/>
        <v>1.4732411324438659E-3</v>
      </c>
      <c r="AI500" s="802">
        <f t="shared" ca="1" si="565"/>
        <v>1</v>
      </c>
      <c r="AJ500" s="796">
        <f t="shared" ca="1" si="566"/>
        <v>1E-3</v>
      </c>
      <c r="AK500" s="797">
        <f t="shared" ca="1" si="567"/>
        <v>4.8812235600390486E-4</v>
      </c>
      <c r="AL500" s="797">
        <f t="shared" ca="1" si="568"/>
        <v>0</v>
      </c>
      <c r="AM500" s="805">
        <f t="shared" ca="1" si="518"/>
        <v>0</v>
      </c>
      <c r="AN500" s="798">
        <f t="shared" ca="1" si="519"/>
        <v>1.3333333333333334E-4</v>
      </c>
      <c r="AO500" s="251"/>
      <c r="AP500" s="770">
        <f t="shared" si="569"/>
        <v>0</v>
      </c>
      <c r="AQ500" s="771">
        <f t="shared" ca="1" si="570"/>
        <v>0</v>
      </c>
      <c r="AR500" s="771">
        <f t="shared" ca="1" si="571"/>
        <v>2E-3</v>
      </c>
      <c r="AS500" s="772">
        <f t="shared" ca="1" si="572"/>
        <v>2E-3</v>
      </c>
      <c r="AT500" s="231"/>
      <c r="AU500" s="770">
        <f>'Main Results - IRR DC Operator'!$F$16</f>
        <v>2</v>
      </c>
      <c r="AV500" s="773">
        <f>'Main Results - IRR DC Operator'!$F$15</f>
        <v>1</v>
      </c>
      <c r="AW500" s="771">
        <f t="shared" ca="1" si="573"/>
        <v>2E-3</v>
      </c>
      <c r="AX500" s="772">
        <f t="shared" si="574"/>
        <v>0</v>
      </c>
      <c r="AY500" s="231"/>
      <c r="AZ500" s="770" cm="1">
        <f t="array" aca="1" ref="AZ500" ca="1">INDIRECT("'Definition of Typical Day'!"&amp; ADDRESS($D500+29*(AZ$16-1),$E500))+$AZ$17</f>
        <v>80.13</v>
      </c>
      <c r="BA500" s="771" cm="1">
        <f t="array" aca="1" ref="BA500" ca="1">INDIRECT("'Definition of Typical Day'!"&amp; ADDRESS($D500+29*(BA$16-1),$E500))+$BA$17</f>
        <v>80.13</v>
      </c>
      <c r="BB500" s="772" cm="1">
        <f t="array" aca="1" ref="BB500" ca="1">INDIRECT("'Definition of Typical Day'!"&amp;ADDRESS(BB$16,$E500))</f>
        <v>0</v>
      </c>
      <c r="BC500" s="776" cm="1">
        <f t="array" aca="1" ref="BC500" ca="1">INDIRECT("'Definition of Typical Day'!"&amp; ADDRESS($D500+29*(BC$16-1),$E500))</f>
        <v>100</v>
      </c>
      <c r="BD500" s="777" cm="1">
        <f t="array" aca="1" ref="BD500" ca="1">INDIRECT("'Definition of Typical Day'!"&amp; ADDRESS($D500+29*(BD$16-1),$E500))</f>
        <v>1</v>
      </c>
      <c r="BE500" s="776">
        <f t="shared" si="575"/>
        <v>0</v>
      </c>
      <c r="BF500" s="771">
        <f t="shared" ca="1" si="576"/>
        <v>3.9113244386592895E-2</v>
      </c>
      <c r="BG500" s="771">
        <f t="shared" ca="1" si="577"/>
        <v>0</v>
      </c>
      <c r="BH500" s="771">
        <f t="shared" ca="1" si="578"/>
        <v>0</v>
      </c>
      <c r="BI500" s="776">
        <f t="shared" ca="1" si="579"/>
        <v>0</v>
      </c>
      <c r="BJ500" s="776">
        <f t="shared" ca="1" si="580"/>
        <v>1.3333333333333334E-2</v>
      </c>
      <c r="BK500" s="776">
        <f t="shared" ca="1" si="581"/>
        <v>0</v>
      </c>
      <c r="BL500" s="776">
        <f t="shared" ca="1" si="582"/>
        <v>0</v>
      </c>
      <c r="BM500" s="135"/>
      <c r="BN500" s="776">
        <f t="shared" ca="1" si="583"/>
        <v>4.1113244386592897E-2</v>
      </c>
      <c r="BO500" s="778">
        <f t="shared" ca="1" si="520"/>
        <v>27.906663397588385</v>
      </c>
      <c r="BP500" s="770">
        <f t="shared" ca="1" si="521"/>
        <v>3.9113244386592895E-2</v>
      </c>
      <c r="BQ500" s="771">
        <f t="shared" ca="1" si="522"/>
        <v>0</v>
      </c>
      <c r="BR500" s="771">
        <f t="shared" ca="1" si="523"/>
        <v>0</v>
      </c>
      <c r="BS500" s="776">
        <f t="shared" ca="1" si="584"/>
        <v>4.1113244386592897E-2</v>
      </c>
      <c r="BT500" s="776">
        <f t="shared" ca="1" si="524"/>
        <v>3.9113244386592895E-2</v>
      </c>
      <c r="BU500" s="783">
        <f t="shared" ca="1" si="525"/>
        <v>26.549112378983352</v>
      </c>
      <c r="BV500" s="783">
        <f t="shared" ca="1" si="526"/>
        <v>26.549112378983352</v>
      </c>
      <c r="BW500" s="1019">
        <f t="shared" ca="1" si="585"/>
        <v>26.549112378983352</v>
      </c>
      <c r="BX500" s="771" cm="1">
        <f t="array" aca="1" ref="BX500" ca="1">INDIRECT("'Definition of Typical Day'!"&amp; ADDRESS($D500+29*(BX$16-1),$E500))</f>
        <v>65</v>
      </c>
      <c r="BY500" s="771">
        <f t="shared" ca="1" si="586"/>
        <v>0</v>
      </c>
      <c r="BZ500" s="781">
        <f t="shared" ca="1" si="527"/>
        <v>0</v>
      </c>
      <c r="CA500" s="781">
        <f t="shared" ca="1" si="528"/>
        <v>0</v>
      </c>
      <c r="CB500" s="776">
        <f t="shared" ca="1" si="529"/>
        <v>9.5760673608851279E-2</v>
      </c>
      <c r="CC500" s="782">
        <f t="shared" si="530"/>
        <v>20</v>
      </c>
      <c r="CD500" s="782">
        <f t="shared" si="531"/>
        <v>24</v>
      </c>
      <c r="CE500" s="784" t="str" cm="1">
        <f t="array" aca="1" ref="CE500" ca="1">INDIRECT("'Definition of Typical Day'!"&amp;ADDRESS(CE$16,$E500))</f>
        <v>20</v>
      </c>
      <c r="CF500" s="232"/>
      <c r="CG500" s="232"/>
      <c r="CH500" s="776">
        <f t="shared" ca="1" si="532"/>
        <v>1E-3</v>
      </c>
      <c r="CI500" s="806">
        <f t="shared" ca="1" si="533"/>
        <v>100</v>
      </c>
      <c r="CJ500" s="770">
        <f t="shared" ca="1" si="534"/>
        <v>0</v>
      </c>
      <c r="CK500" s="771">
        <f t="shared" ca="1" si="535"/>
        <v>0</v>
      </c>
      <c r="CL500" s="771">
        <f t="shared" ca="1" si="536"/>
        <v>0</v>
      </c>
      <c r="CM500" s="772">
        <f t="shared" ca="1" si="537"/>
        <v>0</v>
      </c>
      <c r="CN500" s="135"/>
      <c r="CO500" s="770">
        <f t="shared" ca="1" si="587"/>
        <v>1.05</v>
      </c>
      <c r="CP500" s="771">
        <f t="shared" ca="1" si="538"/>
        <v>0.98</v>
      </c>
      <c r="CQ500" s="771">
        <f t="shared" ca="1" si="539"/>
        <v>-2.5000000000000001E-2</v>
      </c>
      <c r="CR500" s="771">
        <f t="shared" ca="1" si="540"/>
        <v>0.95</v>
      </c>
      <c r="CS500" s="771">
        <f t="shared" ca="1" si="541"/>
        <v>0.03</v>
      </c>
      <c r="CT500" s="772">
        <f t="shared" ca="1" si="542"/>
        <v>0.02</v>
      </c>
      <c r="CU500" s="135"/>
      <c r="CV500" s="135"/>
      <c r="CW500" s="135"/>
      <c r="CX500" s="135"/>
      <c r="CY500" s="135"/>
      <c r="CZ500" s="135"/>
      <c r="DA500" s="135"/>
      <c r="DB500" s="135"/>
      <c r="DC500" s="135"/>
      <c r="DD500" s="135"/>
      <c r="DE500" s="135"/>
      <c r="DF500" s="135"/>
      <c r="DG500" s="135"/>
      <c r="DH500" s="135"/>
      <c r="DI500" s="135"/>
      <c r="DJ500" s="135"/>
      <c r="DK500" s="135"/>
      <c r="DL500" s="135"/>
      <c r="DX500" s="135"/>
      <c r="DY500" s="135"/>
      <c r="DZ500" s="135"/>
      <c r="EA500" s="135"/>
      <c r="EB500" s="135"/>
      <c r="EC500" s="135"/>
      <c r="ED500" s="135"/>
      <c r="EE500" s="135"/>
      <c r="EF500" s="135"/>
      <c r="EG500" s="135"/>
      <c r="EH500" s="135"/>
      <c r="EI500" s="135"/>
      <c r="EJ500" s="135"/>
      <c r="EK500" s="135"/>
      <c r="EL500" s="135"/>
      <c r="EM500" s="135"/>
      <c r="EN500" s="135"/>
      <c r="EO500" s="135"/>
      <c r="EP500" s="135"/>
      <c r="EQ500" s="135"/>
      <c r="ER500" s="135"/>
      <c r="ES500" s="135"/>
      <c r="ET500" s="135"/>
      <c r="EU500" s="135"/>
      <c r="EV500" s="135"/>
      <c r="EW500" s="135"/>
      <c r="EX500" s="135"/>
      <c r="EY500" s="135"/>
      <c r="EZ500" s="135"/>
      <c r="FA500" s="135"/>
      <c r="FB500" s="135"/>
      <c r="FC500" s="135"/>
      <c r="FD500" s="135"/>
      <c r="FE500" s="135"/>
      <c r="FF500" s="135"/>
      <c r="FG500" s="135"/>
    </row>
    <row r="501" spans="1:163" s="135" customFormat="1" ht="11.25">
      <c r="A501" s="9"/>
      <c r="B501" s="9"/>
      <c r="C501" s="9"/>
      <c r="D501" s="9"/>
      <c r="E501" s="9"/>
      <c r="F501" s="233"/>
      <c r="G501" s="233"/>
      <c r="H501" s="234"/>
      <c r="I501" s="231"/>
      <c r="J501" s="231"/>
      <c r="K501" s="235"/>
      <c r="L501" s="234"/>
      <c r="M501" s="234"/>
      <c r="N501" s="234"/>
      <c r="O501" s="234"/>
      <c r="P501" s="234"/>
      <c r="Q501" s="234"/>
      <c r="R501" s="231"/>
      <c r="S501" s="229"/>
      <c r="T501" s="229"/>
      <c r="U501" s="229"/>
      <c r="V501" s="229"/>
      <c r="W501" s="229"/>
      <c r="X501" s="229"/>
      <c r="Y501" s="229"/>
      <c r="Z501" s="229"/>
      <c r="AA501" s="229"/>
      <c r="AB501" s="229"/>
      <c r="AC501" s="229"/>
      <c r="AD501" s="229"/>
      <c r="AE501" s="229"/>
      <c r="AF501" s="229"/>
      <c r="AG501" s="229"/>
      <c r="AH501" s="236"/>
      <c r="AI501" s="237"/>
      <c r="AJ501" s="229"/>
      <c r="AK501" s="229"/>
      <c r="AL501" s="229"/>
      <c r="AM501" s="229"/>
      <c r="AN501" s="229"/>
      <c r="AO501" s="251"/>
      <c r="AP501" s="229"/>
      <c r="AQ501" s="229"/>
      <c r="AR501" s="229"/>
      <c r="AS501" s="229"/>
      <c r="AT501" s="229"/>
      <c r="AU501" s="229"/>
      <c r="AV501" s="229"/>
      <c r="AW501" s="238"/>
      <c r="AX501" s="238"/>
      <c r="AY501" s="229"/>
      <c r="AZ501" s="229"/>
      <c r="BA501" s="229"/>
      <c r="BB501" s="229"/>
      <c r="BC501" s="229"/>
      <c r="BD501" s="229"/>
      <c r="BE501" s="229"/>
      <c r="BF501" s="238"/>
      <c r="BG501" s="238"/>
      <c r="BH501" s="236"/>
      <c r="BI501" s="236"/>
      <c r="BJ501" s="236"/>
      <c r="BK501" s="236"/>
      <c r="BL501" s="236"/>
      <c r="BN501" s="229"/>
      <c r="BO501" s="229"/>
      <c r="BP501" s="229"/>
      <c r="BQ501" s="229"/>
      <c r="BR501" s="229"/>
      <c r="BS501" s="229"/>
      <c r="BT501" s="229"/>
      <c r="BU501" s="238"/>
      <c r="BV501" s="238"/>
      <c r="BW501" s="238"/>
      <c r="BX501" s="238"/>
      <c r="BY501" s="238"/>
      <c r="BZ501" s="238"/>
      <c r="CA501" s="238"/>
      <c r="CB501" s="238"/>
      <c r="CC501" s="780"/>
      <c r="CD501" s="780"/>
      <c r="CE501" s="232"/>
      <c r="CF501" s="232"/>
      <c r="CG501" s="232"/>
      <c r="CH501" s="232"/>
      <c r="CI501" s="232"/>
      <c r="CJ501" s="232"/>
      <c r="CK501" s="232"/>
      <c r="CL501" s="232"/>
      <c r="CM501" s="232"/>
      <c r="CO501" s="238"/>
      <c r="CP501" s="238"/>
      <c r="CQ501" s="238"/>
      <c r="CR501" s="238"/>
      <c r="CS501" s="238"/>
      <c r="CT501" s="238"/>
    </row>
    <row r="502" spans="1:163" s="168" customFormat="1" ht="105.6" customHeight="1" outlineLevel="1" thickBot="1">
      <c r="A502" s="166" t="str">
        <f>A20</f>
        <v>Typical Day ID</v>
      </c>
      <c r="B502" s="166"/>
      <c r="C502" s="166" t="str">
        <f>C20</f>
        <v>Hour</v>
      </c>
      <c r="D502" s="166">
        <f t="shared" ref="D502:AP502" si="590">D20</f>
        <v>0</v>
      </c>
      <c r="E502" s="166">
        <f t="shared" si="590"/>
        <v>0</v>
      </c>
      <c r="F502" s="166">
        <f t="shared" si="590"/>
        <v>0</v>
      </c>
      <c r="G502" s="166">
        <f t="shared" si="590"/>
        <v>0</v>
      </c>
      <c r="H502" s="166" t="str">
        <f t="shared" si="590"/>
        <v>Available waste heat (DC heat source)</v>
      </c>
      <c r="I502" s="166" t="str">
        <f>I20</f>
        <v>Flow temperature of data centre cooling system</v>
      </c>
      <c r="J502" s="166" t="str">
        <f t="shared" si="590"/>
        <v xml:space="preserve">Flow Temperature HP </v>
      </c>
      <c r="K502" s="166" t="str">
        <f t="shared" si="590"/>
        <v>Return temperature HP / Flow temperature DC</v>
      </c>
      <c r="L502" s="166" t="str">
        <f t="shared" si="590"/>
        <v>Max heat demand - grid (HP heat sink)</v>
      </c>
      <c r="M502" s="166" t="str">
        <f t="shared" si="590"/>
        <v>DH supply line temperature</v>
      </c>
      <c r="N502" s="166" t="str">
        <f t="shared" si="590"/>
        <v>Delta T DH / Heat pump</v>
      </c>
      <c r="O502" s="166" t="str">
        <f t="shared" si="590"/>
        <v>Required temperature sink out</v>
      </c>
      <c r="P502" s="166" t="str">
        <f t="shared" si="590"/>
        <v>DH return line temperature</v>
      </c>
      <c r="Q502" s="166" t="str">
        <f t="shared" si="590"/>
        <v>Temperature heat pump sink in</v>
      </c>
      <c r="R502" s="166" t="str">
        <f t="shared" si="590"/>
        <v>Actual Heat pump Temperature Sink Out</v>
      </c>
      <c r="S502" s="166" t="str">
        <f t="shared" si="590"/>
        <v>Nominal COP</v>
      </c>
      <c r="T502" s="166" t="str">
        <f t="shared" si="590"/>
        <v>COP increase due to higher heat source temperature</v>
      </c>
      <c r="U502" s="166" t="str">
        <f t="shared" si="590"/>
        <v>COP increase due to lower heat sink out temperature (eg. DH supply line temperature)</v>
      </c>
      <c r="V502" s="166" t="str">
        <f t="shared" si="590"/>
        <v>COP increase due to higher heat sink in temperature (eg. DH return line temperature)</v>
      </c>
      <c r="W502" s="166" t="str">
        <f t="shared" si="590"/>
        <v>COP at current operation conditions</v>
      </c>
      <c r="X502" s="166" t="str">
        <f t="shared" si="590"/>
        <v>Nominal capacity of heat pump</v>
      </c>
      <c r="Y502" s="166" t="str">
        <f t="shared" si="590"/>
        <v>Reduced capacity of heat pump due to volume restrictions</v>
      </c>
      <c r="Z502" s="166" t="str">
        <f t="shared" si="590"/>
        <v xml:space="preserve">Potential heat output - HP, including heat losses, not considering </v>
      </c>
      <c r="AA502" s="166" t="str">
        <f t="shared" si="590"/>
        <v>HP output due to Booster Capacity restrictions</v>
      </c>
      <c r="AB502" s="166" t="str">
        <f t="shared" si="590"/>
        <v>Delta T Booster</v>
      </c>
      <c r="AC502" s="166" t="str">
        <f t="shared" si="590"/>
        <v>Required Booster heat output</v>
      </c>
      <c r="AD502" s="166" t="str">
        <f t="shared" si="590"/>
        <v>Booster heat output</v>
      </c>
      <c r="AE502" s="166" t="str">
        <f t="shared" si="590"/>
        <v>Total heat output before additional losses</v>
      </c>
      <c r="AF502" s="166" t="str">
        <f t="shared" si="590"/>
        <v>Heat losses after HP</v>
      </c>
      <c r="AG502" s="166" t="str">
        <f t="shared" si="590"/>
        <v>Total heat output after additional losses</v>
      </c>
      <c r="AH502" s="166" t="str">
        <f t="shared" si="590"/>
        <v>Total heat output after considering restriction imposed by heat demand</v>
      </c>
      <c r="AI502" s="166" t="str">
        <f t="shared" si="590"/>
        <v>Share of heat provided by heat pump and booster utilized by grid</v>
      </c>
      <c r="AJ502" s="166" t="str">
        <f t="shared" si="590"/>
        <v>Waste heat input from DC</v>
      </c>
      <c r="AK502" s="166" t="str">
        <f t="shared" si="590"/>
        <v>Electricity input for heat pump</v>
      </c>
      <c r="AL502" s="166" t="str">
        <f t="shared" si="590"/>
        <v>Energy input for booster</v>
      </c>
      <c r="AM502" s="166" t="str">
        <f>AM20</f>
        <v>Avoided electricity demand due to reduced active cooling</v>
      </c>
      <c r="AN502" s="166" t="str">
        <f>AN20</f>
        <v>Remaining electricity demand for active cooling</v>
      </c>
      <c r="AO502" s="252"/>
      <c r="AP502" s="166" t="str">
        <f t="shared" si="590"/>
        <v>Waste heat price p_0 that is paid at the border between data centre cooling and waste heat recovery system under Take-or-Pay conditions</v>
      </c>
      <c r="AQ502" s="166" t="str">
        <f>AQ20</f>
        <v>Energy costs p_0 for waste heat from DC</v>
      </c>
      <c r="AR502" s="166" t="str">
        <f>AR20</f>
        <v>Variable O&amp;M costs for heat recovery system operator</v>
      </c>
      <c r="AS502" s="166" t="str">
        <f>AS20</f>
        <v>Total Hourly costs of heat recovery system operator</v>
      </c>
      <c r="AT502" s="194"/>
      <c r="AU502" s="166" t="str">
        <f>AU20</f>
        <v>Negotiated Waste heat price p_1</v>
      </c>
      <c r="AV502" s="166" t="str">
        <f>AV20</f>
        <v>Contract type for waste heat between Contractor 1 / DH operator and Contractor 2 / data centre operator</v>
      </c>
      <c r="AW502" s="166" t="str">
        <f>AW20</f>
        <v>Energy costs p_1 for waste heat from DC as provided by DC (take-or-pay) (Contractor 1)</v>
      </c>
      <c r="AX502" s="166" t="str">
        <f>AX20</f>
        <v>Energy costs p_1 for waste heat from DC as taken (Pay-as-you-go) (Contractor 1)</v>
      </c>
      <c r="AY502" s="194"/>
      <c r="AZ502" s="166" t="str">
        <f t="shared" ref="AZ502:BL502" si="591">AZ20</f>
        <v>Electricity price Heat pump</v>
      </c>
      <c r="BA502" s="166" t="str">
        <f t="shared" si="591"/>
        <v>Fuel price booster</v>
      </c>
      <c r="BB502" s="166" t="str">
        <f t="shared" si="591"/>
        <v>Electricity price auxiliary energy</v>
      </c>
      <c r="BC502" s="166" t="str">
        <f>BC20</f>
        <v>Data centre operator: Electricity price for cooling unit</v>
      </c>
      <c r="BD502" s="166" t="str">
        <f>BD20</f>
        <v>Data centre operator: Share of active cooling needed if heat is not taken up by DH</v>
      </c>
      <c r="BE502" s="166" t="str">
        <f t="shared" si="591"/>
        <v xml:space="preserve">Average Subsidies given Contractor 1 per utilized waste heat </v>
      </c>
      <c r="BF502" s="166" t="str">
        <f t="shared" si="591"/>
        <v>Electricity costs for heat pump (Contractor 1)</v>
      </c>
      <c r="BG502" s="166" t="str">
        <f t="shared" si="591"/>
        <v>Electricity costs auxiliary energy (Contractor 1)</v>
      </c>
      <c r="BH502" s="166" t="str">
        <f t="shared" si="591"/>
        <v>Fuel costs for booster (Contractor 1)</v>
      </c>
      <c r="BI502" s="166" t="str">
        <f>BI20</f>
        <v>Avoided electricity costs due to reduced active cooling</v>
      </c>
      <c r="BJ502" s="166" t="str">
        <f>BJ20</f>
        <v>Remaining electricity costs for active cooling</v>
      </c>
      <c r="BK502" s="166" t="str">
        <f>BK20</f>
        <v>Subsidies given per utilized waste heat to Contractor 1 / DH Operator</v>
      </c>
      <c r="BL502" s="166" t="str">
        <f t="shared" si="591"/>
        <v>Subsidies given per utilized waste heat to Contractor 1 / DH Operator considering that they must not exceed costs for electricity</v>
      </c>
      <c r="BM502" s="241"/>
      <c r="BN502" s="166" t="str">
        <f t="shared" ref="BN502:CM502" si="592">BN20</f>
        <v>Total energy costs considering subsidies Contractor 1 / DH operator including subsidies S3 provided for the utilized waste heat</v>
      </c>
      <c r="BO502" s="166" t="str">
        <f t="shared" si="592"/>
        <v>Total energy costs per delivered Heat to Grid Contractor 1 / DH Operator</v>
      </c>
      <c r="BP502" s="166" t="str">
        <f t="shared" si="592"/>
        <v>Total SRMC energy costs Contractor 1 / DH Operator excluding subsidies S3 provided for the utilized waste heat</v>
      </c>
      <c r="BQ502" s="166" t="str">
        <f t="shared" si="592"/>
        <v>Variable (MWh-specific) O&amp;M Costs Heat pump Contractor 1 / DH Operator</v>
      </c>
      <c r="BR502" s="166" t="str">
        <f t="shared" si="592"/>
        <v>Variable (MWh-specific) O&amp;M Costs Booster Contractor 1 / DH Operator</v>
      </c>
      <c r="BS502" s="166" t="str">
        <f t="shared" si="592"/>
        <v>Total Hourly costs of Contractor 1 / DH Operator including subsidies S3 provided for the utilized waste heat</v>
      </c>
      <c r="BT502" s="166" t="str">
        <f t="shared" si="592"/>
        <v>Short run marginal costs per hour Contractor 1 / DH Operator excluding subsidies S3 provided for the utilized waste heat</v>
      </c>
      <c r="BU502" s="166" t="str">
        <f t="shared" si="592"/>
        <v>Short run marginal costs per MWh Contractor 1 / DH Operator excluding subsidies S3 provided for the utilized waste heat</v>
      </c>
      <c r="BV502" s="166" t="str">
        <f t="shared" si="592"/>
        <v>Short run marginal costs per MWh Contractor 1 / DH Operator including subsidies S3 provided for the utilized waste heat</v>
      </c>
      <c r="BW502" s="166" t="str">
        <f>BW20</f>
        <v>Short run marginal costs per MWh Contractor 1 / DH Operator used to compare against reference SRMC alternative production</v>
      </c>
      <c r="BX502" s="166" t="str">
        <f t="shared" si="592"/>
        <v>Reference SRMC alternative production [EUR/MWh_delivered]</v>
      </c>
      <c r="BY502" s="166" t="str">
        <f t="shared" si="592"/>
        <v>Is Heat production because SRMC lower than alternative, temperature can be met and system is available</v>
      </c>
      <c r="BZ502" s="166" t="str">
        <f t="shared" si="592"/>
        <v>Operation hours</v>
      </c>
      <c r="CA502" s="166" t="str">
        <f t="shared" si="592"/>
        <v>Operation hours in full-load-hours equivalents</v>
      </c>
      <c r="CB502" s="166" t="str">
        <f t="shared" si="592"/>
        <v>Reference SRMC alternative production [EUR/h]</v>
      </c>
      <c r="CC502" s="166" t="str">
        <f t="shared" si="592"/>
        <v>Typical Day ID</v>
      </c>
      <c r="CD502" s="166" t="str">
        <f t="shared" si="592"/>
        <v>Hour</v>
      </c>
      <c r="CE502" s="166" t="str">
        <f t="shared" si="592"/>
        <v>Name of typical day</v>
      </c>
      <c r="CF502" s="239"/>
      <c r="CG502" s="239"/>
      <c r="CH502" s="166" t="str">
        <f t="shared" si="592"/>
        <v>Waste heat output DC</v>
      </c>
      <c r="CI502" s="166" t="str">
        <f t="shared" si="592"/>
        <v>Max heat demand grid</v>
      </c>
      <c r="CJ502" s="166" t="str">
        <f t="shared" si="592"/>
        <v>Heat fed into grid considering actual operation</v>
      </c>
      <c r="CK502" s="166" t="str">
        <f t="shared" si="592"/>
        <v>Waste heat input from DC actual operation</v>
      </c>
      <c r="CL502" s="166" t="str">
        <f t="shared" si="592"/>
        <v>Electricity input for heat pump actual operation</v>
      </c>
      <c r="CM502" s="166" t="str">
        <f t="shared" si="592"/>
        <v>Energy input for booster actual operation</v>
      </c>
      <c r="CN502" s="241"/>
      <c r="CO502" s="166"/>
      <c r="CP502" s="166"/>
      <c r="CQ502" s="166"/>
      <c r="CR502" s="166"/>
      <c r="CS502" s="166"/>
      <c r="CT502" s="166"/>
      <c r="CU502" s="241"/>
      <c r="CV502" s="241"/>
      <c r="CW502" s="241"/>
      <c r="CX502" s="241"/>
      <c r="CY502" s="241"/>
      <c r="CZ502" s="241"/>
      <c r="DA502" s="241"/>
      <c r="DB502" s="241"/>
      <c r="DC502" s="241"/>
      <c r="DD502" s="241"/>
      <c r="DE502" s="241"/>
      <c r="DF502" s="241"/>
      <c r="DG502" s="241"/>
      <c r="DH502" s="241"/>
      <c r="DI502" s="241"/>
      <c r="DJ502" s="241"/>
      <c r="DK502" s="241"/>
      <c r="DL502" s="241"/>
      <c r="DX502" s="241"/>
      <c r="DY502" s="241"/>
      <c r="DZ502" s="241"/>
      <c r="EA502" s="241"/>
      <c r="EB502" s="241"/>
      <c r="EC502" s="241"/>
      <c r="ED502" s="241"/>
      <c r="EE502" s="241"/>
      <c r="EF502" s="241"/>
      <c r="EG502" s="241"/>
      <c r="EH502" s="241"/>
      <c r="EI502" s="241"/>
      <c r="EJ502" s="241"/>
      <c r="EK502" s="241"/>
      <c r="EL502" s="241"/>
      <c r="EM502" s="241"/>
      <c r="EN502" s="241"/>
      <c r="EO502" s="241"/>
      <c r="EP502" s="241"/>
      <c r="EQ502" s="241"/>
      <c r="ER502" s="241"/>
      <c r="ES502" s="241"/>
      <c r="ET502" s="241"/>
      <c r="EU502" s="241"/>
      <c r="EV502" s="241"/>
      <c r="EW502" s="241"/>
      <c r="EX502" s="241"/>
      <c r="EY502" s="241"/>
      <c r="EZ502" s="241"/>
      <c r="FA502" s="241"/>
      <c r="FB502" s="241"/>
      <c r="FC502" s="241"/>
      <c r="FD502" s="241"/>
      <c r="FE502" s="241"/>
      <c r="FF502" s="241"/>
      <c r="FG502" s="241"/>
    </row>
    <row r="503" spans="1:163" s="135" customFormat="1" ht="12" thickBot="1">
      <c r="A503" s="138" t="s">
        <v>755</v>
      </c>
      <c r="B503" s="138"/>
      <c r="C503" s="138">
        <f t="shared" ref="C503:AN503" ca="1" si="593">SUMIFS(C21:C500,$BY$21:$BY$500,1)</f>
        <v>1479</v>
      </c>
      <c r="D503" s="138">
        <f t="shared" ca="1" si="593"/>
        <v>5525</v>
      </c>
      <c r="E503" s="138">
        <f t="shared" ca="1" si="593"/>
        <v>832</v>
      </c>
      <c r="F503" s="138">
        <f t="shared" ca="1" si="593"/>
        <v>1479</v>
      </c>
      <c r="G503" s="138">
        <f t="shared" ca="1" si="593"/>
        <v>356</v>
      </c>
      <c r="H503" s="138">
        <f t="shared" ca="1" si="593"/>
        <v>238</v>
      </c>
      <c r="I503" s="138">
        <f t="shared" ca="1" si="593"/>
        <v>4760</v>
      </c>
      <c r="J503" s="138">
        <f t="shared" ca="1" si="593"/>
        <v>4403</v>
      </c>
      <c r="K503" s="138">
        <f t="shared" ca="1" si="593"/>
        <v>3332</v>
      </c>
      <c r="L503" s="138">
        <f t="shared" ca="1" si="593"/>
        <v>714</v>
      </c>
      <c r="M503" s="138">
        <f t="shared" ca="1" si="593"/>
        <v>8788.3333333333321</v>
      </c>
      <c r="N503" s="138">
        <f t="shared" ca="1" si="593"/>
        <v>357</v>
      </c>
      <c r="O503" s="138">
        <f t="shared" ca="1" si="593"/>
        <v>9145.3333333333339</v>
      </c>
      <c r="P503" s="138">
        <f t="shared" ca="1" si="593"/>
        <v>5355</v>
      </c>
      <c r="Q503" s="138">
        <f t="shared" ca="1" si="593"/>
        <v>5712</v>
      </c>
      <c r="R503" s="138">
        <f t="shared" ca="1" si="593"/>
        <v>9137.3333333333339</v>
      </c>
      <c r="S503" s="138">
        <f t="shared" ca="1" si="593"/>
        <v>357</v>
      </c>
      <c r="T503" s="138">
        <f t="shared" ca="1" si="593"/>
        <v>28.559999999999931</v>
      </c>
      <c r="U503" s="138">
        <f t="shared" ca="1" si="593"/>
        <v>40.88933333333329</v>
      </c>
      <c r="V503" s="138">
        <f t="shared" ca="1" si="593"/>
        <v>0</v>
      </c>
      <c r="W503" s="138">
        <f t="shared" ca="1" si="593"/>
        <v>426.44933333333375</v>
      </c>
      <c r="X503" s="138">
        <f t="shared" ca="1" si="593"/>
        <v>357</v>
      </c>
      <c r="Y503" s="138">
        <f t="shared" ca="1" si="593"/>
        <v>315.70205614730349</v>
      </c>
      <c r="Z503" s="138">
        <f t="shared" ca="1" si="593"/>
        <v>305.17324400717609</v>
      </c>
      <c r="AA503" s="138">
        <f t="shared" ca="1" si="593"/>
        <v>305.17324400717609</v>
      </c>
      <c r="AB503" s="138">
        <f t="shared" ca="1" si="593"/>
        <v>8</v>
      </c>
      <c r="AC503" s="138">
        <f t="shared" ca="1" si="593"/>
        <v>0.50176464656650199</v>
      </c>
      <c r="AD503" s="138">
        <f t="shared" ca="1" si="593"/>
        <v>0.50176464656650199</v>
      </c>
      <c r="AE503" s="138">
        <f t="shared" ca="1" si="593"/>
        <v>305.67500865374257</v>
      </c>
      <c r="AF503" s="138">
        <f t="shared" ca="1" si="593"/>
        <v>3.0567500865374178</v>
      </c>
      <c r="AG503" s="138">
        <f t="shared" ca="1" si="593"/>
        <v>302.61825856720532</v>
      </c>
      <c r="AH503" s="138">
        <f t="shared" ca="1" si="593"/>
        <v>302.61825856720532</v>
      </c>
      <c r="AI503" s="138">
        <f t="shared" ca="1" si="593"/>
        <v>119</v>
      </c>
      <c r="AJ503" s="138">
        <f t="shared" ca="1" si="593"/>
        <v>218.40980446102688</v>
      </c>
      <c r="AK503" s="138">
        <f t="shared" ca="1" si="593"/>
        <v>86.763439546149911</v>
      </c>
      <c r="AL503" s="138">
        <f t="shared" ca="1" si="593"/>
        <v>0.50683297632979996</v>
      </c>
      <c r="AM503" s="138">
        <f t="shared" ca="1" si="593"/>
        <v>21.227973928136823</v>
      </c>
      <c r="AN503" s="138">
        <f t="shared" ca="1" si="593"/>
        <v>2.6120260718631476</v>
      </c>
      <c r="AO503" s="251"/>
      <c r="AP503" s="138">
        <f ca="1">SUMIFS(AP21:AP500,$BY$21:$BY$500,1)</f>
        <v>0</v>
      </c>
      <c r="AQ503" s="138">
        <f ca="1">SUMIFS(AQ21:AQ500,$BY$21:$BY$500,1)</f>
        <v>0</v>
      </c>
      <c r="AR503" s="138">
        <f ca="1">SUMIFS(AR21:AR500,$BY$21:$BY$500,1)</f>
        <v>436.81960892205376</v>
      </c>
      <c r="AS503" s="138">
        <f ca="1">SUMIFS(AS21:AS500,$BY$21:$BY$500,1)</f>
        <v>436.81960892205376</v>
      </c>
      <c r="AT503" s="203"/>
      <c r="AU503" s="138">
        <f ca="1">SUMIFS(AU21:AU500,$BY$21:$BY$500,1)</f>
        <v>238</v>
      </c>
      <c r="AV503" s="138">
        <f ca="1">SUMIFS(AV21:AV500,$BY$21:$BY$500,1)</f>
        <v>119</v>
      </c>
      <c r="AW503" s="138">
        <f ca="1">SUMIFS(AW21:AW500,$BY$21:$BY$500,1)</f>
        <v>476</v>
      </c>
      <c r="AX503" s="138">
        <f ca="1">SUMIFS(AX21:AX500,$BY$21:$BY$500,1)</f>
        <v>0</v>
      </c>
      <c r="AY503" s="203"/>
      <c r="AZ503" s="138">
        <f t="shared" ref="AZ503:BL503" ca="1" si="594">SUMIFS(AZ21:AZ500,$BY$21:$BY$500,1)</f>
        <v>9460.8600000000042</v>
      </c>
      <c r="BA503" s="138">
        <f t="shared" ca="1" si="594"/>
        <v>9460.8600000000042</v>
      </c>
      <c r="BB503" s="138">
        <f t="shared" ca="1" si="594"/>
        <v>9468</v>
      </c>
      <c r="BC503" s="138">
        <f t="shared" ca="1" si="594"/>
        <v>9341.8600000000042</v>
      </c>
      <c r="BD503" s="138">
        <f t="shared" ca="1" si="594"/>
        <v>89.4</v>
      </c>
      <c r="BE503" s="138">
        <f t="shared" ca="1" si="594"/>
        <v>0</v>
      </c>
      <c r="BF503" s="138">
        <f t="shared" ca="1" si="594"/>
        <v>6962.4755091364786</v>
      </c>
      <c r="BG503" s="138">
        <f t="shared" ca="1" si="594"/>
        <v>500.2699361095419</v>
      </c>
      <c r="BH503" s="138">
        <f t="shared" ca="1" si="594"/>
        <v>38.838610976152566</v>
      </c>
      <c r="BI503" s="138">
        <f t="shared" ca="1" si="594"/>
        <v>1636.6381742988326</v>
      </c>
      <c r="BJ503" s="138">
        <f t="shared" ca="1" si="594"/>
        <v>196.86395903450085</v>
      </c>
      <c r="BK503" s="138">
        <f t="shared" ca="1" si="594"/>
        <v>0</v>
      </c>
      <c r="BL503" s="138">
        <f t="shared" ca="1" si="594"/>
        <v>0</v>
      </c>
      <c r="BN503" s="138">
        <f t="shared" ref="BN503:CE503" ca="1" si="595">SUMIFS(BN21:BN500,$BY$21:$BY$500,1)</f>
        <v>7977.5840562221711</v>
      </c>
      <c r="BO503" s="138">
        <f t="shared" ca="1" si="595"/>
        <v>3088.6501668146066</v>
      </c>
      <c r="BP503" s="138">
        <f t="shared" ca="1" si="595"/>
        <v>7501.5840562221711</v>
      </c>
      <c r="BQ503" s="138">
        <f t="shared" ca="1" si="595"/>
        <v>0</v>
      </c>
      <c r="BR503" s="138">
        <f t="shared" ca="1" si="595"/>
        <v>0</v>
      </c>
      <c r="BS503" s="138">
        <f t="shared" ca="1" si="595"/>
        <v>7977.5840562221711</v>
      </c>
      <c r="BT503" s="138">
        <f t="shared" ca="1" si="595"/>
        <v>7501.5840562221711</v>
      </c>
      <c r="BU503" s="138">
        <f t="shared" ca="1" si="595"/>
        <v>2897.3860119863448</v>
      </c>
      <c r="BV503" s="138">
        <f t="shared" ca="1" si="595"/>
        <v>2897.3860119863448</v>
      </c>
      <c r="BW503" s="138">
        <f t="shared" ca="1" si="595"/>
        <v>2897.3860119863448</v>
      </c>
      <c r="BX503" s="138">
        <f t="shared" ca="1" si="595"/>
        <v>6680</v>
      </c>
      <c r="BY503" s="138">
        <f t="shared" ca="1" si="595"/>
        <v>119</v>
      </c>
      <c r="BZ503" s="138">
        <f t="shared" ca="1" si="595"/>
        <v>119</v>
      </c>
      <c r="CA503" s="138">
        <f t="shared" ca="1" si="595"/>
        <v>101.72441466905894</v>
      </c>
      <c r="CB503" s="138">
        <f t="shared" ca="1" si="595"/>
        <v>17279.910003275589</v>
      </c>
      <c r="CC503" s="138">
        <f t="shared" ca="1" si="595"/>
        <v>356</v>
      </c>
      <c r="CD503" s="138">
        <f t="shared" ca="1" si="595"/>
        <v>1479</v>
      </c>
      <c r="CE503" s="138">
        <f t="shared" ca="1" si="595"/>
        <v>0</v>
      </c>
      <c r="CF503" s="232"/>
      <c r="CG503" s="232"/>
      <c r="CH503" s="138">
        <f t="shared" ref="CH503:CM503" ca="1" si="596">SUMIFS(CH21:CH500,$BY$21:$BY$500,1)</f>
        <v>238</v>
      </c>
      <c r="CI503" s="138">
        <f t="shared" ca="1" si="596"/>
        <v>714</v>
      </c>
      <c r="CJ503" s="138">
        <f t="shared" ca="1" si="596"/>
        <v>302.61825856720532</v>
      </c>
      <c r="CK503" s="138">
        <f t="shared" ca="1" si="596"/>
        <v>218.40980446102688</v>
      </c>
      <c r="CL503" s="138">
        <f t="shared" ca="1" si="596"/>
        <v>86.763439546149911</v>
      </c>
      <c r="CM503" s="138">
        <f t="shared" ca="1" si="596"/>
        <v>0.50683297632979996</v>
      </c>
      <c r="CO503" s="138"/>
      <c r="CP503" s="138"/>
      <c r="CQ503" s="138"/>
      <c r="CR503" s="138"/>
      <c r="CS503" s="138"/>
      <c r="CT503" s="138"/>
    </row>
    <row r="504" spans="1:163" s="135" customFormat="1" ht="12" thickBot="1">
      <c r="A504" s="138" t="s">
        <v>756</v>
      </c>
      <c r="B504" s="138"/>
      <c r="C504" s="138">
        <f t="shared" ref="C504:AU504" si="597">SUM(C21:C500)</f>
        <v>6000</v>
      </c>
      <c r="D504" s="138">
        <f t="shared" si="597"/>
        <v>22320</v>
      </c>
      <c r="E504" s="138">
        <f t="shared" si="597"/>
        <v>6960</v>
      </c>
      <c r="F504" s="138">
        <f t="shared" ca="1" si="597"/>
        <v>6000</v>
      </c>
      <c r="G504" s="138">
        <f t="shared" ca="1" si="597"/>
        <v>5040</v>
      </c>
      <c r="H504" s="138">
        <f t="shared" ca="1" si="597"/>
        <v>240.02400000000011</v>
      </c>
      <c r="I504" s="138">
        <f ca="1">SUM(I21:I500)</f>
        <v>6480</v>
      </c>
      <c r="J504" s="138">
        <f t="shared" ca="1" si="597"/>
        <v>5976</v>
      </c>
      <c r="K504" s="138">
        <f t="shared" si="597"/>
        <v>13440</v>
      </c>
      <c r="L504" s="138">
        <f t="shared" ca="1" si="597"/>
        <v>3120</v>
      </c>
      <c r="M504" s="138">
        <f t="shared" ca="1" si="597"/>
        <v>12565.166666666666</v>
      </c>
      <c r="N504" s="138">
        <f t="shared" si="597"/>
        <v>1440</v>
      </c>
      <c r="O504" s="138">
        <f t="shared" ca="1" si="597"/>
        <v>14005.166666666668</v>
      </c>
      <c r="P504" s="138">
        <f t="shared" ca="1" si="597"/>
        <v>7515</v>
      </c>
      <c r="Q504" s="138">
        <f t="shared" ca="1" si="597"/>
        <v>8955</v>
      </c>
      <c r="R504" s="138">
        <f t="shared" ca="1" si="597"/>
        <v>13996.166666666668</v>
      </c>
      <c r="S504" s="138">
        <f t="shared" si="597"/>
        <v>1440</v>
      </c>
      <c r="T504" s="138">
        <f t="shared" ca="1" si="597"/>
        <v>-120.47999999999992</v>
      </c>
      <c r="U504" s="138">
        <f t="shared" ca="1" si="597"/>
        <v>759.29966666666064</v>
      </c>
      <c r="V504" s="138">
        <f t="shared" ca="1" si="597"/>
        <v>0</v>
      </c>
      <c r="W504" s="138">
        <f t="shared" ca="1" si="597"/>
        <v>2078.819666666649</v>
      </c>
      <c r="X504" s="138">
        <f t="shared" si="597"/>
        <v>1440</v>
      </c>
      <c r="Y504" s="138">
        <f t="shared" ca="1" si="597"/>
        <v>628.40349695309646</v>
      </c>
      <c r="Z504" s="138">
        <f t="shared" ca="1" si="597"/>
        <v>307.32982916802484</v>
      </c>
      <c r="AA504" s="138">
        <f t="shared" ca="1" si="597"/>
        <v>307.32982916802484</v>
      </c>
      <c r="AB504" s="138">
        <f t="shared" ca="1" si="597"/>
        <v>9</v>
      </c>
      <c r="AC504" s="138">
        <f t="shared" ca="1" si="597"/>
        <v>0.50179706274117064</v>
      </c>
      <c r="AD504" s="138">
        <f t="shared" ca="1" si="597"/>
        <v>0.50179706274117064</v>
      </c>
      <c r="AE504" s="138">
        <f t="shared" ca="1" si="597"/>
        <v>307.83162623076601</v>
      </c>
      <c r="AF504" s="138">
        <f t="shared" ca="1" si="597"/>
        <v>3.0783162623076503</v>
      </c>
      <c r="AG504" s="138">
        <f t="shared" ca="1" si="597"/>
        <v>304.75330996845815</v>
      </c>
      <c r="AH504" s="138">
        <f t="shared" ca="1" si="597"/>
        <v>304.75330996845815</v>
      </c>
      <c r="AI504" s="138">
        <f t="shared" ca="1" si="597"/>
        <v>480</v>
      </c>
      <c r="AJ504" s="138">
        <f t="shared" ca="1" si="597"/>
        <v>220.01699178998501</v>
      </c>
      <c r="AK504" s="138">
        <f t="shared" ca="1" si="597"/>
        <v>87.312837378040456</v>
      </c>
      <c r="AL504" s="138">
        <f t="shared" ca="1" si="597"/>
        <v>0.50686571994057628</v>
      </c>
      <c r="AM504" s="138">
        <f ca="1">SUM(AM21:AM500)</f>
        <v>21.227973928136823</v>
      </c>
      <c r="AN504" s="138">
        <f ca="1">SUM(AN21:AN500)</f>
        <v>2.8818927385298139</v>
      </c>
      <c r="AO504" s="251"/>
      <c r="AP504" s="138">
        <f t="shared" si="597"/>
        <v>0</v>
      </c>
      <c r="AQ504" s="138">
        <f t="shared" ca="1" si="597"/>
        <v>0</v>
      </c>
      <c r="AR504" s="138">
        <f t="shared" ca="1" si="597"/>
        <v>440.03398357997003</v>
      </c>
      <c r="AS504" s="138">
        <f t="shared" ca="1" si="597"/>
        <v>440.03398357997003</v>
      </c>
      <c r="AT504" s="203"/>
      <c r="AU504" s="138">
        <f t="shared" si="597"/>
        <v>960</v>
      </c>
      <c r="AV504" s="138">
        <f>SUM(AV21:AV500)</f>
        <v>480</v>
      </c>
      <c r="AW504" s="138">
        <f ca="1">SUM(AW21:AW500)</f>
        <v>480.04800000000023</v>
      </c>
      <c r="AX504" s="138">
        <f>SUM(AX21:AX500)</f>
        <v>0</v>
      </c>
      <c r="AY504" s="203"/>
      <c r="AZ504" s="138">
        <f t="shared" ref="AZ504:BL504" ca="1" si="598">SUM(AZ21:AZ500)</f>
        <v>17082.835000000006</v>
      </c>
      <c r="BA504" s="138">
        <f t="shared" ca="1" si="598"/>
        <v>17082.835000000006</v>
      </c>
      <c r="BB504" s="138">
        <f t="shared" ca="1" si="598"/>
        <v>11112</v>
      </c>
      <c r="BC504" s="138">
        <f ca="1">SUM(BC21:BC500)</f>
        <v>13874.945000000003</v>
      </c>
      <c r="BD504" s="138">
        <f ca="1">SUM(BD21:BD500)</f>
        <v>138.4</v>
      </c>
      <c r="BE504" s="138">
        <f t="shared" si="598"/>
        <v>0</v>
      </c>
      <c r="BF504" s="138">
        <f t="shared" ca="1" si="598"/>
        <v>7071.8375515422931</v>
      </c>
      <c r="BG504" s="138">
        <f t="shared" ca="1" si="598"/>
        <v>502.81552052181348</v>
      </c>
      <c r="BH504" s="138">
        <f t="shared" ca="1" si="598"/>
        <v>38.841132234182346</v>
      </c>
      <c r="BI504" s="138">
        <f ca="1">SUM(BI21:BI500)</f>
        <v>1636.6381742988326</v>
      </c>
      <c r="BJ504" s="138">
        <f ca="1">SUM(BJ21:BJ500)</f>
        <v>250.63995903450058</v>
      </c>
      <c r="BK504" s="138">
        <f ca="1">SUM(BK21:BK500)</f>
        <v>0</v>
      </c>
      <c r="BL504" s="138">
        <f t="shared" ca="1" si="598"/>
        <v>0</v>
      </c>
      <c r="BN504" s="138">
        <f t="shared" ref="BN504:CM504" ca="1" si="599">SUM(BN21:BN500)</f>
        <v>8093.5422042982855</v>
      </c>
      <c r="BO504" s="138">
        <f t="shared" ca="1" si="599"/>
        <v>3830.7878545938261</v>
      </c>
      <c r="BP504" s="138">
        <f t="shared" ca="1" si="599"/>
        <v>7613.4942042982866</v>
      </c>
      <c r="BQ504" s="138">
        <f t="shared" ca="1" si="599"/>
        <v>0</v>
      </c>
      <c r="BR504" s="138">
        <f t="shared" ca="1" si="599"/>
        <v>0</v>
      </c>
      <c r="BS504" s="138">
        <f t="shared" ca="1" si="599"/>
        <v>8093.5422042982855</v>
      </c>
      <c r="BT504" s="138">
        <f t="shared" ca="1" si="599"/>
        <v>7613.4942042982866</v>
      </c>
      <c r="BU504" s="138">
        <f t="shared" ca="1" si="599"/>
        <v>3604.6391837002939</v>
      </c>
      <c r="BV504" s="138">
        <f ca="1">SUM(BV21:BV500)</f>
        <v>3604.6391837002939</v>
      </c>
      <c r="BW504" s="138">
        <f ca="1">SUM(BW21:BW500)</f>
        <v>3604.6391837002939</v>
      </c>
      <c r="BX504" s="138">
        <f t="shared" ca="1" si="599"/>
        <v>9600</v>
      </c>
      <c r="BY504" s="138">
        <f t="shared" ca="1" si="599"/>
        <v>119</v>
      </c>
      <c r="BZ504" s="138">
        <f ca="1">SUM(BZ21:BZ500)</f>
        <v>119</v>
      </c>
      <c r="CA504" s="138">
        <f ca="1">SUM(CA21:CA500)</f>
        <v>101.72441466905894</v>
      </c>
      <c r="CB504" s="138">
        <f t="shared" ca="1" si="599"/>
        <v>17366.185665853933</v>
      </c>
      <c r="CC504" s="138">
        <f t="shared" si="599"/>
        <v>5040</v>
      </c>
      <c r="CD504" s="138">
        <f t="shared" si="599"/>
        <v>6000</v>
      </c>
      <c r="CE504" s="138">
        <f t="shared" ca="1" si="599"/>
        <v>4056</v>
      </c>
      <c r="CF504" s="232"/>
      <c r="CG504" s="232"/>
      <c r="CH504" s="138">
        <f t="shared" ca="1" si="599"/>
        <v>240.02400000000011</v>
      </c>
      <c r="CI504" s="138">
        <f t="shared" ca="1" si="599"/>
        <v>3120</v>
      </c>
      <c r="CJ504" s="138">
        <f t="shared" ca="1" si="599"/>
        <v>302.61825856720532</v>
      </c>
      <c r="CK504" s="138">
        <f t="shared" ca="1" si="599"/>
        <v>218.40980446102688</v>
      </c>
      <c r="CL504" s="138">
        <f t="shared" ca="1" si="599"/>
        <v>86.763439546149911</v>
      </c>
      <c r="CM504" s="138">
        <f t="shared" ca="1" si="599"/>
        <v>0.50683297632979996</v>
      </c>
      <c r="CO504" s="138"/>
      <c r="CP504" s="138"/>
      <c r="CQ504" s="138"/>
      <c r="CR504" s="138"/>
      <c r="CS504" s="138"/>
      <c r="CT504" s="138"/>
    </row>
    <row r="505" spans="1:163" s="196" customFormat="1">
      <c r="AW505" s="63"/>
      <c r="AX505" s="63"/>
      <c r="BF505" s="63"/>
      <c r="BG505" s="63"/>
      <c r="BH505" s="63"/>
      <c r="BI505" s="63"/>
      <c r="BJ505" s="63"/>
      <c r="BK505" s="63"/>
      <c r="BL505" s="63"/>
      <c r="BU505" s="63"/>
      <c r="BV505" s="63"/>
      <c r="BW505" s="63"/>
      <c r="BX505" s="63"/>
      <c r="BY505" s="63"/>
      <c r="BZ505" s="63"/>
      <c r="CA505" s="63"/>
      <c r="CB505" s="63"/>
      <c r="CO505" s="63"/>
      <c r="CP505" s="63"/>
      <c r="CQ505" s="63"/>
      <c r="CR505" s="63"/>
      <c r="CS505" s="63"/>
      <c r="CT505" s="63"/>
    </row>
    <row r="506" spans="1:163" s="196" customFormat="1">
      <c r="AW506" s="63"/>
      <c r="AX506" s="63"/>
      <c r="BF506" s="63"/>
      <c r="BG506" s="63"/>
      <c r="BH506" s="63"/>
      <c r="BI506" s="63"/>
      <c r="BJ506" s="63"/>
      <c r="BK506" s="63"/>
      <c r="BL506" s="63"/>
      <c r="BU506" s="63"/>
      <c r="BV506" s="63"/>
      <c r="BW506" s="63"/>
      <c r="BX506" s="63"/>
      <c r="BY506" s="63"/>
      <c r="BZ506" s="63"/>
      <c r="CA506" s="63"/>
      <c r="CB506" s="63"/>
      <c r="CO506" s="63"/>
      <c r="CP506" s="63"/>
      <c r="CQ506" s="63"/>
      <c r="CR506" s="63"/>
      <c r="CS506" s="63"/>
      <c r="CT506" s="63"/>
    </row>
    <row r="507" spans="1:163" s="196" customFormat="1">
      <c r="AW507" s="63"/>
      <c r="AX507" s="63"/>
      <c r="BF507" s="63"/>
      <c r="BG507" s="63"/>
      <c r="BH507" s="63"/>
      <c r="BI507" s="63"/>
      <c r="BJ507" s="63"/>
      <c r="BK507" s="63"/>
      <c r="BL507" s="63"/>
      <c r="BU507" s="63"/>
      <c r="BV507" s="63"/>
      <c r="BW507" s="63"/>
      <c r="BX507" s="63"/>
      <c r="BY507" s="63"/>
      <c r="BZ507" s="63"/>
      <c r="CA507" s="63"/>
      <c r="CB507" s="63"/>
      <c r="CO507" s="63"/>
      <c r="CP507" s="63"/>
      <c r="CQ507" s="63"/>
      <c r="CR507" s="63"/>
      <c r="CS507" s="63"/>
      <c r="CT507" s="63"/>
    </row>
    <row r="508" spans="1:163" s="196" customFormat="1">
      <c r="AW508" s="63"/>
      <c r="AX508" s="63"/>
      <c r="BF508" s="63"/>
      <c r="BG508" s="63"/>
      <c r="BH508" s="63"/>
      <c r="BI508" s="63"/>
      <c r="BJ508" s="63"/>
      <c r="BK508" s="63"/>
      <c r="BL508" s="63"/>
      <c r="BU508" s="63"/>
      <c r="BV508" s="63"/>
      <c r="BW508" s="63"/>
      <c r="BX508" s="63"/>
      <c r="BY508" s="63"/>
      <c r="BZ508" s="63"/>
      <c r="CA508" s="63"/>
      <c r="CB508" s="63"/>
      <c r="CO508" s="63"/>
      <c r="CP508" s="63"/>
      <c r="CQ508" s="63"/>
      <c r="CR508" s="63"/>
      <c r="CS508" s="63"/>
      <c r="CT508" s="63"/>
    </row>
    <row r="509" spans="1:163" s="196" customFormat="1">
      <c r="AW509" s="63"/>
      <c r="AX509" s="63"/>
      <c r="BF509" s="63"/>
      <c r="BG509" s="63"/>
      <c r="BH509" s="63"/>
      <c r="BI509" s="63"/>
      <c r="BJ509" s="63"/>
      <c r="BK509" s="63"/>
      <c r="BL509" s="63"/>
      <c r="BU509" s="63"/>
      <c r="BV509" s="63"/>
      <c r="BW509" s="63"/>
      <c r="BX509" s="63"/>
      <c r="BY509" s="63"/>
      <c r="BZ509" s="63"/>
      <c r="CA509" s="63"/>
      <c r="CB509" s="63"/>
      <c r="CO509" s="63"/>
      <c r="CP509" s="63"/>
      <c r="CQ509" s="63"/>
      <c r="CR509" s="63"/>
      <c r="CS509" s="63"/>
      <c r="CT509" s="63"/>
    </row>
    <row r="510" spans="1:163" s="196" customFormat="1">
      <c r="AW510" s="63"/>
      <c r="AX510" s="63"/>
      <c r="BF510" s="63"/>
      <c r="BG510" s="63"/>
      <c r="BH510" s="63"/>
      <c r="BI510" s="63"/>
      <c r="BJ510" s="63"/>
      <c r="BK510" s="63"/>
      <c r="BL510" s="63"/>
      <c r="BU510" s="63"/>
      <c r="BV510" s="63"/>
      <c r="BW510" s="63"/>
      <c r="BX510" s="63"/>
      <c r="BY510" s="63"/>
      <c r="BZ510" s="63"/>
      <c r="CA510" s="63"/>
      <c r="CB510" s="63"/>
      <c r="CO510" s="63"/>
      <c r="CP510" s="63"/>
      <c r="CQ510" s="63"/>
      <c r="CR510" s="63"/>
      <c r="CS510" s="63"/>
      <c r="CT510" s="63"/>
    </row>
    <row r="511" spans="1:163" s="196" customFormat="1">
      <c r="AW511" s="63"/>
      <c r="AX511" s="63"/>
      <c r="BF511" s="63"/>
      <c r="BG511" s="63"/>
      <c r="BH511" s="63"/>
      <c r="BI511" s="63"/>
      <c r="BJ511" s="63"/>
      <c r="BK511" s="63"/>
      <c r="BL511" s="63"/>
      <c r="BU511" s="63"/>
      <c r="BV511" s="63"/>
      <c r="BW511" s="63"/>
      <c r="BX511" s="63"/>
      <c r="BY511" s="63"/>
      <c r="BZ511" s="63"/>
      <c r="CA511" s="63"/>
      <c r="CB511" s="63"/>
      <c r="CO511" s="63"/>
      <c r="CP511" s="63"/>
      <c r="CQ511" s="63"/>
      <c r="CR511" s="63"/>
      <c r="CS511" s="63"/>
      <c r="CT511" s="63"/>
    </row>
    <row r="512" spans="1:163" s="196" customFormat="1">
      <c r="AW512" s="63"/>
      <c r="AX512" s="63"/>
      <c r="BF512" s="63"/>
      <c r="BG512" s="63"/>
      <c r="BH512" s="63"/>
      <c r="BI512" s="63"/>
      <c r="BJ512" s="63"/>
      <c r="BK512" s="63"/>
      <c r="BL512" s="63"/>
      <c r="BU512" s="63"/>
      <c r="BV512" s="63"/>
      <c r="BW512" s="63"/>
      <c r="BX512" s="63"/>
      <c r="BY512" s="63"/>
      <c r="BZ512" s="63"/>
      <c r="CA512" s="63"/>
      <c r="CB512" s="63"/>
      <c r="CO512" s="63"/>
      <c r="CP512" s="63"/>
      <c r="CQ512" s="63"/>
      <c r="CR512" s="63"/>
      <c r="CS512" s="63"/>
      <c r="CT512" s="63"/>
    </row>
    <row r="513" spans="49:98" s="196" customFormat="1">
      <c r="AW513" s="63"/>
      <c r="AX513" s="63"/>
      <c r="BF513" s="63"/>
      <c r="BG513" s="63"/>
      <c r="BH513" s="63"/>
      <c r="BI513" s="63"/>
      <c r="BJ513" s="63"/>
      <c r="BK513" s="63"/>
      <c r="BL513" s="63"/>
      <c r="BU513" s="63"/>
      <c r="BV513" s="63"/>
      <c r="BW513" s="63"/>
      <c r="BX513" s="63"/>
      <c r="BY513" s="63"/>
      <c r="BZ513" s="63"/>
      <c r="CA513" s="63"/>
      <c r="CB513" s="63"/>
      <c r="CO513" s="63"/>
      <c r="CP513" s="63"/>
      <c r="CQ513" s="63"/>
      <c r="CR513" s="63"/>
      <c r="CS513" s="63"/>
      <c r="CT513" s="63"/>
    </row>
    <row r="514" spans="49:98" s="196" customFormat="1">
      <c r="AW514" s="63"/>
      <c r="AX514" s="63"/>
      <c r="BF514" s="63"/>
      <c r="BG514" s="63"/>
      <c r="BH514" s="63"/>
      <c r="BI514" s="63"/>
      <c r="BJ514" s="63"/>
      <c r="BK514" s="63"/>
      <c r="BL514" s="63"/>
      <c r="BU514" s="63"/>
      <c r="BV514" s="63"/>
      <c r="BW514" s="63"/>
      <c r="BX514" s="63"/>
      <c r="BY514" s="63"/>
      <c r="BZ514" s="63"/>
      <c r="CA514" s="63"/>
      <c r="CB514" s="63"/>
      <c r="CO514" s="63"/>
      <c r="CP514" s="63"/>
      <c r="CQ514" s="63"/>
      <c r="CR514" s="63"/>
      <c r="CS514" s="63"/>
      <c r="CT514" s="63"/>
    </row>
    <row r="515" spans="49:98" s="196" customFormat="1">
      <c r="AW515" s="63"/>
      <c r="AX515" s="63"/>
      <c r="BF515" s="63"/>
      <c r="BG515" s="63"/>
      <c r="BH515" s="63"/>
      <c r="BI515" s="63"/>
      <c r="BJ515" s="63"/>
      <c r="BK515" s="63"/>
      <c r="BL515" s="63"/>
      <c r="BU515" s="63"/>
      <c r="BV515" s="63"/>
      <c r="BW515" s="63"/>
      <c r="BX515" s="63"/>
      <c r="BY515" s="63"/>
      <c r="BZ515" s="63"/>
      <c r="CA515" s="63"/>
      <c r="CB515" s="63"/>
      <c r="CO515" s="63"/>
      <c r="CP515" s="63"/>
      <c r="CQ515" s="63"/>
      <c r="CR515" s="63"/>
      <c r="CS515" s="63"/>
      <c r="CT515" s="63"/>
    </row>
    <row r="516" spans="49:98" s="196" customFormat="1">
      <c r="AW516" s="63"/>
      <c r="AX516" s="63"/>
      <c r="BF516" s="63"/>
      <c r="BG516" s="63"/>
      <c r="BH516" s="63"/>
      <c r="BI516" s="63"/>
      <c r="BJ516" s="63"/>
      <c r="BK516" s="63"/>
      <c r="BL516" s="63"/>
      <c r="BU516" s="63"/>
      <c r="BV516" s="63"/>
      <c r="BW516" s="63"/>
      <c r="BX516" s="63"/>
      <c r="BY516" s="63"/>
      <c r="BZ516" s="63"/>
      <c r="CA516" s="63"/>
      <c r="CB516" s="63"/>
      <c r="CO516" s="63"/>
      <c r="CP516" s="63"/>
      <c r="CQ516" s="63"/>
      <c r="CR516" s="63"/>
      <c r="CS516" s="63"/>
      <c r="CT516" s="63"/>
    </row>
    <row r="517" spans="49:98" s="196" customFormat="1">
      <c r="AW517" s="63"/>
      <c r="AX517" s="63"/>
      <c r="BF517" s="63"/>
      <c r="BG517" s="63"/>
      <c r="BH517" s="63"/>
      <c r="BI517" s="63"/>
      <c r="BJ517" s="63"/>
      <c r="BK517" s="63"/>
      <c r="BL517" s="63"/>
      <c r="BU517" s="63"/>
      <c r="BV517" s="63"/>
      <c r="BW517" s="63"/>
      <c r="BX517" s="63"/>
      <c r="BY517" s="63"/>
      <c r="BZ517" s="63"/>
      <c r="CA517" s="63"/>
      <c r="CB517" s="63"/>
      <c r="CO517" s="63"/>
      <c r="CP517" s="63"/>
      <c r="CQ517" s="63"/>
      <c r="CR517" s="63"/>
      <c r="CS517" s="63"/>
      <c r="CT517" s="63"/>
    </row>
    <row r="518" spans="49:98" s="196" customFormat="1">
      <c r="AW518" s="63"/>
      <c r="AX518" s="63"/>
      <c r="BF518" s="63"/>
      <c r="BG518" s="63"/>
      <c r="BH518" s="63"/>
      <c r="BI518" s="63"/>
      <c r="BJ518" s="63"/>
      <c r="BK518" s="63"/>
      <c r="BL518" s="63"/>
      <c r="BU518" s="63"/>
      <c r="BV518" s="63"/>
      <c r="BW518" s="63"/>
      <c r="BX518" s="63"/>
      <c r="BY518" s="63"/>
      <c r="BZ518" s="63"/>
      <c r="CA518" s="63"/>
      <c r="CB518" s="63"/>
      <c r="CO518" s="63"/>
      <c r="CP518" s="63"/>
      <c r="CQ518" s="63"/>
      <c r="CR518" s="63"/>
      <c r="CS518" s="63"/>
      <c r="CT518" s="63"/>
    </row>
    <row r="519" spans="49:98" s="196" customFormat="1">
      <c r="AW519" s="63"/>
      <c r="AX519" s="63"/>
      <c r="BF519" s="63"/>
      <c r="BG519" s="63"/>
      <c r="BH519" s="63"/>
      <c r="BI519" s="63"/>
      <c r="BJ519" s="63"/>
      <c r="BK519" s="63"/>
      <c r="BL519" s="63"/>
      <c r="BU519" s="63"/>
      <c r="BV519" s="63"/>
      <c r="BW519" s="63"/>
      <c r="BX519" s="63"/>
      <c r="BY519" s="63"/>
      <c r="BZ519" s="63"/>
      <c r="CA519" s="63"/>
      <c r="CB519" s="63"/>
      <c r="CO519" s="63"/>
      <c r="CP519" s="63"/>
      <c r="CQ519" s="63"/>
      <c r="CR519" s="63"/>
      <c r="CS519" s="63"/>
      <c r="CT519" s="63"/>
    </row>
    <row r="520" spans="49:98" s="196" customFormat="1">
      <c r="AW520" s="63"/>
      <c r="AX520" s="63"/>
      <c r="BF520" s="63"/>
      <c r="BG520" s="63"/>
      <c r="BH520" s="63"/>
      <c r="BI520" s="63"/>
      <c r="BJ520" s="63"/>
      <c r="BK520" s="63"/>
      <c r="BL520" s="63"/>
      <c r="BU520" s="63"/>
      <c r="BV520" s="63"/>
      <c r="BW520" s="63"/>
      <c r="BX520" s="63"/>
      <c r="BY520" s="63"/>
      <c r="BZ520" s="63"/>
      <c r="CA520" s="63"/>
      <c r="CB520" s="63"/>
      <c r="CO520" s="63"/>
      <c r="CP520" s="63"/>
      <c r="CQ520" s="63"/>
      <c r="CR520" s="63"/>
      <c r="CS520" s="63"/>
      <c r="CT520" s="63"/>
    </row>
    <row r="521" spans="49:98" s="196" customFormat="1">
      <c r="AW521" s="63"/>
      <c r="AX521" s="63"/>
      <c r="BF521" s="63"/>
      <c r="BG521" s="63"/>
      <c r="BH521" s="63"/>
      <c r="BI521" s="63"/>
      <c r="BJ521" s="63"/>
      <c r="BK521" s="63"/>
      <c r="BL521" s="63"/>
      <c r="BU521" s="63"/>
      <c r="BV521" s="63"/>
      <c r="BW521" s="63"/>
      <c r="BX521" s="63"/>
      <c r="BY521" s="63"/>
      <c r="BZ521" s="63"/>
      <c r="CA521" s="63"/>
      <c r="CB521" s="63"/>
      <c r="CO521" s="63"/>
      <c r="CP521" s="63"/>
      <c r="CQ521" s="63"/>
      <c r="CR521" s="63"/>
      <c r="CS521" s="63"/>
      <c r="CT521" s="63"/>
    </row>
    <row r="522" spans="49:98" s="196" customFormat="1">
      <c r="AW522" s="63"/>
      <c r="AX522" s="63"/>
      <c r="BF522" s="63"/>
      <c r="BG522" s="63"/>
      <c r="BH522" s="63"/>
      <c r="BI522" s="63"/>
      <c r="BJ522" s="63"/>
      <c r="BK522" s="63"/>
      <c r="BL522" s="63"/>
      <c r="BU522" s="63"/>
      <c r="BV522" s="63"/>
      <c r="BW522" s="63"/>
      <c r="BX522" s="63"/>
      <c r="BY522" s="63"/>
      <c r="BZ522" s="63"/>
      <c r="CA522" s="63"/>
      <c r="CB522" s="63"/>
      <c r="CO522" s="63"/>
      <c r="CP522" s="63"/>
      <c r="CQ522" s="63"/>
      <c r="CR522" s="63"/>
      <c r="CS522" s="63"/>
      <c r="CT522" s="63"/>
    </row>
    <row r="523" spans="49:98" s="196" customFormat="1">
      <c r="AW523" s="63"/>
      <c r="AX523" s="63"/>
      <c r="BF523" s="63"/>
      <c r="BG523" s="63"/>
      <c r="BH523" s="63"/>
      <c r="BI523" s="63"/>
      <c r="BJ523" s="63"/>
      <c r="BK523" s="63"/>
      <c r="BL523" s="63"/>
      <c r="BU523" s="63"/>
      <c r="BV523" s="63"/>
      <c r="BW523" s="63"/>
      <c r="BX523" s="63"/>
      <c r="BY523" s="63"/>
      <c r="BZ523" s="63"/>
      <c r="CA523" s="63"/>
      <c r="CB523" s="63"/>
      <c r="CO523" s="63"/>
      <c r="CP523" s="63"/>
      <c r="CQ523" s="63"/>
      <c r="CR523" s="63"/>
      <c r="CS523" s="63"/>
      <c r="CT523" s="63"/>
    </row>
    <row r="524" spans="49:98" s="196" customFormat="1">
      <c r="AW524" s="63"/>
      <c r="AX524" s="63"/>
      <c r="BF524" s="63"/>
      <c r="BG524" s="63"/>
      <c r="BH524" s="63"/>
      <c r="BI524" s="63"/>
      <c r="BJ524" s="63"/>
      <c r="BK524" s="63"/>
      <c r="BL524" s="63"/>
      <c r="BU524" s="63"/>
      <c r="BV524" s="63"/>
      <c r="BW524" s="63"/>
      <c r="BX524" s="63"/>
      <c r="BY524" s="63"/>
      <c r="BZ524" s="63"/>
      <c r="CA524" s="63"/>
      <c r="CB524" s="63"/>
      <c r="CO524" s="63"/>
      <c r="CP524" s="63"/>
      <c r="CQ524" s="63"/>
      <c r="CR524" s="63"/>
      <c r="CS524" s="63"/>
      <c r="CT524" s="63"/>
    </row>
    <row r="525" spans="49:98" s="196" customFormat="1">
      <c r="AW525" s="63"/>
      <c r="AX525" s="63"/>
      <c r="BF525" s="63"/>
      <c r="BG525" s="63"/>
      <c r="BH525" s="63"/>
      <c r="BI525" s="63"/>
      <c r="BJ525" s="63"/>
      <c r="BK525" s="63"/>
      <c r="BL525" s="63"/>
      <c r="BU525" s="63"/>
      <c r="BV525" s="63"/>
      <c r="BW525" s="63"/>
      <c r="BX525" s="63"/>
      <c r="BY525" s="63"/>
      <c r="BZ525" s="63"/>
      <c r="CA525" s="63"/>
      <c r="CB525" s="63"/>
      <c r="CO525" s="63"/>
      <c r="CP525" s="63"/>
      <c r="CQ525" s="63"/>
      <c r="CR525" s="63"/>
      <c r="CS525" s="63"/>
      <c r="CT525" s="63"/>
    </row>
    <row r="526" spans="49:98" s="196" customFormat="1">
      <c r="AW526" s="63"/>
      <c r="AX526" s="63"/>
      <c r="BF526" s="63"/>
      <c r="BG526" s="63"/>
      <c r="BH526" s="63"/>
      <c r="BI526" s="63"/>
      <c r="BJ526" s="63"/>
      <c r="BK526" s="63"/>
      <c r="BL526" s="63"/>
      <c r="BU526" s="63"/>
      <c r="BV526" s="63"/>
      <c r="BW526" s="63"/>
      <c r="BX526" s="63"/>
      <c r="BY526" s="63"/>
      <c r="BZ526" s="63"/>
      <c r="CA526" s="63"/>
      <c r="CB526" s="63"/>
      <c r="CO526" s="63"/>
      <c r="CP526" s="63"/>
      <c r="CQ526" s="63"/>
      <c r="CR526" s="63"/>
      <c r="CS526" s="63"/>
      <c r="CT526" s="63"/>
    </row>
    <row r="527" spans="49:98" s="196" customFormat="1">
      <c r="AW527" s="63"/>
      <c r="AX527" s="63"/>
      <c r="BF527" s="63"/>
      <c r="BG527" s="63"/>
      <c r="BH527" s="63"/>
      <c r="BI527" s="63"/>
      <c r="BJ527" s="63"/>
      <c r="BK527" s="63"/>
      <c r="BL527" s="63"/>
      <c r="BU527" s="63"/>
      <c r="BV527" s="63"/>
      <c r="BW527" s="63"/>
      <c r="BX527" s="63"/>
      <c r="BY527" s="63"/>
      <c r="BZ527" s="63"/>
      <c r="CA527" s="63"/>
      <c r="CB527" s="63"/>
      <c r="CO527" s="63"/>
      <c r="CP527" s="63"/>
      <c r="CQ527" s="63"/>
      <c r="CR527" s="63"/>
      <c r="CS527" s="63"/>
      <c r="CT527" s="63"/>
    </row>
    <row r="528" spans="49:98" s="196" customFormat="1">
      <c r="AW528" s="63"/>
      <c r="AX528" s="63"/>
      <c r="BF528" s="63"/>
      <c r="BG528" s="63"/>
      <c r="BH528" s="63"/>
      <c r="BI528" s="63"/>
      <c r="BJ528" s="63"/>
      <c r="BK528" s="63"/>
      <c r="BL528" s="63"/>
      <c r="BU528" s="63"/>
      <c r="BV528" s="63"/>
      <c r="BW528" s="63"/>
      <c r="BX528" s="63"/>
      <c r="BY528" s="63"/>
      <c r="BZ528" s="63"/>
      <c r="CA528" s="63"/>
      <c r="CB528" s="63"/>
      <c r="CO528" s="63"/>
      <c r="CP528" s="63"/>
      <c r="CQ528" s="63"/>
      <c r="CR528" s="63"/>
      <c r="CS528" s="63"/>
      <c r="CT528" s="63"/>
    </row>
    <row r="529" spans="49:98" s="196" customFormat="1">
      <c r="AW529" s="63"/>
      <c r="AX529" s="63"/>
      <c r="BF529" s="63"/>
      <c r="BG529" s="63"/>
      <c r="BH529" s="63"/>
      <c r="BI529" s="63"/>
      <c r="BJ529" s="63"/>
      <c r="BK529" s="63"/>
      <c r="BL529" s="63"/>
      <c r="BU529" s="63"/>
      <c r="BV529" s="63"/>
      <c r="BW529" s="63"/>
      <c r="BX529" s="63"/>
      <c r="BY529" s="63"/>
      <c r="BZ529" s="63"/>
      <c r="CA529" s="63"/>
      <c r="CB529" s="63"/>
      <c r="CO529" s="63"/>
      <c r="CP529" s="63"/>
      <c r="CQ529" s="63"/>
      <c r="CR529" s="63"/>
      <c r="CS529" s="63"/>
      <c r="CT529" s="63"/>
    </row>
    <row r="530" spans="49:98" s="196" customFormat="1">
      <c r="AW530" s="63"/>
      <c r="AX530" s="63"/>
      <c r="BF530" s="63"/>
      <c r="BG530" s="63"/>
      <c r="BH530" s="63"/>
      <c r="BI530" s="63"/>
      <c r="BJ530" s="63"/>
      <c r="BK530" s="63"/>
      <c r="BL530" s="63"/>
      <c r="BU530" s="63"/>
      <c r="BV530" s="63"/>
      <c r="BW530" s="63"/>
      <c r="BX530" s="63"/>
      <c r="BY530" s="63"/>
      <c r="BZ530" s="63"/>
      <c r="CA530" s="63"/>
      <c r="CB530" s="63"/>
      <c r="CO530" s="63"/>
      <c r="CP530" s="63"/>
      <c r="CQ530" s="63"/>
      <c r="CR530" s="63"/>
      <c r="CS530" s="63"/>
      <c r="CT530" s="63"/>
    </row>
    <row r="531" spans="49:98" s="196" customFormat="1">
      <c r="AW531" s="63"/>
      <c r="AX531" s="63"/>
      <c r="BF531" s="63"/>
      <c r="BG531" s="63"/>
      <c r="BH531" s="63"/>
      <c r="BI531" s="63"/>
      <c r="BJ531" s="63"/>
      <c r="BK531" s="63"/>
      <c r="BL531" s="63"/>
      <c r="BU531" s="63"/>
      <c r="BV531" s="63"/>
      <c r="BW531" s="63"/>
      <c r="BX531" s="63"/>
      <c r="BY531" s="63"/>
      <c r="BZ531" s="63"/>
      <c r="CA531" s="63"/>
      <c r="CB531" s="63"/>
      <c r="CO531" s="63"/>
      <c r="CP531" s="63"/>
      <c r="CQ531" s="63"/>
      <c r="CR531" s="63"/>
      <c r="CS531" s="63"/>
      <c r="CT531" s="63"/>
    </row>
    <row r="532" spans="49:98" s="196" customFormat="1">
      <c r="AW532" s="63"/>
      <c r="AX532" s="63"/>
      <c r="BF532" s="63"/>
      <c r="BG532" s="63"/>
      <c r="BH532" s="63"/>
      <c r="BI532" s="63"/>
      <c r="BJ532" s="63"/>
      <c r="BK532" s="63"/>
      <c r="BL532" s="63"/>
      <c r="BU532" s="63"/>
      <c r="BV532" s="63"/>
      <c r="BW532" s="63"/>
      <c r="BX532" s="63"/>
      <c r="BY532" s="63"/>
      <c r="BZ532" s="63"/>
      <c r="CA532" s="63"/>
      <c r="CB532" s="63"/>
      <c r="CO532" s="63"/>
      <c r="CP532" s="63"/>
      <c r="CQ532" s="63"/>
      <c r="CR532" s="63"/>
      <c r="CS532" s="63"/>
      <c r="CT532" s="63"/>
    </row>
    <row r="533" spans="49:98" s="196" customFormat="1">
      <c r="AW533" s="63"/>
      <c r="AX533" s="63"/>
      <c r="BF533" s="63"/>
      <c r="BG533" s="63"/>
      <c r="BH533" s="63"/>
      <c r="BI533" s="63"/>
      <c r="BJ533" s="63"/>
      <c r="BK533" s="63"/>
      <c r="BL533" s="63"/>
      <c r="BU533" s="63"/>
      <c r="BV533" s="63"/>
      <c r="BW533" s="63"/>
      <c r="BX533" s="63"/>
      <c r="BY533" s="63"/>
      <c r="BZ533" s="63"/>
      <c r="CA533" s="63"/>
      <c r="CB533" s="63"/>
      <c r="CO533" s="63"/>
      <c r="CP533" s="63"/>
      <c r="CQ533" s="63"/>
      <c r="CR533" s="63"/>
      <c r="CS533" s="63"/>
      <c r="CT533" s="63"/>
    </row>
    <row r="534" spans="49:98" s="196" customFormat="1">
      <c r="AW534" s="63"/>
      <c r="AX534" s="63"/>
      <c r="BF534" s="63"/>
      <c r="BG534" s="63"/>
      <c r="BH534" s="63"/>
      <c r="BI534" s="63"/>
      <c r="BJ534" s="63"/>
      <c r="BK534" s="63"/>
      <c r="BL534" s="63"/>
      <c r="BU534" s="63"/>
      <c r="BV534" s="63"/>
      <c r="BW534" s="63"/>
      <c r="BX534" s="63"/>
      <c r="BY534" s="63"/>
      <c r="BZ534" s="63"/>
      <c r="CA534" s="63"/>
      <c r="CB534" s="63"/>
      <c r="CO534" s="63"/>
      <c r="CP534" s="63"/>
      <c r="CQ534" s="63"/>
      <c r="CR534" s="63"/>
      <c r="CS534" s="63"/>
      <c r="CT534" s="63"/>
    </row>
    <row r="535" spans="49:98" s="196" customFormat="1">
      <c r="AW535" s="63"/>
      <c r="AX535" s="63"/>
      <c r="BF535" s="63"/>
      <c r="BG535" s="63"/>
      <c r="BH535" s="63"/>
      <c r="BI535" s="63"/>
      <c r="BJ535" s="63"/>
      <c r="BK535" s="63"/>
      <c r="BL535" s="63"/>
      <c r="BU535" s="63"/>
      <c r="BV535" s="63"/>
      <c r="BW535" s="63"/>
      <c r="BX535" s="63"/>
      <c r="BY535" s="63"/>
      <c r="BZ535" s="63"/>
      <c r="CA535" s="63"/>
      <c r="CB535" s="63"/>
      <c r="CO535" s="63"/>
      <c r="CP535" s="63"/>
      <c r="CQ535" s="63"/>
      <c r="CR535" s="63"/>
      <c r="CS535" s="63"/>
      <c r="CT535" s="63"/>
    </row>
    <row r="536" spans="49:98" s="196" customFormat="1">
      <c r="AW536" s="63"/>
      <c r="AX536" s="63"/>
      <c r="BF536" s="63"/>
      <c r="BG536" s="63"/>
      <c r="BH536" s="63"/>
      <c r="BI536" s="63"/>
      <c r="BJ536" s="63"/>
      <c r="BK536" s="63"/>
      <c r="BL536" s="63"/>
      <c r="BU536" s="63"/>
      <c r="BV536" s="63"/>
      <c r="BW536" s="63"/>
      <c r="BX536" s="63"/>
      <c r="BY536" s="63"/>
      <c r="BZ536" s="63"/>
      <c r="CA536" s="63"/>
      <c r="CB536" s="63"/>
      <c r="CO536" s="63"/>
      <c r="CP536" s="63"/>
      <c r="CQ536" s="63"/>
      <c r="CR536" s="63"/>
      <c r="CS536" s="63"/>
      <c r="CT536" s="63"/>
    </row>
    <row r="537" spans="49:98" s="196" customFormat="1">
      <c r="AW537" s="63"/>
      <c r="AX537" s="63"/>
      <c r="BF537" s="63"/>
      <c r="BG537" s="63"/>
      <c r="BH537" s="63"/>
      <c r="BI537" s="63"/>
      <c r="BJ537" s="63"/>
      <c r="BK537" s="63"/>
      <c r="BL537" s="63"/>
      <c r="BU537" s="63"/>
      <c r="BV537" s="63"/>
      <c r="BW537" s="63"/>
      <c r="BX537" s="63"/>
      <c r="BY537" s="63"/>
      <c r="BZ537" s="63"/>
      <c r="CA537" s="63"/>
      <c r="CB537" s="63"/>
      <c r="CO537" s="63"/>
      <c r="CP537" s="63"/>
      <c r="CQ537" s="63"/>
      <c r="CR537" s="63"/>
      <c r="CS537" s="63"/>
      <c r="CT537" s="63"/>
    </row>
    <row r="538" spans="49:98" s="196" customFormat="1">
      <c r="AW538" s="63"/>
      <c r="AX538" s="63"/>
      <c r="BF538" s="63"/>
      <c r="BG538" s="63"/>
      <c r="BH538" s="63"/>
      <c r="BI538" s="63"/>
      <c r="BJ538" s="63"/>
      <c r="BK538" s="63"/>
      <c r="BL538" s="63"/>
      <c r="BU538" s="63"/>
      <c r="BV538" s="63"/>
      <c r="BW538" s="63"/>
      <c r="BX538" s="63"/>
      <c r="BY538" s="63"/>
      <c r="BZ538" s="63"/>
      <c r="CA538" s="63"/>
      <c r="CB538" s="63"/>
      <c r="CO538" s="63"/>
      <c r="CP538" s="63"/>
      <c r="CQ538" s="63"/>
      <c r="CR538" s="63"/>
      <c r="CS538" s="63"/>
      <c r="CT538" s="63"/>
    </row>
    <row r="539" spans="49:98" s="196" customFormat="1">
      <c r="AW539" s="63"/>
      <c r="AX539" s="63"/>
      <c r="BF539" s="63"/>
      <c r="BG539" s="63"/>
      <c r="BH539" s="63"/>
      <c r="BI539" s="63"/>
      <c r="BJ539" s="63"/>
      <c r="BK539" s="63"/>
      <c r="BL539" s="63"/>
      <c r="BU539" s="63"/>
      <c r="BV539" s="63"/>
      <c r="BW539" s="63"/>
      <c r="BX539" s="63"/>
      <c r="BY539" s="63"/>
      <c r="BZ539" s="63"/>
      <c r="CA539" s="63"/>
      <c r="CB539" s="63"/>
      <c r="CO539" s="63"/>
      <c r="CP539" s="63"/>
      <c r="CQ539" s="63"/>
      <c r="CR539" s="63"/>
      <c r="CS539" s="63"/>
      <c r="CT539" s="63"/>
    </row>
    <row r="540" spans="49:98" s="196" customFormat="1">
      <c r="AW540" s="63"/>
      <c r="AX540" s="63"/>
      <c r="BF540" s="63"/>
      <c r="BG540" s="63"/>
      <c r="BH540" s="63"/>
      <c r="BI540" s="63"/>
      <c r="BJ540" s="63"/>
      <c r="BK540" s="63"/>
      <c r="BL540" s="63"/>
      <c r="BU540" s="63"/>
      <c r="BV540" s="63"/>
      <c r="BW540" s="63"/>
      <c r="BX540" s="63"/>
      <c r="BY540" s="63"/>
      <c r="BZ540" s="63"/>
      <c r="CA540" s="63"/>
      <c r="CB540" s="63"/>
      <c r="CO540" s="63"/>
      <c r="CP540" s="63"/>
      <c r="CQ540" s="63"/>
      <c r="CR540" s="63"/>
      <c r="CS540" s="63"/>
      <c r="CT540" s="63"/>
    </row>
    <row r="541" spans="49:98" s="196" customFormat="1">
      <c r="AW541" s="63"/>
      <c r="AX541" s="63"/>
      <c r="BF541" s="63"/>
      <c r="BG541" s="63"/>
      <c r="BH541" s="63"/>
      <c r="BI541" s="63"/>
      <c r="BJ541" s="63"/>
      <c r="BK541" s="63"/>
      <c r="BL541" s="63"/>
      <c r="BU541" s="63"/>
      <c r="BV541" s="63"/>
      <c r="BW541" s="63"/>
      <c r="BX541" s="63"/>
      <c r="BY541" s="63"/>
      <c r="BZ541" s="63"/>
      <c r="CA541" s="63"/>
      <c r="CB541" s="63"/>
      <c r="CO541" s="63"/>
      <c r="CP541" s="63"/>
      <c r="CQ541" s="63"/>
      <c r="CR541" s="63"/>
      <c r="CS541" s="63"/>
      <c r="CT541" s="63"/>
    </row>
    <row r="542" spans="49:98" s="196" customFormat="1">
      <c r="AW542" s="63"/>
      <c r="AX542" s="63"/>
      <c r="BF542" s="63"/>
      <c r="BG542" s="63"/>
      <c r="BH542" s="63"/>
      <c r="BI542" s="63"/>
      <c r="BJ542" s="63"/>
      <c r="BK542" s="63"/>
      <c r="BL542" s="63"/>
      <c r="BU542" s="63"/>
      <c r="BV542" s="63"/>
      <c r="BW542" s="63"/>
      <c r="BX542" s="63"/>
      <c r="BY542" s="63"/>
      <c r="BZ542" s="63"/>
      <c r="CA542" s="63"/>
      <c r="CB542" s="63"/>
      <c r="CO542" s="63"/>
      <c r="CP542" s="63"/>
      <c r="CQ542" s="63"/>
      <c r="CR542" s="63"/>
      <c r="CS542" s="63"/>
      <c r="CT542" s="63"/>
    </row>
  </sheetData>
  <sheetProtection algorithmName="SHA-512" hashValue="EwJhdpi49mJ8hnVpnnNB/0QUxuH6pU5Dn6/UKsVLV2gQ7e6YpuIt+ff7qz+bLI4XTXz5rPcwhL5hhxHevFBOMQ==" saltValue="9AxGLmrGH4DfBxW+g6FTXA==" spinCount="100000" sheet="1" formatCells="0" formatColumns="0" formatRows="0"/>
  <autoFilter ref="A20:AL500" xr:uid="{00000000-0001-0000-0300-000000000000}"/>
  <mergeCells count="11">
    <mergeCell ref="B7:F7"/>
    <mergeCell ref="B8:F8"/>
    <mergeCell ref="B10:F10"/>
    <mergeCell ref="B11:F11"/>
    <mergeCell ref="A1:F1"/>
    <mergeCell ref="A3:A11"/>
    <mergeCell ref="B9:F9"/>
    <mergeCell ref="B3:F3"/>
    <mergeCell ref="B4:F4"/>
    <mergeCell ref="B5:F5"/>
    <mergeCell ref="B6:F6"/>
  </mergeCells>
  <conditionalFormatting sqref="B11">
    <cfRule type="expression" dxfId="4" priority="1">
      <formula>B$40=FALSE</formula>
    </cfRule>
  </conditionalFormatting>
  <conditionalFormatting sqref="F21:F501">
    <cfRule type="expression" dxfId="3" priority="12">
      <formula>F21&lt;&gt;$C21</formula>
    </cfRule>
  </conditionalFormatting>
  <conditionalFormatting sqref="G21:G501">
    <cfRule type="expression" dxfId="2" priority="14">
      <formula>G21&lt;&gt;A21</formula>
    </cfRule>
  </conditionalFormatting>
  <conditionalFormatting sqref="H21:H500">
    <cfRule type="colorScale" priority="8">
      <colorScale>
        <cfvo type="min"/>
        <cfvo type="percentile" val="50"/>
        <cfvo type="max"/>
        <color rgb="FFF8696B"/>
        <color rgb="FFFFEB84"/>
        <color rgb="FF63BE7B"/>
      </colorScale>
    </cfRule>
  </conditionalFormatting>
  <conditionalFormatting sqref="L21:L500">
    <cfRule type="colorScale" priority="6">
      <colorScale>
        <cfvo type="min"/>
        <cfvo type="percentile" val="50"/>
        <cfvo type="max"/>
        <color rgb="FFF8696B"/>
        <color rgb="FFFFEB84"/>
        <color rgb="FF63BE7B"/>
      </colorScale>
    </cfRule>
  </conditionalFormatting>
  <conditionalFormatting sqref="M21:M500">
    <cfRule type="colorScale" priority="3">
      <colorScale>
        <cfvo type="min"/>
        <cfvo type="percentile" val="50"/>
        <cfvo type="max"/>
        <color rgb="FF5A8AC6"/>
        <color rgb="FFFCFCFF"/>
        <color rgb="FFF8696B"/>
      </colorScale>
    </cfRule>
  </conditionalFormatting>
  <hyperlinks>
    <hyperlink ref="B7" location="Content!A1" display="Go to Content" xr:uid="{02901F07-95BC-4C7B-9E2A-005A0693FE50}"/>
    <hyperlink ref="B7:E7" location="Content!A1" display="Go to Content" xr:uid="{A8361918-2850-49CD-BD5A-A8906DF4F23C}"/>
    <hyperlink ref="A1" location="Content!A1" display="Go to Content" xr:uid="{DA69E1DC-3D3F-439F-B54E-63B526774B34}"/>
    <hyperlink ref="A1:B1" location="Content!A1" display="Go to Content Sheet" xr:uid="{FBBEE801-D58B-4C69-B2D9-5BD64FB2C379}"/>
  </hyperlink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9E931-9062-4DFE-80F0-A665196787E6}">
  <sheetPr codeName="Tabelle11">
    <tabColor theme="7" tint="0.79998168889431442"/>
    <outlinePr summaryBelow="0"/>
  </sheetPr>
  <dimension ref="A1:CB917"/>
  <sheetViews>
    <sheetView zoomScale="80" zoomScaleNormal="80" workbookViewId="0">
      <selection activeCell="Z49" sqref="Z49"/>
    </sheetView>
  </sheetViews>
  <sheetFormatPr baseColWidth="10" defaultColWidth="11.140625" defaultRowHeight="15" outlineLevelCol="1"/>
  <cols>
    <col min="1" max="2" width="10.5703125" style="57" customWidth="1"/>
    <col min="3" max="3" width="30.5703125" style="57" customWidth="1"/>
    <col min="4" max="5" width="20.5703125" style="57" customWidth="1"/>
    <col min="6" max="8" width="23.140625" style="57" customWidth="1"/>
    <col min="9" max="11" width="15.5703125" style="57" customWidth="1"/>
    <col min="12" max="12" width="17.42578125" style="57" hidden="1" customWidth="1" outlineLevel="1"/>
    <col min="13" max="17" width="15.5703125" style="57" hidden="1" customWidth="1" outlineLevel="1"/>
    <col min="18" max="18" width="15.5703125" style="57" customWidth="1" collapsed="1"/>
    <col min="19" max="19" width="2" style="57" customWidth="1"/>
    <col min="20" max="22" width="15.5703125" style="57" customWidth="1"/>
    <col min="23" max="23" width="2.140625" style="57" customWidth="1"/>
    <col min="24" max="25" width="17.5703125" style="57" customWidth="1"/>
    <col min="26" max="26" width="15.5703125" style="57" customWidth="1"/>
    <col min="27" max="27" width="24" style="57" customWidth="1"/>
    <col min="28" max="30" width="15.5703125" style="57" customWidth="1"/>
    <col min="31" max="36" width="15.5703125" style="57" hidden="1" customWidth="1" outlineLevel="1"/>
    <col min="37" max="37" width="15.5703125" style="57" customWidth="1" collapsed="1"/>
    <col min="38" max="38" width="15.5703125" style="57" customWidth="1"/>
    <col min="39" max="39" width="2.140625" style="57" customWidth="1"/>
    <col min="40" max="41" width="11.140625" style="57"/>
    <col min="42" max="42" width="14.5703125" style="57" bestFit="1" customWidth="1"/>
    <col min="43" max="44" width="11.140625" style="57"/>
    <col min="45" max="45" width="43.5703125" style="57" bestFit="1" customWidth="1"/>
    <col min="46" max="48" width="15.5703125" style="57" customWidth="1"/>
    <col min="49" max="49" width="60.42578125" style="57" bestFit="1" customWidth="1"/>
    <col min="50" max="56" width="15.5703125" style="57" customWidth="1"/>
    <col min="57" max="57" width="21.140625" style="57" customWidth="1"/>
    <col min="58" max="64" width="15.5703125" style="57" customWidth="1"/>
    <col min="65" max="65" width="3.42578125" style="57" customWidth="1"/>
    <col min="66" max="66" width="18.85546875" style="57" customWidth="1"/>
    <col min="67" max="68" width="11.140625" style="57"/>
    <col min="69" max="72" width="11.140625" style="135"/>
    <col min="73" max="80" width="11.140625" style="196"/>
    <col min="81" max="16384" width="11.140625" style="143"/>
  </cols>
  <sheetData>
    <row r="1" spans="1:80" s="44" customFormat="1">
      <c r="A1" s="1105" t="s">
        <v>57</v>
      </c>
      <c r="B1" s="1105"/>
      <c r="C1" s="163"/>
      <c r="D1" s="163"/>
      <c r="E1" s="163"/>
      <c r="F1" s="242"/>
      <c r="G1" s="242"/>
      <c r="H1" s="242"/>
      <c r="I1" s="243"/>
      <c r="J1" s="244"/>
      <c r="K1" s="244"/>
      <c r="L1" s="245"/>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row>
    <row r="2" spans="1:80" s="44" customFormat="1" ht="15" customHeight="1">
      <c r="A2" s="47"/>
      <c r="B2" s="47"/>
      <c r="C2" s="47"/>
      <c r="D2" s="47"/>
      <c r="E2" s="47"/>
      <c r="F2" s="242"/>
      <c r="G2" s="242"/>
      <c r="H2" s="242"/>
      <c r="I2" s="47"/>
      <c r="J2" s="47"/>
      <c r="K2" s="47"/>
      <c r="L2" s="47"/>
      <c r="M2" s="47"/>
      <c r="N2" s="164"/>
      <c r="O2" s="164"/>
      <c r="P2" s="164"/>
      <c r="Q2" s="164"/>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row>
    <row r="3" spans="1:80" s="44" customFormat="1" ht="15.75" customHeight="1" thickBot="1">
      <c r="A3" s="1108" t="s">
        <v>58</v>
      </c>
      <c r="B3" s="1089" t="s">
        <v>46</v>
      </c>
      <c r="C3" s="1089"/>
      <c r="D3" s="1089"/>
      <c r="E3" s="1089"/>
      <c r="F3" s="242"/>
      <c r="G3" s="242"/>
      <c r="H3" s="242"/>
      <c r="I3" s="242"/>
      <c r="J3" s="242"/>
      <c r="K3" s="242"/>
      <c r="L3" s="242"/>
      <c r="M3" s="47"/>
      <c r="N3" s="164"/>
      <c r="O3" s="164"/>
      <c r="P3" s="164"/>
      <c r="Q3" s="164"/>
      <c r="R3" s="47"/>
      <c r="S3" s="47"/>
      <c r="T3" s="47"/>
      <c r="U3" s="47"/>
      <c r="V3" s="47"/>
      <c r="W3" s="47"/>
      <c r="X3" s="47"/>
      <c r="Y3" s="47"/>
      <c r="Z3" s="47"/>
      <c r="AA3" s="47"/>
      <c r="AB3" s="47"/>
      <c r="AC3" s="47"/>
      <c r="AD3" s="47"/>
      <c r="AE3" s="47"/>
      <c r="AF3" s="47"/>
      <c r="AG3" s="47"/>
      <c r="AH3" s="47"/>
      <c r="AI3" s="47"/>
      <c r="AJ3" s="47"/>
      <c r="AK3" s="47"/>
      <c r="AL3" s="47"/>
      <c r="AM3" s="47"/>
      <c r="AN3" s="56"/>
      <c r="AO3" s="56"/>
      <c r="AP3" s="56"/>
      <c r="AQ3" s="56"/>
      <c r="AR3" s="56"/>
      <c r="AS3" s="47"/>
      <c r="AT3" s="47"/>
      <c r="AU3" s="47"/>
      <c r="AV3" s="47"/>
      <c r="AW3" s="47"/>
      <c r="AX3" s="47"/>
      <c r="AY3" s="47"/>
      <c r="AZ3" s="47"/>
      <c r="BA3" s="47"/>
      <c r="BB3" s="47"/>
      <c r="BC3" s="47"/>
      <c r="BD3" s="47"/>
      <c r="BE3" s="47"/>
      <c r="BF3" s="47"/>
      <c r="BG3" s="47"/>
      <c r="BH3" s="47"/>
      <c r="BI3" s="47"/>
      <c r="BJ3" s="47"/>
      <c r="BK3" s="47"/>
      <c r="BL3" s="47"/>
      <c r="BM3" s="47"/>
      <c r="BN3" s="47"/>
      <c r="BO3" s="47"/>
      <c r="BP3" s="47"/>
    </row>
    <row r="4" spans="1:80" s="44" customFormat="1" ht="15.75" thickTop="1">
      <c r="A4" s="1108"/>
      <c r="B4" s="1054" t="s">
        <v>47</v>
      </c>
      <c r="C4" s="1054"/>
      <c r="D4" s="1054"/>
      <c r="E4" s="1054"/>
      <c r="F4" s="9"/>
      <c r="G4" s="9"/>
      <c r="H4" s="9"/>
      <c r="I4" s="9"/>
      <c r="J4" s="9"/>
      <c r="K4" s="9"/>
      <c r="L4" s="9"/>
      <c r="M4" s="47"/>
      <c r="N4" s="164"/>
      <c r="O4" s="164"/>
      <c r="P4" s="164"/>
      <c r="Q4" s="164"/>
      <c r="R4" s="47"/>
      <c r="S4" s="47"/>
      <c r="T4" s="47"/>
      <c r="U4" s="47"/>
      <c r="V4" s="47"/>
      <c r="W4" s="47"/>
      <c r="X4" s="47"/>
      <c r="Y4" s="47"/>
      <c r="Z4" s="47"/>
      <c r="AA4" s="47"/>
      <c r="AB4" s="47"/>
      <c r="AC4" s="47"/>
      <c r="AD4" s="47"/>
      <c r="AE4" s="47"/>
      <c r="AF4" s="47"/>
      <c r="AG4" s="47"/>
      <c r="AH4" s="47"/>
      <c r="AI4" s="47"/>
      <c r="AJ4" s="47"/>
      <c r="AK4" s="47"/>
      <c r="AL4" s="47"/>
      <c r="AM4" s="47"/>
      <c r="AN4" s="56"/>
      <c r="AO4" s="56"/>
      <c r="AP4" s="56"/>
      <c r="AQ4" s="56"/>
      <c r="AR4" s="56"/>
      <c r="AS4" s="47"/>
      <c r="AT4" s="47"/>
      <c r="AU4" s="47"/>
      <c r="AV4" s="47"/>
      <c r="AW4" s="47"/>
      <c r="AX4" s="47"/>
      <c r="AY4" s="47"/>
      <c r="AZ4" s="47"/>
      <c r="BA4" s="47"/>
      <c r="BB4" s="47"/>
      <c r="BC4" s="47"/>
      <c r="BD4" s="47"/>
      <c r="BE4" s="47"/>
      <c r="BF4" s="47"/>
      <c r="BG4" s="47"/>
      <c r="BH4" s="47"/>
      <c r="BI4" s="47"/>
      <c r="BJ4" s="47"/>
      <c r="BK4" s="47"/>
      <c r="BL4" s="47"/>
      <c r="BM4" s="47"/>
      <c r="BN4" s="47"/>
      <c r="BO4" s="47"/>
      <c r="BP4" s="47"/>
    </row>
    <row r="5" spans="1:80" s="44" customFormat="1">
      <c r="A5" s="1108"/>
      <c r="B5" s="1055" t="s">
        <v>48</v>
      </c>
      <c r="C5" s="1055"/>
      <c r="D5" s="1055"/>
      <c r="E5" s="1055"/>
      <c r="F5" s="246"/>
      <c r="G5" s="246"/>
      <c r="H5" s="246"/>
      <c r="I5" s="246"/>
      <c r="J5" s="246"/>
      <c r="K5" s="246"/>
      <c r="L5" s="246"/>
      <c r="M5" s="47"/>
      <c r="N5" s="164"/>
      <c r="O5" s="164"/>
      <c r="P5" s="164"/>
      <c r="Q5" s="164"/>
      <c r="R5" s="47"/>
      <c r="S5" s="47"/>
      <c r="T5" s="47"/>
      <c r="U5" s="47"/>
      <c r="V5" s="47"/>
      <c r="W5" s="47"/>
      <c r="X5" s="47"/>
      <c r="Y5" s="47"/>
      <c r="Z5" s="47"/>
      <c r="AA5" s="47"/>
      <c r="AB5" s="47"/>
      <c r="AC5" s="47"/>
      <c r="AD5" s="47"/>
      <c r="AE5" s="47"/>
      <c r="AF5" s="47"/>
      <c r="AG5" s="47"/>
      <c r="AH5" s="47"/>
      <c r="AI5" s="47"/>
      <c r="AJ5" s="47"/>
      <c r="AK5" s="47"/>
      <c r="AL5" s="47"/>
      <c r="AM5" s="47"/>
      <c r="AN5" s="56"/>
      <c r="AO5" s="56"/>
      <c r="AP5" s="56"/>
      <c r="AQ5" s="56"/>
      <c r="AR5" s="56"/>
      <c r="AS5" s="47"/>
      <c r="AT5" s="47"/>
      <c r="AU5" s="47"/>
      <c r="AV5" s="47"/>
      <c r="AW5" s="47"/>
      <c r="AX5" s="47"/>
      <c r="AY5" s="47"/>
      <c r="AZ5" s="47"/>
      <c r="BA5" s="47"/>
      <c r="BB5" s="47"/>
      <c r="BC5" s="47"/>
      <c r="BD5" s="47"/>
      <c r="BE5" s="47"/>
      <c r="BF5" s="47"/>
      <c r="BG5" s="47"/>
      <c r="BH5" s="47"/>
      <c r="BI5" s="47"/>
      <c r="BJ5" s="47"/>
      <c r="BK5" s="47"/>
      <c r="BL5" s="47"/>
      <c r="BM5" s="47"/>
      <c r="BN5" s="47"/>
      <c r="BO5" s="47"/>
      <c r="BP5" s="47"/>
    </row>
    <row r="6" spans="1:80" s="44" customFormat="1">
      <c r="A6" s="1108"/>
      <c r="B6" s="1092" t="s">
        <v>49</v>
      </c>
      <c r="C6" s="1092"/>
      <c r="D6" s="1092"/>
      <c r="E6" s="1092"/>
      <c r="F6" s="201"/>
      <c r="G6" s="201"/>
      <c r="H6" s="201"/>
      <c r="I6" s="201"/>
      <c r="J6" s="201"/>
      <c r="K6" s="201"/>
      <c r="L6" s="201"/>
      <c r="M6" s="47"/>
      <c r="N6" s="164"/>
      <c r="O6" s="164"/>
      <c r="P6" s="164"/>
      <c r="Q6" s="164"/>
      <c r="R6" s="47"/>
      <c r="S6" s="47"/>
      <c r="T6" s="47"/>
      <c r="U6" s="47"/>
      <c r="V6" s="47"/>
      <c r="W6" s="47"/>
      <c r="X6" s="47"/>
      <c r="Y6" s="47"/>
      <c r="Z6" s="47"/>
      <c r="AA6" s="47"/>
      <c r="AB6" s="47"/>
      <c r="AC6" s="47"/>
      <c r="AD6" s="47"/>
      <c r="AE6" s="47"/>
      <c r="AF6" s="47"/>
      <c r="AG6" s="47"/>
      <c r="AH6" s="47"/>
      <c r="AI6" s="47"/>
      <c r="AJ6" s="47"/>
      <c r="AK6" s="47"/>
      <c r="AL6" s="47"/>
      <c r="AM6" s="47"/>
      <c r="AN6" s="56"/>
      <c r="AO6" s="56"/>
      <c r="AP6" s="56"/>
      <c r="AQ6" s="56"/>
      <c r="AR6" s="56"/>
      <c r="AS6" s="47"/>
      <c r="AT6" s="47"/>
      <c r="AU6" s="47"/>
      <c r="AV6" s="47"/>
      <c r="AW6" s="47"/>
      <c r="AX6" s="47"/>
      <c r="AY6" s="47"/>
      <c r="AZ6" s="47"/>
      <c r="BA6" s="47"/>
      <c r="BB6" s="47"/>
      <c r="BC6" s="47"/>
      <c r="BD6" s="47"/>
      <c r="BE6" s="47"/>
      <c r="BF6" s="47"/>
      <c r="BG6" s="47"/>
      <c r="BH6" s="47"/>
      <c r="BI6" s="47"/>
      <c r="BJ6" s="47"/>
      <c r="BK6" s="47"/>
      <c r="BL6" s="47"/>
      <c r="BM6" s="47"/>
      <c r="BN6" s="47"/>
      <c r="BO6" s="47"/>
      <c r="BP6" s="47"/>
    </row>
    <row r="7" spans="1:80" s="44" customFormat="1">
      <c r="A7" s="1108"/>
      <c r="B7" s="1048" t="s">
        <v>50</v>
      </c>
      <c r="C7" s="1048"/>
      <c r="D7" s="1048"/>
      <c r="E7" s="1048"/>
      <c r="F7" s="243"/>
      <c r="G7" s="243"/>
      <c r="H7" s="243"/>
      <c r="I7" s="243"/>
      <c r="J7" s="243"/>
      <c r="K7" s="243"/>
      <c r="L7" s="243"/>
      <c r="M7" s="47"/>
      <c r="N7" s="164"/>
      <c r="O7" s="164"/>
      <c r="P7" s="164"/>
      <c r="Q7" s="164"/>
      <c r="R7" s="47"/>
      <c r="S7" s="47"/>
      <c r="T7" s="47"/>
      <c r="U7" s="47"/>
      <c r="V7" s="47"/>
      <c r="W7" s="47"/>
      <c r="X7" s="47"/>
      <c r="Y7" s="47"/>
      <c r="Z7" s="47"/>
      <c r="AA7" s="47"/>
      <c r="AB7" s="47"/>
      <c r="AC7" s="47"/>
      <c r="AD7" s="47"/>
      <c r="AE7" s="47"/>
      <c r="AF7" s="47"/>
      <c r="AG7" s="47"/>
      <c r="AH7" s="47"/>
      <c r="AI7" s="47"/>
      <c r="AJ7" s="47"/>
      <c r="AK7" s="47"/>
      <c r="AL7" s="47"/>
      <c r="AM7" s="47"/>
      <c r="AN7" s="56"/>
      <c r="AO7" s="56"/>
      <c r="AP7" s="56"/>
      <c r="AQ7" s="56"/>
      <c r="AR7" s="56"/>
      <c r="AS7" s="47"/>
      <c r="AT7" s="47"/>
      <c r="AU7" s="47"/>
      <c r="AV7" s="47"/>
      <c r="AW7" s="47"/>
      <c r="AX7" s="47"/>
      <c r="AY7" s="47"/>
      <c r="AZ7" s="47"/>
      <c r="BA7" s="47"/>
      <c r="BB7" s="47"/>
      <c r="BC7" s="47"/>
      <c r="BD7" s="47"/>
      <c r="BE7" s="47"/>
      <c r="BF7" s="47"/>
      <c r="BG7" s="47"/>
      <c r="BH7" s="47"/>
      <c r="BI7" s="47"/>
      <c r="BJ7" s="47"/>
      <c r="BK7" s="47"/>
      <c r="BL7" s="47"/>
      <c r="BM7" s="47"/>
      <c r="BN7" s="47"/>
      <c r="BO7" s="47"/>
      <c r="BP7" s="47"/>
    </row>
    <row r="8" spans="1:80" s="44" customFormat="1" ht="15" customHeight="1">
      <c r="A8" s="1108"/>
      <c r="B8" s="1093" t="s">
        <v>51</v>
      </c>
      <c r="C8" s="1093"/>
      <c r="D8" s="1093"/>
      <c r="E8" s="1093"/>
      <c r="F8" s="202"/>
      <c r="G8" s="202"/>
      <c r="H8" s="202"/>
      <c r="I8" s="202"/>
      <c r="J8" s="202"/>
      <c r="K8" s="202"/>
      <c r="L8" s="202"/>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56"/>
      <c r="AQ8" s="56"/>
      <c r="AR8" s="56"/>
      <c r="AS8" s="47"/>
      <c r="AT8" s="47"/>
      <c r="AU8" s="47"/>
      <c r="AV8" s="47"/>
      <c r="AW8" s="47"/>
      <c r="AX8" s="47"/>
      <c r="AY8" s="47"/>
      <c r="AZ8" s="47"/>
      <c r="BA8" s="47"/>
      <c r="BB8" s="47"/>
      <c r="BC8" s="47"/>
      <c r="BD8" s="47"/>
      <c r="BE8" s="47"/>
      <c r="BF8" s="47"/>
      <c r="BG8" s="47"/>
      <c r="BH8" s="47"/>
      <c r="BI8" s="47"/>
      <c r="BJ8" s="47"/>
      <c r="BK8" s="47"/>
      <c r="BL8" s="47"/>
      <c r="BM8" s="47"/>
      <c r="BN8" s="47"/>
      <c r="BO8" s="47"/>
      <c r="BP8" s="47"/>
    </row>
    <row r="9" spans="1:80" s="44" customFormat="1" ht="15" customHeight="1">
      <c r="A9" s="1108"/>
      <c r="B9" s="1236" t="s">
        <v>52</v>
      </c>
      <c r="C9" s="1236"/>
      <c r="D9" s="1236"/>
      <c r="E9" s="1236"/>
      <c r="F9" s="202"/>
      <c r="G9" s="202"/>
      <c r="H9" s="202"/>
      <c r="I9" s="202"/>
      <c r="J9" s="202"/>
      <c r="K9" s="202"/>
      <c r="L9" s="202"/>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56"/>
      <c r="AO9" s="56"/>
      <c r="AP9" s="56"/>
      <c r="AQ9" s="56"/>
      <c r="AR9" s="56"/>
      <c r="AS9" s="47"/>
      <c r="AT9" s="47"/>
      <c r="AU9" s="47"/>
      <c r="AV9" s="47"/>
      <c r="AW9" s="47"/>
      <c r="AX9" s="47"/>
      <c r="AY9" s="47"/>
      <c r="AZ9" s="47"/>
      <c r="BA9" s="47"/>
      <c r="BB9" s="47"/>
      <c r="BC9" s="47"/>
      <c r="BD9" s="47"/>
      <c r="BE9" s="47"/>
      <c r="BF9" s="47"/>
      <c r="BG9" s="47"/>
      <c r="BH9" s="47"/>
      <c r="BI9" s="47"/>
      <c r="BJ9" s="47"/>
      <c r="BK9" s="47"/>
      <c r="BL9" s="47"/>
      <c r="BM9" s="47"/>
      <c r="BN9" s="47"/>
      <c r="BO9" s="47"/>
      <c r="BP9" s="47"/>
    </row>
    <row r="10" spans="1:80" s="44" customFormat="1">
      <c r="A10" s="1108"/>
      <c r="B10" s="1049" t="s">
        <v>53</v>
      </c>
      <c r="C10" s="1049"/>
      <c r="D10" s="1049"/>
      <c r="E10" s="1049"/>
      <c r="F10" s="203"/>
      <c r="G10" s="203"/>
      <c r="H10" s="203"/>
      <c r="I10" s="203"/>
      <c r="J10" s="203"/>
      <c r="K10" s="203"/>
      <c r="L10" s="203"/>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56"/>
      <c r="AO10" s="56"/>
      <c r="AP10" s="56"/>
      <c r="AQ10" s="56"/>
      <c r="AR10" s="56"/>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row>
    <row r="11" spans="1:80" s="44" customFormat="1">
      <c r="A11" s="1108"/>
      <c r="B11" s="1050" t="s">
        <v>54</v>
      </c>
      <c r="C11" s="1050"/>
      <c r="D11" s="1050"/>
      <c r="E11" s="1050"/>
      <c r="F11" s="203"/>
      <c r="G11" s="203"/>
      <c r="H11" s="203"/>
      <c r="I11" s="203"/>
      <c r="J11" s="203"/>
      <c r="K11" s="203"/>
      <c r="L11" s="203"/>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56"/>
      <c r="AO11" s="56"/>
      <c r="AP11" s="56"/>
      <c r="AQ11" s="56"/>
      <c r="AR11" s="56"/>
      <c r="AS11" s="1220" t="s">
        <v>757</v>
      </c>
      <c r="AT11" s="1220"/>
      <c r="AU11" s="1220"/>
      <c r="AV11" s="1220"/>
      <c r="AW11" s="1220"/>
      <c r="AX11" s="1220"/>
      <c r="AY11" s="1220"/>
      <c r="AZ11" s="47"/>
      <c r="BA11" s="47"/>
      <c r="BB11" s="47"/>
      <c r="BC11" s="47"/>
      <c r="BD11" s="47"/>
      <c r="BE11" s="47"/>
      <c r="BF11" s="47"/>
      <c r="BG11" s="47"/>
      <c r="BH11" s="47"/>
      <c r="BI11" s="47"/>
      <c r="BJ11" s="47"/>
      <c r="BK11" s="47"/>
      <c r="BL11" s="47"/>
      <c r="BM11" s="47"/>
      <c r="BN11" s="47"/>
      <c r="BO11" s="47"/>
      <c r="BP11" s="47"/>
    </row>
    <row r="12" spans="1:80" s="51" customFormat="1" ht="15.75" customHeight="1">
      <c r="A12" s="56"/>
      <c r="B12" s="56"/>
      <c r="C12" s="56"/>
      <c r="D12" s="56"/>
      <c r="E12" s="1018"/>
      <c r="F12" s="56"/>
      <c r="G12" s="56"/>
      <c r="H12" s="56"/>
      <c r="I12" s="56"/>
      <c r="J12" s="56"/>
      <c r="K12" s="56"/>
      <c r="L12" s="56"/>
      <c r="M12" s="56"/>
      <c r="N12" s="56"/>
      <c r="O12" s="56"/>
      <c r="P12" s="56"/>
      <c r="Q12" s="56"/>
      <c r="R12" s="56"/>
      <c r="S12" s="47"/>
      <c r="T12" s="56"/>
      <c r="U12" s="56"/>
      <c r="V12" s="56"/>
      <c r="W12" s="47"/>
      <c r="X12" s="47"/>
      <c r="Y12" s="47"/>
      <c r="Z12" s="47"/>
      <c r="AA12" s="47"/>
      <c r="AB12" s="56"/>
      <c r="AC12" s="56"/>
      <c r="AD12" s="56"/>
      <c r="AE12" s="56"/>
      <c r="AF12" s="56"/>
      <c r="AG12" s="56"/>
      <c r="AH12" s="56"/>
      <c r="AI12" s="56"/>
      <c r="AJ12" s="56"/>
      <c r="AK12" s="56"/>
      <c r="AL12" s="56"/>
      <c r="AM12" s="47"/>
      <c r="AN12" s="56"/>
      <c r="AO12" s="56"/>
      <c r="AP12" s="56"/>
      <c r="AQ12" s="56"/>
      <c r="AR12" s="56"/>
      <c r="AS12" s="1237" t="s">
        <v>758</v>
      </c>
      <c r="AT12" s="1238"/>
      <c r="AU12" s="1238"/>
      <c r="AV12" s="1238"/>
      <c r="AW12" s="1238"/>
      <c r="AX12" s="1238"/>
      <c r="AY12" s="1239"/>
      <c r="AZ12" s="56"/>
      <c r="BA12" s="1207" t="s">
        <v>759</v>
      </c>
      <c r="BB12" s="1208"/>
      <c r="BC12" s="1208"/>
      <c r="BD12" s="1208"/>
      <c r="BE12" s="1208"/>
      <c r="BF12" s="1208"/>
      <c r="BG12" s="1208"/>
      <c r="BH12" s="1209"/>
      <c r="BI12" s="56"/>
      <c r="BJ12" s="1222" t="s">
        <v>760</v>
      </c>
      <c r="BK12" s="1223"/>
      <c r="BL12" s="1223"/>
      <c r="BM12" s="1223"/>
      <c r="BN12" s="1223"/>
      <c r="BO12" s="1223"/>
      <c r="BP12" s="1224"/>
    </row>
    <row r="13" spans="1:80" s="51" customFormat="1" ht="15" customHeight="1">
      <c r="A13" s="56"/>
      <c r="B13" s="56"/>
      <c r="C13" s="56"/>
      <c r="D13" s="1243" t="s">
        <v>761</v>
      </c>
      <c r="E13" s="1243"/>
      <c r="F13" s="1243"/>
      <c r="G13" s="1243"/>
      <c r="H13" s="1243"/>
      <c r="I13" s="1243"/>
      <c r="J13" s="1243"/>
      <c r="K13" s="1243"/>
      <c r="L13" s="1243"/>
      <c r="M13" s="1243"/>
      <c r="N13" s="1243"/>
      <c r="O13" s="1243"/>
      <c r="P13" s="1243"/>
      <c r="Q13" s="1243"/>
      <c r="R13" s="1243"/>
      <c r="S13" s="1243"/>
      <c r="T13" s="1243"/>
      <c r="U13" s="1243"/>
      <c r="V13" s="1243"/>
      <c r="W13" s="1243"/>
      <c r="X13" s="1243"/>
      <c r="Y13" s="1243"/>
      <c r="Z13" s="1243"/>
      <c r="AA13" s="1243"/>
      <c r="AB13" s="1243"/>
      <c r="AC13" s="1243"/>
      <c r="AD13" s="1243"/>
      <c r="AE13" s="1243"/>
      <c r="AF13" s="1243"/>
      <c r="AG13" s="1243"/>
      <c r="AH13" s="1243"/>
      <c r="AI13" s="1243"/>
      <c r="AJ13" s="1243"/>
      <c r="AK13" s="1243"/>
      <c r="AL13" s="1243"/>
      <c r="AM13" s="1243"/>
      <c r="AN13" s="1243"/>
      <c r="AO13" s="1243"/>
      <c r="AP13" s="1243"/>
      <c r="AQ13" s="56"/>
      <c r="AR13" s="56"/>
      <c r="AS13" s="1240"/>
      <c r="AT13" s="1241"/>
      <c r="AU13" s="1241"/>
      <c r="AV13" s="1241"/>
      <c r="AW13" s="1241"/>
      <c r="AX13" s="1241"/>
      <c r="AY13" s="1242"/>
      <c r="AZ13" s="56"/>
      <c r="BA13" s="1210"/>
      <c r="BB13" s="1211"/>
      <c r="BC13" s="1211"/>
      <c r="BD13" s="1211"/>
      <c r="BE13" s="1211"/>
      <c r="BF13" s="1211"/>
      <c r="BG13" s="1211"/>
      <c r="BH13" s="1212"/>
      <c r="BI13" s="56"/>
      <c r="BJ13" s="1225"/>
      <c r="BK13" s="1226"/>
      <c r="BL13" s="1226"/>
      <c r="BM13" s="1226"/>
      <c r="BN13" s="1226"/>
      <c r="BO13" s="1226"/>
      <c r="BP13" s="1227"/>
    </row>
    <row r="14" spans="1:80" s="27" customFormat="1" ht="67.5">
      <c r="A14" s="128"/>
      <c r="B14" s="755" t="s">
        <v>375</v>
      </c>
      <c r="C14" s="755" t="s">
        <v>306</v>
      </c>
      <c r="D14" s="1016" t="s">
        <v>377</v>
      </c>
      <c r="E14" s="1016" t="s">
        <v>386</v>
      </c>
      <c r="F14" s="1016" t="s">
        <v>387</v>
      </c>
      <c r="G14" s="1016" t="s">
        <v>762</v>
      </c>
      <c r="H14" s="1016" t="s">
        <v>763</v>
      </c>
      <c r="I14" s="1016" t="s">
        <v>764</v>
      </c>
      <c r="J14" s="1016" t="s">
        <v>765</v>
      </c>
      <c r="K14" s="1016" t="s">
        <v>766</v>
      </c>
      <c r="L14" s="1016" t="s">
        <v>767</v>
      </c>
      <c r="M14" s="1016" t="s">
        <v>768</v>
      </c>
      <c r="N14" s="1016" t="s">
        <v>769</v>
      </c>
      <c r="O14" s="1016" t="s">
        <v>396</v>
      </c>
      <c r="P14" s="1016" t="s">
        <v>397</v>
      </c>
      <c r="Q14" s="1016" t="s">
        <v>398</v>
      </c>
      <c r="R14" s="1016" t="s">
        <v>770</v>
      </c>
      <c r="S14" s="132"/>
      <c r="T14" s="1017" t="s">
        <v>771</v>
      </c>
      <c r="U14" s="1017" t="s">
        <v>772</v>
      </c>
      <c r="V14" s="1017" t="s">
        <v>773</v>
      </c>
      <c r="W14" s="132"/>
      <c r="X14" s="1017" t="s">
        <v>774</v>
      </c>
      <c r="Y14" s="1017" t="s">
        <v>775</v>
      </c>
      <c r="Z14" s="1017" t="s">
        <v>776</v>
      </c>
      <c r="AA14" s="1017" t="s">
        <v>777</v>
      </c>
      <c r="AB14" s="1017" t="s">
        <v>778</v>
      </c>
      <c r="AC14" s="1017" t="s">
        <v>779</v>
      </c>
      <c r="AD14" s="1017" t="s">
        <v>780</v>
      </c>
      <c r="AE14" s="1017" t="s">
        <v>781</v>
      </c>
      <c r="AF14" s="1017" t="s">
        <v>782</v>
      </c>
      <c r="AG14" s="1017" t="s">
        <v>783</v>
      </c>
      <c r="AH14" s="1017" t="s">
        <v>784</v>
      </c>
      <c r="AI14" s="1017" t="s">
        <v>785</v>
      </c>
      <c r="AJ14" s="1017" t="s">
        <v>786</v>
      </c>
      <c r="AK14" s="1017" t="s">
        <v>787</v>
      </c>
      <c r="AL14" s="132"/>
      <c r="AM14" s="132"/>
      <c r="AN14" s="1017" t="s">
        <v>788</v>
      </c>
      <c r="AO14" s="1017" t="s">
        <v>789</v>
      </c>
      <c r="AP14" s="1017" t="s">
        <v>790</v>
      </c>
      <c r="AQ14" s="128"/>
      <c r="AR14" s="128"/>
      <c r="AS14" s="1221" t="s">
        <v>298</v>
      </c>
      <c r="AT14" s="1221"/>
      <c r="AU14" s="1221"/>
      <c r="AV14" s="128"/>
      <c r="AW14" s="1221" t="s">
        <v>461</v>
      </c>
      <c r="AX14" s="1221"/>
      <c r="AY14" s="1221"/>
      <c r="AZ14" s="128"/>
      <c r="BA14" s="1231" t="s">
        <v>298</v>
      </c>
      <c r="BB14" s="1232"/>
      <c r="BC14" s="1233"/>
      <c r="BD14" s="537" t="s">
        <v>230</v>
      </c>
      <c r="BE14" s="1232" t="s">
        <v>461</v>
      </c>
      <c r="BF14" s="1232"/>
      <c r="BG14" s="1232"/>
      <c r="BH14" s="724" t="s">
        <v>230</v>
      </c>
      <c r="BI14" s="128"/>
      <c r="BJ14" s="1228" t="s">
        <v>298</v>
      </c>
      <c r="BK14" s="1221"/>
      <c r="BL14" s="1229"/>
      <c r="BM14" s="128"/>
      <c r="BN14" s="1228" t="s">
        <v>461</v>
      </c>
      <c r="BO14" s="1221"/>
      <c r="BP14" s="1229"/>
      <c r="BQ14" s="240"/>
      <c r="BR14" s="240"/>
      <c r="BS14" s="240"/>
      <c r="BT14" s="240"/>
      <c r="BU14" s="240"/>
      <c r="BV14" s="240"/>
      <c r="BW14" s="240"/>
      <c r="BX14" s="240"/>
      <c r="BY14" s="240"/>
      <c r="BZ14" s="240"/>
      <c r="CA14" s="240"/>
      <c r="CB14" s="240"/>
    </row>
    <row r="15" spans="1:80" s="159" customFormat="1" ht="37.5" customHeight="1">
      <c r="A15" s="52"/>
      <c r="B15" s="731" t="s">
        <v>101</v>
      </c>
      <c r="C15" s="731"/>
      <c r="D15" s="731" t="s">
        <v>409</v>
      </c>
      <c r="E15" s="731" t="s">
        <v>791</v>
      </c>
      <c r="F15" s="731" t="s">
        <v>791</v>
      </c>
      <c r="G15" s="731" t="s">
        <v>792</v>
      </c>
      <c r="H15" s="731" t="s">
        <v>792</v>
      </c>
      <c r="I15" s="731" t="s">
        <v>791</v>
      </c>
      <c r="J15" s="731" t="s">
        <v>793</v>
      </c>
      <c r="K15" s="731" t="s">
        <v>794</v>
      </c>
      <c r="L15" s="731" t="s">
        <v>795</v>
      </c>
      <c r="M15" s="731" t="s">
        <v>795</v>
      </c>
      <c r="N15" s="731" t="s">
        <v>414</v>
      </c>
      <c r="O15" s="731" t="s">
        <v>414</v>
      </c>
      <c r="P15" s="731" t="s">
        <v>414</v>
      </c>
      <c r="Q15" s="731" t="s">
        <v>414</v>
      </c>
      <c r="R15" s="731" t="s">
        <v>795</v>
      </c>
      <c r="S15" s="47"/>
      <c r="T15" s="807" t="s">
        <v>795</v>
      </c>
      <c r="U15" s="807" t="s">
        <v>795</v>
      </c>
      <c r="V15" s="807" t="s">
        <v>795</v>
      </c>
      <c r="W15" s="47"/>
      <c r="X15" s="807" t="s">
        <v>796</v>
      </c>
      <c r="Y15" s="807" t="s">
        <v>796</v>
      </c>
      <c r="Z15" s="807" t="s">
        <v>797</v>
      </c>
      <c r="AA15" s="807" t="s">
        <v>797</v>
      </c>
      <c r="AB15" s="807" t="s">
        <v>797</v>
      </c>
      <c r="AC15" s="807" t="s">
        <v>798</v>
      </c>
      <c r="AD15" s="807" t="s">
        <v>799</v>
      </c>
      <c r="AE15" s="807" t="s">
        <v>120</v>
      </c>
      <c r="AF15" s="807" t="s">
        <v>120</v>
      </c>
      <c r="AG15" s="807" t="s">
        <v>120</v>
      </c>
      <c r="AH15" s="807" t="s">
        <v>120</v>
      </c>
      <c r="AI15" s="807" t="s">
        <v>120</v>
      </c>
      <c r="AJ15" s="807" t="s">
        <v>120</v>
      </c>
      <c r="AK15" s="807" t="s">
        <v>120</v>
      </c>
      <c r="AL15" s="47"/>
      <c r="AM15" s="47"/>
      <c r="AN15" s="807" t="s">
        <v>120</v>
      </c>
      <c r="AO15" s="807" t="s">
        <v>120</v>
      </c>
      <c r="AP15" s="807" t="s">
        <v>120</v>
      </c>
      <c r="AQ15" s="56"/>
      <c r="AR15" s="56"/>
      <c r="AS15" s="766" t="s">
        <v>66</v>
      </c>
      <c r="AT15" s="766" t="s">
        <v>113</v>
      </c>
      <c r="AU15" s="659">
        <f>'Project Setting'!F32</f>
        <v>4500000</v>
      </c>
      <c r="AV15" s="56"/>
      <c r="AW15" s="807" t="s">
        <v>119</v>
      </c>
      <c r="AX15" s="766" t="s">
        <v>120</v>
      </c>
      <c r="AY15" s="659">
        <f>'Project Setting'!F35+'Project Setting'!F36*'Project Setting'!F14</f>
        <v>66000</v>
      </c>
      <c r="AZ15" s="56"/>
      <c r="BA15" s="834" t="s">
        <v>464</v>
      </c>
      <c r="BB15" s="835" t="s">
        <v>113</v>
      </c>
      <c r="BC15" s="836">
        <f>'Project Setting'!$F$105</f>
        <v>500000</v>
      </c>
      <c r="BD15" s="837">
        <f>'Project Setting'!G105</f>
        <v>0</v>
      </c>
      <c r="BE15" s="838" t="s">
        <v>465</v>
      </c>
      <c r="BF15" s="835" t="s">
        <v>120</v>
      </c>
      <c r="BG15" s="836">
        <f>'Project Setting'!$F$110</f>
        <v>50000</v>
      </c>
      <c r="BH15" s="839">
        <f>'Project Setting'!G110</f>
        <v>0</v>
      </c>
      <c r="BI15" s="56"/>
      <c r="BJ15" s="840" t="s">
        <v>464</v>
      </c>
      <c r="BK15" s="766" t="s">
        <v>113</v>
      </c>
      <c r="BL15" s="841">
        <f>BC15*(1-BD15)</f>
        <v>500000</v>
      </c>
      <c r="BM15" s="56"/>
      <c r="BN15" s="846" t="s">
        <v>465</v>
      </c>
      <c r="BO15" s="766" t="s">
        <v>120</v>
      </c>
      <c r="BP15" s="841">
        <f>BG15*(1-BH15)</f>
        <v>50000</v>
      </c>
      <c r="BQ15" s="217"/>
      <c r="BR15" s="217"/>
      <c r="BS15" s="217"/>
      <c r="BT15" s="217"/>
      <c r="BU15" s="217"/>
      <c r="BV15" s="217"/>
      <c r="BW15" s="217"/>
      <c r="BX15" s="217"/>
      <c r="BY15" s="217"/>
      <c r="BZ15" s="217"/>
      <c r="CA15" s="217"/>
      <c r="CB15" s="217"/>
    </row>
    <row r="16" spans="1:80" s="159" customFormat="1" ht="123.75">
      <c r="A16" s="52"/>
      <c r="B16" s="8"/>
      <c r="C16" s="8" t="str">
        <f>'Definition of Typical Year'!$C$15</f>
        <v>Labels each characteristic day (e.g. Winter day, Summer weekend)</v>
      </c>
      <c r="D16" s="8" t="str">
        <f>'Definition of Typical Year'!$F$15</f>
        <v>Number of days that each typical day represents across the entire year</v>
      </c>
      <c r="E16" s="8" t="str">
        <f>'Definition of Typical Year'!O15</f>
        <v>Total thermal energy (waste heat) available from the data centre on that typical day</v>
      </c>
      <c r="F16" s="8" t="str">
        <f>'Definition of Typical Year'!P15</f>
        <v>Amount of the available waste heat that is actually used in the system (e.g. heat pump)</v>
      </c>
      <c r="G16" s="8" t="s">
        <v>800</v>
      </c>
      <c r="H16" s="8" t="s">
        <v>801</v>
      </c>
      <c r="I16" s="8" t="str">
        <f>'Definition of Typical Year'!S15</f>
        <v>Total heat delivered to the district heating grid, coming from both the heat pump and booster</v>
      </c>
      <c r="J16" s="8" t="str">
        <f>'Definition of Typical Year'!Q15</f>
        <v>Amount of electricity consumed by the heat pump to extract and upgrade the waste heat</v>
      </c>
      <c r="K16" s="8" t="str">
        <f>'Definition of Typical Year'!R15</f>
        <v>If additional heating is needed, this reflects the fuel consumption of a booster heater</v>
      </c>
      <c r="L16" s="8" t="str">
        <f>'Definition of Typical Year'!W15</f>
        <v>Daily cost for the waste heat based on a variable (usage-based) contract with a negotiated price. These Waste heat costs are part of SRMC.</v>
      </c>
      <c r="M16" s="8" t="str">
        <f>'Definition of Typical Year'!X15</f>
        <v>Total electricity cost for operating the heat pump on that day</v>
      </c>
      <c r="N16" s="8" t="str">
        <f>'Definition of Typical Year'!Y15</f>
        <v>Electricity costs associated with additional or auxiliary components of the system (not the HP) (so SRMC)</v>
      </c>
      <c r="O16" s="8" t="str">
        <f>'Definition of Typical Year'!Z15</f>
        <v>Cost of fuel used by the booster to supplement heating if necessary</v>
      </c>
      <c r="P16" s="8" t="str">
        <f>'Definition of Typical Year'!AA15</f>
        <v>Operating and maintenance costs that vary with usage, associated with the heat pump.</v>
      </c>
      <c r="Q16" s="8" t="str">
        <f>'Definition of Typical Year'!AB15</f>
        <v>Operating and maintenance costs that vary with usage, associated with the booster unit.</v>
      </c>
      <c r="R16" s="8" t="str">
        <f>'Definition of Typical Year'!AC15</f>
        <v>Sum of all daily variable costs (electricity, fuel, O&amp;M), excluding any subsidies.</v>
      </c>
      <c r="S16" s="47"/>
      <c r="T16" s="807" t="str">
        <f>'Definition of Typical Year'!AE15</f>
        <v>Costs saved by not using an alternative (usually more expensive) heat production method.
Considered as earnings.</v>
      </c>
      <c r="U16" s="807" t="str">
        <f>'Definition of Typical Year'!AD15</f>
        <v>Daily subsidies received for using waste heat from the data centre.
Considered as earnings.</v>
      </c>
      <c r="V16" s="807" t="str">
        <f>'Definition of Typical Year'!AF15</f>
        <v>Daily cost under a fixed contract where the buyer pays for a set amount of heat, used or not.
These Waste heat costs are NOT part of SRMC.</v>
      </c>
      <c r="W16" s="47"/>
      <c r="X16" s="807" t="s">
        <v>800</v>
      </c>
      <c r="Y16" s="807" t="s">
        <v>801</v>
      </c>
      <c r="Z16" s="807" t="s">
        <v>802</v>
      </c>
      <c r="AA16" s="807" t="s">
        <v>803</v>
      </c>
      <c r="AB16" s="807" t="s">
        <v>804</v>
      </c>
      <c r="AC16" s="807" t="s">
        <v>805</v>
      </c>
      <c r="AD16" s="807" t="s">
        <v>806</v>
      </c>
      <c r="AE16" s="807" t="s">
        <v>807</v>
      </c>
      <c r="AF16" s="807" t="s">
        <v>808</v>
      </c>
      <c r="AG16" s="807" t="s">
        <v>809</v>
      </c>
      <c r="AH16" s="807" t="s">
        <v>810</v>
      </c>
      <c r="AI16" s="811" t="s">
        <v>811</v>
      </c>
      <c r="AJ16" s="811" t="s">
        <v>812</v>
      </c>
      <c r="AK16" s="807" t="s">
        <v>813</v>
      </c>
      <c r="AL16" s="47"/>
      <c r="AM16" s="47"/>
      <c r="AN16" s="807" t="s">
        <v>814</v>
      </c>
      <c r="AO16" s="807" t="s">
        <v>815</v>
      </c>
      <c r="AP16" s="807" t="s">
        <v>816</v>
      </c>
      <c r="AQ16" s="56"/>
      <c r="AR16" s="56"/>
      <c r="AS16" s="766" t="s">
        <v>817</v>
      </c>
      <c r="AT16" s="766" t="s">
        <v>113</v>
      </c>
      <c r="AU16" s="659">
        <f>'Project Setting'!F33</f>
        <v>0</v>
      </c>
      <c r="AV16" s="56"/>
      <c r="AW16" s="807" t="s">
        <v>161</v>
      </c>
      <c r="AX16" s="766" t="s">
        <v>120</v>
      </c>
      <c r="AY16" s="659">
        <f>'Project Setting'!F62+'Project Setting'!F63*'Project Setting'!F55</f>
        <v>2000</v>
      </c>
      <c r="AZ16" s="56"/>
      <c r="BA16" s="820" t="s">
        <v>466</v>
      </c>
      <c r="BB16" s="819" t="s">
        <v>113</v>
      </c>
      <c r="BC16" s="821">
        <f>'Project Setting'!$F$106</f>
        <v>126000</v>
      </c>
      <c r="BD16" s="827">
        <f>'Project Setting'!G106</f>
        <v>0</v>
      </c>
      <c r="BE16" s="829" t="s">
        <v>467</v>
      </c>
      <c r="BF16" s="819" t="s">
        <v>120</v>
      </c>
      <c r="BG16" s="821">
        <f ca="1">$AD$63</f>
        <v>0</v>
      </c>
      <c r="BH16" s="833">
        <f>'Project Setting'!G112</f>
        <v>0</v>
      </c>
      <c r="BI16" s="56"/>
      <c r="BJ16" s="840" t="s">
        <v>466</v>
      </c>
      <c r="BK16" s="766" t="s">
        <v>113</v>
      </c>
      <c r="BL16" s="841">
        <f>BC16*(1-BD16)</f>
        <v>126000</v>
      </c>
      <c r="BM16" s="56"/>
      <c r="BN16" s="846" t="s">
        <v>467</v>
      </c>
      <c r="BO16" s="766" t="s">
        <v>120</v>
      </c>
      <c r="BP16" s="841">
        <f ca="1">BG16*(1-BH16)</f>
        <v>0</v>
      </c>
      <c r="BQ16" s="217"/>
      <c r="BR16" s="217"/>
      <c r="BS16" s="217"/>
      <c r="BT16" s="217"/>
      <c r="BU16" s="217"/>
      <c r="BV16" s="217"/>
      <c r="BW16" s="217"/>
      <c r="BX16" s="217"/>
      <c r="BY16" s="217"/>
      <c r="BZ16" s="217"/>
      <c r="CA16" s="217"/>
      <c r="CB16" s="217"/>
    </row>
    <row r="17" spans="1:68" ht="23.25" thickBot="1">
      <c r="A17" s="135"/>
      <c r="B17" s="807">
        <f>'Definition of Typical Day'!$E$13</f>
        <v>1</v>
      </c>
      <c r="C17" s="807" t="str">
        <f>'Definition of Typical Day'!$E$14</f>
        <v>Winter day</v>
      </c>
      <c r="D17" s="659">
        <f>'Definition of Typical Year'!F16</f>
        <v>94.608605495075167</v>
      </c>
      <c r="E17" s="659">
        <f ca="1">'Definition of Typical Year'!O16</f>
        <v>48</v>
      </c>
      <c r="F17" s="659">
        <f ca="1">'Definition of Typical Year'!P16</f>
        <v>48</v>
      </c>
      <c r="G17" s="659">
        <f ca="1">'Definition of Typical Year'!M16</f>
        <v>24</v>
      </c>
      <c r="H17" s="659">
        <f ca="1">'Definition of Typical Year'!N16</f>
        <v>22.787400371361681</v>
      </c>
      <c r="I17" s="659">
        <f ca="1">'Definition of Typical Year'!S16</f>
        <v>68.175326103045023</v>
      </c>
      <c r="J17" s="659">
        <f ca="1">'Definition of Typical Year'!Q16</f>
        <v>20.362201114085039</v>
      </c>
      <c r="K17" s="659">
        <f ca="1">'Definition of Typical Year'!R16</f>
        <v>0.50683297632979996</v>
      </c>
      <c r="L17" s="659">
        <f ca="1">'Definition of Typical Year'!W16</f>
        <v>0</v>
      </c>
      <c r="M17" s="659">
        <f ca="1">'Definition of Typical Year'!X16</f>
        <v>1722.2343134726941</v>
      </c>
      <c r="N17" s="659">
        <f ca="1">'Definition of Typical Year'!Y16</f>
        <v>185.93270755375912</v>
      </c>
      <c r="O17" s="659">
        <f ca="1">'Definition of Typical Year'!Z16</f>
        <v>38.838610976152566</v>
      </c>
      <c r="P17" s="659">
        <f ca="1">'Definition of Typical Year'!AA16</f>
        <v>0</v>
      </c>
      <c r="Q17" s="659">
        <f ca="1">'Definition of Typical Year'!AB16</f>
        <v>0</v>
      </c>
      <c r="R17" s="659">
        <f ca="1">'Definition of Typical Year'!AC16</f>
        <v>1947.005632002606</v>
      </c>
      <c r="S17" s="47"/>
      <c r="T17" s="659">
        <f ca="1">'Definition of Typical Year'!AE16</f>
        <v>4431.3961966979259</v>
      </c>
      <c r="U17" s="659">
        <f ca="1">'Definition of Typical Year'!AD16</f>
        <v>0</v>
      </c>
      <c r="V17" s="659">
        <f ca="1">'Definition of Typical Year'!AF16</f>
        <v>96</v>
      </c>
      <c r="W17" s="47"/>
      <c r="X17" s="659">
        <f ca="1">G17*$D17</f>
        <v>2270.6065318818041</v>
      </c>
      <c r="Y17" s="659">
        <f ca="1">H17*$D17</f>
        <v>2155.8841719924867</v>
      </c>
      <c r="Z17" s="659">
        <f ca="1">E17*$D17</f>
        <v>4541.2130637636083</v>
      </c>
      <c r="AA17" s="659">
        <f ca="1">F17*$D17</f>
        <v>4541.2130637636083</v>
      </c>
      <c r="AB17" s="659">
        <f ca="1">I17*$D17</f>
        <v>6449.9725317810871</v>
      </c>
      <c r="AC17" s="659">
        <f ca="1">J17*$D17</f>
        <v>1926.4394522138516</v>
      </c>
      <c r="AD17" s="659">
        <f ca="1">K17*$D17</f>
        <v>47.950761109480815</v>
      </c>
      <c r="AE17" s="659">
        <f t="shared" ref="AE17:AE36" ca="1" si="0">L17*$D17</f>
        <v>0</v>
      </c>
      <c r="AF17" s="659">
        <f t="shared" ref="AF17:AF36" ca="1" si="1">M17*$D17</f>
        <v>162938.18673341974</v>
      </c>
      <c r="AG17" s="659">
        <f t="shared" ref="AG17:AG36" ca="1" si="2">N17*$D17</f>
        <v>17590.83417758478</v>
      </c>
      <c r="AH17" s="659">
        <f t="shared" ref="AH17:AH36" ca="1" si="3">O17*$D17</f>
        <v>3674.4668238195145</v>
      </c>
      <c r="AI17" s="659">
        <f t="shared" ref="AI17:AI36" ca="1" si="4">P17*$D17</f>
        <v>0</v>
      </c>
      <c r="AJ17" s="659">
        <f t="shared" ref="AJ17:AJ36" ca="1" si="5">Q17*$D17</f>
        <v>0</v>
      </c>
      <c r="AK17" s="659">
        <f t="shared" ref="AK17:AK36" ca="1" si="6">R17*$D17</f>
        <v>184203.48773482404</v>
      </c>
      <c r="AL17" s="47"/>
      <c r="AM17" s="47"/>
      <c r="AN17" s="659">
        <f t="shared" ref="AN17:AN36" ca="1" si="7">T17*$D17</f>
        <v>419248.21456577058</v>
      </c>
      <c r="AO17" s="659">
        <f t="shared" ref="AO17:AO36" ca="1" si="8">U17*$D17</f>
        <v>0</v>
      </c>
      <c r="AP17" s="659">
        <f t="shared" ref="AP17:AP36" ca="1" si="9">V17*$D17</f>
        <v>9082.4261275272165</v>
      </c>
      <c r="AQ17" s="56"/>
      <c r="AR17" s="56"/>
      <c r="AS17" s="766" t="s">
        <v>153</v>
      </c>
      <c r="AT17" s="766" t="s">
        <v>113</v>
      </c>
      <c r="AU17" s="659">
        <f>'Project Setting'!F61</f>
        <v>75000</v>
      </c>
      <c r="AV17" s="56"/>
      <c r="AW17" s="807" t="s">
        <v>191</v>
      </c>
      <c r="AX17" s="766" t="s">
        <v>120</v>
      </c>
      <c r="AY17" s="659">
        <f>'Project Setting'!F80</f>
        <v>20000</v>
      </c>
      <c r="AZ17" s="56"/>
      <c r="BA17" s="822" t="s">
        <v>468</v>
      </c>
      <c r="BB17" s="780" t="s">
        <v>113</v>
      </c>
      <c r="BC17" s="823">
        <f>'Project Setting'!$F$109</f>
        <v>50080</v>
      </c>
      <c r="BD17" s="828">
        <f>'Project Setting'!G109</f>
        <v>0</v>
      </c>
      <c r="BE17" s="830" t="s">
        <v>470</v>
      </c>
      <c r="BF17" s="831" t="s">
        <v>120</v>
      </c>
      <c r="BG17" s="832">
        <f ca="1">SUM(BG15:BG16)</f>
        <v>50000</v>
      </c>
      <c r="BH17" s="47"/>
      <c r="BI17" s="56"/>
      <c r="BJ17" s="842" t="s">
        <v>468</v>
      </c>
      <c r="BK17" s="766" t="s">
        <v>113</v>
      </c>
      <c r="BL17" s="841">
        <f>BC17*(1-BD17)</f>
        <v>50080</v>
      </c>
      <c r="BM17" s="56"/>
      <c r="BN17" s="843" t="s">
        <v>470</v>
      </c>
      <c r="BO17" s="844" t="s">
        <v>120</v>
      </c>
      <c r="BP17" s="845">
        <f ca="1">SUM(BP15:BP16)</f>
        <v>50000</v>
      </c>
    </row>
    <row r="18" spans="1:68">
      <c r="A18" s="135"/>
      <c r="B18" s="807">
        <f>'Definition of Typical Day'!$F$13</f>
        <v>2</v>
      </c>
      <c r="C18" s="807" t="str">
        <f>'Definition of Typical Day'!$F$14</f>
        <v>Spring / fall weekday</v>
      </c>
      <c r="D18" s="659">
        <f>'Definition of Typical Year'!F17</f>
        <v>126.77553136340072</v>
      </c>
      <c r="E18" s="659">
        <f ca="1">'Definition of Typical Year'!O17</f>
        <v>48</v>
      </c>
      <c r="F18" s="659">
        <f ca="1">'Definition of Typical Year'!P17</f>
        <v>48</v>
      </c>
      <c r="G18" s="659">
        <f ca="1">'Definition of Typical Year'!M17</f>
        <v>24</v>
      </c>
      <c r="H18" s="659">
        <f ca="1">'Definition of Typical Year'!N17</f>
        <v>22.851497790964626</v>
      </c>
      <c r="I18" s="659">
        <f ca="1">'Definition of Typical Year'!S17</f>
        <v>67.868948439164953</v>
      </c>
      <c r="J18" s="659">
        <f ca="1">'Definition of Typical Year'!Q17</f>
        <v>20.554493372893887</v>
      </c>
      <c r="K18" s="659">
        <f ca="1">'Definition of Typical Year'!R17</f>
        <v>0</v>
      </c>
      <c r="L18" s="659">
        <f ca="1">'Definition of Typical Year'!W17</f>
        <v>0</v>
      </c>
      <c r="M18" s="659">
        <f ca="1">'Definition of Typical Year'!X17</f>
        <v>1927.4057502459948</v>
      </c>
      <c r="N18" s="659">
        <f ca="1">'Definition of Typical Year'!Y17</f>
        <v>97.347380589509328</v>
      </c>
      <c r="O18" s="659">
        <f ca="1">'Definition of Typical Year'!Z17</f>
        <v>0</v>
      </c>
      <c r="P18" s="659">
        <f ca="1">'Definition of Typical Year'!AA17</f>
        <v>0</v>
      </c>
      <c r="Q18" s="659">
        <f ca="1">'Definition of Typical Year'!AB17</f>
        <v>0</v>
      </c>
      <c r="R18" s="659">
        <f ca="1">'Definition of Typical Year'!AC17</f>
        <v>2024.7531308355042</v>
      </c>
      <c r="S18" s="47"/>
      <c r="T18" s="659">
        <f ca="1">'Definition of Typical Year'!AE17</f>
        <v>4072.1369063498969</v>
      </c>
      <c r="U18" s="659">
        <f ca="1">'Definition of Typical Year'!AD17</f>
        <v>0</v>
      </c>
      <c r="V18" s="659">
        <f ca="1">'Definition of Typical Year'!AF17</f>
        <v>96</v>
      </c>
      <c r="W18" s="47"/>
      <c r="X18" s="659">
        <f t="shared" ref="X18:X36" ca="1" si="10">G18*$D18</f>
        <v>3042.6127527216172</v>
      </c>
      <c r="Y18" s="659">
        <f t="shared" ref="Y18:Y36" ca="1" si="11">H18*$D18</f>
        <v>2897.0107748991181</v>
      </c>
      <c r="Z18" s="659">
        <f t="shared" ref="Z18:Z36" ca="1" si="12">E18*$D18</f>
        <v>6085.2255054432344</v>
      </c>
      <c r="AA18" s="659">
        <f t="shared" ref="AA18:AA36" ca="1" si="13">F18*$D18</f>
        <v>6085.2255054432344</v>
      </c>
      <c r="AB18" s="659">
        <f t="shared" ref="AB18:AB36" ca="1" si="14">I18*$D18</f>
        <v>8604.1220014503833</v>
      </c>
      <c r="AC18" s="659">
        <f t="shared" ref="AC18:AC36" ca="1" si="15">J18*$D18</f>
        <v>2605.8068192541214</v>
      </c>
      <c r="AD18" s="659">
        <f t="shared" ref="AD18:AD36" ca="1" si="16">K18*$D18</f>
        <v>0</v>
      </c>
      <c r="AE18" s="659">
        <f t="shared" ca="1" si="0"/>
        <v>0</v>
      </c>
      <c r="AF18" s="659">
        <f t="shared" ca="1" si="1"/>
        <v>244347.88814031001</v>
      </c>
      <c r="AG18" s="659">
        <f t="shared" ca="1" si="2"/>
        <v>12341.265901070246</v>
      </c>
      <c r="AH18" s="659">
        <f t="shared" ca="1" si="3"/>
        <v>0</v>
      </c>
      <c r="AI18" s="659">
        <f t="shared" ca="1" si="4"/>
        <v>0</v>
      </c>
      <c r="AJ18" s="659">
        <f t="shared" ca="1" si="5"/>
        <v>0</v>
      </c>
      <c r="AK18" s="659">
        <f t="shared" ca="1" si="6"/>
        <v>256689.15404138024</v>
      </c>
      <c r="AL18" s="47"/>
      <c r="AM18" s="47"/>
      <c r="AN18" s="659">
        <f t="shared" ca="1" si="7"/>
        <v>516247.3200870229</v>
      </c>
      <c r="AO18" s="659">
        <f t="shared" ca="1" si="8"/>
        <v>0</v>
      </c>
      <c r="AP18" s="659">
        <f t="shared" ca="1" si="9"/>
        <v>12170.451010886469</v>
      </c>
      <c r="AQ18" s="56"/>
      <c r="AR18" s="56"/>
      <c r="AS18" s="766" t="s">
        <v>818</v>
      </c>
      <c r="AT18" s="766" t="s">
        <v>1188</v>
      </c>
      <c r="AU18" s="659">
        <f>'Project Setting'!F73+'Project Setting'!F72</f>
        <v>1550000</v>
      </c>
      <c r="AV18" s="56"/>
      <c r="AW18" s="807" t="s">
        <v>193</v>
      </c>
      <c r="AX18" s="766" t="s">
        <v>120</v>
      </c>
      <c r="AY18" s="659">
        <f>'Project Setting'!F81</f>
        <v>0</v>
      </c>
      <c r="AZ18" s="56"/>
      <c r="BA18" s="824" t="s">
        <v>469</v>
      </c>
      <c r="BB18" s="825" t="s">
        <v>113</v>
      </c>
      <c r="BC18" s="826">
        <f>SUM(BC15:BC17)</f>
        <v>676080</v>
      </c>
      <c r="BD18" s="56"/>
      <c r="BE18" s="135"/>
      <c r="BF18" s="135"/>
      <c r="BG18" s="135"/>
      <c r="BH18" s="47"/>
      <c r="BI18" s="56"/>
      <c r="BJ18" s="843" t="s">
        <v>469</v>
      </c>
      <c r="BK18" s="844" t="s">
        <v>113</v>
      </c>
      <c r="BL18" s="845">
        <f>SUM(BL15:BL17)</f>
        <v>676080</v>
      </c>
      <c r="BM18" s="56"/>
      <c r="BN18" s="135"/>
      <c r="BO18" s="135"/>
      <c r="BP18" s="135"/>
    </row>
    <row r="19" spans="1:68">
      <c r="A19" s="135"/>
      <c r="B19" s="807">
        <f>'Definition of Typical Day'!$G$13</f>
        <v>3</v>
      </c>
      <c r="C19" s="807" t="str">
        <f>'Definition of Typical Day'!$G$14</f>
        <v>Spring / fall weekend</v>
      </c>
      <c r="D19" s="659">
        <f>'Definition of Typical Year'!F18</f>
        <v>50.710212545360292</v>
      </c>
      <c r="E19" s="659">
        <f ca="1">'Definition of Typical Year'!O18</f>
        <v>48</v>
      </c>
      <c r="F19" s="659">
        <f ca="1">'Definition of Typical Year'!P18</f>
        <v>48</v>
      </c>
      <c r="G19" s="659">
        <f ca="1">'Definition of Typical Year'!M18</f>
        <v>24</v>
      </c>
      <c r="H19" s="659">
        <f ca="1">'Definition of Typical Year'!N18</f>
        <v>22.851497790964626</v>
      </c>
      <c r="I19" s="659">
        <f ca="1">'Definition of Typical Year'!S18</f>
        <v>67.868948439164953</v>
      </c>
      <c r="J19" s="659">
        <f ca="1">'Definition of Typical Year'!Q18</f>
        <v>20.554493372893887</v>
      </c>
      <c r="K19" s="659">
        <f ca="1">'Definition of Typical Year'!R18</f>
        <v>0</v>
      </c>
      <c r="L19" s="659">
        <f ca="1">'Definition of Typical Year'!W18</f>
        <v>0</v>
      </c>
      <c r="M19" s="659">
        <f ca="1">'Definition of Typical Year'!X18</f>
        <v>1381.3092347779952</v>
      </c>
      <c r="N19" s="659">
        <f ca="1">'Definition of Typical Year'!Y18</f>
        <v>97.347380589509328</v>
      </c>
      <c r="O19" s="659">
        <f ca="1">'Definition of Typical Year'!Z18</f>
        <v>0</v>
      </c>
      <c r="P19" s="659">
        <f ca="1">'Definition of Typical Year'!AA18</f>
        <v>0</v>
      </c>
      <c r="Q19" s="659">
        <f ca="1">'Definition of Typical Year'!AB18</f>
        <v>0</v>
      </c>
      <c r="R19" s="659">
        <f ca="1">'Definition of Typical Year'!AC18</f>
        <v>1478.6566153675044</v>
      </c>
      <c r="S19" s="47"/>
      <c r="T19" s="659">
        <f ca="1">'Definition of Typical Year'!AE18</f>
        <v>4072.1369063498969</v>
      </c>
      <c r="U19" s="659">
        <f ca="1">'Definition of Typical Year'!AD18</f>
        <v>0</v>
      </c>
      <c r="V19" s="659">
        <f ca="1">'Definition of Typical Year'!AF18</f>
        <v>96</v>
      </c>
      <c r="W19" s="47"/>
      <c r="X19" s="659">
        <f t="shared" ca="1" si="10"/>
        <v>1217.045101088647</v>
      </c>
      <c r="Y19" s="659">
        <f t="shared" ca="1" si="11"/>
        <v>1158.8043099596473</v>
      </c>
      <c r="Z19" s="659">
        <f t="shared" ca="1" si="12"/>
        <v>2434.090202177294</v>
      </c>
      <c r="AA19" s="659">
        <f t="shared" ca="1" si="13"/>
        <v>2434.090202177294</v>
      </c>
      <c r="AB19" s="659">
        <f t="shared" ca="1" si="14"/>
        <v>3441.6488005801534</v>
      </c>
      <c r="AC19" s="659">
        <f t="shared" ca="1" si="15"/>
        <v>1042.3227277016485</v>
      </c>
      <c r="AD19" s="659">
        <f t="shared" ca="1" si="16"/>
        <v>0</v>
      </c>
      <c r="AE19" s="659">
        <f t="shared" ca="1" si="0"/>
        <v>0</v>
      </c>
      <c r="AF19" s="659">
        <f t="shared" ca="1" si="1"/>
        <v>70046.484886461127</v>
      </c>
      <c r="AG19" s="659">
        <f t="shared" ca="1" si="2"/>
        <v>4936.5063604280986</v>
      </c>
      <c r="AH19" s="659">
        <f t="shared" ca="1" si="3"/>
        <v>0</v>
      </c>
      <c r="AI19" s="659">
        <f t="shared" ca="1" si="4"/>
        <v>0</v>
      </c>
      <c r="AJ19" s="659">
        <f t="shared" ca="1" si="5"/>
        <v>0</v>
      </c>
      <c r="AK19" s="659">
        <f t="shared" ca="1" si="6"/>
        <v>74982.991246889214</v>
      </c>
      <c r="AL19" s="47"/>
      <c r="AM19" s="47"/>
      <c r="AN19" s="659">
        <f t="shared" ca="1" si="7"/>
        <v>206498.92803480919</v>
      </c>
      <c r="AO19" s="659">
        <f t="shared" ca="1" si="8"/>
        <v>0</v>
      </c>
      <c r="AP19" s="659">
        <f t="shared" ca="1" si="9"/>
        <v>4868.1804043545881</v>
      </c>
      <c r="AQ19" s="56"/>
      <c r="AR19" s="56"/>
      <c r="AS19" s="766" t="s">
        <v>468</v>
      </c>
      <c r="AT19" s="766" t="s">
        <v>113</v>
      </c>
      <c r="AU19" s="659">
        <f>'Project Setting'!F77</f>
        <v>490000</v>
      </c>
      <c r="AV19" s="56"/>
      <c r="AW19" s="807" t="s">
        <v>819</v>
      </c>
      <c r="AX19" s="766" t="s">
        <v>120</v>
      </c>
      <c r="AY19" s="659">
        <f ca="1">AP37</f>
        <v>34767.527216174189</v>
      </c>
      <c r="AZ19" s="56"/>
      <c r="BA19" s="135"/>
      <c r="BB19" s="135"/>
      <c r="BC19" s="135"/>
      <c r="BD19" s="56"/>
      <c r="BE19" s="135"/>
      <c r="BF19" s="135"/>
      <c r="BG19" s="135"/>
      <c r="BH19" s="47"/>
      <c r="BI19" s="56"/>
      <c r="BJ19" s="135"/>
      <c r="BK19" s="135"/>
      <c r="BL19" s="135"/>
      <c r="BM19" s="56"/>
      <c r="BN19" s="135"/>
      <c r="BO19" s="135"/>
      <c r="BP19" s="135"/>
    </row>
    <row r="20" spans="1:68">
      <c r="A20" s="135"/>
      <c r="B20" s="807">
        <f>'Definition of Typical Day'!$H$13</f>
        <v>4</v>
      </c>
      <c r="C20" s="807" t="str">
        <f>'Definition of Typical Day'!$H$14</f>
        <v>Summer weekday</v>
      </c>
      <c r="D20" s="659">
        <f>'Definition of Typical Year'!F19</f>
        <v>64.333851736651113</v>
      </c>
      <c r="E20" s="659">
        <f ca="1">'Definition of Typical Year'!O19</f>
        <v>48</v>
      </c>
      <c r="F20" s="659">
        <f ca="1">'Definition of Typical Year'!P19</f>
        <v>36.413308566034196</v>
      </c>
      <c r="G20" s="659">
        <f ca="1">'Definition of Typical Year'!M19</f>
        <v>23</v>
      </c>
      <c r="H20" s="659">
        <f ca="1">'Definition of Typical Year'!N19</f>
        <v>16.2634559672906</v>
      </c>
      <c r="I20" s="659">
        <f ca="1">'Definition of Typical Year'!S19</f>
        <v>48.302464222853054</v>
      </c>
      <c r="J20" s="659">
        <f ca="1">'Definition of Typical Year'!Q19</f>
        <v>12.37705933583759</v>
      </c>
      <c r="K20" s="659">
        <f ca="1">'Definition of Typical Year'!R19</f>
        <v>0</v>
      </c>
      <c r="L20" s="659">
        <f ca="1">'Definition of Typical Year'!W19</f>
        <v>0</v>
      </c>
      <c r="M20" s="659">
        <f ca="1">'Definition of Typical Year'!X19</f>
        <v>1143.0860056263537</v>
      </c>
      <c r="N20" s="659">
        <f ca="1">'Definition of Typical Year'!Y19</f>
        <v>58.548441482246169</v>
      </c>
      <c r="O20" s="659">
        <f ca="1">'Definition of Typical Year'!Z19</f>
        <v>0</v>
      </c>
      <c r="P20" s="659">
        <f ca="1">'Definition of Typical Year'!AA19</f>
        <v>0</v>
      </c>
      <c r="Q20" s="659">
        <f ca="1">'Definition of Typical Year'!AB19</f>
        <v>0</v>
      </c>
      <c r="R20" s="659">
        <f ca="1">'Definition of Typical Year'!AC19</f>
        <v>1201.6344471085999</v>
      </c>
      <c r="S20" s="47"/>
      <c r="T20" s="659">
        <f ca="1">'Definition of Typical Year'!AE19</f>
        <v>1932.0985689141216</v>
      </c>
      <c r="U20" s="659">
        <f ca="1">'Definition of Typical Year'!AD19</f>
        <v>0</v>
      </c>
      <c r="V20" s="659">
        <f ca="1">'Definition of Typical Year'!AF19</f>
        <v>96</v>
      </c>
      <c r="W20" s="47"/>
      <c r="X20" s="659">
        <f t="shared" ca="1" si="10"/>
        <v>1479.6785899429756</v>
      </c>
      <c r="Y20" s="659">
        <f t="shared" ca="1" si="11"/>
        <v>1046.2907649252272</v>
      </c>
      <c r="Z20" s="659">
        <f t="shared" ca="1" si="12"/>
        <v>3088.0248833592532</v>
      </c>
      <c r="AA20" s="659">
        <f t="shared" ca="1" si="13"/>
        <v>2342.6083945281721</v>
      </c>
      <c r="AB20" s="659">
        <f t="shared" ca="1" si="14"/>
        <v>3107.4835718279232</v>
      </c>
      <c r="AC20" s="659">
        <f t="shared" ca="1" si="15"/>
        <v>796.26390024750901</v>
      </c>
      <c r="AD20" s="659">
        <f t="shared" ca="1" si="16"/>
        <v>0</v>
      </c>
      <c r="AE20" s="659">
        <f t="shared" ca="1" si="0"/>
        <v>0</v>
      </c>
      <c r="AF20" s="659">
        <f t="shared" ca="1" si="1"/>
        <v>73539.125608206581</v>
      </c>
      <c r="AG20" s="659">
        <f t="shared" ca="1" si="2"/>
        <v>3766.6467537308185</v>
      </c>
      <c r="AH20" s="659">
        <f t="shared" ca="1" si="3"/>
        <v>0</v>
      </c>
      <c r="AI20" s="659">
        <f t="shared" ca="1" si="4"/>
        <v>0</v>
      </c>
      <c r="AJ20" s="659">
        <f t="shared" ca="1" si="5"/>
        <v>0</v>
      </c>
      <c r="AK20" s="659">
        <f t="shared" ca="1" si="6"/>
        <v>77305.772361937401</v>
      </c>
      <c r="AL20" s="47"/>
      <c r="AM20" s="47"/>
      <c r="AN20" s="659">
        <f t="shared" ca="1" si="7"/>
        <v>124299.3428731169</v>
      </c>
      <c r="AO20" s="659">
        <f t="shared" ca="1" si="8"/>
        <v>0</v>
      </c>
      <c r="AP20" s="659">
        <f t="shared" ca="1" si="9"/>
        <v>6176.0497667185064</v>
      </c>
      <c r="AQ20" s="56"/>
      <c r="AR20" s="56"/>
      <c r="AS20" s="813" t="s">
        <v>469</v>
      </c>
      <c r="AT20" s="813" t="s">
        <v>113</v>
      </c>
      <c r="AU20" s="814">
        <f>SUM(AU15:AU19)</f>
        <v>6615000</v>
      </c>
      <c r="AV20" s="56"/>
      <c r="AW20" s="807" t="s">
        <v>820</v>
      </c>
      <c r="AX20" s="766" t="s">
        <v>120</v>
      </c>
      <c r="AY20" s="659">
        <f>'Project Setting'!F40</f>
        <v>150000</v>
      </c>
      <c r="AZ20" s="56"/>
      <c r="BA20" s="135"/>
      <c r="BB20" s="135"/>
      <c r="BC20" s="135"/>
      <c r="BD20" s="56"/>
      <c r="BE20" s="135"/>
      <c r="BF20" s="135"/>
      <c r="BG20" s="135"/>
      <c r="BH20" s="47"/>
      <c r="BI20" s="56"/>
      <c r="BJ20" s="135"/>
      <c r="BK20" s="135"/>
      <c r="BL20" s="135"/>
      <c r="BM20" s="56"/>
      <c r="BN20" s="135"/>
      <c r="BO20" s="135"/>
      <c r="BP20" s="135"/>
    </row>
    <row r="21" spans="1:68" ht="22.5">
      <c r="A21" s="135"/>
      <c r="B21" s="807">
        <f>'Definition of Typical Day'!$I$13</f>
        <v>5</v>
      </c>
      <c r="C21" s="807" t="str">
        <f>'Definition of Typical Day'!$I$14</f>
        <v>Summer weekend</v>
      </c>
      <c r="D21" s="659">
        <f>'Definition of Typical Year'!F20</f>
        <v>25.733540694660444</v>
      </c>
      <c r="E21" s="659">
        <f ca="1">'Definition of Typical Year'!O20</f>
        <v>48</v>
      </c>
      <c r="F21" s="659">
        <f ca="1">'Definition of Typical Year'!P20</f>
        <v>37.996495894992208</v>
      </c>
      <c r="G21" s="659">
        <f ca="1">'Definition of Typical Year'!M20</f>
        <v>24</v>
      </c>
      <c r="H21" s="659">
        <f ca="1">'Definition of Typical Year'!N20</f>
        <v>16.970562748477146</v>
      </c>
      <c r="I21" s="659">
        <f ca="1">'Definition of Typical Year'!S20</f>
        <v>50.402571362977099</v>
      </c>
      <c r="J21" s="659">
        <f ca="1">'Definition of Typical Year'!Q20</f>
        <v>12.915192350439224</v>
      </c>
      <c r="K21" s="659">
        <f ca="1">'Definition of Typical Year'!R20</f>
        <v>0</v>
      </c>
      <c r="L21" s="659">
        <f ca="1">'Definition of Typical Year'!W20</f>
        <v>0</v>
      </c>
      <c r="M21" s="659">
        <f ca="1">'Definition of Typical Year'!X20</f>
        <v>788.44020501343846</v>
      </c>
      <c r="N21" s="659">
        <f ca="1">'Definition of Typical Year'!Y20</f>
        <v>61.094025894517742</v>
      </c>
      <c r="O21" s="659">
        <f ca="1">'Definition of Typical Year'!Z20</f>
        <v>0</v>
      </c>
      <c r="P21" s="659">
        <f ca="1">'Definition of Typical Year'!AA20</f>
        <v>0</v>
      </c>
      <c r="Q21" s="659">
        <f ca="1">'Definition of Typical Year'!AB20</f>
        <v>0</v>
      </c>
      <c r="R21" s="659">
        <f ca="1">'Definition of Typical Year'!AC20</f>
        <v>849.5342309079565</v>
      </c>
      <c r="S21" s="47"/>
      <c r="T21" s="659">
        <f ca="1">'Definition of Typical Year'!AE20</f>
        <v>2772.1414249637414</v>
      </c>
      <c r="U21" s="659">
        <f ca="1">'Definition of Typical Year'!AD20</f>
        <v>0</v>
      </c>
      <c r="V21" s="659">
        <f ca="1">'Definition of Typical Year'!AF20</f>
        <v>96</v>
      </c>
      <c r="W21" s="47"/>
      <c r="X21" s="659">
        <f t="shared" ca="1" si="10"/>
        <v>617.60497667185064</v>
      </c>
      <c r="Y21" s="659">
        <f t="shared" ca="1" si="11"/>
        <v>436.71266709922526</v>
      </c>
      <c r="Z21" s="659">
        <f t="shared" ca="1" si="12"/>
        <v>1235.2099533437013</v>
      </c>
      <c r="AA21" s="659">
        <f t="shared" ca="1" si="13"/>
        <v>977.78437336828051</v>
      </c>
      <c r="AB21" s="659">
        <f t="shared" ca="1" si="14"/>
        <v>1297.0366212846984</v>
      </c>
      <c r="AC21" s="659">
        <f t="shared" ca="1" si="15"/>
        <v>332.35362792939503</v>
      </c>
      <c r="AD21" s="659">
        <f t="shared" ca="1" si="16"/>
        <v>0</v>
      </c>
      <c r="AE21" s="659">
        <f t="shared" ca="1" si="0"/>
        <v>0</v>
      </c>
      <c r="AF21" s="659">
        <f t="shared" ca="1" si="1"/>
        <v>20289.358101019741</v>
      </c>
      <c r="AG21" s="659">
        <f t="shared" ca="1" si="2"/>
        <v>1572.1656015572112</v>
      </c>
      <c r="AH21" s="659">
        <f t="shared" ca="1" si="3"/>
        <v>0</v>
      </c>
      <c r="AI21" s="659">
        <f t="shared" ca="1" si="4"/>
        <v>0</v>
      </c>
      <c r="AJ21" s="659">
        <f t="shared" ca="1" si="5"/>
        <v>0</v>
      </c>
      <c r="AK21" s="659">
        <f t="shared" ca="1" si="6"/>
        <v>21861.52370257696</v>
      </c>
      <c r="AL21" s="47"/>
      <c r="AM21" s="47"/>
      <c r="AN21" s="659">
        <f t="shared" ca="1" si="7"/>
        <v>71337.014170658425</v>
      </c>
      <c r="AO21" s="659">
        <f t="shared" ca="1" si="8"/>
        <v>0</v>
      </c>
      <c r="AP21" s="659">
        <f t="shared" ca="1" si="9"/>
        <v>2470.4199066874025</v>
      </c>
      <c r="AQ21" s="56"/>
      <c r="AR21" s="56"/>
      <c r="AS21" s="1213" t="s">
        <v>502</v>
      </c>
      <c r="AT21" s="1213"/>
      <c r="AU21" s="1213"/>
      <c r="AV21" s="56"/>
      <c r="AW21" s="807" t="s">
        <v>821</v>
      </c>
      <c r="AX21" s="766" t="s">
        <v>120</v>
      </c>
      <c r="AY21" s="659">
        <f>'Project Setting'!F67</f>
        <v>75757.57575757576</v>
      </c>
      <c r="AZ21" s="56"/>
      <c r="BA21" s="1234" t="s">
        <v>502</v>
      </c>
      <c r="BB21" s="1235"/>
      <c r="BC21" s="1235"/>
      <c r="BD21" s="723" t="s">
        <v>243</v>
      </c>
      <c r="BE21" s="1230" t="s">
        <v>472</v>
      </c>
      <c r="BF21" s="1230"/>
      <c r="BG21" s="1230"/>
      <c r="BH21" s="724" t="s">
        <v>230</v>
      </c>
      <c r="BI21" s="56"/>
      <c r="BJ21" s="1230" t="s">
        <v>502</v>
      </c>
      <c r="BK21" s="1230"/>
      <c r="BL21" s="1230"/>
      <c r="BM21" s="56"/>
      <c r="BN21" s="1213" t="s">
        <v>472</v>
      </c>
      <c r="BO21" s="1213"/>
      <c r="BP21" s="1213"/>
    </row>
    <row r="22" spans="1:68">
      <c r="A22" s="135"/>
      <c r="B22" s="807">
        <f>'Definition of Typical Day'!$J$13</f>
        <v>6</v>
      </c>
      <c r="C22" s="807" t="str">
        <f>'Definition of Typical Day'!$J$14</f>
        <v>Maintenance of HP</v>
      </c>
      <c r="D22" s="659">
        <f>'Definition of Typical Year'!F21</f>
        <v>2.8382581648522551</v>
      </c>
      <c r="E22" s="659">
        <f ca="1">'Definition of Typical Year'!O21</f>
        <v>0</v>
      </c>
      <c r="F22" s="659">
        <f ca="1">'Definition of Typical Year'!P21</f>
        <v>0</v>
      </c>
      <c r="G22" s="659">
        <f ca="1">'Definition of Typical Year'!M21</f>
        <v>0</v>
      </c>
      <c r="H22" s="659">
        <f ca="1">'Definition of Typical Year'!N21</f>
        <v>0</v>
      </c>
      <c r="I22" s="659">
        <f ca="1">'Definition of Typical Year'!S21</f>
        <v>0</v>
      </c>
      <c r="J22" s="659">
        <f ca="1">'Definition of Typical Year'!Q21</f>
        <v>0</v>
      </c>
      <c r="K22" s="659">
        <f ca="1">'Definition of Typical Year'!R21</f>
        <v>0</v>
      </c>
      <c r="L22" s="659">
        <f ca="1">'Definition of Typical Year'!W21</f>
        <v>0</v>
      </c>
      <c r="M22" s="659">
        <f ca="1">'Definition of Typical Year'!X21</f>
        <v>0</v>
      </c>
      <c r="N22" s="659">
        <f ca="1">'Definition of Typical Year'!Y21</f>
        <v>0</v>
      </c>
      <c r="O22" s="659">
        <f ca="1">'Definition of Typical Year'!Z21</f>
        <v>0</v>
      </c>
      <c r="P22" s="659">
        <f ca="1">'Definition of Typical Year'!AA21</f>
        <v>0</v>
      </c>
      <c r="Q22" s="659">
        <f ca="1">'Definition of Typical Year'!AB21</f>
        <v>0</v>
      </c>
      <c r="R22" s="659">
        <f ca="1">'Definition of Typical Year'!AC21</f>
        <v>0</v>
      </c>
      <c r="S22" s="47"/>
      <c r="T22" s="659">
        <f ca="1">'Definition of Typical Year'!AE21</f>
        <v>0</v>
      </c>
      <c r="U22" s="659">
        <f ca="1">'Definition of Typical Year'!AD21</f>
        <v>0</v>
      </c>
      <c r="V22" s="659">
        <f ca="1">'Definition of Typical Year'!AF21</f>
        <v>0</v>
      </c>
      <c r="W22" s="47"/>
      <c r="X22" s="659">
        <f t="shared" ca="1" si="10"/>
        <v>0</v>
      </c>
      <c r="Y22" s="659">
        <f t="shared" ca="1" si="11"/>
        <v>0</v>
      </c>
      <c r="Z22" s="659">
        <f t="shared" ca="1" si="12"/>
        <v>0</v>
      </c>
      <c r="AA22" s="659">
        <f t="shared" ca="1" si="13"/>
        <v>0</v>
      </c>
      <c r="AB22" s="659">
        <f t="shared" ca="1" si="14"/>
        <v>0</v>
      </c>
      <c r="AC22" s="659">
        <f t="shared" ca="1" si="15"/>
        <v>0</v>
      </c>
      <c r="AD22" s="659">
        <f t="shared" ca="1" si="16"/>
        <v>0</v>
      </c>
      <c r="AE22" s="659">
        <f t="shared" ca="1" si="0"/>
        <v>0</v>
      </c>
      <c r="AF22" s="659">
        <f t="shared" ca="1" si="1"/>
        <v>0</v>
      </c>
      <c r="AG22" s="659">
        <f t="shared" ca="1" si="2"/>
        <v>0</v>
      </c>
      <c r="AH22" s="659">
        <f t="shared" ca="1" si="3"/>
        <v>0</v>
      </c>
      <c r="AI22" s="659">
        <f t="shared" ca="1" si="4"/>
        <v>0</v>
      </c>
      <c r="AJ22" s="659">
        <f t="shared" ca="1" si="5"/>
        <v>0</v>
      </c>
      <c r="AK22" s="659">
        <f t="shared" ca="1" si="6"/>
        <v>0</v>
      </c>
      <c r="AL22" s="47"/>
      <c r="AM22" s="47"/>
      <c r="AN22" s="659">
        <f t="shared" ca="1" si="7"/>
        <v>0</v>
      </c>
      <c r="AO22" s="659">
        <f t="shared" ca="1" si="8"/>
        <v>0</v>
      </c>
      <c r="AP22" s="659">
        <f t="shared" ca="1" si="9"/>
        <v>0</v>
      </c>
      <c r="AQ22" s="56"/>
      <c r="AR22" s="56"/>
      <c r="AS22" s="766" t="s">
        <v>66</v>
      </c>
      <c r="AT22" s="766" t="s">
        <v>113</v>
      </c>
      <c r="AU22" s="659">
        <f>ABS('Project Setting'!F44)</f>
        <v>1800000</v>
      </c>
      <c r="AV22" s="56"/>
      <c r="AW22" s="813" t="s">
        <v>470</v>
      </c>
      <c r="AX22" s="813" t="s">
        <v>120</v>
      </c>
      <c r="AY22" s="814">
        <f ca="1">SUM(AY15:AY21)</f>
        <v>348525.10297374992</v>
      </c>
      <c r="AZ22" s="56"/>
      <c r="BA22" s="858" t="s">
        <v>473</v>
      </c>
      <c r="BB22" s="819" t="s">
        <v>113</v>
      </c>
      <c r="BC22" s="859">
        <f>'Project Setting'!$F$114</f>
        <v>0</v>
      </c>
      <c r="BD22" s="863">
        <f>'Project Setting'!G114</f>
        <v>0</v>
      </c>
      <c r="BE22" s="8" t="s">
        <v>474</v>
      </c>
      <c r="BF22" s="780" t="s">
        <v>120</v>
      </c>
      <c r="BG22" s="193">
        <f ca="1">$AE$63</f>
        <v>32761.843078561178</v>
      </c>
      <c r="BH22" s="864">
        <f>'Project Setting'!G111</f>
        <v>0</v>
      </c>
      <c r="BI22" s="56"/>
      <c r="BJ22" s="782" t="s">
        <v>473</v>
      </c>
      <c r="BK22" s="782" t="s">
        <v>113</v>
      </c>
      <c r="BL22" s="854">
        <f>BC22*(1-BD22)</f>
        <v>0</v>
      </c>
      <c r="BM22" s="56"/>
      <c r="BN22" s="807" t="s">
        <v>822</v>
      </c>
      <c r="BO22" s="766" t="s">
        <v>120</v>
      </c>
      <c r="BP22" s="659">
        <f ca="1">BG22*(1-BH22)</f>
        <v>32761.843078561178</v>
      </c>
    </row>
    <row r="23" spans="1:68" ht="22.5">
      <c r="A23" s="135"/>
      <c r="B23" s="807">
        <f>'Definition of Typical Day'!$K$13</f>
        <v>7</v>
      </c>
      <c r="C23" s="807">
        <f>'Definition of Typical Day'!$K$14</f>
        <v>7</v>
      </c>
      <c r="D23" s="659">
        <f>'Definition of Typical Year'!F22</f>
        <v>0</v>
      </c>
      <c r="E23" s="659">
        <f ca="1">'Definition of Typical Year'!O22</f>
        <v>0</v>
      </c>
      <c r="F23" s="659">
        <f ca="1">'Definition of Typical Year'!P22</f>
        <v>0</v>
      </c>
      <c r="G23" s="659">
        <f ca="1">'Definition of Typical Year'!M22</f>
        <v>0</v>
      </c>
      <c r="H23" s="659">
        <f ca="1">'Definition of Typical Year'!N22</f>
        <v>0</v>
      </c>
      <c r="I23" s="659">
        <f ca="1">'Definition of Typical Year'!S22</f>
        <v>0</v>
      </c>
      <c r="J23" s="659">
        <f ca="1">'Definition of Typical Year'!Q22</f>
        <v>0</v>
      </c>
      <c r="K23" s="659">
        <f ca="1">'Definition of Typical Year'!R22</f>
        <v>0</v>
      </c>
      <c r="L23" s="659">
        <f ca="1">'Definition of Typical Year'!W22</f>
        <v>0</v>
      </c>
      <c r="M23" s="659">
        <f ca="1">'Definition of Typical Year'!X22</f>
        <v>0</v>
      </c>
      <c r="N23" s="659">
        <f ca="1">'Definition of Typical Year'!Y22</f>
        <v>0</v>
      </c>
      <c r="O23" s="659">
        <f ca="1">'Definition of Typical Year'!Z22</f>
        <v>0</v>
      </c>
      <c r="P23" s="659">
        <f ca="1">'Definition of Typical Year'!AA22</f>
        <v>0</v>
      </c>
      <c r="Q23" s="659">
        <f ca="1">'Definition of Typical Year'!AB22</f>
        <v>0</v>
      </c>
      <c r="R23" s="659">
        <f ca="1">'Definition of Typical Year'!AC22</f>
        <v>0</v>
      </c>
      <c r="S23" s="47"/>
      <c r="T23" s="659">
        <f ca="1">'Definition of Typical Year'!AE22</f>
        <v>0</v>
      </c>
      <c r="U23" s="659">
        <f ca="1">'Definition of Typical Year'!AD22</f>
        <v>0</v>
      </c>
      <c r="V23" s="659">
        <f ca="1">'Definition of Typical Year'!AF22</f>
        <v>0</v>
      </c>
      <c r="W23" s="47"/>
      <c r="X23" s="659">
        <f t="shared" ca="1" si="10"/>
        <v>0</v>
      </c>
      <c r="Y23" s="659">
        <f t="shared" ca="1" si="11"/>
        <v>0</v>
      </c>
      <c r="Z23" s="659">
        <f t="shared" ca="1" si="12"/>
        <v>0</v>
      </c>
      <c r="AA23" s="659">
        <f t="shared" ca="1" si="13"/>
        <v>0</v>
      </c>
      <c r="AB23" s="659">
        <f t="shared" ca="1" si="14"/>
        <v>0</v>
      </c>
      <c r="AC23" s="659">
        <f t="shared" ca="1" si="15"/>
        <v>0</v>
      </c>
      <c r="AD23" s="659">
        <f t="shared" ca="1" si="16"/>
        <v>0</v>
      </c>
      <c r="AE23" s="659">
        <f t="shared" ca="1" si="0"/>
        <v>0</v>
      </c>
      <c r="AF23" s="659">
        <f t="shared" ca="1" si="1"/>
        <v>0</v>
      </c>
      <c r="AG23" s="659">
        <f t="shared" ca="1" si="2"/>
        <v>0</v>
      </c>
      <c r="AH23" s="659">
        <f t="shared" ca="1" si="3"/>
        <v>0</v>
      </c>
      <c r="AI23" s="659">
        <f t="shared" ca="1" si="4"/>
        <v>0</v>
      </c>
      <c r="AJ23" s="659">
        <f t="shared" ca="1" si="5"/>
        <v>0</v>
      </c>
      <c r="AK23" s="659">
        <f t="shared" ca="1" si="6"/>
        <v>0</v>
      </c>
      <c r="AL23" s="47"/>
      <c r="AM23" s="47"/>
      <c r="AN23" s="659">
        <f t="shared" ca="1" si="7"/>
        <v>0</v>
      </c>
      <c r="AO23" s="659">
        <f t="shared" ca="1" si="8"/>
        <v>0</v>
      </c>
      <c r="AP23" s="659">
        <f t="shared" ca="1" si="9"/>
        <v>0</v>
      </c>
      <c r="AQ23" s="56"/>
      <c r="AR23" s="56"/>
      <c r="AS23" s="766" t="s">
        <v>153</v>
      </c>
      <c r="AT23" s="766" t="s">
        <v>113</v>
      </c>
      <c r="AU23" s="659">
        <f>ABS('Project Setting'!F70*'Project Setting'!F55)</f>
        <v>0</v>
      </c>
      <c r="AV23" s="135"/>
      <c r="AW23" s="1213" t="s">
        <v>823</v>
      </c>
      <c r="AX23" s="1213"/>
      <c r="AY23" s="1213"/>
      <c r="AZ23" s="135"/>
      <c r="BA23" s="860" t="s">
        <v>469</v>
      </c>
      <c r="BB23" s="861" t="s">
        <v>113</v>
      </c>
      <c r="BC23" s="862">
        <f>SUM(BC22)</f>
        <v>0</v>
      </c>
      <c r="BD23" s="56"/>
      <c r="BE23" s="824" t="s">
        <v>475</v>
      </c>
      <c r="BF23" s="825" t="s">
        <v>120</v>
      </c>
      <c r="BG23" s="826">
        <f ca="1">SUM(BG22)</f>
        <v>32761.843078561178</v>
      </c>
      <c r="BH23" s="47"/>
      <c r="BI23" s="135"/>
      <c r="BJ23" s="825" t="s">
        <v>469</v>
      </c>
      <c r="BK23" s="825" t="s">
        <v>113</v>
      </c>
      <c r="BL23" s="853">
        <f>SUM(BL22)</f>
        <v>0</v>
      </c>
      <c r="BM23" s="56"/>
      <c r="BN23" s="813" t="s">
        <v>475</v>
      </c>
      <c r="BO23" s="813" t="s">
        <v>120</v>
      </c>
      <c r="BP23" s="814">
        <f ca="1">SUM(BP22)</f>
        <v>32761.843078561178</v>
      </c>
    </row>
    <row r="24" spans="1:68">
      <c r="A24" s="135"/>
      <c r="B24" s="807">
        <f>'Definition of Typical Day'!$L$13</f>
        <v>8</v>
      </c>
      <c r="C24" s="807">
        <f>'Definition of Typical Day'!$L$14</f>
        <v>8</v>
      </c>
      <c r="D24" s="659">
        <f>'Definition of Typical Year'!F23</f>
        <v>0</v>
      </c>
      <c r="E24" s="659">
        <f ca="1">'Definition of Typical Year'!O23</f>
        <v>0</v>
      </c>
      <c r="F24" s="659">
        <f ca="1">'Definition of Typical Year'!P23</f>
        <v>0</v>
      </c>
      <c r="G24" s="659">
        <f ca="1">'Definition of Typical Year'!M23</f>
        <v>0</v>
      </c>
      <c r="H24" s="659">
        <f ca="1">'Definition of Typical Year'!N23</f>
        <v>0</v>
      </c>
      <c r="I24" s="659">
        <f ca="1">'Definition of Typical Year'!S23</f>
        <v>0</v>
      </c>
      <c r="J24" s="659">
        <f ca="1">'Definition of Typical Year'!Q23</f>
        <v>0</v>
      </c>
      <c r="K24" s="659">
        <f ca="1">'Definition of Typical Year'!R23</f>
        <v>0</v>
      </c>
      <c r="L24" s="659">
        <f ca="1">'Definition of Typical Year'!W23</f>
        <v>0</v>
      </c>
      <c r="M24" s="659">
        <f ca="1">'Definition of Typical Year'!X23</f>
        <v>0</v>
      </c>
      <c r="N24" s="659">
        <f ca="1">'Definition of Typical Year'!Y23</f>
        <v>0</v>
      </c>
      <c r="O24" s="659">
        <f ca="1">'Definition of Typical Year'!Z23</f>
        <v>0</v>
      </c>
      <c r="P24" s="659">
        <f ca="1">'Definition of Typical Year'!AA23</f>
        <v>0</v>
      </c>
      <c r="Q24" s="659">
        <f ca="1">'Definition of Typical Year'!AB23</f>
        <v>0</v>
      </c>
      <c r="R24" s="659">
        <f ca="1">'Definition of Typical Year'!AC23</f>
        <v>0</v>
      </c>
      <c r="S24" s="47"/>
      <c r="T24" s="659">
        <f ca="1">'Definition of Typical Year'!AE23</f>
        <v>0</v>
      </c>
      <c r="U24" s="659">
        <f ca="1">'Definition of Typical Year'!AD23</f>
        <v>0</v>
      </c>
      <c r="V24" s="659">
        <f ca="1">'Definition of Typical Year'!AF23</f>
        <v>0</v>
      </c>
      <c r="W24" s="47"/>
      <c r="X24" s="659">
        <f t="shared" ca="1" si="10"/>
        <v>0</v>
      </c>
      <c r="Y24" s="659">
        <f t="shared" ca="1" si="11"/>
        <v>0</v>
      </c>
      <c r="Z24" s="659">
        <f t="shared" ca="1" si="12"/>
        <v>0</v>
      </c>
      <c r="AA24" s="659">
        <f t="shared" ca="1" si="13"/>
        <v>0</v>
      </c>
      <c r="AB24" s="659">
        <f t="shared" ca="1" si="14"/>
        <v>0</v>
      </c>
      <c r="AC24" s="659">
        <f t="shared" ca="1" si="15"/>
        <v>0</v>
      </c>
      <c r="AD24" s="659">
        <f t="shared" ca="1" si="16"/>
        <v>0</v>
      </c>
      <c r="AE24" s="659">
        <f t="shared" ca="1" si="0"/>
        <v>0</v>
      </c>
      <c r="AF24" s="659">
        <f t="shared" ca="1" si="1"/>
        <v>0</v>
      </c>
      <c r="AG24" s="659">
        <f t="shared" ca="1" si="2"/>
        <v>0</v>
      </c>
      <c r="AH24" s="659">
        <f t="shared" ca="1" si="3"/>
        <v>0</v>
      </c>
      <c r="AI24" s="659">
        <f t="shared" ca="1" si="4"/>
        <v>0</v>
      </c>
      <c r="AJ24" s="659">
        <f t="shared" ca="1" si="5"/>
        <v>0</v>
      </c>
      <c r="AK24" s="659">
        <f t="shared" ca="1" si="6"/>
        <v>0</v>
      </c>
      <c r="AL24" s="47"/>
      <c r="AM24" s="47"/>
      <c r="AN24" s="659">
        <f t="shared" ca="1" si="7"/>
        <v>0</v>
      </c>
      <c r="AO24" s="659">
        <f t="shared" ca="1" si="8"/>
        <v>0</v>
      </c>
      <c r="AP24" s="659">
        <f t="shared" ca="1" si="9"/>
        <v>0</v>
      </c>
      <c r="AQ24" s="56"/>
      <c r="AR24" s="56"/>
      <c r="AS24" s="813" t="s">
        <v>469</v>
      </c>
      <c r="AT24" s="813" t="s">
        <v>113</v>
      </c>
      <c r="AU24" s="814">
        <f>SUM(AU21:AU23)</f>
        <v>1800000</v>
      </c>
      <c r="AV24" s="135"/>
      <c r="AW24" s="807" t="s">
        <v>465</v>
      </c>
      <c r="AX24" s="766" t="s">
        <v>120</v>
      </c>
      <c r="AY24" s="659">
        <f>BG15*BH15</f>
        <v>0</v>
      </c>
      <c r="AZ24" s="56"/>
      <c r="BA24" s="56"/>
      <c r="BB24" s="56"/>
      <c r="BC24" s="56"/>
      <c r="BD24" s="56"/>
      <c r="BE24" s="56"/>
      <c r="BF24" s="56"/>
      <c r="BG24" s="56"/>
      <c r="BH24" s="47"/>
      <c r="BI24" s="56"/>
      <c r="BJ24" s="135"/>
      <c r="BK24" s="135"/>
      <c r="BL24" s="135"/>
      <c r="BM24" s="135"/>
      <c r="BN24" s="135"/>
      <c r="BO24" s="135"/>
      <c r="BP24" s="135"/>
    </row>
    <row r="25" spans="1:68">
      <c r="A25" s="135"/>
      <c r="B25" s="807">
        <f>'Definition of Typical Day'!$M$13</f>
        <v>9</v>
      </c>
      <c r="C25" s="807">
        <f>'Definition of Typical Day'!$M$14</f>
        <v>9</v>
      </c>
      <c r="D25" s="659">
        <f>'Definition of Typical Year'!F24</f>
        <v>0</v>
      </c>
      <c r="E25" s="659">
        <f ca="1">'Definition of Typical Year'!O24</f>
        <v>0</v>
      </c>
      <c r="F25" s="659">
        <f ca="1">'Definition of Typical Year'!P24</f>
        <v>0</v>
      </c>
      <c r="G25" s="659">
        <f ca="1">'Definition of Typical Year'!M24</f>
        <v>0</v>
      </c>
      <c r="H25" s="659">
        <f ca="1">'Definition of Typical Year'!N24</f>
        <v>0</v>
      </c>
      <c r="I25" s="659">
        <f ca="1">'Definition of Typical Year'!S24</f>
        <v>0</v>
      </c>
      <c r="J25" s="659">
        <f ca="1">'Definition of Typical Year'!Q24</f>
        <v>0</v>
      </c>
      <c r="K25" s="659">
        <f ca="1">'Definition of Typical Year'!R24</f>
        <v>0</v>
      </c>
      <c r="L25" s="659">
        <f ca="1">'Definition of Typical Year'!W24</f>
        <v>0</v>
      </c>
      <c r="M25" s="659">
        <f ca="1">'Definition of Typical Year'!X24</f>
        <v>0</v>
      </c>
      <c r="N25" s="659">
        <f ca="1">'Definition of Typical Year'!Y24</f>
        <v>0</v>
      </c>
      <c r="O25" s="659">
        <f ca="1">'Definition of Typical Year'!Z24</f>
        <v>0</v>
      </c>
      <c r="P25" s="659">
        <f ca="1">'Definition of Typical Year'!AA24</f>
        <v>0</v>
      </c>
      <c r="Q25" s="659">
        <f ca="1">'Definition of Typical Year'!AB24</f>
        <v>0</v>
      </c>
      <c r="R25" s="659">
        <f ca="1">'Definition of Typical Year'!AC24</f>
        <v>0</v>
      </c>
      <c r="S25" s="47"/>
      <c r="T25" s="659">
        <f ca="1">'Definition of Typical Year'!AE24</f>
        <v>0</v>
      </c>
      <c r="U25" s="659">
        <f ca="1">'Definition of Typical Year'!AD24</f>
        <v>0</v>
      </c>
      <c r="V25" s="659">
        <f ca="1">'Definition of Typical Year'!AF24</f>
        <v>0</v>
      </c>
      <c r="W25" s="47"/>
      <c r="X25" s="659">
        <f t="shared" ca="1" si="10"/>
        <v>0</v>
      </c>
      <c r="Y25" s="659">
        <f t="shared" ca="1" si="11"/>
        <v>0</v>
      </c>
      <c r="Z25" s="659">
        <f t="shared" ca="1" si="12"/>
        <v>0</v>
      </c>
      <c r="AA25" s="659">
        <f t="shared" ca="1" si="13"/>
        <v>0</v>
      </c>
      <c r="AB25" s="659">
        <f t="shared" ca="1" si="14"/>
        <v>0</v>
      </c>
      <c r="AC25" s="659">
        <f t="shared" ca="1" si="15"/>
        <v>0</v>
      </c>
      <c r="AD25" s="659">
        <f t="shared" ca="1" si="16"/>
        <v>0</v>
      </c>
      <c r="AE25" s="659">
        <f t="shared" ca="1" si="0"/>
        <v>0</v>
      </c>
      <c r="AF25" s="659">
        <f t="shared" ca="1" si="1"/>
        <v>0</v>
      </c>
      <c r="AG25" s="659">
        <f t="shared" ca="1" si="2"/>
        <v>0</v>
      </c>
      <c r="AH25" s="659">
        <f t="shared" ca="1" si="3"/>
        <v>0</v>
      </c>
      <c r="AI25" s="659">
        <f t="shared" ca="1" si="4"/>
        <v>0</v>
      </c>
      <c r="AJ25" s="659">
        <f t="shared" ca="1" si="5"/>
        <v>0</v>
      </c>
      <c r="AK25" s="659">
        <f t="shared" ca="1" si="6"/>
        <v>0</v>
      </c>
      <c r="AL25" s="47"/>
      <c r="AM25" s="47"/>
      <c r="AN25" s="659">
        <f t="shared" ca="1" si="7"/>
        <v>0</v>
      </c>
      <c r="AO25" s="659">
        <f t="shared" ca="1" si="8"/>
        <v>0</v>
      </c>
      <c r="AP25" s="659">
        <f t="shared" ca="1" si="9"/>
        <v>0</v>
      </c>
      <c r="AQ25" s="56"/>
      <c r="AR25" s="56"/>
      <c r="AS25" s="1213" t="s">
        <v>824</v>
      </c>
      <c r="AT25" s="1213"/>
      <c r="AU25" s="1213"/>
      <c r="AV25" s="56"/>
      <c r="AW25" s="807" t="s">
        <v>467</v>
      </c>
      <c r="AX25" s="766" t="s">
        <v>120</v>
      </c>
      <c r="AY25" s="659">
        <f ca="1">BG16*BH16</f>
        <v>0</v>
      </c>
      <c r="AZ25" s="56"/>
      <c r="BA25" s="56"/>
      <c r="BB25" s="56"/>
      <c r="BC25" s="56"/>
      <c r="BD25" s="56"/>
      <c r="BE25" s="56"/>
      <c r="BF25" s="56"/>
      <c r="BG25" s="56"/>
      <c r="BH25" s="47"/>
      <c r="BI25" s="56"/>
      <c r="BJ25" s="135"/>
      <c r="BK25" s="135"/>
      <c r="BL25" s="135"/>
      <c r="BM25" s="56"/>
      <c r="BN25" s="135"/>
      <c r="BO25" s="135"/>
      <c r="BP25" s="135"/>
    </row>
    <row r="26" spans="1:68">
      <c r="A26" s="135"/>
      <c r="B26" s="807">
        <f>'Definition of Typical Day'!$N$13</f>
        <v>10</v>
      </c>
      <c r="C26" s="807">
        <f>'Definition of Typical Day'!$N$14</f>
        <v>10</v>
      </c>
      <c r="D26" s="659">
        <f>'Definition of Typical Year'!F25</f>
        <v>0</v>
      </c>
      <c r="E26" s="659">
        <f ca="1">'Definition of Typical Year'!O25</f>
        <v>0</v>
      </c>
      <c r="F26" s="659">
        <f ca="1">'Definition of Typical Year'!P25</f>
        <v>0</v>
      </c>
      <c r="G26" s="659">
        <f ca="1">'Definition of Typical Year'!M25</f>
        <v>0</v>
      </c>
      <c r="H26" s="659">
        <f ca="1">'Definition of Typical Year'!N25</f>
        <v>0</v>
      </c>
      <c r="I26" s="659">
        <f ca="1">'Definition of Typical Year'!S25</f>
        <v>0</v>
      </c>
      <c r="J26" s="659">
        <f ca="1">'Definition of Typical Year'!Q25</f>
        <v>0</v>
      </c>
      <c r="K26" s="659">
        <f ca="1">'Definition of Typical Year'!R25</f>
        <v>0</v>
      </c>
      <c r="L26" s="659">
        <f ca="1">'Definition of Typical Year'!W25</f>
        <v>0</v>
      </c>
      <c r="M26" s="659">
        <f ca="1">'Definition of Typical Year'!X25</f>
        <v>0</v>
      </c>
      <c r="N26" s="659">
        <f ca="1">'Definition of Typical Year'!Y25</f>
        <v>0</v>
      </c>
      <c r="O26" s="659">
        <f ca="1">'Definition of Typical Year'!Z25</f>
        <v>0</v>
      </c>
      <c r="P26" s="659">
        <f ca="1">'Definition of Typical Year'!AA25</f>
        <v>0</v>
      </c>
      <c r="Q26" s="659">
        <f ca="1">'Definition of Typical Year'!AB25</f>
        <v>0</v>
      </c>
      <c r="R26" s="659">
        <f ca="1">'Definition of Typical Year'!AC25</f>
        <v>0</v>
      </c>
      <c r="S26" s="47"/>
      <c r="T26" s="659">
        <f ca="1">'Definition of Typical Year'!AE25</f>
        <v>0</v>
      </c>
      <c r="U26" s="659">
        <f ca="1">'Definition of Typical Year'!AD25</f>
        <v>0</v>
      </c>
      <c r="V26" s="659">
        <f ca="1">'Definition of Typical Year'!AF25</f>
        <v>0</v>
      </c>
      <c r="W26" s="47"/>
      <c r="X26" s="659">
        <f t="shared" ca="1" si="10"/>
        <v>0</v>
      </c>
      <c r="Y26" s="659">
        <f t="shared" ca="1" si="11"/>
        <v>0</v>
      </c>
      <c r="Z26" s="659">
        <f t="shared" ca="1" si="12"/>
        <v>0</v>
      </c>
      <c r="AA26" s="659">
        <f t="shared" ca="1" si="13"/>
        <v>0</v>
      </c>
      <c r="AB26" s="659">
        <f t="shared" ca="1" si="14"/>
        <v>0</v>
      </c>
      <c r="AC26" s="659">
        <f t="shared" ca="1" si="15"/>
        <v>0</v>
      </c>
      <c r="AD26" s="659">
        <f t="shared" ca="1" si="16"/>
        <v>0</v>
      </c>
      <c r="AE26" s="659">
        <f t="shared" ca="1" si="0"/>
        <v>0</v>
      </c>
      <c r="AF26" s="659">
        <f t="shared" ca="1" si="1"/>
        <v>0</v>
      </c>
      <c r="AG26" s="659">
        <f t="shared" ca="1" si="2"/>
        <v>0</v>
      </c>
      <c r="AH26" s="659">
        <f t="shared" ca="1" si="3"/>
        <v>0</v>
      </c>
      <c r="AI26" s="659">
        <f t="shared" ca="1" si="4"/>
        <v>0</v>
      </c>
      <c r="AJ26" s="659">
        <f t="shared" ca="1" si="5"/>
        <v>0</v>
      </c>
      <c r="AK26" s="659">
        <f t="shared" ca="1" si="6"/>
        <v>0</v>
      </c>
      <c r="AL26" s="47"/>
      <c r="AM26" s="47"/>
      <c r="AN26" s="659">
        <f t="shared" ca="1" si="7"/>
        <v>0</v>
      </c>
      <c r="AO26" s="659">
        <f t="shared" ca="1" si="8"/>
        <v>0</v>
      </c>
      <c r="AP26" s="659">
        <f t="shared" ca="1" si="9"/>
        <v>0</v>
      </c>
      <c r="AQ26" s="56"/>
      <c r="AR26" s="56"/>
      <c r="AS26" s="766" t="s">
        <v>825</v>
      </c>
      <c r="AT26" s="766" t="s">
        <v>113</v>
      </c>
      <c r="AU26" s="659">
        <f>('Project Setting'!F83)/(1+'Project Setting'!F100/100)^'Project Setting'!F87</f>
        <v>0</v>
      </c>
      <c r="AV26" s="56"/>
      <c r="AW26" s="813" t="s">
        <v>469</v>
      </c>
      <c r="AX26" s="813" t="s">
        <v>113</v>
      </c>
      <c r="AY26" s="814">
        <f ca="1">AY24+AY25</f>
        <v>0</v>
      </c>
      <c r="AZ26" s="56"/>
      <c r="BA26" s="56"/>
      <c r="BB26" s="56"/>
      <c r="BC26" s="56"/>
      <c r="BD26" s="56"/>
      <c r="BE26" s="56"/>
      <c r="BF26" s="56"/>
      <c r="BG26" s="56"/>
      <c r="BH26" s="56"/>
      <c r="BI26" s="56"/>
      <c r="BJ26" s="56"/>
      <c r="BK26" s="56"/>
      <c r="BL26" s="56"/>
      <c r="BM26" s="56"/>
      <c r="BN26" s="135"/>
      <c r="BO26" s="135"/>
      <c r="BP26" s="135"/>
    </row>
    <row r="27" spans="1:68">
      <c r="A27" s="135"/>
      <c r="B27" s="807">
        <f>'Definition of Typical Day'!$O$13</f>
        <v>11</v>
      </c>
      <c r="C27" s="807">
        <f>'Definition of Typical Day'!$O$14</f>
        <v>11</v>
      </c>
      <c r="D27" s="659">
        <f>'Definition of Typical Year'!F26</f>
        <v>0</v>
      </c>
      <c r="E27" s="659">
        <f ca="1">'Definition of Typical Year'!O26</f>
        <v>0</v>
      </c>
      <c r="F27" s="659">
        <f ca="1">'Definition of Typical Year'!P26</f>
        <v>0</v>
      </c>
      <c r="G27" s="659">
        <f ca="1">'Definition of Typical Year'!M26</f>
        <v>0</v>
      </c>
      <c r="H27" s="659">
        <f ca="1">'Definition of Typical Year'!N26</f>
        <v>0</v>
      </c>
      <c r="I27" s="659">
        <f ca="1">'Definition of Typical Year'!S26</f>
        <v>0</v>
      </c>
      <c r="J27" s="659">
        <f ca="1">'Definition of Typical Year'!Q26</f>
        <v>0</v>
      </c>
      <c r="K27" s="659">
        <f ca="1">'Definition of Typical Year'!R26</f>
        <v>0</v>
      </c>
      <c r="L27" s="659">
        <f ca="1">'Definition of Typical Year'!W26</f>
        <v>0</v>
      </c>
      <c r="M27" s="659">
        <f ca="1">'Definition of Typical Year'!X26</f>
        <v>0</v>
      </c>
      <c r="N27" s="659">
        <f ca="1">'Definition of Typical Year'!Y26</f>
        <v>0</v>
      </c>
      <c r="O27" s="659">
        <f ca="1">'Definition of Typical Year'!Z26</f>
        <v>0</v>
      </c>
      <c r="P27" s="659">
        <f ca="1">'Definition of Typical Year'!AA26</f>
        <v>0</v>
      </c>
      <c r="Q27" s="659">
        <f ca="1">'Definition of Typical Year'!AB26</f>
        <v>0</v>
      </c>
      <c r="R27" s="659">
        <f ca="1">'Definition of Typical Year'!AC26</f>
        <v>0</v>
      </c>
      <c r="S27" s="47"/>
      <c r="T27" s="659">
        <f ca="1">'Definition of Typical Year'!AE26</f>
        <v>0</v>
      </c>
      <c r="U27" s="659">
        <f ca="1">'Definition of Typical Year'!AD26</f>
        <v>0</v>
      </c>
      <c r="V27" s="659">
        <f ca="1">'Definition of Typical Year'!AF26</f>
        <v>0</v>
      </c>
      <c r="W27" s="47"/>
      <c r="X27" s="659">
        <f t="shared" ca="1" si="10"/>
        <v>0</v>
      </c>
      <c r="Y27" s="659">
        <f t="shared" ca="1" si="11"/>
        <v>0</v>
      </c>
      <c r="Z27" s="659">
        <f t="shared" ca="1" si="12"/>
        <v>0</v>
      </c>
      <c r="AA27" s="659">
        <f t="shared" ca="1" si="13"/>
        <v>0</v>
      </c>
      <c r="AB27" s="659">
        <f t="shared" ca="1" si="14"/>
        <v>0</v>
      </c>
      <c r="AC27" s="659">
        <f t="shared" ca="1" si="15"/>
        <v>0</v>
      </c>
      <c r="AD27" s="659">
        <f t="shared" ca="1" si="16"/>
        <v>0</v>
      </c>
      <c r="AE27" s="659">
        <f t="shared" ca="1" si="0"/>
        <v>0</v>
      </c>
      <c r="AF27" s="659">
        <f t="shared" ca="1" si="1"/>
        <v>0</v>
      </c>
      <c r="AG27" s="659">
        <f t="shared" ca="1" si="2"/>
        <v>0</v>
      </c>
      <c r="AH27" s="659">
        <f t="shared" ca="1" si="3"/>
        <v>0</v>
      </c>
      <c r="AI27" s="659">
        <f t="shared" ca="1" si="4"/>
        <v>0</v>
      </c>
      <c r="AJ27" s="659">
        <f t="shared" ca="1" si="5"/>
        <v>0</v>
      </c>
      <c r="AK27" s="659">
        <f t="shared" ca="1" si="6"/>
        <v>0</v>
      </c>
      <c r="AL27" s="47"/>
      <c r="AM27" s="47"/>
      <c r="AN27" s="659">
        <f t="shared" ca="1" si="7"/>
        <v>0</v>
      </c>
      <c r="AO27" s="659">
        <f t="shared" ca="1" si="8"/>
        <v>0</v>
      </c>
      <c r="AP27" s="659">
        <f t="shared" ca="1" si="9"/>
        <v>0</v>
      </c>
      <c r="AQ27" s="56"/>
      <c r="AR27" s="56"/>
      <c r="AS27" s="766" t="s">
        <v>826</v>
      </c>
      <c r="AT27" s="766" t="s">
        <v>113</v>
      </c>
      <c r="AU27" s="659">
        <f>('Project Setting'!F84)/(1+'Project Setting'!F100/100)^'Project Setting'!F87</f>
        <v>0</v>
      </c>
      <c r="AV27" s="56"/>
      <c r="AW27" s="818"/>
      <c r="AX27" s="818"/>
      <c r="AY27" s="818"/>
      <c r="AZ27" s="56"/>
      <c r="BA27" s="56"/>
      <c r="BB27" s="56"/>
      <c r="BC27" s="56"/>
      <c r="BD27" s="56"/>
      <c r="BE27" s="56"/>
      <c r="BF27" s="56"/>
      <c r="BG27" s="56"/>
      <c r="BH27" s="56"/>
      <c r="BI27" s="56"/>
      <c r="BJ27" s="56"/>
      <c r="BK27" s="56"/>
      <c r="BL27" s="56"/>
      <c r="BM27" s="56"/>
      <c r="BN27" s="135"/>
      <c r="BO27" s="135"/>
      <c r="BP27" s="135"/>
    </row>
    <row r="28" spans="1:68">
      <c r="A28" s="135"/>
      <c r="B28" s="807">
        <f>'Definition of Typical Day'!$P$13</f>
        <v>12</v>
      </c>
      <c r="C28" s="807">
        <f>'Definition of Typical Day'!$P$14</f>
        <v>12</v>
      </c>
      <c r="D28" s="659">
        <f>'Definition of Typical Year'!F27</f>
        <v>0</v>
      </c>
      <c r="E28" s="659">
        <f ca="1">'Definition of Typical Year'!O27</f>
        <v>0</v>
      </c>
      <c r="F28" s="659">
        <f ca="1">'Definition of Typical Year'!P27</f>
        <v>0</v>
      </c>
      <c r="G28" s="659">
        <f ca="1">'Definition of Typical Year'!M27</f>
        <v>0</v>
      </c>
      <c r="H28" s="659">
        <f ca="1">'Definition of Typical Year'!N27</f>
        <v>0</v>
      </c>
      <c r="I28" s="659">
        <f ca="1">'Definition of Typical Year'!S27</f>
        <v>0</v>
      </c>
      <c r="J28" s="659">
        <f ca="1">'Definition of Typical Year'!Q27</f>
        <v>0</v>
      </c>
      <c r="K28" s="659">
        <f ca="1">'Definition of Typical Year'!R27</f>
        <v>0</v>
      </c>
      <c r="L28" s="659">
        <f ca="1">'Definition of Typical Year'!W27</f>
        <v>0</v>
      </c>
      <c r="M28" s="659">
        <f ca="1">'Definition of Typical Year'!X27</f>
        <v>0</v>
      </c>
      <c r="N28" s="659">
        <f ca="1">'Definition of Typical Year'!Y27</f>
        <v>0</v>
      </c>
      <c r="O28" s="659">
        <f ca="1">'Definition of Typical Year'!Z27</f>
        <v>0</v>
      </c>
      <c r="P28" s="659">
        <f ca="1">'Definition of Typical Year'!AA27</f>
        <v>0</v>
      </c>
      <c r="Q28" s="659">
        <f ca="1">'Definition of Typical Year'!AB27</f>
        <v>0</v>
      </c>
      <c r="R28" s="659">
        <f ca="1">'Definition of Typical Year'!AC27</f>
        <v>0</v>
      </c>
      <c r="S28" s="47"/>
      <c r="T28" s="659">
        <f ca="1">'Definition of Typical Year'!AE27</f>
        <v>0</v>
      </c>
      <c r="U28" s="659">
        <f ca="1">'Definition of Typical Year'!AD27</f>
        <v>0</v>
      </c>
      <c r="V28" s="659">
        <f ca="1">'Definition of Typical Year'!AF27</f>
        <v>0</v>
      </c>
      <c r="W28" s="47"/>
      <c r="X28" s="659">
        <f t="shared" ca="1" si="10"/>
        <v>0</v>
      </c>
      <c r="Y28" s="659">
        <f t="shared" ca="1" si="11"/>
        <v>0</v>
      </c>
      <c r="Z28" s="659">
        <f t="shared" ca="1" si="12"/>
        <v>0</v>
      </c>
      <c r="AA28" s="659">
        <f t="shared" ca="1" si="13"/>
        <v>0</v>
      </c>
      <c r="AB28" s="659">
        <f t="shared" ca="1" si="14"/>
        <v>0</v>
      </c>
      <c r="AC28" s="659">
        <f t="shared" ca="1" si="15"/>
        <v>0</v>
      </c>
      <c r="AD28" s="659">
        <f t="shared" ca="1" si="16"/>
        <v>0</v>
      </c>
      <c r="AE28" s="659">
        <f t="shared" ca="1" si="0"/>
        <v>0</v>
      </c>
      <c r="AF28" s="659">
        <f t="shared" ca="1" si="1"/>
        <v>0</v>
      </c>
      <c r="AG28" s="659">
        <f t="shared" ca="1" si="2"/>
        <v>0</v>
      </c>
      <c r="AH28" s="659">
        <f t="shared" ca="1" si="3"/>
        <v>0</v>
      </c>
      <c r="AI28" s="659">
        <f t="shared" ca="1" si="4"/>
        <v>0</v>
      </c>
      <c r="AJ28" s="659">
        <f t="shared" ca="1" si="5"/>
        <v>0</v>
      </c>
      <c r="AK28" s="659">
        <f t="shared" ca="1" si="6"/>
        <v>0</v>
      </c>
      <c r="AL28" s="47"/>
      <c r="AM28" s="47"/>
      <c r="AN28" s="659">
        <f t="shared" ca="1" si="7"/>
        <v>0</v>
      </c>
      <c r="AO28" s="659">
        <f t="shared" ca="1" si="8"/>
        <v>0</v>
      </c>
      <c r="AP28" s="659">
        <f t="shared" ca="1" si="9"/>
        <v>0</v>
      </c>
      <c r="AQ28" s="56"/>
      <c r="AR28" s="56"/>
      <c r="AS28" s="813" t="s">
        <v>469</v>
      </c>
      <c r="AT28" s="813" t="s">
        <v>113</v>
      </c>
      <c r="AU28" s="814">
        <f>AU26-AU27</f>
        <v>0</v>
      </c>
      <c r="AV28" s="56"/>
      <c r="AW28" s="1213" t="s">
        <v>472</v>
      </c>
      <c r="AX28" s="1213"/>
      <c r="AY28" s="1213"/>
      <c r="AZ28" s="56"/>
      <c r="BA28" s="56"/>
      <c r="BB28" s="56"/>
      <c r="BC28" s="56"/>
      <c r="BD28" s="56"/>
      <c r="BE28" s="56"/>
      <c r="BF28" s="56"/>
      <c r="BG28" s="56"/>
      <c r="BH28" s="56"/>
      <c r="BI28" s="56"/>
      <c r="BJ28" s="56"/>
      <c r="BK28" s="56"/>
      <c r="BL28" s="56"/>
      <c r="BM28" s="56"/>
      <c r="BN28" s="135"/>
      <c r="BO28" s="135"/>
      <c r="BP28" s="135"/>
    </row>
    <row r="29" spans="1:68">
      <c r="A29" s="135"/>
      <c r="B29" s="807">
        <f>'Definition of Typical Day'!$Q$13</f>
        <v>13</v>
      </c>
      <c r="C29" s="807">
        <f>'Definition of Typical Day'!$Q$14</f>
        <v>13</v>
      </c>
      <c r="D29" s="659">
        <f>'Definition of Typical Year'!F28</f>
        <v>0</v>
      </c>
      <c r="E29" s="659">
        <f ca="1">'Definition of Typical Year'!O28</f>
        <v>0</v>
      </c>
      <c r="F29" s="659">
        <f ca="1">'Definition of Typical Year'!P28</f>
        <v>0</v>
      </c>
      <c r="G29" s="659">
        <f ca="1">'Definition of Typical Year'!M28</f>
        <v>0</v>
      </c>
      <c r="H29" s="659">
        <f ca="1">'Definition of Typical Year'!N28</f>
        <v>0</v>
      </c>
      <c r="I29" s="659">
        <f ca="1">'Definition of Typical Year'!S28</f>
        <v>0</v>
      </c>
      <c r="J29" s="659">
        <f ca="1">'Definition of Typical Year'!Q28</f>
        <v>0</v>
      </c>
      <c r="K29" s="659">
        <f ca="1">'Definition of Typical Year'!R28</f>
        <v>0</v>
      </c>
      <c r="L29" s="659">
        <f ca="1">'Definition of Typical Year'!W28</f>
        <v>0</v>
      </c>
      <c r="M29" s="659">
        <f ca="1">'Definition of Typical Year'!X28</f>
        <v>0</v>
      </c>
      <c r="N29" s="659">
        <f ca="1">'Definition of Typical Year'!Y28</f>
        <v>0</v>
      </c>
      <c r="O29" s="659">
        <f ca="1">'Definition of Typical Year'!Z28</f>
        <v>0</v>
      </c>
      <c r="P29" s="659">
        <f ca="1">'Definition of Typical Year'!AA28</f>
        <v>0</v>
      </c>
      <c r="Q29" s="659">
        <f ca="1">'Definition of Typical Year'!AB28</f>
        <v>0</v>
      </c>
      <c r="R29" s="659">
        <f ca="1">'Definition of Typical Year'!AC28</f>
        <v>0</v>
      </c>
      <c r="S29" s="47"/>
      <c r="T29" s="659">
        <f ca="1">'Definition of Typical Year'!AE28</f>
        <v>0</v>
      </c>
      <c r="U29" s="659">
        <f ca="1">'Definition of Typical Year'!AD28</f>
        <v>0</v>
      </c>
      <c r="V29" s="659">
        <f ca="1">'Definition of Typical Year'!AF28</f>
        <v>0</v>
      </c>
      <c r="W29" s="47"/>
      <c r="X29" s="659">
        <f t="shared" ca="1" si="10"/>
        <v>0</v>
      </c>
      <c r="Y29" s="659">
        <f t="shared" ca="1" si="11"/>
        <v>0</v>
      </c>
      <c r="Z29" s="659">
        <f t="shared" ca="1" si="12"/>
        <v>0</v>
      </c>
      <c r="AA29" s="659">
        <f t="shared" ca="1" si="13"/>
        <v>0</v>
      </c>
      <c r="AB29" s="659">
        <f t="shared" ca="1" si="14"/>
        <v>0</v>
      </c>
      <c r="AC29" s="659">
        <f t="shared" ca="1" si="15"/>
        <v>0</v>
      </c>
      <c r="AD29" s="659">
        <f t="shared" ca="1" si="16"/>
        <v>0</v>
      </c>
      <c r="AE29" s="659">
        <f t="shared" ca="1" si="0"/>
        <v>0</v>
      </c>
      <c r="AF29" s="659">
        <f t="shared" ca="1" si="1"/>
        <v>0</v>
      </c>
      <c r="AG29" s="659">
        <f t="shared" ca="1" si="2"/>
        <v>0</v>
      </c>
      <c r="AH29" s="659">
        <f t="shared" ca="1" si="3"/>
        <v>0</v>
      </c>
      <c r="AI29" s="659">
        <f t="shared" ca="1" si="4"/>
        <v>0</v>
      </c>
      <c r="AJ29" s="659">
        <f t="shared" ca="1" si="5"/>
        <v>0</v>
      </c>
      <c r="AK29" s="659">
        <f t="shared" ca="1" si="6"/>
        <v>0</v>
      </c>
      <c r="AL29" s="47"/>
      <c r="AM29" s="47"/>
      <c r="AN29" s="659">
        <f t="shared" ca="1" si="7"/>
        <v>0</v>
      </c>
      <c r="AO29" s="659">
        <f t="shared" ca="1" si="8"/>
        <v>0</v>
      </c>
      <c r="AP29" s="659">
        <f t="shared" ca="1" si="9"/>
        <v>0</v>
      </c>
      <c r="AQ29" s="56"/>
      <c r="AR29" s="56"/>
      <c r="AS29" s="1213" t="s">
        <v>827</v>
      </c>
      <c r="AT29" s="1213"/>
      <c r="AU29" s="1213"/>
      <c r="AV29" s="56"/>
      <c r="AW29" s="766" t="s">
        <v>828</v>
      </c>
      <c r="AX29" s="766" t="s">
        <v>120</v>
      </c>
      <c r="AY29" s="659">
        <f ca="1">AE37</f>
        <v>0</v>
      </c>
      <c r="AZ29" s="56"/>
      <c r="BA29" s="56"/>
      <c r="BB29" s="56"/>
      <c r="BC29" s="56"/>
      <c r="BD29" s="56"/>
      <c r="BE29" s="56"/>
      <c r="BF29" s="56"/>
      <c r="BG29" s="56"/>
      <c r="BH29" s="56"/>
      <c r="BI29" s="56"/>
      <c r="BJ29" s="56"/>
      <c r="BK29" s="56"/>
      <c r="BL29" s="56"/>
      <c r="BM29" s="56"/>
      <c r="BN29" s="135"/>
      <c r="BO29" s="135"/>
      <c r="BP29" s="135"/>
    </row>
    <row r="30" spans="1:68" ht="22.5">
      <c r="A30" s="135"/>
      <c r="B30" s="807">
        <f>'Definition of Typical Day'!$R$13</f>
        <v>14</v>
      </c>
      <c r="C30" s="807">
        <f>'Definition of Typical Day'!$R$14</f>
        <v>14</v>
      </c>
      <c r="D30" s="659">
        <f>'Definition of Typical Year'!F29</f>
        <v>0</v>
      </c>
      <c r="E30" s="659">
        <f ca="1">'Definition of Typical Year'!O29</f>
        <v>0</v>
      </c>
      <c r="F30" s="659">
        <f ca="1">'Definition of Typical Year'!P29</f>
        <v>0</v>
      </c>
      <c r="G30" s="659">
        <f ca="1">'Definition of Typical Year'!M29</f>
        <v>0</v>
      </c>
      <c r="H30" s="659">
        <f ca="1">'Definition of Typical Year'!N29</f>
        <v>0</v>
      </c>
      <c r="I30" s="659">
        <f ca="1">'Definition of Typical Year'!S29</f>
        <v>0</v>
      </c>
      <c r="J30" s="659">
        <f ca="1">'Definition of Typical Year'!Q29</f>
        <v>0</v>
      </c>
      <c r="K30" s="659">
        <f ca="1">'Definition of Typical Year'!R29</f>
        <v>0</v>
      </c>
      <c r="L30" s="659">
        <f ca="1">'Definition of Typical Year'!W29</f>
        <v>0</v>
      </c>
      <c r="M30" s="659">
        <f ca="1">'Definition of Typical Year'!X29</f>
        <v>0</v>
      </c>
      <c r="N30" s="659">
        <f ca="1">'Definition of Typical Year'!Y29</f>
        <v>0</v>
      </c>
      <c r="O30" s="659">
        <f ca="1">'Definition of Typical Year'!Z29</f>
        <v>0</v>
      </c>
      <c r="P30" s="659">
        <f ca="1">'Definition of Typical Year'!AA29</f>
        <v>0</v>
      </c>
      <c r="Q30" s="659">
        <f ca="1">'Definition of Typical Year'!AB29</f>
        <v>0</v>
      </c>
      <c r="R30" s="659">
        <f ca="1">'Definition of Typical Year'!AC29</f>
        <v>0</v>
      </c>
      <c r="S30" s="47"/>
      <c r="T30" s="659">
        <f ca="1">'Definition of Typical Year'!AE29</f>
        <v>0</v>
      </c>
      <c r="U30" s="659">
        <f ca="1">'Definition of Typical Year'!AD29</f>
        <v>0</v>
      </c>
      <c r="V30" s="659">
        <f ca="1">'Definition of Typical Year'!AF29</f>
        <v>0</v>
      </c>
      <c r="W30" s="47"/>
      <c r="X30" s="659">
        <f t="shared" ca="1" si="10"/>
        <v>0</v>
      </c>
      <c r="Y30" s="659">
        <f t="shared" ca="1" si="11"/>
        <v>0</v>
      </c>
      <c r="Z30" s="659">
        <f t="shared" ca="1" si="12"/>
        <v>0</v>
      </c>
      <c r="AA30" s="659">
        <f t="shared" ca="1" si="13"/>
        <v>0</v>
      </c>
      <c r="AB30" s="659">
        <f t="shared" ca="1" si="14"/>
        <v>0</v>
      </c>
      <c r="AC30" s="659">
        <f t="shared" ca="1" si="15"/>
        <v>0</v>
      </c>
      <c r="AD30" s="659">
        <f t="shared" ca="1" si="16"/>
        <v>0</v>
      </c>
      <c r="AE30" s="659">
        <f t="shared" ca="1" si="0"/>
        <v>0</v>
      </c>
      <c r="AF30" s="659">
        <f t="shared" ca="1" si="1"/>
        <v>0</v>
      </c>
      <c r="AG30" s="659">
        <f t="shared" ca="1" si="2"/>
        <v>0</v>
      </c>
      <c r="AH30" s="659">
        <f t="shared" ca="1" si="3"/>
        <v>0</v>
      </c>
      <c r="AI30" s="659">
        <f t="shared" ca="1" si="4"/>
        <v>0</v>
      </c>
      <c r="AJ30" s="659">
        <f t="shared" ca="1" si="5"/>
        <v>0</v>
      </c>
      <c r="AK30" s="659">
        <f t="shared" ca="1" si="6"/>
        <v>0</v>
      </c>
      <c r="AL30" s="47"/>
      <c r="AM30" s="47"/>
      <c r="AN30" s="659">
        <f t="shared" ca="1" si="7"/>
        <v>0</v>
      </c>
      <c r="AO30" s="659">
        <f t="shared" ca="1" si="8"/>
        <v>0</v>
      </c>
      <c r="AP30" s="659">
        <f t="shared" ca="1" si="9"/>
        <v>0</v>
      </c>
      <c r="AQ30" s="56"/>
      <c r="AR30" s="56"/>
      <c r="AS30" s="766" t="s">
        <v>829</v>
      </c>
      <c r="AT30" s="766" t="s">
        <v>113</v>
      </c>
      <c r="AU30" s="659">
        <f>SUMPRODUCT(BC15:BC17,BD15:BD17)</f>
        <v>0</v>
      </c>
      <c r="AV30" s="56"/>
      <c r="AW30" s="766" t="s">
        <v>782</v>
      </c>
      <c r="AX30" s="766" t="s">
        <v>120</v>
      </c>
      <c r="AY30" s="659">
        <f ca="1">AF37</f>
        <v>571161.04346941714</v>
      </c>
      <c r="AZ30" s="56"/>
      <c r="BA30" s="56"/>
      <c r="BB30" s="56"/>
      <c r="BC30" s="56"/>
      <c r="BD30" s="56"/>
      <c r="BE30" s="56"/>
      <c r="BF30" s="56"/>
      <c r="BG30" s="56"/>
      <c r="BH30" s="56"/>
      <c r="BI30" s="56"/>
      <c r="BJ30" s="813" t="s">
        <v>830</v>
      </c>
      <c r="BK30" s="813" t="s">
        <v>113</v>
      </c>
      <c r="BL30" s="814">
        <f>BL18-BL23</f>
        <v>676080</v>
      </c>
      <c r="BM30" s="56"/>
      <c r="BN30" s="813" t="s">
        <v>831</v>
      </c>
      <c r="BO30" s="813" t="s">
        <v>120</v>
      </c>
      <c r="BP30" s="814">
        <f ca="1">BP23+BP17</f>
        <v>82761.843078561185</v>
      </c>
    </row>
    <row r="31" spans="1:68" ht="22.5">
      <c r="A31" s="135"/>
      <c r="B31" s="807">
        <f>'Definition of Typical Day'!$S$13</f>
        <v>15</v>
      </c>
      <c r="C31" s="807">
        <f>'Definition of Typical Day'!$S$14</f>
        <v>15</v>
      </c>
      <c r="D31" s="659">
        <f>'Definition of Typical Year'!F30</f>
        <v>0</v>
      </c>
      <c r="E31" s="659">
        <f ca="1">'Definition of Typical Year'!O30</f>
        <v>0</v>
      </c>
      <c r="F31" s="659">
        <f ca="1">'Definition of Typical Year'!P30</f>
        <v>0</v>
      </c>
      <c r="G31" s="659">
        <f ca="1">'Definition of Typical Year'!M30</f>
        <v>0</v>
      </c>
      <c r="H31" s="659">
        <f ca="1">'Definition of Typical Year'!N30</f>
        <v>0</v>
      </c>
      <c r="I31" s="659">
        <f ca="1">'Definition of Typical Year'!S30</f>
        <v>0</v>
      </c>
      <c r="J31" s="659">
        <f ca="1">'Definition of Typical Year'!Q30</f>
        <v>0</v>
      </c>
      <c r="K31" s="659">
        <f ca="1">'Definition of Typical Year'!R30</f>
        <v>0</v>
      </c>
      <c r="L31" s="659">
        <f ca="1">'Definition of Typical Year'!W30</f>
        <v>0</v>
      </c>
      <c r="M31" s="659">
        <f ca="1">'Definition of Typical Year'!X30</f>
        <v>0</v>
      </c>
      <c r="N31" s="659">
        <f ca="1">'Definition of Typical Year'!Y30</f>
        <v>0</v>
      </c>
      <c r="O31" s="659">
        <f ca="1">'Definition of Typical Year'!Z30</f>
        <v>0</v>
      </c>
      <c r="P31" s="659">
        <f ca="1">'Definition of Typical Year'!AA30</f>
        <v>0</v>
      </c>
      <c r="Q31" s="659">
        <f ca="1">'Definition of Typical Year'!AB30</f>
        <v>0</v>
      </c>
      <c r="R31" s="659">
        <f ca="1">'Definition of Typical Year'!AC30</f>
        <v>0</v>
      </c>
      <c r="S31" s="47"/>
      <c r="T31" s="659">
        <f ca="1">'Definition of Typical Year'!AE30</f>
        <v>0</v>
      </c>
      <c r="U31" s="659">
        <f ca="1">'Definition of Typical Year'!AD30</f>
        <v>0</v>
      </c>
      <c r="V31" s="659">
        <f ca="1">'Definition of Typical Year'!AF30</f>
        <v>0</v>
      </c>
      <c r="W31" s="47"/>
      <c r="X31" s="659">
        <f t="shared" ca="1" si="10"/>
        <v>0</v>
      </c>
      <c r="Y31" s="659">
        <f t="shared" ca="1" si="11"/>
        <v>0</v>
      </c>
      <c r="Z31" s="659">
        <f t="shared" ca="1" si="12"/>
        <v>0</v>
      </c>
      <c r="AA31" s="659">
        <f t="shared" ca="1" si="13"/>
        <v>0</v>
      </c>
      <c r="AB31" s="659">
        <f t="shared" ca="1" si="14"/>
        <v>0</v>
      </c>
      <c r="AC31" s="659">
        <f t="shared" ca="1" si="15"/>
        <v>0</v>
      </c>
      <c r="AD31" s="659">
        <f t="shared" ca="1" si="16"/>
        <v>0</v>
      </c>
      <c r="AE31" s="659">
        <f t="shared" ca="1" si="0"/>
        <v>0</v>
      </c>
      <c r="AF31" s="659">
        <f t="shared" ca="1" si="1"/>
        <v>0</v>
      </c>
      <c r="AG31" s="659">
        <f t="shared" ca="1" si="2"/>
        <v>0</v>
      </c>
      <c r="AH31" s="659">
        <f t="shared" ca="1" si="3"/>
        <v>0</v>
      </c>
      <c r="AI31" s="659">
        <f t="shared" ca="1" si="4"/>
        <v>0</v>
      </c>
      <c r="AJ31" s="659">
        <f t="shared" ca="1" si="5"/>
        <v>0</v>
      </c>
      <c r="AK31" s="659">
        <f t="shared" ca="1" si="6"/>
        <v>0</v>
      </c>
      <c r="AL31" s="47"/>
      <c r="AM31" s="47"/>
      <c r="AN31" s="659">
        <f t="shared" ca="1" si="7"/>
        <v>0</v>
      </c>
      <c r="AO31" s="659">
        <f t="shared" ca="1" si="8"/>
        <v>0</v>
      </c>
      <c r="AP31" s="659">
        <f t="shared" ca="1" si="9"/>
        <v>0</v>
      </c>
      <c r="AQ31" s="56"/>
      <c r="AR31" s="56"/>
      <c r="AS31" s="766" t="s">
        <v>832</v>
      </c>
      <c r="AT31" s="766" t="s">
        <v>113</v>
      </c>
      <c r="AU31" s="659">
        <f>BC22*BD22</f>
        <v>0</v>
      </c>
      <c r="AV31" s="135"/>
      <c r="AW31" s="766" t="s">
        <v>395</v>
      </c>
      <c r="AX31" s="766" t="s">
        <v>120</v>
      </c>
      <c r="AY31" s="659">
        <f ca="1">AG37</f>
        <v>40207.418794371159</v>
      </c>
      <c r="AZ31" s="56"/>
      <c r="BA31" s="56"/>
      <c r="BB31" s="56"/>
      <c r="BC31" s="56"/>
      <c r="BD31" s="56"/>
      <c r="BE31" s="56"/>
      <c r="BF31" s="56"/>
      <c r="BG31" s="56"/>
      <c r="BH31" s="56"/>
      <c r="BI31" s="56"/>
      <c r="BJ31" s="813" t="s">
        <v>833</v>
      </c>
      <c r="BK31" s="813" t="s">
        <v>834</v>
      </c>
      <c r="BL31" s="817">
        <f>'Project Setting'!$F$129</f>
        <v>9.6342287609244334E-2</v>
      </c>
      <c r="BM31" s="56"/>
      <c r="BN31" s="816"/>
      <c r="BO31" s="816"/>
      <c r="BP31" s="816"/>
    </row>
    <row r="32" spans="1:68" ht="22.5">
      <c r="A32" s="135"/>
      <c r="B32" s="807">
        <f>'Definition of Typical Day'!$T$13</f>
        <v>16</v>
      </c>
      <c r="C32" s="807">
        <f>'Definition of Typical Day'!$T$14</f>
        <v>16</v>
      </c>
      <c r="D32" s="659">
        <f>'Definition of Typical Year'!F31</f>
        <v>0</v>
      </c>
      <c r="E32" s="659">
        <f ca="1">'Definition of Typical Year'!O31</f>
        <v>0</v>
      </c>
      <c r="F32" s="659">
        <f ca="1">'Definition of Typical Year'!P31</f>
        <v>0</v>
      </c>
      <c r="G32" s="659">
        <f ca="1">'Definition of Typical Year'!M31</f>
        <v>0</v>
      </c>
      <c r="H32" s="659">
        <f ca="1">'Definition of Typical Year'!N31</f>
        <v>0</v>
      </c>
      <c r="I32" s="659">
        <f ca="1">'Definition of Typical Year'!S31</f>
        <v>0</v>
      </c>
      <c r="J32" s="659">
        <f ca="1">'Definition of Typical Year'!Q31</f>
        <v>0</v>
      </c>
      <c r="K32" s="659">
        <f ca="1">'Definition of Typical Year'!R31</f>
        <v>0</v>
      </c>
      <c r="L32" s="659">
        <f ca="1">'Definition of Typical Year'!W31</f>
        <v>0</v>
      </c>
      <c r="M32" s="659">
        <f ca="1">'Definition of Typical Year'!X31</f>
        <v>0</v>
      </c>
      <c r="N32" s="659">
        <f ca="1">'Definition of Typical Year'!Y31</f>
        <v>0</v>
      </c>
      <c r="O32" s="659">
        <f ca="1">'Definition of Typical Year'!Z31</f>
        <v>0</v>
      </c>
      <c r="P32" s="659">
        <f ca="1">'Definition of Typical Year'!AA31</f>
        <v>0</v>
      </c>
      <c r="Q32" s="659">
        <f ca="1">'Definition of Typical Year'!AB31</f>
        <v>0</v>
      </c>
      <c r="R32" s="659">
        <f ca="1">'Definition of Typical Year'!AC31</f>
        <v>0</v>
      </c>
      <c r="S32" s="47"/>
      <c r="T32" s="659">
        <f ca="1">'Definition of Typical Year'!AE31</f>
        <v>0</v>
      </c>
      <c r="U32" s="659">
        <f ca="1">'Definition of Typical Year'!AD31</f>
        <v>0</v>
      </c>
      <c r="V32" s="659">
        <f ca="1">'Definition of Typical Year'!AF31</f>
        <v>0</v>
      </c>
      <c r="W32" s="47"/>
      <c r="X32" s="659">
        <f t="shared" ca="1" si="10"/>
        <v>0</v>
      </c>
      <c r="Y32" s="659">
        <f t="shared" ca="1" si="11"/>
        <v>0</v>
      </c>
      <c r="Z32" s="659">
        <f t="shared" ca="1" si="12"/>
        <v>0</v>
      </c>
      <c r="AA32" s="659">
        <f t="shared" ca="1" si="13"/>
        <v>0</v>
      </c>
      <c r="AB32" s="659">
        <f t="shared" ca="1" si="14"/>
        <v>0</v>
      </c>
      <c r="AC32" s="659">
        <f t="shared" ca="1" si="15"/>
        <v>0</v>
      </c>
      <c r="AD32" s="659">
        <f t="shared" ca="1" si="16"/>
        <v>0</v>
      </c>
      <c r="AE32" s="659">
        <f t="shared" ca="1" si="0"/>
        <v>0</v>
      </c>
      <c r="AF32" s="659">
        <f t="shared" ca="1" si="1"/>
        <v>0</v>
      </c>
      <c r="AG32" s="659">
        <f t="shared" ca="1" si="2"/>
        <v>0</v>
      </c>
      <c r="AH32" s="659">
        <f t="shared" ca="1" si="3"/>
        <v>0</v>
      </c>
      <c r="AI32" s="659">
        <f t="shared" ca="1" si="4"/>
        <v>0</v>
      </c>
      <c r="AJ32" s="659">
        <f t="shared" ca="1" si="5"/>
        <v>0</v>
      </c>
      <c r="AK32" s="659">
        <f t="shared" ca="1" si="6"/>
        <v>0</v>
      </c>
      <c r="AL32" s="47"/>
      <c r="AM32" s="47"/>
      <c r="AN32" s="659">
        <f t="shared" ca="1" si="7"/>
        <v>0</v>
      </c>
      <c r="AO32" s="659">
        <f t="shared" ca="1" si="8"/>
        <v>0</v>
      </c>
      <c r="AP32" s="659">
        <f t="shared" ca="1" si="9"/>
        <v>0</v>
      </c>
      <c r="AQ32" s="56"/>
      <c r="AR32" s="56"/>
      <c r="AS32" s="813" t="s">
        <v>469</v>
      </c>
      <c r="AT32" s="813" t="s">
        <v>113</v>
      </c>
      <c r="AU32" s="814">
        <f>AU30-AU31</f>
        <v>0</v>
      </c>
      <c r="AV32" s="135"/>
      <c r="AW32" s="766" t="s">
        <v>784</v>
      </c>
      <c r="AX32" s="766" t="s">
        <v>120</v>
      </c>
      <c r="AY32" s="659">
        <f ca="1">AH37</f>
        <v>3674.4668238195145</v>
      </c>
      <c r="AZ32" s="56"/>
      <c r="BA32" s="56"/>
      <c r="BB32" s="56"/>
      <c r="BC32" s="56"/>
      <c r="BD32" s="56"/>
      <c r="BE32" s="56"/>
      <c r="BF32" s="56"/>
      <c r="BG32" s="56"/>
      <c r="BH32" s="56"/>
      <c r="BI32" s="56"/>
      <c r="BJ32" s="813" t="s">
        <v>835</v>
      </c>
      <c r="BK32" s="813" t="s">
        <v>120</v>
      </c>
      <c r="BL32" s="814">
        <f>BL30*BL31</f>
        <v>65135.093806857913</v>
      </c>
      <c r="BM32" s="56"/>
      <c r="BN32" s="1213" t="s">
        <v>836</v>
      </c>
      <c r="BO32" s="1213"/>
      <c r="BP32" s="1213"/>
    </row>
    <row r="33" spans="1:80" ht="22.5">
      <c r="A33" s="135"/>
      <c r="B33" s="807">
        <f>'Definition of Typical Day'!$U$13</f>
        <v>17</v>
      </c>
      <c r="C33" s="807">
        <f>'Definition of Typical Day'!$U$14</f>
        <v>17</v>
      </c>
      <c r="D33" s="659">
        <f>'Definition of Typical Year'!F32</f>
        <v>0</v>
      </c>
      <c r="E33" s="659">
        <f ca="1">'Definition of Typical Year'!O32</f>
        <v>0</v>
      </c>
      <c r="F33" s="659">
        <f ca="1">'Definition of Typical Year'!P32</f>
        <v>0</v>
      </c>
      <c r="G33" s="659">
        <f ca="1">'Definition of Typical Year'!M32</f>
        <v>0</v>
      </c>
      <c r="H33" s="659">
        <f ca="1">'Definition of Typical Year'!N32</f>
        <v>0</v>
      </c>
      <c r="I33" s="659">
        <f ca="1">'Definition of Typical Year'!S32</f>
        <v>0</v>
      </c>
      <c r="J33" s="659">
        <f ca="1">'Definition of Typical Year'!Q32</f>
        <v>0</v>
      </c>
      <c r="K33" s="659">
        <f ca="1">'Definition of Typical Year'!R32</f>
        <v>0</v>
      </c>
      <c r="L33" s="659">
        <f ca="1">'Definition of Typical Year'!W32</f>
        <v>0</v>
      </c>
      <c r="M33" s="659">
        <f ca="1">'Definition of Typical Year'!X32</f>
        <v>0</v>
      </c>
      <c r="N33" s="659">
        <f ca="1">'Definition of Typical Year'!Y32</f>
        <v>0</v>
      </c>
      <c r="O33" s="659">
        <f ca="1">'Definition of Typical Year'!Z32</f>
        <v>0</v>
      </c>
      <c r="P33" s="659">
        <f ca="1">'Definition of Typical Year'!AA32</f>
        <v>0</v>
      </c>
      <c r="Q33" s="659">
        <f ca="1">'Definition of Typical Year'!AB32</f>
        <v>0</v>
      </c>
      <c r="R33" s="659">
        <f ca="1">'Definition of Typical Year'!AC32</f>
        <v>0</v>
      </c>
      <c r="S33" s="47"/>
      <c r="T33" s="659">
        <f ca="1">'Definition of Typical Year'!AE32</f>
        <v>0</v>
      </c>
      <c r="U33" s="659">
        <f ca="1">'Definition of Typical Year'!AD32</f>
        <v>0</v>
      </c>
      <c r="V33" s="659">
        <f ca="1">'Definition of Typical Year'!AF32</f>
        <v>0</v>
      </c>
      <c r="W33" s="47"/>
      <c r="X33" s="659">
        <f t="shared" ca="1" si="10"/>
        <v>0</v>
      </c>
      <c r="Y33" s="659">
        <f t="shared" ca="1" si="11"/>
        <v>0</v>
      </c>
      <c r="Z33" s="659">
        <f t="shared" ca="1" si="12"/>
        <v>0</v>
      </c>
      <c r="AA33" s="659">
        <f t="shared" ca="1" si="13"/>
        <v>0</v>
      </c>
      <c r="AB33" s="659">
        <f t="shared" ca="1" si="14"/>
        <v>0</v>
      </c>
      <c r="AC33" s="659">
        <f t="shared" ca="1" si="15"/>
        <v>0</v>
      </c>
      <c r="AD33" s="659">
        <f t="shared" ca="1" si="16"/>
        <v>0</v>
      </c>
      <c r="AE33" s="659">
        <f t="shared" ca="1" si="0"/>
        <v>0</v>
      </c>
      <c r="AF33" s="659">
        <f t="shared" ca="1" si="1"/>
        <v>0</v>
      </c>
      <c r="AG33" s="659">
        <f t="shared" ca="1" si="2"/>
        <v>0</v>
      </c>
      <c r="AH33" s="659">
        <f t="shared" ca="1" si="3"/>
        <v>0</v>
      </c>
      <c r="AI33" s="659">
        <f t="shared" ca="1" si="4"/>
        <v>0</v>
      </c>
      <c r="AJ33" s="659">
        <f t="shared" ca="1" si="5"/>
        <v>0</v>
      </c>
      <c r="AK33" s="659">
        <f t="shared" ca="1" si="6"/>
        <v>0</v>
      </c>
      <c r="AL33" s="47"/>
      <c r="AM33" s="47"/>
      <c r="AN33" s="659">
        <f t="shared" ca="1" si="7"/>
        <v>0</v>
      </c>
      <c r="AO33" s="659">
        <f t="shared" ca="1" si="8"/>
        <v>0</v>
      </c>
      <c r="AP33" s="659">
        <f t="shared" ca="1" si="9"/>
        <v>0</v>
      </c>
      <c r="AQ33" s="56"/>
      <c r="AR33" s="56"/>
      <c r="AS33" s="816"/>
      <c r="AT33" s="816"/>
      <c r="AU33" s="816"/>
      <c r="AV33" s="135"/>
      <c r="AW33" s="766" t="s">
        <v>785</v>
      </c>
      <c r="AX33" s="766" t="s">
        <v>120</v>
      </c>
      <c r="AY33" s="659">
        <f ca="1">AI37</f>
        <v>0</v>
      </c>
      <c r="AZ33" s="56"/>
      <c r="BA33" s="56"/>
      <c r="BB33" s="56"/>
      <c r="BC33" s="56"/>
      <c r="BD33" s="56"/>
      <c r="BE33" s="56"/>
      <c r="BF33" s="56"/>
      <c r="BG33" s="56"/>
      <c r="BH33" s="56"/>
      <c r="BI33" s="56"/>
      <c r="BJ33" s="56"/>
      <c r="BK33" s="56"/>
      <c r="BL33" s="56"/>
      <c r="BM33" s="56"/>
      <c r="BN33" s="807" t="s">
        <v>837</v>
      </c>
      <c r="BO33" s="766" t="s">
        <v>120</v>
      </c>
      <c r="BP33" s="659">
        <f ca="1">$AO$63</f>
        <v>34767.527216174189</v>
      </c>
    </row>
    <row r="34" spans="1:80">
      <c r="A34" s="135"/>
      <c r="B34" s="807">
        <f>'Definition of Typical Day'!$V$13</f>
        <v>18</v>
      </c>
      <c r="C34" s="807">
        <f>'Definition of Typical Day'!$V$14</f>
        <v>18</v>
      </c>
      <c r="D34" s="659">
        <f>'Definition of Typical Year'!F33</f>
        <v>0</v>
      </c>
      <c r="E34" s="659">
        <f ca="1">'Definition of Typical Year'!O33</f>
        <v>0</v>
      </c>
      <c r="F34" s="659">
        <f ca="1">'Definition of Typical Year'!P33</f>
        <v>0</v>
      </c>
      <c r="G34" s="659">
        <f ca="1">'Definition of Typical Year'!M33</f>
        <v>0</v>
      </c>
      <c r="H34" s="659">
        <f ca="1">'Definition of Typical Year'!N33</f>
        <v>0</v>
      </c>
      <c r="I34" s="659">
        <f ca="1">'Definition of Typical Year'!S33</f>
        <v>0</v>
      </c>
      <c r="J34" s="659">
        <f ca="1">'Definition of Typical Year'!Q33</f>
        <v>0</v>
      </c>
      <c r="K34" s="659">
        <f ca="1">'Definition of Typical Year'!R33</f>
        <v>0</v>
      </c>
      <c r="L34" s="659">
        <f ca="1">'Definition of Typical Year'!W33</f>
        <v>0</v>
      </c>
      <c r="M34" s="659">
        <f ca="1">'Definition of Typical Year'!X33</f>
        <v>0</v>
      </c>
      <c r="N34" s="659">
        <f ca="1">'Definition of Typical Year'!Y33</f>
        <v>0</v>
      </c>
      <c r="O34" s="659">
        <f ca="1">'Definition of Typical Year'!Z33</f>
        <v>0</v>
      </c>
      <c r="P34" s="659">
        <f ca="1">'Definition of Typical Year'!AA33</f>
        <v>0</v>
      </c>
      <c r="Q34" s="659">
        <f ca="1">'Definition of Typical Year'!AB33</f>
        <v>0</v>
      </c>
      <c r="R34" s="659">
        <f ca="1">'Definition of Typical Year'!AC33</f>
        <v>0</v>
      </c>
      <c r="S34" s="47"/>
      <c r="T34" s="659">
        <f ca="1">'Definition of Typical Year'!AE33</f>
        <v>0</v>
      </c>
      <c r="U34" s="659">
        <f ca="1">'Definition of Typical Year'!AD33</f>
        <v>0</v>
      </c>
      <c r="V34" s="659">
        <f ca="1">'Definition of Typical Year'!AF33</f>
        <v>0</v>
      </c>
      <c r="W34" s="47"/>
      <c r="X34" s="659">
        <f t="shared" ca="1" si="10"/>
        <v>0</v>
      </c>
      <c r="Y34" s="659">
        <f t="shared" ca="1" si="11"/>
        <v>0</v>
      </c>
      <c r="Z34" s="659">
        <f t="shared" ca="1" si="12"/>
        <v>0</v>
      </c>
      <c r="AA34" s="659">
        <f t="shared" ca="1" si="13"/>
        <v>0</v>
      </c>
      <c r="AB34" s="659">
        <f t="shared" ca="1" si="14"/>
        <v>0</v>
      </c>
      <c r="AC34" s="659">
        <f t="shared" ca="1" si="15"/>
        <v>0</v>
      </c>
      <c r="AD34" s="659">
        <f t="shared" ca="1" si="16"/>
        <v>0</v>
      </c>
      <c r="AE34" s="659">
        <f t="shared" ca="1" si="0"/>
        <v>0</v>
      </c>
      <c r="AF34" s="659">
        <f t="shared" ca="1" si="1"/>
        <v>0</v>
      </c>
      <c r="AG34" s="659">
        <f t="shared" ca="1" si="2"/>
        <v>0</v>
      </c>
      <c r="AH34" s="659">
        <f t="shared" ca="1" si="3"/>
        <v>0</v>
      </c>
      <c r="AI34" s="659">
        <f t="shared" ca="1" si="4"/>
        <v>0</v>
      </c>
      <c r="AJ34" s="659">
        <f t="shared" ca="1" si="5"/>
        <v>0</v>
      </c>
      <c r="AK34" s="659">
        <f t="shared" ca="1" si="6"/>
        <v>0</v>
      </c>
      <c r="AL34" s="47"/>
      <c r="AM34" s="47"/>
      <c r="AN34" s="659">
        <f t="shared" ca="1" si="7"/>
        <v>0</v>
      </c>
      <c r="AO34" s="659">
        <f t="shared" ca="1" si="8"/>
        <v>0</v>
      </c>
      <c r="AP34" s="659">
        <f t="shared" ca="1" si="9"/>
        <v>0</v>
      </c>
      <c r="AQ34" s="56"/>
      <c r="AR34" s="56"/>
      <c r="AS34" s="813" t="s">
        <v>830</v>
      </c>
      <c r="AT34" s="813" t="s">
        <v>113</v>
      </c>
      <c r="AU34" s="814">
        <f>AU20-AU24+AU28+AU32</f>
        <v>4815000</v>
      </c>
      <c r="AV34" s="56"/>
      <c r="AW34" s="766" t="s">
        <v>786</v>
      </c>
      <c r="AX34" s="766" t="s">
        <v>120</v>
      </c>
      <c r="AY34" s="659">
        <f ca="1">AJ37</f>
        <v>0</v>
      </c>
      <c r="AZ34" s="56"/>
      <c r="BA34" s="56"/>
      <c r="BB34" s="56"/>
      <c r="BC34" s="56"/>
      <c r="BD34" s="56"/>
      <c r="BE34" s="56"/>
      <c r="BF34" s="56"/>
      <c r="BG34" s="56"/>
      <c r="BH34" s="56"/>
      <c r="BI34" s="56"/>
      <c r="BJ34" s="56"/>
      <c r="BK34" s="56"/>
      <c r="BL34" s="56"/>
      <c r="BM34" s="56"/>
      <c r="BN34" s="813" t="s">
        <v>838</v>
      </c>
      <c r="BO34" s="813" t="s">
        <v>120</v>
      </c>
      <c r="BP34" s="814">
        <f ca="1">SUM(BP33)</f>
        <v>34767.527216174189</v>
      </c>
    </row>
    <row r="35" spans="1:80">
      <c r="A35" s="135"/>
      <c r="B35" s="807">
        <f>'Definition of Typical Day'!$W$13</f>
        <v>19</v>
      </c>
      <c r="C35" s="807">
        <f>'Definition of Typical Day'!$W$14</f>
        <v>19</v>
      </c>
      <c r="D35" s="659">
        <f>'Definition of Typical Year'!F34</f>
        <v>0</v>
      </c>
      <c r="E35" s="659">
        <f ca="1">'Definition of Typical Year'!O34</f>
        <v>0</v>
      </c>
      <c r="F35" s="659">
        <f ca="1">'Definition of Typical Year'!P34</f>
        <v>0</v>
      </c>
      <c r="G35" s="659">
        <f ca="1">'Definition of Typical Year'!M34</f>
        <v>0</v>
      </c>
      <c r="H35" s="659">
        <f ca="1">'Definition of Typical Year'!N34</f>
        <v>0</v>
      </c>
      <c r="I35" s="659">
        <f ca="1">'Definition of Typical Year'!S34</f>
        <v>0</v>
      </c>
      <c r="J35" s="659">
        <f ca="1">'Definition of Typical Year'!Q34</f>
        <v>0</v>
      </c>
      <c r="K35" s="659">
        <f ca="1">'Definition of Typical Year'!R34</f>
        <v>0</v>
      </c>
      <c r="L35" s="659">
        <f ca="1">'Definition of Typical Year'!W34</f>
        <v>0</v>
      </c>
      <c r="M35" s="659">
        <f ca="1">'Definition of Typical Year'!X34</f>
        <v>0</v>
      </c>
      <c r="N35" s="659">
        <f ca="1">'Definition of Typical Year'!Y34</f>
        <v>0</v>
      </c>
      <c r="O35" s="659">
        <f ca="1">'Definition of Typical Year'!Z34</f>
        <v>0</v>
      </c>
      <c r="P35" s="659">
        <f ca="1">'Definition of Typical Year'!AA34</f>
        <v>0</v>
      </c>
      <c r="Q35" s="659">
        <f ca="1">'Definition of Typical Year'!AB34</f>
        <v>0</v>
      </c>
      <c r="R35" s="659">
        <f ca="1">'Definition of Typical Year'!AC34</f>
        <v>0</v>
      </c>
      <c r="S35" s="47"/>
      <c r="T35" s="659">
        <f ca="1">'Definition of Typical Year'!AE34</f>
        <v>0</v>
      </c>
      <c r="U35" s="659">
        <f ca="1">'Definition of Typical Year'!AD34</f>
        <v>0</v>
      </c>
      <c r="V35" s="659">
        <f ca="1">'Definition of Typical Year'!AF34</f>
        <v>0</v>
      </c>
      <c r="W35" s="47"/>
      <c r="X35" s="659">
        <f t="shared" ca="1" si="10"/>
        <v>0</v>
      </c>
      <c r="Y35" s="659">
        <f t="shared" ca="1" si="11"/>
        <v>0</v>
      </c>
      <c r="Z35" s="659">
        <f t="shared" ca="1" si="12"/>
        <v>0</v>
      </c>
      <c r="AA35" s="659">
        <f t="shared" ca="1" si="13"/>
        <v>0</v>
      </c>
      <c r="AB35" s="659">
        <f t="shared" ca="1" si="14"/>
        <v>0</v>
      </c>
      <c r="AC35" s="659">
        <f t="shared" ca="1" si="15"/>
        <v>0</v>
      </c>
      <c r="AD35" s="659">
        <f t="shared" ca="1" si="16"/>
        <v>0</v>
      </c>
      <c r="AE35" s="659">
        <f t="shared" ca="1" si="0"/>
        <v>0</v>
      </c>
      <c r="AF35" s="659">
        <f t="shared" ca="1" si="1"/>
        <v>0</v>
      </c>
      <c r="AG35" s="659">
        <f t="shared" ca="1" si="2"/>
        <v>0</v>
      </c>
      <c r="AH35" s="659">
        <f t="shared" ca="1" si="3"/>
        <v>0</v>
      </c>
      <c r="AI35" s="659">
        <f t="shared" ca="1" si="4"/>
        <v>0</v>
      </c>
      <c r="AJ35" s="659">
        <f t="shared" ca="1" si="5"/>
        <v>0</v>
      </c>
      <c r="AK35" s="659">
        <f t="shared" ca="1" si="6"/>
        <v>0</v>
      </c>
      <c r="AL35" s="47"/>
      <c r="AM35" s="47"/>
      <c r="AN35" s="659">
        <f t="shared" ca="1" si="7"/>
        <v>0</v>
      </c>
      <c r="AO35" s="659">
        <f t="shared" ca="1" si="8"/>
        <v>0</v>
      </c>
      <c r="AP35" s="659">
        <f t="shared" ca="1" si="9"/>
        <v>0</v>
      </c>
      <c r="AQ35" s="56"/>
      <c r="AR35" s="56"/>
      <c r="AS35" s="813" t="s">
        <v>833</v>
      </c>
      <c r="AT35" s="813" t="s">
        <v>834</v>
      </c>
      <c r="AU35" s="817">
        <f>'Project Setting'!F101</f>
        <v>9.6342287609244334E-2</v>
      </c>
      <c r="AV35" s="56"/>
      <c r="AW35" s="813" t="s">
        <v>475</v>
      </c>
      <c r="AX35" s="813" t="s">
        <v>120</v>
      </c>
      <c r="AY35" s="814">
        <f ca="1">SUM(AY29:AY34)</f>
        <v>615042.92908760789</v>
      </c>
      <c r="AZ35" s="56"/>
      <c r="BA35" s="56"/>
      <c r="BB35" s="56"/>
      <c r="BC35" s="56"/>
      <c r="BD35" s="56"/>
      <c r="BE35" s="56"/>
      <c r="BF35" s="56"/>
      <c r="BG35" s="56"/>
      <c r="BH35" s="56"/>
      <c r="BI35" s="56"/>
      <c r="BJ35" s="56"/>
      <c r="BK35" s="56"/>
      <c r="BL35" s="56"/>
      <c r="BM35" s="56"/>
      <c r="BN35" s="818"/>
      <c r="BO35" s="818"/>
      <c r="BP35" s="818"/>
    </row>
    <row r="36" spans="1:80">
      <c r="A36" s="135"/>
      <c r="B36" s="807">
        <f>'Definition of Typical Day'!$X$13</f>
        <v>20</v>
      </c>
      <c r="C36" s="807" t="str">
        <f>'Definition of Typical Day'!$X$14</f>
        <v>20</v>
      </c>
      <c r="D36" s="659">
        <f>'Definition of Typical Year'!F35</f>
        <v>0</v>
      </c>
      <c r="E36" s="659">
        <f ca="1">'Definition of Typical Year'!O35</f>
        <v>2.4000000000000014E-2</v>
      </c>
      <c r="F36" s="659">
        <f ca="1">'Definition of Typical Year'!P35</f>
        <v>0</v>
      </c>
      <c r="G36" s="659">
        <f ca="1">'Definition of Typical Year'!M35</f>
        <v>0</v>
      </c>
      <c r="H36" s="659">
        <f ca="1">'Definition of Typical Year'!N35</f>
        <v>0</v>
      </c>
      <c r="I36" s="659">
        <f ca="1">'Definition of Typical Year'!S35</f>
        <v>0</v>
      </c>
      <c r="J36" s="659">
        <f ca="1">'Definition of Typical Year'!Q35</f>
        <v>0</v>
      </c>
      <c r="K36" s="659">
        <f ca="1">'Definition of Typical Year'!R35</f>
        <v>0</v>
      </c>
      <c r="L36" s="659">
        <f ca="1">'Definition of Typical Year'!W35</f>
        <v>0</v>
      </c>
      <c r="M36" s="659">
        <f ca="1">'Definition of Typical Year'!X35</f>
        <v>0</v>
      </c>
      <c r="N36" s="659">
        <f ca="1">'Definition of Typical Year'!Y35</f>
        <v>0</v>
      </c>
      <c r="O36" s="659">
        <f ca="1">'Definition of Typical Year'!Z35</f>
        <v>0</v>
      </c>
      <c r="P36" s="659">
        <f ca="1">'Definition of Typical Year'!AA35</f>
        <v>0</v>
      </c>
      <c r="Q36" s="659">
        <f ca="1">'Definition of Typical Year'!AB35</f>
        <v>0</v>
      </c>
      <c r="R36" s="659">
        <f ca="1">'Definition of Typical Year'!AC35</f>
        <v>0</v>
      </c>
      <c r="S36" s="47"/>
      <c r="T36" s="659">
        <f ca="1">'Definition of Typical Year'!AE35</f>
        <v>0</v>
      </c>
      <c r="U36" s="659">
        <f ca="1">'Definition of Typical Year'!AD35</f>
        <v>0</v>
      </c>
      <c r="V36" s="659">
        <f ca="1">'Definition of Typical Year'!AF35</f>
        <v>4.8000000000000029E-2</v>
      </c>
      <c r="W36" s="47"/>
      <c r="X36" s="659">
        <f t="shared" ca="1" si="10"/>
        <v>0</v>
      </c>
      <c r="Y36" s="659">
        <f t="shared" ca="1" si="11"/>
        <v>0</v>
      </c>
      <c r="Z36" s="659">
        <f t="shared" ca="1" si="12"/>
        <v>0</v>
      </c>
      <c r="AA36" s="659">
        <f t="shared" ca="1" si="13"/>
        <v>0</v>
      </c>
      <c r="AB36" s="659">
        <f t="shared" ca="1" si="14"/>
        <v>0</v>
      </c>
      <c r="AC36" s="659">
        <f t="shared" ca="1" si="15"/>
        <v>0</v>
      </c>
      <c r="AD36" s="659">
        <f t="shared" ca="1" si="16"/>
        <v>0</v>
      </c>
      <c r="AE36" s="659">
        <f t="shared" ca="1" si="0"/>
        <v>0</v>
      </c>
      <c r="AF36" s="659">
        <f t="shared" ca="1" si="1"/>
        <v>0</v>
      </c>
      <c r="AG36" s="659">
        <f t="shared" ca="1" si="2"/>
        <v>0</v>
      </c>
      <c r="AH36" s="659">
        <f t="shared" ca="1" si="3"/>
        <v>0</v>
      </c>
      <c r="AI36" s="659">
        <f t="shared" ca="1" si="4"/>
        <v>0</v>
      </c>
      <c r="AJ36" s="659">
        <f t="shared" ca="1" si="5"/>
        <v>0</v>
      </c>
      <c r="AK36" s="659">
        <f t="shared" ca="1" si="6"/>
        <v>0</v>
      </c>
      <c r="AL36" s="47"/>
      <c r="AM36" s="47"/>
      <c r="AN36" s="659">
        <f t="shared" ca="1" si="7"/>
        <v>0</v>
      </c>
      <c r="AO36" s="659">
        <f t="shared" ca="1" si="8"/>
        <v>0</v>
      </c>
      <c r="AP36" s="659">
        <f t="shared" ca="1" si="9"/>
        <v>0</v>
      </c>
      <c r="AQ36" s="56"/>
      <c r="AR36" s="56"/>
      <c r="AS36" s="813" t="s">
        <v>835</v>
      </c>
      <c r="AT36" s="813" t="s">
        <v>120</v>
      </c>
      <c r="AU36" s="814">
        <f>AU34*AU35</f>
        <v>463888.11483851145</v>
      </c>
      <c r="AV36" s="56"/>
      <c r="AW36" s="1213" t="s">
        <v>839</v>
      </c>
      <c r="AX36" s="1213"/>
      <c r="AY36" s="1213"/>
      <c r="AZ36" s="56"/>
      <c r="BA36" s="56"/>
      <c r="BB36" s="56"/>
      <c r="BC36" s="56"/>
      <c r="BD36" s="56"/>
      <c r="BE36" s="56"/>
      <c r="BF36" s="56"/>
      <c r="BG36" s="56"/>
      <c r="BH36" s="56"/>
      <c r="BI36" s="56"/>
      <c r="BJ36" s="1213" t="s">
        <v>840</v>
      </c>
      <c r="BK36" s="1213"/>
      <c r="BL36" s="1213"/>
      <c r="BM36" s="56"/>
      <c r="BN36" s="1213" t="s">
        <v>841</v>
      </c>
      <c r="BO36" s="1213"/>
      <c r="BP36" s="1213"/>
    </row>
    <row r="37" spans="1:80" ht="23.25" thickBot="1">
      <c r="A37" s="135"/>
      <c r="B37" s="7"/>
      <c r="C37" s="7"/>
      <c r="D37" s="648">
        <f>SUM(D17:D36)</f>
        <v>365.00000000000006</v>
      </c>
      <c r="E37" s="142"/>
      <c r="F37" s="142"/>
      <c r="G37" s="142"/>
      <c r="H37" s="142"/>
      <c r="I37" s="142"/>
      <c r="J37" s="142"/>
      <c r="K37" s="142"/>
      <c r="L37" s="142"/>
      <c r="M37" s="142"/>
      <c r="N37" s="142"/>
      <c r="O37" s="142"/>
      <c r="P37" s="142"/>
      <c r="Q37" s="142"/>
      <c r="R37" s="142"/>
      <c r="S37" s="47"/>
      <c r="T37" s="142"/>
      <c r="U37" s="142"/>
      <c r="V37" s="142"/>
      <c r="W37" s="47"/>
      <c r="X37" s="659">
        <f ca="1">SUM(X17:X36)</f>
        <v>8627.5479523068934</v>
      </c>
      <c r="Y37" s="659">
        <f ca="1">SUM(Y17:Y36)</f>
        <v>7694.7026888757055</v>
      </c>
      <c r="Z37" s="659">
        <f t="shared" ref="Z37:AK37" ca="1" si="17">SUM(Z17:Z36)</f>
        <v>17383.763608087094</v>
      </c>
      <c r="AA37" s="659">
        <f t="shared" ca="1" si="17"/>
        <v>16380.921539280589</v>
      </c>
      <c r="AB37" s="659">
        <f t="shared" ca="1" si="17"/>
        <v>22900.263526924246</v>
      </c>
      <c r="AC37" s="659">
        <f ca="1">SUM(AC17:AC36)</f>
        <v>6703.1865273465255</v>
      </c>
      <c r="AD37" s="659">
        <f ca="1">SUM(AD17:AD36)</f>
        <v>47.950761109480815</v>
      </c>
      <c r="AE37" s="659">
        <f t="shared" ca="1" si="17"/>
        <v>0</v>
      </c>
      <c r="AF37" s="659">
        <f t="shared" ca="1" si="17"/>
        <v>571161.04346941714</v>
      </c>
      <c r="AG37" s="659">
        <f t="shared" ca="1" si="17"/>
        <v>40207.418794371159</v>
      </c>
      <c r="AH37" s="659">
        <f t="shared" ca="1" si="17"/>
        <v>3674.4668238195145</v>
      </c>
      <c r="AI37" s="659">
        <f t="shared" ca="1" si="17"/>
        <v>0</v>
      </c>
      <c r="AJ37" s="659">
        <f t="shared" ca="1" si="17"/>
        <v>0</v>
      </c>
      <c r="AK37" s="659">
        <f t="shared" ca="1" si="17"/>
        <v>615042.92908760789</v>
      </c>
      <c r="AL37" s="47"/>
      <c r="AM37" s="47"/>
      <c r="AN37" s="659">
        <f ca="1">SUM(AN17:AN36)</f>
        <v>1337630.819731378</v>
      </c>
      <c r="AO37" s="659">
        <f ca="1">SUM(AO17:AO36)</f>
        <v>0</v>
      </c>
      <c r="AP37" s="659">
        <f ca="1">SUM(AP17:AP36)</f>
        <v>34767.527216174189</v>
      </c>
      <c r="AQ37" s="56"/>
      <c r="AR37" s="56"/>
      <c r="AS37" s="135"/>
      <c r="AT37" s="135"/>
      <c r="AU37" s="135"/>
      <c r="AV37" s="56"/>
      <c r="AW37" s="807" t="s">
        <v>474</v>
      </c>
      <c r="AX37" s="766" t="s">
        <v>120</v>
      </c>
      <c r="AY37" s="659">
        <f ca="1">BG22*BH22</f>
        <v>0</v>
      </c>
      <c r="AZ37" s="56"/>
      <c r="BA37" s="56"/>
      <c r="BB37" s="56"/>
      <c r="BC37" s="56"/>
      <c r="BD37" s="56"/>
      <c r="BE37" s="56"/>
      <c r="BF37" s="56"/>
      <c r="BG37" s="56"/>
      <c r="BH37" s="56"/>
      <c r="BI37" s="56"/>
      <c r="BJ37" s="807" t="s">
        <v>842</v>
      </c>
      <c r="BK37" s="766" t="s">
        <v>120</v>
      </c>
      <c r="BL37" s="659">
        <f ca="1">AC63</f>
        <v>13012.494628535345</v>
      </c>
      <c r="BM37" s="56"/>
      <c r="BN37" s="807" t="s">
        <v>843</v>
      </c>
      <c r="BO37" s="766" t="s">
        <v>120</v>
      </c>
      <c r="BP37" s="659">
        <f ca="1">$AP$63</f>
        <v>121445.71643419143</v>
      </c>
    </row>
    <row r="38" spans="1:80" ht="34.5" thickBot="1">
      <c r="A38" s="135"/>
      <c r="B38" s="135"/>
      <c r="C38" s="135"/>
      <c r="D38" s="135"/>
      <c r="E38" s="135"/>
      <c r="F38" s="135"/>
      <c r="G38" s="135"/>
      <c r="H38" s="135"/>
      <c r="I38" s="135"/>
      <c r="J38" s="135"/>
      <c r="K38" s="135"/>
      <c r="M38" s="56"/>
      <c r="N38" s="56"/>
      <c r="O38" s="56"/>
      <c r="P38" s="56"/>
      <c r="Q38" s="56"/>
      <c r="R38" s="56"/>
      <c r="S38" s="47"/>
      <c r="T38" s="56"/>
      <c r="U38" s="56"/>
      <c r="V38" s="56"/>
      <c r="W38" s="47"/>
      <c r="X38" s="47"/>
      <c r="Y38" s="47"/>
      <c r="Z38" s="47"/>
      <c r="AA38" s="47"/>
      <c r="AB38" s="56"/>
      <c r="AC38" s="56"/>
      <c r="AD38" s="56"/>
      <c r="AE38" s="56"/>
      <c r="AF38" s="56"/>
      <c r="AG38" s="56"/>
      <c r="AH38" s="1218" t="s">
        <v>844</v>
      </c>
      <c r="AI38" s="1218"/>
      <c r="AJ38" s="207" t="s">
        <v>845</v>
      </c>
      <c r="AK38" s="661">
        <f ca="1">AK37/MAX(0.1,AB37)</f>
        <v>26.857460760855044</v>
      </c>
      <c r="AL38" s="47"/>
      <c r="AM38" s="47"/>
      <c r="AN38" s="812">
        <f ca="1">AN37/MAX(0.1,AB37)</f>
        <v>58.411154009590405</v>
      </c>
      <c r="AO38" s="812">
        <f ca="1">AO37/MAX(0.1,AE37)</f>
        <v>0</v>
      </c>
      <c r="AP38" s="659">
        <f ca="1">AP37/MAX(0.1,AB37)</f>
        <v>1.5182151583232826</v>
      </c>
      <c r="AQ38" s="58" t="s">
        <v>846</v>
      </c>
      <c r="AR38" s="56"/>
      <c r="AS38" s="135"/>
      <c r="AT38" s="135"/>
      <c r="AU38" s="135"/>
      <c r="AV38" s="56"/>
      <c r="AW38" s="813" t="s">
        <v>469</v>
      </c>
      <c r="AX38" s="813" t="s">
        <v>113</v>
      </c>
      <c r="AY38" s="814">
        <f ca="1">AY37</f>
        <v>0</v>
      </c>
      <c r="AZ38" s="56"/>
      <c r="BA38" s="56"/>
      <c r="BB38" s="56"/>
      <c r="BC38" s="56"/>
      <c r="BD38" s="56"/>
      <c r="BE38" s="56"/>
      <c r="BF38" s="56"/>
      <c r="BG38" s="56"/>
      <c r="BH38" s="56"/>
      <c r="BI38" s="56"/>
      <c r="BJ38" s="813" t="s">
        <v>847</v>
      </c>
      <c r="BK38" s="813" t="s">
        <v>120</v>
      </c>
      <c r="BL38" s="814">
        <f ca="1">SUM(BL37)</f>
        <v>13012.494628535345</v>
      </c>
      <c r="BM38" s="56"/>
      <c r="BN38" s="813" t="s">
        <v>847</v>
      </c>
      <c r="BO38" s="813" t="s">
        <v>120</v>
      </c>
      <c r="BP38" s="814">
        <f ca="1">SUM(BP37)</f>
        <v>121445.71643419143</v>
      </c>
    </row>
    <row r="39" spans="1:80" ht="15.75" thickBot="1">
      <c r="A39" s="135"/>
      <c r="B39" s="56"/>
      <c r="C39" s="56"/>
      <c r="D39" s="1216" t="s">
        <v>848</v>
      </c>
      <c r="E39" s="1216"/>
      <c r="F39" s="1216"/>
      <c r="G39" s="1216"/>
      <c r="H39" s="1216"/>
      <c r="I39" s="1216"/>
      <c r="J39" s="1216"/>
      <c r="K39" s="1216"/>
      <c r="L39" s="1216"/>
      <c r="M39" s="1216"/>
      <c r="N39" s="1216"/>
      <c r="O39" s="1216"/>
      <c r="P39" s="1216"/>
      <c r="Q39" s="1216"/>
      <c r="R39" s="1216"/>
      <c r="S39" s="1216"/>
      <c r="T39" s="1216"/>
      <c r="U39" s="1216"/>
      <c r="V39" s="1216"/>
      <c r="W39" s="1216"/>
      <c r="X39" s="1216"/>
      <c r="Y39" s="1216"/>
      <c r="Z39" s="1216"/>
      <c r="AA39" s="1216"/>
      <c r="AB39" s="1216"/>
      <c r="AC39" s="1216"/>
      <c r="AD39" s="1216"/>
      <c r="AE39" s="1216"/>
      <c r="AF39" s="1216"/>
      <c r="AG39" s="1216"/>
      <c r="AH39" s="1216"/>
      <c r="AI39" s="1216"/>
      <c r="AJ39" s="1216"/>
      <c r="AK39" s="1216"/>
      <c r="AL39" s="1216"/>
      <c r="AM39" s="1216"/>
      <c r="AN39" s="1217"/>
      <c r="AO39" s="1217"/>
      <c r="AP39" s="1217"/>
      <c r="AQ39" s="56"/>
      <c r="AR39" s="56"/>
      <c r="AS39" s="135"/>
      <c r="AT39" s="135"/>
      <c r="AU39" s="135"/>
      <c r="AV39" s="135"/>
      <c r="AW39" s="135"/>
      <c r="AX39" s="135"/>
      <c r="AY39" s="135"/>
      <c r="AZ39" s="56"/>
      <c r="BA39" s="56"/>
      <c r="BB39" s="56"/>
      <c r="BC39" s="56"/>
      <c r="BD39" s="56"/>
      <c r="BE39" s="56"/>
      <c r="BF39" s="56"/>
      <c r="BG39" s="56"/>
      <c r="BH39" s="56"/>
      <c r="BI39" s="56"/>
      <c r="BJ39" s="56"/>
      <c r="BK39" s="56"/>
      <c r="BL39" s="56"/>
      <c r="BM39" s="56"/>
      <c r="BO39" s="135"/>
      <c r="BP39" s="135"/>
    </row>
    <row r="40" spans="1:80" s="1" customFormat="1" ht="79.5" thickBot="1">
      <c r="A40" s="63"/>
      <c r="B40" s="654" t="s">
        <v>849</v>
      </c>
      <c r="C40" s="654" t="s">
        <v>850</v>
      </c>
      <c r="D40" s="654" t="s">
        <v>377</v>
      </c>
      <c r="E40" s="654" t="s">
        <v>386</v>
      </c>
      <c r="F40" s="654" t="s">
        <v>387</v>
      </c>
      <c r="G40" s="654" t="s">
        <v>851</v>
      </c>
      <c r="H40" s="654" t="s">
        <v>632</v>
      </c>
      <c r="I40" s="63"/>
      <c r="J40" s="63"/>
      <c r="K40" s="63"/>
      <c r="M40" s="130" t="s">
        <v>403</v>
      </c>
      <c r="N40" s="130" t="s">
        <v>404</v>
      </c>
      <c r="O40" s="130" t="s">
        <v>852</v>
      </c>
      <c r="P40" s="130" t="s">
        <v>853</v>
      </c>
      <c r="Q40" s="130" t="s">
        <v>854</v>
      </c>
      <c r="R40" s="654" t="s">
        <v>855</v>
      </c>
      <c r="S40" s="167"/>
      <c r="T40" s="167"/>
      <c r="U40" s="167"/>
      <c r="V40" s="167"/>
      <c r="W40" s="132"/>
      <c r="X40" s="132"/>
      <c r="Y40" s="132"/>
      <c r="Z40" s="654" t="s">
        <v>776</v>
      </c>
      <c r="AA40" s="654" t="s">
        <v>777</v>
      </c>
      <c r="AB40" s="654" t="s">
        <v>403</v>
      </c>
      <c r="AC40" s="654" t="s">
        <v>404</v>
      </c>
      <c r="AD40" s="654" t="s">
        <v>856</v>
      </c>
      <c r="AE40" s="654" t="s">
        <v>474</v>
      </c>
      <c r="AF40" s="654" t="s">
        <v>851</v>
      </c>
      <c r="AG40" s="654" t="s">
        <v>632</v>
      </c>
      <c r="AH40" s="654" t="s">
        <v>857</v>
      </c>
      <c r="AI40" s="654" t="s">
        <v>858</v>
      </c>
      <c r="AJ40" s="130"/>
      <c r="AK40" s="130" t="s">
        <v>859</v>
      </c>
      <c r="AL40" s="241"/>
      <c r="AM40" s="241"/>
      <c r="AN40" s="241"/>
      <c r="AO40" s="130" t="s">
        <v>860</v>
      </c>
      <c r="AP40" s="130" t="s">
        <v>861</v>
      </c>
      <c r="AQ40" s="128"/>
      <c r="AR40" s="128"/>
      <c r="AS40" s="63"/>
      <c r="AT40" s="63"/>
      <c r="AU40" s="63"/>
      <c r="AV40" s="63"/>
      <c r="AW40" s="63"/>
      <c r="AX40" s="63"/>
      <c r="AY40" s="63"/>
      <c r="AZ40" s="128"/>
      <c r="BA40" s="128"/>
      <c r="BB40" s="128"/>
      <c r="BC40" s="128"/>
      <c r="BD40" s="128"/>
      <c r="BE40" s="128"/>
      <c r="BF40" s="128"/>
      <c r="BG40" s="128"/>
      <c r="BH40" s="128"/>
      <c r="BI40" s="128"/>
      <c r="BJ40" s="128"/>
      <c r="BK40" s="128"/>
      <c r="BL40" s="128"/>
      <c r="BM40" s="128"/>
      <c r="BN40" s="128"/>
      <c r="BO40" s="241"/>
      <c r="BP40" s="241"/>
      <c r="BQ40" s="63"/>
      <c r="BR40" s="63"/>
      <c r="BS40" s="63"/>
      <c r="BT40" s="63"/>
      <c r="BU40" s="63"/>
      <c r="BV40" s="63"/>
      <c r="BW40" s="63"/>
      <c r="BX40" s="63"/>
      <c r="BY40" s="63"/>
      <c r="BZ40" s="63"/>
      <c r="CA40" s="63"/>
      <c r="CB40" s="63"/>
    </row>
    <row r="41" spans="1:80" ht="22.5" customHeight="1" thickBot="1">
      <c r="A41" s="135"/>
      <c r="B41" s="807" t="s">
        <v>101</v>
      </c>
      <c r="C41" s="807"/>
      <c r="D41" s="807" t="s">
        <v>409</v>
      </c>
      <c r="E41" s="807" t="s">
        <v>791</v>
      </c>
      <c r="F41" s="807" t="s">
        <v>791</v>
      </c>
      <c r="G41" s="807" t="s">
        <v>793</v>
      </c>
      <c r="H41" s="807" t="s">
        <v>793</v>
      </c>
      <c r="I41" s="135"/>
      <c r="J41" s="135"/>
      <c r="K41" s="135"/>
      <c r="M41" s="58" t="s">
        <v>795</v>
      </c>
      <c r="N41" s="58" t="s">
        <v>795</v>
      </c>
      <c r="O41" s="58" t="s">
        <v>795</v>
      </c>
      <c r="P41" s="58" t="s">
        <v>414</v>
      </c>
      <c r="Q41" s="58" t="s">
        <v>414</v>
      </c>
      <c r="R41" s="807" t="s">
        <v>795</v>
      </c>
      <c r="S41" s="142"/>
      <c r="T41" s="142"/>
      <c r="U41" s="142"/>
      <c r="V41" s="142"/>
      <c r="W41" s="47"/>
      <c r="X41" s="47"/>
      <c r="Y41" s="47"/>
      <c r="Z41" s="807" t="s">
        <v>862</v>
      </c>
      <c r="AA41" s="807" t="s">
        <v>862</v>
      </c>
      <c r="AB41" s="807" t="s">
        <v>120</v>
      </c>
      <c r="AC41" s="807" t="s">
        <v>120</v>
      </c>
      <c r="AD41" s="807" t="s">
        <v>120</v>
      </c>
      <c r="AE41" s="807" t="s">
        <v>120</v>
      </c>
      <c r="AF41" s="807" t="s">
        <v>798</v>
      </c>
      <c r="AG41" s="807" t="s">
        <v>863</v>
      </c>
      <c r="AH41" s="807" t="s">
        <v>120</v>
      </c>
      <c r="AI41" s="807" t="s">
        <v>120</v>
      </c>
      <c r="AJ41" s="133"/>
      <c r="AK41" s="58" t="s">
        <v>120</v>
      </c>
      <c r="AL41" s="135"/>
      <c r="AM41" s="135"/>
      <c r="AN41" s="135"/>
      <c r="AO41" s="58" t="s">
        <v>120</v>
      </c>
      <c r="AP41" s="58" t="s">
        <v>120</v>
      </c>
      <c r="AQ41" s="56"/>
      <c r="AR41" s="56"/>
      <c r="AS41" s="135"/>
      <c r="AT41" s="135"/>
      <c r="AU41" s="135"/>
      <c r="AV41" s="135"/>
      <c r="AW41" s="135"/>
      <c r="AX41" s="135"/>
      <c r="AY41" s="135"/>
      <c r="AZ41" s="56"/>
      <c r="BA41" s="56"/>
      <c r="BB41" s="56"/>
      <c r="BC41" s="56"/>
      <c r="BD41" s="56"/>
      <c r="BE41" s="56"/>
      <c r="BF41" s="56"/>
      <c r="BG41" s="56"/>
      <c r="BH41" s="56"/>
      <c r="BI41" s="56"/>
      <c r="BJ41" s="56"/>
      <c r="BK41" s="56"/>
      <c r="BL41" s="56"/>
      <c r="BM41" s="56"/>
      <c r="BN41" s="825" t="s">
        <v>864</v>
      </c>
      <c r="BO41" s="825" t="s">
        <v>120</v>
      </c>
      <c r="BP41" s="853">
        <f ca="1">BP34</f>
        <v>34767.527216174189</v>
      </c>
    </row>
    <row r="42" spans="1:80" ht="93.6" customHeight="1" thickBot="1">
      <c r="A42" s="135"/>
      <c r="B42" s="807"/>
      <c r="C42" s="807" t="str">
        <f>'Definition of Typical Year'!$C$15</f>
        <v>Labels each characteristic day (e.g. Winter day, Summer weekend)</v>
      </c>
      <c r="D42" s="807" t="str">
        <f>'Definition of Typical Year'!$F$15</f>
        <v>Number of days that each typical day represents across the entire year</v>
      </c>
      <c r="E42" s="807" t="str">
        <f>'Definition of Typical Year'!O15</f>
        <v>Total thermal energy (waste heat) available from the data centre on that typical day</v>
      </c>
      <c r="F42" s="807" t="str">
        <f>'Definition of Typical Year'!P15</f>
        <v>Amount of the available waste heat that is actually used in the system (e.g. heat pump)</v>
      </c>
      <c r="G42" s="807" t="str">
        <f>'Definition of Typical Year'!T15</f>
        <v>Total AVOIDED electricity due to less active cooling needs. (THIS ARE SAVINGS)</v>
      </c>
      <c r="H42" s="807" t="str">
        <f>'Definition of Typical Year'!U15</f>
        <v>Total remaining electricity demand for active cooling</v>
      </c>
      <c r="I42" s="135"/>
      <c r="J42" s="135"/>
      <c r="K42" s="135"/>
      <c r="M42" s="58" t="str">
        <f>'Definition of Typical Year'!AJ15</f>
        <v>Total hourly REDUCED electricity costs due to less active cooling needs. (THIS ARE SAVINGS)</v>
      </c>
      <c r="N42" s="58" t="str">
        <f>'Definition of Typical Year'!AK15</f>
        <v>Total hourly remaining electricity costs for active cooling</v>
      </c>
      <c r="O42" s="58" t="str">
        <f>'Definition of Typical Year'!AL15</f>
        <v>Waste heat cost based on price p_0 that is paid at the border between data centre cooling and waste heat recovery system under Take-or-Pay conditions</v>
      </c>
      <c r="P42" s="58" t="str">
        <f>'Definition of Typical Year'!AM15</f>
        <v>These are the operation and maintenance costs that vary depending on how much of the heat recovery system is used</v>
      </c>
      <c r="Q42" s="169" t="str">
        <f>'Definition of Typical Year'!AN15</f>
        <v>Revenue generated for the data centre based on actual usage and negotiated price. These waste heat costs are part of SRMC.</v>
      </c>
      <c r="R42" s="808" t="str">
        <f>'Definition of Typical Year'!AO15</f>
        <v xml:space="preserve">Guaranteed revenue for the data centre based on fixed contractual payments.
</v>
      </c>
      <c r="S42" s="142"/>
      <c r="T42" s="142"/>
      <c r="U42" s="142"/>
      <c r="V42" s="142"/>
      <c r="W42" s="47"/>
      <c r="X42" s="47"/>
      <c r="Y42" s="47"/>
      <c r="Z42" s="847"/>
      <c r="AA42" s="847"/>
      <c r="AB42" s="807"/>
      <c r="AC42" s="807"/>
      <c r="AD42" s="807"/>
      <c r="AE42" s="807"/>
      <c r="AF42" s="818"/>
      <c r="AG42" s="818"/>
      <c r="AH42" s="807"/>
      <c r="AI42" s="807"/>
      <c r="AJ42" s="52"/>
      <c r="AK42" s="645"/>
      <c r="AL42" s="135"/>
      <c r="AM42" s="135"/>
      <c r="AN42" s="135"/>
      <c r="AO42" s="645"/>
      <c r="AQ42" s="56"/>
      <c r="AR42" s="56"/>
      <c r="AS42" s="135"/>
      <c r="AT42" s="135"/>
      <c r="AU42" s="135"/>
      <c r="AV42" s="135"/>
      <c r="AW42" s="135"/>
      <c r="AX42" s="135"/>
      <c r="AY42" s="135"/>
      <c r="AZ42" s="56"/>
      <c r="BA42" s="56"/>
      <c r="BB42" s="56"/>
      <c r="BC42" s="56"/>
      <c r="BD42" s="56"/>
      <c r="BE42" s="56"/>
      <c r="BF42" s="56"/>
      <c r="BG42" s="56"/>
      <c r="BH42" s="56"/>
      <c r="BI42" s="56"/>
      <c r="BJ42" s="56"/>
      <c r="BK42" s="56"/>
      <c r="BL42" s="56"/>
      <c r="BM42" s="56"/>
      <c r="BN42" s="56"/>
      <c r="BO42" s="135"/>
      <c r="BP42" s="135"/>
    </row>
    <row r="43" spans="1:80" ht="15.75" thickBot="1">
      <c r="A43" s="135"/>
      <c r="B43" s="807">
        <f>'Definition of Typical Day'!$E$13</f>
        <v>1</v>
      </c>
      <c r="C43" s="807" t="str">
        <f>'Definition of Typical Day'!$E$14</f>
        <v>Winter day</v>
      </c>
      <c r="D43" s="659">
        <f>D17</f>
        <v>94.608605495075167</v>
      </c>
      <c r="E43" s="659">
        <f t="shared" ref="D43:F62" ca="1" si="18">E17</f>
        <v>48</v>
      </c>
      <c r="F43" s="659">
        <f t="shared" ca="1" si="18"/>
        <v>48</v>
      </c>
      <c r="G43" s="659">
        <f ca="1">'Definition of Typical Year'!T16</f>
        <v>1.5199999999999989</v>
      </c>
      <c r="H43" s="659">
        <f ca="1">'Definition of Typical Year'!U16</f>
        <v>0</v>
      </c>
      <c r="I43" s="135"/>
      <c r="J43" s="135"/>
      <c r="K43" s="135"/>
      <c r="M43" s="55">
        <f ca="1">'Definition of Typical Year'!AJ16</f>
        <v>126.75066666666669</v>
      </c>
      <c r="N43" s="55">
        <f ca="1">'Definition of Typical Year'!AK16</f>
        <v>0</v>
      </c>
      <c r="O43" s="55">
        <f ca="1">'Definition of Typical Year'!AL16</f>
        <v>0</v>
      </c>
      <c r="P43" s="55">
        <f ca="1">'Definition of Typical Year'!AM16</f>
        <v>96</v>
      </c>
      <c r="Q43" s="55">
        <f ca="1">'Definition of Typical Year'!AN16</f>
        <v>0</v>
      </c>
      <c r="R43" s="659">
        <f ca="1">'Definition of Typical Year'!AO16</f>
        <v>96</v>
      </c>
      <c r="S43" s="142"/>
      <c r="T43" s="142"/>
      <c r="U43" s="142"/>
      <c r="V43" s="142"/>
      <c r="W43" s="47"/>
      <c r="X43" s="47"/>
      <c r="Y43" s="47"/>
      <c r="Z43" s="659">
        <f ca="1">Z17</f>
        <v>4541.2130637636083</v>
      </c>
      <c r="AA43" s="659">
        <f ca="1">AA17</f>
        <v>4541.2130637636083</v>
      </c>
      <c r="AB43" s="659">
        <f t="shared" ref="AB43:AB62" ca="1" si="19">M43*$D43</f>
        <v>11991.703818904443</v>
      </c>
      <c r="AC43" s="659">
        <f t="shared" ref="AC43:AC62" ca="1" si="20">N43*$D43</f>
        <v>0</v>
      </c>
      <c r="AD43" s="659">
        <f t="shared" ref="AD43:AD62" ca="1" si="21">O43*$D43</f>
        <v>0</v>
      </c>
      <c r="AE43" s="659">
        <f t="shared" ref="AE43:AE62" ca="1" si="22">P43*$D43</f>
        <v>9082.4261275272165</v>
      </c>
      <c r="AF43" s="659">
        <f t="shared" ref="AF43:AF62" ca="1" si="23">G43*$D43</f>
        <v>143.80508035251415</v>
      </c>
      <c r="AG43" s="659">
        <f t="shared" ref="AG43:AG62" ca="1" si="24">H43*$D43</f>
        <v>0</v>
      </c>
      <c r="AH43" s="659">
        <f t="shared" ref="AH43:AH62" ca="1" si="25">Q43*$D43</f>
        <v>0</v>
      </c>
      <c r="AI43" s="659">
        <f t="shared" ref="AI43:AI62" ca="1" si="26">R43*$D43</f>
        <v>9082.4261275272165</v>
      </c>
      <c r="AJ43" s="52"/>
      <c r="AK43" s="659">
        <f t="shared" ref="AK43:AK62" ca="1" si="27">AE43</f>
        <v>9082.4261275272165</v>
      </c>
      <c r="AL43" s="135"/>
      <c r="AM43" s="135"/>
      <c r="AN43" s="135"/>
      <c r="AO43" s="659">
        <f t="shared" ref="AO43:AO62" ca="1" si="28">AH43+AI43</f>
        <v>9082.4261275272165</v>
      </c>
      <c r="AP43" s="659">
        <f ca="1">AB43</f>
        <v>11991.703818904443</v>
      </c>
      <c r="AQ43" s="56"/>
      <c r="AR43" s="56"/>
      <c r="AS43" s="135"/>
      <c r="AT43" s="135"/>
      <c r="AU43" s="135"/>
      <c r="AW43" s="135"/>
      <c r="AX43" s="135"/>
      <c r="AY43" s="135"/>
      <c r="AZ43" s="170"/>
      <c r="BA43" s="171"/>
      <c r="BB43" s="56"/>
      <c r="BC43" s="56"/>
      <c r="BD43" s="56"/>
      <c r="BE43" s="56"/>
      <c r="BF43" s="56"/>
      <c r="BG43" s="56"/>
      <c r="BH43" s="56"/>
      <c r="BI43" s="56"/>
      <c r="BJ43" s="56"/>
      <c r="BK43" s="56"/>
      <c r="BL43" s="56"/>
      <c r="BM43" s="56"/>
      <c r="BN43" s="56"/>
      <c r="BO43" s="135"/>
      <c r="BP43" s="135"/>
    </row>
    <row r="44" spans="1:80" ht="25.5" customHeight="1" thickBot="1">
      <c r="A44" s="135"/>
      <c r="B44" s="807">
        <f>'Definition of Typical Day'!$F$13</f>
        <v>2</v>
      </c>
      <c r="C44" s="807" t="str">
        <f>'Definition of Typical Day'!$F$14</f>
        <v>Spring / fall weekday</v>
      </c>
      <c r="D44" s="659">
        <f t="shared" si="18"/>
        <v>126.77553136340072</v>
      </c>
      <c r="E44" s="659">
        <f t="shared" ca="1" si="18"/>
        <v>48</v>
      </c>
      <c r="F44" s="659">
        <f t="shared" ca="1" si="18"/>
        <v>48</v>
      </c>
      <c r="G44" s="659">
        <f ca="1">'Definition of Typical Year'!T17</f>
        <v>4.8933333333333335</v>
      </c>
      <c r="H44" s="659">
        <f ca="1">'Definition of Typical Year'!U17</f>
        <v>-4.1448326252672507E-17</v>
      </c>
      <c r="I44" s="135"/>
      <c r="J44" s="135"/>
      <c r="K44" s="135"/>
      <c r="M44" s="55">
        <f ca="1">'Definition of Typical Year'!AJ17</f>
        <v>452.80680000000001</v>
      </c>
      <c r="N44" s="55">
        <f ca="1">'Definition of Typical Year'!AK17</f>
        <v>-4.9199163261922263E-15</v>
      </c>
      <c r="O44" s="55">
        <f ca="1">'Definition of Typical Year'!AL17</f>
        <v>0</v>
      </c>
      <c r="P44" s="55">
        <f ca="1">'Definition of Typical Year'!AM17</f>
        <v>96</v>
      </c>
      <c r="Q44" s="55">
        <f ca="1">'Definition of Typical Year'!AN17</f>
        <v>0</v>
      </c>
      <c r="R44" s="659">
        <f ca="1">'Definition of Typical Year'!AO17</f>
        <v>96</v>
      </c>
      <c r="S44" s="142"/>
      <c r="T44" s="142"/>
      <c r="U44" s="142"/>
      <c r="V44" s="142"/>
      <c r="W44" s="47"/>
      <c r="X44" s="47"/>
      <c r="Y44" s="47"/>
      <c r="Z44" s="659">
        <f t="shared" ref="Z44:AA62" ca="1" si="29">Z18</f>
        <v>6085.2255054432344</v>
      </c>
      <c r="AA44" s="659">
        <f t="shared" ca="1" si="29"/>
        <v>6085.2255054432344</v>
      </c>
      <c r="AB44" s="659">
        <f t="shared" ca="1" si="19"/>
        <v>57404.82267496112</v>
      </c>
      <c r="AC44" s="659">
        <f t="shared" ca="1" si="20"/>
        <v>-6.2372500651648984E-13</v>
      </c>
      <c r="AD44" s="659">
        <f t="shared" ca="1" si="21"/>
        <v>0</v>
      </c>
      <c r="AE44" s="659">
        <f t="shared" ca="1" si="22"/>
        <v>12170.451010886469</v>
      </c>
      <c r="AF44" s="659">
        <f t="shared" ca="1" si="23"/>
        <v>620.35493347157421</v>
      </c>
      <c r="AG44" s="659">
        <f t="shared" ca="1" si="24"/>
        <v>-5.2546335848061486E-15</v>
      </c>
      <c r="AH44" s="659">
        <f t="shared" ca="1" si="25"/>
        <v>0</v>
      </c>
      <c r="AI44" s="659">
        <f t="shared" ca="1" si="26"/>
        <v>12170.451010886469</v>
      </c>
      <c r="AJ44" s="52"/>
      <c r="AK44" s="659">
        <f t="shared" ca="1" si="27"/>
        <v>12170.451010886469</v>
      </c>
      <c r="AL44" s="135"/>
      <c r="AM44" s="135"/>
      <c r="AN44" s="135"/>
      <c r="AO44" s="659">
        <f t="shared" ca="1" si="28"/>
        <v>12170.451010886469</v>
      </c>
      <c r="AP44" s="659">
        <f t="shared" ref="AP44:AP62" ca="1" si="30">AB44</f>
        <v>57404.82267496112</v>
      </c>
      <c r="AQ44" s="56"/>
      <c r="AR44" s="56"/>
      <c r="AS44" s="135"/>
      <c r="AT44" s="135"/>
      <c r="AU44" s="135"/>
      <c r="AV44" s="56"/>
      <c r="AW44" s="813" t="s">
        <v>865</v>
      </c>
      <c r="AX44" s="813" t="s">
        <v>120</v>
      </c>
      <c r="AY44" s="814">
        <f ca="1">AY38+AY26</f>
        <v>0</v>
      </c>
      <c r="AZ44" s="56"/>
      <c r="BA44" s="56"/>
      <c r="BB44" s="56"/>
      <c r="BC44" s="56"/>
      <c r="BD44" s="56"/>
      <c r="BE44" s="56"/>
      <c r="BF44" s="56"/>
      <c r="BG44" s="56"/>
      <c r="BH44" s="56"/>
      <c r="BI44" s="56"/>
      <c r="BJ44" s="56"/>
      <c r="BK44" s="56"/>
      <c r="BL44" s="56"/>
      <c r="BM44" s="56"/>
      <c r="BN44" s="56"/>
      <c r="BO44" s="135"/>
      <c r="BP44" s="135"/>
    </row>
    <row r="45" spans="1:80" ht="23.25" thickBot="1">
      <c r="A45" s="135"/>
      <c r="B45" s="807">
        <f>'Definition of Typical Day'!$G$13</f>
        <v>3</v>
      </c>
      <c r="C45" s="807" t="str">
        <f>'Definition of Typical Day'!$G$14</f>
        <v>Spring / fall weekend</v>
      </c>
      <c r="D45" s="659">
        <f t="shared" si="18"/>
        <v>50.710212545360292</v>
      </c>
      <c r="E45" s="659">
        <f t="shared" ca="1" si="18"/>
        <v>48</v>
      </c>
      <c r="F45" s="659">
        <f t="shared" ca="1" si="18"/>
        <v>48</v>
      </c>
      <c r="G45" s="659">
        <f ca="1">'Definition of Typical Year'!T18</f>
        <v>4.8933333333333335</v>
      </c>
      <c r="H45" s="659">
        <f ca="1">'Definition of Typical Year'!U18</f>
        <v>-4.1448326252672507E-17</v>
      </c>
      <c r="I45" s="135"/>
      <c r="J45" s="135"/>
      <c r="K45" s="135"/>
      <c r="M45" s="55">
        <f ca="1">'Definition of Typical Year'!AJ18</f>
        <v>309.32866666666661</v>
      </c>
      <c r="N45" s="55">
        <f ca="1">'Definition of Typical Year'!AK18</f>
        <v>-2.937857364789427E-15</v>
      </c>
      <c r="O45" s="55">
        <f ca="1">'Definition of Typical Year'!AL18</f>
        <v>0</v>
      </c>
      <c r="P45" s="55">
        <f ca="1">'Definition of Typical Year'!AM18</f>
        <v>96</v>
      </c>
      <c r="Q45" s="55">
        <f ca="1">'Definition of Typical Year'!AN18</f>
        <v>0</v>
      </c>
      <c r="R45" s="659">
        <f ca="1">'Definition of Typical Year'!AO18</f>
        <v>96</v>
      </c>
      <c r="S45" s="142"/>
      <c r="T45" s="142"/>
      <c r="U45" s="142"/>
      <c r="V45" s="142"/>
      <c r="W45" s="47"/>
      <c r="X45" s="47"/>
      <c r="Y45" s="47"/>
      <c r="Z45" s="659">
        <f t="shared" ca="1" si="29"/>
        <v>2434.090202177294</v>
      </c>
      <c r="AA45" s="659">
        <f t="shared" ca="1" si="29"/>
        <v>2434.090202177294</v>
      </c>
      <c r="AB45" s="659">
        <f t="shared" ca="1" si="19"/>
        <v>15686.122433039569</v>
      </c>
      <c r="AC45" s="659">
        <f t="shared" ca="1" si="20"/>
        <v>-1.4897937139642394E-13</v>
      </c>
      <c r="AD45" s="659">
        <f t="shared" ca="1" si="21"/>
        <v>0</v>
      </c>
      <c r="AE45" s="659">
        <f t="shared" ca="1" si="22"/>
        <v>4868.1804043545881</v>
      </c>
      <c r="AF45" s="659">
        <f t="shared" ca="1" si="23"/>
        <v>248.14197338862971</v>
      </c>
      <c r="AG45" s="659">
        <f t="shared" ca="1" si="24"/>
        <v>-2.1018534339224596E-15</v>
      </c>
      <c r="AH45" s="659">
        <f t="shared" ca="1" si="25"/>
        <v>0</v>
      </c>
      <c r="AI45" s="659">
        <f t="shared" ca="1" si="26"/>
        <v>4868.1804043545881</v>
      </c>
      <c r="AJ45" s="52"/>
      <c r="AK45" s="659">
        <f t="shared" ca="1" si="27"/>
        <v>4868.1804043545881</v>
      </c>
      <c r="AL45" s="135"/>
      <c r="AM45" s="135"/>
      <c r="AN45" s="135"/>
      <c r="AO45" s="659">
        <f t="shared" ca="1" si="28"/>
        <v>4868.1804043545881</v>
      </c>
      <c r="AP45" s="659">
        <f t="shared" ca="1" si="30"/>
        <v>15686.122433039569</v>
      </c>
      <c r="AQ45" s="56"/>
      <c r="AR45" s="56"/>
      <c r="AS45" s="850" t="s">
        <v>866</v>
      </c>
      <c r="AT45" s="850"/>
      <c r="AU45" s="850"/>
      <c r="AV45" s="128"/>
      <c r="AW45" s="654" t="s">
        <v>867</v>
      </c>
      <c r="AX45" s="654" t="s">
        <v>120</v>
      </c>
      <c r="AY45" s="855">
        <f ca="1">AY22+AY35+AY38+AY26</f>
        <v>963568.03206135775</v>
      </c>
      <c r="AZ45" s="56"/>
      <c r="BA45" s="56"/>
      <c r="BB45" s="56"/>
      <c r="BC45" s="56"/>
      <c r="BD45" s="56"/>
      <c r="BE45" s="56"/>
      <c r="BF45" s="56"/>
      <c r="BG45" s="56"/>
      <c r="BH45" s="56"/>
      <c r="BI45" s="56"/>
      <c r="BJ45" s="56"/>
      <c r="BK45" s="56"/>
      <c r="BL45" s="56"/>
      <c r="BM45" s="56"/>
      <c r="BN45" s="56"/>
      <c r="BO45" s="135"/>
      <c r="BP45" s="135"/>
    </row>
    <row r="46" spans="1:80" ht="15.75" thickBot="1">
      <c r="A46" s="135"/>
      <c r="B46" s="807">
        <f>'Definition of Typical Day'!$H$13</f>
        <v>4</v>
      </c>
      <c r="C46" s="807" t="str">
        <f>'Definition of Typical Day'!$H$14</f>
        <v>Summer weekday</v>
      </c>
      <c r="D46" s="659">
        <f t="shared" si="18"/>
        <v>64.333851736651113</v>
      </c>
      <c r="E46" s="659">
        <f t="shared" ca="1" si="18"/>
        <v>48</v>
      </c>
      <c r="F46" s="659">
        <f t="shared" ca="1" si="18"/>
        <v>36.413308566034196</v>
      </c>
      <c r="G46" s="659">
        <f ca="1">'Definition of Typical Year'!T19</f>
        <v>4.8551078088045596</v>
      </c>
      <c r="H46" s="659">
        <f ca="1">'Definition of Typical Year'!U19</f>
        <v>1.544892191195441</v>
      </c>
      <c r="I46" s="135"/>
      <c r="J46" s="135"/>
      <c r="K46" s="135"/>
      <c r="M46" s="55">
        <f ca="1">'Definition of Typical Year'!AJ19</f>
        <v>443.53942933155975</v>
      </c>
      <c r="N46" s="55">
        <f ca="1">'Definition of Typical Year'!AK19</f>
        <v>170.2285706684402</v>
      </c>
      <c r="O46" s="55">
        <f ca="1">'Definition of Typical Year'!AL19</f>
        <v>0</v>
      </c>
      <c r="P46" s="55">
        <f ca="1">'Definition of Typical Year'!AM19</f>
        <v>72.826617132068392</v>
      </c>
      <c r="Q46" s="55">
        <f ca="1">'Definition of Typical Year'!AN19</f>
        <v>0</v>
      </c>
      <c r="R46" s="659">
        <f ca="1">'Definition of Typical Year'!AO19</f>
        <v>96</v>
      </c>
      <c r="S46" s="142"/>
      <c r="T46" s="142"/>
      <c r="U46" s="142"/>
      <c r="V46" s="142"/>
      <c r="W46" s="47"/>
      <c r="X46" s="47"/>
      <c r="Y46" s="47"/>
      <c r="Z46" s="659">
        <f t="shared" ca="1" si="29"/>
        <v>3088.0248833592532</v>
      </c>
      <c r="AA46" s="659">
        <f t="shared" ca="1" si="29"/>
        <v>2342.6083945281721</v>
      </c>
      <c r="AB46" s="659">
        <f t="shared" ca="1" si="19"/>
        <v>28534.599885975407</v>
      </c>
      <c r="AC46" s="659">
        <f t="shared" ca="1" si="20"/>
        <v>10951.459626725467</v>
      </c>
      <c r="AD46" s="659">
        <f t="shared" ca="1" si="21"/>
        <v>0</v>
      </c>
      <c r="AE46" s="659">
        <f t="shared" ca="1" si="22"/>
        <v>4685.2167890563442</v>
      </c>
      <c r="AF46" s="659">
        <f t="shared" ca="1" si="23"/>
        <v>312.34778593708961</v>
      </c>
      <c r="AG46" s="659">
        <f t="shared" ca="1" si="24"/>
        <v>99.38886517747757</v>
      </c>
      <c r="AH46" s="659">
        <f t="shared" ca="1" si="25"/>
        <v>0</v>
      </c>
      <c r="AI46" s="659">
        <f t="shared" ca="1" si="26"/>
        <v>6176.0497667185064</v>
      </c>
      <c r="AJ46" s="52"/>
      <c r="AK46" s="659">
        <f t="shared" ca="1" si="27"/>
        <v>4685.2167890563442</v>
      </c>
      <c r="AL46" s="135"/>
      <c r="AM46" s="135"/>
      <c r="AN46" s="135"/>
      <c r="AO46" s="659">
        <f t="shared" ca="1" si="28"/>
        <v>6176.0497667185064</v>
      </c>
      <c r="AP46" s="659">
        <f t="shared" ca="1" si="30"/>
        <v>28534.599885975407</v>
      </c>
      <c r="AQ46" s="56"/>
      <c r="AR46" s="56"/>
      <c r="AS46" s="766" t="s">
        <v>868</v>
      </c>
      <c r="AT46" s="766"/>
      <c r="AU46" s="851">
        <f ca="1">IF(AU48=0,"Waste heat price is Zero",AP37/($AE$37+$AP$37))</f>
        <v>1</v>
      </c>
      <c r="AV46" s="56"/>
      <c r="AW46" s="818"/>
      <c r="AX46" s="818"/>
      <c r="AY46" s="818"/>
      <c r="AZ46" s="56"/>
      <c r="BA46" s="56"/>
      <c r="BB46" s="56"/>
      <c r="BC46" s="56"/>
      <c r="BD46" s="56"/>
      <c r="BE46" s="56"/>
      <c r="BF46" s="56"/>
      <c r="BG46" s="56"/>
      <c r="BH46" s="56"/>
      <c r="BI46" s="56"/>
      <c r="BJ46" s="56"/>
      <c r="BK46" s="56"/>
      <c r="BL46" s="56"/>
      <c r="BM46" s="56"/>
      <c r="BN46" s="56"/>
      <c r="BO46" s="135"/>
      <c r="BP46" s="135"/>
    </row>
    <row r="47" spans="1:80" ht="15.75" thickBot="1">
      <c r="A47" s="135"/>
      <c r="B47" s="807">
        <f>'Definition of Typical Day'!$I$13</f>
        <v>5</v>
      </c>
      <c r="C47" s="807" t="str">
        <f>'Definition of Typical Day'!$I$14</f>
        <v>Summer weekend</v>
      </c>
      <c r="D47" s="659">
        <f t="shared" si="18"/>
        <v>25.733540694660444</v>
      </c>
      <c r="E47" s="659">
        <f t="shared" ca="1" si="18"/>
        <v>48</v>
      </c>
      <c r="F47" s="659">
        <f t="shared" ca="1" si="18"/>
        <v>37.996495894992208</v>
      </c>
      <c r="G47" s="659">
        <f ca="1">'Definition of Typical Year'!T20</f>
        <v>5.0661994526656278</v>
      </c>
      <c r="H47" s="659">
        <f ca="1">'Definition of Typical Year'!U20</f>
        <v>1.3338005473343733</v>
      </c>
      <c r="I47" s="135"/>
      <c r="J47" s="135"/>
      <c r="K47" s="135"/>
      <c r="M47" s="55">
        <f ca="1">'Definition of Typical Year'!AJ20</f>
        <v>304.21261163393928</v>
      </c>
      <c r="N47" s="55">
        <f ca="1">'Definition of Typical Year'!AK20</f>
        <v>80.091388366060755</v>
      </c>
      <c r="O47" s="55">
        <f ca="1">'Definition of Typical Year'!AL20</f>
        <v>0</v>
      </c>
      <c r="P47" s="55">
        <f ca="1">'Definition of Typical Year'!AM20</f>
        <v>75.992991789984416</v>
      </c>
      <c r="Q47" s="55">
        <f ca="1">'Definition of Typical Year'!AN20</f>
        <v>0</v>
      </c>
      <c r="R47" s="659">
        <f ca="1">'Definition of Typical Year'!AO20</f>
        <v>96</v>
      </c>
      <c r="S47" s="142"/>
      <c r="T47" s="142"/>
      <c r="U47" s="142"/>
      <c r="V47" s="142"/>
      <c r="W47" s="47"/>
      <c r="X47" s="47"/>
      <c r="Y47" s="47"/>
      <c r="Z47" s="659">
        <f t="shared" ca="1" si="29"/>
        <v>1235.2099533437013</v>
      </c>
      <c r="AA47" s="659">
        <f t="shared" ca="1" si="29"/>
        <v>977.78437336828051</v>
      </c>
      <c r="AB47" s="659">
        <f t="shared" ca="1" si="19"/>
        <v>7828.4676213109096</v>
      </c>
      <c r="AC47" s="659">
        <f t="shared" ca="1" si="20"/>
        <v>2061.0350018098784</v>
      </c>
      <c r="AD47" s="659">
        <f t="shared" ca="1" si="21"/>
        <v>0</v>
      </c>
      <c r="AE47" s="659">
        <f t="shared" ca="1" si="22"/>
        <v>1955.568746736561</v>
      </c>
      <c r="AF47" s="659">
        <f t="shared" ca="1" si="23"/>
        <v>130.37124978243739</v>
      </c>
      <c r="AG47" s="659">
        <f t="shared" ca="1" si="24"/>
        <v>34.323410663389467</v>
      </c>
      <c r="AH47" s="659">
        <f t="shared" ca="1" si="25"/>
        <v>0</v>
      </c>
      <c r="AI47" s="659">
        <f t="shared" ca="1" si="26"/>
        <v>2470.4199066874025</v>
      </c>
      <c r="AJ47" s="52"/>
      <c r="AK47" s="659">
        <f t="shared" ca="1" si="27"/>
        <v>1955.568746736561</v>
      </c>
      <c r="AL47" s="135"/>
      <c r="AM47" s="135"/>
      <c r="AN47" s="135"/>
      <c r="AO47" s="659">
        <f t="shared" ca="1" si="28"/>
        <v>2470.4199066874025</v>
      </c>
      <c r="AP47" s="659">
        <f t="shared" ca="1" si="30"/>
        <v>7828.4676213109096</v>
      </c>
      <c r="AQ47" s="56"/>
      <c r="AR47" s="56"/>
      <c r="AS47" s="766" t="s">
        <v>869</v>
      </c>
      <c r="AT47" s="766"/>
      <c r="AU47" s="851">
        <f ca="1">IF(AU48=0,"Waste heat price is Zero",1-AP37/($AE$37+$AP$37))</f>
        <v>0</v>
      </c>
      <c r="AV47" s="56"/>
      <c r="AW47" s="815" t="s">
        <v>870</v>
      </c>
      <c r="AX47" s="815"/>
      <c r="AY47" s="815"/>
      <c r="AZ47" s="56"/>
      <c r="BA47" s="56"/>
      <c r="BB47" s="56"/>
      <c r="BC47" s="56"/>
      <c r="BD47" s="56"/>
      <c r="BE47" s="56"/>
      <c r="BF47" s="56"/>
      <c r="BG47" s="56"/>
      <c r="BH47" s="56"/>
      <c r="BI47" s="56"/>
      <c r="BJ47" s="56"/>
      <c r="BK47" s="56"/>
      <c r="BL47" s="56"/>
      <c r="BM47" s="56"/>
      <c r="BN47" s="56"/>
      <c r="BO47" s="135"/>
      <c r="BP47" s="135"/>
    </row>
    <row r="48" spans="1:80" ht="23.25" thickBot="1">
      <c r="A48" s="135"/>
      <c r="B48" s="807">
        <f>'Definition of Typical Day'!$J$13</f>
        <v>6</v>
      </c>
      <c r="C48" s="807" t="str">
        <f>'Definition of Typical Day'!$J$14</f>
        <v>Maintenance of HP</v>
      </c>
      <c r="D48" s="659">
        <f t="shared" si="18"/>
        <v>2.8382581648522551</v>
      </c>
      <c r="E48" s="659">
        <f t="shared" ca="1" si="18"/>
        <v>0</v>
      </c>
      <c r="F48" s="659">
        <f t="shared" ca="1" si="18"/>
        <v>0</v>
      </c>
      <c r="G48" s="659">
        <f ca="1">'Definition of Typical Year'!T21</f>
        <v>0</v>
      </c>
      <c r="H48" s="659">
        <f ca="1">'Definition of Typical Year'!U21</f>
        <v>0</v>
      </c>
      <c r="I48" s="135"/>
      <c r="J48" s="135"/>
      <c r="K48" s="135"/>
      <c r="M48" s="55">
        <f ca="1">'Definition of Typical Year'!AJ21</f>
        <v>0</v>
      </c>
      <c r="N48" s="55">
        <f ca="1">'Definition of Typical Year'!AK21</f>
        <v>0</v>
      </c>
      <c r="O48" s="55">
        <f ca="1">'Definition of Typical Year'!AL21</f>
        <v>0</v>
      </c>
      <c r="P48" s="55">
        <f ca="1">'Definition of Typical Year'!AM21</f>
        <v>0</v>
      </c>
      <c r="Q48" s="55">
        <f ca="1">'Definition of Typical Year'!AN21</f>
        <v>0</v>
      </c>
      <c r="R48" s="659">
        <f ca="1">'Definition of Typical Year'!AO21</f>
        <v>0</v>
      </c>
      <c r="S48" s="142"/>
      <c r="T48" s="142"/>
      <c r="U48" s="142"/>
      <c r="V48" s="142"/>
      <c r="W48" s="47"/>
      <c r="X48" s="47"/>
      <c r="Y48" s="47"/>
      <c r="Z48" s="659">
        <f t="shared" ca="1" si="29"/>
        <v>0</v>
      </c>
      <c r="AA48" s="659">
        <f t="shared" ca="1" si="29"/>
        <v>0</v>
      </c>
      <c r="AB48" s="659">
        <f t="shared" ca="1" si="19"/>
        <v>0</v>
      </c>
      <c r="AC48" s="659">
        <f t="shared" ca="1" si="20"/>
        <v>0</v>
      </c>
      <c r="AD48" s="659">
        <f t="shared" ca="1" si="21"/>
        <v>0</v>
      </c>
      <c r="AE48" s="659">
        <f t="shared" ca="1" si="22"/>
        <v>0</v>
      </c>
      <c r="AF48" s="659">
        <f t="shared" ca="1" si="23"/>
        <v>0</v>
      </c>
      <c r="AG48" s="659">
        <f t="shared" ca="1" si="24"/>
        <v>0</v>
      </c>
      <c r="AH48" s="659">
        <f t="shared" ca="1" si="25"/>
        <v>0</v>
      </c>
      <c r="AI48" s="659">
        <f t="shared" ca="1" si="26"/>
        <v>0</v>
      </c>
      <c r="AJ48" s="52"/>
      <c r="AK48" s="659">
        <f t="shared" ca="1" si="27"/>
        <v>0</v>
      </c>
      <c r="AL48" s="135"/>
      <c r="AM48" s="135"/>
      <c r="AN48" s="135"/>
      <c r="AO48" s="659">
        <f t="shared" ca="1" si="28"/>
        <v>0</v>
      </c>
      <c r="AP48" s="659">
        <f t="shared" ca="1" si="30"/>
        <v>0</v>
      </c>
      <c r="AQ48" s="56"/>
      <c r="AR48" s="56"/>
      <c r="AS48" s="807" t="s">
        <v>871</v>
      </c>
      <c r="AT48" s="807" t="s">
        <v>872</v>
      </c>
      <c r="AU48" s="852">
        <f ca="1">(AP37+AE37)/MAX(0.1,AB37)</f>
        <v>1.5182151583232826</v>
      </c>
      <c r="AV48" s="56"/>
      <c r="AW48" s="766" t="s">
        <v>873</v>
      </c>
      <c r="AX48" s="766" t="s">
        <v>120</v>
      </c>
      <c r="AY48" s="659">
        <f>'Project Setting'!F47*'Project Setting'!F14</f>
        <v>0</v>
      </c>
      <c r="AZ48" s="56"/>
      <c r="BA48" s="56"/>
      <c r="BB48" s="56"/>
      <c r="BC48" s="56"/>
      <c r="BD48" s="56"/>
      <c r="BE48" s="56"/>
      <c r="BF48" s="56"/>
      <c r="BG48" s="56"/>
      <c r="BH48" s="56"/>
      <c r="BI48" s="56"/>
      <c r="BJ48" s="56"/>
      <c r="BK48" s="56"/>
      <c r="BL48" s="56"/>
      <c r="BM48" s="56"/>
      <c r="BN48" s="56"/>
      <c r="BO48" s="135"/>
      <c r="BP48" s="135"/>
    </row>
    <row r="49" spans="1:68" ht="23.25" thickBot="1">
      <c r="A49" s="135"/>
      <c r="B49" s="807">
        <f>'Definition of Typical Day'!$K$13</f>
        <v>7</v>
      </c>
      <c r="C49" s="807">
        <f>'Definition of Typical Day'!$K$14</f>
        <v>7</v>
      </c>
      <c r="D49" s="659">
        <f t="shared" si="18"/>
        <v>0</v>
      </c>
      <c r="E49" s="659">
        <f t="shared" ca="1" si="18"/>
        <v>0</v>
      </c>
      <c r="F49" s="659">
        <f t="shared" ca="1" si="18"/>
        <v>0</v>
      </c>
      <c r="G49" s="659">
        <f ca="1">'Definition of Typical Year'!T22</f>
        <v>0</v>
      </c>
      <c r="H49" s="659">
        <f ca="1">'Definition of Typical Year'!U22</f>
        <v>0</v>
      </c>
      <c r="I49" s="135"/>
      <c r="J49" s="135"/>
      <c r="K49" s="135"/>
      <c r="M49" s="55">
        <f ca="1">'Definition of Typical Year'!AJ22</f>
        <v>0</v>
      </c>
      <c r="N49" s="55">
        <f ca="1">'Definition of Typical Year'!AK22</f>
        <v>0</v>
      </c>
      <c r="O49" s="55">
        <f ca="1">'Definition of Typical Year'!AL22</f>
        <v>0</v>
      </c>
      <c r="P49" s="55">
        <f ca="1">'Definition of Typical Year'!AM22</f>
        <v>0</v>
      </c>
      <c r="Q49" s="55">
        <f ca="1">'Definition of Typical Year'!AN22</f>
        <v>0</v>
      </c>
      <c r="R49" s="659">
        <f ca="1">'Definition of Typical Year'!AO22</f>
        <v>0</v>
      </c>
      <c r="S49" s="142"/>
      <c r="T49" s="142"/>
      <c r="U49" s="142"/>
      <c r="V49" s="142"/>
      <c r="W49" s="47"/>
      <c r="X49" s="47"/>
      <c r="Y49" s="47"/>
      <c r="Z49" s="659">
        <f t="shared" ca="1" si="29"/>
        <v>0</v>
      </c>
      <c r="AA49" s="659">
        <f t="shared" ca="1" si="29"/>
        <v>0</v>
      </c>
      <c r="AB49" s="659">
        <f t="shared" ca="1" si="19"/>
        <v>0</v>
      </c>
      <c r="AC49" s="659">
        <f t="shared" ca="1" si="20"/>
        <v>0</v>
      </c>
      <c r="AD49" s="659">
        <f t="shared" ca="1" si="21"/>
        <v>0</v>
      </c>
      <c r="AE49" s="659">
        <f t="shared" ca="1" si="22"/>
        <v>0</v>
      </c>
      <c r="AF49" s="659">
        <f t="shared" ca="1" si="23"/>
        <v>0</v>
      </c>
      <c r="AG49" s="659">
        <f t="shared" ca="1" si="24"/>
        <v>0</v>
      </c>
      <c r="AH49" s="659">
        <f t="shared" ca="1" si="25"/>
        <v>0</v>
      </c>
      <c r="AI49" s="659">
        <f t="shared" ca="1" si="26"/>
        <v>0</v>
      </c>
      <c r="AJ49" s="52"/>
      <c r="AK49" s="659">
        <f t="shared" ca="1" si="27"/>
        <v>0</v>
      </c>
      <c r="AL49" s="135"/>
      <c r="AM49" s="135"/>
      <c r="AN49" s="135"/>
      <c r="AO49" s="659">
        <f t="shared" ca="1" si="28"/>
        <v>0</v>
      </c>
      <c r="AP49" s="659">
        <f t="shared" ca="1" si="30"/>
        <v>0</v>
      </c>
      <c r="AQ49" s="56"/>
      <c r="AR49" s="56"/>
      <c r="AS49" s="807" t="s">
        <v>874</v>
      </c>
      <c r="AT49" s="807" t="s">
        <v>875</v>
      </c>
      <c r="AU49" s="852">
        <f ca="1">(AP37+AE37)/MAX(0.1,AA37)</f>
        <v>2.1224402505563247</v>
      </c>
      <c r="AV49" s="135"/>
      <c r="AW49" s="766" t="s">
        <v>876</v>
      </c>
      <c r="AX49" s="766" t="s">
        <v>120</v>
      </c>
      <c r="AY49" s="659">
        <f ca="1">AO37</f>
        <v>0</v>
      </c>
      <c r="AZ49" s="135"/>
      <c r="BA49" s="135"/>
      <c r="BB49" s="135"/>
      <c r="BC49" s="135"/>
      <c r="BD49" s="135"/>
      <c r="BE49" s="135"/>
      <c r="BF49" s="135"/>
      <c r="BG49" s="135"/>
      <c r="BH49" s="135"/>
      <c r="BI49" s="135"/>
      <c r="BJ49" s="135"/>
      <c r="BK49" s="135"/>
      <c r="BL49" s="135"/>
      <c r="BM49" s="135"/>
      <c r="BN49" s="135"/>
      <c r="BO49" s="135"/>
      <c r="BP49" s="135"/>
    </row>
    <row r="50" spans="1:68" ht="23.25" thickBot="1">
      <c r="A50" s="135"/>
      <c r="B50" s="807">
        <f>'Definition of Typical Day'!$L$13</f>
        <v>8</v>
      </c>
      <c r="C50" s="807">
        <f>'Definition of Typical Day'!$L$14</f>
        <v>8</v>
      </c>
      <c r="D50" s="659">
        <f t="shared" si="18"/>
        <v>0</v>
      </c>
      <c r="E50" s="659">
        <f t="shared" ca="1" si="18"/>
        <v>0</v>
      </c>
      <c r="F50" s="659">
        <f t="shared" ca="1" si="18"/>
        <v>0</v>
      </c>
      <c r="G50" s="659">
        <f ca="1">'Definition of Typical Year'!T23</f>
        <v>0</v>
      </c>
      <c r="H50" s="659">
        <f ca="1">'Definition of Typical Year'!U23</f>
        <v>0</v>
      </c>
      <c r="I50" s="135"/>
      <c r="J50" s="135"/>
      <c r="K50" s="135"/>
      <c r="M50" s="55">
        <f ca="1">'Definition of Typical Year'!AJ23</f>
        <v>0</v>
      </c>
      <c r="N50" s="55">
        <f ca="1">'Definition of Typical Year'!AK23</f>
        <v>0</v>
      </c>
      <c r="O50" s="55">
        <f ca="1">'Definition of Typical Year'!AL23</f>
        <v>0</v>
      </c>
      <c r="P50" s="55">
        <f ca="1">'Definition of Typical Year'!AM23</f>
        <v>0</v>
      </c>
      <c r="Q50" s="55">
        <f ca="1">'Definition of Typical Year'!AN23</f>
        <v>0</v>
      </c>
      <c r="R50" s="659">
        <f ca="1">'Definition of Typical Year'!AO23</f>
        <v>0</v>
      </c>
      <c r="S50" s="142"/>
      <c r="T50" s="142"/>
      <c r="U50" s="142"/>
      <c r="V50" s="142"/>
      <c r="W50" s="47"/>
      <c r="X50" s="47"/>
      <c r="Y50" s="47"/>
      <c r="Z50" s="659">
        <f t="shared" ca="1" si="29"/>
        <v>0</v>
      </c>
      <c r="AA50" s="659">
        <f t="shared" ca="1" si="29"/>
        <v>0</v>
      </c>
      <c r="AB50" s="659">
        <f t="shared" ca="1" si="19"/>
        <v>0</v>
      </c>
      <c r="AC50" s="659">
        <f t="shared" ca="1" si="20"/>
        <v>0</v>
      </c>
      <c r="AD50" s="659">
        <f t="shared" ca="1" si="21"/>
        <v>0</v>
      </c>
      <c r="AE50" s="659">
        <f t="shared" ca="1" si="22"/>
        <v>0</v>
      </c>
      <c r="AF50" s="659">
        <f t="shared" ca="1" si="23"/>
        <v>0</v>
      </c>
      <c r="AG50" s="659">
        <f t="shared" ca="1" si="24"/>
        <v>0</v>
      </c>
      <c r="AH50" s="659">
        <f t="shared" ca="1" si="25"/>
        <v>0</v>
      </c>
      <c r="AI50" s="659">
        <f t="shared" ca="1" si="26"/>
        <v>0</v>
      </c>
      <c r="AJ50" s="52"/>
      <c r="AK50" s="659">
        <f t="shared" ca="1" si="27"/>
        <v>0</v>
      </c>
      <c r="AL50" s="135"/>
      <c r="AM50" s="135"/>
      <c r="AN50" s="135"/>
      <c r="AO50" s="659">
        <f t="shared" ca="1" si="28"/>
        <v>0</v>
      </c>
      <c r="AP50" s="659">
        <f t="shared" ca="1" si="30"/>
        <v>0</v>
      </c>
      <c r="AQ50" s="56"/>
      <c r="AR50" s="56"/>
      <c r="AS50" s="807" t="s">
        <v>877</v>
      </c>
      <c r="AT50" s="807" t="s">
        <v>878</v>
      </c>
      <c r="AU50" s="852">
        <f ca="1">(AP37+AE37)/MAX(0.1,Z37)</f>
        <v>2</v>
      </c>
      <c r="AV50" s="135"/>
      <c r="AW50" s="813" t="s">
        <v>879</v>
      </c>
      <c r="AX50" s="813" t="s">
        <v>120</v>
      </c>
      <c r="AY50" s="814">
        <f ca="1">SUM(AY48:AY49)</f>
        <v>0</v>
      </c>
      <c r="AZ50" s="135"/>
      <c r="BA50" s="135"/>
      <c r="BB50" s="135"/>
      <c r="BC50" s="135"/>
      <c r="BD50" s="135"/>
      <c r="BE50" s="135"/>
      <c r="BF50" s="135"/>
      <c r="BG50" s="135"/>
      <c r="BH50" s="135"/>
      <c r="BI50" s="135"/>
      <c r="BJ50" s="135"/>
      <c r="BK50" s="135"/>
      <c r="BL50" s="135"/>
      <c r="BM50" s="135"/>
      <c r="BN50" s="135"/>
      <c r="BO50" s="135"/>
      <c r="BP50" s="135"/>
    </row>
    <row r="51" spans="1:68" ht="15.75" thickBot="1">
      <c r="A51" s="135"/>
      <c r="B51" s="807">
        <f>'Definition of Typical Day'!$M$13</f>
        <v>9</v>
      </c>
      <c r="C51" s="807">
        <f>'Definition of Typical Day'!$M$14</f>
        <v>9</v>
      </c>
      <c r="D51" s="659">
        <f t="shared" si="18"/>
        <v>0</v>
      </c>
      <c r="E51" s="659">
        <f t="shared" ca="1" si="18"/>
        <v>0</v>
      </c>
      <c r="F51" s="659">
        <f t="shared" ca="1" si="18"/>
        <v>0</v>
      </c>
      <c r="G51" s="659">
        <f ca="1">'Definition of Typical Year'!T24</f>
        <v>0</v>
      </c>
      <c r="H51" s="659">
        <f ca="1">'Definition of Typical Year'!U24</f>
        <v>0</v>
      </c>
      <c r="I51" s="135"/>
      <c r="J51" s="135"/>
      <c r="K51" s="135"/>
      <c r="M51" s="55">
        <f ca="1">'Definition of Typical Year'!AJ24</f>
        <v>0</v>
      </c>
      <c r="N51" s="55">
        <f ca="1">'Definition of Typical Year'!AK24</f>
        <v>0</v>
      </c>
      <c r="O51" s="55">
        <f ca="1">'Definition of Typical Year'!AL24</f>
        <v>0</v>
      </c>
      <c r="P51" s="55">
        <f ca="1">'Definition of Typical Year'!AM24</f>
        <v>0</v>
      </c>
      <c r="Q51" s="55">
        <f ca="1">'Definition of Typical Year'!AN24</f>
        <v>0</v>
      </c>
      <c r="R51" s="659">
        <f ca="1">'Definition of Typical Year'!AO24</f>
        <v>0</v>
      </c>
      <c r="S51" s="142"/>
      <c r="T51" s="142"/>
      <c r="U51" s="142"/>
      <c r="V51" s="142"/>
      <c r="W51" s="47"/>
      <c r="X51" s="47"/>
      <c r="Y51" s="47"/>
      <c r="Z51" s="659">
        <f t="shared" ca="1" si="29"/>
        <v>0</v>
      </c>
      <c r="AA51" s="659">
        <f t="shared" ca="1" si="29"/>
        <v>0</v>
      </c>
      <c r="AB51" s="659">
        <f t="shared" ca="1" si="19"/>
        <v>0</v>
      </c>
      <c r="AC51" s="659">
        <f t="shared" ca="1" si="20"/>
        <v>0</v>
      </c>
      <c r="AD51" s="659">
        <f t="shared" ca="1" si="21"/>
        <v>0</v>
      </c>
      <c r="AE51" s="659">
        <f t="shared" ca="1" si="22"/>
        <v>0</v>
      </c>
      <c r="AF51" s="659">
        <f t="shared" ca="1" si="23"/>
        <v>0</v>
      </c>
      <c r="AG51" s="659">
        <f t="shared" ca="1" si="24"/>
        <v>0</v>
      </c>
      <c r="AH51" s="659">
        <f t="shared" ca="1" si="25"/>
        <v>0</v>
      </c>
      <c r="AI51" s="659">
        <f t="shared" ca="1" si="26"/>
        <v>0</v>
      </c>
      <c r="AJ51" s="52"/>
      <c r="AK51" s="659">
        <f t="shared" ca="1" si="27"/>
        <v>0</v>
      </c>
      <c r="AL51" s="135"/>
      <c r="AM51" s="135"/>
      <c r="AN51" s="135"/>
      <c r="AO51" s="659">
        <f t="shared" ca="1" si="28"/>
        <v>0</v>
      </c>
      <c r="AP51" s="659">
        <f t="shared" ca="1" si="30"/>
        <v>0</v>
      </c>
      <c r="AQ51" s="56"/>
      <c r="AR51" s="56"/>
      <c r="AS51" s="135"/>
      <c r="AT51" s="135"/>
      <c r="AU51" s="135"/>
      <c r="AV51" s="135"/>
      <c r="AW51" s="815" t="s">
        <v>880</v>
      </c>
      <c r="AX51" s="815"/>
      <c r="AY51" s="815"/>
      <c r="AZ51" s="135"/>
      <c r="BA51" s="135"/>
      <c r="BB51" s="135"/>
      <c r="BC51" s="135"/>
      <c r="BD51" s="135"/>
      <c r="BE51" s="135"/>
      <c r="BF51" s="135"/>
      <c r="BG51" s="135"/>
      <c r="BH51" s="135"/>
      <c r="BI51" s="135"/>
      <c r="BJ51" s="135"/>
      <c r="BK51" s="135"/>
      <c r="BL51" s="135"/>
      <c r="BM51" s="135"/>
      <c r="BN51" s="135"/>
      <c r="BO51" s="135"/>
      <c r="BP51" s="135"/>
    </row>
    <row r="52" spans="1:68" ht="15.75" thickBot="1">
      <c r="A52" s="135"/>
      <c r="B52" s="807">
        <f>'Definition of Typical Day'!$N$13</f>
        <v>10</v>
      </c>
      <c r="C52" s="807">
        <f>'Definition of Typical Day'!$N$14</f>
        <v>10</v>
      </c>
      <c r="D52" s="659">
        <f t="shared" si="18"/>
        <v>0</v>
      </c>
      <c r="E52" s="659">
        <f t="shared" ca="1" si="18"/>
        <v>0</v>
      </c>
      <c r="F52" s="659">
        <f t="shared" ca="1" si="18"/>
        <v>0</v>
      </c>
      <c r="G52" s="659">
        <f ca="1">'Definition of Typical Year'!T25</f>
        <v>0</v>
      </c>
      <c r="H52" s="659">
        <f ca="1">'Definition of Typical Year'!U25</f>
        <v>0</v>
      </c>
      <c r="I52" s="135"/>
      <c r="J52" s="135"/>
      <c r="K52" s="135"/>
      <c r="M52" s="55">
        <f ca="1">'Definition of Typical Year'!AJ25</f>
        <v>0</v>
      </c>
      <c r="N52" s="55">
        <f ca="1">'Definition of Typical Year'!AK25</f>
        <v>0</v>
      </c>
      <c r="O52" s="55">
        <f ca="1">'Definition of Typical Year'!AL25</f>
        <v>0</v>
      </c>
      <c r="P52" s="55">
        <f ca="1">'Definition of Typical Year'!AM25</f>
        <v>0</v>
      </c>
      <c r="Q52" s="55">
        <f ca="1">'Definition of Typical Year'!AN25</f>
        <v>0</v>
      </c>
      <c r="R52" s="659">
        <f ca="1">'Definition of Typical Year'!AO25</f>
        <v>0</v>
      </c>
      <c r="S52" s="142"/>
      <c r="T52" s="142"/>
      <c r="U52" s="142"/>
      <c r="V52" s="142"/>
      <c r="W52" s="47"/>
      <c r="X52" s="47"/>
      <c r="Y52" s="47"/>
      <c r="Z52" s="659">
        <f t="shared" ca="1" si="29"/>
        <v>0</v>
      </c>
      <c r="AA52" s="659">
        <f t="shared" ca="1" si="29"/>
        <v>0</v>
      </c>
      <c r="AB52" s="659">
        <f t="shared" ca="1" si="19"/>
        <v>0</v>
      </c>
      <c r="AC52" s="659">
        <f t="shared" ca="1" si="20"/>
        <v>0</v>
      </c>
      <c r="AD52" s="659">
        <f t="shared" ca="1" si="21"/>
        <v>0</v>
      </c>
      <c r="AE52" s="659">
        <f t="shared" ca="1" si="22"/>
        <v>0</v>
      </c>
      <c r="AF52" s="659">
        <f t="shared" ca="1" si="23"/>
        <v>0</v>
      </c>
      <c r="AG52" s="659">
        <f t="shared" ca="1" si="24"/>
        <v>0</v>
      </c>
      <c r="AH52" s="659">
        <f t="shared" ca="1" si="25"/>
        <v>0</v>
      </c>
      <c r="AI52" s="659">
        <f t="shared" ca="1" si="26"/>
        <v>0</v>
      </c>
      <c r="AJ52" s="52"/>
      <c r="AK52" s="659">
        <f t="shared" ca="1" si="27"/>
        <v>0</v>
      </c>
      <c r="AL52" s="135"/>
      <c r="AM52" s="135"/>
      <c r="AN52" s="135"/>
      <c r="AO52" s="659">
        <f t="shared" ca="1" si="28"/>
        <v>0</v>
      </c>
      <c r="AP52" s="659">
        <f t="shared" ca="1" si="30"/>
        <v>0</v>
      </c>
      <c r="AQ52" s="56"/>
      <c r="AR52" s="56"/>
      <c r="AS52" s="135"/>
      <c r="AT52" s="135"/>
      <c r="AU52" s="135"/>
      <c r="AV52" s="135"/>
      <c r="AW52" s="766" t="s">
        <v>881</v>
      </c>
      <c r="AX52" s="766" t="s">
        <v>120</v>
      </c>
      <c r="AY52" s="659">
        <f ca="1">AN37</f>
        <v>1337630.819731378</v>
      </c>
      <c r="AZ52" s="135"/>
      <c r="BA52" s="135"/>
      <c r="BB52" s="135"/>
      <c r="BC52" s="135"/>
      <c r="BD52" s="135"/>
      <c r="BE52" s="135"/>
      <c r="BF52" s="135"/>
      <c r="BG52" s="135"/>
      <c r="BH52" s="135"/>
      <c r="BI52" s="135"/>
      <c r="BJ52" s="135"/>
      <c r="BK52" s="135"/>
      <c r="BL52" s="135"/>
      <c r="BM52" s="135"/>
      <c r="BN52" s="135"/>
      <c r="BO52" s="135"/>
      <c r="BP52" s="135"/>
    </row>
    <row r="53" spans="1:68" ht="15.75" thickBot="1">
      <c r="A53" s="135"/>
      <c r="B53" s="807">
        <f>'Definition of Typical Day'!$O$13</f>
        <v>11</v>
      </c>
      <c r="C53" s="807">
        <f>'Definition of Typical Day'!$O$14</f>
        <v>11</v>
      </c>
      <c r="D53" s="659">
        <f t="shared" si="18"/>
        <v>0</v>
      </c>
      <c r="E53" s="659">
        <f t="shared" ca="1" si="18"/>
        <v>0</v>
      </c>
      <c r="F53" s="659">
        <f t="shared" ca="1" si="18"/>
        <v>0</v>
      </c>
      <c r="G53" s="659">
        <f ca="1">'Definition of Typical Year'!T26</f>
        <v>0</v>
      </c>
      <c r="H53" s="659">
        <f ca="1">'Definition of Typical Year'!U26</f>
        <v>0</v>
      </c>
      <c r="I53" s="135"/>
      <c r="J53" s="135"/>
      <c r="K53" s="135"/>
      <c r="M53" s="55">
        <f ca="1">'Definition of Typical Year'!AJ26</f>
        <v>0</v>
      </c>
      <c r="N53" s="55">
        <f ca="1">'Definition of Typical Year'!AK26</f>
        <v>0</v>
      </c>
      <c r="O53" s="55">
        <f ca="1">'Definition of Typical Year'!AL26</f>
        <v>0</v>
      </c>
      <c r="P53" s="55">
        <f ca="1">'Definition of Typical Year'!AM26</f>
        <v>0</v>
      </c>
      <c r="Q53" s="55">
        <f ca="1">'Definition of Typical Year'!AN26</f>
        <v>0</v>
      </c>
      <c r="R53" s="659">
        <f ca="1">'Definition of Typical Year'!AO26</f>
        <v>0</v>
      </c>
      <c r="S53" s="142"/>
      <c r="T53" s="142"/>
      <c r="U53" s="142"/>
      <c r="V53" s="142"/>
      <c r="W53" s="47"/>
      <c r="X53" s="47"/>
      <c r="Y53" s="47"/>
      <c r="Z53" s="659">
        <f t="shared" ca="1" si="29"/>
        <v>0</v>
      </c>
      <c r="AA53" s="659">
        <f t="shared" ca="1" si="29"/>
        <v>0</v>
      </c>
      <c r="AB53" s="659">
        <f t="shared" ca="1" si="19"/>
        <v>0</v>
      </c>
      <c r="AC53" s="659">
        <f t="shared" ca="1" si="20"/>
        <v>0</v>
      </c>
      <c r="AD53" s="659">
        <f t="shared" ca="1" si="21"/>
        <v>0</v>
      </c>
      <c r="AE53" s="659">
        <f t="shared" ca="1" si="22"/>
        <v>0</v>
      </c>
      <c r="AF53" s="659">
        <f t="shared" ca="1" si="23"/>
        <v>0</v>
      </c>
      <c r="AG53" s="659">
        <f t="shared" ca="1" si="24"/>
        <v>0</v>
      </c>
      <c r="AH53" s="659">
        <f t="shared" ca="1" si="25"/>
        <v>0</v>
      </c>
      <c r="AI53" s="659">
        <f t="shared" ca="1" si="26"/>
        <v>0</v>
      </c>
      <c r="AJ53" s="52"/>
      <c r="AK53" s="659">
        <f t="shared" ca="1" si="27"/>
        <v>0</v>
      </c>
      <c r="AL53" s="135"/>
      <c r="AM53" s="135"/>
      <c r="AN53" s="135"/>
      <c r="AO53" s="659">
        <f t="shared" ca="1" si="28"/>
        <v>0</v>
      </c>
      <c r="AP53" s="659">
        <f t="shared" ca="1" si="30"/>
        <v>0</v>
      </c>
      <c r="AQ53" s="56"/>
      <c r="AR53" s="56"/>
      <c r="AS53" s="135"/>
      <c r="AT53" s="135"/>
      <c r="AU53" s="135"/>
      <c r="AV53" s="135"/>
      <c r="AW53" s="818"/>
      <c r="AX53" s="818"/>
      <c r="AY53" s="818"/>
      <c r="AZ53" s="135"/>
      <c r="BA53" s="135"/>
      <c r="BB53" s="135"/>
      <c r="BC53" s="135"/>
      <c r="BD53" s="135"/>
      <c r="BE53" s="135"/>
      <c r="BF53" s="135"/>
      <c r="BG53" s="135"/>
      <c r="BH53" s="135"/>
      <c r="BI53" s="135"/>
      <c r="BJ53" s="135"/>
      <c r="BK53" s="135"/>
      <c r="BL53" s="135"/>
      <c r="BM53" s="135"/>
      <c r="BN53" s="135"/>
      <c r="BO53" s="135"/>
      <c r="BP53" s="135"/>
    </row>
    <row r="54" spans="1:68" ht="15.75" thickBot="1">
      <c r="A54" s="135"/>
      <c r="B54" s="807">
        <f>'Definition of Typical Day'!$P$13</f>
        <v>12</v>
      </c>
      <c r="C54" s="807">
        <f>'Definition of Typical Day'!$P$14</f>
        <v>12</v>
      </c>
      <c r="D54" s="659">
        <f t="shared" si="18"/>
        <v>0</v>
      </c>
      <c r="E54" s="659">
        <f t="shared" ca="1" si="18"/>
        <v>0</v>
      </c>
      <c r="F54" s="659">
        <f t="shared" ca="1" si="18"/>
        <v>0</v>
      </c>
      <c r="G54" s="659">
        <f ca="1">'Definition of Typical Year'!T27</f>
        <v>0</v>
      </c>
      <c r="H54" s="659">
        <f ca="1">'Definition of Typical Year'!U27</f>
        <v>0</v>
      </c>
      <c r="I54" s="135"/>
      <c r="J54" s="135"/>
      <c r="K54" s="135"/>
      <c r="M54" s="55">
        <f ca="1">'Definition of Typical Year'!AJ27</f>
        <v>0</v>
      </c>
      <c r="N54" s="55">
        <f ca="1">'Definition of Typical Year'!AK27</f>
        <v>0</v>
      </c>
      <c r="O54" s="55">
        <f ca="1">'Definition of Typical Year'!AL27</f>
        <v>0</v>
      </c>
      <c r="P54" s="55">
        <f ca="1">'Definition of Typical Year'!AM27</f>
        <v>0</v>
      </c>
      <c r="Q54" s="55">
        <f ca="1">'Definition of Typical Year'!AN27</f>
        <v>0</v>
      </c>
      <c r="R54" s="659">
        <f ca="1">'Definition of Typical Year'!AO27</f>
        <v>0</v>
      </c>
      <c r="S54" s="142"/>
      <c r="T54" s="142"/>
      <c r="U54" s="142"/>
      <c r="V54" s="142"/>
      <c r="W54" s="47"/>
      <c r="X54" s="47"/>
      <c r="Y54" s="47"/>
      <c r="Z54" s="659">
        <f t="shared" ca="1" si="29"/>
        <v>0</v>
      </c>
      <c r="AA54" s="659">
        <f t="shared" ca="1" si="29"/>
        <v>0</v>
      </c>
      <c r="AB54" s="659">
        <f t="shared" ca="1" si="19"/>
        <v>0</v>
      </c>
      <c r="AC54" s="659">
        <f t="shared" ca="1" si="20"/>
        <v>0</v>
      </c>
      <c r="AD54" s="659">
        <f t="shared" ca="1" si="21"/>
        <v>0</v>
      </c>
      <c r="AE54" s="659">
        <f t="shared" ca="1" si="22"/>
        <v>0</v>
      </c>
      <c r="AF54" s="659">
        <f t="shared" ca="1" si="23"/>
        <v>0</v>
      </c>
      <c r="AG54" s="659">
        <f t="shared" ca="1" si="24"/>
        <v>0</v>
      </c>
      <c r="AH54" s="659">
        <f t="shared" ca="1" si="25"/>
        <v>0</v>
      </c>
      <c r="AI54" s="659">
        <f t="shared" ca="1" si="26"/>
        <v>0</v>
      </c>
      <c r="AJ54" s="52"/>
      <c r="AK54" s="659">
        <f t="shared" ca="1" si="27"/>
        <v>0</v>
      </c>
      <c r="AL54" s="135"/>
      <c r="AM54" s="135"/>
      <c r="AN54" s="135"/>
      <c r="AO54" s="659">
        <f t="shared" ca="1" si="28"/>
        <v>0</v>
      </c>
      <c r="AP54" s="659">
        <f t="shared" ca="1" si="30"/>
        <v>0</v>
      </c>
      <c r="AQ54" s="56"/>
      <c r="AR54" s="56"/>
      <c r="AS54" s="135"/>
      <c r="AT54" s="135"/>
      <c r="AU54" s="135"/>
      <c r="AV54" s="135"/>
      <c r="AW54" s="813" t="s">
        <v>864</v>
      </c>
      <c r="AX54" s="813" t="s">
        <v>120</v>
      </c>
      <c r="AY54" s="814">
        <f ca="1">AY52+AY50</f>
        <v>1337630.819731378</v>
      </c>
      <c r="AZ54" s="135"/>
      <c r="BA54" s="135"/>
      <c r="BB54" s="135"/>
      <c r="BC54" s="135"/>
      <c r="BD54" s="135"/>
      <c r="BE54" s="135"/>
      <c r="BF54" s="135"/>
      <c r="BG54" s="135"/>
      <c r="BH54" s="135"/>
      <c r="BI54" s="135"/>
      <c r="BJ54" s="135"/>
      <c r="BK54" s="135"/>
      <c r="BL54" s="135"/>
      <c r="BM54" s="135"/>
      <c r="BN54" s="135"/>
      <c r="BO54" s="135"/>
      <c r="BP54" s="135"/>
    </row>
    <row r="55" spans="1:68" ht="15.75" thickBot="1">
      <c r="A55" s="135"/>
      <c r="B55" s="807">
        <f>'Definition of Typical Day'!$Q$13</f>
        <v>13</v>
      </c>
      <c r="C55" s="807">
        <f>'Definition of Typical Day'!$Q$14</f>
        <v>13</v>
      </c>
      <c r="D55" s="659">
        <f t="shared" si="18"/>
        <v>0</v>
      </c>
      <c r="E55" s="659">
        <f t="shared" ca="1" si="18"/>
        <v>0</v>
      </c>
      <c r="F55" s="659">
        <f t="shared" ca="1" si="18"/>
        <v>0</v>
      </c>
      <c r="G55" s="659">
        <f ca="1">'Definition of Typical Year'!T28</f>
        <v>0</v>
      </c>
      <c r="H55" s="659">
        <f ca="1">'Definition of Typical Year'!U28</f>
        <v>0</v>
      </c>
      <c r="I55" s="135"/>
      <c r="J55" s="135"/>
      <c r="K55" s="135"/>
      <c r="M55" s="55">
        <f ca="1">'Definition of Typical Year'!AJ28</f>
        <v>0</v>
      </c>
      <c r="N55" s="55">
        <f ca="1">'Definition of Typical Year'!AK28</f>
        <v>0</v>
      </c>
      <c r="O55" s="55">
        <f ca="1">'Definition of Typical Year'!AL28</f>
        <v>0</v>
      </c>
      <c r="P55" s="55">
        <f ca="1">'Definition of Typical Year'!AM28</f>
        <v>0</v>
      </c>
      <c r="Q55" s="55">
        <f ca="1">'Definition of Typical Year'!AN28</f>
        <v>0</v>
      </c>
      <c r="R55" s="659">
        <f ca="1">'Definition of Typical Year'!AO28</f>
        <v>0</v>
      </c>
      <c r="S55" s="142"/>
      <c r="T55" s="142"/>
      <c r="U55" s="142"/>
      <c r="V55" s="142"/>
      <c r="W55" s="47"/>
      <c r="X55" s="47"/>
      <c r="Y55" s="47"/>
      <c r="Z55" s="659">
        <f t="shared" ca="1" si="29"/>
        <v>0</v>
      </c>
      <c r="AA55" s="659">
        <f t="shared" ca="1" si="29"/>
        <v>0</v>
      </c>
      <c r="AB55" s="659">
        <f t="shared" ca="1" si="19"/>
        <v>0</v>
      </c>
      <c r="AC55" s="659">
        <f t="shared" ca="1" si="20"/>
        <v>0</v>
      </c>
      <c r="AD55" s="659">
        <f t="shared" ca="1" si="21"/>
        <v>0</v>
      </c>
      <c r="AE55" s="659">
        <f t="shared" ca="1" si="22"/>
        <v>0</v>
      </c>
      <c r="AF55" s="659">
        <f t="shared" ca="1" si="23"/>
        <v>0</v>
      </c>
      <c r="AG55" s="659">
        <f t="shared" ca="1" si="24"/>
        <v>0</v>
      </c>
      <c r="AH55" s="659">
        <f t="shared" ca="1" si="25"/>
        <v>0</v>
      </c>
      <c r="AI55" s="659">
        <f t="shared" ca="1" si="26"/>
        <v>0</v>
      </c>
      <c r="AJ55" s="52"/>
      <c r="AK55" s="659">
        <f t="shared" ca="1" si="27"/>
        <v>0</v>
      </c>
      <c r="AL55" s="135"/>
      <c r="AM55" s="135"/>
      <c r="AN55" s="135"/>
      <c r="AO55" s="659">
        <f t="shared" ca="1" si="28"/>
        <v>0</v>
      </c>
      <c r="AP55" s="659">
        <f t="shared" ca="1" si="30"/>
        <v>0</v>
      </c>
      <c r="AQ55" s="56"/>
      <c r="AR55" s="56"/>
      <c r="AS55" s="135"/>
      <c r="AT55" s="135"/>
      <c r="AU55" s="135"/>
      <c r="AV55" s="135"/>
      <c r="AZ55" s="135"/>
      <c r="BA55" s="135"/>
      <c r="BB55" s="135"/>
      <c r="BC55" s="135"/>
      <c r="BD55" s="135"/>
      <c r="BE55" s="135"/>
      <c r="BF55" s="135"/>
      <c r="BG55" s="135"/>
      <c r="BH55" s="135"/>
      <c r="BI55" s="135"/>
      <c r="BJ55" s="135"/>
      <c r="BK55" s="135"/>
      <c r="BL55" s="135"/>
      <c r="BM55" s="135"/>
      <c r="BN55" s="135"/>
      <c r="BO55" s="135"/>
      <c r="BP55" s="135"/>
    </row>
    <row r="56" spans="1:68" ht="15.75" thickBot="1">
      <c r="A56" s="135"/>
      <c r="B56" s="807">
        <f>'Definition of Typical Day'!$R$13</f>
        <v>14</v>
      </c>
      <c r="C56" s="807">
        <f>'Definition of Typical Day'!$R$14</f>
        <v>14</v>
      </c>
      <c r="D56" s="659">
        <f t="shared" si="18"/>
        <v>0</v>
      </c>
      <c r="E56" s="659">
        <f t="shared" ca="1" si="18"/>
        <v>0</v>
      </c>
      <c r="F56" s="659">
        <f t="shared" ca="1" si="18"/>
        <v>0</v>
      </c>
      <c r="G56" s="659">
        <f ca="1">'Definition of Typical Year'!T29</f>
        <v>0</v>
      </c>
      <c r="H56" s="659">
        <f ca="1">'Definition of Typical Year'!U29</f>
        <v>0</v>
      </c>
      <c r="I56" s="135"/>
      <c r="J56" s="135"/>
      <c r="K56" s="135"/>
      <c r="M56" s="55">
        <f ca="1">'Definition of Typical Year'!AJ29</f>
        <v>0</v>
      </c>
      <c r="N56" s="55">
        <f ca="1">'Definition of Typical Year'!AK29</f>
        <v>0</v>
      </c>
      <c r="O56" s="55">
        <f ca="1">'Definition of Typical Year'!AL29</f>
        <v>0</v>
      </c>
      <c r="P56" s="55">
        <f ca="1">'Definition of Typical Year'!AM29</f>
        <v>0</v>
      </c>
      <c r="Q56" s="55">
        <f ca="1">'Definition of Typical Year'!AN29</f>
        <v>0</v>
      </c>
      <c r="R56" s="659">
        <f ca="1">'Definition of Typical Year'!AO29</f>
        <v>0</v>
      </c>
      <c r="S56" s="142"/>
      <c r="T56" s="142"/>
      <c r="U56" s="142"/>
      <c r="V56" s="142"/>
      <c r="W56" s="47"/>
      <c r="X56" s="47"/>
      <c r="Y56" s="47"/>
      <c r="Z56" s="659">
        <f t="shared" ca="1" si="29"/>
        <v>0</v>
      </c>
      <c r="AA56" s="659">
        <f t="shared" ca="1" si="29"/>
        <v>0</v>
      </c>
      <c r="AB56" s="659">
        <f t="shared" ca="1" si="19"/>
        <v>0</v>
      </c>
      <c r="AC56" s="659">
        <f t="shared" ca="1" si="20"/>
        <v>0</v>
      </c>
      <c r="AD56" s="659">
        <f t="shared" ca="1" si="21"/>
        <v>0</v>
      </c>
      <c r="AE56" s="659">
        <f t="shared" ca="1" si="22"/>
        <v>0</v>
      </c>
      <c r="AF56" s="659">
        <f t="shared" ca="1" si="23"/>
        <v>0</v>
      </c>
      <c r="AG56" s="659">
        <f t="shared" ca="1" si="24"/>
        <v>0</v>
      </c>
      <c r="AH56" s="659">
        <f t="shared" ca="1" si="25"/>
        <v>0</v>
      </c>
      <c r="AI56" s="659">
        <f t="shared" ca="1" si="26"/>
        <v>0</v>
      </c>
      <c r="AJ56" s="52"/>
      <c r="AK56" s="659">
        <f t="shared" ca="1" si="27"/>
        <v>0</v>
      </c>
      <c r="AL56" s="135"/>
      <c r="AM56" s="135"/>
      <c r="AN56" s="135"/>
      <c r="AO56" s="659">
        <f t="shared" ca="1" si="28"/>
        <v>0</v>
      </c>
      <c r="AP56" s="659">
        <f t="shared" ca="1" si="30"/>
        <v>0</v>
      </c>
      <c r="AQ56" s="56"/>
      <c r="AR56" s="56"/>
      <c r="AS56" s="135"/>
      <c r="AT56" s="135"/>
      <c r="AU56" s="135"/>
      <c r="AV56" s="56"/>
      <c r="AW56" s="56"/>
      <c r="AX56" s="56"/>
      <c r="AY56" s="56"/>
      <c r="AZ56" s="135"/>
      <c r="BA56" s="135"/>
      <c r="BB56" s="135"/>
      <c r="BC56" s="135"/>
      <c r="BD56" s="135"/>
      <c r="BE56" s="135"/>
      <c r="BF56" s="135"/>
      <c r="BG56" s="135"/>
      <c r="BH56" s="135"/>
      <c r="BI56" s="135"/>
      <c r="BJ56" s="135"/>
      <c r="BK56" s="135"/>
      <c r="BL56" s="135"/>
      <c r="BM56" s="135"/>
      <c r="BN56" s="135"/>
      <c r="BO56" s="135"/>
      <c r="BP56" s="135"/>
    </row>
    <row r="57" spans="1:68" ht="15.75" thickBot="1">
      <c r="A57" s="135"/>
      <c r="B57" s="807">
        <f>'Definition of Typical Day'!$S$13</f>
        <v>15</v>
      </c>
      <c r="C57" s="807">
        <f>'Definition of Typical Day'!$S$14</f>
        <v>15</v>
      </c>
      <c r="D57" s="659">
        <f t="shared" si="18"/>
        <v>0</v>
      </c>
      <c r="E57" s="659">
        <f t="shared" ca="1" si="18"/>
        <v>0</v>
      </c>
      <c r="F57" s="659">
        <f t="shared" ca="1" si="18"/>
        <v>0</v>
      </c>
      <c r="G57" s="659">
        <f ca="1">'Definition of Typical Year'!T30</f>
        <v>0</v>
      </c>
      <c r="H57" s="659">
        <f ca="1">'Definition of Typical Year'!U30</f>
        <v>0</v>
      </c>
      <c r="I57" s="135"/>
      <c r="J57" s="135"/>
      <c r="K57" s="135"/>
      <c r="M57" s="55">
        <f ca="1">'Definition of Typical Year'!AJ30</f>
        <v>0</v>
      </c>
      <c r="N57" s="55">
        <f ca="1">'Definition of Typical Year'!AK30</f>
        <v>0</v>
      </c>
      <c r="O57" s="55">
        <f ca="1">'Definition of Typical Year'!AL30</f>
        <v>0</v>
      </c>
      <c r="P57" s="55">
        <f ca="1">'Definition of Typical Year'!AM30</f>
        <v>0</v>
      </c>
      <c r="Q57" s="55">
        <f ca="1">'Definition of Typical Year'!AN30</f>
        <v>0</v>
      </c>
      <c r="R57" s="659">
        <f ca="1">'Definition of Typical Year'!AO30</f>
        <v>0</v>
      </c>
      <c r="S57" s="142"/>
      <c r="T57" s="142"/>
      <c r="U57" s="142"/>
      <c r="V57" s="142"/>
      <c r="W57" s="47"/>
      <c r="X57" s="47"/>
      <c r="Y57" s="47"/>
      <c r="Z57" s="659">
        <f t="shared" ca="1" si="29"/>
        <v>0</v>
      </c>
      <c r="AA57" s="659">
        <f t="shared" ca="1" si="29"/>
        <v>0</v>
      </c>
      <c r="AB57" s="659">
        <f t="shared" ca="1" si="19"/>
        <v>0</v>
      </c>
      <c r="AC57" s="659">
        <f t="shared" ca="1" si="20"/>
        <v>0</v>
      </c>
      <c r="AD57" s="659">
        <f t="shared" ca="1" si="21"/>
        <v>0</v>
      </c>
      <c r="AE57" s="659">
        <f t="shared" ca="1" si="22"/>
        <v>0</v>
      </c>
      <c r="AF57" s="659">
        <f t="shared" ca="1" si="23"/>
        <v>0</v>
      </c>
      <c r="AG57" s="659">
        <f t="shared" ca="1" si="24"/>
        <v>0</v>
      </c>
      <c r="AH57" s="659">
        <f t="shared" ca="1" si="25"/>
        <v>0</v>
      </c>
      <c r="AI57" s="659">
        <f t="shared" ca="1" si="26"/>
        <v>0</v>
      </c>
      <c r="AJ57" s="52"/>
      <c r="AK57" s="659">
        <f t="shared" ca="1" si="27"/>
        <v>0</v>
      </c>
      <c r="AL57" s="135"/>
      <c r="AM57" s="135"/>
      <c r="AN57" s="135"/>
      <c r="AO57" s="659">
        <f t="shared" ca="1" si="28"/>
        <v>0</v>
      </c>
      <c r="AP57" s="659">
        <f t="shared" ca="1" si="30"/>
        <v>0</v>
      </c>
      <c r="AQ57" s="56"/>
      <c r="AR57" s="56"/>
      <c r="AS57" s="56"/>
      <c r="AT57" s="56"/>
      <c r="AU57" s="56"/>
      <c r="AV57" s="56"/>
      <c r="AW57" s="56"/>
      <c r="AX57" s="56"/>
      <c r="AY57" s="56"/>
      <c r="AZ57" s="135"/>
      <c r="BA57" s="135"/>
      <c r="BB57" s="135"/>
      <c r="BC57" s="135"/>
      <c r="BD57" s="135"/>
      <c r="BE57" s="135"/>
      <c r="BF57" s="135"/>
      <c r="BG57" s="135"/>
      <c r="BH57" s="135"/>
      <c r="BI57" s="135"/>
      <c r="BJ57" s="135"/>
      <c r="BK57" s="135"/>
      <c r="BL57" s="135"/>
      <c r="BM57" s="135"/>
      <c r="BN57" s="135"/>
      <c r="BO57" s="135"/>
      <c r="BP57" s="135"/>
    </row>
    <row r="58" spans="1:68" ht="15.75" thickBot="1">
      <c r="A58" s="135"/>
      <c r="B58" s="807">
        <f>'Definition of Typical Day'!$T$13</f>
        <v>16</v>
      </c>
      <c r="C58" s="807">
        <f>'Definition of Typical Day'!$T$14</f>
        <v>16</v>
      </c>
      <c r="D58" s="659">
        <f t="shared" si="18"/>
        <v>0</v>
      </c>
      <c r="E58" s="659">
        <f t="shared" ca="1" si="18"/>
        <v>0</v>
      </c>
      <c r="F58" s="659">
        <f t="shared" ca="1" si="18"/>
        <v>0</v>
      </c>
      <c r="G58" s="659">
        <f ca="1">'Definition of Typical Year'!T31</f>
        <v>0</v>
      </c>
      <c r="H58" s="659">
        <f ca="1">'Definition of Typical Year'!U31</f>
        <v>0</v>
      </c>
      <c r="I58" s="135"/>
      <c r="J58" s="135"/>
      <c r="K58" s="135"/>
      <c r="M58" s="55">
        <f ca="1">'Definition of Typical Year'!AJ31</f>
        <v>0</v>
      </c>
      <c r="N58" s="55">
        <f ca="1">'Definition of Typical Year'!AK31</f>
        <v>0</v>
      </c>
      <c r="O58" s="55">
        <f ca="1">'Definition of Typical Year'!AL31</f>
        <v>0</v>
      </c>
      <c r="P58" s="55">
        <f ca="1">'Definition of Typical Year'!AM31</f>
        <v>0</v>
      </c>
      <c r="Q58" s="55">
        <f ca="1">'Definition of Typical Year'!AN31</f>
        <v>0</v>
      </c>
      <c r="R58" s="659">
        <f ca="1">'Definition of Typical Year'!AO31</f>
        <v>0</v>
      </c>
      <c r="S58" s="142"/>
      <c r="T58" s="142"/>
      <c r="U58" s="142"/>
      <c r="V58" s="142"/>
      <c r="W58" s="47"/>
      <c r="X58" s="47"/>
      <c r="Y58" s="47"/>
      <c r="Z58" s="659">
        <f t="shared" ca="1" si="29"/>
        <v>0</v>
      </c>
      <c r="AA58" s="659">
        <f t="shared" ca="1" si="29"/>
        <v>0</v>
      </c>
      <c r="AB58" s="659">
        <f t="shared" ca="1" si="19"/>
        <v>0</v>
      </c>
      <c r="AC58" s="659">
        <f t="shared" ca="1" si="20"/>
        <v>0</v>
      </c>
      <c r="AD58" s="659">
        <f t="shared" ca="1" si="21"/>
        <v>0</v>
      </c>
      <c r="AE58" s="659">
        <f t="shared" ca="1" si="22"/>
        <v>0</v>
      </c>
      <c r="AF58" s="659">
        <f t="shared" ca="1" si="23"/>
        <v>0</v>
      </c>
      <c r="AG58" s="659">
        <f t="shared" ca="1" si="24"/>
        <v>0</v>
      </c>
      <c r="AH58" s="659">
        <f t="shared" ca="1" si="25"/>
        <v>0</v>
      </c>
      <c r="AI58" s="659">
        <f t="shared" ca="1" si="26"/>
        <v>0</v>
      </c>
      <c r="AJ58" s="52"/>
      <c r="AK58" s="659">
        <f t="shared" ca="1" si="27"/>
        <v>0</v>
      </c>
      <c r="AL58" s="135"/>
      <c r="AM58" s="135"/>
      <c r="AN58" s="135"/>
      <c r="AO58" s="659">
        <f t="shared" ca="1" si="28"/>
        <v>0</v>
      </c>
      <c r="AP58" s="659">
        <f t="shared" ca="1" si="30"/>
        <v>0</v>
      </c>
      <c r="AQ58" s="56"/>
      <c r="AR58" s="56"/>
      <c r="AS58" s="825"/>
      <c r="AT58" s="825"/>
      <c r="AU58" s="825"/>
      <c r="AV58" s="825"/>
      <c r="AW58" s="825" t="s">
        <v>882</v>
      </c>
      <c r="AX58" s="825" t="s">
        <v>120</v>
      </c>
      <c r="AY58" s="853">
        <f ca="1">AU36+AY45</f>
        <v>1427456.1468998692</v>
      </c>
      <c r="AZ58" s="135"/>
      <c r="BA58" s="135"/>
      <c r="BB58" s="135"/>
      <c r="BC58" s="135"/>
      <c r="BD58" s="135"/>
      <c r="BE58" s="135"/>
      <c r="BF58" s="135"/>
      <c r="BG58" s="135"/>
      <c r="BH58" s="135"/>
      <c r="BI58" s="135"/>
      <c r="BJ58" s="135"/>
      <c r="BK58" s="135"/>
      <c r="BL58" s="135"/>
      <c r="BM58" s="135"/>
      <c r="BN58" s="135"/>
      <c r="BO58" s="135"/>
      <c r="BP58" s="135"/>
    </row>
    <row r="59" spans="1:68" ht="15.75" thickBot="1">
      <c r="A59" s="135"/>
      <c r="B59" s="807">
        <f>'Definition of Typical Day'!$U$13</f>
        <v>17</v>
      </c>
      <c r="C59" s="807">
        <f>'Definition of Typical Day'!$U$14</f>
        <v>17</v>
      </c>
      <c r="D59" s="659">
        <f t="shared" si="18"/>
        <v>0</v>
      </c>
      <c r="E59" s="659">
        <f t="shared" ca="1" si="18"/>
        <v>0</v>
      </c>
      <c r="F59" s="659">
        <f t="shared" ca="1" si="18"/>
        <v>0</v>
      </c>
      <c r="G59" s="659">
        <f ca="1">'Definition of Typical Year'!T32</f>
        <v>0</v>
      </c>
      <c r="H59" s="659">
        <f ca="1">'Definition of Typical Year'!U32</f>
        <v>0</v>
      </c>
      <c r="I59" s="135"/>
      <c r="J59" s="135"/>
      <c r="K59" s="135"/>
      <c r="M59" s="55">
        <f ca="1">'Definition of Typical Year'!AJ32</f>
        <v>0</v>
      </c>
      <c r="N59" s="55">
        <f ca="1">'Definition of Typical Year'!AK32</f>
        <v>0</v>
      </c>
      <c r="O59" s="55">
        <f ca="1">'Definition of Typical Year'!AL32</f>
        <v>0</v>
      </c>
      <c r="P59" s="55">
        <f ca="1">'Definition of Typical Year'!AM32</f>
        <v>0</v>
      </c>
      <c r="Q59" s="55">
        <f ca="1">'Definition of Typical Year'!AN32</f>
        <v>0</v>
      </c>
      <c r="R59" s="659">
        <f ca="1">'Definition of Typical Year'!AO32</f>
        <v>0</v>
      </c>
      <c r="S59" s="142"/>
      <c r="T59" s="142"/>
      <c r="U59" s="142"/>
      <c r="V59" s="142"/>
      <c r="W59" s="47"/>
      <c r="X59" s="47"/>
      <c r="Y59" s="47"/>
      <c r="Z59" s="659">
        <f t="shared" ca="1" si="29"/>
        <v>0</v>
      </c>
      <c r="AA59" s="659">
        <f t="shared" ca="1" si="29"/>
        <v>0</v>
      </c>
      <c r="AB59" s="659">
        <f t="shared" ca="1" si="19"/>
        <v>0</v>
      </c>
      <c r="AC59" s="659">
        <f t="shared" ca="1" si="20"/>
        <v>0</v>
      </c>
      <c r="AD59" s="659">
        <f t="shared" ca="1" si="21"/>
        <v>0</v>
      </c>
      <c r="AE59" s="659">
        <f t="shared" ca="1" si="22"/>
        <v>0</v>
      </c>
      <c r="AF59" s="659">
        <f t="shared" ca="1" si="23"/>
        <v>0</v>
      </c>
      <c r="AG59" s="659">
        <f t="shared" ca="1" si="24"/>
        <v>0</v>
      </c>
      <c r="AH59" s="659">
        <f t="shared" ca="1" si="25"/>
        <v>0</v>
      </c>
      <c r="AI59" s="659">
        <f t="shared" ca="1" si="26"/>
        <v>0</v>
      </c>
      <c r="AJ59" s="52"/>
      <c r="AK59" s="659">
        <f t="shared" ca="1" si="27"/>
        <v>0</v>
      </c>
      <c r="AL59" s="135"/>
      <c r="AM59" s="135"/>
      <c r="AN59" s="135"/>
      <c r="AO59" s="659">
        <f t="shared" ca="1" si="28"/>
        <v>0</v>
      </c>
      <c r="AP59" s="659">
        <f t="shared" ca="1" si="30"/>
        <v>0</v>
      </c>
      <c r="AQ59" s="56"/>
      <c r="AR59" s="56"/>
      <c r="AS59" s="56"/>
      <c r="AT59" s="56"/>
      <c r="AU59" s="56"/>
      <c r="AV59" s="56"/>
      <c r="AW59" s="782" t="s">
        <v>883</v>
      </c>
      <c r="AX59" s="782" t="s">
        <v>884</v>
      </c>
      <c r="AY59" s="854">
        <f ca="1">AB37</f>
        <v>22900.263526924246</v>
      </c>
      <c r="AZ59" s="135"/>
      <c r="BA59" s="135"/>
      <c r="BB59" s="135"/>
      <c r="BC59" s="135"/>
      <c r="BD59" s="135"/>
      <c r="BE59" s="135"/>
      <c r="BF59" s="135"/>
      <c r="BG59" s="135"/>
      <c r="BH59" s="135"/>
      <c r="BI59" s="135"/>
      <c r="BJ59" s="135"/>
      <c r="BK59" s="135"/>
      <c r="BL59" s="135"/>
      <c r="BM59" s="135"/>
      <c r="BN59" s="135"/>
      <c r="BO59" s="135"/>
      <c r="BP59" s="135"/>
    </row>
    <row r="60" spans="1:68" ht="15.75" thickBot="1">
      <c r="A60" s="135"/>
      <c r="B60" s="807">
        <f>'Definition of Typical Day'!$V$13</f>
        <v>18</v>
      </c>
      <c r="C60" s="807">
        <f>'Definition of Typical Day'!$V$14</f>
        <v>18</v>
      </c>
      <c r="D60" s="659">
        <f t="shared" si="18"/>
        <v>0</v>
      </c>
      <c r="E60" s="659">
        <f t="shared" ca="1" si="18"/>
        <v>0</v>
      </c>
      <c r="F60" s="659">
        <f t="shared" ca="1" si="18"/>
        <v>0</v>
      </c>
      <c r="G60" s="659">
        <f ca="1">'Definition of Typical Year'!T33</f>
        <v>0</v>
      </c>
      <c r="H60" s="659">
        <f ca="1">'Definition of Typical Year'!U33</f>
        <v>0</v>
      </c>
      <c r="I60" s="135"/>
      <c r="J60" s="135"/>
      <c r="K60" s="135"/>
      <c r="M60" s="55">
        <f ca="1">'Definition of Typical Year'!AJ33</f>
        <v>0</v>
      </c>
      <c r="N60" s="55">
        <f ca="1">'Definition of Typical Year'!AK33</f>
        <v>0</v>
      </c>
      <c r="O60" s="55">
        <f ca="1">'Definition of Typical Year'!AL33</f>
        <v>0</v>
      </c>
      <c r="P60" s="55">
        <f ca="1">'Definition of Typical Year'!AM33</f>
        <v>0</v>
      </c>
      <c r="Q60" s="55">
        <f ca="1">'Definition of Typical Year'!AN33</f>
        <v>0</v>
      </c>
      <c r="R60" s="659">
        <f ca="1">'Definition of Typical Year'!AO33</f>
        <v>0</v>
      </c>
      <c r="S60" s="142"/>
      <c r="T60" s="142"/>
      <c r="U60" s="142"/>
      <c r="V60" s="142"/>
      <c r="W60" s="47"/>
      <c r="X60" s="47"/>
      <c r="Y60" s="47"/>
      <c r="Z60" s="659">
        <f t="shared" ca="1" si="29"/>
        <v>0</v>
      </c>
      <c r="AA60" s="659">
        <f t="shared" ca="1" si="29"/>
        <v>0</v>
      </c>
      <c r="AB60" s="659">
        <f t="shared" ca="1" si="19"/>
        <v>0</v>
      </c>
      <c r="AC60" s="659">
        <f t="shared" ca="1" si="20"/>
        <v>0</v>
      </c>
      <c r="AD60" s="659">
        <f t="shared" ca="1" si="21"/>
        <v>0</v>
      </c>
      <c r="AE60" s="659">
        <f t="shared" ca="1" si="22"/>
        <v>0</v>
      </c>
      <c r="AF60" s="659">
        <f t="shared" ca="1" si="23"/>
        <v>0</v>
      </c>
      <c r="AG60" s="659">
        <f t="shared" ca="1" si="24"/>
        <v>0</v>
      </c>
      <c r="AH60" s="659">
        <f t="shared" ca="1" si="25"/>
        <v>0</v>
      </c>
      <c r="AI60" s="659">
        <f t="shared" ca="1" si="26"/>
        <v>0</v>
      </c>
      <c r="AJ60" s="52"/>
      <c r="AK60" s="659">
        <f t="shared" ca="1" si="27"/>
        <v>0</v>
      </c>
      <c r="AL60" s="135"/>
      <c r="AM60" s="135"/>
      <c r="AN60" s="135"/>
      <c r="AO60" s="659">
        <f t="shared" ca="1" si="28"/>
        <v>0</v>
      </c>
      <c r="AP60" s="659">
        <f t="shared" ca="1" si="30"/>
        <v>0</v>
      </c>
      <c r="AQ60" s="56"/>
      <c r="AR60" s="56"/>
      <c r="AS60" s="56"/>
      <c r="AT60" s="56"/>
      <c r="AU60" s="56"/>
      <c r="AV60" s="56"/>
      <c r="AW60" s="782" t="s">
        <v>885</v>
      </c>
      <c r="AX60" s="782" t="s">
        <v>341</v>
      </c>
      <c r="AY60" s="810">
        <f ca="1">AY58/AY59</f>
        <v>62.333612240819136</v>
      </c>
      <c r="AZ60" s="135"/>
      <c r="BA60" s="135"/>
      <c r="BB60" s="135"/>
      <c r="BC60" s="135"/>
      <c r="BD60" s="135"/>
      <c r="BE60" s="135"/>
      <c r="BF60" s="135"/>
      <c r="BG60" s="135"/>
      <c r="BH60" s="135"/>
      <c r="BI60" s="135"/>
      <c r="BJ60" s="135"/>
      <c r="BK60" s="135"/>
      <c r="BL60" s="135"/>
      <c r="BM60" s="135"/>
      <c r="BN60" s="135"/>
      <c r="BO60" s="135"/>
      <c r="BP60" s="135"/>
    </row>
    <row r="61" spans="1:68" ht="15.75" thickBot="1">
      <c r="A61" s="135"/>
      <c r="B61" s="807">
        <f>'Definition of Typical Day'!$W$13</f>
        <v>19</v>
      </c>
      <c r="C61" s="807">
        <f>'Definition of Typical Day'!$W$14</f>
        <v>19</v>
      </c>
      <c r="D61" s="659">
        <f t="shared" si="18"/>
        <v>0</v>
      </c>
      <c r="E61" s="659">
        <f t="shared" ca="1" si="18"/>
        <v>0</v>
      </c>
      <c r="F61" s="659">
        <f t="shared" ca="1" si="18"/>
        <v>0</v>
      </c>
      <c r="G61" s="659">
        <f ca="1">'Definition of Typical Year'!T34</f>
        <v>0</v>
      </c>
      <c r="H61" s="659">
        <f ca="1">'Definition of Typical Year'!U34</f>
        <v>0</v>
      </c>
      <c r="I61" s="135"/>
      <c r="J61" s="135"/>
      <c r="K61" s="135"/>
      <c r="M61" s="55">
        <f ca="1">'Definition of Typical Year'!AJ34</f>
        <v>0</v>
      </c>
      <c r="N61" s="55">
        <f ca="1">'Definition of Typical Year'!AK34</f>
        <v>0</v>
      </c>
      <c r="O61" s="55">
        <f ca="1">'Definition of Typical Year'!AL34</f>
        <v>0</v>
      </c>
      <c r="P61" s="55">
        <f ca="1">'Definition of Typical Year'!AM34</f>
        <v>0</v>
      </c>
      <c r="Q61" s="55">
        <f ca="1">'Definition of Typical Year'!AN34</f>
        <v>0</v>
      </c>
      <c r="R61" s="659">
        <f ca="1">'Definition of Typical Year'!AO34</f>
        <v>0</v>
      </c>
      <c r="S61" s="142"/>
      <c r="T61" s="142"/>
      <c r="U61" s="142"/>
      <c r="V61" s="142"/>
      <c r="W61" s="47"/>
      <c r="X61" s="47"/>
      <c r="Y61" s="47"/>
      <c r="Z61" s="659">
        <f t="shared" ca="1" si="29"/>
        <v>0</v>
      </c>
      <c r="AA61" s="659">
        <f t="shared" ca="1" si="29"/>
        <v>0</v>
      </c>
      <c r="AB61" s="659">
        <f t="shared" ca="1" si="19"/>
        <v>0</v>
      </c>
      <c r="AC61" s="659">
        <f t="shared" ca="1" si="20"/>
        <v>0</v>
      </c>
      <c r="AD61" s="659">
        <f t="shared" ca="1" si="21"/>
        <v>0</v>
      </c>
      <c r="AE61" s="659">
        <f t="shared" ca="1" si="22"/>
        <v>0</v>
      </c>
      <c r="AF61" s="659">
        <f t="shared" ca="1" si="23"/>
        <v>0</v>
      </c>
      <c r="AG61" s="659">
        <f t="shared" ca="1" si="24"/>
        <v>0</v>
      </c>
      <c r="AH61" s="659">
        <f t="shared" ca="1" si="25"/>
        <v>0</v>
      </c>
      <c r="AI61" s="659">
        <f t="shared" ca="1" si="26"/>
        <v>0</v>
      </c>
      <c r="AJ61" s="52"/>
      <c r="AK61" s="659">
        <f t="shared" ca="1" si="27"/>
        <v>0</v>
      </c>
      <c r="AL61" s="135"/>
      <c r="AM61" s="135"/>
      <c r="AN61" s="135"/>
      <c r="AO61" s="659">
        <f t="shared" ca="1" si="28"/>
        <v>0</v>
      </c>
      <c r="AP61" s="659">
        <f t="shared" ca="1" si="30"/>
        <v>0</v>
      </c>
      <c r="AQ61" s="56"/>
      <c r="AR61" s="56"/>
      <c r="AS61" s="56"/>
      <c r="AT61" s="56"/>
      <c r="AU61" s="56"/>
      <c r="AV61" s="56"/>
      <c r="AW61" s="56"/>
      <c r="AX61" s="56"/>
      <c r="AY61" s="56"/>
      <c r="AZ61" s="135"/>
      <c r="BA61" s="135"/>
      <c r="BB61" s="135"/>
      <c r="BC61" s="135"/>
      <c r="BD61" s="135"/>
      <c r="BE61" s="135"/>
      <c r="BF61" s="135"/>
      <c r="BG61" s="135"/>
      <c r="BH61" s="135"/>
      <c r="BI61" s="135"/>
      <c r="BJ61" s="135"/>
      <c r="BK61" s="135"/>
      <c r="BL61" s="135"/>
      <c r="BM61" s="135"/>
    </row>
    <row r="62" spans="1:68" ht="15.75" thickBot="1">
      <c r="A62" s="135"/>
      <c r="B62" s="807">
        <f>'Definition of Typical Day'!$X$13</f>
        <v>20</v>
      </c>
      <c r="C62" s="807" t="str">
        <f>'Definition of Typical Day'!$X$14</f>
        <v>20</v>
      </c>
      <c r="D62" s="659">
        <f t="shared" si="18"/>
        <v>0</v>
      </c>
      <c r="E62" s="659">
        <f t="shared" ca="1" si="18"/>
        <v>2.4000000000000014E-2</v>
      </c>
      <c r="F62" s="659">
        <f t="shared" ca="1" si="18"/>
        <v>0</v>
      </c>
      <c r="G62" s="659">
        <f ca="1">'Definition of Typical Year'!T35</f>
        <v>0</v>
      </c>
      <c r="H62" s="659">
        <f ca="1">'Definition of Typical Year'!U35</f>
        <v>3.200000000000001E-3</v>
      </c>
      <c r="I62" s="135"/>
      <c r="J62" s="135"/>
      <c r="K62" s="135"/>
      <c r="M62" s="55">
        <f ca="1">'Definition of Typical Year'!AJ35</f>
        <v>0</v>
      </c>
      <c r="N62" s="55">
        <f ca="1">'Definition of Typical Year'!AK35</f>
        <v>0.3199999999999999</v>
      </c>
      <c r="O62" s="55">
        <f ca="1">'Definition of Typical Year'!AL35</f>
        <v>0</v>
      </c>
      <c r="P62" s="55">
        <f ca="1">'Definition of Typical Year'!AM35</f>
        <v>0</v>
      </c>
      <c r="Q62" s="55">
        <f ca="1">'Definition of Typical Year'!AN35</f>
        <v>0</v>
      </c>
      <c r="R62" s="659">
        <f ca="1">'Definition of Typical Year'!AO35</f>
        <v>4.8000000000000029E-2</v>
      </c>
      <c r="S62" s="142"/>
      <c r="T62" s="142"/>
      <c r="U62" s="142"/>
      <c r="V62" s="142"/>
      <c r="W62" s="47"/>
      <c r="X62" s="47"/>
      <c r="Y62" s="47"/>
      <c r="Z62" s="659">
        <f t="shared" ca="1" si="29"/>
        <v>0</v>
      </c>
      <c r="AA62" s="659">
        <f t="shared" ca="1" si="29"/>
        <v>0</v>
      </c>
      <c r="AB62" s="659">
        <f t="shared" ca="1" si="19"/>
        <v>0</v>
      </c>
      <c r="AC62" s="659">
        <f t="shared" ca="1" si="20"/>
        <v>0</v>
      </c>
      <c r="AD62" s="659">
        <f t="shared" ca="1" si="21"/>
        <v>0</v>
      </c>
      <c r="AE62" s="659">
        <f t="shared" ca="1" si="22"/>
        <v>0</v>
      </c>
      <c r="AF62" s="659">
        <f t="shared" ca="1" si="23"/>
        <v>0</v>
      </c>
      <c r="AG62" s="659">
        <f t="shared" ca="1" si="24"/>
        <v>0</v>
      </c>
      <c r="AH62" s="659">
        <f t="shared" ca="1" si="25"/>
        <v>0</v>
      </c>
      <c r="AI62" s="659">
        <f t="shared" ca="1" si="26"/>
        <v>0</v>
      </c>
      <c r="AJ62" s="52"/>
      <c r="AK62" s="659">
        <f t="shared" ca="1" si="27"/>
        <v>0</v>
      </c>
      <c r="AL62" s="135"/>
      <c r="AM62" s="135"/>
      <c r="AN62" s="135"/>
      <c r="AO62" s="659">
        <f t="shared" ca="1" si="28"/>
        <v>0</v>
      </c>
      <c r="AP62" s="659">
        <f t="shared" ca="1" si="30"/>
        <v>0</v>
      </c>
      <c r="AQ62" s="56"/>
      <c r="AR62" s="56"/>
      <c r="AS62" s="56"/>
      <c r="AT62" s="56"/>
      <c r="AU62" s="56"/>
      <c r="AV62" s="56"/>
      <c r="AW62" s="56"/>
      <c r="AX62" s="56"/>
      <c r="AY62" s="56"/>
      <c r="AZ62" s="135"/>
      <c r="BA62" s="135"/>
      <c r="BB62" s="135"/>
      <c r="BC62" s="135"/>
      <c r="BD62" s="135"/>
      <c r="BE62" s="135"/>
      <c r="BF62" s="135"/>
      <c r="BG62" s="135"/>
      <c r="BH62" s="135"/>
      <c r="BI62" s="135"/>
      <c r="BJ62" s="135"/>
      <c r="BK62" s="135"/>
      <c r="BL62" s="135"/>
      <c r="BM62" s="135"/>
      <c r="BN62" s="135"/>
      <c r="BO62" s="135"/>
      <c r="BP62" s="135"/>
    </row>
    <row r="63" spans="1:68">
      <c r="A63" s="135"/>
      <c r="B63" s="7"/>
      <c r="C63" s="7"/>
      <c r="D63" s="809">
        <f>SUM(D43:D62)</f>
        <v>365.00000000000006</v>
      </c>
      <c r="E63" s="142"/>
      <c r="F63" s="142"/>
      <c r="G63" s="142"/>
      <c r="H63" s="142"/>
      <c r="I63" s="142"/>
      <c r="J63" s="142"/>
      <c r="K63" s="142"/>
      <c r="L63" s="142"/>
      <c r="M63" s="142"/>
      <c r="N63" s="142"/>
      <c r="O63" s="142"/>
      <c r="P63" s="142"/>
      <c r="Q63" s="142"/>
      <c r="R63" s="142"/>
      <c r="S63" s="47"/>
      <c r="T63" s="142"/>
      <c r="U63" s="142"/>
      <c r="V63" s="142"/>
      <c r="W63" s="47"/>
      <c r="X63" s="47"/>
      <c r="Y63" s="47"/>
      <c r="Z63" s="659">
        <f t="shared" ref="Z63:AI63" ca="1" si="31">SUM(Z43:Z62)</f>
        <v>17383.763608087094</v>
      </c>
      <c r="AA63" s="659">
        <f t="shared" ca="1" si="31"/>
        <v>16380.921539280589</v>
      </c>
      <c r="AB63" s="659">
        <f t="shared" ca="1" si="31"/>
        <v>121445.71643419143</v>
      </c>
      <c r="AC63" s="659">
        <f t="shared" ca="1" si="31"/>
        <v>13012.494628535345</v>
      </c>
      <c r="AD63" s="659">
        <f t="shared" ca="1" si="31"/>
        <v>0</v>
      </c>
      <c r="AE63" s="659">
        <f t="shared" ca="1" si="31"/>
        <v>32761.843078561178</v>
      </c>
      <c r="AF63" s="659">
        <f t="shared" ca="1" si="31"/>
        <v>1455.0210229322449</v>
      </c>
      <c r="AG63" s="659">
        <f t="shared" ca="1" si="31"/>
        <v>133.71227584086702</v>
      </c>
      <c r="AH63" s="659">
        <f t="shared" ca="1" si="31"/>
        <v>0</v>
      </c>
      <c r="AI63" s="659">
        <f t="shared" ca="1" si="31"/>
        <v>34767.527216174189</v>
      </c>
      <c r="AJ63" s="52"/>
      <c r="AK63" s="659">
        <f ca="1">SUM(AK43:AK62)</f>
        <v>32761.843078561178</v>
      </c>
      <c r="AL63" s="135"/>
      <c r="AM63" s="135"/>
      <c r="AN63" s="135"/>
      <c r="AO63" s="659">
        <f ca="1">SUM(AO43:AO62)</f>
        <v>34767.527216174189</v>
      </c>
      <c r="AP63" s="659">
        <f ca="1">SUM(AP43:AP62)</f>
        <v>121445.71643419143</v>
      </c>
      <c r="AQ63" s="135"/>
      <c r="AR63" s="135"/>
      <c r="AS63" s="1219" t="s">
        <v>757</v>
      </c>
      <c r="AT63" s="1219"/>
      <c r="AU63" s="1219"/>
      <c r="AV63" s="1219"/>
      <c r="AW63" s="1219"/>
      <c r="AX63" s="1219"/>
      <c r="AY63" s="1219"/>
      <c r="AZ63" s="135"/>
      <c r="BA63" s="135"/>
      <c r="BB63" s="135"/>
      <c r="BC63" s="135"/>
      <c r="BD63" s="135"/>
      <c r="BE63" s="135"/>
      <c r="BF63" s="135"/>
      <c r="BG63" s="135"/>
      <c r="BH63" s="135"/>
      <c r="BI63" s="135"/>
      <c r="BJ63" s="135"/>
      <c r="BK63" s="135"/>
      <c r="BL63" s="135"/>
      <c r="BM63" s="135"/>
      <c r="BN63" s="135"/>
      <c r="BO63" s="135"/>
      <c r="BP63" s="135"/>
    </row>
    <row r="64" spans="1:68" ht="22.5">
      <c r="A64" s="135"/>
      <c r="B64" s="135"/>
      <c r="C64" s="135"/>
      <c r="D64" s="135"/>
      <c r="E64" s="135"/>
      <c r="F64" s="135"/>
      <c r="G64" s="135"/>
      <c r="H64" s="135"/>
      <c r="I64" s="135"/>
      <c r="J64" s="135"/>
      <c r="K64" s="135"/>
      <c r="L64" s="135"/>
      <c r="M64" s="56"/>
      <c r="N64" s="56"/>
      <c r="O64" s="56"/>
      <c r="P64" s="56"/>
      <c r="Q64" s="56"/>
      <c r="R64" s="56"/>
      <c r="S64" s="47"/>
      <c r="T64" s="56"/>
      <c r="U64" s="56"/>
      <c r="V64" s="56"/>
      <c r="W64" s="47"/>
      <c r="X64" s="47"/>
      <c r="Y64" s="47"/>
      <c r="Z64" s="47"/>
      <c r="AA64" s="47"/>
      <c r="AB64" s="135"/>
      <c r="AC64" s="135"/>
      <c r="AD64" s="135"/>
      <c r="AE64" s="56"/>
      <c r="AF64" s="56"/>
      <c r="AG64" s="56"/>
      <c r="AH64" s="1215" t="s">
        <v>844</v>
      </c>
      <c r="AI64" s="1215"/>
      <c r="AJ64" s="848" t="s">
        <v>886</v>
      </c>
      <c r="AK64" s="812">
        <f ca="1">AK63/MAX(0.1,AA63)</f>
        <v>2</v>
      </c>
      <c r="AL64" s="135"/>
      <c r="AN64" s="731" t="s">
        <v>886</v>
      </c>
      <c r="AO64" s="812">
        <f ca="1">AO63/MAX(0.1,AA63)</f>
        <v>2.1224402505563247</v>
      </c>
      <c r="AP64" s="849">
        <f ca="1">AP63/MAX(0.1,AA63)</f>
        <v>7.4138512990841807</v>
      </c>
      <c r="AQ64" s="135"/>
      <c r="AR64" s="135"/>
      <c r="AS64" s="135"/>
      <c r="AT64" s="135"/>
      <c r="AU64" s="135"/>
      <c r="AV64" s="135"/>
      <c r="AW64" s="135"/>
      <c r="AX64" s="135"/>
      <c r="AY64" s="135"/>
      <c r="AZ64" s="135"/>
      <c r="BA64" s="135"/>
      <c r="BB64" s="135"/>
      <c r="BC64" s="135"/>
      <c r="BD64" s="135"/>
      <c r="BE64" s="135"/>
      <c r="BF64" s="135"/>
      <c r="BG64" s="135"/>
      <c r="BH64" s="135"/>
      <c r="BI64" s="135"/>
      <c r="BJ64" s="135"/>
      <c r="BK64" s="135"/>
      <c r="BL64" s="135"/>
      <c r="BM64" s="135"/>
      <c r="BN64" s="135"/>
      <c r="BO64" s="135"/>
      <c r="BP64" s="135"/>
    </row>
    <row r="65" spans="1:68">
      <c r="A65" s="135"/>
      <c r="B65" s="135"/>
      <c r="C65" s="135"/>
      <c r="D65" s="135"/>
      <c r="E65" s="135"/>
      <c r="F65" s="135"/>
      <c r="G65" s="135"/>
      <c r="H65" s="135"/>
      <c r="I65" s="135"/>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5"/>
      <c r="BA65" s="135"/>
      <c r="BB65" s="135"/>
      <c r="BC65" s="135"/>
      <c r="BD65" s="135"/>
      <c r="BE65" s="135"/>
      <c r="BF65" s="135"/>
      <c r="BG65" s="135"/>
      <c r="BH65" s="135"/>
      <c r="BI65" s="135"/>
      <c r="BJ65" s="135"/>
      <c r="BK65" s="135"/>
      <c r="BL65" s="135"/>
      <c r="BM65" s="135"/>
      <c r="BN65" s="135"/>
      <c r="BO65" s="135"/>
      <c r="BP65" s="135"/>
    </row>
    <row r="66" spans="1:68">
      <c r="A66" s="135"/>
      <c r="B66" s="135"/>
      <c r="C66" s="135"/>
      <c r="D66" s="135"/>
      <c r="E66" s="135"/>
      <c r="F66" s="135"/>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c r="AR66" s="135"/>
      <c r="AS66" s="135"/>
      <c r="AT66" s="135"/>
      <c r="AU66" s="135"/>
      <c r="AV66" s="135"/>
      <c r="AW66" s="135"/>
      <c r="AX66" s="135"/>
      <c r="AY66" s="135"/>
      <c r="AZ66" s="135"/>
      <c r="BA66" s="135"/>
      <c r="BB66" s="135"/>
      <c r="BC66" s="135"/>
      <c r="BD66" s="135"/>
      <c r="BE66" s="135"/>
      <c r="BF66" s="135"/>
      <c r="BG66" s="135"/>
      <c r="BH66" s="135"/>
      <c r="BI66" s="135"/>
      <c r="BJ66" s="135"/>
      <c r="BK66" s="135"/>
      <c r="BL66" s="135"/>
      <c r="BM66" s="135"/>
      <c r="BN66" s="135"/>
      <c r="BO66" s="135"/>
      <c r="BP66" s="135"/>
    </row>
    <row r="67" spans="1:68">
      <c r="A67" s="135"/>
      <c r="B67" s="135"/>
      <c r="C67" s="135"/>
      <c r="D67" s="1214" t="s">
        <v>887</v>
      </c>
      <c r="E67" s="1214"/>
      <c r="F67" s="1214"/>
      <c r="G67" s="1214"/>
      <c r="H67" s="1214"/>
      <c r="I67" s="1214"/>
      <c r="J67" s="1214"/>
      <c r="K67" s="1214"/>
      <c r="L67" s="1214"/>
      <c r="M67" s="1214"/>
      <c r="N67" s="1214"/>
      <c r="O67" s="1214"/>
      <c r="P67" s="1214"/>
      <c r="Q67" s="1214"/>
      <c r="R67" s="1214"/>
      <c r="S67" s="1214"/>
      <c r="T67" s="1214"/>
      <c r="U67" s="1214"/>
      <c r="V67" s="1214"/>
      <c r="W67" s="1214"/>
      <c r="X67" s="1214"/>
      <c r="Y67" s="1214"/>
      <c r="Z67" s="1214"/>
      <c r="AA67" s="1214"/>
      <c r="AB67" s="1214"/>
      <c r="AC67" s="1214"/>
      <c r="AD67" s="1214"/>
      <c r="AE67" s="1214"/>
      <c r="AF67" s="1214"/>
      <c r="AG67" s="1214"/>
      <c r="AH67" s="1214"/>
      <c r="AI67" s="1214"/>
      <c r="AJ67" s="1214"/>
      <c r="AK67" s="1214"/>
      <c r="AL67" s="1214"/>
      <c r="AM67" s="1214"/>
      <c r="AN67" s="1214"/>
      <c r="AO67" s="1214"/>
      <c r="AP67" s="1214"/>
      <c r="AQ67" s="135"/>
      <c r="AR67" s="135"/>
      <c r="AZ67" s="135"/>
      <c r="BA67" s="135"/>
      <c r="BB67" s="135"/>
      <c r="BC67" s="135"/>
      <c r="BD67" s="135"/>
      <c r="BE67" s="135"/>
      <c r="BF67" s="135"/>
      <c r="BG67" s="135"/>
      <c r="BH67" s="135"/>
      <c r="BI67" s="135"/>
      <c r="BJ67" s="135"/>
      <c r="BK67" s="135"/>
      <c r="BL67" s="135"/>
      <c r="BM67" s="135"/>
      <c r="BN67" s="135"/>
      <c r="BO67" s="135"/>
      <c r="BP67" s="135"/>
    </row>
    <row r="68" spans="1:68" ht="22.5">
      <c r="A68" s="135"/>
      <c r="B68" s="654" t="s">
        <v>375</v>
      </c>
      <c r="C68" s="654" t="s">
        <v>306</v>
      </c>
      <c r="D68" s="654" t="s">
        <v>377</v>
      </c>
      <c r="E68" s="654" t="str">
        <f>'Definition of Typical Year'!G13</f>
        <v>Average Flow Temperature of data centre cooling system</v>
      </c>
      <c r="F68" s="654" t="str">
        <f>'Definition of Typical Year'!H13</f>
        <v>Average flow temperature HP, source in</v>
      </c>
      <c r="G68" s="654" t="str">
        <f>'Definition of Typical Year'!I13</f>
        <v>Average DH supply line temperature</v>
      </c>
      <c r="H68" s="654" t="str">
        <f>'Definition of Typical Year'!J13</f>
        <v>Average Required Temperature Sink Out</v>
      </c>
      <c r="I68" s="654" t="str">
        <f>'Definition of Typical Year'!K13</f>
        <v>Average DH return line temperature</v>
      </c>
      <c r="J68" s="654" t="str">
        <f>'Definition of Typical Year'!L13</f>
        <v>Average Temperature Heat Pump Sink In</v>
      </c>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5"/>
      <c r="AM68" s="135"/>
      <c r="AN68" s="135"/>
      <c r="AO68" s="135"/>
      <c r="AP68" s="135"/>
      <c r="AQ68" s="135"/>
      <c r="AR68" s="135"/>
      <c r="AS68" s="135"/>
      <c r="AT68" s="135"/>
      <c r="AU68" s="135"/>
      <c r="AV68" s="135"/>
      <c r="AW68" s="135"/>
      <c r="AX68" s="135"/>
      <c r="AY68" s="135"/>
      <c r="AZ68" s="135"/>
      <c r="BA68" s="135"/>
      <c r="BB68" s="135"/>
      <c r="BC68" s="135"/>
      <c r="BD68" s="135"/>
      <c r="BE68" s="135"/>
      <c r="BF68" s="135"/>
      <c r="BG68" s="135"/>
      <c r="BH68" s="135"/>
      <c r="BI68" s="135"/>
      <c r="BJ68" s="135"/>
      <c r="BK68" s="135"/>
      <c r="BL68" s="135"/>
      <c r="BM68" s="135"/>
      <c r="BN68" s="135"/>
      <c r="BO68" s="135"/>
      <c r="BP68" s="135"/>
    </row>
    <row r="69" spans="1:68">
      <c r="A69" s="135"/>
      <c r="B69" s="807" t="s">
        <v>101</v>
      </c>
      <c r="C69" s="807"/>
      <c r="D69" s="807" t="s">
        <v>409</v>
      </c>
      <c r="E69" s="807" t="str">
        <f>'Definition of Typical Year'!G14</f>
        <v>°C</v>
      </c>
      <c r="F69" s="807" t="str">
        <f>'Definition of Typical Year'!H14</f>
        <v>°C</v>
      </c>
      <c r="G69" s="807" t="str">
        <f>'Definition of Typical Year'!I14</f>
        <v>°C</v>
      </c>
      <c r="H69" s="807" t="str">
        <f>'Definition of Typical Year'!J14</f>
        <v>°C</v>
      </c>
      <c r="I69" s="807" t="str">
        <f>'Definition of Typical Year'!K14</f>
        <v>°C</v>
      </c>
      <c r="J69" s="807" t="str">
        <f>'Definition of Typical Year'!L14</f>
        <v>°C</v>
      </c>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c r="BC69" s="135"/>
      <c r="BD69" s="135"/>
      <c r="BE69" s="135"/>
      <c r="BF69" s="135"/>
      <c r="BG69" s="135"/>
      <c r="BH69" s="135"/>
      <c r="BI69" s="135"/>
      <c r="BJ69" s="135"/>
      <c r="BK69" s="135"/>
      <c r="BL69" s="135"/>
      <c r="BM69" s="135"/>
      <c r="BN69" s="135"/>
      <c r="BO69" s="135"/>
      <c r="BP69" s="135"/>
    </row>
    <row r="70" spans="1:68" ht="45">
      <c r="A70" s="135"/>
      <c r="B70" s="807"/>
      <c r="C70" s="807" t="str">
        <f>'Definition of Typical Year'!$C$15</f>
        <v>Labels each characteristic day (e.g. Winter day, Summer weekend)</v>
      </c>
      <c r="D70" s="807" t="str">
        <f>'Definition of Typical Year'!$F$15</f>
        <v>Number of days that each typical day represents across the entire year</v>
      </c>
      <c r="E70" s="807" t="str">
        <f>'Definition of Typical Year'!G15</f>
        <v>Flow Temperature of the cooling system of the DC</v>
      </c>
      <c r="F70" s="807" t="str">
        <f>'Definition of Typical Year'!H15</f>
        <v>Flow Temperature HP equals the temperature of the cooling system reduced by delta T of the heat exchanger</v>
      </c>
      <c r="G70" s="807" t="str">
        <f>'Definition of Typical Year'!I15</f>
        <v>The required supply temperature for the district heating grid.</v>
      </c>
      <c r="H70" s="807" t="str">
        <f>'Definition of Typical Year'!J15</f>
        <v xml:space="preserve">Temperature required by the DH grid and needs to be provided by HP + booster (may be higher than what HP alone can deliver). </v>
      </c>
      <c r="I70" s="807" t="str">
        <f>'Definition of Typical Year'!K15</f>
        <v>The return temperature of the district heating network.</v>
      </c>
      <c r="J70" s="807" t="str">
        <f>'Definition of Typical Year'!L15</f>
        <v>Inlet temperature into the heat pump from the sink (DH side).</v>
      </c>
      <c r="K70" s="135"/>
      <c r="L70" s="135"/>
      <c r="M70" s="135"/>
      <c r="N70" s="135"/>
      <c r="O70" s="135"/>
      <c r="P70" s="135"/>
      <c r="Q70" s="135"/>
      <c r="R70" s="135"/>
      <c r="S70" s="135"/>
      <c r="T70" s="135"/>
      <c r="U70" s="135"/>
      <c r="V70" s="135"/>
      <c r="W70" s="135"/>
      <c r="X70" s="135"/>
      <c r="Y70" s="135"/>
      <c r="Z70" s="135"/>
      <c r="AA70" s="135"/>
      <c r="AB70" s="135"/>
      <c r="AC70" s="135"/>
      <c r="AD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c r="BC70" s="135"/>
      <c r="BD70" s="135"/>
      <c r="BE70" s="135"/>
      <c r="BF70" s="135"/>
      <c r="BG70" s="135"/>
      <c r="BH70" s="135"/>
      <c r="BI70" s="135"/>
      <c r="BJ70" s="135"/>
      <c r="BK70" s="135"/>
      <c r="BL70" s="135"/>
      <c r="BM70" s="135"/>
      <c r="BN70" s="135"/>
      <c r="BO70" s="135"/>
      <c r="BP70" s="135"/>
    </row>
    <row r="71" spans="1:68">
      <c r="A71" s="135"/>
      <c r="B71" s="807">
        <f>'Definition of Typical Day'!$E$13</f>
        <v>1</v>
      </c>
      <c r="C71" s="807" t="str">
        <f>'Definition of Typical Day'!$E$14</f>
        <v>Winter day</v>
      </c>
      <c r="D71" s="659">
        <f>D17</f>
        <v>94.608605495075167</v>
      </c>
      <c r="E71" s="659">
        <f ca="1">'Definition of Typical Year'!G16</f>
        <v>40</v>
      </c>
      <c r="F71" s="659">
        <f ca="1">'Definition of Typical Year'!H16</f>
        <v>37</v>
      </c>
      <c r="G71" s="659">
        <f ca="1">'Definition of Typical Year'!I16</f>
        <v>82.430555555555543</v>
      </c>
      <c r="H71" s="659">
        <f ca="1">'Definition of Typical Year'!J16</f>
        <v>85.430555555555543</v>
      </c>
      <c r="I71" s="659">
        <f ca="1">'Definition of Typical Year'!K16</f>
        <v>45</v>
      </c>
      <c r="J71" s="659">
        <f ca="1">'Definition of Typical Year'!L16</f>
        <v>48</v>
      </c>
      <c r="K71" s="135"/>
      <c r="L71" s="135"/>
      <c r="M71" s="135"/>
      <c r="N71" s="135"/>
      <c r="O71" s="135"/>
      <c r="P71" s="135"/>
      <c r="Q71" s="135"/>
      <c r="R71" s="135"/>
      <c r="S71" s="135"/>
      <c r="T71" s="135"/>
      <c r="U71" s="135"/>
      <c r="V71" s="135"/>
      <c r="W71" s="135"/>
      <c r="X71" s="135"/>
      <c r="Y71" s="135"/>
      <c r="Z71" s="135"/>
      <c r="AA71" s="135"/>
      <c r="AB71" s="135"/>
      <c r="AC71" s="135"/>
      <c r="AD71" s="135"/>
      <c r="AE71" s="135"/>
      <c r="AF71" s="135"/>
      <c r="AG71" s="135"/>
      <c r="AH71" s="135"/>
      <c r="AI71" s="135"/>
      <c r="AJ71" s="135"/>
      <c r="AK71" s="135"/>
      <c r="AL71" s="135"/>
      <c r="AM71" s="135"/>
      <c r="AN71" s="135"/>
      <c r="AO71" s="135"/>
      <c r="AP71" s="135"/>
      <c r="AQ71" s="135"/>
      <c r="AR71" s="135"/>
      <c r="AS71" s="135"/>
      <c r="AT71" s="135"/>
      <c r="AU71" s="135"/>
      <c r="AV71" s="135"/>
      <c r="AW71" s="135"/>
      <c r="AX71" s="135"/>
      <c r="AY71" s="135"/>
      <c r="AZ71" s="135"/>
      <c r="BA71" s="135"/>
      <c r="BB71" s="135"/>
      <c r="BC71" s="135"/>
      <c r="BD71" s="135"/>
      <c r="BE71" s="135"/>
      <c r="BF71" s="135"/>
      <c r="BG71" s="135"/>
      <c r="BH71" s="135"/>
      <c r="BI71" s="135"/>
      <c r="BJ71" s="135"/>
      <c r="BK71" s="135"/>
      <c r="BL71" s="135"/>
      <c r="BM71" s="135"/>
      <c r="BN71" s="135"/>
      <c r="BO71" s="135"/>
      <c r="BP71" s="135"/>
    </row>
    <row r="72" spans="1:68">
      <c r="A72" s="135"/>
      <c r="B72" s="807">
        <f>'Definition of Typical Day'!$F$13</f>
        <v>2</v>
      </c>
      <c r="C72" s="807" t="str">
        <f>'Definition of Typical Day'!$F$14</f>
        <v>Spring / fall weekday</v>
      </c>
      <c r="D72" s="659">
        <f t="shared" ref="D72:D90" si="32">D18</f>
        <v>126.77553136340072</v>
      </c>
      <c r="E72" s="659">
        <f ca="1">'Definition of Typical Year'!G17</f>
        <v>40</v>
      </c>
      <c r="F72" s="659">
        <f ca="1">'Definition of Typical Year'!H17</f>
        <v>37</v>
      </c>
      <c r="G72" s="659">
        <f ca="1">'Definition of Typical Year'!I17</f>
        <v>83.124999999999986</v>
      </c>
      <c r="H72" s="659">
        <f ca="1">'Definition of Typical Year'!J17</f>
        <v>86.124999999999986</v>
      </c>
      <c r="I72" s="659">
        <f ca="1">'Definition of Typical Year'!K17</f>
        <v>45</v>
      </c>
      <c r="J72" s="659">
        <f ca="1">'Definition of Typical Year'!L17</f>
        <v>48</v>
      </c>
      <c r="K72" s="135"/>
      <c r="L72" s="135"/>
      <c r="M72" s="135"/>
      <c r="N72" s="135"/>
      <c r="O72" s="135"/>
      <c r="P72" s="135"/>
      <c r="Q72" s="135"/>
      <c r="R72" s="135"/>
      <c r="S72" s="135"/>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c r="BC72" s="135"/>
      <c r="BD72" s="135"/>
      <c r="BE72" s="135"/>
      <c r="BF72" s="135"/>
      <c r="BG72" s="135"/>
      <c r="BH72" s="135"/>
      <c r="BI72" s="135"/>
      <c r="BJ72" s="135"/>
      <c r="BK72" s="135"/>
      <c r="BL72" s="135"/>
      <c r="BM72" s="135"/>
      <c r="BN72" s="135"/>
      <c r="BO72" s="135"/>
      <c r="BP72" s="135"/>
    </row>
    <row r="73" spans="1:68">
      <c r="A73" s="135"/>
      <c r="B73" s="807">
        <f>'Definition of Typical Day'!$G$13</f>
        <v>3</v>
      </c>
      <c r="C73" s="807" t="str">
        <f>'Definition of Typical Day'!$G$14</f>
        <v>Spring / fall weekend</v>
      </c>
      <c r="D73" s="659">
        <f t="shared" si="32"/>
        <v>50.710212545360292</v>
      </c>
      <c r="E73" s="659">
        <f ca="1">'Definition of Typical Year'!G18</f>
        <v>40</v>
      </c>
      <c r="F73" s="659">
        <f ca="1">'Definition of Typical Year'!H18</f>
        <v>37</v>
      </c>
      <c r="G73" s="659">
        <f ca="1">'Definition of Typical Year'!I18</f>
        <v>83.124999999999986</v>
      </c>
      <c r="H73" s="659">
        <f ca="1">'Definition of Typical Year'!J18</f>
        <v>86.124999999999986</v>
      </c>
      <c r="I73" s="659">
        <f ca="1">'Definition of Typical Year'!K18</f>
        <v>45</v>
      </c>
      <c r="J73" s="659">
        <f ca="1">'Definition of Typical Year'!L18</f>
        <v>48</v>
      </c>
      <c r="K73" s="135"/>
      <c r="L73" s="135"/>
      <c r="M73" s="135"/>
      <c r="N73" s="135"/>
      <c r="O73" s="135"/>
      <c r="P73" s="135"/>
      <c r="Q73" s="135"/>
      <c r="R73" s="135"/>
      <c r="S73" s="135"/>
      <c r="T73" s="135"/>
      <c r="U73" s="135"/>
      <c r="V73" s="135"/>
      <c r="W73" s="135"/>
      <c r="X73" s="135"/>
      <c r="Y73" s="135"/>
      <c r="Z73" s="135"/>
      <c r="AA73" s="135"/>
      <c r="AB73" s="135"/>
      <c r="AC73" s="135"/>
      <c r="AD73" s="135"/>
      <c r="AE73" s="135"/>
      <c r="AF73" s="135"/>
      <c r="AG73" s="135"/>
      <c r="AH73" s="135"/>
      <c r="AI73" s="135"/>
      <c r="AJ73" s="135"/>
      <c r="AK73" s="135"/>
      <c r="AL73" s="135"/>
      <c r="AM73" s="135"/>
      <c r="AN73" s="135"/>
      <c r="AO73" s="135"/>
      <c r="AP73" s="135"/>
      <c r="AQ73" s="135"/>
      <c r="AR73" s="135"/>
      <c r="AS73" s="135"/>
      <c r="AT73" s="135"/>
      <c r="AU73" s="135"/>
      <c r="AV73" s="135"/>
      <c r="AW73" s="135"/>
      <c r="AX73" s="135"/>
      <c r="AY73" s="135"/>
      <c r="AZ73" s="135"/>
      <c r="BA73" s="135"/>
      <c r="BB73" s="135"/>
      <c r="BC73" s="135"/>
      <c r="BD73" s="135"/>
      <c r="BE73" s="135"/>
      <c r="BF73" s="135"/>
      <c r="BG73" s="135"/>
      <c r="BH73" s="135"/>
      <c r="BI73" s="135"/>
      <c r="BJ73" s="135"/>
      <c r="BK73" s="135"/>
      <c r="BL73" s="135"/>
      <c r="BM73" s="135"/>
      <c r="BN73" s="135"/>
      <c r="BO73" s="135"/>
      <c r="BP73" s="135"/>
    </row>
    <row r="74" spans="1:68">
      <c r="A74" s="135"/>
      <c r="B74" s="807">
        <f>'Definition of Typical Day'!$H$13</f>
        <v>4</v>
      </c>
      <c r="C74" s="807" t="str">
        <f>'Definition of Typical Day'!$H$14</f>
        <v>Summer weekday</v>
      </c>
      <c r="D74" s="659">
        <f t="shared" si="32"/>
        <v>64.333851736651113</v>
      </c>
      <c r="E74" s="659">
        <f ca="1">'Definition of Typical Year'!G19</f>
        <v>40</v>
      </c>
      <c r="F74" s="659">
        <f ca="1">'Definition of Typical Year'!H19</f>
        <v>37</v>
      </c>
      <c r="G74" s="659">
        <f ca="1">'Definition of Typical Year'!I19</f>
        <v>60</v>
      </c>
      <c r="H74" s="659">
        <f ca="1">'Definition of Typical Year'!J19</f>
        <v>63</v>
      </c>
      <c r="I74" s="659">
        <f ca="1">'Definition of Typical Year'!K19</f>
        <v>45</v>
      </c>
      <c r="J74" s="659">
        <f ca="1">'Definition of Typical Year'!L19</f>
        <v>48</v>
      </c>
      <c r="K74" s="135"/>
      <c r="L74" s="135"/>
      <c r="M74" s="135"/>
      <c r="N74" s="135"/>
      <c r="O74" s="135"/>
      <c r="P74" s="135"/>
      <c r="Q74" s="135"/>
      <c r="R74" s="135"/>
      <c r="S74" s="135"/>
      <c r="T74" s="135"/>
      <c r="U74" s="135"/>
      <c r="V74" s="135"/>
      <c r="W74" s="135"/>
      <c r="X74" s="135"/>
      <c r="Y74" s="135"/>
      <c r="Z74" s="135"/>
      <c r="AA74" s="135"/>
      <c r="AB74" s="135"/>
      <c r="AC74" s="135"/>
      <c r="AD74" s="135"/>
      <c r="AE74" s="135"/>
      <c r="AF74" s="135"/>
      <c r="AG74" s="135"/>
      <c r="AH74" s="135"/>
      <c r="AI74" s="135"/>
      <c r="AJ74" s="135"/>
      <c r="AK74" s="135"/>
      <c r="AL74" s="135"/>
      <c r="AM74" s="135"/>
      <c r="AN74" s="135"/>
      <c r="AO74" s="135"/>
      <c r="AP74" s="135"/>
      <c r="AQ74" s="135"/>
      <c r="AR74" s="135"/>
      <c r="AS74" s="135"/>
      <c r="AT74" s="135"/>
      <c r="AU74" s="135"/>
      <c r="AV74" s="135"/>
      <c r="AW74" s="135"/>
      <c r="AX74" s="135"/>
      <c r="AY74" s="135"/>
      <c r="AZ74" s="135"/>
      <c r="BA74" s="135"/>
      <c r="BB74" s="135"/>
      <c r="BC74" s="135"/>
      <c r="BD74" s="135"/>
      <c r="BE74" s="135"/>
      <c r="BF74" s="135"/>
      <c r="BG74" s="135"/>
      <c r="BH74" s="135"/>
      <c r="BI74" s="135"/>
      <c r="BJ74" s="135"/>
      <c r="BK74" s="135"/>
      <c r="BL74" s="135"/>
      <c r="BM74" s="135"/>
      <c r="BN74" s="135"/>
      <c r="BO74" s="135"/>
      <c r="BP74" s="135"/>
    </row>
    <row r="75" spans="1:68">
      <c r="A75" s="135"/>
      <c r="B75" s="807">
        <f>'Definition of Typical Day'!$I$13</f>
        <v>5</v>
      </c>
      <c r="C75" s="807" t="str">
        <f>'Definition of Typical Day'!$I$14</f>
        <v>Summer weekend</v>
      </c>
      <c r="D75" s="659">
        <f t="shared" si="32"/>
        <v>25.733540694660444</v>
      </c>
      <c r="E75" s="659">
        <f ca="1">'Definition of Typical Year'!G20</f>
        <v>40</v>
      </c>
      <c r="F75" s="659">
        <f ca="1">'Definition of Typical Year'!H20</f>
        <v>37</v>
      </c>
      <c r="G75" s="659">
        <f ca="1">'Definition of Typical Year'!I20</f>
        <v>60</v>
      </c>
      <c r="H75" s="659">
        <f ca="1">'Definition of Typical Year'!J20</f>
        <v>63</v>
      </c>
      <c r="I75" s="659">
        <f ca="1">'Definition of Typical Year'!K20</f>
        <v>45</v>
      </c>
      <c r="J75" s="659">
        <f ca="1">'Definition of Typical Year'!L20</f>
        <v>48</v>
      </c>
      <c r="K75" s="135"/>
      <c r="L75" s="135"/>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E75" s="135"/>
      <c r="BF75" s="135"/>
      <c r="BG75" s="135"/>
      <c r="BH75" s="135"/>
      <c r="BI75" s="135"/>
      <c r="BJ75" s="135"/>
      <c r="BK75" s="135"/>
      <c r="BL75" s="135"/>
      <c r="BM75" s="135"/>
      <c r="BN75" s="135"/>
      <c r="BO75" s="135"/>
      <c r="BP75" s="135"/>
    </row>
    <row r="76" spans="1:68">
      <c r="A76" s="135"/>
      <c r="B76" s="807">
        <f>'Definition of Typical Day'!$J$13</f>
        <v>6</v>
      </c>
      <c r="C76" s="807" t="str">
        <f>'Definition of Typical Day'!$J$14</f>
        <v>Maintenance of HP</v>
      </c>
      <c r="D76" s="659">
        <f t="shared" si="32"/>
        <v>2.8382581648522551</v>
      </c>
      <c r="E76" s="659">
        <f ca="1">'Definition of Typical Year'!G21</f>
        <v>40</v>
      </c>
      <c r="F76" s="659">
        <f ca="1">'Definition of Typical Year'!H21</f>
        <v>37</v>
      </c>
      <c r="G76" s="659">
        <f ca="1">'Definition of Typical Year'!I21</f>
        <v>71.562499999999986</v>
      </c>
      <c r="H76" s="659">
        <f ca="1">'Definition of Typical Year'!J21</f>
        <v>74.562499999999986</v>
      </c>
      <c r="I76" s="659">
        <f ca="1">'Definition of Typical Year'!K21</f>
        <v>45</v>
      </c>
      <c r="J76" s="659">
        <f ca="1">'Definition of Typical Year'!L21</f>
        <v>48</v>
      </c>
      <c r="K76" s="135"/>
      <c r="L76" s="135"/>
      <c r="M76" s="135"/>
      <c r="N76" s="135"/>
      <c r="O76" s="135"/>
      <c r="P76" s="135"/>
      <c r="Q76" s="135"/>
      <c r="R76" s="135"/>
      <c r="S76" s="135"/>
      <c r="T76" s="135"/>
      <c r="U76" s="135"/>
      <c r="V76" s="135"/>
      <c r="W76" s="135"/>
      <c r="X76" s="135"/>
      <c r="Y76" s="135"/>
      <c r="Z76" s="135"/>
      <c r="AA76" s="135"/>
      <c r="AB76" s="135"/>
      <c r="AC76" s="135"/>
      <c r="AD76" s="135"/>
      <c r="AE76" s="135"/>
      <c r="AF76" s="135"/>
      <c r="AG76" s="135"/>
      <c r="AH76" s="135"/>
      <c r="AI76" s="135"/>
      <c r="AJ76" s="135"/>
      <c r="AK76" s="135"/>
      <c r="AL76" s="135"/>
      <c r="AM76" s="135"/>
      <c r="AN76" s="135"/>
      <c r="AO76" s="135"/>
      <c r="AP76" s="135"/>
      <c r="AQ76" s="135"/>
      <c r="AR76" s="135"/>
      <c r="AS76" s="135"/>
      <c r="AT76" s="135"/>
      <c r="AU76" s="135"/>
      <c r="AV76" s="135"/>
      <c r="AW76" s="135"/>
      <c r="AX76" s="135"/>
      <c r="AY76" s="135"/>
      <c r="AZ76" s="135"/>
      <c r="BA76" s="135"/>
      <c r="BB76" s="135"/>
      <c r="BC76" s="135"/>
      <c r="BD76" s="135"/>
      <c r="BE76" s="135"/>
      <c r="BF76" s="135"/>
      <c r="BG76" s="135"/>
      <c r="BH76" s="135"/>
      <c r="BI76" s="135"/>
      <c r="BJ76" s="135"/>
      <c r="BK76" s="135"/>
      <c r="BL76" s="135"/>
      <c r="BM76" s="135"/>
      <c r="BN76" s="135"/>
      <c r="BO76" s="135"/>
      <c r="BP76" s="135"/>
    </row>
    <row r="77" spans="1:68">
      <c r="A77" s="135"/>
      <c r="B77" s="807">
        <f>'Definition of Typical Day'!$K$13</f>
        <v>7</v>
      </c>
      <c r="C77" s="807">
        <f>'Definition of Typical Day'!$K$14</f>
        <v>7</v>
      </c>
      <c r="D77" s="659">
        <f t="shared" si="32"/>
        <v>0</v>
      </c>
      <c r="E77" s="659">
        <f ca="1">'Definition of Typical Year'!G22</f>
        <v>0</v>
      </c>
      <c r="F77" s="659">
        <f ca="1">'Definition of Typical Year'!H22</f>
        <v>0</v>
      </c>
      <c r="G77" s="659">
        <f ca="1">'Definition of Typical Year'!I22</f>
        <v>0</v>
      </c>
      <c r="H77" s="659">
        <f ca="1">'Definition of Typical Year'!J22</f>
        <v>3</v>
      </c>
      <c r="I77" s="659">
        <f ca="1">'Definition of Typical Year'!K22</f>
        <v>0</v>
      </c>
      <c r="J77" s="659">
        <f ca="1">'Definition of Typical Year'!L22</f>
        <v>3</v>
      </c>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c r="AJ77" s="135"/>
      <c r="AK77" s="135"/>
      <c r="AL77" s="135"/>
      <c r="AM77" s="135"/>
      <c r="AN77" s="135"/>
      <c r="AO77" s="135"/>
      <c r="AP77" s="135"/>
      <c r="AQ77" s="135"/>
      <c r="AR77" s="135"/>
      <c r="AS77" s="135"/>
      <c r="AT77" s="135"/>
      <c r="AU77" s="135"/>
      <c r="AV77" s="135"/>
      <c r="AW77" s="135"/>
      <c r="AX77" s="135"/>
      <c r="AY77" s="135"/>
      <c r="AZ77" s="135"/>
      <c r="BA77" s="135"/>
      <c r="BB77" s="135"/>
      <c r="BC77" s="135"/>
      <c r="BD77" s="135"/>
      <c r="BE77" s="135"/>
      <c r="BF77" s="135"/>
      <c r="BG77" s="135"/>
      <c r="BH77" s="135"/>
      <c r="BI77" s="135"/>
      <c r="BJ77" s="135"/>
      <c r="BK77" s="135"/>
      <c r="BL77" s="135"/>
      <c r="BM77" s="135"/>
      <c r="BN77" s="135"/>
      <c r="BO77" s="135"/>
      <c r="BP77" s="135"/>
    </row>
    <row r="78" spans="1:68">
      <c r="A78" s="135"/>
      <c r="B78" s="807">
        <f>'Definition of Typical Day'!$L$13</f>
        <v>8</v>
      </c>
      <c r="C78" s="807">
        <f>'Definition of Typical Day'!$L$14</f>
        <v>8</v>
      </c>
      <c r="D78" s="659">
        <f t="shared" si="32"/>
        <v>0</v>
      </c>
      <c r="E78" s="659">
        <f ca="1">'Definition of Typical Year'!G23</f>
        <v>0</v>
      </c>
      <c r="F78" s="659">
        <f ca="1">'Definition of Typical Year'!H23</f>
        <v>0</v>
      </c>
      <c r="G78" s="659">
        <f ca="1">'Definition of Typical Year'!I23</f>
        <v>0</v>
      </c>
      <c r="H78" s="659">
        <f ca="1">'Definition of Typical Year'!J23</f>
        <v>3</v>
      </c>
      <c r="I78" s="659">
        <f ca="1">'Definition of Typical Year'!K23</f>
        <v>0</v>
      </c>
      <c r="J78" s="659">
        <f ca="1">'Definition of Typical Year'!L23</f>
        <v>3</v>
      </c>
      <c r="K78" s="135"/>
      <c r="L78" s="135"/>
      <c r="M78" s="135"/>
      <c r="N78" s="135"/>
      <c r="O78" s="135"/>
      <c r="P78" s="135"/>
      <c r="Q78" s="135"/>
      <c r="R78" s="135"/>
      <c r="S78" s="135"/>
      <c r="T78" s="135"/>
      <c r="U78" s="135"/>
      <c r="V78" s="135"/>
      <c r="W78" s="135"/>
      <c r="X78" s="135"/>
      <c r="Y78" s="135"/>
      <c r="Z78" s="135"/>
      <c r="AA78" s="135"/>
      <c r="AB78" s="135"/>
      <c r="AC78" s="135"/>
      <c r="AD78" s="135"/>
      <c r="AE78" s="135"/>
      <c r="AF78" s="135"/>
      <c r="AG78" s="135"/>
      <c r="AH78" s="135"/>
      <c r="AI78" s="135"/>
      <c r="AJ78" s="135"/>
      <c r="AK78" s="135"/>
      <c r="AL78" s="135"/>
      <c r="AM78" s="135"/>
      <c r="AN78" s="135"/>
      <c r="AO78" s="135"/>
      <c r="AP78" s="135"/>
      <c r="AQ78" s="135"/>
      <c r="AR78" s="135"/>
      <c r="AS78" s="135"/>
      <c r="AT78" s="135"/>
      <c r="AU78" s="135"/>
      <c r="AV78" s="135"/>
      <c r="AW78" s="135"/>
      <c r="AX78" s="135"/>
      <c r="AY78" s="135"/>
      <c r="AZ78" s="135"/>
      <c r="BA78" s="135"/>
      <c r="BB78" s="135"/>
      <c r="BC78" s="135"/>
      <c r="BD78" s="135"/>
      <c r="BE78" s="135"/>
      <c r="BF78" s="135"/>
      <c r="BG78" s="135"/>
      <c r="BH78" s="135"/>
      <c r="BI78" s="135"/>
      <c r="BJ78" s="135"/>
      <c r="BK78" s="135"/>
      <c r="BL78" s="135"/>
      <c r="BM78" s="135"/>
      <c r="BN78" s="135"/>
      <c r="BO78" s="135"/>
      <c r="BP78" s="135"/>
    </row>
    <row r="79" spans="1:68">
      <c r="A79" s="135"/>
      <c r="B79" s="807">
        <f>'Definition of Typical Day'!$M$13</f>
        <v>9</v>
      </c>
      <c r="C79" s="807">
        <f>'Definition of Typical Day'!$M$14</f>
        <v>9</v>
      </c>
      <c r="D79" s="659">
        <f t="shared" si="32"/>
        <v>0</v>
      </c>
      <c r="E79" s="659">
        <f ca="1">'Definition of Typical Year'!G24</f>
        <v>0</v>
      </c>
      <c r="F79" s="659">
        <f ca="1">'Definition of Typical Year'!H24</f>
        <v>0</v>
      </c>
      <c r="G79" s="659">
        <f ca="1">'Definition of Typical Year'!I24</f>
        <v>0</v>
      </c>
      <c r="H79" s="659">
        <f ca="1">'Definition of Typical Year'!J24</f>
        <v>3</v>
      </c>
      <c r="I79" s="659">
        <f ca="1">'Definition of Typical Year'!K24</f>
        <v>0</v>
      </c>
      <c r="J79" s="659">
        <f ca="1">'Definition of Typical Year'!L24</f>
        <v>3</v>
      </c>
      <c r="K79" s="135"/>
      <c r="L79" s="135"/>
      <c r="M79" s="135"/>
      <c r="N79" s="135"/>
      <c r="O79" s="135"/>
      <c r="P79" s="135"/>
      <c r="Q79" s="135"/>
      <c r="R79" s="135"/>
      <c r="S79" s="135"/>
      <c r="T79" s="135"/>
      <c r="U79" s="135"/>
      <c r="V79" s="135"/>
      <c r="W79" s="135"/>
      <c r="X79" s="135"/>
      <c r="Y79" s="135"/>
      <c r="Z79" s="135"/>
      <c r="AA79" s="135"/>
      <c r="AB79" s="135"/>
      <c r="AC79" s="135"/>
      <c r="AD79" s="135"/>
      <c r="AE79" s="135"/>
      <c r="AF79" s="135"/>
      <c r="AG79" s="135"/>
      <c r="AH79" s="135"/>
      <c r="AI79" s="135"/>
      <c r="AJ79" s="135"/>
      <c r="AK79" s="135"/>
      <c r="AL79" s="135"/>
      <c r="AM79" s="135"/>
      <c r="AN79" s="135"/>
      <c r="AO79" s="135"/>
      <c r="AP79" s="135"/>
      <c r="AQ79" s="135"/>
      <c r="AR79" s="135"/>
      <c r="AS79" s="135"/>
      <c r="AT79" s="135"/>
      <c r="AU79" s="135"/>
      <c r="AV79" s="135"/>
      <c r="AW79" s="135"/>
      <c r="AX79" s="135"/>
      <c r="AY79" s="135"/>
      <c r="AZ79" s="135"/>
      <c r="BA79" s="135"/>
      <c r="BB79" s="135"/>
      <c r="BC79" s="135"/>
      <c r="BD79" s="135"/>
      <c r="BE79" s="135"/>
      <c r="BF79" s="135"/>
      <c r="BG79" s="135"/>
      <c r="BH79" s="135"/>
      <c r="BI79" s="135"/>
      <c r="BJ79" s="135"/>
      <c r="BK79" s="135"/>
      <c r="BL79" s="135"/>
      <c r="BM79" s="135"/>
      <c r="BN79" s="135"/>
      <c r="BO79" s="135"/>
      <c r="BP79" s="135"/>
    </row>
    <row r="80" spans="1:68">
      <c r="A80" s="135"/>
      <c r="B80" s="807">
        <f>'Definition of Typical Day'!$N$13</f>
        <v>10</v>
      </c>
      <c r="C80" s="807">
        <f>'Definition of Typical Day'!$N$14</f>
        <v>10</v>
      </c>
      <c r="D80" s="659">
        <f t="shared" si="32"/>
        <v>0</v>
      </c>
      <c r="E80" s="659">
        <f ca="1">'Definition of Typical Year'!G25</f>
        <v>0</v>
      </c>
      <c r="F80" s="659">
        <f ca="1">'Definition of Typical Year'!H25</f>
        <v>0</v>
      </c>
      <c r="G80" s="659">
        <f ca="1">'Definition of Typical Year'!I25</f>
        <v>0</v>
      </c>
      <c r="H80" s="659">
        <f ca="1">'Definition of Typical Year'!J25</f>
        <v>3</v>
      </c>
      <c r="I80" s="659">
        <f ca="1">'Definition of Typical Year'!K25</f>
        <v>0</v>
      </c>
      <c r="J80" s="659">
        <f ca="1">'Definition of Typical Year'!L25</f>
        <v>3</v>
      </c>
      <c r="K80" s="135"/>
      <c r="L80" s="135"/>
      <c r="M80" s="135"/>
      <c r="N80" s="135"/>
      <c r="O80" s="135"/>
      <c r="P80" s="135"/>
      <c r="Q80" s="135"/>
      <c r="R80" s="135"/>
      <c r="S80" s="135"/>
      <c r="T80" s="135"/>
      <c r="U80" s="135"/>
      <c r="V80" s="135"/>
      <c r="W80" s="135"/>
      <c r="X80" s="135"/>
      <c r="Y80" s="135"/>
      <c r="Z80" s="135"/>
      <c r="AA80" s="135"/>
      <c r="AB80" s="135"/>
      <c r="AC80" s="135"/>
      <c r="AD80" s="135"/>
      <c r="AE80" s="135"/>
      <c r="AF80" s="135"/>
      <c r="AG80" s="135"/>
      <c r="AH80" s="135"/>
      <c r="AI80" s="135"/>
      <c r="AJ80" s="135"/>
      <c r="AK80" s="135"/>
      <c r="AL80" s="135"/>
      <c r="AM80" s="135"/>
      <c r="AN80" s="135"/>
      <c r="AO80" s="135"/>
      <c r="AP80" s="135"/>
      <c r="AQ80" s="135"/>
      <c r="AR80" s="135"/>
      <c r="AS80" s="135"/>
      <c r="AT80" s="135"/>
      <c r="AU80" s="135"/>
      <c r="AV80" s="135"/>
      <c r="AW80" s="135"/>
      <c r="AX80" s="135"/>
      <c r="AY80" s="135"/>
      <c r="AZ80" s="135"/>
      <c r="BA80" s="135"/>
      <c r="BB80" s="135"/>
      <c r="BC80" s="135"/>
      <c r="BD80" s="135"/>
      <c r="BE80" s="135"/>
      <c r="BF80" s="135"/>
      <c r="BG80" s="135"/>
      <c r="BH80" s="135"/>
      <c r="BI80" s="135"/>
      <c r="BJ80" s="135"/>
      <c r="BK80" s="135"/>
      <c r="BL80" s="135"/>
      <c r="BM80" s="135"/>
      <c r="BN80" s="135"/>
      <c r="BO80" s="135"/>
      <c r="BP80" s="135"/>
    </row>
    <row r="81" spans="1:72">
      <c r="A81" s="135"/>
      <c r="B81" s="807">
        <f>'Definition of Typical Day'!$O$13</f>
        <v>11</v>
      </c>
      <c r="C81" s="807">
        <f>'Definition of Typical Day'!$O$14</f>
        <v>11</v>
      </c>
      <c r="D81" s="659">
        <f t="shared" si="32"/>
        <v>0</v>
      </c>
      <c r="E81" s="659">
        <f ca="1">'Definition of Typical Year'!G26</f>
        <v>0</v>
      </c>
      <c r="F81" s="659">
        <f ca="1">'Definition of Typical Year'!H26</f>
        <v>0</v>
      </c>
      <c r="G81" s="659">
        <f ca="1">'Definition of Typical Year'!I26</f>
        <v>0</v>
      </c>
      <c r="H81" s="659">
        <f ca="1">'Definition of Typical Year'!J26</f>
        <v>3</v>
      </c>
      <c r="I81" s="659">
        <f ca="1">'Definition of Typical Year'!K26</f>
        <v>0</v>
      </c>
      <c r="J81" s="659">
        <f ca="1">'Definition of Typical Year'!L26</f>
        <v>3</v>
      </c>
      <c r="K81" s="135"/>
      <c r="L81" s="135"/>
      <c r="M81" s="135"/>
      <c r="N81" s="135"/>
      <c r="O81" s="135"/>
      <c r="P81" s="135"/>
      <c r="Q81" s="135"/>
      <c r="R81" s="135"/>
      <c r="S81" s="135"/>
      <c r="T81" s="135"/>
      <c r="U81" s="135"/>
      <c r="V81" s="135"/>
      <c r="W81" s="135"/>
      <c r="X81" s="135"/>
      <c r="Y81" s="135"/>
      <c r="Z81" s="135"/>
      <c r="AA81" s="135"/>
      <c r="AB81" s="135"/>
      <c r="AC81" s="135"/>
      <c r="AD81" s="135"/>
      <c r="AE81" s="135"/>
      <c r="AF81" s="135"/>
      <c r="AG81" s="135"/>
      <c r="AH81" s="135"/>
      <c r="AI81" s="135"/>
      <c r="AJ81" s="135"/>
      <c r="AK81" s="135"/>
      <c r="AL81" s="135"/>
      <c r="AM81" s="135"/>
      <c r="AN81" s="135"/>
      <c r="AO81" s="135"/>
      <c r="AP81" s="135"/>
      <c r="AQ81" s="135"/>
      <c r="AR81" s="135"/>
      <c r="AS81" s="135"/>
      <c r="AT81" s="135"/>
      <c r="AU81" s="135"/>
      <c r="AV81" s="135"/>
      <c r="AW81" s="135"/>
      <c r="AX81" s="135"/>
      <c r="AY81" s="135"/>
      <c r="AZ81" s="135"/>
      <c r="BA81" s="135"/>
      <c r="BB81" s="135"/>
      <c r="BC81" s="135"/>
      <c r="BD81" s="135"/>
      <c r="BE81" s="135"/>
      <c r="BF81" s="135"/>
      <c r="BG81" s="135"/>
      <c r="BH81" s="135"/>
      <c r="BI81" s="135"/>
      <c r="BJ81" s="135"/>
      <c r="BK81" s="135"/>
      <c r="BL81" s="135"/>
      <c r="BM81" s="135"/>
      <c r="BN81" s="135"/>
      <c r="BO81" s="135"/>
      <c r="BP81" s="135"/>
    </row>
    <row r="82" spans="1:72">
      <c r="A82" s="135"/>
      <c r="B82" s="807">
        <f>'Definition of Typical Day'!$P$13</f>
        <v>12</v>
      </c>
      <c r="C82" s="807">
        <f>'Definition of Typical Day'!$P$14</f>
        <v>12</v>
      </c>
      <c r="D82" s="659">
        <f t="shared" si="32"/>
        <v>0</v>
      </c>
      <c r="E82" s="659">
        <f ca="1">'Definition of Typical Year'!G27</f>
        <v>0</v>
      </c>
      <c r="F82" s="659">
        <f ca="1">'Definition of Typical Year'!H27</f>
        <v>0</v>
      </c>
      <c r="G82" s="659">
        <f ca="1">'Definition of Typical Year'!I27</f>
        <v>0</v>
      </c>
      <c r="H82" s="659">
        <f ca="1">'Definition of Typical Year'!J27</f>
        <v>3</v>
      </c>
      <c r="I82" s="659">
        <f ca="1">'Definition of Typical Year'!K27</f>
        <v>0</v>
      </c>
      <c r="J82" s="659">
        <f ca="1">'Definition of Typical Year'!L27</f>
        <v>3</v>
      </c>
      <c r="K82" s="135"/>
      <c r="L82" s="135"/>
      <c r="M82" s="135"/>
      <c r="N82" s="135"/>
      <c r="O82" s="135"/>
      <c r="P82" s="135"/>
      <c r="Q82" s="135"/>
      <c r="R82" s="135"/>
      <c r="S82" s="135"/>
      <c r="T82" s="135"/>
      <c r="U82" s="135"/>
      <c r="V82" s="135"/>
      <c r="W82" s="135"/>
      <c r="X82" s="135"/>
      <c r="Y82" s="135"/>
      <c r="Z82" s="135"/>
      <c r="AA82" s="135"/>
      <c r="AB82" s="135"/>
      <c r="AC82" s="135"/>
      <c r="AD82" s="135"/>
      <c r="AE82" s="135"/>
      <c r="AF82" s="135"/>
      <c r="AG82" s="135"/>
      <c r="AH82" s="135"/>
      <c r="AI82" s="135"/>
      <c r="AJ82" s="135"/>
      <c r="AK82" s="135"/>
      <c r="AL82" s="135"/>
      <c r="AM82" s="135"/>
      <c r="AN82" s="135"/>
      <c r="AO82" s="135"/>
      <c r="AP82" s="135"/>
      <c r="AQ82" s="135"/>
      <c r="AR82" s="135"/>
      <c r="AS82" s="135"/>
      <c r="AT82" s="135"/>
      <c r="AU82" s="135"/>
      <c r="AV82" s="135"/>
      <c r="AW82" s="135"/>
      <c r="AX82" s="135"/>
      <c r="AY82" s="135"/>
      <c r="AZ82" s="135"/>
      <c r="BA82" s="135"/>
      <c r="BB82" s="135"/>
      <c r="BC82" s="135"/>
      <c r="BD82" s="135"/>
      <c r="BE82" s="135"/>
      <c r="BF82" s="135"/>
      <c r="BG82" s="135"/>
      <c r="BH82" s="135"/>
      <c r="BI82" s="135"/>
      <c r="BJ82" s="135"/>
      <c r="BK82" s="135"/>
      <c r="BL82" s="135"/>
      <c r="BM82" s="135"/>
      <c r="BN82" s="135"/>
      <c r="BO82" s="135"/>
      <c r="BP82" s="135"/>
    </row>
    <row r="83" spans="1:72">
      <c r="A83" s="135"/>
      <c r="B83" s="807">
        <f>'Definition of Typical Day'!$Q$13</f>
        <v>13</v>
      </c>
      <c r="C83" s="807">
        <f>'Definition of Typical Day'!$Q$14</f>
        <v>13</v>
      </c>
      <c r="D83" s="659">
        <f t="shared" si="32"/>
        <v>0</v>
      </c>
      <c r="E83" s="659">
        <f ca="1">'Definition of Typical Year'!G28</f>
        <v>0</v>
      </c>
      <c r="F83" s="659">
        <f ca="1">'Definition of Typical Year'!H28</f>
        <v>0</v>
      </c>
      <c r="G83" s="659">
        <f ca="1">'Definition of Typical Year'!I28</f>
        <v>0</v>
      </c>
      <c r="H83" s="659">
        <f ca="1">'Definition of Typical Year'!J28</f>
        <v>3</v>
      </c>
      <c r="I83" s="659">
        <f ca="1">'Definition of Typical Year'!K28</f>
        <v>0</v>
      </c>
      <c r="J83" s="659">
        <f ca="1">'Definition of Typical Year'!L28</f>
        <v>3</v>
      </c>
      <c r="K83" s="135"/>
      <c r="L83" s="135"/>
      <c r="M83" s="135"/>
      <c r="N83" s="135"/>
      <c r="O83" s="135"/>
      <c r="P83" s="135"/>
      <c r="Q83" s="135"/>
      <c r="R83" s="135"/>
      <c r="S83" s="135"/>
      <c r="T83" s="135"/>
      <c r="U83" s="135"/>
      <c r="V83" s="135"/>
      <c r="W83" s="135"/>
      <c r="X83" s="135"/>
      <c r="Y83" s="135"/>
      <c r="Z83" s="135"/>
      <c r="AA83" s="135"/>
      <c r="AB83" s="135"/>
      <c r="AC83" s="135"/>
      <c r="AD83" s="135"/>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35"/>
      <c r="BA83" s="135"/>
      <c r="BB83" s="135"/>
      <c r="BC83" s="135"/>
      <c r="BD83" s="135"/>
      <c r="BE83" s="135"/>
      <c r="BF83" s="135"/>
      <c r="BG83" s="135"/>
      <c r="BH83" s="135"/>
      <c r="BI83" s="135"/>
      <c r="BJ83" s="135"/>
      <c r="BK83" s="135"/>
      <c r="BL83" s="135"/>
      <c r="BM83" s="135"/>
      <c r="BN83" s="135"/>
      <c r="BO83" s="135"/>
      <c r="BP83" s="135"/>
    </row>
    <row r="84" spans="1:72">
      <c r="A84" s="135"/>
      <c r="B84" s="807">
        <f>'Definition of Typical Day'!$R$13</f>
        <v>14</v>
      </c>
      <c r="C84" s="807">
        <f>'Definition of Typical Day'!$R$14</f>
        <v>14</v>
      </c>
      <c r="D84" s="659">
        <f t="shared" si="32"/>
        <v>0</v>
      </c>
      <c r="E84" s="659">
        <f ca="1">'Definition of Typical Year'!G29</f>
        <v>0</v>
      </c>
      <c r="F84" s="659">
        <f ca="1">'Definition of Typical Year'!H29</f>
        <v>0</v>
      </c>
      <c r="G84" s="659">
        <f ca="1">'Definition of Typical Year'!I29</f>
        <v>0</v>
      </c>
      <c r="H84" s="659">
        <f ca="1">'Definition of Typical Year'!J29</f>
        <v>3</v>
      </c>
      <c r="I84" s="659">
        <f ca="1">'Definition of Typical Year'!K29</f>
        <v>0</v>
      </c>
      <c r="J84" s="659">
        <f ca="1">'Definition of Typical Year'!L29</f>
        <v>3</v>
      </c>
      <c r="K84" s="135"/>
      <c r="L84" s="135"/>
      <c r="M84" s="135"/>
      <c r="N84" s="135"/>
      <c r="O84" s="135"/>
      <c r="P84" s="135"/>
      <c r="Q84" s="135"/>
      <c r="R84" s="135"/>
      <c r="S84" s="135"/>
      <c r="T84" s="135"/>
      <c r="U84" s="135"/>
      <c r="V84" s="135"/>
      <c r="W84" s="135"/>
      <c r="X84" s="135"/>
      <c r="Y84" s="135"/>
      <c r="Z84" s="135"/>
      <c r="AA84" s="135"/>
      <c r="AB84" s="135"/>
      <c r="AC84" s="135"/>
      <c r="AD84" s="135"/>
      <c r="AE84" s="135"/>
      <c r="AF84" s="135"/>
      <c r="AG84" s="135"/>
      <c r="AH84" s="135"/>
      <c r="AI84" s="135"/>
      <c r="AJ84" s="135"/>
      <c r="AK84" s="135"/>
      <c r="AL84" s="135"/>
      <c r="AM84" s="135"/>
      <c r="AN84" s="135"/>
      <c r="AO84" s="135"/>
      <c r="AP84" s="135"/>
      <c r="AQ84" s="135"/>
      <c r="AR84" s="135"/>
      <c r="AS84" s="135"/>
      <c r="AT84" s="135"/>
      <c r="AU84" s="135"/>
      <c r="AV84" s="135"/>
      <c r="AW84" s="135"/>
      <c r="AX84" s="135"/>
      <c r="AY84" s="135"/>
      <c r="AZ84" s="135"/>
      <c r="BA84" s="135"/>
      <c r="BB84" s="135"/>
      <c r="BC84" s="135"/>
      <c r="BD84" s="135"/>
      <c r="BE84" s="135"/>
      <c r="BF84" s="135"/>
      <c r="BG84" s="135"/>
      <c r="BH84" s="135"/>
      <c r="BI84" s="135"/>
      <c r="BJ84" s="135"/>
      <c r="BK84" s="135"/>
      <c r="BL84" s="135"/>
      <c r="BM84" s="135"/>
      <c r="BN84" s="135"/>
      <c r="BO84" s="135"/>
      <c r="BP84" s="135"/>
    </row>
    <row r="85" spans="1:72">
      <c r="A85" s="135"/>
      <c r="B85" s="807">
        <f>'Definition of Typical Day'!$S$13</f>
        <v>15</v>
      </c>
      <c r="C85" s="807">
        <f>'Definition of Typical Day'!$S$14</f>
        <v>15</v>
      </c>
      <c r="D85" s="659">
        <f t="shared" si="32"/>
        <v>0</v>
      </c>
      <c r="E85" s="659">
        <f ca="1">'Definition of Typical Year'!G30</f>
        <v>0</v>
      </c>
      <c r="F85" s="659">
        <f ca="1">'Definition of Typical Year'!H30</f>
        <v>0</v>
      </c>
      <c r="G85" s="659">
        <f ca="1">'Definition of Typical Year'!I30</f>
        <v>0</v>
      </c>
      <c r="H85" s="659">
        <f ca="1">'Definition of Typical Year'!J30</f>
        <v>3</v>
      </c>
      <c r="I85" s="659">
        <f ca="1">'Definition of Typical Year'!K30</f>
        <v>0</v>
      </c>
      <c r="J85" s="659">
        <f ca="1">'Definition of Typical Year'!L30</f>
        <v>3</v>
      </c>
      <c r="K85" s="135"/>
      <c r="L85" s="135"/>
      <c r="M85" s="135"/>
      <c r="N85" s="135"/>
      <c r="O85" s="135"/>
      <c r="P85" s="135"/>
      <c r="Q85" s="135"/>
      <c r="R85" s="135"/>
      <c r="S85" s="135"/>
      <c r="T85" s="135"/>
      <c r="U85" s="135"/>
      <c r="V85" s="135"/>
      <c r="W85" s="135"/>
      <c r="X85" s="135"/>
      <c r="Y85" s="135"/>
      <c r="Z85" s="135"/>
      <c r="AA85" s="135"/>
      <c r="AB85" s="135"/>
      <c r="AC85" s="135"/>
      <c r="AD85" s="135"/>
      <c r="AE85" s="135"/>
      <c r="AF85" s="135"/>
      <c r="AG85" s="135"/>
      <c r="AH85" s="135"/>
      <c r="AI85" s="135"/>
      <c r="AJ85" s="135"/>
      <c r="AK85" s="135"/>
      <c r="AL85" s="135"/>
      <c r="AM85" s="135"/>
      <c r="AN85" s="135"/>
      <c r="AO85" s="135"/>
      <c r="AP85" s="135"/>
      <c r="AQ85" s="135"/>
      <c r="AR85" s="135"/>
      <c r="AS85" s="135"/>
      <c r="AT85" s="135"/>
      <c r="AU85" s="135"/>
      <c r="AV85" s="135"/>
      <c r="AW85" s="135"/>
      <c r="AX85" s="135"/>
      <c r="AY85" s="135"/>
      <c r="AZ85" s="135"/>
      <c r="BA85" s="135"/>
      <c r="BB85" s="135"/>
      <c r="BC85" s="135"/>
      <c r="BD85" s="135"/>
      <c r="BE85" s="135"/>
      <c r="BF85" s="135"/>
      <c r="BG85" s="135"/>
      <c r="BH85" s="135"/>
      <c r="BI85" s="135"/>
      <c r="BJ85" s="135"/>
      <c r="BK85" s="135"/>
      <c r="BL85" s="135"/>
      <c r="BM85" s="135"/>
      <c r="BN85" s="135"/>
      <c r="BO85" s="135"/>
      <c r="BP85" s="135"/>
    </row>
    <row r="86" spans="1:72">
      <c r="A86" s="135"/>
      <c r="B86" s="807">
        <f>'Definition of Typical Day'!$T$13</f>
        <v>16</v>
      </c>
      <c r="C86" s="807">
        <f>'Definition of Typical Day'!$T$14</f>
        <v>16</v>
      </c>
      <c r="D86" s="659">
        <f t="shared" si="32"/>
        <v>0</v>
      </c>
      <c r="E86" s="659">
        <f ca="1">'Definition of Typical Year'!G31</f>
        <v>0</v>
      </c>
      <c r="F86" s="659">
        <f ca="1">'Definition of Typical Year'!H31</f>
        <v>0</v>
      </c>
      <c r="G86" s="659">
        <f ca="1">'Definition of Typical Year'!I31</f>
        <v>0</v>
      </c>
      <c r="H86" s="659">
        <f ca="1">'Definition of Typical Year'!J31</f>
        <v>3</v>
      </c>
      <c r="I86" s="659">
        <f ca="1">'Definition of Typical Year'!K31</f>
        <v>0</v>
      </c>
      <c r="J86" s="659">
        <f ca="1">'Definition of Typical Year'!L31</f>
        <v>3</v>
      </c>
      <c r="K86" s="135"/>
      <c r="L86" s="135"/>
      <c r="M86" s="135"/>
      <c r="N86" s="135"/>
      <c r="O86" s="135"/>
      <c r="P86" s="135"/>
      <c r="Q86" s="135"/>
      <c r="R86" s="135"/>
      <c r="S86" s="135"/>
      <c r="T86" s="135"/>
      <c r="U86" s="135"/>
      <c r="V86" s="135"/>
      <c r="W86" s="135"/>
      <c r="X86" s="135"/>
      <c r="Y86" s="135"/>
      <c r="Z86" s="135"/>
      <c r="AA86" s="135"/>
      <c r="AB86" s="135"/>
      <c r="AC86" s="135"/>
      <c r="AD86" s="135"/>
      <c r="AE86" s="135"/>
      <c r="AF86" s="135"/>
      <c r="AG86" s="135"/>
      <c r="AH86" s="135"/>
      <c r="AI86" s="135"/>
      <c r="AJ86" s="135"/>
      <c r="AK86" s="135"/>
      <c r="AL86" s="135"/>
      <c r="AM86" s="135"/>
      <c r="AN86" s="135"/>
      <c r="AO86" s="135"/>
      <c r="AP86" s="135"/>
      <c r="AQ86" s="135"/>
      <c r="AR86" s="135"/>
      <c r="AS86" s="135"/>
      <c r="AT86" s="135"/>
      <c r="AU86" s="135"/>
      <c r="AV86" s="135"/>
      <c r="AW86" s="135"/>
      <c r="AX86" s="135"/>
      <c r="AY86" s="135"/>
      <c r="AZ86" s="135"/>
      <c r="BA86" s="135"/>
      <c r="BB86" s="135"/>
      <c r="BC86" s="135"/>
      <c r="BD86" s="135"/>
      <c r="BE86" s="135"/>
      <c r="BF86" s="135"/>
      <c r="BG86" s="135"/>
      <c r="BH86" s="135"/>
      <c r="BI86" s="135"/>
      <c r="BJ86" s="135"/>
      <c r="BK86" s="135"/>
      <c r="BL86" s="135"/>
      <c r="BM86" s="135"/>
      <c r="BN86" s="135"/>
      <c r="BO86" s="135"/>
      <c r="BP86" s="135"/>
    </row>
    <row r="87" spans="1:72">
      <c r="A87" s="135"/>
      <c r="B87" s="807">
        <f>'Definition of Typical Day'!$U$13</f>
        <v>17</v>
      </c>
      <c r="C87" s="807">
        <f>'Definition of Typical Day'!$U$14</f>
        <v>17</v>
      </c>
      <c r="D87" s="659">
        <f t="shared" si="32"/>
        <v>0</v>
      </c>
      <c r="E87" s="659">
        <f ca="1">'Definition of Typical Year'!G32</f>
        <v>0</v>
      </c>
      <c r="F87" s="659">
        <f ca="1">'Definition of Typical Year'!H32</f>
        <v>0</v>
      </c>
      <c r="G87" s="659">
        <f ca="1">'Definition of Typical Year'!I32</f>
        <v>0</v>
      </c>
      <c r="H87" s="659">
        <f ca="1">'Definition of Typical Year'!J32</f>
        <v>3</v>
      </c>
      <c r="I87" s="659">
        <f ca="1">'Definition of Typical Year'!K32</f>
        <v>0</v>
      </c>
      <c r="J87" s="659">
        <f ca="1">'Definition of Typical Year'!L32</f>
        <v>3</v>
      </c>
      <c r="K87" s="135"/>
      <c r="L87" s="135"/>
      <c r="M87" s="135"/>
      <c r="N87" s="135"/>
      <c r="O87" s="135"/>
      <c r="P87" s="135"/>
      <c r="Q87" s="135"/>
      <c r="R87" s="135"/>
      <c r="S87" s="135"/>
      <c r="T87" s="135"/>
      <c r="U87" s="135"/>
      <c r="V87" s="135"/>
      <c r="W87" s="135"/>
      <c r="X87" s="135"/>
      <c r="Y87" s="135"/>
      <c r="Z87" s="135"/>
      <c r="AA87" s="135"/>
      <c r="AB87" s="135"/>
      <c r="AC87" s="135"/>
      <c r="AD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35"/>
      <c r="BB87" s="135"/>
      <c r="BC87" s="135"/>
      <c r="BD87" s="135"/>
      <c r="BE87" s="135"/>
      <c r="BF87" s="135"/>
      <c r="BG87" s="135"/>
      <c r="BH87" s="135"/>
      <c r="BI87" s="135"/>
      <c r="BJ87" s="135"/>
      <c r="BK87" s="135"/>
      <c r="BL87" s="135"/>
      <c r="BM87" s="135"/>
      <c r="BN87" s="135"/>
      <c r="BO87" s="135"/>
      <c r="BP87" s="135"/>
    </row>
    <row r="88" spans="1:72">
      <c r="A88" s="135"/>
      <c r="B88" s="807">
        <f>'Definition of Typical Day'!$V$13</f>
        <v>18</v>
      </c>
      <c r="C88" s="807">
        <f>'Definition of Typical Day'!$V$14</f>
        <v>18</v>
      </c>
      <c r="D88" s="659">
        <f t="shared" si="32"/>
        <v>0</v>
      </c>
      <c r="E88" s="659">
        <f ca="1">'Definition of Typical Year'!G33</f>
        <v>0</v>
      </c>
      <c r="F88" s="659">
        <f ca="1">'Definition of Typical Year'!H33</f>
        <v>0</v>
      </c>
      <c r="G88" s="659">
        <f ca="1">'Definition of Typical Year'!I33</f>
        <v>0</v>
      </c>
      <c r="H88" s="659">
        <f ca="1">'Definition of Typical Year'!J33</f>
        <v>3</v>
      </c>
      <c r="I88" s="659">
        <f ca="1">'Definition of Typical Year'!K33</f>
        <v>0</v>
      </c>
      <c r="J88" s="659">
        <f ca="1">'Definition of Typical Year'!L33</f>
        <v>3</v>
      </c>
      <c r="K88" s="135"/>
      <c r="L88" s="135"/>
      <c r="M88" s="135"/>
      <c r="N88" s="135"/>
      <c r="O88" s="135"/>
      <c r="P88" s="135"/>
      <c r="Q88" s="135"/>
      <c r="R88" s="135"/>
      <c r="S88" s="135"/>
      <c r="T88" s="135"/>
      <c r="U88" s="135"/>
      <c r="V88" s="135"/>
      <c r="W88" s="135"/>
      <c r="X88" s="135"/>
      <c r="Y88" s="135"/>
      <c r="Z88" s="135"/>
      <c r="AA88" s="135"/>
      <c r="AB88" s="135"/>
      <c r="AC88" s="135"/>
      <c r="AD88" s="135"/>
      <c r="AE88" s="135"/>
      <c r="AF88" s="135"/>
      <c r="AG88" s="135"/>
      <c r="AH88" s="135"/>
      <c r="AI88" s="135"/>
      <c r="AJ88" s="135"/>
      <c r="AK88" s="135"/>
      <c r="AL88" s="135"/>
      <c r="AM88" s="135"/>
      <c r="AN88" s="135"/>
      <c r="AO88" s="135"/>
      <c r="AP88" s="135"/>
      <c r="AQ88" s="135"/>
      <c r="AR88" s="135"/>
      <c r="AS88" s="135"/>
      <c r="AT88" s="135"/>
      <c r="AU88" s="135"/>
      <c r="AV88" s="135"/>
      <c r="AW88" s="135"/>
      <c r="AX88" s="135"/>
      <c r="AY88" s="135"/>
      <c r="AZ88" s="135"/>
      <c r="BA88" s="135"/>
      <c r="BB88" s="135"/>
      <c r="BC88" s="135"/>
      <c r="BD88" s="135"/>
      <c r="BE88" s="135"/>
      <c r="BF88" s="135"/>
      <c r="BG88" s="135"/>
      <c r="BH88" s="135"/>
      <c r="BI88" s="135"/>
      <c r="BJ88" s="135"/>
      <c r="BK88" s="135"/>
      <c r="BL88" s="135"/>
      <c r="BM88" s="135"/>
      <c r="BN88" s="135"/>
      <c r="BO88" s="135"/>
      <c r="BP88" s="135"/>
    </row>
    <row r="89" spans="1:72">
      <c r="A89" s="135"/>
      <c r="B89" s="807">
        <f>'Definition of Typical Day'!$W$13</f>
        <v>19</v>
      </c>
      <c r="C89" s="807">
        <f>'Definition of Typical Day'!$W$14</f>
        <v>19</v>
      </c>
      <c r="D89" s="659">
        <f t="shared" si="32"/>
        <v>0</v>
      </c>
      <c r="E89" s="659">
        <f ca="1">'Definition of Typical Year'!G34</f>
        <v>0</v>
      </c>
      <c r="F89" s="659">
        <f ca="1">'Definition of Typical Year'!H34</f>
        <v>0</v>
      </c>
      <c r="G89" s="659">
        <f ca="1">'Definition of Typical Year'!I34</f>
        <v>0</v>
      </c>
      <c r="H89" s="659">
        <f ca="1">'Definition of Typical Year'!J34</f>
        <v>3</v>
      </c>
      <c r="I89" s="659">
        <f ca="1">'Definition of Typical Year'!K34</f>
        <v>0</v>
      </c>
      <c r="J89" s="659">
        <f ca="1">'Definition of Typical Year'!L34</f>
        <v>3</v>
      </c>
      <c r="K89" s="135"/>
      <c r="L89" s="135"/>
      <c r="M89" s="135"/>
      <c r="N89" s="135"/>
      <c r="O89" s="135"/>
      <c r="P89" s="135"/>
      <c r="Q89" s="135"/>
      <c r="R89" s="135"/>
      <c r="S89" s="135"/>
      <c r="T89" s="135"/>
      <c r="U89" s="135"/>
      <c r="V89" s="135"/>
      <c r="W89" s="135"/>
      <c r="X89" s="135"/>
      <c r="Y89" s="135"/>
      <c r="Z89" s="135"/>
      <c r="AA89" s="135"/>
      <c r="AB89" s="135"/>
      <c r="AC89" s="135"/>
      <c r="AD89" s="135"/>
      <c r="AE89" s="135"/>
      <c r="AF89" s="135"/>
      <c r="AG89" s="135"/>
      <c r="AH89" s="135"/>
      <c r="AI89" s="135"/>
      <c r="AJ89" s="135"/>
      <c r="AK89" s="135"/>
      <c r="AL89" s="135"/>
      <c r="AM89" s="135"/>
      <c r="AN89" s="135"/>
      <c r="AO89" s="135"/>
      <c r="AP89" s="135"/>
      <c r="AQ89" s="135"/>
      <c r="AR89" s="135"/>
      <c r="AS89" s="135"/>
      <c r="AT89" s="135"/>
      <c r="AU89" s="135"/>
      <c r="AV89" s="135"/>
      <c r="AW89" s="135"/>
      <c r="AX89" s="135"/>
      <c r="AY89" s="135"/>
      <c r="AZ89" s="135"/>
      <c r="BA89" s="135"/>
      <c r="BB89" s="135"/>
      <c r="BC89" s="135"/>
      <c r="BD89" s="135"/>
      <c r="BE89" s="135"/>
      <c r="BF89" s="135"/>
      <c r="BG89" s="135"/>
      <c r="BH89" s="135"/>
      <c r="BI89" s="135"/>
      <c r="BJ89" s="135"/>
      <c r="BK89" s="135"/>
      <c r="BL89" s="135"/>
      <c r="BM89" s="135"/>
      <c r="BN89" s="135"/>
      <c r="BO89" s="135"/>
      <c r="BP89" s="135"/>
    </row>
    <row r="90" spans="1:72">
      <c r="A90" s="135"/>
      <c r="B90" s="807">
        <f>'Definition of Typical Day'!$X$13</f>
        <v>20</v>
      </c>
      <c r="C90" s="807" t="str">
        <f>'Definition of Typical Day'!$X$14</f>
        <v>20</v>
      </c>
      <c r="D90" s="659">
        <f t="shared" si="32"/>
        <v>0</v>
      </c>
      <c r="E90" s="659">
        <f ca="1">'Definition of Typical Year'!G35</f>
        <v>30</v>
      </c>
      <c r="F90" s="659">
        <f ca="1">'Definition of Typical Year'!H35</f>
        <v>27</v>
      </c>
      <c r="G90" s="659">
        <f ca="1">'Definition of Typical Year'!I35</f>
        <v>83.305555555555543</v>
      </c>
      <c r="H90" s="659">
        <f ca="1">'Definition of Typical Year'!J35</f>
        <v>86.305555555555543</v>
      </c>
      <c r="I90" s="659">
        <f ca="1">'Definition of Typical Year'!K35</f>
        <v>43.125</v>
      </c>
      <c r="J90" s="659">
        <f ca="1">'Definition of Typical Year'!L35</f>
        <v>46.125</v>
      </c>
      <c r="K90" s="135"/>
      <c r="L90" s="135"/>
      <c r="M90" s="135"/>
      <c r="N90" s="135"/>
      <c r="O90" s="135"/>
      <c r="P90" s="135"/>
      <c r="Q90" s="135"/>
      <c r="R90" s="135"/>
      <c r="S90" s="135"/>
      <c r="T90" s="135"/>
      <c r="U90" s="135"/>
      <c r="V90" s="135"/>
      <c r="W90" s="135"/>
      <c r="X90" s="135"/>
      <c r="Y90" s="135"/>
      <c r="Z90" s="135"/>
      <c r="AA90" s="135"/>
      <c r="AB90" s="135"/>
      <c r="AC90" s="135"/>
      <c r="AD90" s="135"/>
      <c r="AE90" s="135"/>
      <c r="AF90" s="135"/>
      <c r="AG90" s="135"/>
      <c r="AH90" s="135"/>
      <c r="AI90" s="135"/>
      <c r="AJ90" s="135"/>
      <c r="AK90" s="135"/>
      <c r="AL90" s="135"/>
      <c r="AM90" s="135"/>
      <c r="AN90" s="135"/>
      <c r="AO90" s="135"/>
      <c r="AP90" s="135"/>
      <c r="AQ90" s="135"/>
      <c r="AR90" s="135"/>
      <c r="AS90" s="135"/>
      <c r="AT90" s="135"/>
      <c r="AU90" s="135"/>
      <c r="AV90" s="135"/>
      <c r="AW90" s="135"/>
      <c r="AX90" s="135"/>
      <c r="AY90" s="135"/>
      <c r="AZ90" s="135"/>
      <c r="BA90" s="135"/>
      <c r="BB90" s="135"/>
      <c r="BC90" s="135"/>
      <c r="BD90" s="135"/>
      <c r="BE90" s="135"/>
      <c r="BF90" s="135"/>
      <c r="BG90" s="135"/>
      <c r="BH90" s="135"/>
      <c r="BI90" s="135"/>
      <c r="BJ90" s="135"/>
      <c r="BK90" s="135"/>
      <c r="BL90" s="135"/>
      <c r="BM90" s="135"/>
      <c r="BN90" s="135"/>
      <c r="BO90" s="135"/>
      <c r="BP90" s="135"/>
    </row>
    <row r="91" spans="1:72">
      <c r="A91" s="135"/>
      <c r="B91" s="7"/>
      <c r="C91" s="7"/>
      <c r="D91" s="809">
        <f>SUM(D71:D90)</f>
        <v>365.00000000000006</v>
      </c>
      <c r="E91" s="135"/>
      <c r="F91" s="135"/>
      <c r="G91" s="135"/>
      <c r="H91" s="135"/>
      <c r="I91" s="135"/>
      <c r="J91" s="135"/>
      <c r="K91" s="135"/>
      <c r="L91" s="135"/>
      <c r="M91" s="135"/>
      <c r="N91" s="135"/>
      <c r="O91" s="135"/>
      <c r="P91" s="135"/>
      <c r="Q91" s="135"/>
      <c r="R91" s="135"/>
      <c r="S91" s="135"/>
      <c r="T91" s="135"/>
      <c r="U91" s="135"/>
      <c r="V91" s="135"/>
      <c r="W91" s="135"/>
      <c r="X91" s="135"/>
      <c r="Y91" s="135"/>
      <c r="Z91" s="135"/>
      <c r="AA91" s="135"/>
      <c r="AB91" s="135"/>
      <c r="AC91" s="135"/>
      <c r="AD91" s="135"/>
      <c r="AE91" s="135"/>
      <c r="AF91" s="135"/>
      <c r="AG91" s="135"/>
      <c r="AH91" s="135"/>
      <c r="AI91" s="135"/>
      <c r="AJ91" s="135"/>
      <c r="AK91" s="135"/>
      <c r="AL91" s="135"/>
      <c r="AM91" s="135"/>
      <c r="AN91" s="135"/>
      <c r="AO91" s="135"/>
      <c r="AP91" s="135"/>
      <c r="AQ91" s="135"/>
      <c r="AR91" s="135"/>
      <c r="AS91" s="135"/>
      <c r="AT91" s="135"/>
      <c r="AU91" s="135"/>
      <c r="AV91" s="135"/>
      <c r="AW91" s="135"/>
      <c r="AX91" s="135"/>
      <c r="AY91" s="135"/>
      <c r="AZ91" s="135"/>
      <c r="BA91" s="135"/>
      <c r="BB91" s="135"/>
      <c r="BC91" s="135"/>
      <c r="BD91" s="135"/>
      <c r="BE91" s="135"/>
      <c r="BF91" s="135"/>
      <c r="BG91" s="135"/>
      <c r="BH91" s="135"/>
      <c r="BI91" s="135"/>
      <c r="BJ91" s="135"/>
      <c r="BK91" s="135"/>
      <c r="BL91" s="135"/>
      <c r="BM91" s="135"/>
      <c r="BN91" s="135"/>
      <c r="BO91" s="135"/>
      <c r="BP91" s="135"/>
    </row>
    <row r="92" spans="1:72">
      <c r="A92" s="135"/>
      <c r="B92" s="135"/>
      <c r="C92" s="135"/>
      <c r="D92" s="135"/>
      <c r="E92" s="135"/>
      <c r="F92" s="135"/>
      <c r="G92" s="135"/>
      <c r="H92" s="135"/>
      <c r="I92" s="135"/>
      <c r="J92" s="135"/>
      <c r="K92" s="135"/>
      <c r="L92" s="135"/>
      <c r="M92" s="135"/>
      <c r="N92" s="135"/>
      <c r="O92" s="135"/>
      <c r="P92" s="135"/>
      <c r="Q92" s="135"/>
      <c r="R92" s="135"/>
      <c r="S92" s="135"/>
      <c r="T92" s="135"/>
      <c r="U92" s="135"/>
      <c r="V92" s="135"/>
      <c r="W92" s="135"/>
      <c r="X92" s="135"/>
      <c r="Y92" s="135"/>
      <c r="Z92" s="135"/>
      <c r="AA92" s="135"/>
      <c r="AB92" s="135"/>
      <c r="AC92" s="135"/>
      <c r="AD92" s="135"/>
      <c r="AE92" s="135"/>
      <c r="AF92" s="135"/>
      <c r="AG92" s="135"/>
      <c r="AH92" s="135"/>
      <c r="AI92" s="135"/>
      <c r="AJ92" s="135"/>
      <c r="AK92" s="135"/>
      <c r="AL92" s="135"/>
      <c r="AM92" s="135"/>
      <c r="AN92" s="135"/>
      <c r="AO92" s="135"/>
      <c r="AP92" s="135"/>
      <c r="AQ92" s="135"/>
      <c r="AR92" s="135"/>
      <c r="AS92" s="135"/>
      <c r="AT92" s="135"/>
      <c r="AU92" s="135"/>
      <c r="AV92" s="135"/>
      <c r="AW92" s="135"/>
      <c r="AX92" s="135"/>
      <c r="AY92" s="135"/>
      <c r="AZ92" s="135"/>
      <c r="BA92" s="135"/>
      <c r="BB92" s="135"/>
      <c r="BC92" s="135"/>
      <c r="BD92" s="135"/>
      <c r="BE92" s="135"/>
      <c r="BF92" s="135"/>
      <c r="BG92" s="135"/>
      <c r="BH92" s="135"/>
      <c r="BI92" s="135"/>
      <c r="BJ92" s="135"/>
      <c r="BK92" s="135"/>
      <c r="BL92" s="135"/>
      <c r="BM92" s="135"/>
      <c r="BN92" s="135"/>
      <c r="BO92" s="135"/>
      <c r="BP92" s="135"/>
    </row>
    <row r="93" spans="1:72">
      <c r="A93" s="135"/>
      <c r="B93" s="135"/>
      <c r="C93" s="135"/>
      <c r="D93" s="731" t="s">
        <v>888</v>
      </c>
      <c r="E93" s="810">
        <f t="shared" ref="E93:J93" ca="1" si="33">SUMPRODUCT($D$71:$D$90,E71:E90)/$D$91</f>
        <v>39.999999999999993</v>
      </c>
      <c r="F93" s="810">
        <f t="shared" ca="1" si="33"/>
        <v>37</v>
      </c>
      <c r="G93" s="810">
        <f t="shared" ca="1" si="33"/>
        <v>77.148763752088001</v>
      </c>
      <c r="H93" s="810">
        <f t="shared" ca="1" si="33"/>
        <v>80.148763752087987</v>
      </c>
      <c r="I93" s="810">
        <f t="shared" ca="1" si="33"/>
        <v>44.999999999999993</v>
      </c>
      <c r="J93" s="810">
        <f t="shared" ca="1" si="33"/>
        <v>48</v>
      </c>
      <c r="K93" s="135"/>
      <c r="L93" s="135"/>
      <c r="M93" s="135"/>
      <c r="N93" s="135"/>
      <c r="O93" s="135"/>
      <c r="P93" s="135"/>
      <c r="Q93" s="135"/>
      <c r="R93" s="135"/>
      <c r="S93" s="135"/>
      <c r="T93" s="135"/>
      <c r="U93" s="135"/>
      <c r="V93" s="135"/>
      <c r="W93" s="135"/>
      <c r="X93" s="135"/>
      <c r="Y93" s="135"/>
      <c r="Z93" s="135"/>
      <c r="AA93" s="135"/>
      <c r="AB93" s="135"/>
      <c r="AC93" s="135"/>
      <c r="AD93" s="135"/>
      <c r="AE93" s="135"/>
      <c r="AF93" s="135"/>
      <c r="AG93" s="135"/>
      <c r="AH93" s="135"/>
      <c r="AI93" s="135"/>
      <c r="AJ93" s="135"/>
      <c r="AK93" s="135"/>
      <c r="AL93" s="135"/>
      <c r="AM93" s="135"/>
      <c r="AN93" s="135"/>
      <c r="AO93" s="135"/>
      <c r="AP93" s="135"/>
      <c r="AQ93" s="135"/>
      <c r="AR93" s="135"/>
      <c r="AS93" s="135"/>
      <c r="AT93" s="135"/>
      <c r="AU93" s="135"/>
      <c r="AV93" s="135"/>
      <c r="AW93" s="135"/>
      <c r="AX93" s="135"/>
      <c r="AY93" s="135"/>
      <c r="AZ93" s="135"/>
      <c r="BA93" s="135"/>
      <c r="BB93" s="135"/>
      <c r="BC93" s="135"/>
      <c r="BD93" s="135"/>
      <c r="BE93" s="135"/>
      <c r="BF93" s="135"/>
      <c r="BG93" s="135"/>
      <c r="BH93" s="135"/>
      <c r="BI93" s="135"/>
      <c r="BJ93" s="135"/>
      <c r="BK93" s="135"/>
      <c r="BL93" s="135"/>
      <c r="BM93" s="135"/>
      <c r="BN93" s="135"/>
      <c r="BO93" s="135"/>
      <c r="BP93" s="135"/>
    </row>
    <row r="94" spans="1:72" s="196" customFormat="1">
      <c r="A94" s="135"/>
      <c r="B94" s="135"/>
      <c r="C94" s="135"/>
      <c r="D94" s="135"/>
      <c r="E94" s="135"/>
      <c r="F94" s="135"/>
      <c r="G94" s="135"/>
      <c r="H94" s="135"/>
      <c r="I94" s="135"/>
      <c r="J94" s="135"/>
      <c r="K94" s="135"/>
      <c r="L94" s="135"/>
      <c r="M94" s="135"/>
      <c r="N94" s="135"/>
      <c r="O94" s="135"/>
      <c r="P94" s="135"/>
      <c r="Q94" s="135"/>
      <c r="R94" s="135"/>
      <c r="S94" s="135"/>
      <c r="T94" s="135"/>
      <c r="U94" s="135"/>
      <c r="V94" s="135"/>
      <c r="W94" s="135"/>
      <c r="X94" s="135"/>
      <c r="Y94" s="135"/>
      <c r="Z94" s="135"/>
      <c r="AA94" s="135"/>
      <c r="AB94" s="135"/>
      <c r="AC94" s="135"/>
      <c r="AD94" s="135"/>
      <c r="AE94" s="135"/>
      <c r="AF94" s="135"/>
      <c r="AG94" s="135"/>
      <c r="AH94" s="135"/>
      <c r="AI94" s="135"/>
      <c r="AJ94" s="135"/>
      <c r="AK94" s="135"/>
      <c r="AL94" s="135"/>
      <c r="AM94" s="135"/>
      <c r="AN94" s="135"/>
      <c r="AO94" s="135"/>
      <c r="AP94" s="135"/>
      <c r="AQ94" s="135"/>
      <c r="AR94" s="135"/>
      <c r="AS94" s="135"/>
      <c r="AT94" s="135"/>
      <c r="AU94" s="135"/>
      <c r="AV94" s="135"/>
      <c r="AW94" s="135"/>
      <c r="AX94" s="135"/>
      <c r="AY94" s="135"/>
      <c r="AZ94" s="135"/>
      <c r="BA94" s="135"/>
      <c r="BB94" s="135"/>
      <c r="BC94" s="135"/>
      <c r="BD94" s="135"/>
      <c r="BE94" s="135"/>
      <c r="BF94" s="135"/>
      <c r="BG94" s="135"/>
      <c r="BH94" s="135"/>
      <c r="BI94" s="135"/>
      <c r="BJ94" s="135"/>
      <c r="BK94" s="135"/>
      <c r="BL94" s="135"/>
      <c r="BM94" s="135"/>
      <c r="BN94" s="135"/>
      <c r="BO94" s="135"/>
      <c r="BP94" s="135"/>
      <c r="BQ94" s="135"/>
      <c r="BR94" s="135"/>
      <c r="BS94" s="135"/>
      <c r="BT94" s="135"/>
    </row>
    <row r="95" spans="1:72" s="196" customFormat="1">
      <c r="A95" s="135"/>
      <c r="B95" s="135"/>
      <c r="C95" s="135"/>
      <c r="D95" s="135"/>
      <c r="E95" s="135"/>
      <c r="F95" s="135"/>
      <c r="G95" s="135"/>
      <c r="H95" s="135"/>
      <c r="I95" s="135"/>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5"/>
      <c r="AH95" s="135"/>
      <c r="AI95" s="135"/>
      <c r="AJ95" s="135"/>
      <c r="AK95" s="135"/>
      <c r="AL95" s="135"/>
      <c r="AM95" s="135"/>
      <c r="AN95" s="135"/>
      <c r="AO95" s="135"/>
      <c r="AP95" s="135"/>
      <c r="AQ95" s="135"/>
      <c r="AR95" s="135"/>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5"/>
      <c r="BP95" s="135"/>
      <c r="BQ95" s="135"/>
      <c r="BR95" s="135"/>
      <c r="BS95" s="135"/>
      <c r="BT95" s="135"/>
    </row>
    <row r="96" spans="1:72" s="196" customFormat="1">
      <c r="A96" s="135"/>
      <c r="B96" s="135"/>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row>
    <row r="97" spans="1:72" s="196" customFormat="1">
      <c r="A97" s="135"/>
      <c r="B97" s="135"/>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row>
    <row r="98" spans="1:72" s="196" customFormat="1">
      <c r="A98" s="135"/>
      <c r="B98" s="135"/>
      <c r="C98" s="135"/>
      <c r="D98" s="135"/>
      <c r="E98" s="135"/>
      <c r="F98" s="135"/>
      <c r="G98" s="135"/>
      <c r="H98" s="135"/>
      <c r="I98" s="135"/>
      <c r="J98" s="135"/>
      <c r="K98" s="135"/>
      <c r="L98" s="135"/>
      <c r="M98" s="135"/>
      <c r="N98" s="135"/>
      <c r="O98" s="135"/>
      <c r="P98" s="135"/>
      <c r="Q98" s="135"/>
      <c r="R98" s="135"/>
      <c r="S98" s="135"/>
      <c r="T98" s="135"/>
      <c r="U98" s="135"/>
      <c r="V98" s="135"/>
      <c r="W98" s="135"/>
      <c r="X98" s="135"/>
      <c r="Y98" s="135"/>
      <c r="Z98" s="135"/>
      <c r="AA98" s="135"/>
      <c r="AB98" s="135"/>
      <c r="AC98" s="135"/>
      <c r="AD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c r="BC98" s="135"/>
      <c r="BD98" s="135"/>
      <c r="BE98" s="135"/>
      <c r="BF98" s="135"/>
      <c r="BG98" s="135"/>
      <c r="BH98" s="135"/>
      <c r="BI98" s="135"/>
      <c r="BJ98" s="135"/>
      <c r="BK98" s="135"/>
      <c r="BL98" s="135"/>
      <c r="BM98" s="135"/>
      <c r="BN98" s="135"/>
      <c r="BO98" s="135"/>
      <c r="BP98" s="135"/>
      <c r="BQ98" s="135"/>
      <c r="BR98" s="135"/>
      <c r="BS98" s="135"/>
      <c r="BT98" s="135"/>
    </row>
    <row r="99" spans="1:72" s="196" customFormat="1">
      <c r="A99" s="135"/>
      <c r="B99" s="135"/>
      <c r="C99" s="135"/>
      <c r="D99" s="135"/>
      <c r="E99" s="135"/>
      <c r="F99" s="135"/>
      <c r="G99" s="135"/>
      <c r="H99" s="135"/>
      <c r="I99" s="135"/>
      <c r="J99" s="135"/>
      <c r="K99" s="135"/>
      <c r="L99" s="135"/>
      <c r="M99" s="135"/>
      <c r="N99" s="135"/>
      <c r="O99" s="135"/>
      <c r="P99" s="135"/>
      <c r="Q99" s="135"/>
      <c r="R99" s="135"/>
      <c r="S99" s="135"/>
      <c r="T99" s="135"/>
      <c r="U99" s="135"/>
      <c r="V99" s="135"/>
      <c r="W99" s="135"/>
      <c r="X99" s="135"/>
      <c r="Y99" s="135"/>
      <c r="Z99" s="135"/>
      <c r="AA99" s="135"/>
      <c r="AB99" s="135"/>
      <c r="AC99" s="135"/>
      <c r="AD99" s="135"/>
      <c r="AE99" s="135"/>
      <c r="AF99" s="135"/>
      <c r="AG99" s="135"/>
      <c r="AH99" s="135"/>
      <c r="AI99" s="135"/>
      <c r="AJ99" s="135"/>
      <c r="AK99" s="135"/>
      <c r="AL99" s="135"/>
      <c r="AM99" s="135"/>
      <c r="AN99" s="135"/>
      <c r="AO99" s="135"/>
      <c r="AP99" s="135"/>
      <c r="AQ99" s="135"/>
      <c r="AR99" s="135"/>
      <c r="AS99" s="135"/>
      <c r="AT99" s="135"/>
      <c r="AU99" s="135"/>
      <c r="AV99" s="135"/>
      <c r="AW99" s="135"/>
      <c r="AX99" s="135"/>
      <c r="AY99" s="135"/>
      <c r="AZ99" s="135"/>
      <c r="BA99" s="135"/>
      <c r="BB99" s="135"/>
      <c r="BC99" s="135"/>
      <c r="BD99" s="135"/>
      <c r="BE99" s="135"/>
      <c r="BF99" s="135"/>
      <c r="BG99" s="135"/>
      <c r="BH99" s="135"/>
      <c r="BI99" s="135"/>
      <c r="BJ99" s="135"/>
      <c r="BK99" s="135"/>
      <c r="BL99" s="135"/>
      <c r="BM99" s="135"/>
      <c r="BN99" s="135"/>
      <c r="BO99" s="135"/>
      <c r="BP99" s="135"/>
      <c r="BQ99" s="135"/>
      <c r="BR99" s="135"/>
      <c r="BS99" s="135"/>
      <c r="BT99" s="135"/>
    </row>
    <row r="100" spans="1:72" s="196" customFormat="1">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c r="X100" s="135"/>
      <c r="Y100" s="135"/>
      <c r="Z100" s="135"/>
      <c r="AA100" s="135"/>
      <c r="AB100" s="135"/>
      <c r="AC100" s="135"/>
      <c r="AD100" s="135"/>
      <c r="AE100" s="135"/>
      <c r="AF100" s="135"/>
      <c r="AG100" s="135"/>
      <c r="AH100" s="135"/>
      <c r="AI100" s="135"/>
      <c r="AJ100" s="135"/>
      <c r="AK100" s="135"/>
      <c r="AL100" s="135"/>
      <c r="AM100" s="135"/>
      <c r="AN100" s="135"/>
      <c r="AO100" s="135"/>
      <c r="AP100" s="135"/>
      <c r="AQ100" s="135"/>
      <c r="AR100" s="135"/>
      <c r="AS100" s="135"/>
      <c r="AT100" s="135"/>
      <c r="AU100" s="135"/>
      <c r="AV100" s="135"/>
      <c r="AW100" s="135"/>
      <c r="AX100" s="135"/>
      <c r="AY100" s="135"/>
      <c r="AZ100" s="135"/>
      <c r="BA100" s="135"/>
      <c r="BB100" s="135"/>
      <c r="BC100" s="135"/>
      <c r="BD100" s="135"/>
      <c r="BE100" s="135"/>
      <c r="BF100" s="135"/>
      <c r="BG100" s="135"/>
      <c r="BH100" s="135"/>
      <c r="BI100" s="135"/>
      <c r="BJ100" s="135"/>
      <c r="BK100" s="135"/>
      <c r="BL100" s="135"/>
      <c r="BM100" s="135"/>
      <c r="BN100" s="135"/>
      <c r="BO100" s="135"/>
      <c r="BP100" s="135"/>
      <c r="BQ100" s="135"/>
      <c r="BR100" s="135"/>
      <c r="BS100" s="135"/>
      <c r="BT100" s="135"/>
    </row>
    <row r="101" spans="1:72" s="196" customFormat="1">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c r="X101" s="135"/>
      <c r="Y101" s="135"/>
      <c r="Z101" s="135"/>
      <c r="AA101" s="135"/>
      <c r="AB101" s="135"/>
      <c r="AC101" s="135"/>
      <c r="AD101" s="135"/>
      <c r="AE101" s="135"/>
      <c r="AF101" s="135"/>
      <c r="AG101" s="135"/>
      <c r="AH101" s="135"/>
      <c r="AI101" s="135"/>
      <c r="AJ101" s="135"/>
      <c r="AK101" s="135"/>
      <c r="AL101" s="135"/>
      <c r="AM101" s="135"/>
      <c r="AN101" s="135"/>
      <c r="AO101" s="135"/>
      <c r="AP101" s="135"/>
      <c r="AQ101" s="135"/>
      <c r="AR101" s="135"/>
      <c r="AS101" s="135"/>
      <c r="AT101" s="135"/>
      <c r="AU101" s="135"/>
      <c r="AV101" s="135"/>
      <c r="AW101" s="135"/>
      <c r="AX101" s="135"/>
      <c r="AY101" s="135"/>
      <c r="AZ101" s="135"/>
      <c r="BA101" s="135"/>
      <c r="BB101" s="135"/>
      <c r="BC101" s="135"/>
      <c r="BD101" s="135"/>
      <c r="BE101" s="135"/>
      <c r="BF101" s="135"/>
      <c r="BG101" s="135"/>
      <c r="BH101" s="135"/>
      <c r="BI101" s="135"/>
      <c r="BJ101" s="135"/>
      <c r="BK101" s="135"/>
      <c r="BL101" s="135"/>
      <c r="BM101" s="135"/>
      <c r="BN101" s="135"/>
      <c r="BO101" s="135"/>
      <c r="BP101" s="135"/>
      <c r="BQ101" s="135"/>
      <c r="BR101" s="135"/>
      <c r="BS101" s="135"/>
      <c r="BT101" s="135"/>
    </row>
    <row r="102" spans="1:72" s="196" customFormat="1">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135"/>
      <c r="AC102" s="135"/>
      <c r="AD102" s="135"/>
      <c r="AE102" s="135"/>
      <c r="AF102" s="135"/>
      <c r="AG102" s="135"/>
      <c r="AH102" s="135"/>
      <c r="AI102" s="135"/>
      <c r="AJ102" s="135"/>
      <c r="AK102" s="135"/>
      <c r="AL102" s="135"/>
      <c r="AM102" s="135"/>
      <c r="AN102" s="135"/>
      <c r="AO102" s="135"/>
      <c r="AP102" s="135"/>
      <c r="AQ102" s="135"/>
      <c r="AR102" s="135"/>
      <c r="AS102" s="135"/>
      <c r="AT102" s="135"/>
      <c r="AU102" s="135"/>
      <c r="AV102" s="135"/>
      <c r="AW102" s="135"/>
      <c r="AX102" s="135"/>
      <c r="AY102" s="135"/>
      <c r="AZ102" s="135"/>
      <c r="BA102" s="135"/>
      <c r="BB102" s="135"/>
      <c r="BC102" s="135"/>
      <c r="BD102" s="135"/>
      <c r="BE102" s="135"/>
      <c r="BF102" s="135"/>
      <c r="BG102" s="135"/>
      <c r="BH102" s="135"/>
      <c r="BI102" s="135"/>
      <c r="BJ102" s="135"/>
      <c r="BK102" s="135"/>
      <c r="BL102" s="135"/>
      <c r="BM102" s="135"/>
      <c r="BN102" s="135"/>
      <c r="BO102" s="135"/>
      <c r="BP102" s="135"/>
      <c r="BQ102" s="135"/>
      <c r="BR102" s="135"/>
      <c r="BS102" s="135"/>
      <c r="BT102" s="135"/>
    </row>
    <row r="103" spans="1:72" s="196" customFormat="1">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row>
    <row r="104" spans="1:72" s="196" customFormat="1">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row>
    <row r="105" spans="1:72" s="196" customFormat="1">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row>
    <row r="106" spans="1:72" s="196" customFormat="1">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c r="X106" s="135"/>
      <c r="Y106" s="135"/>
      <c r="Z106" s="135"/>
      <c r="AA106" s="135"/>
      <c r="AB106" s="135"/>
      <c r="AC106" s="135"/>
      <c r="AD106" s="135"/>
      <c r="AE106" s="135"/>
      <c r="AF106" s="135"/>
      <c r="AG106" s="135"/>
      <c r="AH106" s="135"/>
      <c r="AI106" s="135"/>
      <c r="AJ106" s="135"/>
      <c r="AK106" s="135"/>
      <c r="AL106" s="135"/>
      <c r="AM106" s="135"/>
      <c r="AN106" s="135"/>
      <c r="AO106" s="135"/>
      <c r="AP106" s="135"/>
      <c r="AQ106" s="135"/>
      <c r="AR106" s="135"/>
      <c r="AS106" s="135"/>
      <c r="AT106" s="135"/>
      <c r="AU106" s="135"/>
      <c r="AV106" s="135"/>
      <c r="AW106" s="135"/>
      <c r="AX106" s="135"/>
      <c r="AY106" s="135"/>
      <c r="AZ106" s="135"/>
      <c r="BA106" s="135"/>
      <c r="BB106" s="135"/>
      <c r="BC106" s="135"/>
      <c r="BD106" s="135"/>
      <c r="BE106" s="135"/>
      <c r="BF106" s="135"/>
      <c r="BG106" s="135"/>
      <c r="BH106" s="135"/>
      <c r="BI106" s="135"/>
      <c r="BJ106" s="135"/>
      <c r="BK106" s="135"/>
      <c r="BL106" s="135"/>
      <c r="BM106" s="135"/>
      <c r="BN106" s="135"/>
      <c r="BO106" s="135"/>
      <c r="BP106" s="135"/>
      <c r="BQ106" s="135"/>
      <c r="BR106" s="135"/>
      <c r="BS106" s="135"/>
      <c r="BT106" s="135"/>
    </row>
    <row r="107" spans="1:72" s="196" customFormat="1">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c r="X107" s="135"/>
      <c r="Y107" s="135"/>
      <c r="Z107" s="135"/>
      <c r="AA107" s="135"/>
      <c r="AB107" s="135"/>
      <c r="AC107" s="135"/>
      <c r="AD107" s="135"/>
      <c r="AE107" s="135"/>
      <c r="AF107" s="135"/>
      <c r="AG107" s="135"/>
      <c r="AH107" s="135"/>
      <c r="AI107" s="135"/>
      <c r="AJ107" s="135"/>
      <c r="AK107" s="135"/>
      <c r="AL107" s="135"/>
      <c r="AM107" s="135"/>
      <c r="AN107" s="135"/>
      <c r="AO107" s="135"/>
      <c r="AP107" s="135"/>
      <c r="AQ107" s="135"/>
      <c r="AR107" s="135"/>
      <c r="AS107" s="135"/>
      <c r="AT107" s="135"/>
      <c r="AU107" s="135"/>
      <c r="AV107" s="135"/>
      <c r="AW107" s="135"/>
      <c r="AX107" s="135"/>
      <c r="AY107" s="135"/>
      <c r="AZ107" s="135"/>
      <c r="BA107" s="135"/>
      <c r="BB107" s="135"/>
      <c r="BC107" s="135"/>
      <c r="BD107" s="135"/>
      <c r="BE107" s="135"/>
      <c r="BF107" s="135"/>
      <c r="BG107" s="135"/>
      <c r="BH107" s="135"/>
      <c r="BI107" s="135"/>
      <c r="BJ107" s="135"/>
      <c r="BK107" s="135"/>
      <c r="BL107" s="135"/>
      <c r="BM107" s="135"/>
      <c r="BN107" s="135"/>
      <c r="BO107" s="135"/>
      <c r="BP107" s="135"/>
      <c r="BQ107" s="135"/>
      <c r="BR107" s="135"/>
      <c r="BS107" s="135"/>
      <c r="BT107" s="135"/>
    </row>
    <row r="108" spans="1:72" s="196" customFormat="1">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135"/>
      <c r="AD108" s="135"/>
      <c r="AE108" s="135"/>
      <c r="AF108" s="135"/>
      <c r="AG108" s="135"/>
      <c r="AH108" s="135"/>
      <c r="AI108" s="135"/>
      <c r="AJ108" s="135"/>
      <c r="AK108" s="135"/>
      <c r="AL108" s="135"/>
      <c r="AM108" s="135"/>
      <c r="AN108" s="135"/>
      <c r="AO108" s="135"/>
      <c r="AP108" s="135"/>
      <c r="AQ108" s="135"/>
      <c r="AR108" s="135"/>
      <c r="AS108" s="135"/>
      <c r="AT108" s="135"/>
      <c r="AU108" s="135"/>
      <c r="AV108" s="135"/>
      <c r="AW108" s="135"/>
      <c r="AX108" s="135"/>
      <c r="AY108" s="135"/>
      <c r="AZ108" s="135"/>
      <c r="BA108" s="135"/>
      <c r="BB108" s="135"/>
      <c r="BC108" s="135"/>
      <c r="BD108" s="135"/>
      <c r="BE108" s="135"/>
      <c r="BF108" s="135"/>
      <c r="BG108" s="135"/>
      <c r="BH108" s="135"/>
      <c r="BI108" s="135"/>
      <c r="BJ108" s="135"/>
      <c r="BK108" s="135"/>
      <c r="BL108" s="135"/>
      <c r="BM108" s="135"/>
      <c r="BN108" s="135"/>
      <c r="BO108" s="135"/>
      <c r="BP108" s="135"/>
      <c r="BQ108" s="135"/>
      <c r="BR108" s="135"/>
      <c r="BS108" s="135"/>
      <c r="BT108" s="135"/>
    </row>
    <row r="109" spans="1:72" s="196" customFormat="1">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135"/>
      <c r="AD109" s="135"/>
      <c r="AE109" s="135"/>
      <c r="AF109" s="135"/>
      <c r="AG109" s="135"/>
      <c r="AH109" s="135"/>
      <c r="AI109" s="135"/>
      <c r="AJ109" s="135"/>
      <c r="AK109" s="135"/>
      <c r="AL109" s="135"/>
      <c r="AM109" s="135"/>
      <c r="AN109" s="135"/>
      <c r="AO109" s="135"/>
      <c r="AP109" s="135"/>
      <c r="AQ109" s="135"/>
      <c r="AR109" s="135"/>
      <c r="AS109" s="135"/>
      <c r="AT109" s="135"/>
      <c r="AU109" s="135"/>
      <c r="AV109" s="135"/>
      <c r="AW109" s="135"/>
      <c r="AX109" s="135"/>
      <c r="AY109" s="135"/>
      <c r="AZ109" s="135"/>
      <c r="BA109" s="135"/>
      <c r="BB109" s="135"/>
      <c r="BC109" s="135"/>
      <c r="BD109" s="135"/>
      <c r="BE109" s="135"/>
      <c r="BF109" s="135"/>
      <c r="BG109" s="135"/>
      <c r="BH109" s="135"/>
      <c r="BI109" s="135"/>
      <c r="BJ109" s="135"/>
      <c r="BK109" s="135"/>
      <c r="BL109" s="135"/>
      <c r="BM109" s="135"/>
      <c r="BN109" s="135"/>
      <c r="BO109" s="135"/>
      <c r="BP109" s="135"/>
      <c r="BQ109" s="135"/>
      <c r="BR109" s="135"/>
      <c r="BS109" s="135"/>
      <c r="BT109" s="135"/>
    </row>
    <row r="110" spans="1:72" s="196" customFormat="1">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c r="X110" s="135"/>
      <c r="Y110" s="135"/>
      <c r="Z110" s="135"/>
      <c r="AA110" s="135"/>
      <c r="AB110" s="135"/>
      <c r="AC110" s="135"/>
      <c r="AD110" s="135"/>
      <c r="AE110" s="135"/>
      <c r="AF110" s="135"/>
      <c r="AG110" s="135"/>
      <c r="AH110" s="135"/>
      <c r="AI110" s="135"/>
      <c r="AJ110" s="135"/>
      <c r="AK110" s="135"/>
      <c r="AL110" s="135"/>
      <c r="AM110" s="135"/>
      <c r="AN110" s="135"/>
      <c r="AO110" s="135"/>
      <c r="AP110" s="135"/>
      <c r="AQ110" s="135"/>
      <c r="AR110" s="135"/>
      <c r="AS110" s="135"/>
      <c r="AT110" s="135"/>
      <c r="AU110" s="135"/>
      <c r="AV110" s="135"/>
      <c r="AW110" s="135"/>
      <c r="AX110" s="135"/>
      <c r="AY110" s="135"/>
      <c r="AZ110" s="135"/>
      <c r="BA110" s="135"/>
      <c r="BB110" s="135"/>
      <c r="BC110" s="135"/>
      <c r="BD110" s="135"/>
      <c r="BE110" s="135"/>
      <c r="BF110" s="135"/>
      <c r="BG110" s="135"/>
      <c r="BH110" s="135"/>
      <c r="BI110" s="135"/>
      <c r="BJ110" s="135"/>
      <c r="BK110" s="135"/>
      <c r="BL110" s="135"/>
      <c r="BM110" s="135"/>
      <c r="BN110" s="135"/>
      <c r="BO110" s="135"/>
      <c r="BP110" s="135"/>
      <c r="BQ110" s="135"/>
      <c r="BR110" s="135"/>
      <c r="BS110" s="135"/>
      <c r="BT110" s="135"/>
    </row>
    <row r="111" spans="1:72" s="196" customFormat="1">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c r="X111" s="135"/>
      <c r="Y111" s="135"/>
      <c r="Z111" s="135"/>
      <c r="AA111" s="135"/>
      <c r="AB111" s="135"/>
      <c r="AC111" s="135"/>
      <c r="AD111" s="135"/>
      <c r="AE111" s="135"/>
      <c r="AF111" s="135"/>
      <c r="AG111" s="135"/>
      <c r="AH111" s="135"/>
      <c r="AI111" s="135"/>
      <c r="AJ111" s="135"/>
      <c r="AK111" s="135"/>
      <c r="AL111" s="135"/>
      <c r="AM111" s="135"/>
      <c r="AN111" s="135"/>
      <c r="AO111" s="135"/>
      <c r="AP111" s="135"/>
      <c r="AQ111" s="135"/>
      <c r="AR111" s="135"/>
      <c r="AS111" s="135"/>
      <c r="AT111" s="135"/>
      <c r="AU111" s="135"/>
      <c r="AV111" s="135"/>
      <c r="AW111" s="135"/>
      <c r="AX111" s="135"/>
      <c r="AY111" s="135"/>
      <c r="AZ111" s="135"/>
      <c r="BA111" s="135"/>
      <c r="BB111" s="135"/>
      <c r="BC111" s="135"/>
      <c r="BD111" s="135"/>
      <c r="BE111" s="135"/>
      <c r="BF111" s="135"/>
      <c r="BG111" s="135"/>
      <c r="BH111" s="135"/>
      <c r="BI111" s="135"/>
      <c r="BJ111" s="135"/>
      <c r="BK111" s="135"/>
      <c r="BL111" s="135"/>
      <c r="BM111" s="135"/>
      <c r="BN111" s="135"/>
      <c r="BO111" s="135"/>
      <c r="BP111" s="135"/>
      <c r="BQ111" s="135"/>
      <c r="BR111" s="135"/>
      <c r="BS111" s="135"/>
      <c r="BT111" s="135"/>
    </row>
    <row r="112" spans="1:72" s="196" customFormat="1">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c r="AA112" s="135"/>
      <c r="AB112" s="135"/>
      <c r="AC112" s="135"/>
      <c r="AD112" s="135"/>
      <c r="AE112" s="135"/>
      <c r="AF112" s="135"/>
      <c r="AG112" s="135"/>
      <c r="AH112" s="135"/>
      <c r="AI112" s="135"/>
      <c r="AJ112" s="135"/>
      <c r="AK112" s="135"/>
      <c r="AL112" s="135"/>
      <c r="AM112" s="135"/>
      <c r="AN112" s="135"/>
      <c r="AO112" s="135"/>
      <c r="AP112" s="135"/>
      <c r="AQ112" s="135"/>
      <c r="AR112" s="135"/>
      <c r="AS112" s="135"/>
      <c r="AT112" s="135"/>
      <c r="AU112" s="135"/>
      <c r="AV112" s="135"/>
      <c r="AW112" s="135"/>
      <c r="AX112" s="135"/>
      <c r="AY112" s="135"/>
      <c r="AZ112" s="135"/>
      <c r="BA112" s="135"/>
      <c r="BB112" s="135"/>
      <c r="BC112" s="135"/>
      <c r="BD112" s="135"/>
      <c r="BE112" s="135"/>
      <c r="BF112" s="135"/>
      <c r="BG112" s="135"/>
      <c r="BH112" s="135"/>
      <c r="BI112" s="135"/>
      <c r="BJ112" s="135"/>
      <c r="BK112" s="135"/>
      <c r="BL112" s="135"/>
      <c r="BM112" s="135"/>
      <c r="BN112" s="135"/>
      <c r="BO112" s="135"/>
      <c r="BP112" s="135"/>
      <c r="BQ112" s="135"/>
      <c r="BR112" s="135"/>
      <c r="BS112" s="135"/>
      <c r="BT112" s="135"/>
    </row>
    <row r="113" spans="1:72" s="196" customFormat="1">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135"/>
      <c r="Z113" s="135"/>
      <c r="AA113" s="135"/>
      <c r="AB113" s="135"/>
      <c r="AC113" s="135"/>
      <c r="AD113" s="135"/>
      <c r="AE113" s="135"/>
      <c r="AF113" s="135"/>
      <c r="AG113" s="135"/>
      <c r="AH113" s="135"/>
      <c r="AI113" s="135"/>
      <c r="AJ113" s="135"/>
      <c r="AK113" s="135"/>
      <c r="AL113" s="135"/>
      <c r="AM113" s="135"/>
      <c r="AN113" s="135"/>
      <c r="AO113" s="135"/>
      <c r="AP113" s="135"/>
      <c r="AQ113" s="135"/>
      <c r="AR113" s="135"/>
      <c r="AS113" s="135"/>
      <c r="AT113" s="135"/>
      <c r="AU113" s="135"/>
      <c r="AV113" s="135"/>
      <c r="AW113" s="135"/>
      <c r="AX113" s="135"/>
      <c r="AY113" s="135"/>
      <c r="AZ113" s="135"/>
      <c r="BA113" s="135"/>
      <c r="BB113" s="135"/>
      <c r="BC113" s="135"/>
      <c r="BD113" s="135"/>
      <c r="BE113" s="135"/>
      <c r="BF113" s="135"/>
      <c r="BG113" s="135"/>
      <c r="BH113" s="135"/>
      <c r="BI113" s="135"/>
      <c r="BJ113" s="135"/>
      <c r="BK113" s="135"/>
      <c r="BL113" s="135"/>
      <c r="BM113" s="135"/>
      <c r="BN113" s="135"/>
      <c r="BO113" s="135"/>
      <c r="BP113" s="135"/>
      <c r="BQ113" s="135"/>
      <c r="BR113" s="135"/>
      <c r="BS113" s="135"/>
      <c r="BT113" s="135"/>
    </row>
    <row r="114" spans="1:72" s="196" customFormat="1">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c r="X114" s="135"/>
      <c r="Y114" s="135"/>
      <c r="Z114" s="135"/>
      <c r="AA114" s="135"/>
      <c r="AB114" s="135"/>
      <c r="AC114" s="135"/>
      <c r="AD114" s="135"/>
      <c r="AE114" s="135"/>
      <c r="AF114" s="135"/>
      <c r="AG114" s="135"/>
      <c r="AH114" s="135"/>
      <c r="AI114" s="135"/>
      <c r="AJ114" s="135"/>
      <c r="AK114" s="135"/>
      <c r="AL114" s="135"/>
      <c r="AM114" s="135"/>
      <c r="AN114" s="135"/>
      <c r="AO114" s="135"/>
      <c r="AP114" s="135"/>
      <c r="AQ114" s="135"/>
      <c r="AR114" s="135"/>
      <c r="AS114" s="135"/>
      <c r="AT114" s="135"/>
      <c r="AU114" s="135"/>
      <c r="AV114" s="135"/>
      <c r="AW114" s="135"/>
      <c r="AX114" s="135"/>
      <c r="AY114" s="135"/>
      <c r="AZ114" s="135"/>
      <c r="BA114" s="135"/>
      <c r="BB114" s="135"/>
      <c r="BC114" s="135"/>
      <c r="BD114" s="135"/>
      <c r="BE114" s="135"/>
      <c r="BF114" s="135"/>
      <c r="BG114" s="135"/>
      <c r="BH114" s="135"/>
      <c r="BI114" s="135"/>
      <c r="BJ114" s="135"/>
      <c r="BK114" s="135"/>
      <c r="BL114" s="135"/>
      <c r="BM114" s="135"/>
      <c r="BN114" s="135"/>
      <c r="BO114" s="135"/>
      <c r="BP114" s="135"/>
      <c r="BQ114" s="135"/>
      <c r="BR114" s="135"/>
      <c r="BS114" s="135"/>
      <c r="BT114" s="135"/>
    </row>
    <row r="115" spans="1:72" s="196" customFormat="1">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135"/>
      <c r="Z115" s="135"/>
      <c r="AA115" s="135"/>
      <c r="AB115" s="135"/>
      <c r="AC115" s="135"/>
      <c r="AD115" s="135"/>
      <c r="AE115" s="135"/>
      <c r="AF115" s="135"/>
      <c r="AG115" s="135"/>
      <c r="AH115" s="135"/>
      <c r="AI115" s="135"/>
      <c r="AJ115" s="135"/>
      <c r="AK115" s="135"/>
      <c r="AL115" s="135"/>
      <c r="AM115" s="135"/>
      <c r="AN115" s="135"/>
      <c r="AO115" s="135"/>
      <c r="AP115" s="135"/>
      <c r="AQ115" s="135"/>
      <c r="AR115" s="135"/>
      <c r="AS115" s="135"/>
      <c r="AT115" s="135"/>
      <c r="AU115" s="135"/>
      <c r="AV115" s="135"/>
      <c r="AW115" s="135"/>
      <c r="AX115" s="135"/>
      <c r="AY115" s="135"/>
      <c r="AZ115" s="135"/>
      <c r="BA115" s="135"/>
      <c r="BB115" s="135"/>
      <c r="BC115" s="135"/>
      <c r="BD115" s="135"/>
      <c r="BE115" s="135"/>
      <c r="BF115" s="135"/>
      <c r="BG115" s="135"/>
      <c r="BH115" s="135"/>
      <c r="BI115" s="135"/>
      <c r="BJ115" s="135"/>
      <c r="BK115" s="135"/>
      <c r="BL115" s="135"/>
      <c r="BM115" s="135"/>
      <c r="BN115" s="135"/>
      <c r="BO115" s="135"/>
      <c r="BP115" s="135"/>
      <c r="BQ115" s="135"/>
      <c r="BR115" s="135"/>
      <c r="BS115" s="135"/>
      <c r="BT115" s="135"/>
    </row>
    <row r="116" spans="1:72" s="196" customFormat="1">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c r="X116" s="135"/>
      <c r="Y116" s="135"/>
      <c r="Z116" s="135"/>
      <c r="AA116" s="135"/>
      <c r="AB116" s="135"/>
      <c r="AC116" s="135"/>
      <c r="AD116" s="135"/>
      <c r="AE116" s="135"/>
      <c r="AF116" s="135"/>
      <c r="AG116" s="135"/>
      <c r="AH116" s="135"/>
      <c r="AI116" s="135"/>
      <c r="AJ116" s="135"/>
      <c r="AK116" s="135"/>
      <c r="AL116" s="135"/>
      <c r="AM116" s="135"/>
      <c r="AN116" s="135"/>
      <c r="AO116" s="135"/>
      <c r="AP116" s="135"/>
      <c r="AQ116" s="135"/>
      <c r="AR116" s="135"/>
      <c r="AS116" s="135"/>
      <c r="AT116" s="135"/>
      <c r="AU116" s="135"/>
      <c r="AV116" s="135"/>
      <c r="AW116" s="135"/>
      <c r="AX116" s="135"/>
      <c r="AY116" s="135"/>
      <c r="AZ116" s="135"/>
      <c r="BA116" s="135"/>
      <c r="BB116" s="135"/>
      <c r="BC116" s="135"/>
      <c r="BD116" s="135"/>
      <c r="BE116" s="135"/>
      <c r="BF116" s="135"/>
      <c r="BG116" s="135"/>
      <c r="BH116" s="135"/>
      <c r="BI116" s="135"/>
      <c r="BJ116" s="135"/>
      <c r="BK116" s="135"/>
      <c r="BL116" s="135"/>
      <c r="BM116" s="135"/>
      <c r="BN116" s="135"/>
      <c r="BO116" s="135"/>
      <c r="BP116" s="135"/>
      <c r="BQ116" s="135"/>
      <c r="BR116" s="135"/>
      <c r="BS116" s="135"/>
      <c r="BT116" s="135"/>
    </row>
    <row r="117" spans="1:72" s="196" customFormat="1">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c r="AA117" s="135"/>
      <c r="AB117" s="135"/>
      <c r="AC117" s="135"/>
      <c r="AD117" s="135"/>
      <c r="AE117" s="135"/>
      <c r="AF117" s="135"/>
      <c r="AG117" s="135"/>
      <c r="AH117" s="135"/>
      <c r="AI117" s="135"/>
      <c r="AJ117" s="135"/>
      <c r="AK117" s="135"/>
      <c r="AL117" s="135"/>
      <c r="AM117" s="135"/>
      <c r="AN117" s="135"/>
      <c r="AO117" s="135"/>
      <c r="AP117" s="135"/>
      <c r="AQ117" s="135"/>
      <c r="AR117" s="135"/>
      <c r="AS117" s="135"/>
      <c r="AT117" s="135"/>
      <c r="AU117" s="135"/>
      <c r="AV117" s="135"/>
      <c r="AW117" s="135"/>
      <c r="AX117" s="135"/>
      <c r="AY117" s="135"/>
      <c r="AZ117" s="135"/>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row>
    <row r="118" spans="1:72" s="196" customFormat="1">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c r="X118" s="135"/>
      <c r="Y118" s="135"/>
      <c r="Z118" s="135"/>
      <c r="AA118" s="135"/>
      <c r="AB118" s="135"/>
      <c r="AC118" s="135"/>
      <c r="AD118" s="135"/>
      <c r="AE118" s="135"/>
      <c r="AF118" s="135"/>
      <c r="AG118" s="135"/>
      <c r="AH118" s="135"/>
      <c r="AI118" s="135"/>
      <c r="AJ118" s="135"/>
      <c r="AK118" s="135"/>
      <c r="AL118" s="135"/>
      <c r="AM118" s="135"/>
      <c r="AN118" s="135"/>
      <c r="AO118" s="135"/>
      <c r="AP118" s="135"/>
      <c r="AQ118" s="135"/>
      <c r="AR118" s="135"/>
      <c r="AS118" s="135"/>
      <c r="AT118" s="135"/>
      <c r="AU118" s="135"/>
      <c r="AV118" s="135"/>
      <c r="AW118" s="135"/>
      <c r="AX118" s="135"/>
      <c r="AY118" s="135"/>
      <c r="AZ118" s="135"/>
      <c r="BA118" s="135"/>
      <c r="BB118" s="135"/>
      <c r="BC118" s="135"/>
      <c r="BD118" s="135"/>
      <c r="BE118" s="135"/>
      <c r="BF118" s="135"/>
      <c r="BG118" s="135"/>
      <c r="BH118" s="135"/>
      <c r="BI118" s="135"/>
      <c r="BJ118" s="135"/>
      <c r="BK118" s="135"/>
      <c r="BL118" s="135"/>
      <c r="BM118" s="135"/>
      <c r="BN118" s="135"/>
      <c r="BO118" s="135"/>
      <c r="BP118" s="135"/>
      <c r="BQ118" s="135"/>
      <c r="BR118" s="135"/>
      <c r="BS118" s="135"/>
      <c r="BT118" s="135"/>
    </row>
    <row r="119" spans="1:72" s="196" customFormat="1">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c r="AC119" s="135"/>
      <c r="AD119" s="135"/>
      <c r="AE119" s="135"/>
      <c r="AF119" s="135"/>
      <c r="AG119" s="135"/>
      <c r="AH119" s="135"/>
      <c r="AI119" s="135"/>
      <c r="AJ119" s="135"/>
      <c r="AK119" s="135"/>
      <c r="AL119" s="135"/>
      <c r="AM119" s="135"/>
      <c r="AN119" s="135"/>
      <c r="AO119" s="135"/>
      <c r="AP119" s="135"/>
      <c r="AQ119" s="135"/>
      <c r="AR119" s="135"/>
      <c r="AS119" s="135"/>
      <c r="AT119" s="135"/>
      <c r="AU119" s="135"/>
      <c r="AV119" s="135"/>
      <c r="AW119" s="135"/>
      <c r="AX119" s="135"/>
      <c r="AY119" s="135"/>
      <c r="AZ119" s="135"/>
      <c r="BA119" s="135"/>
      <c r="BB119" s="135"/>
      <c r="BC119" s="135"/>
      <c r="BD119" s="135"/>
      <c r="BE119" s="135"/>
      <c r="BF119" s="135"/>
      <c r="BG119" s="135"/>
      <c r="BH119" s="135"/>
      <c r="BI119" s="135"/>
      <c r="BJ119" s="135"/>
      <c r="BK119" s="135"/>
      <c r="BL119" s="135"/>
      <c r="BM119" s="135"/>
      <c r="BN119" s="135"/>
      <c r="BO119" s="135"/>
      <c r="BP119" s="135"/>
      <c r="BQ119" s="135"/>
      <c r="BR119" s="135"/>
      <c r="BS119" s="135"/>
      <c r="BT119" s="135"/>
    </row>
    <row r="120" spans="1:72" s="196" customFormat="1">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c r="AA120" s="135"/>
      <c r="AB120" s="135"/>
      <c r="AC120" s="135"/>
      <c r="AD120" s="135"/>
      <c r="AE120" s="135"/>
      <c r="AF120" s="135"/>
      <c r="AG120" s="135"/>
      <c r="AH120" s="135"/>
      <c r="AI120" s="135"/>
      <c r="AJ120" s="135"/>
      <c r="AK120" s="135"/>
      <c r="AL120" s="135"/>
      <c r="AM120" s="135"/>
      <c r="AN120" s="135"/>
      <c r="AO120" s="135"/>
      <c r="AP120" s="135"/>
      <c r="AQ120" s="135"/>
      <c r="AR120" s="135"/>
      <c r="AS120" s="135"/>
      <c r="AT120" s="135"/>
      <c r="AU120" s="135"/>
      <c r="AV120" s="135"/>
      <c r="AW120" s="135"/>
      <c r="AX120" s="135"/>
      <c r="AY120" s="135"/>
      <c r="AZ120" s="135"/>
      <c r="BA120" s="135"/>
      <c r="BB120" s="135"/>
      <c r="BC120" s="135"/>
      <c r="BD120" s="135"/>
      <c r="BE120" s="135"/>
      <c r="BF120" s="135"/>
      <c r="BG120" s="135"/>
      <c r="BH120" s="135"/>
      <c r="BI120" s="135"/>
      <c r="BJ120" s="135"/>
      <c r="BK120" s="135"/>
      <c r="BL120" s="135"/>
      <c r="BM120" s="135"/>
      <c r="BN120" s="135"/>
      <c r="BO120" s="135"/>
      <c r="BP120" s="135"/>
      <c r="BQ120" s="135"/>
      <c r="BR120" s="135"/>
      <c r="BS120" s="135"/>
      <c r="BT120" s="135"/>
    </row>
    <row r="121" spans="1:72" s="196" customFormat="1">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c r="AA121" s="135"/>
      <c r="AB121" s="135"/>
      <c r="AC121" s="135"/>
      <c r="AD121" s="135"/>
      <c r="AE121" s="135"/>
      <c r="AF121" s="135"/>
      <c r="AG121" s="135"/>
      <c r="AH121" s="135"/>
      <c r="AI121" s="135"/>
      <c r="AJ121" s="135"/>
      <c r="AK121" s="135"/>
      <c r="AL121" s="135"/>
      <c r="AM121" s="135"/>
      <c r="AN121" s="135"/>
      <c r="AO121" s="135"/>
      <c r="AP121" s="135"/>
      <c r="AQ121" s="135"/>
      <c r="AR121" s="135"/>
      <c r="AS121" s="135"/>
      <c r="AT121" s="135"/>
      <c r="AU121" s="135"/>
      <c r="AV121" s="135"/>
      <c r="AW121" s="135"/>
      <c r="AX121" s="135"/>
      <c r="AY121" s="135"/>
      <c r="AZ121" s="135"/>
      <c r="BA121" s="135"/>
      <c r="BB121" s="135"/>
      <c r="BC121" s="135"/>
      <c r="BD121" s="135"/>
      <c r="BE121" s="135"/>
      <c r="BF121" s="135"/>
      <c r="BG121" s="135"/>
      <c r="BH121" s="135"/>
      <c r="BI121" s="135"/>
      <c r="BJ121" s="135"/>
      <c r="BK121" s="135"/>
      <c r="BL121" s="135"/>
      <c r="BM121" s="135"/>
      <c r="BN121" s="135"/>
      <c r="BO121" s="135"/>
      <c r="BP121" s="135"/>
      <c r="BQ121" s="135"/>
      <c r="BR121" s="135"/>
      <c r="BS121" s="135"/>
      <c r="BT121" s="135"/>
    </row>
    <row r="122" spans="1:72" s="196" customFormat="1">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c r="X122" s="135"/>
      <c r="Y122" s="135"/>
      <c r="Z122" s="135"/>
      <c r="AA122" s="135"/>
      <c r="AB122" s="135"/>
      <c r="AC122" s="135"/>
      <c r="AD122" s="135"/>
      <c r="AE122" s="135"/>
      <c r="AF122" s="135"/>
      <c r="AG122" s="135"/>
      <c r="AH122" s="135"/>
      <c r="AI122" s="135"/>
      <c r="AJ122" s="135"/>
      <c r="AK122" s="135"/>
      <c r="AL122" s="135"/>
      <c r="AM122" s="135"/>
      <c r="AN122" s="135"/>
      <c r="AO122" s="135"/>
      <c r="AP122" s="135"/>
      <c r="AQ122" s="135"/>
      <c r="AR122" s="135"/>
      <c r="AS122" s="135"/>
      <c r="AT122" s="135"/>
      <c r="AU122" s="135"/>
      <c r="AV122" s="135"/>
      <c r="AW122" s="135"/>
      <c r="AX122" s="135"/>
      <c r="AY122" s="135"/>
      <c r="AZ122" s="135"/>
      <c r="BA122" s="135"/>
      <c r="BB122" s="135"/>
      <c r="BC122" s="135"/>
      <c r="BD122" s="135"/>
      <c r="BE122" s="135"/>
      <c r="BF122" s="135"/>
      <c r="BG122" s="135"/>
      <c r="BH122" s="135"/>
      <c r="BI122" s="135"/>
      <c r="BJ122" s="135"/>
      <c r="BK122" s="135"/>
      <c r="BL122" s="135"/>
      <c r="BM122" s="135"/>
      <c r="BN122" s="135"/>
      <c r="BO122" s="135"/>
      <c r="BP122" s="135"/>
      <c r="BQ122" s="135"/>
      <c r="BR122" s="135"/>
      <c r="BS122" s="135"/>
      <c r="BT122" s="135"/>
    </row>
    <row r="123" spans="1:72" s="196" customFormat="1">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c r="AA123" s="135"/>
      <c r="AB123" s="135"/>
      <c r="AC123" s="135"/>
      <c r="AD123" s="135"/>
      <c r="AE123" s="135"/>
      <c r="AF123" s="135"/>
      <c r="AG123" s="135"/>
      <c r="AH123" s="135"/>
      <c r="AI123" s="135"/>
      <c r="AJ123" s="135"/>
      <c r="AK123" s="135"/>
      <c r="AL123" s="135"/>
      <c r="AM123" s="135"/>
      <c r="AN123" s="135"/>
      <c r="AO123" s="135"/>
      <c r="AP123" s="135"/>
      <c r="AQ123" s="135"/>
      <c r="AR123" s="135"/>
      <c r="AS123" s="135"/>
      <c r="AT123" s="135"/>
      <c r="AU123" s="135"/>
      <c r="AV123" s="135"/>
      <c r="AW123" s="135"/>
      <c r="AX123" s="135"/>
      <c r="AY123" s="135"/>
      <c r="AZ123" s="135"/>
      <c r="BA123" s="135"/>
      <c r="BB123" s="135"/>
      <c r="BC123" s="135"/>
      <c r="BD123" s="135"/>
      <c r="BE123" s="135"/>
      <c r="BF123" s="135"/>
      <c r="BG123" s="135"/>
      <c r="BH123" s="135"/>
      <c r="BI123" s="135"/>
      <c r="BJ123" s="135"/>
      <c r="BK123" s="135"/>
      <c r="BL123" s="135"/>
      <c r="BM123" s="135"/>
      <c r="BN123" s="135"/>
      <c r="BO123" s="135"/>
      <c r="BP123" s="135"/>
      <c r="BQ123" s="135"/>
      <c r="BR123" s="135"/>
      <c r="BS123" s="135"/>
      <c r="BT123" s="135"/>
    </row>
    <row r="124" spans="1:72" s="196" customFormat="1">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c r="AC124" s="135"/>
      <c r="AD124" s="135"/>
      <c r="AE124" s="135"/>
      <c r="AF124" s="135"/>
      <c r="AG124" s="135"/>
      <c r="AH124" s="135"/>
      <c r="AI124" s="135"/>
      <c r="AJ124" s="135"/>
      <c r="AK124" s="135"/>
      <c r="AL124" s="135"/>
      <c r="AM124" s="135"/>
      <c r="AN124" s="135"/>
      <c r="AO124" s="135"/>
      <c r="AP124" s="135"/>
      <c r="AQ124" s="135"/>
      <c r="AR124" s="135"/>
      <c r="AS124" s="135"/>
      <c r="AT124" s="135"/>
      <c r="AU124" s="135"/>
      <c r="AV124" s="135"/>
      <c r="AW124" s="135"/>
      <c r="AX124" s="135"/>
      <c r="AY124" s="135"/>
      <c r="AZ124" s="135"/>
      <c r="BA124" s="135"/>
      <c r="BB124" s="135"/>
      <c r="BC124" s="135"/>
      <c r="BD124" s="135"/>
      <c r="BE124" s="135"/>
      <c r="BF124" s="135"/>
      <c r="BG124" s="135"/>
      <c r="BH124" s="135"/>
      <c r="BI124" s="135"/>
      <c r="BJ124" s="135"/>
      <c r="BK124" s="135"/>
      <c r="BL124" s="135"/>
      <c r="BM124" s="135"/>
      <c r="BN124" s="135"/>
      <c r="BO124" s="135"/>
      <c r="BP124" s="135"/>
      <c r="BQ124" s="135"/>
      <c r="BR124" s="135"/>
      <c r="BS124" s="135"/>
      <c r="BT124" s="135"/>
    </row>
    <row r="125" spans="1:72" s="196" customFormat="1">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35"/>
      <c r="AD125" s="135"/>
      <c r="AE125" s="135"/>
      <c r="AF125" s="135"/>
      <c r="AG125" s="135"/>
      <c r="AH125" s="135"/>
      <c r="AI125" s="135"/>
      <c r="AJ125" s="135"/>
      <c r="AK125" s="135"/>
      <c r="AL125" s="135"/>
      <c r="AM125" s="135"/>
      <c r="AN125" s="135"/>
      <c r="AO125" s="135"/>
      <c r="AP125" s="135"/>
      <c r="AQ125" s="135"/>
      <c r="AR125" s="135"/>
      <c r="AS125" s="135"/>
      <c r="AT125" s="135"/>
      <c r="AU125" s="135"/>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5"/>
      <c r="BR125" s="135"/>
      <c r="BS125" s="135"/>
      <c r="BT125" s="135"/>
    </row>
    <row r="126" spans="1:72" s="196" customFormat="1">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c r="X126" s="135"/>
      <c r="Y126" s="135"/>
      <c r="Z126" s="135"/>
      <c r="AA126" s="135"/>
      <c r="AB126" s="135"/>
      <c r="AC126" s="135"/>
      <c r="AD126" s="135"/>
      <c r="AE126" s="135"/>
      <c r="AF126" s="135"/>
      <c r="AG126" s="135"/>
      <c r="AH126" s="135"/>
      <c r="AI126" s="135"/>
      <c r="AJ126" s="135"/>
      <c r="AK126" s="135"/>
      <c r="AL126" s="135"/>
      <c r="AM126" s="135"/>
      <c r="AN126" s="135"/>
      <c r="AO126" s="135"/>
      <c r="AP126" s="135"/>
      <c r="AQ126" s="135"/>
      <c r="AR126" s="135"/>
      <c r="AS126" s="135"/>
      <c r="AT126" s="135"/>
      <c r="AU126" s="135"/>
      <c r="AV126" s="135"/>
      <c r="AW126" s="135"/>
      <c r="AX126" s="135"/>
      <c r="AY126" s="135"/>
      <c r="AZ126" s="135"/>
      <c r="BA126" s="135"/>
      <c r="BB126" s="135"/>
      <c r="BC126" s="135"/>
      <c r="BD126" s="135"/>
      <c r="BE126" s="135"/>
      <c r="BF126" s="135"/>
      <c r="BG126" s="135"/>
      <c r="BH126" s="135"/>
      <c r="BI126" s="135"/>
      <c r="BJ126" s="135"/>
      <c r="BK126" s="135"/>
      <c r="BL126" s="135"/>
      <c r="BM126" s="135"/>
      <c r="BN126" s="135"/>
      <c r="BO126" s="135"/>
      <c r="BP126" s="135"/>
      <c r="BQ126" s="135"/>
      <c r="BR126" s="135"/>
      <c r="BS126" s="135"/>
      <c r="BT126" s="135"/>
    </row>
    <row r="127" spans="1:72" s="196" customFormat="1">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135"/>
      <c r="AG127" s="135"/>
      <c r="AH127" s="135"/>
      <c r="AI127" s="135"/>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c r="BM127" s="135"/>
      <c r="BN127" s="135"/>
      <c r="BO127" s="135"/>
      <c r="BP127" s="135"/>
      <c r="BQ127" s="135"/>
      <c r="BR127" s="135"/>
      <c r="BS127" s="135"/>
      <c r="BT127" s="135"/>
    </row>
    <row r="128" spans="1:72" s="196" customFormat="1">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c r="AE128" s="135"/>
      <c r="AF128" s="135"/>
      <c r="AG128" s="135"/>
      <c r="AH128" s="135"/>
      <c r="AI128" s="135"/>
      <c r="AJ128" s="135"/>
      <c r="AK128" s="135"/>
      <c r="AL128" s="135"/>
      <c r="AM128" s="135"/>
      <c r="AN128" s="135"/>
      <c r="AO128" s="135"/>
      <c r="AP128" s="135"/>
      <c r="AQ128" s="135"/>
      <c r="AR128" s="135"/>
      <c r="AS128" s="135"/>
      <c r="AT128" s="135"/>
      <c r="AU128" s="135"/>
      <c r="AV128" s="135"/>
      <c r="AW128" s="135"/>
      <c r="AX128" s="135"/>
      <c r="AY128" s="135"/>
      <c r="AZ128" s="135"/>
      <c r="BA128" s="135"/>
      <c r="BB128" s="135"/>
      <c r="BC128" s="135"/>
      <c r="BD128" s="135"/>
      <c r="BE128" s="135"/>
      <c r="BF128" s="135"/>
      <c r="BG128" s="135"/>
      <c r="BH128" s="135"/>
      <c r="BI128" s="135"/>
      <c r="BJ128" s="135"/>
      <c r="BK128" s="135"/>
      <c r="BL128" s="135"/>
      <c r="BM128" s="135"/>
      <c r="BN128" s="135"/>
      <c r="BO128" s="135"/>
      <c r="BP128" s="135"/>
      <c r="BQ128" s="135"/>
      <c r="BR128" s="135"/>
      <c r="BS128" s="135"/>
      <c r="BT128" s="135"/>
    </row>
    <row r="129" spans="1:72" s="196" customFormat="1">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c r="X129" s="135"/>
      <c r="Y129" s="135"/>
      <c r="Z129" s="135"/>
      <c r="AA129" s="135"/>
      <c r="AB129" s="135"/>
      <c r="AC129" s="135"/>
      <c r="AD129" s="135"/>
      <c r="AE129" s="135"/>
      <c r="AF129" s="135"/>
      <c r="AG129" s="135"/>
      <c r="AH129" s="135"/>
      <c r="AI129" s="135"/>
      <c r="AJ129" s="135"/>
      <c r="AK129" s="135"/>
      <c r="AL129" s="135"/>
      <c r="AM129" s="135"/>
      <c r="AN129" s="135"/>
      <c r="AO129" s="135"/>
      <c r="AP129" s="135"/>
      <c r="AQ129" s="135"/>
      <c r="AR129" s="135"/>
      <c r="AS129" s="135"/>
      <c r="AT129" s="135"/>
      <c r="AU129" s="135"/>
      <c r="AV129" s="135"/>
      <c r="AW129" s="135"/>
      <c r="AX129" s="135"/>
      <c r="AY129" s="135"/>
      <c r="AZ129" s="135"/>
      <c r="BA129" s="135"/>
      <c r="BB129" s="135"/>
      <c r="BC129" s="135"/>
      <c r="BD129" s="135"/>
      <c r="BE129" s="135"/>
      <c r="BF129" s="135"/>
      <c r="BG129" s="135"/>
      <c r="BH129" s="135"/>
      <c r="BI129" s="135"/>
      <c r="BJ129" s="135"/>
      <c r="BK129" s="135"/>
      <c r="BL129" s="135"/>
      <c r="BM129" s="135"/>
      <c r="BN129" s="135"/>
      <c r="BO129" s="135"/>
      <c r="BP129" s="135"/>
      <c r="BQ129" s="135"/>
      <c r="BR129" s="135"/>
      <c r="BS129" s="135"/>
      <c r="BT129" s="135"/>
    </row>
    <row r="130" spans="1:72" s="196" customFormat="1">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c r="X130" s="135"/>
      <c r="Y130" s="135"/>
      <c r="Z130" s="135"/>
      <c r="AA130" s="135"/>
      <c r="AB130" s="135"/>
      <c r="AC130" s="135"/>
      <c r="AD130" s="135"/>
      <c r="AE130" s="135"/>
      <c r="AF130" s="135"/>
      <c r="AG130" s="135"/>
      <c r="AH130" s="135"/>
      <c r="AI130" s="135"/>
      <c r="AJ130" s="135"/>
      <c r="AK130" s="135"/>
      <c r="AL130" s="135"/>
      <c r="AM130" s="135"/>
      <c r="AN130" s="135"/>
      <c r="AO130" s="135"/>
      <c r="AP130" s="135"/>
      <c r="AQ130" s="135"/>
      <c r="AR130" s="135"/>
      <c r="AS130" s="135"/>
      <c r="AT130" s="135"/>
      <c r="AU130" s="135"/>
      <c r="AV130" s="135"/>
      <c r="AW130" s="135"/>
      <c r="AX130" s="135"/>
      <c r="AY130" s="135"/>
      <c r="AZ130" s="135"/>
      <c r="BA130" s="135"/>
      <c r="BB130" s="135"/>
      <c r="BC130" s="135"/>
      <c r="BD130" s="135"/>
      <c r="BE130" s="135"/>
      <c r="BF130" s="135"/>
      <c r="BG130" s="135"/>
      <c r="BH130" s="135"/>
      <c r="BI130" s="135"/>
      <c r="BJ130" s="135"/>
      <c r="BK130" s="135"/>
      <c r="BL130" s="135"/>
      <c r="BM130" s="135"/>
      <c r="BN130" s="135"/>
      <c r="BO130" s="135"/>
      <c r="BP130" s="135"/>
      <c r="BQ130" s="135"/>
      <c r="BR130" s="135"/>
      <c r="BS130" s="135"/>
      <c r="BT130" s="135"/>
    </row>
    <row r="131" spans="1:72" s="196" customFormat="1">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c r="AA131" s="135"/>
      <c r="AB131" s="135"/>
      <c r="AC131" s="135"/>
      <c r="AD131" s="135"/>
      <c r="AE131" s="135"/>
      <c r="AF131" s="135"/>
      <c r="AG131" s="135"/>
      <c r="AH131" s="135"/>
      <c r="AI131" s="135"/>
      <c r="AJ131" s="135"/>
      <c r="AK131" s="135"/>
      <c r="AL131" s="135"/>
      <c r="AM131" s="135"/>
      <c r="AN131" s="135"/>
      <c r="AO131" s="135"/>
      <c r="AP131" s="135"/>
      <c r="AQ131" s="135"/>
      <c r="AR131" s="135"/>
      <c r="AS131" s="135"/>
      <c r="AT131" s="135"/>
      <c r="AU131" s="135"/>
      <c r="AV131" s="135"/>
      <c r="AW131" s="135"/>
      <c r="AX131" s="135"/>
      <c r="AY131" s="135"/>
      <c r="AZ131" s="135"/>
      <c r="BA131" s="135"/>
      <c r="BB131" s="135"/>
      <c r="BC131" s="135"/>
      <c r="BD131" s="135"/>
      <c r="BE131" s="135"/>
      <c r="BF131" s="135"/>
      <c r="BG131" s="135"/>
      <c r="BH131" s="135"/>
      <c r="BI131" s="135"/>
      <c r="BJ131" s="135"/>
      <c r="BK131" s="135"/>
      <c r="BL131" s="135"/>
      <c r="BM131" s="135"/>
      <c r="BN131" s="135"/>
      <c r="BO131" s="135"/>
      <c r="BP131" s="135"/>
      <c r="BQ131" s="135"/>
      <c r="BR131" s="135"/>
      <c r="BS131" s="135"/>
      <c r="BT131" s="135"/>
    </row>
    <row r="132" spans="1:72" s="196" customFormat="1">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c r="AA132" s="135"/>
      <c r="AB132" s="135"/>
      <c r="AC132" s="135"/>
      <c r="AD132" s="135"/>
      <c r="AE132" s="135"/>
      <c r="AF132" s="135"/>
      <c r="AG132" s="135"/>
      <c r="AH132" s="135"/>
      <c r="AI132" s="135"/>
      <c r="AJ132" s="135"/>
      <c r="AK132" s="135"/>
      <c r="AL132" s="135"/>
      <c r="AM132" s="135"/>
      <c r="AN132" s="135"/>
      <c r="AO132" s="135"/>
      <c r="AP132" s="135"/>
      <c r="AQ132" s="135"/>
      <c r="AR132" s="135"/>
      <c r="AS132" s="135"/>
      <c r="AT132" s="135"/>
      <c r="AU132" s="135"/>
      <c r="AV132" s="135"/>
      <c r="AW132" s="135"/>
      <c r="AX132" s="135"/>
      <c r="AY132" s="135"/>
      <c r="AZ132" s="135"/>
      <c r="BA132" s="135"/>
      <c r="BB132" s="135"/>
      <c r="BC132" s="135"/>
      <c r="BD132" s="135"/>
      <c r="BE132" s="135"/>
      <c r="BF132" s="135"/>
      <c r="BG132" s="135"/>
      <c r="BH132" s="135"/>
      <c r="BI132" s="135"/>
      <c r="BJ132" s="135"/>
      <c r="BK132" s="135"/>
      <c r="BL132" s="135"/>
      <c r="BM132" s="135"/>
      <c r="BN132" s="135"/>
      <c r="BO132" s="135"/>
      <c r="BP132" s="135"/>
      <c r="BQ132" s="135"/>
      <c r="BR132" s="135"/>
      <c r="BS132" s="135"/>
      <c r="BT132" s="135"/>
    </row>
    <row r="133" spans="1:72" s="196" customFormat="1">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c r="AA133" s="135"/>
      <c r="AB133" s="135"/>
      <c r="AC133" s="135"/>
      <c r="AD133" s="135"/>
      <c r="AE133" s="135"/>
      <c r="AF133" s="135"/>
      <c r="AG133" s="135"/>
      <c r="AH133" s="135"/>
      <c r="AI133" s="135"/>
      <c r="AJ133" s="135"/>
      <c r="AK133" s="135"/>
      <c r="AL133" s="135"/>
      <c r="AM133" s="135"/>
      <c r="AN133" s="135"/>
      <c r="AO133" s="135"/>
      <c r="AP133" s="135"/>
      <c r="AQ133" s="135"/>
      <c r="AR133" s="135"/>
      <c r="AS133" s="135"/>
      <c r="AT133" s="135"/>
      <c r="AU133" s="135"/>
      <c r="AV133" s="135"/>
      <c r="AW133" s="135"/>
      <c r="AX133" s="135"/>
      <c r="AY133" s="135"/>
      <c r="AZ133" s="135"/>
      <c r="BA133" s="135"/>
      <c r="BB133" s="135"/>
      <c r="BC133" s="135"/>
      <c r="BD133" s="135"/>
      <c r="BE133" s="135"/>
      <c r="BF133" s="135"/>
      <c r="BG133" s="135"/>
      <c r="BH133" s="135"/>
      <c r="BI133" s="135"/>
      <c r="BJ133" s="135"/>
      <c r="BK133" s="135"/>
      <c r="BL133" s="135"/>
      <c r="BM133" s="135"/>
      <c r="BN133" s="135"/>
      <c r="BO133" s="135"/>
      <c r="BP133" s="135"/>
      <c r="BQ133" s="135"/>
      <c r="BR133" s="135"/>
      <c r="BS133" s="135"/>
      <c r="BT133" s="135"/>
    </row>
    <row r="134" spans="1:72" s="196" customFormat="1">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c r="X134" s="135"/>
      <c r="Y134" s="135"/>
      <c r="Z134" s="135"/>
      <c r="AA134" s="135"/>
      <c r="AB134" s="135"/>
      <c r="AC134" s="135"/>
      <c r="AD134" s="135"/>
      <c r="AE134" s="135"/>
      <c r="AF134" s="135"/>
      <c r="AG134" s="135"/>
      <c r="AH134" s="135"/>
      <c r="AI134" s="135"/>
      <c r="AJ134" s="135"/>
      <c r="AK134" s="135"/>
      <c r="AL134" s="135"/>
      <c r="AM134" s="135"/>
      <c r="AN134" s="135"/>
      <c r="AO134" s="135"/>
      <c r="AP134" s="135"/>
      <c r="AQ134" s="135"/>
      <c r="AR134" s="135"/>
      <c r="AS134" s="135"/>
      <c r="AT134" s="135"/>
      <c r="AU134" s="135"/>
      <c r="AV134" s="135"/>
      <c r="AW134" s="135"/>
      <c r="AX134" s="135"/>
      <c r="AY134" s="135"/>
      <c r="AZ134" s="135"/>
      <c r="BA134" s="135"/>
      <c r="BB134" s="135"/>
      <c r="BC134" s="135"/>
      <c r="BD134" s="135"/>
      <c r="BE134" s="135"/>
      <c r="BF134" s="135"/>
      <c r="BG134" s="135"/>
      <c r="BH134" s="135"/>
      <c r="BI134" s="135"/>
      <c r="BJ134" s="135"/>
      <c r="BK134" s="135"/>
      <c r="BL134" s="135"/>
      <c r="BM134" s="135"/>
      <c r="BN134" s="135"/>
      <c r="BO134" s="135"/>
      <c r="BP134" s="135"/>
      <c r="BQ134" s="135"/>
      <c r="BR134" s="135"/>
      <c r="BS134" s="135"/>
      <c r="BT134" s="135"/>
    </row>
    <row r="135" spans="1:72" s="196" customFormat="1">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c r="X135" s="135"/>
      <c r="Y135" s="135"/>
      <c r="Z135" s="135"/>
      <c r="AA135" s="135"/>
      <c r="AB135" s="135"/>
      <c r="AC135" s="135"/>
      <c r="AD135" s="135"/>
      <c r="AE135" s="135"/>
      <c r="AF135" s="135"/>
      <c r="AG135" s="135"/>
      <c r="AH135" s="135"/>
      <c r="AI135" s="135"/>
      <c r="AJ135" s="135"/>
      <c r="AK135" s="135"/>
      <c r="AL135" s="135"/>
      <c r="AM135" s="135"/>
      <c r="AN135" s="135"/>
      <c r="AO135" s="135"/>
      <c r="AP135" s="135"/>
      <c r="AQ135" s="135"/>
      <c r="AR135" s="135"/>
      <c r="AS135" s="135"/>
      <c r="AT135" s="135"/>
      <c r="AU135" s="135"/>
      <c r="AV135" s="135"/>
      <c r="AW135" s="135"/>
      <c r="AX135" s="135"/>
      <c r="AY135" s="135"/>
      <c r="AZ135" s="135"/>
      <c r="BA135" s="135"/>
      <c r="BB135" s="135"/>
      <c r="BC135" s="135"/>
      <c r="BD135" s="135"/>
      <c r="BE135" s="135"/>
      <c r="BF135" s="135"/>
      <c r="BG135" s="135"/>
      <c r="BH135" s="135"/>
      <c r="BI135" s="135"/>
      <c r="BJ135" s="135"/>
      <c r="BK135" s="135"/>
      <c r="BL135" s="135"/>
      <c r="BM135" s="135"/>
      <c r="BN135" s="135"/>
      <c r="BO135" s="135"/>
      <c r="BP135" s="135"/>
      <c r="BQ135" s="135"/>
      <c r="BR135" s="135"/>
      <c r="BS135" s="135"/>
      <c r="BT135" s="135"/>
    </row>
    <row r="136" spans="1:72" s="196" customFormat="1">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c r="X136" s="135"/>
      <c r="Y136" s="135"/>
      <c r="Z136" s="135"/>
      <c r="AA136" s="135"/>
      <c r="AB136" s="135"/>
      <c r="AC136" s="135"/>
      <c r="AD136" s="135"/>
      <c r="AE136" s="135"/>
      <c r="AF136" s="135"/>
      <c r="AG136" s="135"/>
      <c r="AH136" s="135"/>
      <c r="AI136" s="135"/>
      <c r="AJ136" s="135"/>
      <c r="AK136" s="135"/>
      <c r="AL136" s="135"/>
      <c r="AM136" s="135"/>
      <c r="AN136" s="135"/>
      <c r="AO136" s="135"/>
      <c r="AP136" s="135"/>
      <c r="AQ136" s="135"/>
      <c r="AR136" s="135"/>
      <c r="AS136" s="135"/>
      <c r="AT136" s="135"/>
      <c r="AU136" s="135"/>
      <c r="AV136" s="135"/>
      <c r="AW136" s="135"/>
      <c r="AX136" s="135"/>
      <c r="AY136" s="135"/>
      <c r="AZ136" s="135"/>
      <c r="BA136" s="135"/>
      <c r="BB136" s="135"/>
      <c r="BC136" s="135"/>
      <c r="BD136" s="135"/>
      <c r="BE136" s="135"/>
      <c r="BF136" s="135"/>
      <c r="BG136" s="135"/>
      <c r="BH136" s="135"/>
      <c r="BI136" s="135"/>
      <c r="BJ136" s="135"/>
      <c r="BK136" s="135"/>
      <c r="BL136" s="135"/>
      <c r="BM136" s="135"/>
      <c r="BN136" s="135"/>
      <c r="BO136" s="135"/>
      <c r="BP136" s="135"/>
      <c r="BQ136" s="135"/>
      <c r="BR136" s="135"/>
      <c r="BS136" s="135"/>
      <c r="BT136" s="135"/>
    </row>
    <row r="137" spans="1:72" s="196" customFormat="1">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c r="AA137" s="135"/>
      <c r="AB137" s="135"/>
      <c r="AC137" s="135"/>
      <c r="AD137" s="135"/>
      <c r="AE137" s="135"/>
      <c r="AF137" s="135"/>
      <c r="AG137" s="135"/>
      <c r="AH137" s="135"/>
      <c r="AI137" s="135"/>
      <c r="AJ137" s="135"/>
      <c r="AK137" s="135"/>
      <c r="AL137" s="135"/>
      <c r="AM137" s="135"/>
      <c r="AN137" s="135"/>
      <c r="AO137" s="135"/>
      <c r="AP137" s="135"/>
      <c r="AQ137" s="135"/>
      <c r="AR137" s="135"/>
      <c r="AS137" s="135"/>
      <c r="AT137" s="135"/>
      <c r="AU137" s="135"/>
      <c r="AV137" s="135"/>
      <c r="AW137" s="135"/>
      <c r="AX137" s="135"/>
      <c r="AY137" s="135"/>
      <c r="AZ137" s="135"/>
      <c r="BA137" s="135"/>
      <c r="BB137" s="135"/>
      <c r="BC137" s="135"/>
      <c r="BD137" s="135"/>
      <c r="BE137" s="135"/>
      <c r="BF137" s="135"/>
      <c r="BG137" s="135"/>
      <c r="BH137" s="135"/>
      <c r="BI137" s="135"/>
      <c r="BJ137" s="135"/>
      <c r="BK137" s="135"/>
      <c r="BL137" s="135"/>
      <c r="BM137" s="135"/>
      <c r="BN137" s="135"/>
      <c r="BO137" s="135"/>
      <c r="BP137" s="135"/>
      <c r="BQ137" s="135"/>
      <c r="BR137" s="135"/>
      <c r="BS137" s="135"/>
      <c r="BT137" s="135"/>
    </row>
    <row r="138" spans="1:72" s="196" customFormat="1">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c r="X138" s="135"/>
      <c r="Y138" s="135"/>
      <c r="Z138" s="135"/>
      <c r="AA138" s="135"/>
      <c r="AB138" s="135"/>
      <c r="AC138" s="135"/>
      <c r="AD138" s="135"/>
      <c r="AE138" s="135"/>
      <c r="AF138" s="135"/>
      <c r="AG138" s="135"/>
      <c r="AH138" s="135"/>
      <c r="AI138" s="135"/>
      <c r="AJ138" s="135"/>
      <c r="AK138" s="135"/>
      <c r="AL138" s="135"/>
      <c r="AM138" s="135"/>
      <c r="AN138" s="135"/>
      <c r="AO138" s="135"/>
      <c r="AP138" s="135"/>
      <c r="AQ138" s="135"/>
      <c r="AR138" s="135"/>
      <c r="AS138" s="135"/>
      <c r="AT138" s="135"/>
      <c r="AU138" s="135"/>
      <c r="AV138" s="135"/>
      <c r="AW138" s="135"/>
      <c r="AX138" s="135"/>
      <c r="AY138" s="135"/>
      <c r="AZ138" s="135"/>
      <c r="BA138" s="135"/>
      <c r="BB138" s="135"/>
      <c r="BC138" s="135"/>
      <c r="BD138" s="135"/>
      <c r="BE138" s="135"/>
      <c r="BF138" s="135"/>
      <c r="BG138" s="135"/>
      <c r="BH138" s="135"/>
      <c r="BI138" s="135"/>
      <c r="BJ138" s="135"/>
      <c r="BK138" s="135"/>
      <c r="BL138" s="135"/>
      <c r="BM138" s="135"/>
      <c r="BN138" s="135"/>
      <c r="BO138" s="135"/>
      <c r="BP138" s="135"/>
      <c r="BQ138" s="135"/>
      <c r="BR138" s="135"/>
      <c r="BS138" s="135"/>
      <c r="BT138" s="135"/>
    </row>
    <row r="139" spans="1:72" s="196" customFormat="1">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c r="AA139" s="135"/>
      <c r="AB139" s="135"/>
      <c r="AC139" s="135"/>
      <c r="AD139" s="135"/>
      <c r="AE139" s="135"/>
      <c r="AF139" s="135"/>
      <c r="AG139" s="135"/>
      <c r="AH139" s="135"/>
      <c r="AI139" s="135"/>
      <c r="AJ139" s="135"/>
      <c r="AK139" s="135"/>
      <c r="AL139" s="135"/>
      <c r="AM139" s="135"/>
      <c r="AN139" s="135"/>
      <c r="AO139" s="135"/>
      <c r="AP139" s="135"/>
      <c r="AQ139" s="135"/>
      <c r="AR139" s="135"/>
      <c r="AS139" s="135"/>
      <c r="AT139" s="135"/>
      <c r="AU139" s="135"/>
      <c r="AV139" s="135"/>
      <c r="AW139" s="135"/>
      <c r="AX139" s="135"/>
      <c r="AY139" s="135"/>
      <c r="AZ139" s="135"/>
      <c r="BA139" s="135"/>
      <c r="BB139" s="135"/>
      <c r="BC139" s="135"/>
      <c r="BD139" s="135"/>
      <c r="BE139" s="135"/>
      <c r="BF139" s="135"/>
      <c r="BG139" s="135"/>
      <c r="BH139" s="135"/>
      <c r="BI139" s="135"/>
      <c r="BJ139" s="135"/>
      <c r="BK139" s="135"/>
      <c r="BL139" s="135"/>
      <c r="BM139" s="135"/>
      <c r="BN139" s="135"/>
      <c r="BO139" s="135"/>
      <c r="BP139" s="135"/>
      <c r="BQ139" s="135"/>
      <c r="BR139" s="135"/>
      <c r="BS139" s="135"/>
      <c r="BT139" s="135"/>
    </row>
    <row r="140" spans="1:72" s="196" customFormat="1">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c r="AA140" s="135"/>
      <c r="AB140" s="135"/>
      <c r="AC140" s="135"/>
      <c r="AD140" s="135"/>
      <c r="AE140" s="135"/>
      <c r="AF140" s="135"/>
      <c r="AG140" s="135"/>
      <c r="AH140" s="135"/>
      <c r="AI140" s="135"/>
      <c r="AJ140" s="135"/>
      <c r="AK140" s="135"/>
      <c r="AL140" s="135"/>
      <c r="AM140" s="135"/>
      <c r="AN140" s="135"/>
      <c r="AO140" s="135"/>
      <c r="AP140" s="135"/>
      <c r="AQ140" s="135"/>
      <c r="AR140" s="135"/>
      <c r="AS140" s="135"/>
      <c r="AT140" s="135"/>
      <c r="AU140" s="135"/>
      <c r="AV140" s="135"/>
      <c r="AW140" s="135"/>
      <c r="AX140" s="135"/>
      <c r="AY140" s="135"/>
      <c r="AZ140" s="135"/>
      <c r="BA140" s="135"/>
      <c r="BB140" s="135"/>
      <c r="BC140" s="135"/>
      <c r="BD140" s="135"/>
      <c r="BE140" s="135"/>
      <c r="BF140" s="135"/>
      <c r="BG140" s="135"/>
      <c r="BH140" s="135"/>
      <c r="BI140" s="135"/>
      <c r="BJ140" s="135"/>
      <c r="BK140" s="135"/>
      <c r="BL140" s="135"/>
      <c r="BM140" s="135"/>
      <c r="BN140" s="135"/>
      <c r="BO140" s="135"/>
      <c r="BP140" s="135"/>
      <c r="BQ140" s="135"/>
      <c r="BR140" s="135"/>
      <c r="BS140" s="135"/>
      <c r="BT140" s="135"/>
    </row>
    <row r="141" spans="1:72" s="196" customFormat="1">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c r="X141" s="135"/>
      <c r="Y141" s="135"/>
      <c r="Z141" s="135"/>
      <c r="AA141" s="135"/>
      <c r="AB141" s="135"/>
      <c r="AC141" s="135"/>
      <c r="AD141" s="135"/>
      <c r="AE141" s="135"/>
      <c r="AF141" s="135"/>
      <c r="AG141" s="135"/>
      <c r="AH141" s="135"/>
      <c r="AI141" s="135"/>
      <c r="AJ141" s="135"/>
      <c r="AK141" s="135"/>
      <c r="AL141" s="135"/>
      <c r="AM141" s="135"/>
      <c r="AN141" s="135"/>
      <c r="AO141" s="135"/>
      <c r="AP141" s="135"/>
      <c r="AQ141" s="135"/>
      <c r="AR141" s="135"/>
      <c r="AS141" s="135"/>
      <c r="AT141" s="135"/>
      <c r="AU141" s="135"/>
      <c r="AV141" s="135"/>
      <c r="AW141" s="135"/>
      <c r="AX141" s="135"/>
      <c r="AY141" s="135"/>
      <c r="AZ141" s="135"/>
      <c r="BA141" s="135"/>
      <c r="BB141" s="135"/>
      <c r="BC141" s="135"/>
      <c r="BD141" s="135"/>
      <c r="BE141" s="135"/>
      <c r="BF141" s="135"/>
      <c r="BG141" s="135"/>
      <c r="BH141" s="135"/>
      <c r="BI141" s="135"/>
      <c r="BJ141" s="135"/>
      <c r="BK141" s="135"/>
      <c r="BL141" s="135"/>
      <c r="BM141" s="135"/>
      <c r="BN141" s="135"/>
      <c r="BO141" s="135"/>
      <c r="BP141" s="135"/>
      <c r="BQ141" s="135"/>
      <c r="BR141" s="135"/>
      <c r="BS141" s="135"/>
      <c r="BT141" s="135"/>
    </row>
    <row r="142" spans="1:72" s="196" customFormat="1">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c r="X142" s="135"/>
      <c r="Y142" s="135"/>
      <c r="Z142" s="135"/>
      <c r="AA142" s="135"/>
      <c r="AB142" s="135"/>
      <c r="AC142" s="135"/>
      <c r="AD142" s="135"/>
      <c r="AE142" s="135"/>
      <c r="AF142" s="135"/>
      <c r="AG142" s="135"/>
      <c r="AH142" s="135"/>
      <c r="AI142" s="135"/>
      <c r="AJ142" s="135"/>
      <c r="AK142" s="135"/>
      <c r="AL142" s="135"/>
      <c r="AM142" s="135"/>
      <c r="AN142" s="135"/>
      <c r="AO142" s="135"/>
      <c r="AP142" s="135"/>
      <c r="AQ142" s="135"/>
      <c r="AR142" s="135"/>
      <c r="AS142" s="135"/>
      <c r="AT142" s="135"/>
      <c r="AU142" s="135"/>
      <c r="AV142" s="135"/>
      <c r="AW142" s="135"/>
      <c r="AX142" s="135"/>
      <c r="AY142" s="135"/>
      <c r="AZ142" s="135"/>
      <c r="BA142" s="135"/>
      <c r="BB142" s="135"/>
      <c r="BC142" s="135"/>
      <c r="BD142" s="135"/>
      <c r="BE142" s="135"/>
      <c r="BF142" s="135"/>
      <c r="BG142" s="135"/>
      <c r="BH142" s="135"/>
      <c r="BI142" s="135"/>
      <c r="BJ142" s="135"/>
      <c r="BK142" s="135"/>
      <c r="BL142" s="135"/>
      <c r="BM142" s="135"/>
      <c r="BN142" s="135"/>
      <c r="BO142" s="135"/>
      <c r="BP142" s="135"/>
      <c r="BQ142" s="135"/>
      <c r="BR142" s="135"/>
      <c r="BS142" s="135"/>
      <c r="BT142" s="135"/>
    </row>
    <row r="143" spans="1:72" s="196" customFormat="1">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c r="X143" s="135"/>
      <c r="Y143" s="135"/>
      <c r="Z143" s="135"/>
      <c r="AA143" s="135"/>
      <c r="AB143" s="135"/>
      <c r="AC143" s="135"/>
      <c r="AD143" s="135"/>
      <c r="AE143" s="135"/>
      <c r="AF143" s="135"/>
      <c r="AG143" s="135"/>
      <c r="AH143" s="135"/>
      <c r="AI143" s="135"/>
      <c r="AJ143" s="135"/>
      <c r="AK143" s="135"/>
      <c r="AL143" s="135"/>
      <c r="AM143" s="135"/>
      <c r="AN143" s="135"/>
      <c r="AO143" s="135"/>
      <c r="AP143" s="135"/>
      <c r="AQ143" s="135"/>
      <c r="AR143" s="135"/>
      <c r="AS143" s="135"/>
      <c r="AT143" s="135"/>
      <c r="AU143" s="135"/>
      <c r="AV143" s="135"/>
      <c r="AW143" s="135"/>
      <c r="AX143" s="135"/>
      <c r="AY143" s="135"/>
      <c r="AZ143" s="135"/>
      <c r="BA143" s="135"/>
      <c r="BB143" s="135"/>
      <c r="BC143" s="135"/>
      <c r="BD143" s="135"/>
      <c r="BE143" s="135"/>
      <c r="BF143" s="135"/>
      <c r="BG143" s="135"/>
      <c r="BH143" s="135"/>
      <c r="BI143" s="135"/>
      <c r="BJ143" s="135"/>
      <c r="BK143" s="135"/>
      <c r="BL143" s="135"/>
      <c r="BM143" s="135"/>
      <c r="BN143" s="135"/>
      <c r="BO143" s="135"/>
      <c r="BP143" s="135"/>
      <c r="BQ143" s="135"/>
      <c r="BR143" s="135"/>
      <c r="BS143" s="135"/>
      <c r="BT143" s="135"/>
    </row>
    <row r="144" spans="1:72" s="196" customFormat="1">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c r="X144" s="135"/>
      <c r="Y144" s="135"/>
      <c r="Z144" s="135"/>
      <c r="AA144" s="135"/>
      <c r="AB144" s="135"/>
      <c r="AC144" s="135"/>
      <c r="AD144" s="135"/>
      <c r="AE144" s="135"/>
      <c r="AF144" s="135"/>
      <c r="AG144" s="135"/>
      <c r="AH144" s="135"/>
      <c r="AI144" s="135"/>
      <c r="AJ144" s="135"/>
      <c r="AK144" s="135"/>
      <c r="AL144" s="135"/>
      <c r="AM144" s="135"/>
      <c r="AN144" s="135"/>
      <c r="AO144" s="135"/>
      <c r="AP144" s="135"/>
      <c r="AQ144" s="135"/>
      <c r="AR144" s="135"/>
      <c r="AS144" s="135"/>
      <c r="AT144" s="135"/>
      <c r="AU144" s="135"/>
      <c r="AV144" s="135"/>
      <c r="AW144" s="135"/>
      <c r="AX144" s="135"/>
      <c r="AY144" s="135"/>
      <c r="AZ144" s="135"/>
      <c r="BA144" s="135"/>
      <c r="BB144" s="135"/>
      <c r="BC144" s="135"/>
      <c r="BD144" s="135"/>
      <c r="BE144" s="135"/>
      <c r="BF144" s="135"/>
      <c r="BG144" s="135"/>
      <c r="BH144" s="135"/>
      <c r="BI144" s="135"/>
      <c r="BJ144" s="135"/>
      <c r="BK144" s="135"/>
      <c r="BL144" s="135"/>
      <c r="BM144" s="135"/>
      <c r="BN144" s="135"/>
      <c r="BO144" s="135"/>
      <c r="BP144" s="135"/>
      <c r="BQ144" s="135"/>
      <c r="BR144" s="135"/>
      <c r="BS144" s="135"/>
      <c r="BT144" s="135"/>
    </row>
    <row r="145" spans="1:72" s="196" customFormat="1">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c r="X145" s="135"/>
      <c r="Y145" s="135"/>
      <c r="Z145" s="135"/>
      <c r="AA145" s="135"/>
      <c r="AB145" s="135"/>
      <c r="AC145" s="135"/>
      <c r="AD145" s="135"/>
      <c r="AE145" s="135"/>
      <c r="AF145" s="135"/>
      <c r="AG145" s="135"/>
      <c r="AH145" s="135"/>
      <c r="AI145" s="135"/>
      <c r="AJ145" s="135"/>
      <c r="AK145" s="135"/>
      <c r="AL145" s="135"/>
      <c r="AM145" s="135"/>
      <c r="AN145" s="135"/>
      <c r="AO145" s="135"/>
      <c r="AP145" s="135"/>
      <c r="AQ145" s="135"/>
      <c r="AR145" s="135"/>
      <c r="AS145" s="135"/>
      <c r="AT145" s="135"/>
      <c r="AU145" s="135"/>
      <c r="AV145" s="135"/>
      <c r="AW145" s="135"/>
      <c r="AX145" s="135"/>
      <c r="AY145" s="135"/>
      <c r="AZ145" s="135"/>
      <c r="BA145" s="135"/>
      <c r="BB145" s="135"/>
      <c r="BC145" s="135"/>
      <c r="BD145" s="135"/>
      <c r="BE145" s="135"/>
      <c r="BF145" s="135"/>
      <c r="BG145" s="135"/>
      <c r="BH145" s="135"/>
      <c r="BI145" s="135"/>
      <c r="BJ145" s="135"/>
      <c r="BK145" s="135"/>
      <c r="BL145" s="135"/>
      <c r="BM145" s="135"/>
      <c r="BN145" s="135"/>
      <c r="BO145" s="135"/>
      <c r="BP145" s="135"/>
      <c r="BQ145" s="135"/>
      <c r="BR145" s="135"/>
      <c r="BS145" s="135"/>
      <c r="BT145" s="135"/>
    </row>
    <row r="146" spans="1:72" s="196" customFormat="1">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c r="AA146" s="135"/>
      <c r="AB146" s="135"/>
      <c r="AC146" s="135"/>
      <c r="AD146" s="135"/>
      <c r="AE146" s="135"/>
      <c r="AF146" s="135"/>
      <c r="AG146" s="135"/>
      <c r="AH146" s="135"/>
      <c r="AI146" s="135"/>
      <c r="AJ146" s="135"/>
      <c r="AK146" s="135"/>
      <c r="AL146" s="135"/>
      <c r="AM146" s="135"/>
      <c r="AN146" s="135"/>
      <c r="AO146" s="135"/>
      <c r="AP146" s="135"/>
      <c r="AQ146" s="135"/>
      <c r="AR146" s="135"/>
      <c r="AS146" s="135"/>
      <c r="AT146" s="135"/>
      <c r="AU146" s="135"/>
      <c r="AV146" s="135"/>
      <c r="AW146" s="135"/>
      <c r="AX146" s="135"/>
      <c r="AY146" s="135"/>
      <c r="AZ146" s="135"/>
      <c r="BA146" s="135"/>
      <c r="BB146" s="135"/>
      <c r="BC146" s="135"/>
      <c r="BD146" s="135"/>
      <c r="BE146" s="135"/>
      <c r="BF146" s="135"/>
      <c r="BG146" s="135"/>
      <c r="BH146" s="135"/>
      <c r="BI146" s="135"/>
      <c r="BJ146" s="135"/>
      <c r="BK146" s="135"/>
      <c r="BL146" s="135"/>
      <c r="BM146" s="135"/>
      <c r="BN146" s="135"/>
      <c r="BO146" s="135"/>
      <c r="BP146" s="135"/>
      <c r="BQ146" s="135"/>
      <c r="BR146" s="135"/>
      <c r="BS146" s="135"/>
      <c r="BT146" s="135"/>
    </row>
    <row r="147" spans="1:72" s="196" customFormat="1">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c r="X147" s="135"/>
      <c r="Y147" s="135"/>
      <c r="Z147" s="135"/>
      <c r="AA147" s="135"/>
      <c r="AB147" s="135"/>
      <c r="AC147" s="135"/>
      <c r="AD147" s="135"/>
      <c r="AE147" s="135"/>
      <c r="AF147" s="135"/>
      <c r="AG147" s="135"/>
      <c r="AH147" s="135"/>
      <c r="AI147" s="135"/>
      <c r="AJ147" s="135"/>
      <c r="AK147" s="135"/>
      <c r="AL147" s="135"/>
      <c r="AM147" s="135"/>
      <c r="AN147" s="135"/>
      <c r="AO147" s="135"/>
      <c r="AP147" s="135"/>
      <c r="AQ147" s="135"/>
      <c r="AR147" s="135"/>
      <c r="AS147" s="135"/>
      <c r="AT147" s="135"/>
      <c r="AU147" s="135"/>
      <c r="AV147" s="135"/>
      <c r="AW147" s="135"/>
      <c r="AX147" s="135"/>
      <c r="AY147" s="135"/>
      <c r="AZ147" s="135"/>
      <c r="BA147" s="135"/>
      <c r="BB147" s="135"/>
      <c r="BC147" s="135"/>
      <c r="BD147" s="135"/>
      <c r="BE147" s="135"/>
      <c r="BF147" s="135"/>
      <c r="BG147" s="135"/>
      <c r="BH147" s="135"/>
      <c r="BI147" s="135"/>
      <c r="BJ147" s="135"/>
      <c r="BK147" s="135"/>
      <c r="BL147" s="135"/>
      <c r="BM147" s="135"/>
      <c r="BN147" s="135"/>
      <c r="BO147" s="135"/>
      <c r="BP147" s="135"/>
      <c r="BQ147" s="135"/>
      <c r="BR147" s="135"/>
      <c r="BS147" s="135"/>
      <c r="BT147" s="135"/>
    </row>
    <row r="148" spans="1:72" s="196" customFormat="1">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c r="X148" s="135"/>
      <c r="Y148" s="135"/>
      <c r="Z148" s="135"/>
      <c r="AA148" s="135"/>
      <c r="AB148" s="135"/>
      <c r="AC148" s="135"/>
      <c r="AD148" s="135"/>
      <c r="AE148" s="135"/>
      <c r="AF148" s="135"/>
      <c r="AG148" s="135"/>
      <c r="AH148" s="135"/>
      <c r="AI148" s="135"/>
      <c r="AJ148" s="135"/>
      <c r="AK148" s="135"/>
      <c r="AL148" s="135"/>
      <c r="AM148" s="135"/>
      <c r="AN148" s="135"/>
      <c r="AO148" s="135"/>
      <c r="AP148" s="135"/>
      <c r="AQ148" s="135"/>
      <c r="AR148" s="135"/>
      <c r="AS148" s="135"/>
      <c r="AT148" s="135"/>
      <c r="AU148" s="135"/>
      <c r="AV148" s="135"/>
      <c r="AW148" s="135"/>
      <c r="AX148" s="135"/>
      <c r="AY148" s="135"/>
      <c r="AZ148" s="135"/>
      <c r="BA148" s="135"/>
      <c r="BB148" s="135"/>
      <c r="BC148" s="135"/>
      <c r="BD148" s="135"/>
      <c r="BE148" s="135"/>
      <c r="BF148" s="135"/>
      <c r="BG148" s="135"/>
      <c r="BH148" s="135"/>
      <c r="BI148" s="135"/>
      <c r="BJ148" s="135"/>
      <c r="BK148" s="135"/>
      <c r="BL148" s="135"/>
      <c r="BM148" s="135"/>
      <c r="BN148" s="135"/>
      <c r="BO148" s="135"/>
      <c r="BP148" s="135"/>
      <c r="BQ148" s="135"/>
      <c r="BR148" s="135"/>
      <c r="BS148" s="135"/>
      <c r="BT148" s="135"/>
    </row>
    <row r="149" spans="1:72" s="196" customFormat="1">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c r="X149" s="135"/>
      <c r="Y149" s="135"/>
      <c r="Z149" s="135"/>
      <c r="AA149" s="135"/>
      <c r="AB149" s="135"/>
      <c r="AC149" s="135"/>
      <c r="AD149" s="135"/>
      <c r="AE149" s="135"/>
      <c r="AF149" s="135"/>
      <c r="AG149" s="135"/>
      <c r="AH149" s="135"/>
      <c r="AI149" s="135"/>
      <c r="AJ149" s="135"/>
      <c r="AK149" s="135"/>
      <c r="AL149" s="135"/>
      <c r="AM149" s="135"/>
      <c r="AN149" s="135"/>
      <c r="AO149" s="135"/>
      <c r="AP149" s="135"/>
      <c r="AQ149" s="135"/>
      <c r="AR149" s="135"/>
      <c r="AS149" s="135"/>
      <c r="AT149" s="135"/>
      <c r="AU149" s="135"/>
      <c r="AV149" s="135"/>
      <c r="AW149" s="135"/>
      <c r="AX149" s="135"/>
      <c r="AY149" s="135"/>
      <c r="AZ149" s="135"/>
      <c r="BA149" s="135"/>
      <c r="BB149" s="135"/>
      <c r="BC149" s="135"/>
      <c r="BD149" s="135"/>
      <c r="BE149" s="135"/>
      <c r="BF149" s="135"/>
      <c r="BG149" s="135"/>
      <c r="BH149" s="135"/>
      <c r="BI149" s="135"/>
      <c r="BJ149" s="135"/>
      <c r="BK149" s="135"/>
      <c r="BL149" s="135"/>
      <c r="BM149" s="135"/>
      <c r="BN149" s="135"/>
      <c r="BO149" s="135"/>
      <c r="BP149" s="135"/>
      <c r="BQ149" s="135"/>
      <c r="BR149" s="135"/>
      <c r="BS149" s="135"/>
      <c r="BT149" s="135"/>
    </row>
    <row r="150" spans="1:72" s="196" customFormat="1">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c r="X150" s="135"/>
      <c r="Y150" s="135"/>
      <c r="Z150" s="135"/>
      <c r="AA150" s="135"/>
      <c r="AB150" s="135"/>
      <c r="AC150" s="135"/>
      <c r="AD150" s="135"/>
      <c r="AE150" s="135"/>
      <c r="AF150" s="135"/>
      <c r="AG150" s="135"/>
      <c r="AH150" s="135"/>
      <c r="AI150" s="135"/>
      <c r="AJ150" s="135"/>
      <c r="AK150" s="135"/>
      <c r="AL150" s="135"/>
      <c r="AM150" s="135"/>
      <c r="AN150" s="135"/>
      <c r="AO150" s="135"/>
      <c r="AP150" s="135"/>
      <c r="AQ150" s="135"/>
      <c r="AR150" s="135"/>
      <c r="AS150" s="135"/>
      <c r="AT150" s="135"/>
      <c r="AU150" s="135"/>
      <c r="AV150" s="135"/>
      <c r="AW150" s="135"/>
      <c r="AX150" s="135"/>
      <c r="AY150" s="135"/>
      <c r="AZ150" s="135"/>
      <c r="BA150" s="135"/>
      <c r="BB150" s="135"/>
      <c r="BC150" s="135"/>
      <c r="BD150" s="135"/>
      <c r="BE150" s="135"/>
      <c r="BF150" s="135"/>
      <c r="BG150" s="135"/>
      <c r="BH150" s="135"/>
      <c r="BI150" s="135"/>
      <c r="BJ150" s="135"/>
      <c r="BK150" s="135"/>
      <c r="BL150" s="135"/>
      <c r="BM150" s="135"/>
      <c r="BN150" s="135"/>
      <c r="BO150" s="135"/>
      <c r="BP150" s="135"/>
      <c r="BQ150" s="135"/>
      <c r="BR150" s="135"/>
      <c r="BS150" s="135"/>
      <c r="BT150" s="135"/>
    </row>
    <row r="151" spans="1:72" s="196" customFormat="1">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c r="X151" s="135"/>
      <c r="Y151" s="135"/>
      <c r="Z151" s="135"/>
      <c r="AA151" s="135"/>
      <c r="AB151" s="135"/>
      <c r="AC151" s="135"/>
      <c r="AD151" s="135"/>
      <c r="AE151" s="135"/>
      <c r="AF151" s="135"/>
      <c r="AG151" s="135"/>
      <c r="AH151" s="135"/>
      <c r="AI151" s="135"/>
      <c r="AJ151" s="135"/>
      <c r="AK151" s="135"/>
      <c r="AL151" s="135"/>
      <c r="AM151" s="135"/>
      <c r="AN151" s="135"/>
      <c r="AO151" s="135"/>
      <c r="AP151" s="135"/>
      <c r="AQ151" s="135"/>
      <c r="AR151" s="135"/>
      <c r="AS151" s="135"/>
      <c r="AT151" s="135"/>
      <c r="AU151" s="135"/>
      <c r="AV151" s="135"/>
      <c r="AW151" s="135"/>
      <c r="AX151" s="135"/>
      <c r="AY151" s="135"/>
      <c r="AZ151" s="135"/>
      <c r="BA151" s="135"/>
      <c r="BB151" s="135"/>
      <c r="BC151" s="135"/>
      <c r="BD151" s="135"/>
      <c r="BE151" s="135"/>
      <c r="BF151" s="135"/>
      <c r="BG151" s="135"/>
      <c r="BH151" s="135"/>
      <c r="BI151" s="135"/>
      <c r="BJ151" s="135"/>
      <c r="BK151" s="135"/>
      <c r="BL151" s="135"/>
      <c r="BM151" s="135"/>
      <c r="BN151" s="135"/>
      <c r="BO151" s="135"/>
      <c r="BP151" s="135"/>
      <c r="BQ151" s="135"/>
      <c r="BR151" s="135"/>
      <c r="BS151" s="135"/>
      <c r="BT151" s="135"/>
    </row>
    <row r="152" spans="1:72" s="196" customFormat="1">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c r="X152" s="135"/>
      <c r="Y152" s="135"/>
      <c r="Z152" s="135"/>
      <c r="AA152" s="135"/>
      <c r="AB152" s="135"/>
      <c r="AC152" s="135"/>
      <c r="AD152" s="135"/>
      <c r="AE152" s="135"/>
      <c r="AF152" s="135"/>
      <c r="AG152" s="135"/>
      <c r="AH152" s="135"/>
      <c r="AI152" s="135"/>
      <c r="AJ152" s="135"/>
      <c r="AK152" s="135"/>
      <c r="AL152" s="135"/>
      <c r="AM152" s="135"/>
      <c r="AN152" s="135"/>
      <c r="AO152" s="135"/>
      <c r="AP152" s="135"/>
      <c r="AQ152" s="135"/>
      <c r="AR152" s="135"/>
      <c r="AS152" s="135"/>
      <c r="AT152" s="135"/>
      <c r="AU152" s="135"/>
      <c r="AV152" s="135"/>
      <c r="AW152" s="135"/>
      <c r="AX152" s="135"/>
      <c r="AY152" s="135"/>
      <c r="AZ152" s="135"/>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row>
    <row r="153" spans="1:72" s="196" customFormat="1">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c r="X153" s="135"/>
      <c r="Y153" s="135"/>
      <c r="Z153" s="135"/>
      <c r="AA153" s="135"/>
      <c r="AB153" s="135"/>
      <c r="AC153" s="135"/>
      <c r="AD153" s="135"/>
      <c r="AE153" s="135"/>
      <c r="AF153" s="135"/>
      <c r="AG153" s="135"/>
      <c r="AH153" s="135"/>
      <c r="AI153" s="135"/>
      <c r="AJ153" s="135"/>
      <c r="AK153" s="135"/>
      <c r="AL153" s="135"/>
      <c r="AM153" s="135"/>
      <c r="AN153" s="135"/>
      <c r="AO153" s="135"/>
      <c r="AP153" s="135"/>
      <c r="AQ153" s="135"/>
      <c r="AR153" s="135"/>
      <c r="AS153" s="135"/>
      <c r="AT153" s="135"/>
      <c r="AU153" s="135"/>
      <c r="AV153" s="135"/>
      <c r="AW153" s="135"/>
      <c r="AX153" s="135"/>
      <c r="AY153" s="135"/>
      <c r="AZ153" s="135"/>
      <c r="BA153" s="135"/>
      <c r="BB153" s="135"/>
      <c r="BC153" s="135"/>
      <c r="BD153" s="135"/>
      <c r="BE153" s="135"/>
      <c r="BF153" s="135"/>
      <c r="BG153" s="135"/>
      <c r="BH153" s="135"/>
      <c r="BI153" s="135"/>
      <c r="BJ153" s="135"/>
      <c r="BK153" s="135"/>
      <c r="BL153" s="135"/>
      <c r="BM153" s="135"/>
      <c r="BN153" s="135"/>
      <c r="BO153" s="135"/>
      <c r="BP153" s="135"/>
      <c r="BQ153" s="135"/>
      <c r="BR153" s="135"/>
      <c r="BS153" s="135"/>
      <c r="BT153" s="135"/>
    </row>
    <row r="154" spans="1:72" s="196" customFormat="1">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c r="AA154" s="135"/>
      <c r="AB154" s="135"/>
      <c r="AC154" s="135"/>
      <c r="AD154" s="135"/>
      <c r="AE154" s="135"/>
      <c r="AF154" s="135"/>
      <c r="AG154" s="135"/>
      <c r="AH154" s="135"/>
      <c r="AI154" s="135"/>
      <c r="AJ154" s="135"/>
      <c r="AK154" s="135"/>
      <c r="AL154" s="135"/>
      <c r="AM154" s="135"/>
      <c r="AN154" s="135"/>
      <c r="AO154" s="135"/>
      <c r="AP154" s="135"/>
      <c r="AQ154" s="135"/>
      <c r="AR154" s="135"/>
      <c r="AS154" s="135"/>
      <c r="AT154" s="135"/>
      <c r="AU154" s="135"/>
      <c r="AV154" s="135"/>
      <c r="AW154" s="135"/>
      <c r="AX154" s="135"/>
      <c r="AY154" s="135"/>
      <c r="AZ154" s="135"/>
      <c r="BA154" s="135"/>
      <c r="BB154" s="135"/>
      <c r="BC154" s="135"/>
      <c r="BD154" s="135"/>
      <c r="BE154" s="135"/>
      <c r="BF154" s="135"/>
      <c r="BG154" s="135"/>
      <c r="BH154" s="135"/>
      <c r="BI154" s="135"/>
      <c r="BJ154" s="135"/>
      <c r="BK154" s="135"/>
      <c r="BL154" s="135"/>
      <c r="BM154" s="135"/>
      <c r="BN154" s="135"/>
      <c r="BO154" s="135"/>
      <c r="BP154" s="135"/>
      <c r="BQ154" s="135"/>
      <c r="BR154" s="135"/>
      <c r="BS154" s="135"/>
      <c r="BT154" s="135"/>
    </row>
    <row r="155" spans="1:72" s="196" customFormat="1">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c r="X155" s="135"/>
      <c r="Y155" s="135"/>
      <c r="Z155" s="135"/>
      <c r="AA155" s="135"/>
      <c r="AB155" s="135"/>
      <c r="AC155" s="135"/>
      <c r="AD155" s="135"/>
      <c r="AE155" s="135"/>
      <c r="AF155" s="135"/>
      <c r="AG155" s="135"/>
      <c r="AH155" s="135"/>
      <c r="AI155" s="135"/>
      <c r="AJ155" s="135"/>
      <c r="AK155" s="135"/>
      <c r="AL155" s="135"/>
      <c r="AM155" s="135"/>
      <c r="AN155" s="135"/>
      <c r="AO155" s="135"/>
      <c r="AP155" s="135"/>
      <c r="AQ155" s="135"/>
      <c r="AR155" s="135"/>
      <c r="AS155" s="135"/>
      <c r="AT155" s="135"/>
      <c r="AU155" s="135"/>
      <c r="AV155" s="135"/>
      <c r="AW155" s="135"/>
      <c r="AX155" s="135"/>
      <c r="AY155" s="135"/>
      <c r="AZ155" s="135"/>
      <c r="BA155" s="135"/>
      <c r="BB155" s="135"/>
      <c r="BC155" s="135"/>
      <c r="BD155" s="135"/>
      <c r="BE155" s="135"/>
      <c r="BF155" s="135"/>
      <c r="BG155" s="135"/>
      <c r="BH155" s="135"/>
      <c r="BI155" s="135"/>
      <c r="BJ155" s="135"/>
      <c r="BK155" s="135"/>
      <c r="BL155" s="135"/>
      <c r="BM155" s="135"/>
      <c r="BN155" s="135"/>
      <c r="BO155" s="135"/>
      <c r="BP155" s="135"/>
      <c r="BQ155" s="135"/>
      <c r="BR155" s="135"/>
      <c r="BS155" s="135"/>
      <c r="BT155" s="135"/>
    </row>
    <row r="156" spans="1:72" s="196" customFormat="1">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c r="X156" s="135"/>
      <c r="Y156" s="135"/>
      <c r="Z156" s="135"/>
      <c r="AA156" s="135"/>
      <c r="AB156" s="135"/>
      <c r="AC156" s="135"/>
      <c r="AD156" s="135"/>
      <c r="AE156" s="135"/>
      <c r="AF156" s="135"/>
      <c r="AG156" s="135"/>
      <c r="AH156" s="135"/>
      <c r="AI156" s="135"/>
      <c r="AJ156" s="135"/>
      <c r="AK156" s="135"/>
      <c r="AL156" s="135"/>
      <c r="AM156" s="135"/>
      <c r="AN156" s="135"/>
      <c r="AO156" s="135"/>
      <c r="AP156" s="135"/>
      <c r="AQ156" s="135"/>
      <c r="AR156" s="135"/>
      <c r="AS156" s="135"/>
      <c r="AT156" s="135"/>
      <c r="AU156" s="135"/>
      <c r="AV156" s="135"/>
      <c r="AW156" s="135"/>
      <c r="AX156" s="135"/>
      <c r="AY156" s="135"/>
      <c r="AZ156" s="135"/>
      <c r="BA156" s="135"/>
      <c r="BB156" s="135"/>
      <c r="BC156" s="135"/>
      <c r="BD156" s="135"/>
      <c r="BE156" s="135"/>
      <c r="BF156" s="135"/>
      <c r="BG156" s="135"/>
      <c r="BH156" s="135"/>
      <c r="BI156" s="135"/>
      <c r="BJ156" s="135"/>
      <c r="BK156" s="135"/>
      <c r="BL156" s="135"/>
      <c r="BM156" s="135"/>
      <c r="BN156" s="135"/>
      <c r="BO156" s="135"/>
      <c r="BP156" s="135"/>
      <c r="BQ156" s="135"/>
      <c r="BR156" s="135"/>
      <c r="BS156" s="135"/>
      <c r="BT156" s="135"/>
    </row>
    <row r="157" spans="1:72" s="196" customFormat="1">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c r="X157" s="135"/>
      <c r="Y157" s="135"/>
      <c r="Z157" s="135"/>
      <c r="AA157" s="135"/>
      <c r="AB157" s="135"/>
      <c r="AC157" s="135"/>
      <c r="AD157" s="135"/>
      <c r="AE157" s="135"/>
      <c r="AF157" s="135"/>
      <c r="AG157" s="135"/>
      <c r="AH157" s="135"/>
      <c r="AI157" s="135"/>
      <c r="AJ157" s="135"/>
      <c r="AK157" s="135"/>
      <c r="AL157" s="135"/>
      <c r="AM157" s="135"/>
      <c r="AN157" s="135"/>
      <c r="AO157" s="135"/>
      <c r="AP157" s="135"/>
      <c r="AQ157" s="135"/>
      <c r="AR157" s="135"/>
      <c r="AS157" s="135"/>
      <c r="AT157" s="135"/>
      <c r="AU157" s="135"/>
      <c r="AV157" s="135"/>
      <c r="AW157" s="135"/>
      <c r="AX157" s="135"/>
      <c r="AY157" s="135"/>
      <c r="AZ157" s="135"/>
      <c r="BA157" s="135"/>
      <c r="BB157" s="135"/>
      <c r="BC157" s="135"/>
      <c r="BD157" s="135"/>
      <c r="BE157" s="135"/>
      <c r="BF157" s="135"/>
      <c r="BG157" s="135"/>
      <c r="BH157" s="135"/>
      <c r="BI157" s="135"/>
      <c r="BJ157" s="135"/>
      <c r="BK157" s="135"/>
      <c r="BL157" s="135"/>
      <c r="BM157" s="135"/>
      <c r="BN157" s="135"/>
      <c r="BO157" s="135"/>
      <c r="BP157" s="135"/>
      <c r="BQ157" s="135"/>
      <c r="BR157" s="135"/>
      <c r="BS157" s="135"/>
      <c r="BT157" s="135"/>
    </row>
    <row r="158" spans="1:72" s="196" customFormat="1">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c r="X158" s="135"/>
      <c r="Y158" s="135"/>
      <c r="Z158" s="135"/>
      <c r="AA158" s="135"/>
      <c r="AB158" s="135"/>
      <c r="AC158" s="135"/>
      <c r="AD158" s="135"/>
      <c r="AE158" s="135"/>
      <c r="AF158" s="135"/>
      <c r="AG158" s="135"/>
      <c r="AH158" s="135"/>
      <c r="AI158" s="135"/>
      <c r="AJ158" s="135"/>
      <c r="AK158" s="135"/>
      <c r="AL158" s="135"/>
      <c r="AM158" s="135"/>
      <c r="AN158" s="135"/>
      <c r="AO158" s="135"/>
      <c r="AP158" s="135"/>
      <c r="AQ158" s="135"/>
      <c r="AR158" s="135"/>
      <c r="AS158" s="135"/>
      <c r="AT158" s="135"/>
      <c r="AU158" s="135"/>
      <c r="AV158" s="135"/>
      <c r="AW158" s="135"/>
      <c r="AX158" s="135"/>
      <c r="AY158" s="135"/>
      <c r="AZ158" s="135"/>
      <c r="BA158" s="135"/>
      <c r="BB158" s="135"/>
      <c r="BC158" s="135"/>
      <c r="BD158" s="135"/>
      <c r="BE158" s="135"/>
      <c r="BF158" s="135"/>
      <c r="BG158" s="135"/>
      <c r="BH158" s="135"/>
      <c r="BI158" s="135"/>
      <c r="BJ158" s="135"/>
      <c r="BK158" s="135"/>
      <c r="BL158" s="135"/>
      <c r="BM158" s="135"/>
      <c r="BN158" s="135"/>
      <c r="BO158" s="135"/>
      <c r="BP158" s="135"/>
      <c r="BQ158" s="135"/>
      <c r="BR158" s="135"/>
      <c r="BS158" s="135"/>
      <c r="BT158" s="135"/>
    </row>
    <row r="159" spans="1:72" s="196" customFormat="1">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c r="X159" s="135"/>
      <c r="Y159" s="135"/>
      <c r="Z159" s="135"/>
      <c r="AA159" s="135"/>
      <c r="AB159" s="135"/>
      <c r="AC159" s="135"/>
      <c r="AD159" s="135"/>
      <c r="AE159" s="135"/>
      <c r="AF159" s="135"/>
      <c r="AG159" s="135"/>
      <c r="AH159" s="135"/>
      <c r="AI159" s="135"/>
      <c r="AJ159" s="135"/>
      <c r="AK159" s="135"/>
      <c r="AL159" s="135"/>
      <c r="AM159" s="135"/>
      <c r="AN159" s="135"/>
      <c r="AO159" s="135"/>
      <c r="AP159" s="135"/>
      <c r="AQ159" s="135"/>
      <c r="AR159" s="135"/>
      <c r="AS159" s="135"/>
      <c r="AT159" s="135"/>
      <c r="AU159" s="135"/>
      <c r="AV159" s="135"/>
      <c r="AW159" s="135"/>
      <c r="AX159" s="135"/>
      <c r="AY159" s="135"/>
      <c r="AZ159" s="135"/>
      <c r="BA159" s="135"/>
      <c r="BB159" s="135"/>
      <c r="BC159" s="135"/>
      <c r="BD159" s="135"/>
      <c r="BE159" s="135"/>
      <c r="BF159" s="135"/>
      <c r="BG159" s="135"/>
      <c r="BH159" s="135"/>
      <c r="BI159" s="135"/>
      <c r="BJ159" s="135"/>
      <c r="BK159" s="135"/>
      <c r="BL159" s="135"/>
      <c r="BM159" s="135"/>
      <c r="BN159" s="135"/>
      <c r="BO159" s="135"/>
      <c r="BP159" s="135"/>
      <c r="BQ159" s="135"/>
      <c r="BR159" s="135"/>
      <c r="BS159" s="135"/>
      <c r="BT159" s="135"/>
    </row>
    <row r="160" spans="1:72" s="196" customFormat="1">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c r="X160" s="135"/>
      <c r="Y160" s="135"/>
      <c r="Z160" s="135"/>
      <c r="AA160" s="135"/>
      <c r="AB160" s="135"/>
      <c r="AC160" s="135"/>
      <c r="AD160" s="135"/>
      <c r="AE160" s="135"/>
      <c r="AF160" s="135"/>
      <c r="AG160" s="135"/>
      <c r="AH160" s="135"/>
      <c r="AI160" s="135"/>
      <c r="AJ160" s="135"/>
      <c r="AK160" s="135"/>
      <c r="AL160" s="135"/>
      <c r="AM160" s="135"/>
      <c r="AN160" s="135"/>
      <c r="AO160" s="135"/>
      <c r="AP160" s="135"/>
      <c r="AQ160" s="135"/>
      <c r="AR160" s="135"/>
      <c r="AS160" s="135"/>
      <c r="AT160" s="135"/>
      <c r="AU160" s="135"/>
      <c r="AV160" s="135"/>
      <c r="AW160" s="135"/>
      <c r="AX160" s="135"/>
      <c r="AY160" s="135"/>
      <c r="AZ160" s="135"/>
      <c r="BA160" s="135"/>
      <c r="BB160" s="135"/>
      <c r="BC160" s="135"/>
      <c r="BD160" s="135"/>
      <c r="BE160" s="135"/>
      <c r="BF160" s="135"/>
      <c r="BG160" s="135"/>
      <c r="BH160" s="135"/>
      <c r="BI160" s="135"/>
      <c r="BJ160" s="135"/>
      <c r="BK160" s="135"/>
      <c r="BL160" s="135"/>
      <c r="BM160" s="135"/>
      <c r="BN160" s="135"/>
      <c r="BO160" s="135"/>
      <c r="BP160" s="135"/>
      <c r="BQ160" s="135"/>
      <c r="BR160" s="135"/>
      <c r="BS160" s="135"/>
      <c r="BT160" s="135"/>
    </row>
    <row r="161" spans="1:72" s="196" customFormat="1">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c r="X161" s="135"/>
      <c r="Y161" s="135"/>
      <c r="Z161" s="135"/>
      <c r="AA161" s="135"/>
      <c r="AB161" s="135"/>
      <c r="AC161" s="135"/>
      <c r="AD161" s="135"/>
      <c r="AE161" s="135"/>
      <c r="AF161" s="135"/>
      <c r="AG161" s="135"/>
      <c r="AH161" s="135"/>
      <c r="AI161" s="135"/>
      <c r="AJ161" s="135"/>
      <c r="AK161" s="135"/>
      <c r="AL161" s="135"/>
      <c r="AM161" s="135"/>
      <c r="AN161" s="135"/>
      <c r="AO161" s="135"/>
      <c r="AP161" s="135"/>
      <c r="AQ161" s="135"/>
      <c r="AR161" s="135"/>
      <c r="AS161" s="135"/>
      <c r="AT161" s="135"/>
      <c r="AU161" s="135"/>
      <c r="AV161" s="135"/>
      <c r="AW161" s="135"/>
      <c r="AX161" s="135"/>
      <c r="AY161" s="135"/>
      <c r="AZ161" s="135"/>
      <c r="BA161" s="135"/>
      <c r="BB161" s="135"/>
      <c r="BC161" s="135"/>
      <c r="BD161" s="135"/>
      <c r="BE161" s="135"/>
      <c r="BF161" s="135"/>
      <c r="BG161" s="135"/>
      <c r="BH161" s="135"/>
      <c r="BI161" s="135"/>
      <c r="BJ161" s="135"/>
      <c r="BK161" s="135"/>
      <c r="BL161" s="135"/>
      <c r="BM161" s="135"/>
      <c r="BN161" s="135"/>
      <c r="BO161" s="135"/>
      <c r="BP161" s="135"/>
      <c r="BQ161" s="135"/>
      <c r="BR161" s="135"/>
      <c r="BS161" s="135"/>
      <c r="BT161" s="135"/>
    </row>
    <row r="162" spans="1:72" s="196" customFormat="1">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c r="X162" s="135"/>
      <c r="Y162" s="135"/>
      <c r="Z162" s="135"/>
      <c r="AA162" s="135"/>
      <c r="AB162" s="135"/>
      <c r="AC162" s="135"/>
      <c r="AD162" s="135"/>
      <c r="AE162" s="135"/>
      <c r="AF162" s="135"/>
      <c r="AG162" s="135"/>
      <c r="AH162" s="135"/>
      <c r="AI162" s="135"/>
      <c r="AJ162" s="135"/>
      <c r="AK162" s="135"/>
      <c r="AL162" s="135"/>
      <c r="AM162" s="135"/>
      <c r="AN162" s="135"/>
      <c r="AO162" s="135"/>
      <c r="AP162" s="135"/>
      <c r="AQ162" s="135"/>
      <c r="AR162" s="135"/>
      <c r="AS162" s="135"/>
      <c r="AT162" s="135"/>
      <c r="AU162" s="135"/>
      <c r="AV162" s="135"/>
      <c r="AW162" s="135"/>
      <c r="AX162" s="135"/>
      <c r="AY162" s="135"/>
      <c r="AZ162" s="135"/>
      <c r="BA162" s="135"/>
      <c r="BB162" s="135"/>
      <c r="BC162" s="135"/>
      <c r="BD162" s="135"/>
      <c r="BE162" s="135"/>
      <c r="BF162" s="135"/>
      <c r="BG162" s="135"/>
      <c r="BH162" s="135"/>
      <c r="BI162" s="135"/>
      <c r="BJ162" s="135"/>
      <c r="BK162" s="135"/>
      <c r="BL162" s="135"/>
      <c r="BM162" s="135"/>
      <c r="BN162" s="135"/>
      <c r="BO162" s="135"/>
      <c r="BP162" s="135"/>
      <c r="BQ162" s="135"/>
      <c r="BR162" s="135"/>
      <c r="BS162" s="135"/>
      <c r="BT162" s="135"/>
    </row>
    <row r="163" spans="1:72" s="196" customFormat="1">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c r="X163" s="135"/>
      <c r="Y163" s="135"/>
      <c r="Z163" s="135"/>
      <c r="AA163" s="135"/>
      <c r="AB163" s="135"/>
      <c r="AC163" s="135"/>
      <c r="AD163" s="135"/>
      <c r="AE163" s="135"/>
      <c r="AF163" s="135"/>
      <c r="AG163" s="135"/>
      <c r="AH163" s="135"/>
      <c r="AI163" s="135"/>
      <c r="AJ163" s="135"/>
      <c r="AK163" s="135"/>
      <c r="AL163" s="135"/>
      <c r="AM163" s="135"/>
      <c r="AN163" s="135"/>
      <c r="AO163" s="135"/>
      <c r="AP163" s="135"/>
      <c r="AQ163" s="135"/>
      <c r="AR163" s="135"/>
      <c r="AS163" s="135"/>
      <c r="AT163" s="135"/>
      <c r="AU163" s="135"/>
      <c r="AV163" s="135"/>
      <c r="AW163" s="135"/>
      <c r="AX163" s="135"/>
      <c r="AY163" s="135"/>
      <c r="AZ163" s="135"/>
      <c r="BA163" s="135"/>
      <c r="BB163" s="135"/>
      <c r="BC163" s="135"/>
      <c r="BD163" s="135"/>
      <c r="BE163" s="135"/>
      <c r="BF163" s="135"/>
      <c r="BG163" s="135"/>
      <c r="BH163" s="135"/>
      <c r="BI163" s="135"/>
      <c r="BJ163" s="135"/>
      <c r="BK163" s="135"/>
      <c r="BL163" s="135"/>
      <c r="BM163" s="135"/>
      <c r="BN163" s="135"/>
      <c r="BO163" s="135"/>
      <c r="BP163" s="135"/>
      <c r="BQ163" s="135"/>
      <c r="BR163" s="135"/>
      <c r="BS163" s="135"/>
      <c r="BT163" s="135"/>
    </row>
    <row r="164" spans="1:72" s="196" customFormat="1">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c r="X164" s="135"/>
      <c r="Y164" s="135"/>
      <c r="Z164" s="135"/>
      <c r="AA164" s="135"/>
      <c r="AB164" s="135"/>
      <c r="AC164" s="135"/>
      <c r="AD164" s="135"/>
      <c r="AE164" s="135"/>
      <c r="AF164" s="135"/>
      <c r="AG164" s="135"/>
      <c r="AH164" s="135"/>
      <c r="AI164" s="135"/>
      <c r="AJ164" s="135"/>
      <c r="AK164" s="135"/>
      <c r="AL164" s="135"/>
      <c r="AM164" s="135"/>
      <c r="AN164" s="135"/>
      <c r="AO164" s="135"/>
      <c r="AP164" s="135"/>
      <c r="AQ164" s="135"/>
      <c r="AR164" s="135"/>
      <c r="AS164" s="135"/>
      <c r="AT164" s="135"/>
      <c r="AU164" s="135"/>
      <c r="AV164" s="135"/>
      <c r="AW164" s="135"/>
      <c r="AX164" s="135"/>
      <c r="AY164" s="135"/>
      <c r="AZ164" s="135"/>
      <c r="BA164" s="135"/>
      <c r="BB164" s="135"/>
      <c r="BC164" s="135"/>
      <c r="BD164" s="135"/>
      <c r="BE164" s="135"/>
      <c r="BF164" s="135"/>
      <c r="BG164" s="135"/>
      <c r="BH164" s="135"/>
      <c r="BI164" s="135"/>
      <c r="BJ164" s="135"/>
      <c r="BK164" s="135"/>
      <c r="BL164" s="135"/>
      <c r="BM164" s="135"/>
      <c r="BN164" s="135"/>
      <c r="BO164" s="135"/>
      <c r="BP164" s="135"/>
      <c r="BQ164" s="135"/>
      <c r="BR164" s="135"/>
      <c r="BS164" s="135"/>
      <c r="BT164" s="135"/>
    </row>
    <row r="165" spans="1:72" s="196" customFormat="1">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c r="X165" s="135"/>
      <c r="Y165" s="135"/>
      <c r="Z165" s="135"/>
      <c r="AA165" s="135"/>
      <c r="AB165" s="135"/>
      <c r="AC165" s="135"/>
      <c r="AD165" s="135"/>
      <c r="AE165" s="135"/>
      <c r="AF165" s="135"/>
      <c r="AG165" s="135"/>
      <c r="AH165" s="135"/>
      <c r="AI165" s="135"/>
      <c r="AJ165" s="135"/>
      <c r="AK165" s="135"/>
      <c r="AL165" s="135"/>
      <c r="AM165" s="135"/>
      <c r="AN165" s="135"/>
      <c r="AO165" s="135"/>
      <c r="AP165" s="135"/>
      <c r="AQ165" s="135"/>
      <c r="AR165" s="135"/>
      <c r="AS165" s="135"/>
      <c r="AT165" s="135"/>
      <c r="AU165" s="135"/>
      <c r="AV165" s="135"/>
      <c r="AW165" s="135"/>
      <c r="AX165" s="135"/>
      <c r="AY165" s="135"/>
      <c r="AZ165" s="135"/>
      <c r="BA165" s="135"/>
      <c r="BB165" s="135"/>
      <c r="BC165" s="135"/>
      <c r="BD165" s="135"/>
      <c r="BE165" s="135"/>
      <c r="BF165" s="135"/>
      <c r="BG165" s="135"/>
      <c r="BH165" s="135"/>
      <c r="BI165" s="135"/>
      <c r="BJ165" s="135"/>
      <c r="BK165" s="135"/>
      <c r="BL165" s="135"/>
      <c r="BM165" s="135"/>
      <c r="BN165" s="135"/>
      <c r="BO165" s="135"/>
      <c r="BP165" s="135"/>
      <c r="BQ165" s="135"/>
      <c r="BR165" s="135"/>
      <c r="BS165" s="135"/>
      <c r="BT165" s="135"/>
    </row>
    <row r="166" spans="1:72" s="196" customFormat="1">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c r="X166" s="135"/>
      <c r="Y166" s="135"/>
      <c r="Z166" s="135"/>
      <c r="AA166" s="135"/>
      <c r="AB166" s="135"/>
      <c r="AC166" s="135"/>
      <c r="AD166" s="135"/>
      <c r="AE166" s="135"/>
      <c r="AF166" s="135"/>
      <c r="AG166" s="135"/>
      <c r="AH166" s="135"/>
      <c r="AI166" s="135"/>
      <c r="AJ166" s="135"/>
      <c r="AK166" s="135"/>
      <c r="AL166" s="135"/>
      <c r="AM166" s="135"/>
      <c r="AN166" s="135"/>
      <c r="AO166" s="135"/>
      <c r="AP166" s="135"/>
      <c r="AQ166" s="135"/>
      <c r="AR166" s="135"/>
      <c r="AS166" s="135"/>
      <c r="AT166" s="135"/>
      <c r="AU166" s="135"/>
      <c r="AV166" s="135"/>
      <c r="AW166" s="135"/>
      <c r="AX166" s="135"/>
      <c r="AY166" s="135"/>
      <c r="AZ166" s="135"/>
      <c r="BA166" s="135"/>
      <c r="BB166" s="135"/>
      <c r="BC166" s="135"/>
      <c r="BD166" s="135"/>
      <c r="BE166" s="135"/>
      <c r="BF166" s="135"/>
      <c r="BG166" s="135"/>
      <c r="BH166" s="135"/>
      <c r="BI166" s="135"/>
      <c r="BJ166" s="135"/>
      <c r="BK166" s="135"/>
      <c r="BL166" s="135"/>
      <c r="BM166" s="135"/>
      <c r="BN166" s="135"/>
      <c r="BO166" s="135"/>
      <c r="BP166" s="135"/>
      <c r="BQ166" s="135"/>
      <c r="BR166" s="135"/>
      <c r="BS166" s="135"/>
      <c r="BT166" s="135"/>
    </row>
    <row r="167" spans="1:72" s="196" customFormat="1">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c r="X167" s="135"/>
      <c r="Y167" s="135"/>
      <c r="Z167" s="135"/>
      <c r="AA167" s="135"/>
      <c r="AB167" s="135"/>
      <c r="AC167" s="135"/>
      <c r="AD167" s="135"/>
      <c r="AE167" s="135"/>
      <c r="AF167" s="135"/>
      <c r="AG167" s="135"/>
      <c r="AH167" s="135"/>
      <c r="AI167" s="135"/>
      <c r="AJ167" s="135"/>
      <c r="AK167" s="135"/>
      <c r="AL167" s="135"/>
      <c r="AM167" s="135"/>
      <c r="AN167" s="135"/>
      <c r="AO167" s="135"/>
      <c r="AP167" s="135"/>
      <c r="AQ167" s="135"/>
      <c r="AR167" s="135"/>
      <c r="AS167" s="135"/>
      <c r="AT167" s="135"/>
      <c r="AU167" s="135"/>
      <c r="AV167" s="135"/>
      <c r="AW167" s="135"/>
      <c r="AX167" s="135"/>
      <c r="AY167" s="135"/>
      <c r="AZ167" s="135"/>
      <c r="BA167" s="135"/>
      <c r="BB167" s="135"/>
      <c r="BC167" s="135"/>
      <c r="BD167" s="135"/>
      <c r="BE167" s="135"/>
      <c r="BF167" s="135"/>
      <c r="BG167" s="135"/>
      <c r="BH167" s="135"/>
      <c r="BI167" s="135"/>
      <c r="BJ167" s="135"/>
      <c r="BK167" s="135"/>
      <c r="BL167" s="135"/>
      <c r="BM167" s="135"/>
      <c r="BN167" s="135"/>
      <c r="BO167" s="135"/>
      <c r="BP167" s="135"/>
      <c r="BQ167" s="135"/>
      <c r="BR167" s="135"/>
      <c r="BS167" s="135"/>
      <c r="BT167" s="135"/>
    </row>
    <row r="168" spans="1:72" s="196" customFormat="1">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c r="X168" s="135"/>
      <c r="Y168" s="135"/>
      <c r="Z168" s="135"/>
      <c r="AA168" s="135"/>
      <c r="AB168" s="135"/>
      <c r="AC168" s="135"/>
      <c r="AD168" s="135"/>
      <c r="AE168" s="135"/>
      <c r="AF168" s="135"/>
      <c r="AG168" s="135"/>
      <c r="AH168" s="135"/>
      <c r="AI168" s="135"/>
      <c r="AJ168" s="135"/>
      <c r="AK168" s="135"/>
      <c r="AL168" s="135"/>
      <c r="AM168" s="135"/>
      <c r="AN168" s="135"/>
      <c r="AO168" s="135"/>
      <c r="AP168" s="135"/>
      <c r="AQ168" s="135"/>
      <c r="AR168" s="135"/>
      <c r="AS168" s="135"/>
      <c r="AT168" s="135"/>
      <c r="AU168" s="135"/>
      <c r="AV168" s="135"/>
      <c r="AW168" s="135"/>
      <c r="AX168" s="135"/>
      <c r="AY168" s="135"/>
      <c r="AZ168" s="135"/>
      <c r="BA168" s="135"/>
      <c r="BB168" s="135"/>
      <c r="BC168" s="135"/>
      <c r="BD168" s="135"/>
      <c r="BE168" s="135"/>
      <c r="BF168" s="135"/>
      <c r="BG168" s="135"/>
      <c r="BH168" s="135"/>
      <c r="BI168" s="135"/>
      <c r="BJ168" s="135"/>
      <c r="BK168" s="135"/>
      <c r="BL168" s="135"/>
      <c r="BM168" s="135"/>
      <c r="BN168" s="135"/>
      <c r="BO168" s="135"/>
      <c r="BP168" s="135"/>
      <c r="BQ168" s="135"/>
      <c r="BR168" s="135"/>
      <c r="BS168" s="135"/>
      <c r="BT168" s="135"/>
    </row>
    <row r="169" spans="1:72" s="196" customFormat="1">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c r="X169" s="135"/>
      <c r="Y169" s="135"/>
      <c r="Z169" s="135"/>
      <c r="AA169" s="135"/>
      <c r="AB169" s="135"/>
      <c r="AC169" s="135"/>
      <c r="AD169" s="135"/>
      <c r="AE169" s="135"/>
      <c r="AF169" s="135"/>
      <c r="AG169" s="135"/>
      <c r="AH169" s="135"/>
      <c r="AI169" s="135"/>
      <c r="AJ169" s="135"/>
      <c r="AK169" s="135"/>
      <c r="AL169" s="135"/>
      <c r="AM169" s="135"/>
      <c r="AN169" s="135"/>
      <c r="AO169" s="135"/>
      <c r="AP169" s="135"/>
      <c r="AQ169" s="135"/>
      <c r="AR169" s="135"/>
      <c r="AS169" s="135"/>
      <c r="AT169" s="135"/>
      <c r="AU169" s="135"/>
      <c r="AV169" s="135"/>
      <c r="AW169" s="135"/>
      <c r="AX169" s="135"/>
      <c r="AY169" s="135"/>
      <c r="AZ169" s="135"/>
      <c r="BA169" s="135"/>
      <c r="BB169" s="135"/>
      <c r="BC169" s="135"/>
      <c r="BD169" s="135"/>
      <c r="BE169" s="135"/>
      <c r="BF169" s="135"/>
      <c r="BG169" s="135"/>
      <c r="BH169" s="135"/>
      <c r="BI169" s="135"/>
      <c r="BJ169" s="135"/>
      <c r="BK169" s="135"/>
      <c r="BL169" s="135"/>
      <c r="BM169" s="135"/>
      <c r="BN169" s="135"/>
      <c r="BO169" s="135"/>
      <c r="BP169" s="135"/>
      <c r="BQ169" s="135"/>
      <c r="BR169" s="135"/>
      <c r="BS169" s="135"/>
      <c r="BT169" s="135"/>
    </row>
    <row r="170" spans="1:72" s="196" customFormat="1">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c r="X170" s="135"/>
      <c r="Y170" s="135"/>
      <c r="Z170" s="135"/>
      <c r="AA170" s="135"/>
      <c r="AB170" s="135"/>
      <c r="AC170" s="135"/>
      <c r="AD170" s="135"/>
      <c r="AE170" s="135"/>
      <c r="AF170" s="135"/>
      <c r="AG170" s="135"/>
      <c r="AH170" s="135"/>
      <c r="AI170" s="135"/>
      <c r="AJ170" s="135"/>
      <c r="AK170" s="135"/>
      <c r="AL170" s="135"/>
      <c r="AM170" s="135"/>
      <c r="AN170" s="135"/>
      <c r="AO170" s="135"/>
      <c r="AP170" s="135"/>
      <c r="AQ170" s="135"/>
      <c r="AR170" s="135"/>
      <c r="AS170" s="135"/>
      <c r="AT170" s="135"/>
      <c r="AU170" s="135"/>
      <c r="AV170" s="135"/>
      <c r="AW170" s="135"/>
      <c r="AX170" s="135"/>
      <c r="AY170" s="135"/>
      <c r="AZ170" s="135"/>
      <c r="BA170" s="135"/>
      <c r="BB170" s="135"/>
      <c r="BC170" s="135"/>
      <c r="BD170" s="135"/>
      <c r="BE170" s="135"/>
      <c r="BF170" s="135"/>
      <c r="BG170" s="135"/>
      <c r="BH170" s="135"/>
      <c r="BI170" s="135"/>
      <c r="BJ170" s="135"/>
      <c r="BK170" s="135"/>
      <c r="BL170" s="135"/>
      <c r="BM170" s="135"/>
      <c r="BN170" s="135"/>
      <c r="BO170" s="135"/>
      <c r="BP170" s="135"/>
      <c r="BQ170" s="135"/>
      <c r="BR170" s="135"/>
      <c r="BS170" s="135"/>
      <c r="BT170" s="135"/>
    </row>
    <row r="171" spans="1:72" s="196" customFormat="1">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c r="X171" s="135"/>
      <c r="Y171" s="135"/>
      <c r="Z171" s="135"/>
      <c r="AA171" s="135"/>
      <c r="AB171" s="135"/>
      <c r="AC171" s="135"/>
      <c r="AD171" s="135"/>
      <c r="AE171" s="135"/>
      <c r="AF171" s="135"/>
      <c r="AG171" s="135"/>
      <c r="AH171" s="135"/>
      <c r="AI171" s="135"/>
      <c r="AJ171" s="135"/>
      <c r="AK171" s="135"/>
      <c r="AL171" s="135"/>
      <c r="AM171" s="135"/>
      <c r="AN171" s="135"/>
      <c r="AO171" s="135"/>
      <c r="AP171" s="135"/>
      <c r="AQ171" s="135"/>
      <c r="AR171" s="135"/>
      <c r="AS171" s="135"/>
      <c r="AT171" s="135"/>
      <c r="AU171" s="135"/>
      <c r="AV171" s="135"/>
      <c r="AW171" s="135"/>
      <c r="AX171" s="135"/>
      <c r="AY171" s="135"/>
      <c r="AZ171" s="135"/>
      <c r="BA171" s="135"/>
      <c r="BB171" s="135"/>
      <c r="BC171" s="135"/>
      <c r="BD171" s="135"/>
      <c r="BE171" s="135"/>
      <c r="BF171" s="135"/>
      <c r="BG171" s="135"/>
      <c r="BH171" s="135"/>
      <c r="BI171" s="135"/>
      <c r="BJ171" s="135"/>
      <c r="BK171" s="135"/>
      <c r="BL171" s="135"/>
      <c r="BM171" s="135"/>
      <c r="BN171" s="135"/>
      <c r="BO171" s="135"/>
      <c r="BP171" s="135"/>
      <c r="BQ171" s="135"/>
      <c r="BR171" s="135"/>
      <c r="BS171" s="135"/>
      <c r="BT171" s="135"/>
    </row>
    <row r="172" spans="1:72" s="196" customFormat="1">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c r="X172" s="135"/>
      <c r="Y172" s="135"/>
      <c r="Z172" s="135"/>
      <c r="AA172" s="135"/>
      <c r="AB172" s="135"/>
      <c r="AC172" s="135"/>
      <c r="AD172" s="135"/>
      <c r="AE172" s="135"/>
      <c r="AF172" s="135"/>
      <c r="AG172" s="135"/>
      <c r="AH172" s="135"/>
      <c r="AI172" s="135"/>
      <c r="AJ172" s="135"/>
      <c r="AK172" s="135"/>
      <c r="AL172" s="135"/>
      <c r="AM172" s="135"/>
      <c r="AN172" s="135"/>
      <c r="AO172" s="135"/>
      <c r="AP172" s="135"/>
      <c r="AQ172" s="135"/>
      <c r="AR172" s="135"/>
      <c r="AS172" s="135"/>
      <c r="AT172" s="135"/>
      <c r="AU172" s="135"/>
      <c r="AV172" s="135"/>
      <c r="AW172" s="135"/>
      <c r="AX172" s="135"/>
      <c r="AY172" s="135"/>
      <c r="AZ172" s="135"/>
      <c r="BA172" s="135"/>
      <c r="BB172" s="135"/>
      <c r="BC172" s="135"/>
      <c r="BD172" s="135"/>
      <c r="BE172" s="135"/>
      <c r="BF172" s="135"/>
      <c r="BG172" s="135"/>
      <c r="BH172" s="135"/>
      <c r="BI172" s="135"/>
      <c r="BJ172" s="135"/>
      <c r="BK172" s="135"/>
      <c r="BL172" s="135"/>
      <c r="BM172" s="135"/>
      <c r="BN172" s="135"/>
      <c r="BO172" s="135"/>
      <c r="BP172" s="135"/>
      <c r="BQ172" s="135"/>
      <c r="BR172" s="135"/>
      <c r="BS172" s="135"/>
      <c r="BT172" s="135"/>
    </row>
    <row r="173" spans="1:72" s="196" customFormat="1">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c r="X173" s="135"/>
      <c r="Y173" s="135"/>
      <c r="Z173" s="135"/>
      <c r="AA173" s="135"/>
      <c r="AB173" s="135"/>
      <c r="AC173" s="135"/>
      <c r="AD173" s="135"/>
      <c r="AE173" s="135"/>
      <c r="AF173" s="135"/>
      <c r="AG173" s="135"/>
      <c r="AH173" s="135"/>
      <c r="AI173" s="135"/>
      <c r="AJ173" s="135"/>
      <c r="AK173" s="135"/>
      <c r="AL173" s="135"/>
      <c r="AM173" s="135"/>
      <c r="AN173" s="135"/>
      <c r="AO173" s="135"/>
      <c r="AP173" s="135"/>
      <c r="AQ173" s="135"/>
      <c r="AR173" s="135"/>
      <c r="AS173" s="135"/>
      <c r="AT173" s="135"/>
      <c r="AU173" s="135"/>
      <c r="AV173" s="135"/>
      <c r="AW173" s="135"/>
      <c r="AX173" s="135"/>
      <c r="AY173" s="135"/>
      <c r="AZ173" s="135"/>
      <c r="BA173" s="135"/>
      <c r="BB173" s="135"/>
      <c r="BC173" s="135"/>
      <c r="BD173" s="135"/>
      <c r="BE173" s="135"/>
      <c r="BF173" s="135"/>
      <c r="BG173" s="135"/>
      <c r="BH173" s="135"/>
      <c r="BI173" s="135"/>
      <c r="BJ173" s="135"/>
      <c r="BK173" s="135"/>
      <c r="BL173" s="135"/>
      <c r="BM173" s="135"/>
      <c r="BN173" s="135"/>
      <c r="BO173" s="135"/>
      <c r="BP173" s="135"/>
      <c r="BQ173" s="135"/>
      <c r="BR173" s="135"/>
      <c r="BS173" s="135"/>
      <c r="BT173" s="135"/>
    </row>
    <row r="174" spans="1:72" s="196" customFormat="1">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c r="X174" s="135"/>
      <c r="Y174" s="135"/>
      <c r="Z174" s="135"/>
      <c r="AA174" s="135"/>
      <c r="AB174" s="135"/>
      <c r="AC174" s="135"/>
      <c r="AD174" s="135"/>
      <c r="AE174" s="135"/>
      <c r="AF174" s="135"/>
      <c r="AG174" s="135"/>
      <c r="AH174" s="135"/>
      <c r="AI174" s="135"/>
      <c r="AJ174" s="135"/>
      <c r="AK174" s="135"/>
      <c r="AL174" s="135"/>
      <c r="AM174" s="135"/>
      <c r="AN174" s="135"/>
      <c r="AO174" s="135"/>
      <c r="AP174" s="135"/>
      <c r="AQ174" s="135"/>
      <c r="AR174" s="135"/>
      <c r="AS174" s="135"/>
      <c r="AT174" s="135"/>
      <c r="AU174" s="135"/>
      <c r="AV174" s="135"/>
      <c r="AW174" s="135"/>
      <c r="AX174" s="135"/>
      <c r="AY174" s="135"/>
      <c r="AZ174" s="135"/>
      <c r="BA174" s="135"/>
      <c r="BB174" s="135"/>
      <c r="BC174" s="135"/>
      <c r="BD174" s="135"/>
      <c r="BE174" s="135"/>
      <c r="BF174" s="135"/>
      <c r="BG174" s="135"/>
      <c r="BH174" s="135"/>
      <c r="BI174" s="135"/>
      <c r="BJ174" s="135"/>
      <c r="BK174" s="135"/>
      <c r="BL174" s="135"/>
      <c r="BM174" s="135"/>
      <c r="BN174" s="135"/>
      <c r="BO174" s="135"/>
      <c r="BP174" s="135"/>
      <c r="BQ174" s="135"/>
      <c r="BR174" s="135"/>
      <c r="BS174" s="135"/>
      <c r="BT174" s="135"/>
    </row>
    <row r="175" spans="1:72" s="196" customFormat="1">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c r="X175" s="135"/>
      <c r="Y175" s="135"/>
      <c r="Z175" s="135"/>
      <c r="AA175" s="135"/>
      <c r="AB175" s="135"/>
      <c r="AC175" s="135"/>
      <c r="AD175" s="135"/>
      <c r="AE175" s="135"/>
      <c r="AF175" s="135"/>
      <c r="AG175" s="135"/>
      <c r="AH175" s="135"/>
      <c r="AI175" s="135"/>
      <c r="AJ175" s="135"/>
      <c r="AK175" s="135"/>
      <c r="AL175" s="135"/>
      <c r="AM175" s="135"/>
      <c r="AN175" s="135"/>
      <c r="AO175" s="135"/>
      <c r="AP175" s="135"/>
      <c r="AQ175" s="135"/>
      <c r="AR175" s="135"/>
      <c r="AS175" s="135"/>
      <c r="AT175" s="135"/>
      <c r="AU175" s="135"/>
      <c r="AV175" s="135"/>
      <c r="AW175" s="135"/>
      <c r="AX175" s="135"/>
      <c r="AY175" s="135"/>
      <c r="AZ175" s="135"/>
      <c r="BA175" s="135"/>
      <c r="BB175" s="135"/>
      <c r="BC175" s="135"/>
      <c r="BD175" s="135"/>
      <c r="BE175" s="135"/>
      <c r="BF175" s="135"/>
      <c r="BG175" s="135"/>
      <c r="BH175" s="135"/>
      <c r="BI175" s="135"/>
      <c r="BJ175" s="135"/>
      <c r="BK175" s="135"/>
      <c r="BL175" s="135"/>
      <c r="BM175" s="135"/>
      <c r="BN175" s="135"/>
      <c r="BO175" s="135"/>
      <c r="BP175" s="135"/>
      <c r="BQ175" s="135"/>
      <c r="BR175" s="135"/>
      <c r="BS175" s="135"/>
      <c r="BT175" s="135"/>
    </row>
    <row r="176" spans="1:72" s="196" customFormat="1">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c r="X176" s="135"/>
      <c r="Y176" s="135"/>
      <c r="Z176" s="135"/>
      <c r="AA176" s="135"/>
      <c r="AB176" s="135"/>
      <c r="AC176" s="135"/>
      <c r="AD176" s="135"/>
      <c r="AE176" s="135"/>
      <c r="AF176" s="135"/>
      <c r="AG176" s="135"/>
      <c r="AH176" s="135"/>
      <c r="AI176" s="135"/>
      <c r="AJ176" s="135"/>
      <c r="AK176" s="135"/>
      <c r="AL176" s="135"/>
      <c r="AM176" s="135"/>
      <c r="AN176" s="135"/>
      <c r="AO176" s="135"/>
      <c r="AP176" s="135"/>
      <c r="AQ176" s="135"/>
      <c r="AR176" s="135"/>
      <c r="AS176" s="135"/>
      <c r="AT176" s="135"/>
      <c r="AU176" s="135"/>
      <c r="AV176" s="135"/>
      <c r="AW176" s="135"/>
      <c r="AX176" s="135"/>
      <c r="AY176" s="135"/>
      <c r="AZ176" s="135"/>
      <c r="BA176" s="135"/>
      <c r="BB176" s="135"/>
      <c r="BC176" s="135"/>
      <c r="BD176" s="135"/>
      <c r="BE176" s="135"/>
      <c r="BF176" s="135"/>
      <c r="BG176" s="135"/>
      <c r="BH176" s="135"/>
      <c r="BI176" s="135"/>
      <c r="BJ176" s="135"/>
      <c r="BK176" s="135"/>
      <c r="BL176" s="135"/>
      <c r="BM176" s="135"/>
      <c r="BN176" s="135"/>
      <c r="BO176" s="135"/>
      <c r="BP176" s="135"/>
      <c r="BQ176" s="135"/>
      <c r="BR176" s="135"/>
      <c r="BS176" s="135"/>
      <c r="BT176" s="135"/>
    </row>
    <row r="177" spans="1:72" s="196" customFormat="1">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c r="AA177" s="135"/>
      <c r="AB177" s="135"/>
      <c r="AC177" s="135"/>
      <c r="AD177" s="135"/>
      <c r="AE177" s="135"/>
      <c r="AF177" s="135"/>
      <c r="AG177" s="135"/>
      <c r="AH177" s="135"/>
      <c r="AI177" s="135"/>
      <c r="AJ177" s="135"/>
      <c r="AK177" s="135"/>
      <c r="AL177" s="135"/>
      <c r="AM177" s="135"/>
      <c r="AN177" s="135"/>
      <c r="AO177" s="135"/>
      <c r="AP177" s="135"/>
      <c r="AQ177" s="135"/>
      <c r="AR177" s="135"/>
      <c r="AS177" s="135"/>
      <c r="AT177" s="135"/>
      <c r="AU177" s="135"/>
      <c r="AV177" s="135"/>
      <c r="AW177" s="135"/>
      <c r="AX177" s="135"/>
      <c r="AY177" s="135"/>
      <c r="AZ177" s="135"/>
      <c r="BA177" s="135"/>
      <c r="BB177" s="135"/>
      <c r="BC177" s="135"/>
      <c r="BD177" s="135"/>
      <c r="BE177" s="135"/>
      <c r="BF177" s="135"/>
      <c r="BG177" s="135"/>
      <c r="BH177" s="135"/>
      <c r="BI177" s="135"/>
      <c r="BJ177" s="135"/>
      <c r="BK177" s="135"/>
      <c r="BL177" s="135"/>
      <c r="BM177" s="135"/>
      <c r="BN177" s="135"/>
      <c r="BO177" s="135"/>
      <c r="BP177" s="135"/>
      <c r="BQ177" s="135"/>
      <c r="BR177" s="135"/>
      <c r="BS177" s="135"/>
      <c r="BT177" s="135"/>
    </row>
    <row r="178" spans="1:72" s="196" customFormat="1">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c r="X178" s="135"/>
      <c r="Y178" s="135"/>
      <c r="Z178" s="135"/>
      <c r="AA178" s="135"/>
      <c r="AB178" s="135"/>
      <c r="AC178" s="135"/>
      <c r="AD178" s="135"/>
      <c r="AE178" s="135"/>
      <c r="AF178" s="135"/>
      <c r="AG178" s="135"/>
      <c r="AH178" s="135"/>
      <c r="AI178" s="135"/>
      <c r="AJ178" s="135"/>
      <c r="AK178" s="135"/>
      <c r="AL178" s="135"/>
      <c r="AM178" s="135"/>
      <c r="AN178" s="135"/>
      <c r="AO178" s="135"/>
      <c r="AP178" s="135"/>
      <c r="AQ178" s="135"/>
      <c r="AR178" s="135"/>
      <c r="AS178" s="135"/>
      <c r="AT178" s="135"/>
      <c r="AU178" s="135"/>
      <c r="AV178" s="135"/>
      <c r="AW178" s="135"/>
      <c r="AX178" s="135"/>
      <c r="AY178" s="135"/>
      <c r="AZ178" s="135"/>
      <c r="BA178" s="135"/>
      <c r="BB178" s="135"/>
      <c r="BC178" s="135"/>
      <c r="BD178" s="135"/>
      <c r="BE178" s="135"/>
      <c r="BF178" s="135"/>
      <c r="BG178" s="135"/>
      <c r="BH178" s="135"/>
      <c r="BI178" s="135"/>
      <c r="BJ178" s="135"/>
      <c r="BK178" s="135"/>
      <c r="BL178" s="135"/>
      <c r="BM178" s="135"/>
      <c r="BN178" s="135"/>
      <c r="BO178" s="135"/>
      <c r="BP178" s="135"/>
      <c r="BQ178" s="135"/>
      <c r="BR178" s="135"/>
      <c r="BS178" s="135"/>
      <c r="BT178" s="135"/>
    </row>
    <row r="179" spans="1:72" s="196" customFormat="1">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c r="X179" s="135"/>
      <c r="Y179" s="135"/>
      <c r="Z179" s="135"/>
      <c r="AA179" s="135"/>
      <c r="AB179" s="135"/>
      <c r="AC179" s="135"/>
      <c r="AD179" s="135"/>
      <c r="AE179" s="135"/>
      <c r="AF179" s="135"/>
      <c r="AG179" s="135"/>
      <c r="AH179" s="135"/>
      <c r="AI179" s="135"/>
      <c r="AJ179" s="135"/>
      <c r="AK179" s="135"/>
      <c r="AL179" s="135"/>
      <c r="AM179" s="135"/>
      <c r="AN179" s="135"/>
      <c r="AO179" s="135"/>
      <c r="AP179" s="135"/>
      <c r="AQ179" s="135"/>
      <c r="AR179" s="135"/>
      <c r="AS179" s="135"/>
      <c r="AT179" s="135"/>
      <c r="AU179" s="135"/>
      <c r="AV179" s="135"/>
      <c r="AW179" s="135"/>
      <c r="AX179" s="135"/>
      <c r="AY179" s="135"/>
      <c r="AZ179" s="135"/>
      <c r="BA179" s="135"/>
      <c r="BB179" s="135"/>
      <c r="BC179" s="135"/>
      <c r="BD179" s="135"/>
      <c r="BE179" s="135"/>
      <c r="BF179" s="135"/>
      <c r="BG179" s="135"/>
      <c r="BH179" s="135"/>
      <c r="BI179" s="135"/>
      <c r="BJ179" s="135"/>
      <c r="BK179" s="135"/>
      <c r="BL179" s="135"/>
      <c r="BM179" s="135"/>
      <c r="BN179" s="135"/>
      <c r="BO179" s="135"/>
      <c r="BP179" s="135"/>
      <c r="BQ179" s="135"/>
      <c r="BR179" s="135"/>
      <c r="BS179" s="135"/>
      <c r="BT179" s="135"/>
    </row>
    <row r="180" spans="1:72" s="196" customFormat="1">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c r="X180" s="135"/>
      <c r="Y180" s="135"/>
      <c r="Z180" s="135"/>
      <c r="AA180" s="135"/>
      <c r="AB180" s="135"/>
      <c r="AC180" s="135"/>
      <c r="AD180" s="135"/>
      <c r="AE180" s="135"/>
      <c r="AF180" s="135"/>
      <c r="AG180" s="135"/>
      <c r="AH180" s="135"/>
      <c r="AI180" s="135"/>
      <c r="AJ180" s="135"/>
      <c r="AK180" s="135"/>
      <c r="AL180" s="135"/>
      <c r="AM180" s="135"/>
      <c r="AN180" s="135"/>
      <c r="AO180" s="135"/>
      <c r="AP180" s="135"/>
      <c r="AQ180" s="135"/>
      <c r="AR180" s="135"/>
      <c r="AS180" s="135"/>
      <c r="AT180" s="135"/>
      <c r="AU180" s="135"/>
      <c r="AV180" s="135"/>
      <c r="AW180" s="135"/>
      <c r="AX180" s="135"/>
      <c r="AY180" s="135"/>
      <c r="AZ180" s="135"/>
      <c r="BA180" s="135"/>
      <c r="BB180" s="135"/>
      <c r="BC180" s="135"/>
      <c r="BD180" s="135"/>
      <c r="BE180" s="135"/>
      <c r="BF180" s="135"/>
      <c r="BG180" s="135"/>
      <c r="BH180" s="135"/>
      <c r="BI180" s="135"/>
      <c r="BJ180" s="135"/>
      <c r="BK180" s="135"/>
      <c r="BL180" s="135"/>
      <c r="BM180" s="135"/>
      <c r="BN180" s="135"/>
      <c r="BO180" s="135"/>
      <c r="BP180" s="135"/>
      <c r="BQ180" s="135"/>
      <c r="BR180" s="135"/>
      <c r="BS180" s="135"/>
      <c r="BT180" s="135"/>
    </row>
    <row r="181" spans="1:72" s="196" customFormat="1">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c r="X181" s="135"/>
      <c r="Y181" s="135"/>
      <c r="Z181" s="135"/>
      <c r="AA181" s="135"/>
      <c r="AB181" s="135"/>
      <c r="AC181" s="135"/>
      <c r="AD181" s="135"/>
      <c r="AE181" s="135"/>
      <c r="AF181" s="135"/>
      <c r="AG181" s="135"/>
      <c r="AH181" s="135"/>
      <c r="AI181" s="135"/>
      <c r="AJ181" s="135"/>
      <c r="AK181" s="135"/>
      <c r="AL181" s="135"/>
      <c r="AM181" s="135"/>
      <c r="AN181" s="135"/>
      <c r="AO181" s="135"/>
      <c r="AP181" s="135"/>
      <c r="AQ181" s="135"/>
      <c r="AR181" s="135"/>
      <c r="AS181" s="135"/>
      <c r="AT181" s="135"/>
      <c r="AU181" s="135"/>
      <c r="AV181" s="135"/>
      <c r="AW181" s="135"/>
      <c r="AX181" s="135"/>
      <c r="AY181" s="135"/>
      <c r="AZ181" s="135"/>
      <c r="BA181" s="135"/>
      <c r="BB181" s="135"/>
      <c r="BC181" s="135"/>
      <c r="BD181" s="135"/>
      <c r="BE181" s="135"/>
      <c r="BF181" s="135"/>
      <c r="BG181" s="135"/>
      <c r="BH181" s="135"/>
      <c r="BI181" s="135"/>
      <c r="BJ181" s="135"/>
      <c r="BK181" s="135"/>
      <c r="BL181" s="135"/>
      <c r="BM181" s="135"/>
      <c r="BN181" s="135"/>
      <c r="BO181" s="135"/>
      <c r="BP181" s="135"/>
      <c r="BQ181" s="135"/>
      <c r="BR181" s="135"/>
      <c r="BS181" s="135"/>
      <c r="BT181" s="135"/>
    </row>
    <row r="182" spans="1:72" s="196" customFormat="1">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c r="X182" s="135"/>
      <c r="Y182" s="135"/>
      <c r="Z182" s="135"/>
      <c r="AA182" s="135"/>
      <c r="AB182" s="135"/>
      <c r="AC182" s="135"/>
      <c r="AD182" s="135"/>
      <c r="AE182" s="135"/>
      <c r="AF182" s="135"/>
      <c r="AG182" s="135"/>
      <c r="AH182" s="135"/>
      <c r="AI182" s="135"/>
      <c r="AJ182" s="135"/>
      <c r="AK182" s="135"/>
      <c r="AL182" s="135"/>
      <c r="AM182" s="135"/>
      <c r="AN182" s="135"/>
      <c r="AO182" s="135"/>
      <c r="AP182" s="135"/>
      <c r="AQ182" s="135"/>
      <c r="AR182" s="135"/>
      <c r="AS182" s="135"/>
      <c r="AT182" s="135"/>
      <c r="AU182" s="135"/>
      <c r="AV182" s="135"/>
      <c r="AW182" s="135"/>
      <c r="AX182" s="135"/>
      <c r="AY182" s="135"/>
      <c r="AZ182" s="135"/>
      <c r="BA182" s="135"/>
      <c r="BB182" s="135"/>
      <c r="BC182" s="135"/>
      <c r="BD182" s="135"/>
      <c r="BE182" s="135"/>
      <c r="BF182" s="135"/>
      <c r="BG182" s="135"/>
      <c r="BH182" s="135"/>
      <c r="BI182" s="135"/>
      <c r="BJ182" s="135"/>
      <c r="BK182" s="135"/>
      <c r="BL182" s="135"/>
      <c r="BM182" s="135"/>
      <c r="BN182" s="135"/>
      <c r="BO182" s="135"/>
      <c r="BP182" s="135"/>
      <c r="BQ182" s="135"/>
      <c r="BR182" s="135"/>
      <c r="BS182" s="135"/>
      <c r="BT182" s="135"/>
    </row>
    <row r="183" spans="1:72" s="196" customFormat="1">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c r="X183" s="135"/>
      <c r="Y183" s="135"/>
      <c r="Z183" s="135"/>
      <c r="AA183" s="135"/>
      <c r="AB183" s="135"/>
      <c r="AC183" s="135"/>
      <c r="AD183" s="135"/>
      <c r="AE183" s="135"/>
      <c r="AF183" s="135"/>
      <c r="AG183" s="135"/>
      <c r="AH183" s="135"/>
      <c r="AI183" s="135"/>
      <c r="AJ183" s="135"/>
      <c r="AK183" s="135"/>
      <c r="AL183" s="135"/>
      <c r="AM183" s="135"/>
      <c r="AN183" s="135"/>
      <c r="AO183" s="135"/>
      <c r="AP183" s="135"/>
      <c r="AQ183" s="135"/>
      <c r="AR183" s="135"/>
      <c r="AS183" s="135"/>
      <c r="AT183" s="135"/>
      <c r="AU183" s="135"/>
      <c r="AV183" s="135"/>
      <c r="AW183" s="135"/>
      <c r="AX183" s="135"/>
      <c r="AY183" s="135"/>
      <c r="AZ183" s="135"/>
      <c r="BA183" s="135"/>
      <c r="BB183" s="135"/>
      <c r="BC183" s="135"/>
      <c r="BD183" s="135"/>
      <c r="BE183" s="135"/>
      <c r="BF183" s="135"/>
      <c r="BG183" s="135"/>
      <c r="BH183" s="135"/>
      <c r="BI183" s="135"/>
      <c r="BJ183" s="135"/>
      <c r="BK183" s="135"/>
      <c r="BL183" s="135"/>
      <c r="BM183" s="135"/>
      <c r="BN183" s="135"/>
      <c r="BO183" s="135"/>
      <c r="BP183" s="135"/>
      <c r="BQ183" s="135"/>
      <c r="BR183" s="135"/>
      <c r="BS183" s="135"/>
      <c r="BT183" s="135"/>
    </row>
    <row r="184" spans="1:72" s="196" customFormat="1">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c r="X184" s="135"/>
      <c r="Y184" s="135"/>
      <c r="Z184" s="135"/>
      <c r="AA184" s="135"/>
      <c r="AB184" s="135"/>
      <c r="AC184" s="135"/>
      <c r="AD184" s="135"/>
      <c r="AE184" s="135"/>
      <c r="AF184" s="135"/>
      <c r="AG184" s="135"/>
      <c r="AH184" s="135"/>
      <c r="AI184" s="135"/>
      <c r="AJ184" s="135"/>
      <c r="AK184" s="135"/>
      <c r="AL184" s="135"/>
      <c r="AM184" s="135"/>
      <c r="AN184" s="135"/>
      <c r="AO184" s="135"/>
      <c r="AP184" s="135"/>
      <c r="AQ184" s="135"/>
      <c r="AR184" s="135"/>
      <c r="AS184" s="135"/>
      <c r="AT184" s="135"/>
      <c r="AU184" s="135"/>
      <c r="AV184" s="135"/>
      <c r="AW184" s="135"/>
      <c r="AX184" s="135"/>
      <c r="AY184" s="135"/>
      <c r="AZ184" s="135"/>
      <c r="BA184" s="135"/>
      <c r="BB184" s="135"/>
      <c r="BC184" s="135"/>
      <c r="BD184" s="135"/>
      <c r="BE184" s="135"/>
      <c r="BF184" s="135"/>
      <c r="BG184" s="135"/>
      <c r="BH184" s="135"/>
      <c r="BI184" s="135"/>
      <c r="BJ184" s="135"/>
      <c r="BK184" s="135"/>
      <c r="BL184" s="135"/>
      <c r="BM184" s="135"/>
      <c r="BN184" s="135"/>
      <c r="BO184" s="135"/>
      <c r="BP184" s="135"/>
      <c r="BQ184" s="135"/>
      <c r="BR184" s="135"/>
      <c r="BS184" s="135"/>
      <c r="BT184" s="135"/>
    </row>
    <row r="185" spans="1:72" s="196" customFormat="1">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c r="X185" s="135"/>
      <c r="Y185" s="135"/>
      <c r="Z185" s="135"/>
      <c r="AA185" s="135"/>
      <c r="AB185" s="135"/>
      <c r="AC185" s="135"/>
      <c r="AD185" s="135"/>
      <c r="AE185" s="135"/>
      <c r="AF185" s="135"/>
      <c r="AG185" s="135"/>
      <c r="AH185" s="135"/>
      <c r="AI185" s="135"/>
      <c r="AJ185" s="135"/>
      <c r="AK185" s="135"/>
      <c r="AL185" s="135"/>
      <c r="AM185" s="135"/>
      <c r="AN185" s="135"/>
      <c r="AO185" s="135"/>
      <c r="AP185" s="135"/>
      <c r="AQ185" s="135"/>
      <c r="AR185" s="135"/>
      <c r="AS185" s="135"/>
      <c r="AT185" s="135"/>
      <c r="AU185" s="135"/>
      <c r="AV185" s="135"/>
      <c r="AW185" s="135"/>
      <c r="AX185" s="135"/>
      <c r="AY185" s="135"/>
      <c r="AZ185" s="135"/>
      <c r="BA185" s="135"/>
      <c r="BB185" s="135"/>
      <c r="BC185" s="135"/>
      <c r="BD185" s="135"/>
      <c r="BE185" s="135"/>
      <c r="BF185" s="135"/>
      <c r="BG185" s="135"/>
      <c r="BH185" s="135"/>
      <c r="BI185" s="135"/>
      <c r="BJ185" s="135"/>
      <c r="BK185" s="135"/>
      <c r="BL185" s="135"/>
      <c r="BM185" s="135"/>
      <c r="BN185" s="135"/>
      <c r="BO185" s="135"/>
      <c r="BP185" s="135"/>
      <c r="BQ185" s="135"/>
      <c r="BR185" s="135"/>
      <c r="BS185" s="135"/>
      <c r="BT185" s="135"/>
    </row>
    <row r="186" spans="1:72" s="196" customFormat="1">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c r="X186" s="135"/>
      <c r="Y186" s="135"/>
      <c r="Z186" s="135"/>
      <c r="AA186" s="135"/>
      <c r="AB186" s="135"/>
      <c r="AC186" s="135"/>
      <c r="AD186" s="135"/>
      <c r="AE186" s="135"/>
      <c r="AF186" s="135"/>
      <c r="AG186" s="135"/>
      <c r="AH186" s="135"/>
      <c r="AI186" s="135"/>
      <c r="AJ186" s="135"/>
      <c r="AK186" s="135"/>
      <c r="AL186" s="135"/>
      <c r="AM186" s="135"/>
      <c r="AN186" s="135"/>
      <c r="AO186" s="135"/>
      <c r="AP186" s="135"/>
      <c r="AQ186" s="135"/>
      <c r="AR186" s="135"/>
      <c r="AS186" s="135"/>
      <c r="AT186" s="135"/>
      <c r="AU186" s="135"/>
      <c r="AV186" s="135"/>
      <c r="AW186" s="135"/>
      <c r="AX186" s="135"/>
      <c r="AY186" s="135"/>
      <c r="AZ186" s="135"/>
      <c r="BA186" s="135"/>
      <c r="BB186" s="135"/>
      <c r="BC186" s="135"/>
      <c r="BD186" s="135"/>
      <c r="BE186" s="135"/>
      <c r="BF186" s="135"/>
      <c r="BG186" s="135"/>
      <c r="BH186" s="135"/>
      <c r="BI186" s="135"/>
      <c r="BJ186" s="135"/>
      <c r="BK186" s="135"/>
      <c r="BL186" s="135"/>
      <c r="BM186" s="135"/>
      <c r="BN186" s="135"/>
      <c r="BO186" s="135"/>
      <c r="BP186" s="135"/>
      <c r="BQ186" s="135"/>
      <c r="BR186" s="135"/>
      <c r="BS186" s="135"/>
      <c r="BT186" s="135"/>
    </row>
    <row r="187" spans="1:72" s="196" customFormat="1">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c r="AA187" s="135"/>
      <c r="AB187" s="135"/>
      <c r="AC187" s="135"/>
      <c r="AD187" s="135"/>
      <c r="AE187" s="135"/>
      <c r="AF187" s="135"/>
      <c r="AG187" s="135"/>
      <c r="AH187" s="135"/>
      <c r="AI187" s="135"/>
      <c r="AJ187" s="135"/>
      <c r="AK187" s="135"/>
      <c r="AL187" s="135"/>
      <c r="AM187" s="135"/>
      <c r="AN187" s="135"/>
      <c r="AO187" s="135"/>
      <c r="AP187" s="135"/>
      <c r="AQ187" s="135"/>
      <c r="AR187" s="135"/>
      <c r="AS187" s="135"/>
      <c r="AT187" s="135"/>
      <c r="AU187" s="135"/>
      <c r="AV187" s="135"/>
      <c r="AW187" s="135"/>
      <c r="AX187" s="135"/>
      <c r="AY187" s="135"/>
      <c r="AZ187" s="135"/>
      <c r="BA187" s="135"/>
      <c r="BB187" s="135"/>
      <c r="BC187" s="135"/>
      <c r="BD187" s="135"/>
      <c r="BE187" s="135"/>
      <c r="BF187" s="135"/>
      <c r="BG187" s="135"/>
      <c r="BH187" s="135"/>
      <c r="BI187" s="135"/>
      <c r="BJ187" s="135"/>
      <c r="BK187" s="135"/>
      <c r="BL187" s="135"/>
      <c r="BM187" s="135"/>
      <c r="BN187" s="135"/>
      <c r="BO187" s="135"/>
      <c r="BP187" s="135"/>
      <c r="BQ187" s="135"/>
      <c r="BR187" s="135"/>
      <c r="BS187" s="135"/>
      <c r="BT187" s="135"/>
    </row>
    <row r="188" spans="1:72" s="196" customFormat="1">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c r="X188" s="135"/>
      <c r="Y188" s="135"/>
      <c r="Z188" s="135"/>
      <c r="AA188" s="135"/>
      <c r="AB188" s="135"/>
      <c r="AC188" s="135"/>
      <c r="AD188" s="135"/>
      <c r="AE188" s="135"/>
      <c r="AF188" s="135"/>
      <c r="AG188" s="135"/>
      <c r="AH188" s="135"/>
      <c r="AI188" s="135"/>
      <c r="AJ188" s="135"/>
      <c r="AK188" s="135"/>
      <c r="AL188" s="135"/>
      <c r="AM188" s="135"/>
      <c r="AN188" s="135"/>
      <c r="AO188" s="135"/>
      <c r="AP188" s="135"/>
      <c r="AQ188" s="135"/>
      <c r="AR188" s="135"/>
      <c r="AS188" s="135"/>
      <c r="AT188" s="135"/>
      <c r="AU188" s="135"/>
      <c r="AV188" s="135"/>
      <c r="AW188" s="135"/>
      <c r="AX188" s="135"/>
      <c r="AY188" s="135"/>
      <c r="AZ188" s="135"/>
      <c r="BA188" s="135"/>
      <c r="BB188" s="135"/>
      <c r="BC188" s="135"/>
      <c r="BD188" s="135"/>
      <c r="BE188" s="135"/>
      <c r="BF188" s="135"/>
      <c r="BG188" s="135"/>
      <c r="BH188" s="135"/>
      <c r="BI188" s="135"/>
      <c r="BJ188" s="135"/>
      <c r="BK188" s="135"/>
      <c r="BL188" s="135"/>
      <c r="BM188" s="135"/>
      <c r="BN188" s="135"/>
      <c r="BO188" s="135"/>
      <c r="BP188" s="135"/>
      <c r="BQ188" s="135"/>
      <c r="BR188" s="135"/>
      <c r="BS188" s="135"/>
      <c r="BT188" s="135"/>
    </row>
    <row r="189" spans="1:72">
      <c r="K189" s="135"/>
      <c r="L189" s="135"/>
      <c r="M189" s="135"/>
      <c r="N189" s="135"/>
      <c r="O189" s="135"/>
      <c r="P189" s="135"/>
      <c r="Q189" s="135"/>
      <c r="R189" s="135"/>
      <c r="S189" s="135"/>
      <c r="T189" s="135"/>
      <c r="U189" s="135"/>
      <c r="V189" s="135"/>
      <c r="W189" s="135"/>
      <c r="X189" s="135"/>
      <c r="Y189" s="135"/>
      <c r="Z189" s="135"/>
      <c r="AA189" s="135"/>
      <c r="AB189" s="135"/>
      <c r="AC189" s="135"/>
      <c r="AD189" s="135"/>
      <c r="AE189" s="135"/>
      <c r="AF189" s="135"/>
      <c r="AG189" s="135"/>
      <c r="AH189" s="135"/>
      <c r="AI189" s="135"/>
      <c r="AJ189" s="135"/>
      <c r="AK189" s="135"/>
      <c r="AL189" s="135"/>
      <c r="AM189" s="135"/>
      <c r="AN189" s="135"/>
      <c r="AO189" s="135"/>
      <c r="AP189" s="135"/>
      <c r="AQ189" s="135"/>
      <c r="AR189" s="135"/>
      <c r="AS189" s="135"/>
      <c r="AT189" s="135"/>
      <c r="AU189" s="135"/>
      <c r="AV189" s="135"/>
      <c r="AW189" s="135"/>
      <c r="AX189" s="135"/>
      <c r="AY189" s="135"/>
      <c r="AZ189" s="135"/>
      <c r="BA189" s="135"/>
      <c r="BB189" s="135"/>
      <c r="BC189" s="135"/>
      <c r="BD189" s="135"/>
      <c r="BE189" s="135"/>
      <c r="BF189" s="135"/>
      <c r="BG189" s="135"/>
      <c r="BH189" s="135"/>
      <c r="BI189" s="135"/>
      <c r="BJ189" s="135"/>
      <c r="BK189" s="135"/>
      <c r="BL189" s="135"/>
      <c r="BM189" s="135"/>
      <c r="BN189" s="135"/>
      <c r="BO189" s="135"/>
      <c r="BP189" s="135"/>
    </row>
    <row r="190" spans="1:72" s="196" customFormat="1">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c r="X190" s="135"/>
      <c r="Y190" s="135"/>
      <c r="Z190" s="135"/>
      <c r="AA190" s="135"/>
      <c r="AB190" s="135"/>
      <c r="AC190" s="135"/>
      <c r="AD190" s="135"/>
      <c r="AE190" s="135"/>
      <c r="AF190" s="135"/>
      <c r="AG190" s="135"/>
      <c r="AH190" s="135"/>
      <c r="AI190" s="135"/>
      <c r="AJ190" s="135"/>
      <c r="AK190" s="135"/>
      <c r="AL190" s="135"/>
      <c r="AM190" s="135"/>
      <c r="AN190" s="135"/>
      <c r="AO190" s="135"/>
      <c r="AP190" s="135"/>
      <c r="AQ190" s="135"/>
      <c r="AR190" s="135"/>
      <c r="AS190" s="135"/>
      <c r="AT190" s="135"/>
      <c r="AU190" s="135"/>
      <c r="AV190" s="135"/>
      <c r="AW190" s="135"/>
      <c r="AX190" s="135"/>
      <c r="AY190" s="135"/>
      <c r="AZ190" s="135"/>
      <c r="BA190" s="135"/>
      <c r="BB190" s="135"/>
      <c r="BC190" s="135"/>
      <c r="BD190" s="135"/>
      <c r="BE190" s="135"/>
      <c r="BF190" s="135"/>
      <c r="BG190" s="135"/>
      <c r="BH190" s="135"/>
      <c r="BI190" s="135"/>
      <c r="BJ190" s="135"/>
      <c r="BK190" s="135"/>
      <c r="BL190" s="135"/>
      <c r="BM190" s="135"/>
      <c r="BN190" s="135"/>
      <c r="BO190" s="135"/>
      <c r="BP190" s="135"/>
      <c r="BQ190" s="135"/>
      <c r="BR190" s="135"/>
      <c r="BS190" s="135"/>
      <c r="BT190" s="135"/>
    </row>
    <row r="191" spans="1:72" s="196" customFormat="1">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35"/>
      <c r="BD191" s="135"/>
      <c r="BE191" s="135"/>
      <c r="BF191" s="135"/>
      <c r="BG191" s="135"/>
      <c r="BH191" s="135"/>
      <c r="BI191" s="135"/>
      <c r="BJ191" s="135"/>
      <c r="BK191" s="135"/>
      <c r="BL191" s="135"/>
      <c r="BM191" s="135"/>
      <c r="BN191" s="135"/>
      <c r="BO191" s="135"/>
      <c r="BP191" s="135"/>
      <c r="BQ191" s="135"/>
      <c r="BR191" s="135"/>
      <c r="BS191" s="135"/>
      <c r="BT191" s="135"/>
    </row>
    <row r="192" spans="1:72" s="196" customFormat="1">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c r="X192" s="135"/>
      <c r="Y192" s="135"/>
      <c r="Z192" s="135"/>
      <c r="AA192" s="135"/>
      <c r="AB192" s="135"/>
      <c r="AC192" s="135"/>
      <c r="AD192" s="135"/>
      <c r="AE192" s="135"/>
      <c r="AF192" s="135"/>
      <c r="AG192" s="135"/>
      <c r="AH192" s="135"/>
      <c r="AI192" s="135"/>
      <c r="AJ192" s="135"/>
      <c r="AK192" s="135"/>
      <c r="AL192" s="135"/>
      <c r="AM192" s="135"/>
      <c r="AN192" s="135"/>
      <c r="AO192" s="135"/>
      <c r="AP192" s="135"/>
      <c r="AQ192" s="135"/>
      <c r="AR192" s="135"/>
      <c r="AS192" s="135"/>
      <c r="AT192" s="135"/>
      <c r="AU192" s="135"/>
      <c r="AV192" s="135"/>
      <c r="AW192" s="135"/>
      <c r="AX192" s="135"/>
      <c r="AY192" s="135"/>
      <c r="AZ192" s="135"/>
      <c r="BA192" s="135"/>
      <c r="BB192" s="135"/>
      <c r="BC192" s="135"/>
      <c r="BD192" s="135"/>
      <c r="BE192" s="135"/>
      <c r="BF192" s="135"/>
      <c r="BG192" s="135"/>
      <c r="BH192" s="135"/>
      <c r="BI192" s="135"/>
      <c r="BJ192" s="135"/>
      <c r="BK192" s="135"/>
      <c r="BL192" s="135"/>
      <c r="BM192" s="135"/>
      <c r="BN192" s="135"/>
      <c r="BO192" s="135"/>
      <c r="BP192" s="135"/>
      <c r="BQ192" s="135"/>
      <c r="BR192" s="135"/>
      <c r="BS192" s="135"/>
      <c r="BT192" s="135"/>
    </row>
    <row r="193" spans="1:72" s="196" customFormat="1">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c r="X193" s="135"/>
      <c r="Y193" s="135"/>
      <c r="Z193" s="135"/>
      <c r="AA193" s="135"/>
      <c r="AB193" s="135"/>
      <c r="AC193" s="135"/>
      <c r="AD193" s="135"/>
      <c r="AE193" s="135"/>
      <c r="AF193" s="135"/>
      <c r="AG193" s="135"/>
      <c r="AH193" s="135"/>
      <c r="AI193" s="135"/>
      <c r="AJ193" s="135"/>
      <c r="AK193" s="135"/>
      <c r="AL193" s="135"/>
      <c r="AM193" s="135"/>
      <c r="AN193" s="135"/>
      <c r="AO193" s="135"/>
      <c r="AP193" s="135"/>
      <c r="AQ193" s="135"/>
      <c r="AR193" s="135"/>
      <c r="AS193" s="135"/>
      <c r="AT193" s="135"/>
      <c r="AU193" s="135"/>
      <c r="AV193" s="135"/>
      <c r="AW193" s="135"/>
      <c r="AX193" s="135"/>
      <c r="AY193" s="135"/>
      <c r="AZ193" s="135"/>
      <c r="BA193" s="135"/>
      <c r="BB193" s="135"/>
      <c r="BC193" s="135"/>
      <c r="BD193" s="135"/>
      <c r="BE193" s="135"/>
      <c r="BF193" s="135"/>
      <c r="BG193" s="135"/>
      <c r="BH193" s="135"/>
      <c r="BI193" s="135"/>
      <c r="BJ193" s="135"/>
      <c r="BK193" s="135"/>
      <c r="BL193" s="135"/>
      <c r="BM193" s="135"/>
      <c r="BN193" s="135"/>
      <c r="BO193" s="135"/>
      <c r="BP193" s="135"/>
      <c r="BQ193" s="135"/>
      <c r="BR193" s="135"/>
      <c r="BS193" s="135"/>
      <c r="BT193" s="135"/>
    </row>
    <row r="194" spans="1:72" s="196" customFormat="1">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c r="X194" s="135"/>
      <c r="Y194" s="135"/>
      <c r="Z194" s="135"/>
      <c r="AA194" s="135"/>
      <c r="AB194" s="135"/>
      <c r="AC194" s="135"/>
      <c r="AD194" s="135"/>
      <c r="AE194" s="135"/>
      <c r="AF194" s="135"/>
      <c r="AG194" s="135"/>
      <c r="AH194" s="135"/>
      <c r="AI194" s="135"/>
      <c r="AJ194" s="135"/>
      <c r="AK194" s="135"/>
      <c r="AL194" s="135"/>
      <c r="AM194" s="135"/>
      <c r="AN194" s="135"/>
      <c r="AO194" s="135"/>
      <c r="AP194" s="135"/>
      <c r="AQ194" s="135"/>
      <c r="AR194" s="135"/>
      <c r="AS194" s="135"/>
      <c r="AT194" s="135"/>
      <c r="AU194" s="135"/>
      <c r="AV194" s="135"/>
      <c r="AW194" s="135"/>
      <c r="AX194" s="135"/>
      <c r="AY194" s="135"/>
      <c r="AZ194" s="135"/>
      <c r="BA194" s="135"/>
      <c r="BB194" s="135"/>
      <c r="BC194" s="135"/>
      <c r="BD194" s="135"/>
      <c r="BE194" s="135"/>
      <c r="BF194" s="135"/>
      <c r="BG194" s="135"/>
      <c r="BH194" s="135"/>
      <c r="BI194" s="135"/>
      <c r="BJ194" s="135"/>
      <c r="BK194" s="135"/>
      <c r="BL194" s="135"/>
      <c r="BM194" s="135"/>
      <c r="BN194" s="135"/>
      <c r="BO194" s="135"/>
      <c r="BP194" s="135"/>
      <c r="BQ194" s="135"/>
      <c r="BR194" s="135"/>
      <c r="BS194" s="135"/>
      <c r="BT194" s="135"/>
    </row>
    <row r="195" spans="1:72" s="196" customFormat="1">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c r="X195" s="135"/>
      <c r="Y195" s="135"/>
      <c r="Z195" s="135"/>
      <c r="AA195" s="135"/>
      <c r="AB195" s="135"/>
      <c r="AC195" s="135"/>
      <c r="AD195" s="135"/>
      <c r="AE195" s="135"/>
      <c r="AF195" s="135"/>
      <c r="AG195" s="135"/>
      <c r="AH195" s="135"/>
      <c r="AI195" s="135"/>
      <c r="AJ195" s="135"/>
      <c r="AK195" s="135"/>
      <c r="AL195" s="135"/>
      <c r="AM195" s="135"/>
      <c r="AN195" s="135"/>
      <c r="AO195" s="135"/>
      <c r="AP195" s="135"/>
      <c r="AQ195" s="135"/>
      <c r="AR195" s="135"/>
      <c r="AS195" s="135"/>
      <c r="AT195" s="135"/>
      <c r="AU195" s="135"/>
      <c r="AV195" s="135"/>
      <c r="AW195" s="135"/>
      <c r="AX195" s="135"/>
      <c r="AY195" s="135"/>
      <c r="AZ195" s="135"/>
      <c r="BA195" s="135"/>
      <c r="BB195" s="135"/>
      <c r="BC195" s="135"/>
      <c r="BD195" s="135"/>
      <c r="BE195" s="135"/>
      <c r="BF195" s="135"/>
      <c r="BG195" s="135"/>
      <c r="BH195" s="135"/>
      <c r="BI195" s="135"/>
      <c r="BJ195" s="135"/>
      <c r="BK195" s="135"/>
      <c r="BL195" s="135"/>
      <c r="BM195" s="135"/>
      <c r="BN195" s="135"/>
      <c r="BO195" s="135"/>
      <c r="BP195" s="135"/>
      <c r="BQ195" s="135"/>
      <c r="BR195" s="135"/>
      <c r="BS195" s="135"/>
      <c r="BT195" s="135"/>
    </row>
    <row r="196" spans="1:72" s="196" customFormat="1">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c r="X196" s="135"/>
      <c r="Y196" s="135"/>
      <c r="Z196" s="135"/>
      <c r="AA196" s="135"/>
      <c r="AB196" s="135"/>
      <c r="AC196" s="135"/>
      <c r="AD196" s="135"/>
      <c r="AE196" s="135"/>
      <c r="AF196" s="135"/>
      <c r="AG196" s="135"/>
      <c r="AH196" s="135"/>
      <c r="AI196" s="135"/>
      <c r="AJ196" s="135"/>
      <c r="AK196" s="135"/>
      <c r="AL196" s="135"/>
      <c r="AM196" s="135"/>
      <c r="AN196" s="135"/>
      <c r="AO196" s="135"/>
      <c r="AP196" s="135"/>
      <c r="AQ196" s="135"/>
      <c r="AR196" s="135"/>
      <c r="AS196" s="135"/>
      <c r="AT196" s="135"/>
      <c r="AU196" s="135"/>
      <c r="AV196" s="135"/>
      <c r="AW196" s="135"/>
      <c r="AX196" s="135"/>
      <c r="AY196" s="135"/>
      <c r="AZ196" s="135"/>
      <c r="BA196" s="135"/>
      <c r="BB196" s="135"/>
      <c r="BC196" s="135"/>
      <c r="BD196" s="135"/>
      <c r="BE196" s="135"/>
      <c r="BF196" s="135"/>
      <c r="BG196" s="135"/>
      <c r="BH196" s="135"/>
      <c r="BI196" s="135"/>
      <c r="BJ196" s="135"/>
      <c r="BK196" s="135"/>
      <c r="BL196" s="135"/>
      <c r="BM196" s="135"/>
      <c r="BN196" s="135"/>
      <c r="BO196" s="135"/>
      <c r="BP196" s="135"/>
      <c r="BQ196" s="135"/>
      <c r="BR196" s="135"/>
      <c r="BS196" s="135"/>
      <c r="BT196" s="135"/>
    </row>
    <row r="197" spans="1:72" s="196" customFormat="1">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c r="X197" s="135"/>
      <c r="Y197" s="135"/>
      <c r="Z197" s="135"/>
      <c r="AA197" s="135"/>
      <c r="AB197" s="135"/>
      <c r="AC197" s="135"/>
      <c r="AD197" s="135"/>
      <c r="AE197" s="135"/>
      <c r="AF197" s="135"/>
      <c r="AG197" s="135"/>
      <c r="AH197" s="135"/>
      <c r="AI197" s="135"/>
      <c r="AJ197" s="135"/>
      <c r="AK197" s="135"/>
      <c r="AL197" s="135"/>
      <c r="AM197" s="135"/>
      <c r="AN197" s="135"/>
      <c r="AO197" s="135"/>
      <c r="AP197" s="135"/>
      <c r="AQ197" s="135"/>
      <c r="AR197" s="135"/>
      <c r="AS197" s="135"/>
      <c r="AT197" s="135"/>
      <c r="AU197" s="135"/>
      <c r="AV197" s="135"/>
      <c r="AW197" s="135"/>
      <c r="AX197" s="135"/>
      <c r="AY197" s="135"/>
      <c r="AZ197" s="135"/>
      <c r="BA197" s="135"/>
      <c r="BB197" s="135"/>
      <c r="BC197" s="135"/>
      <c r="BD197" s="135"/>
      <c r="BE197" s="135"/>
      <c r="BF197" s="135"/>
      <c r="BG197" s="135"/>
      <c r="BH197" s="135"/>
      <c r="BI197" s="135"/>
      <c r="BJ197" s="135"/>
      <c r="BK197" s="135"/>
      <c r="BL197" s="135"/>
      <c r="BM197" s="135"/>
      <c r="BN197" s="135"/>
      <c r="BO197" s="135"/>
      <c r="BP197" s="135"/>
      <c r="BQ197" s="135"/>
      <c r="BR197" s="135"/>
      <c r="BS197" s="135"/>
      <c r="BT197" s="135"/>
    </row>
    <row r="198" spans="1:72" s="196" customFormat="1">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c r="X198" s="135"/>
      <c r="Y198" s="135"/>
      <c r="Z198" s="135"/>
      <c r="AA198" s="135"/>
      <c r="AB198" s="135"/>
      <c r="AC198" s="135"/>
      <c r="AD198" s="135"/>
      <c r="AE198" s="135"/>
      <c r="AF198" s="135"/>
      <c r="AG198" s="135"/>
      <c r="AH198" s="135"/>
      <c r="AI198" s="135"/>
      <c r="AJ198" s="135"/>
      <c r="AK198" s="135"/>
      <c r="AL198" s="135"/>
      <c r="AM198" s="135"/>
      <c r="AN198" s="135"/>
      <c r="AO198" s="135"/>
      <c r="AP198" s="135"/>
      <c r="AQ198" s="135"/>
      <c r="AR198" s="135"/>
      <c r="AS198" s="135"/>
      <c r="AT198" s="135"/>
      <c r="AU198" s="135"/>
      <c r="AV198" s="135"/>
      <c r="AW198" s="135"/>
      <c r="AX198" s="135"/>
      <c r="AY198" s="135"/>
      <c r="AZ198" s="135"/>
      <c r="BA198" s="135"/>
      <c r="BB198" s="135"/>
      <c r="BC198" s="135"/>
      <c r="BD198" s="135"/>
      <c r="BE198" s="135"/>
      <c r="BF198" s="135"/>
      <c r="BG198" s="135"/>
      <c r="BH198" s="135"/>
      <c r="BI198" s="135"/>
      <c r="BJ198" s="135"/>
      <c r="BK198" s="135"/>
      <c r="BL198" s="135"/>
      <c r="BM198" s="135"/>
      <c r="BN198" s="135"/>
      <c r="BO198" s="135"/>
      <c r="BP198" s="135"/>
      <c r="BQ198" s="135"/>
      <c r="BR198" s="135"/>
      <c r="BS198" s="135"/>
      <c r="BT198" s="135"/>
    </row>
    <row r="199" spans="1:72" s="196" customFormat="1">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c r="X199" s="135"/>
      <c r="Y199" s="135"/>
      <c r="Z199" s="135"/>
      <c r="AA199" s="135"/>
      <c r="AB199" s="135"/>
      <c r="AC199" s="135"/>
      <c r="AD199" s="135"/>
      <c r="AE199" s="135"/>
      <c r="AF199" s="135"/>
      <c r="AG199" s="135"/>
      <c r="AH199" s="135"/>
      <c r="AI199" s="135"/>
      <c r="AJ199" s="135"/>
      <c r="AK199" s="135"/>
      <c r="AL199" s="135"/>
      <c r="AM199" s="135"/>
      <c r="AN199" s="135"/>
      <c r="AO199" s="135"/>
      <c r="AP199" s="135"/>
      <c r="AQ199" s="135"/>
      <c r="AR199" s="135"/>
      <c r="AS199" s="135"/>
      <c r="AT199" s="135"/>
      <c r="AU199" s="135"/>
      <c r="AV199" s="135"/>
      <c r="AW199" s="135"/>
      <c r="AX199" s="135"/>
      <c r="AY199" s="135"/>
      <c r="AZ199" s="135"/>
      <c r="BA199" s="135"/>
      <c r="BB199" s="135"/>
      <c r="BC199" s="135"/>
      <c r="BD199" s="135"/>
      <c r="BE199" s="135"/>
      <c r="BF199" s="135"/>
      <c r="BG199" s="135"/>
      <c r="BH199" s="135"/>
      <c r="BI199" s="135"/>
      <c r="BJ199" s="135"/>
      <c r="BK199" s="135"/>
      <c r="BL199" s="135"/>
      <c r="BM199" s="135"/>
      <c r="BN199" s="135"/>
      <c r="BO199" s="135"/>
      <c r="BP199" s="135"/>
      <c r="BQ199" s="135"/>
      <c r="BR199" s="135"/>
      <c r="BS199" s="135"/>
      <c r="BT199" s="135"/>
    </row>
    <row r="200" spans="1:72" s="196" customFormat="1">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c r="X200" s="135"/>
      <c r="Y200" s="135"/>
      <c r="Z200" s="135"/>
      <c r="AA200" s="135"/>
      <c r="AB200" s="135"/>
      <c r="AC200" s="135"/>
      <c r="AD200" s="135"/>
      <c r="AE200" s="135"/>
      <c r="AF200" s="135"/>
      <c r="AG200" s="135"/>
      <c r="AH200" s="135"/>
      <c r="AI200" s="135"/>
      <c r="AJ200" s="135"/>
      <c r="AK200" s="135"/>
      <c r="AL200" s="135"/>
      <c r="AM200" s="135"/>
      <c r="AN200" s="135"/>
      <c r="AO200" s="135"/>
      <c r="AP200" s="135"/>
      <c r="AQ200" s="135"/>
      <c r="AR200" s="135"/>
      <c r="AS200" s="135"/>
      <c r="AT200" s="135"/>
      <c r="AU200" s="135"/>
      <c r="AV200" s="135"/>
      <c r="AW200" s="135"/>
      <c r="AX200" s="135"/>
      <c r="AY200" s="135"/>
      <c r="AZ200" s="135"/>
      <c r="BA200" s="135"/>
      <c r="BB200" s="135"/>
      <c r="BC200" s="135"/>
      <c r="BD200" s="135"/>
      <c r="BE200" s="135"/>
      <c r="BF200" s="135"/>
      <c r="BG200" s="135"/>
      <c r="BH200" s="135"/>
      <c r="BI200" s="135"/>
      <c r="BJ200" s="135"/>
      <c r="BK200" s="135"/>
      <c r="BL200" s="135"/>
      <c r="BM200" s="135"/>
      <c r="BN200" s="135"/>
      <c r="BO200" s="135"/>
      <c r="BP200" s="135"/>
      <c r="BQ200" s="135"/>
      <c r="BR200" s="135"/>
      <c r="BS200" s="135"/>
      <c r="BT200" s="135"/>
    </row>
    <row r="201" spans="1:72" s="196" customFormat="1">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c r="X201" s="135"/>
      <c r="Y201" s="135"/>
      <c r="Z201" s="135"/>
      <c r="AA201" s="135"/>
      <c r="AB201" s="135"/>
      <c r="AC201" s="135"/>
      <c r="AD201" s="135"/>
      <c r="AE201" s="135"/>
      <c r="AF201" s="135"/>
      <c r="AG201" s="135"/>
      <c r="AH201" s="135"/>
      <c r="AI201" s="135"/>
      <c r="AJ201" s="135"/>
      <c r="AK201" s="135"/>
      <c r="AL201" s="135"/>
      <c r="AM201" s="135"/>
      <c r="AN201" s="135"/>
      <c r="AO201" s="135"/>
      <c r="AP201" s="135"/>
      <c r="AQ201" s="135"/>
      <c r="AR201" s="135"/>
      <c r="AS201" s="135"/>
      <c r="AT201" s="135"/>
      <c r="AU201" s="135"/>
      <c r="AV201" s="135"/>
      <c r="AW201" s="135"/>
      <c r="AX201" s="135"/>
      <c r="AY201" s="135"/>
      <c r="AZ201" s="135"/>
      <c r="BA201" s="135"/>
      <c r="BB201" s="135"/>
      <c r="BC201" s="135"/>
      <c r="BD201" s="135"/>
      <c r="BE201" s="135"/>
      <c r="BF201" s="135"/>
      <c r="BG201" s="135"/>
      <c r="BH201" s="135"/>
      <c r="BI201" s="135"/>
      <c r="BJ201" s="135"/>
      <c r="BK201" s="135"/>
      <c r="BL201" s="135"/>
      <c r="BM201" s="135"/>
      <c r="BN201" s="135"/>
      <c r="BO201" s="135"/>
      <c r="BP201" s="135"/>
      <c r="BQ201" s="135"/>
      <c r="BR201" s="135"/>
      <c r="BS201" s="135"/>
      <c r="BT201" s="135"/>
    </row>
    <row r="202" spans="1:72" s="196" customFormat="1">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c r="X202" s="135"/>
      <c r="Y202" s="135"/>
      <c r="Z202" s="135"/>
      <c r="AA202" s="135"/>
      <c r="AB202" s="135"/>
      <c r="AC202" s="135"/>
      <c r="AD202" s="135"/>
      <c r="AE202" s="135"/>
      <c r="AF202" s="135"/>
      <c r="AG202" s="135"/>
      <c r="AH202" s="135"/>
      <c r="AI202" s="135"/>
      <c r="AJ202" s="135"/>
      <c r="AK202" s="135"/>
      <c r="AL202" s="135"/>
      <c r="AM202" s="135"/>
      <c r="AN202" s="135"/>
      <c r="AO202" s="135"/>
      <c r="AP202" s="135"/>
      <c r="AQ202" s="135"/>
      <c r="AR202" s="135"/>
      <c r="AS202" s="135"/>
      <c r="AT202" s="135"/>
      <c r="AU202" s="135"/>
      <c r="AV202" s="135"/>
      <c r="AW202" s="135"/>
      <c r="AX202" s="135"/>
      <c r="AY202" s="135"/>
      <c r="AZ202" s="135"/>
      <c r="BA202" s="135"/>
      <c r="BB202" s="135"/>
      <c r="BC202" s="135"/>
      <c r="BD202" s="135"/>
      <c r="BE202" s="135"/>
      <c r="BF202" s="135"/>
      <c r="BG202" s="135"/>
      <c r="BH202" s="135"/>
      <c r="BI202" s="135"/>
      <c r="BJ202" s="135"/>
      <c r="BK202" s="135"/>
      <c r="BL202" s="135"/>
      <c r="BM202" s="135"/>
      <c r="BN202" s="135"/>
      <c r="BO202" s="135"/>
      <c r="BP202" s="135"/>
      <c r="BQ202" s="135"/>
      <c r="BR202" s="135"/>
      <c r="BS202" s="135"/>
      <c r="BT202" s="135"/>
    </row>
    <row r="203" spans="1:72" s="196" customFormat="1">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c r="X203" s="135"/>
      <c r="Y203" s="135"/>
      <c r="Z203" s="135"/>
      <c r="AA203" s="135"/>
      <c r="AB203" s="135"/>
      <c r="AC203" s="135"/>
      <c r="AD203" s="135"/>
      <c r="AE203" s="135"/>
      <c r="AF203" s="135"/>
      <c r="AG203" s="135"/>
      <c r="AH203" s="135"/>
      <c r="AI203" s="135"/>
      <c r="AJ203" s="135"/>
      <c r="AK203" s="135"/>
      <c r="AL203" s="135"/>
      <c r="AM203" s="135"/>
      <c r="AN203" s="135"/>
      <c r="AO203" s="135"/>
      <c r="AP203" s="135"/>
      <c r="AQ203" s="135"/>
      <c r="AR203" s="135"/>
      <c r="AS203" s="135"/>
      <c r="AT203" s="135"/>
      <c r="AU203" s="135"/>
      <c r="AV203" s="135"/>
      <c r="AW203" s="135"/>
      <c r="AX203" s="135"/>
      <c r="AY203" s="135"/>
      <c r="AZ203" s="135"/>
      <c r="BA203" s="135"/>
      <c r="BB203" s="135"/>
      <c r="BC203" s="135"/>
      <c r="BD203" s="135"/>
      <c r="BE203" s="135"/>
      <c r="BF203" s="135"/>
      <c r="BG203" s="135"/>
      <c r="BH203" s="135"/>
      <c r="BI203" s="135"/>
      <c r="BJ203" s="135"/>
      <c r="BK203" s="135"/>
      <c r="BL203" s="135"/>
      <c r="BM203" s="135"/>
      <c r="BN203" s="135"/>
      <c r="BO203" s="135"/>
      <c r="BP203" s="135"/>
      <c r="BQ203" s="135"/>
      <c r="BR203" s="135"/>
      <c r="BS203" s="135"/>
      <c r="BT203" s="135"/>
    </row>
    <row r="204" spans="1:72" s="196" customFormat="1">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c r="X204" s="135"/>
      <c r="Y204" s="135"/>
      <c r="Z204" s="135"/>
      <c r="AA204" s="135"/>
      <c r="AB204" s="135"/>
      <c r="AC204" s="135"/>
      <c r="AD204" s="135"/>
      <c r="AE204" s="135"/>
      <c r="AF204" s="135"/>
      <c r="AG204" s="135"/>
      <c r="AH204" s="135"/>
      <c r="AI204" s="135"/>
      <c r="AJ204" s="135"/>
      <c r="AK204" s="135"/>
      <c r="AL204" s="135"/>
      <c r="AM204" s="135"/>
      <c r="AN204" s="135"/>
      <c r="AO204" s="135"/>
      <c r="AP204" s="135"/>
      <c r="AQ204" s="135"/>
      <c r="AR204" s="135"/>
      <c r="AS204" s="135"/>
      <c r="AT204" s="135"/>
      <c r="AU204" s="135"/>
      <c r="AV204" s="135"/>
      <c r="AW204" s="135"/>
      <c r="AX204" s="135"/>
      <c r="AY204" s="135"/>
      <c r="AZ204" s="135"/>
      <c r="BA204" s="135"/>
      <c r="BB204" s="135"/>
      <c r="BC204" s="135"/>
      <c r="BD204" s="135"/>
      <c r="BE204" s="135"/>
      <c r="BF204" s="135"/>
      <c r="BG204" s="135"/>
      <c r="BH204" s="135"/>
      <c r="BI204" s="135"/>
      <c r="BJ204" s="135"/>
      <c r="BK204" s="135"/>
      <c r="BL204" s="135"/>
      <c r="BM204" s="135"/>
      <c r="BN204" s="135"/>
      <c r="BO204" s="135"/>
      <c r="BP204" s="135"/>
      <c r="BQ204" s="135"/>
      <c r="BR204" s="135"/>
      <c r="BS204" s="135"/>
      <c r="BT204" s="135"/>
    </row>
    <row r="205" spans="1:72" s="196" customFormat="1">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c r="X205" s="135"/>
      <c r="Y205" s="135"/>
      <c r="Z205" s="135"/>
      <c r="AA205" s="135"/>
      <c r="AB205" s="135"/>
      <c r="AC205" s="135"/>
      <c r="AD205" s="135"/>
      <c r="AE205" s="135"/>
      <c r="AF205" s="135"/>
      <c r="AG205" s="135"/>
      <c r="AH205" s="135"/>
      <c r="AI205" s="135"/>
      <c r="AJ205" s="135"/>
      <c r="AK205" s="135"/>
      <c r="AL205" s="135"/>
      <c r="AM205" s="135"/>
      <c r="AN205" s="135"/>
      <c r="AO205" s="135"/>
      <c r="AP205" s="135"/>
      <c r="AQ205" s="135"/>
      <c r="AR205" s="135"/>
      <c r="AS205" s="135"/>
      <c r="AT205" s="135"/>
      <c r="AU205" s="135"/>
      <c r="AV205" s="135"/>
      <c r="AW205" s="135"/>
      <c r="AX205" s="135"/>
      <c r="AY205" s="135"/>
      <c r="AZ205" s="135"/>
      <c r="BA205" s="135"/>
      <c r="BB205" s="135"/>
      <c r="BC205" s="135"/>
      <c r="BD205" s="135"/>
      <c r="BE205" s="135"/>
      <c r="BF205" s="135"/>
      <c r="BG205" s="135"/>
      <c r="BH205" s="135"/>
      <c r="BI205" s="135"/>
      <c r="BJ205" s="135"/>
      <c r="BK205" s="135"/>
      <c r="BL205" s="135"/>
      <c r="BM205" s="135"/>
      <c r="BN205" s="135"/>
      <c r="BO205" s="135"/>
      <c r="BP205" s="135"/>
      <c r="BQ205" s="135"/>
      <c r="BR205" s="135"/>
      <c r="BS205" s="135"/>
      <c r="BT205" s="135"/>
    </row>
    <row r="206" spans="1:72" s="196" customFormat="1">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c r="X206" s="135"/>
      <c r="Y206" s="135"/>
      <c r="Z206" s="135"/>
      <c r="AA206" s="135"/>
      <c r="AB206" s="135"/>
      <c r="AC206" s="135"/>
      <c r="AD206" s="135"/>
      <c r="AE206" s="135"/>
      <c r="AF206" s="135"/>
      <c r="AG206" s="135"/>
      <c r="AH206" s="135"/>
      <c r="AI206" s="135"/>
      <c r="AJ206" s="135"/>
      <c r="AK206" s="135"/>
      <c r="AL206" s="135"/>
      <c r="AM206" s="135"/>
      <c r="AN206" s="135"/>
      <c r="AO206" s="135"/>
      <c r="AP206" s="135"/>
      <c r="AQ206" s="135"/>
      <c r="AR206" s="135"/>
      <c r="AS206" s="135"/>
      <c r="AT206" s="135"/>
      <c r="AU206" s="135"/>
      <c r="AV206" s="135"/>
      <c r="AW206" s="135"/>
      <c r="AX206" s="135"/>
      <c r="AY206" s="135"/>
      <c r="AZ206" s="135"/>
      <c r="BA206" s="135"/>
      <c r="BB206" s="135"/>
      <c r="BC206" s="135"/>
      <c r="BD206" s="135"/>
      <c r="BE206" s="135"/>
      <c r="BF206" s="135"/>
      <c r="BG206" s="135"/>
      <c r="BH206" s="135"/>
      <c r="BI206" s="135"/>
      <c r="BJ206" s="135"/>
      <c r="BK206" s="135"/>
      <c r="BL206" s="135"/>
      <c r="BM206" s="135"/>
      <c r="BN206" s="135"/>
      <c r="BO206" s="135"/>
      <c r="BP206" s="135"/>
      <c r="BQ206" s="135"/>
      <c r="BR206" s="135"/>
      <c r="BS206" s="135"/>
      <c r="BT206" s="135"/>
    </row>
    <row r="207" spans="1:72" s="196" customFormat="1">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c r="X207" s="135"/>
      <c r="Y207" s="135"/>
      <c r="Z207" s="135"/>
      <c r="AA207" s="135"/>
      <c r="AB207" s="135"/>
      <c r="AC207" s="135"/>
      <c r="AD207" s="135"/>
      <c r="AE207" s="135"/>
      <c r="AF207" s="135"/>
      <c r="AG207" s="135"/>
      <c r="AH207" s="135"/>
      <c r="AI207" s="135"/>
      <c r="AJ207" s="135"/>
      <c r="AK207" s="135"/>
      <c r="AL207" s="135"/>
      <c r="AM207" s="135"/>
      <c r="AN207" s="135"/>
      <c r="AO207" s="135"/>
      <c r="AP207" s="135"/>
      <c r="AQ207" s="135"/>
      <c r="AR207" s="135"/>
      <c r="AS207" s="135"/>
      <c r="AT207" s="135"/>
      <c r="AU207" s="135"/>
      <c r="AV207" s="135"/>
      <c r="AW207" s="135"/>
      <c r="AX207" s="135"/>
      <c r="AY207" s="135"/>
      <c r="AZ207" s="135"/>
      <c r="BA207" s="135"/>
      <c r="BB207" s="135"/>
      <c r="BC207" s="135"/>
      <c r="BD207" s="135"/>
      <c r="BE207" s="135"/>
      <c r="BF207" s="135"/>
      <c r="BG207" s="135"/>
      <c r="BH207" s="135"/>
      <c r="BI207" s="135"/>
      <c r="BJ207" s="135"/>
      <c r="BK207" s="135"/>
      <c r="BL207" s="135"/>
      <c r="BM207" s="135"/>
      <c r="BN207" s="135"/>
      <c r="BO207" s="135"/>
      <c r="BP207" s="135"/>
      <c r="BQ207" s="135"/>
      <c r="BR207" s="135"/>
      <c r="BS207" s="135"/>
      <c r="BT207" s="135"/>
    </row>
    <row r="208" spans="1:72" s="196" customFormat="1">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c r="X208" s="135"/>
      <c r="Y208" s="135"/>
      <c r="Z208" s="135"/>
      <c r="AA208" s="135"/>
      <c r="AB208" s="135"/>
      <c r="AC208" s="135"/>
      <c r="AD208" s="135"/>
      <c r="AE208" s="135"/>
      <c r="AF208" s="135"/>
      <c r="AG208" s="135"/>
      <c r="AH208" s="135"/>
      <c r="AI208" s="135"/>
      <c r="AJ208" s="135"/>
      <c r="AK208" s="135"/>
      <c r="AL208" s="135"/>
      <c r="AM208" s="135"/>
      <c r="AN208" s="135"/>
      <c r="AO208" s="135"/>
      <c r="AP208" s="135"/>
      <c r="AQ208" s="135"/>
      <c r="AR208" s="135"/>
      <c r="AS208" s="135"/>
      <c r="AT208" s="135"/>
      <c r="AU208" s="135"/>
      <c r="AV208" s="135"/>
      <c r="AW208" s="135"/>
      <c r="AX208" s="135"/>
      <c r="AY208" s="135"/>
      <c r="AZ208" s="135"/>
      <c r="BA208" s="135"/>
      <c r="BB208" s="135"/>
      <c r="BC208" s="135"/>
      <c r="BD208" s="135"/>
      <c r="BE208" s="135"/>
      <c r="BF208" s="135"/>
      <c r="BG208" s="135"/>
      <c r="BH208" s="135"/>
      <c r="BI208" s="135"/>
      <c r="BJ208" s="135"/>
      <c r="BK208" s="135"/>
      <c r="BL208" s="135"/>
      <c r="BM208" s="135"/>
      <c r="BN208" s="135"/>
      <c r="BO208" s="135"/>
      <c r="BP208" s="135"/>
      <c r="BQ208" s="135"/>
      <c r="BR208" s="135"/>
      <c r="BS208" s="135"/>
      <c r="BT208" s="135"/>
    </row>
    <row r="209" spans="1:72" s="196" customFormat="1">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c r="X209" s="135"/>
      <c r="Y209" s="135"/>
      <c r="Z209" s="135"/>
      <c r="AA209" s="135"/>
      <c r="AB209" s="135"/>
      <c r="AC209" s="135"/>
      <c r="AD209" s="135"/>
      <c r="AE209" s="135"/>
      <c r="AF209" s="135"/>
      <c r="AG209" s="135"/>
      <c r="AH209" s="135"/>
      <c r="AI209" s="135"/>
      <c r="AJ209" s="135"/>
      <c r="AK209" s="135"/>
      <c r="AL209" s="135"/>
      <c r="AM209" s="135"/>
      <c r="AN209" s="135"/>
      <c r="AO209" s="135"/>
      <c r="AP209" s="135"/>
      <c r="AQ209" s="135"/>
      <c r="AR209" s="135"/>
      <c r="AS209" s="135"/>
      <c r="AT209" s="135"/>
      <c r="AU209" s="135"/>
      <c r="AV209" s="135"/>
      <c r="AW209" s="135"/>
      <c r="AX209" s="135"/>
      <c r="AY209" s="135"/>
      <c r="AZ209" s="135"/>
      <c r="BA209" s="135"/>
      <c r="BB209" s="135"/>
      <c r="BC209" s="135"/>
      <c r="BD209" s="135"/>
      <c r="BE209" s="135"/>
      <c r="BF209" s="135"/>
      <c r="BG209" s="135"/>
      <c r="BH209" s="135"/>
      <c r="BI209" s="135"/>
      <c r="BJ209" s="135"/>
      <c r="BK209" s="135"/>
      <c r="BL209" s="135"/>
      <c r="BM209" s="135"/>
      <c r="BN209" s="135"/>
      <c r="BO209" s="135"/>
      <c r="BP209" s="135"/>
      <c r="BQ209" s="135"/>
      <c r="BR209" s="135"/>
      <c r="BS209" s="135"/>
      <c r="BT209" s="135"/>
    </row>
    <row r="210" spans="1:72" s="196" customFormat="1">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c r="X210" s="135"/>
      <c r="Y210" s="135"/>
      <c r="Z210" s="135"/>
      <c r="AA210" s="135"/>
      <c r="AB210" s="135"/>
      <c r="AC210" s="135"/>
      <c r="AD210" s="135"/>
      <c r="AE210" s="135"/>
      <c r="AF210" s="135"/>
      <c r="AG210" s="135"/>
      <c r="AH210" s="135"/>
      <c r="AI210" s="135"/>
      <c r="AJ210" s="135"/>
      <c r="AK210" s="135"/>
      <c r="AL210" s="135"/>
      <c r="AM210" s="135"/>
      <c r="AN210" s="135"/>
      <c r="AO210" s="135"/>
      <c r="AP210" s="135"/>
      <c r="AQ210" s="135"/>
      <c r="AR210" s="135"/>
      <c r="AS210" s="135"/>
      <c r="AT210" s="135"/>
      <c r="AU210" s="135"/>
      <c r="AV210" s="135"/>
      <c r="AW210" s="135"/>
      <c r="AX210" s="135"/>
      <c r="AY210" s="135"/>
      <c r="AZ210" s="135"/>
      <c r="BA210" s="135"/>
      <c r="BB210" s="135"/>
      <c r="BC210" s="135"/>
      <c r="BD210" s="135"/>
      <c r="BE210" s="135"/>
      <c r="BF210" s="135"/>
      <c r="BG210" s="135"/>
      <c r="BH210" s="135"/>
      <c r="BI210" s="135"/>
      <c r="BJ210" s="135"/>
      <c r="BK210" s="135"/>
      <c r="BL210" s="135"/>
      <c r="BM210" s="135"/>
      <c r="BN210" s="135"/>
      <c r="BO210" s="135"/>
      <c r="BP210" s="135"/>
      <c r="BQ210" s="135"/>
      <c r="BR210" s="135"/>
      <c r="BS210" s="135"/>
      <c r="BT210" s="135"/>
    </row>
    <row r="211" spans="1:72" s="196" customFormat="1">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c r="X211" s="135"/>
      <c r="Y211" s="135"/>
      <c r="Z211" s="135"/>
      <c r="AA211" s="135"/>
      <c r="AB211" s="135"/>
      <c r="AC211" s="135"/>
      <c r="AD211" s="135"/>
      <c r="AE211" s="135"/>
      <c r="AF211" s="135"/>
      <c r="AG211" s="135"/>
      <c r="AH211" s="135"/>
      <c r="AI211" s="135"/>
      <c r="AJ211" s="135"/>
      <c r="AK211" s="135"/>
      <c r="AL211" s="135"/>
      <c r="AM211" s="135"/>
      <c r="AN211" s="135"/>
      <c r="AO211" s="135"/>
      <c r="AP211" s="135"/>
      <c r="AQ211" s="135"/>
      <c r="AR211" s="135"/>
      <c r="AS211" s="135"/>
      <c r="AT211" s="135"/>
      <c r="AU211" s="135"/>
      <c r="AV211" s="135"/>
      <c r="AW211" s="135"/>
      <c r="AX211" s="135"/>
      <c r="AY211" s="135"/>
      <c r="AZ211" s="135"/>
      <c r="BA211" s="135"/>
      <c r="BB211" s="135"/>
      <c r="BC211" s="135"/>
      <c r="BD211" s="135"/>
      <c r="BE211" s="135"/>
      <c r="BF211" s="135"/>
      <c r="BG211" s="135"/>
      <c r="BH211" s="135"/>
      <c r="BI211" s="135"/>
      <c r="BJ211" s="135"/>
      <c r="BK211" s="135"/>
      <c r="BL211" s="135"/>
      <c r="BM211" s="135"/>
      <c r="BN211" s="135"/>
      <c r="BO211" s="135"/>
      <c r="BP211" s="135"/>
      <c r="BQ211" s="135"/>
      <c r="BR211" s="135"/>
      <c r="BS211" s="135"/>
      <c r="BT211" s="135"/>
    </row>
    <row r="212" spans="1:72" s="196" customFormat="1">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c r="X212" s="135"/>
      <c r="Y212" s="135"/>
      <c r="Z212" s="135"/>
      <c r="AA212" s="135"/>
      <c r="AB212" s="135"/>
      <c r="AC212" s="135"/>
      <c r="AD212" s="135"/>
      <c r="AE212" s="135"/>
      <c r="AF212" s="135"/>
      <c r="AG212" s="135"/>
      <c r="AH212" s="135"/>
      <c r="AI212" s="135"/>
      <c r="AJ212" s="135"/>
      <c r="AK212" s="135"/>
      <c r="AL212" s="135"/>
      <c r="AM212" s="135"/>
      <c r="AN212" s="135"/>
      <c r="AO212" s="135"/>
      <c r="AP212" s="135"/>
      <c r="AQ212" s="135"/>
      <c r="AR212" s="135"/>
      <c r="AS212" s="135"/>
      <c r="AT212" s="135"/>
      <c r="AU212" s="135"/>
      <c r="AV212" s="135"/>
      <c r="AW212" s="135"/>
      <c r="AX212" s="135"/>
      <c r="AY212" s="135"/>
      <c r="AZ212" s="135"/>
      <c r="BA212" s="135"/>
      <c r="BB212" s="135"/>
      <c r="BC212" s="135"/>
      <c r="BD212" s="135"/>
      <c r="BE212" s="135"/>
      <c r="BF212" s="135"/>
      <c r="BG212" s="135"/>
      <c r="BH212" s="135"/>
      <c r="BI212" s="135"/>
      <c r="BJ212" s="135"/>
      <c r="BK212" s="135"/>
      <c r="BL212" s="135"/>
      <c r="BM212" s="135"/>
      <c r="BN212" s="135"/>
      <c r="BO212" s="135"/>
      <c r="BP212" s="135"/>
      <c r="BQ212" s="135"/>
      <c r="BR212" s="135"/>
      <c r="BS212" s="135"/>
      <c r="BT212" s="135"/>
    </row>
    <row r="213" spans="1:72" s="196" customFormat="1">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c r="X213" s="135"/>
      <c r="Y213" s="135"/>
      <c r="Z213" s="135"/>
      <c r="AA213" s="135"/>
      <c r="AB213" s="135"/>
      <c r="AC213" s="135"/>
      <c r="AD213" s="135"/>
      <c r="AE213" s="135"/>
      <c r="AF213" s="135"/>
      <c r="AG213" s="135"/>
      <c r="AH213" s="135"/>
      <c r="AI213" s="135"/>
      <c r="AJ213" s="135"/>
      <c r="AK213" s="135"/>
      <c r="AL213" s="135"/>
      <c r="AM213" s="135"/>
      <c r="AN213" s="135"/>
      <c r="AO213" s="135"/>
      <c r="AP213" s="135"/>
      <c r="AQ213" s="135"/>
      <c r="AR213" s="135"/>
      <c r="AS213" s="135"/>
      <c r="AT213" s="135"/>
      <c r="AU213" s="135"/>
      <c r="AV213" s="135"/>
      <c r="AW213" s="135"/>
      <c r="AX213" s="135"/>
      <c r="AY213" s="135"/>
      <c r="AZ213" s="135"/>
      <c r="BA213" s="135"/>
      <c r="BB213" s="135"/>
      <c r="BC213" s="135"/>
      <c r="BD213" s="135"/>
      <c r="BE213" s="135"/>
      <c r="BF213" s="135"/>
      <c r="BG213" s="135"/>
      <c r="BH213" s="135"/>
      <c r="BI213" s="135"/>
      <c r="BJ213" s="135"/>
      <c r="BK213" s="135"/>
      <c r="BL213" s="135"/>
      <c r="BM213" s="135"/>
      <c r="BN213" s="135"/>
      <c r="BO213" s="135"/>
      <c r="BP213" s="135"/>
      <c r="BQ213" s="135"/>
      <c r="BR213" s="135"/>
      <c r="BS213" s="135"/>
      <c r="BT213" s="135"/>
    </row>
    <row r="214" spans="1:72" s="196" customFormat="1">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c r="X214" s="135"/>
      <c r="Y214" s="135"/>
      <c r="Z214" s="135"/>
      <c r="AA214" s="135"/>
      <c r="AB214" s="135"/>
      <c r="AC214" s="135"/>
      <c r="AD214" s="135"/>
      <c r="AE214" s="135"/>
      <c r="AF214" s="135"/>
      <c r="AG214" s="135"/>
      <c r="AH214" s="135"/>
      <c r="AI214" s="135"/>
      <c r="AJ214" s="135"/>
      <c r="AK214" s="135"/>
      <c r="AL214" s="135"/>
      <c r="AM214" s="135"/>
      <c r="AN214" s="135"/>
      <c r="AO214" s="135"/>
      <c r="AP214" s="135"/>
      <c r="AQ214" s="135"/>
      <c r="AR214" s="135"/>
      <c r="AS214" s="135"/>
      <c r="AT214" s="135"/>
      <c r="AU214" s="135"/>
      <c r="AV214" s="135"/>
      <c r="AW214" s="135"/>
      <c r="AX214" s="135"/>
      <c r="AY214" s="135"/>
      <c r="AZ214" s="135"/>
      <c r="BA214" s="135"/>
      <c r="BB214" s="135"/>
      <c r="BC214" s="135"/>
      <c r="BD214" s="135"/>
      <c r="BE214" s="135"/>
      <c r="BF214" s="135"/>
      <c r="BG214" s="135"/>
      <c r="BH214" s="135"/>
      <c r="BI214" s="135"/>
      <c r="BJ214" s="135"/>
      <c r="BK214" s="135"/>
      <c r="BL214" s="135"/>
      <c r="BM214" s="135"/>
      <c r="BN214" s="135"/>
      <c r="BO214" s="135"/>
      <c r="BP214" s="135"/>
      <c r="BQ214" s="135"/>
      <c r="BR214" s="135"/>
      <c r="BS214" s="135"/>
      <c r="BT214" s="135"/>
    </row>
    <row r="215" spans="1:72" s="196" customFormat="1">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135"/>
      <c r="AC215" s="135"/>
      <c r="AD215" s="135"/>
      <c r="AE215" s="135"/>
      <c r="AF215" s="135"/>
      <c r="AG215" s="135"/>
      <c r="AH215" s="135"/>
      <c r="AI215" s="135"/>
      <c r="AJ215" s="135"/>
      <c r="AK215" s="135"/>
      <c r="AL215" s="135"/>
      <c r="AM215" s="135"/>
      <c r="AN215" s="135"/>
      <c r="AO215" s="135"/>
      <c r="AP215" s="135"/>
      <c r="AQ215" s="135"/>
      <c r="AR215" s="135"/>
      <c r="AS215" s="135"/>
      <c r="AT215" s="135"/>
      <c r="AU215" s="135"/>
      <c r="AV215" s="135"/>
      <c r="AW215" s="135"/>
      <c r="AX215" s="135"/>
      <c r="AY215" s="135"/>
      <c r="AZ215" s="135"/>
      <c r="BA215" s="135"/>
      <c r="BB215" s="135"/>
      <c r="BC215" s="135"/>
      <c r="BD215" s="135"/>
      <c r="BE215" s="135"/>
      <c r="BF215" s="135"/>
      <c r="BG215" s="135"/>
      <c r="BH215" s="135"/>
      <c r="BI215" s="135"/>
      <c r="BJ215" s="135"/>
      <c r="BK215" s="135"/>
      <c r="BL215" s="135"/>
      <c r="BM215" s="135"/>
      <c r="BN215" s="135"/>
      <c r="BO215" s="135"/>
      <c r="BP215" s="135"/>
      <c r="BQ215" s="135"/>
      <c r="BR215" s="135"/>
      <c r="BS215" s="135"/>
      <c r="BT215" s="135"/>
    </row>
    <row r="216" spans="1:72" s="196" customFormat="1">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c r="X216" s="135"/>
      <c r="Y216" s="135"/>
      <c r="Z216" s="135"/>
      <c r="AA216" s="135"/>
      <c r="AB216" s="135"/>
      <c r="AC216" s="135"/>
      <c r="AD216" s="135"/>
      <c r="AE216" s="135"/>
      <c r="AF216" s="135"/>
      <c r="AG216" s="135"/>
      <c r="AH216" s="135"/>
      <c r="AI216" s="135"/>
      <c r="AJ216" s="135"/>
      <c r="AK216" s="135"/>
      <c r="AL216" s="135"/>
      <c r="AM216" s="135"/>
      <c r="AN216" s="135"/>
      <c r="AO216" s="135"/>
      <c r="AP216" s="135"/>
      <c r="AQ216" s="135"/>
      <c r="AR216" s="135"/>
      <c r="AS216" s="135"/>
      <c r="AT216" s="135"/>
      <c r="AU216" s="135"/>
      <c r="AV216" s="135"/>
      <c r="AW216" s="135"/>
      <c r="AX216" s="135"/>
      <c r="AY216" s="135"/>
      <c r="AZ216" s="135"/>
      <c r="BA216" s="135"/>
      <c r="BB216" s="135"/>
      <c r="BC216" s="135"/>
      <c r="BD216" s="135"/>
      <c r="BE216" s="135"/>
      <c r="BF216" s="135"/>
      <c r="BG216" s="135"/>
      <c r="BH216" s="135"/>
      <c r="BI216" s="135"/>
      <c r="BJ216" s="135"/>
      <c r="BK216" s="135"/>
      <c r="BL216" s="135"/>
      <c r="BM216" s="135"/>
      <c r="BN216" s="135"/>
      <c r="BO216" s="135"/>
      <c r="BP216" s="135"/>
      <c r="BQ216" s="135"/>
      <c r="BR216" s="135"/>
      <c r="BS216" s="135"/>
      <c r="BT216" s="135"/>
    </row>
    <row r="217" spans="1:72" s="196" customFormat="1">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c r="X217" s="135"/>
      <c r="Y217" s="135"/>
      <c r="Z217" s="135"/>
      <c r="AA217" s="135"/>
      <c r="AB217" s="135"/>
      <c r="AC217" s="135"/>
      <c r="AD217" s="135"/>
      <c r="AE217" s="135"/>
      <c r="AF217" s="135"/>
      <c r="AG217" s="135"/>
      <c r="AH217" s="135"/>
      <c r="AI217" s="135"/>
      <c r="AJ217" s="135"/>
      <c r="AK217" s="135"/>
      <c r="AL217" s="135"/>
      <c r="AM217" s="135"/>
      <c r="AN217" s="135"/>
      <c r="AO217" s="135"/>
      <c r="AP217" s="135"/>
      <c r="AQ217" s="135"/>
      <c r="AR217" s="135"/>
      <c r="AS217" s="135"/>
      <c r="AT217" s="135"/>
      <c r="AU217" s="135"/>
      <c r="AV217" s="135"/>
      <c r="AW217" s="135"/>
      <c r="AX217" s="135"/>
      <c r="AY217" s="135"/>
      <c r="AZ217" s="135"/>
      <c r="BA217" s="135"/>
      <c r="BB217" s="135"/>
      <c r="BC217" s="135"/>
      <c r="BD217" s="135"/>
      <c r="BE217" s="135"/>
      <c r="BF217" s="135"/>
      <c r="BG217" s="135"/>
      <c r="BH217" s="135"/>
      <c r="BI217" s="135"/>
      <c r="BJ217" s="135"/>
      <c r="BK217" s="135"/>
      <c r="BL217" s="135"/>
      <c r="BM217" s="135"/>
      <c r="BN217" s="135"/>
      <c r="BO217" s="135"/>
      <c r="BP217" s="135"/>
      <c r="BQ217" s="135"/>
      <c r="BR217" s="135"/>
      <c r="BS217" s="135"/>
      <c r="BT217" s="135"/>
    </row>
    <row r="218" spans="1:72" s="196" customFormat="1">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c r="X218" s="135"/>
      <c r="Y218" s="135"/>
      <c r="Z218" s="135"/>
      <c r="AA218" s="135"/>
      <c r="AB218" s="135"/>
      <c r="AC218" s="135"/>
      <c r="AD218" s="135"/>
      <c r="AE218" s="135"/>
      <c r="AF218" s="135"/>
      <c r="AG218" s="135"/>
      <c r="AH218" s="135"/>
      <c r="AI218" s="135"/>
      <c r="AJ218" s="135"/>
      <c r="AK218" s="135"/>
      <c r="AL218" s="135"/>
      <c r="AM218" s="135"/>
      <c r="AN218" s="135"/>
      <c r="AO218" s="135"/>
      <c r="AP218" s="135"/>
      <c r="AQ218" s="135"/>
      <c r="AR218" s="135"/>
      <c r="AS218" s="135"/>
      <c r="AT218" s="135"/>
      <c r="AU218" s="135"/>
      <c r="AV218" s="135"/>
      <c r="AW218" s="135"/>
      <c r="AX218" s="135"/>
      <c r="AY218" s="135"/>
      <c r="AZ218" s="135"/>
      <c r="BA218" s="135"/>
      <c r="BB218" s="135"/>
      <c r="BC218" s="135"/>
      <c r="BD218" s="135"/>
      <c r="BE218" s="135"/>
      <c r="BF218" s="135"/>
      <c r="BG218" s="135"/>
      <c r="BH218" s="135"/>
      <c r="BI218" s="135"/>
      <c r="BJ218" s="135"/>
      <c r="BK218" s="135"/>
      <c r="BL218" s="135"/>
      <c r="BM218" s="135"/>
      <c r="BN218" s="135"/>
      <c r="BO218" s="135"/>
      <c r="BP218" s="135"/>
      <c r="BQ218" s="135"/>
      <c r="BR218" s="135"/>
      <c r="BS218" s="135"/>
      <c r="BT218" s="135"/>
    </row>
    <row r="219" spans="1:72" s="196" customFormat="1">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c r="X219" s="135"/>
      <c r="Y219" s="135"/>
      <c r="Z219" s="135"/>
      <c r="AA219" s="135"/>
      <c r="AB219" s="135"/>
      <c r="AC219" s="135"/>
      <c r="AD219" s="135"/>
      <c r="AE219" s="135"/>
      <c r="AF219" s="135"/>
      <c r="AG219" s="135"/>
      <c r="AH219" s="135"/>
      <c r="AI219" s="135"/>
      <c r="AJ219" s="135"/>
      <c r="AK219" s="135"/>
      <c r="AL219" s="135"/>
      <c r="AM219" s="135"/>
      <c r="AN219" s="135"/>
      <c r="AO219" s="135"/>
      <c r="AP219" s="135"/>
      <c r="AQ219" s="135"/>
      <c r="AR219" s="135"/>
      <c r="AS219" s="135"/>
      <c r="AT219" s="135"/>
      <c r="AU219" s="135"/>
      <c r="AV219" s="135"/>
      <c r="AW219" s="135"/>
      <c r="AX219" s="135"/>
      <c r="AY219" s="135"/>
      <c r="AZ219" s="135"/>
      <c r="BA219" s="135"/>
      <c r="BB219" s="135"/>
      <c r="BC219" s="135"/>
      <c r="BD219" s="135"/>
      <c r="BE219" s="135"/>
      <c r="BF219" s="135"/>
      <c r="BG219" s="135"/>
      <c r="BH219" s="135"/>
      <c r="BI219" s="135"/>
      <c r="BJ219" s="135"/>
      <c r="BK219" s="135"/>
      <c r="BL219" s="135"/>
      <c r="BM219" s="135"/>
      <c r="BN219" s="135"/>
      <c r="BO219" s="135"/>
      <c r="BP219" s="135"/>
      <c r="BQ219" s="135"/>
      <c r="BR219" s="135"/>
      <c r="BS219" s="135"/>
      <c r="BT219" s="135"/>
    </row>
    <row r="220" spans="1:72" s="196" customFormat="1">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c r="X220" s="135"/>
      <c r="Y220" s="135"/>
      <c r="Z220" s="135"/>
      <c r="AA220" s="135"/>
      <c r="AB220" s="135"/>
      <c r="AC220" s="135"/>
      <c r="AD220" s="135"/>
      <c r="AE220" s="135"/>
      <c r="AF220" s="135"/>
      <c r="AG220" s="135"/>
      <c r="AH220" s="135"/>
      <c r="AI220" s="135"/>
      <c r="AJ220" s="135"/>
      <c r="AK220" s="135"/>
      <c r="AL220" s="135"/>
      <c r="AM220" s="135"/>
      <c r="AN220" s="135"/>
      <c r="AO220" s="135"/>
      <c r="AP220" s="135"/>
      <c r="AQ220" s="135"/>
      <c r="AR220" s="135"/>
      <c r="AS220" s="135"/>
      <c r="AT220" s="135"/>
      <c r="AU220" s="135"/>
      <c r="AV220" s="135"/>
      <c r="AW220" s="135"/>
      <c r="AX220" s="135"/>
      <c r="AY220" s="135"/>
      <c r="AZ220" s="135"/>
      <c r="BA220" s="135"/>
      <c r="BB220" s="135"/>
      <c r="BC220" s="135"/>
      <c r="BD220" s="135"/>
      <c r="BE220" s="135"/>
      <c r="BF220" s="135"/>
      <c r="BG220" s="135"/>
      <c r="BH220" s="135"/>
      <c r="BI220" s="135"/>
      <c r="BJ220" s="135"/>
      <c r="BK220" s="135"/>
      <c r="BL220" s="135"/>
      <c r="BM220" s="135"/>
      <c r="BN220" s="135"/>
      <c r="BO220" s="135"/>
      <c r="BP220" s="135"/>
      <c r="BQ220" s="135"/>
      <c r="BR220" s="135"/>
      <c r="BS220" s="135"/>
      <c r="BT220" s="135"/>
    </row>
    <row r="221" spans="1:72" s="196" customFormat="1">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c r="X221" s="135"/>
      <c r="Y221" s="135"/>
      <c r="Z221" s="135"/>
      <c r="AA221" s="135"/>
      <c r="AB221" s="135"/>
      <c r="AC221" s="135"/>
      <c r="AD221" s="135"/>
      <c r="AE221" s="135"/>
      <c r="AF221" s="135"/>
      <c r="AG221" s="135"/>
      <c r="AH221" s="135"/>
      <c r="AI221" s="135"/>
      <c r="AJ221" s="135"/>
      <c r="AK221" s="135"/>
      <c r="AL221" s="135"/>
      <c r="AM221" s="135"/>
      <c r="AN221" s="135"/>
      <c r="AO221" s="135"/>
      <c r="AP221" s="135"/>
      <c r="AQ221" s="135"/>
      <c r="AR221" s="135"/>
      <c r="AS221" s="135"/>
      <c r="AT221" s="135"/>
      <c r="AU221" s="135"/>
      <c r="AV221" s="135"/>
      <c r="AW221" s="135"/>
      <c r="AX221" s="135"/>
      <c r="AY221" s="135"/>
      <c r="AZ221" s="135"/>
      <c r="BA221" s="135"/>
      <c r="BB221" s="135"/>
      <c r="BC221" s="135"/>
      <c r="BD221" s="135"/>
      <c r="BE221" s="135"/>
      <c r="BF221" s="135"/>
      <c r="BG221" s="135"/>
      <c r="BH221" s="135"/>
      <c r="BI221" s="135"/>
      <c r="BJ221" s="135"/>
      <c r="BK221" s="135"/>
      <c r="BL221" s="135"/>
      <c r="BM221" s="135"/>
      <c r="BN221" s="135"/>
      <c r="BO221" s="135"/>
      <c r="BP221" s="135"/>
      <c r="BQ221" s="135"/>
      <c r="BR221" s="135"/>
      <c r="BS221" s="135"/>
      <c r="BT221" s="135"/>
    </row>
    <row r="222" spans="1:72" s="196" customFormat="1">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c r="X222" s="135"/>
      <c r="Y222" s="135"/>
      <c r="Z222" s="135"/>
      <c r="AA222" s="135"/>
      <c r="AB222" s="135"/>
      <c r="AC222" s="135"/>
      <c r="AD222" s="135"/>
      <c r="AE222" s="135"/>
      <c r="AF222" s="135"/>
      <c r="AG222" s="135"/>
      <c r="AH222" s="135"/>
      <c r="AI222" s="135"/>
      <c r="AJ222" s="135"/>
      <c r="AK222" s="135"/>
      <c r="AL222" s="135"/>
      <c r="AM222" s="135"/>
      <c r="AN222" s="135"/>
      <c r="AO222" s="135"/>
      <c r="AP222" s="135"/>
      <c r="AQ222" s="135"/>
      <c r="AR222" s="135"/>
      <c r="AS222" s="135"/>
      <c r="AT222" s="135"/>
      <c r="AU222" s="135"/>
      <c r="AV222" s="135"/>
      <c r="AW222" s="135"/>
      <c r="AX222" s="135"/>
      <c r="AY222" s="135"/>
      <c r="AZ222" s="135"/>
      <c r="BA222" s="135"/>
      <c r="BB222" s="135"/>
      <c r="BC222" s="135"/>
      <c r="BD222" s="135"/>
      <c r="BE222" s="135"/>
      <c r="BF222" s="135"/>
      <c r="BG222" s="135"/>
      <c r="BH222" s="135"/>
      <c r="BI222" s="135"/>
      <c r="BJ222" s="135"/>
      <c r="BK222" s="135"/>
      <c r="BL222" s="135"/>
      <c r="BM222" s="135"/>
      <c r="BN222" s="135"/>
      <c r="BO222" s="135"/>
      <c r="BP222" s="135"/>
      <c r="BQ222" s="135"/>
      <c r="BR222" s="135"/>
      <c r="BS222" s="135"/>
      <c r="BT222" s="135"/>
    </row>
    <row r="223" spans="1:72" s="196" customFormat="1">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c r="X223" s="135"/>
      <c r="Y223" s="135"/>
      <c r="Z223" s="135"/>
      <c r="AA223" s="135"/>
      <c r="AB223" s="135"/>
      <c r="AC223" s="135"/>
      <c r="AD223" s="135"/>
      <c r="AE223" s="135"/>
      <c r="AF223" s="135"/>
      <c r="AG223" s="135"/>
      <c r="AH223" s="135"/>
      <c r="AI223" s="135"/>
      <c r="AJ223" s="135"/>
      <c r="AK223" s="135"/>
      <c r="AL223" s="135"/>
      <c r="AM223" s="135"/>
      <c r="AN223" s="135"/>
      <c r="AO223" s="135"/>
      <c r="AP223" s="135"/>
      <c r="AQ223" s="135"/>
      <c r="AR223" s="135"/>
      <c r="AS223" s="135"/>
      <c r="AT223" s="135"/>
      <c r="AU223" s="135"/>
      <c r="AV223" s="135"/>
      <c r="AW223" s="135"/>
      <c r="AX223" s="135"/>
      <c r="AY223" s="135"/>
      <c r="AZ223" s="135"/>
      <c r="BA223" s="135"/>
      <c r="BB223" s="135"/>
      <c r="BC223" s="135"/>
      <c r="BD223" s="135"/>
      <c r="BE223" s="135"/>
      <c r="BF223" s="135"/>
      <c r="BG223" s="135"/>
      <c r="BH223" s="135"/>
      <c r="BI223" s="135"/>
      <c r="BJ223" s="135"/>
      <c r="BK223" s="135"/>
      <c r="BL223" s="135"/>
      <c r="BM223" s="135"/>
      <c r="BN223" s="135"/>
      <c r="BO223" s="135"/>
      <c r="BP223" s="135"/>
      <c r="BQ223" s="135"/>
      <c r="BR223" s="135"/>
      <c r="BS223" s="135"/>
      <c r="BT223" s="135"/>
    </row>
    <row r="224" spans="1:72" s="196" customFormat="1">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c r="X224" s="135"/>
      <c r="Y224" s="135"/>
      <c r="Z224" s="135"/>
      <c r="AA224" s="135"/>
      <c r="AB224" s="135"/>
      <c r="AC224" s="135"/>
      <c r="AD224" s="135"/>
      <c r="AE224" s="135"/>
      <c r="AF224" s="135"/>
      <c r="AG224" s="135"/>
      <c r="AH224" s="135"/>
      <c r="AI224" s="135"/>
      <c r="AJ224" s="135"/>
      <c r="AK224" s="135"/>
      <c r="AL224" s="135"/>
      <c r="AM224" s="135"/>
      <c r="AN224" s="135"/>
      <c r="AO224" s="135"/>
      <c r="AP224" s="135"/>
      <c r="AQ224" s="135"/>
      <c r="AR224" s="135"/>
      <c r="AS224" s="135"/>
      <c r="AT224" s="135"/>
      <c r="AU224" s="135"/>
      <c r="AV224" s="135"/>
      <c r="AW224" s="135"/>
      <c r="AX224" s="135"/>
      <c r="AY224" s="135"/>
      <c r="AZ224" s="135"/>
      <c r="BA224" s="135"/>
      <c r="BB224" s="135"/>
      <c r="BC224" s="135"/>
      <c r="BD224" s="135"/>
      <c r="BE224" s="135"/>
      <c r="BF224" s="135"/>
      <c r="BG224" s="135"/>
      <c r="BH224" s="135"/>
      <c r="BI224" s="135"/>
      <c r="BJ224" s="135"/>
      <c r="BK224" s="135"/>
      <c r="BL224" s="135"/>
      <c r="BM224" s="135"/>
      <c r="BN224" s="135"/>
      <c r="BO224" s="135"/>
      <c r="BP224" s="135"/>
      <c r="BQ224" s="135"/>
      <c r="BR224" s="135"/>
      <c r="BS224" s="135"/>
      <c r="BT224" s="135"/>
    </row>
    <row r="225" spans="1:72" s="196" customFormat="1">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c r="X225" s="135"/>
      <c r="Y225" s="135"/>
      <c r="Z225" s="135"/>
      <c r="AA225" s="135"/>
      <c r="AB225" s="135"/>
      <c r="AC225" s="135"/>
      <c r="AD225" s="135"/>
      <c r="AE225" s="135"/>
      <c r="AF225" s="135"/>
      <c r="AG225" s="135"/>
      <c r="AH225" s="135"/>
      <c r="AI225" s="135"/>
      <c r="AJ225" s="135"/>
      <c r="AK225" s="135"/>
      <c r="AL225" s="135"/>
      <c r="AM225" s="135"/>
      <c r="AN225" s="135"/>
      <c r="AO225" s="135"/>
      <c r="AP225" s="135"/>
      <c r="AQ225" s="135"/>
      <c r="AR225" s="135"/>
      <c r="AS225" s="135"/>
      <c r="AT225" s="135"/>
      <c r="AU225" s="135"/>
      <c r="AV225" s="135"/>
      <c r="AW225" s="135"/>
      <c r="AX225" s="135"/>
      <c r="AY225" s="135"/>
      <c r="AZ225" s="135"/>
      <c r="BA225" s="135"/>
      <c r="BB225" s="135"/>
      <c r="BC225" s="135"/>
      <c r="BD225" s="135"/>
      <c r="BE225" s="135"/>
      <c r="BF225" s="135"/>
      <c r="BG225" s="135"/>
      <c r="BH225" s="135"/>
      <c r="BI225" s="135"/>
      <c r="BJ225" s="135"/>
      <c r="BK225" s="135"/>
      <c r="BL225" s="135"/>
      <c r="BM225" s="135"/>
      <c r="BN225" s="135"/>
      <c r="BO225" s="135"/>
      <c r="BP225" s="135"/>
      <c r="BQ225" s="135"/>
      <c r="BR225" s="135"/>
      <c r="BS225" s="135"/>
      <c r="BT225" s="135"/>
    </row>
    <row r="226" spans="1:72" s="196" customFormat="1">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c r="X226" s="135"/>
      <c r="Y226" s="135"/>
      <c r="Z226" s="135"/>
      <c r="AA226" s="135"/>
      <c r="AB226" s="135"/>
      <c r="AC226" s="135"/>
      <c r="AD226" s="135"/>
      <c r="AE226" s="135"/>
      <c r="AF226" s="135"/>
      <c r="AG226" s="135"/>
      <c r="AH226" s="135"/>
      <c r="AI226" s="135"/>
      <c r="AJ226" s="135"/>
      <c r="AK226" s="135"/>
      <c r="AL226" s="135"/>
      <c r="AM226" s="135"/>
      <c r="AN226" s="135"/>
      <c r="AO226" s="135"/>
      <c r="AP226" s="135"/>
      <c r="AQ226" s="135"/>
      <c r="AR226" s="135"/>
      <c r="AS226" s="135"/>
      <c r="AT226" s="135"/>
      <c r="AU226" s="135"/>
      <c r="AV226" s="135"/>
      <c r="AW226" s="135"/>
      <c r="AX226" s="135"/>
      <c r="AY226" s="135"/>
      <c r="AZ226" s="135"/>
      <c r="BA226" s="135"/>
      <c r="BB226" s="135"/>
      <c r="BC226" s="135"/>
      <c r="BD226" s="135"/>
      <c r="BE226" s="135"/>
      <c r="BF226" s="135"/>
      <c r="BG226" s="135"/>
      <c r="BH226" s="135"/>
      <c r="BI226" s="135"/>
      <c r="BJ226" s="135"/>
      <c r="BK226" s="135"/>
      <c r="BL226" s="135"/>
      <c r="BM226" s="135"/>
      <c r="BN226" s="135"/>
      <c r="BO226" s="135"/>
      <c r="BP226" s="135"/>
      <c r="BQ226" s="135"/>
      <c r="BR226" s="135"/>
      <c r="BS226" s="135"/>
      <c r="BT226" s="135"/>
    </row>
    <row r="227" spans="1:72" s="196" customFormat="1">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c r="X227" s="135"/>
      <c r="Y227" s="135"/>
      <c r="Z227" s="135"/>
      <c r="AA227" s="135"/>
      <c r="AB227" s="135"/>
      <c r="AC227" s="135"/>
      <c r="AD227" s="135"/>
      <c r="AE227" s="135"/>
      <c r="AF227" s="135"/>
      <c r="AG227" s="135"/>
      <c r="AH227" s="135"/>
      <c r="AI227" s="135"/>
      <c r="AJ227" s="135"/>
      <c r="AK227" s="135"/>
      <c r="AL227" s="135"/>
      <c r="AM227" s="135"/>
      <c r="AN227" s="135"/>
      <c r="AO227" s="135"/>
      <c r="AP227" s="135"/>
      <c r="AQ227" s="135"/>
      <c r="AR227" s="135"/>
      <c r="AS227" s="135"/>
      <c r="AT227" s="135"/>
      <c r="AU227" s="135"/>
      <c r="AV227" s="135"/>
      <c r="AW227" s="135"/>
      <c r="AX227" s="135"/>
      <c r="AY227" s="135"/>
      <c r="AZ227" s="135"/>
      <c r="BA227" s="135"/>
      <c r="BB227" s="135"/>
      <c r="BC227" s="135"/>
      <c r="BD227" s="135"/>
      <c r="BE227" s="135"/>
      <c r="BF227" s="135"/>
      <c r="BG227" s="135"/>
      <c r="BH227" s="135"/>
      <c r="BI227" s="135"/>
      <c r="BJ227" s="135"/>
      <c r="BK227" s="135"/>
      <c r="BL227" s="135"/>
      <c r="BM227" s="135"/>
      <c r="BN227" s="135"/>
      <c r="BO227" s="135"/>
      <c r="BP227" s="135"/>
      <c r="BQ227" s="135"/>
      <c r="BR227" s="135"/>
      <c r="BS227" s="135"/>
      <c r="BT227" s="135"/>
    </row>
    <row r="228" spans="1:72" s="196" customFormat="1">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c r="X228" s="135"/>
      <c r="Y228" s="135"/>
      <c r="Z228" s="135"/>
      <c r="AA228" s="135"/>
      <c r="AB228" s="135"/>
      <c r="AC228" s="135"/>
      <c r="AD228" s="135"/>
      <c r="AE228" s="135"/>
      <c r="AF228" s="135"/>
      <c r="AG228" s="135"/>
      <c r="AH228" s="135"/>
      <c r="AI228" s="135"/>
      <c r="AJ228" s="135"/>
      <c r="AK228" s="135"/>
      <c r="AL228" s="135"/>
      <c r="AM228" s="135"/>
      <c r="AN228" s="135"/>
      <c r="AO228" s="135"/>
      <c r="AP228" s="135"/>
      <c r="AQ228" s="135"/>
      <c r="AR228" s="135"/>
      <c r="AS228" s="135"/>
      <c r="AT228" s="135"/>
      <c r="AU228" s="135"/>
      <c r="AV228" s="135"/>
      <c r="AW228" s="135"/>
      <c r="AX228" s="135"/>
      <c r="AY228" s="135"/>
      <c r="AZ228" s="135"/>
      <c r="BA228" s="135"/>
      <c r="BB228" s="135"/>
      <c r="BC228" s="135"/>
      <c r="BD228" s="135"/>
      <c r="BE228" s="135"/>
      <c r="BF228" s="135"/>
      <c r="BG228" s="135"/>
      <c r="BH228" s="135"/>
      <c r="BI228" s="135"/>
      <c r="BJ228" s="135"/>
      <c r="BK228" s="135"/>
      <c r="BL228" s="135"/>
      <c r="BM228" s="135"/>
      <c r="BN228" s="135"/>
      <c r="BO228" s="135"/>
      <c r="BP228" s="135"/>
      <c r="BQ228" s="135"/>
      <c r="BR228" s="135"/>
      <c r="BS228" s="135"/>
      <c r="BT228" s="135"/>
    </row>
    <row r="229" spans="1:72" s="196" customFormat="1">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c r="X229" s="135"/>
      <c r="Y229" s="135"/>
      <c r="Z229" s="135"/>
      <c r="AA229" s="135"/>
      <c r="AB229" s="135"/>
      <c r="AC229" s="135"/>
      <c r="AD229" s="135"/>
      <c r="AE229" s="135"/>
      <c r="AF229" s="135"/>
      <c r="AG229" s="135"/>
      <c r="AH229" s="135"/>
      <c r="AI229" s="135"/>
      <c r="AJ229" s="135"/>
      <c r="AK229" s="135"/>
      <c r="AL229" s="135"/>
      <c r="AM229" s="135"/>
      <c r="AN229" s="135"/>
      <c r="AO229" s="135"/>
      <c r="AP229" s="135"/>
      <c r="AQ229" s="135"/>
      <c r="AR229" s="135"/>
      <c r="AS229" s="135"/>
      <c r="AT229" s="135"/>
      <c r="AU229" s="135"/>
      <c r="AV229" s="135"/>
      <c r="AW229" s="135"/>
      <c r="AX229" s="135"/>
      <c r="AY229" s="135"/>
      <c r="AZ229" s="135"/>
      <c r="BA229" s="135"/>
      <c r="BB229" s="135"/>
      <c r="BC229" s="135"/>
      <c r="BD229" s="135"/>
      <c r="BE229" s="135"/>
      <c r="BF229" s="135"/>
      <c r="BG229" s="135"/>
      <c r="BH229" s="135"/>
      <c r="BI229" s="135"/>
      <c r="BJ229" s="135"/>
      <c r="BK229" s="135"/>
      <c r="BL229" s="135"/>
      <c r="BM229" s="135"/>
      <c r="BN229" s="135"/>
      <c r="BO229" s="135"/>
      <c r="BP229" s="135"/>
      <c r="BQ229" s="135"/>
      <c r="BR229" s="135"/>
      <c r="BS229" s="135"/>
      <c r="BT229" s="135"/>
    </row>
    <row r="230" spans="1:72" s="196" customFormat="1">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c r="X230" s="135"/>
      <c r="Y230" s="135"/>
      <c r="Z230" s="135"/>
      <c r="AA230" s="135"/>
      <c r="AB230" s="135"/>
      <c r="AC230" s="135"/>
      <c r="AD230" s="135"/>
      <c r="AE230" s="135"/>
      <c r="AF230" s="135"/>
      <c r="AG230" s="135"/>
      <c r="AH230" s="135"/>
      <c r="AI230" s="135"/>
      <c r="AJ230" s="135"/>
      <c r="AK230" s="135"/>
      <c r="AL230" s="135"/>
      <c r="AM230" s="135"/>
      <c r="AN230" s="135"/>
      <c r="AO230" s="135"/>
      <c r="AP230" s="135"/>
      <c r="AQ230" s="135"/>
      <c r="AR230" s="135"/>
      <c r="AS230" s="135"/>
      <c r="AT230" s="135"/>
      <c r="AU230" s="135"/>
      <c r="AV230" s="135"/>
      <c r="AW230" s="135"/>
      <c r="AX230" s="135"/>
      <c r="AY230" s="135"/>
      <c r="AZ230" s="135"/>
      <c r="BA230" s="135"/>
      <c r="BB230" s="135"/>
      <c r="BC230" s="135"/>
      <c r="BD230" s="135"/>
      <c r="BE230" s="135"/>
      <c r="BF230" s="135"/>
      <c r="BG230" s="135"/>
      <c r="BH230" s="135"/>
      <c r="BI230" s="135"/>
      <c r="BJ230" s="135"/>
      <c r="BK230" s="135"/>
      <c r="BL230" s="135"/>
      <c r="BM230" s="135"/>
      <c r="BN230" s="135"/>
      <c r="BO230" s="135"/>
      <c r="BP230" s="135"/>
      <c r="BQ230" s="135"/>
      <c r="BR230" s="135"/>
      <c r="BS230" s="135"/>
      <c r="BT230" s="135"/>
    </row>
    <row r="231" spans="1:72" s="196" customFormat="1">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c r="X231" s="135"/>
      <c r="Y231" s="135"/>
      <c r="Z231" s="135"/>
      <c r="AA231" s="135"/>
      <c r="AB231" s="135"/>
      <c r="AC231" s="135"/>
      <c r="AD231" s="135"/>
      <c r="AE231" s="135"/>
      <c r="AF231" s="135"/>
      <c r="AG231" s="135"/>
      <c r="AH231" s="135"/>
      <c r="AI231" s="135"/>
      <c r="AJ231" s="135"/>
      <c r="AK231" s="135"/>
      <c r="AL231" s="135"/>
      <c r="AM231" s="135"/>
      <c r="AN231" s="135"/>
      <c r="AO231" s="135"/>
      <c r="AP231" s="135"/>
      <c r="AQ231" s="135"/>
      <c r="AR231" s="135"/>
      <c r="AS231" s="135"/>
      <c r="AT231" s="135"/>
      <c r="AU231" s="135"/>
      <c r="AV231" s="135"/>
      <c r="AW231" s="135"/>
      <c r="AX231" s="135"/>
      <c r="AY231" s="135"/>
      <c r="AZ231" s="135"/>
      <c r="BA231" s="135"/>
      <c r="BB231" s="135"/>
      <c r="BC231" s="135"/>
      <c r="BD231" s="135"/>
      <c r="BE231" s="135"/>
      <c r="BF231" s="135"/>
      <c r="BG231" s="135"/>
      <c r="BH231" s="135"/>
      <c r="BI231" s="135"/>
      <c r="BJ231" s="135"/>
      <c r="BK231" s="135"/>
      <c r="BL231" s="135"/>
      <c r="BM231" s="135"/>
      <c r="BN231" s="135"/>
      <c r="BO231" s="135"/>
      <c r="BP231" s="135"/>
      <c r="BQ231" s="135"/>
      <c r="BR231" s="135"/>
      <c r="BS231" s="135"/>
      <c r="BT231" s="135"/>
    </row>
    <row r="232" spans="1:72" s="196" customFormat="1">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c r="X232" s="135"/>
      <c r="Y232" s="135"/>
      <c r="Z232" s="135"/>
      <c r="AA232" s="135"/>
      <c r="AB232" s="135"/>
      <c r="AC232" s="135"/>
      <c r="AD232" s="135"/>
      <c r="AE232" s="135"/>
      <c r="AF232" s="135"/>
      <c r="AG232" s="135"/>
      <c r="AH232" s="135"/>
      <c r="AI232" s="135"/>
      <c r="AJ232" s="135"/>
      <c r="AK232" s="135"/>
      <c r="AL232" s="135"/>
      <c r="AM232" s="135"/>
      <c r="AN232" s="135"/>
      <c r="AO232" s="135"/>
      <c r="AP232" s="135"/>
      <c r="AQ232" s="135"/>
      <c r="AR232" s="135"/>
      <c r="AS232" s="135"/>
      <c r="AT232" s="135"/>
      <c r="AU232" s="135"/>
      <c r="AV232" s="135"/>
      <c r="AW232" s="135"/>
      <c r="AX232" s="135"/>
      <c r="AY232" s="135"/>
      <c r="AZ232" s="135"/>
      <c r="BA232" s="135"/>
      <c r="BB232" s="135"/>
      <c r="BC232" s="135"/>
      <c r="BD232" s="135"/>
      <c r="BE232" s="135"/>
      <c r="BF232" s="135"/>
      <c r="BG232" s="135"/>
      <c r="BH232" s="135"/>
      <c r="BI232" s="135"/>
      <c r="BJ232" s="135"/>
      <c r="BK232" s="135"/>
      <c r="BL232" s="135"/>
      <c r="BM232" s="135"/>
      <c r="BN232" s="135"/>
      <c r="BO232" s="135"/>
      <c r="BP232" s="135"/>
      <c r="BQ232" s="135"/>
      <c r="BR232" s="135"/>
      <c r="BS232" s="135"/>
      <c r="BT232" s="135"/>
    </row>
    <row r="233" spans="1:72" s="196" customFormat="1">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c r="AA233" s="135"/>
      <c r="AB233" s="135"/>
      <c r="AC233" s="135"/>
      <c r="AD233" s="135"/>
      <c r="AE233" s="135"/>
      <c r="AF233" s="135"/>
      <c r="AG233" s="135"/>
      <c r="AH233" s="135"/>
      <c r="AI233" s="135"/>
      <c r="AJ233" s="135"/>
      <c r="AK233" s="135"/>
      <c r="AL233" s="135"/>
      <c r="AM233" s="135"/>
      <c r="AN233" s="135"/>
      <c r="AO233" s="135"/>
      <c r="AP233" s="135"/>
      <c r="AQ233" s="135"/>
      <c r="AR233" s="135"/>
      <c r="AS233" s="135"/>
      <c r="AT233" s="135"/>
      <c r="AU233" s="135"/>
      <c r="AV233" s="135"/>
      <c r="AW233" s="135"/>
      <c r="AX233" s="135"/>
      <c r="AY233" s="135"/>
      <c r="AZ233" s="135"/>
      <c r="BA233" s="135"/>
      <c r="BB233" s="135"/>
      <c r="BC233" s="135"/>
      <c r="BD233" s="135"/>
      <c r="BE233" s="135"/>
      <c r="BF233" s="135"/>
      <c r="BG233" s="135"/>
      <c r="BH233" s="135"/>
      <c r="BI233" s="135"/>
      <c r="BJ233" s="135"/>
      <c r="BK233" s="135"/>
      <c r="BL233" s="135"/>
      <c r="BM233" s="135"/>
      <c r="BN233" s="135"/>
      <c r="BO233" s="135"/>
      <c r="BP233" s="135"/>
      <c r="BQ233" s="135"/>
      <c r="BR233" s="135"/>
      <c r="BS233" s="135"/>
      <c r="BT233" s="135"/>
    </row>
    <row r="234" spans="1:72" s="196" customFormat="1">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c r="X234" s="135"/>
      <c r="Y234" s="135"/>
      <c r="Z234" s="135"/>
      <c r="AA234" s="135"/>
      <c r="AB234" s="135"/>
      <c r="AC234" s="135"/>
      <c r="AD234" s="135"/>
      <c r="AE234" s="135"/>
      <c r="AF234" s="135"/>
      <c r="AG234" s="135"/>
      <c r="AH234" s="135"/>
      <c r="AI234" s="135"/>
      <c r="AJ234" s="135"/>
      <c r="AK234" s="135"/>
      <c r="AL234" s="135"/>
      <c r="AM234" s="135"/>
      <c r="AN234" s="135"/>
      <c r="AO234" s="135"/>
      <c r="AP234" s="135"/>
      <c r="AQ234" s="135"/>
      <c r="AR234" s="135"/>
      <c r="AS234" s="135"/>
      <c r="AT234" s="135"/>
      <c r="AU234" s="135"/>
      <c r="AV234" s="135"/>
      <c r="AW234" s="135"/>
      <c r="AX234" s="135"/>
      <c r="AY234" s="135"/>
      <c r="AZ234" s="135"/>
      <c r="BA234" s="135"/>
      <c r="BB234" s="135"/>
      <c r="BC234" s="135"/>
      <c r="BD234" s="135"/>
      <c r="BE234" s="135"/>
      <c r="BF234" s="135"/>
      <c r="BG234" s="135"/>
      <c r="BH234" s="135"/>
      <c r="BI234" s="135"/>
      <c r="BJ234" s="135"/>
      <c r="BK234" s="135"/>
      <c r="BL234" s="135"/>
      <c r="BM234" s="135"/>
      <c r="BN234" s="135"/>
      <c r="BO234" s="135"/>
      <c r="BP234" s="135"/>
      <c r="BQ234" s="135"/>
      <c r="BR234" s="135"/>
      <c r="BS234" s="135"/>
      <c r="BT234" s="135"/>
    </row>
    <row r="235" spans="1:72" s="196" customFormat="1">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c r="X235" s="135"/>
      <c r="Y235" s="135"/>
      <c r="Z235" s="135"/>
      <c r="AA235" s="135"/>
      <c r="AB235" s="135"/>
      <c r="AC235" s="135"/>
      <c r="AD235" s="135"/>
      <c r="AE235" s="135"/>
      <c r="AF235" s="135"/>
      <c r="AG235" s="135"/>
      <c r="AH235" s="135"/>
      <c r="AI235" s="135"/>
      <c r="AJ235" s="135"/>
      <c r="AK235" s="135"/>
      <c r="AL235" s="135"/>
      <c r="AM235" s="135"/>
      <c r="AN235" s="135"/>
      <c r="AO235" s="135"/>
      <c r="AP235" s="135"/>
      <c r="AQ235" s="135"/>
      <c r="AR235" s="135"/>
      <c r="AS235" s="135"/>
      <c r="AT235" s="135"/>
      <c r="AU235" s="135"/>
      <c r="AV235" s="135"/>
      <c r="AW235" s="135"/>
      <c r="AX235" s="135"/>
      <c r="AY235" s="135"/>
      <c r="AZ235" s="135"/>
      <c r="BA235" s="135"/>
      <c r="BB235" s="135"/>
      <c r="BC235" s="135"/>
      <c r="BD235" s="135"/>
      <c r="BE235" s="135"/>
      <c r="BF235" s="135"/>
      <c r="BG235" s="135"/>
      <c r="BH235" s="135"/>
      <c r="BI235" s="135"/>
      <c r="BJ235" s="135"/>
      <c r="BK235" s="135"/>
      <c r="BL235" s="135"/>
      <c r="BM235" s="135"/>
      <c r="BN235" s="135"/>
      <c r="BO235" s="135"/>
      <c r="BP235" s="135"/>
      <c r="BQ235" s="135"/>
      <c r="BR235" s="135"/>
      <c r="BS235" s="135"/>
      <c r="BT235" s="135"/>
    </row>
    <row r="236" spans="1:72" s="196" customFormat="1">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c r="X236" s="135"/>
      <c r="Y236" s="135"/>
      <c r="Z236" s="135"/>
      <c r="AA236" s="135"/>
      <c r="AB236" s="135"/>
      <c r="AC236" s="135"/>
      <c r="AD236" s="135"/>
      <c r="AE236" s="135"/>
      <c r="AF236" s="135"/>
      <c r="AG236" s="135"/>
      <c r="AH236" s="135"/>
      <c r="AI236" s="135"/>
      <c r="AJ236" s="135"/>
      <c r="AK236" s="135"/>
      <c r="AL236" s="135"/>
      <c r="AM236" s="135"/>
      <c r="AN236" s="135"/>
      <c r="AO236" s="135"/>
      <c r="AP236" s="135"/>
      <c r="AQ236" s="135"/>
      <c r="AR236" s="135"/>
      <c r="AS236" s="135"/>
      <c r="AT236" s="135"/>
      <c r="AU236" s="135"/>
      <c r="AV236" s="135"/>
      <c r="AW236" s="135"/>
      <c r="AX236" s="135"/>
      <c r="AY236" s="135"/>
      <c r="AZ236" s="135"/>
      <c r="BA236" s="135"/>
      <c r="BB236" s="135"/>
      <c r="BC236" s="135"/>
      <c r="BD236" s="135"/>
      <c r="BE236" s="135"/>
      <c r="BF236" s="135"/>
      <c r="BG236" s="135"/>
      <c r="BH236" s="135"/>
      <c r="BI236" s="135"/>
      <c r="BJ236" s="135"/>
      <c r="BK236" s="135"/>
      <c r="BL236" s="135"/>
      <c r="BM236" s="135"/>
      <c r="BN236" s="135"/>
      <c r="BO236" s="135"/>
      <c r="BP236" s="135"/>
      <c r="BQ236" s="135"/>
      <c r="BR236" s="135"/>
      <c r="BS236" s="135"/>
      <c r="BT236" s="135"/>
    </row>
    <row r="237" spans="1:72" s="196" customFormat="1">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c r="X237" s="135"/>
      <c r="Y237" s="135"/>
      <c r="Z237" s="135"/>
      <c r="AA237" s="135"/>
      <c r="AB237" s="135"/>
      <c r="AC237" s="135"/>
      <c r="AD237" s="135"/>
      <c r="AE237" s="135"/>
      <c r="AF237" s="135"/>
      <c r="AG237" s="135"/>
      <c r="AH237" s="135"/>
      <c r="AI237" s="135"/>
      <c r="AJ237" s="135"/>
      <c r="AK237" s="135"/>
      <c r="AL237" s="135"/>
      <c r="AM237" s="135"/>
      <c r="AN237" s="135"/>
      <c r="AO237" s="135"/>
      <c r="AP237" s="135"/>
      <c r="AQ237" s="135"/>
      <c r="AR237" s="135"/>
      <c r="AS237" s="135"/>
      <c r="AT237" s="135"/>
      <c r="AU237" s="135"/>
      <c r="AV237" s="135"/>
      <c r="AW237" s="135"/>
      <c r="AX237" s="135"/>
      <c r="AY237" s="135"/>
      <c r="AZ237" s="135"/>
      <c r="BA237" s="135"/>
      <c r="BB237" s="135"/>
      <c r="BC237" s="135"/>
      <c r="BD237" s="135"/>
      <c r="BE237" s="135"/>
      <c r="BF237" s="135"/>
      <c r="BG237" s="135"/>
      <c r="BH237" s="135"/>
      <c r="BI237" s="135"/>
      <c r="BJ237" s="135"/>
      <c r="BK237" s="135"/>
      <c r="BL237" s="135"/>
      <c r="BM237" s="135"/>
      <c r="BN237" s="135"/>
      <c r="BO237" s="135"/>
      <c r="BP237" s="135"/>
      <c r="BQ237" s="135"/>
      <c r="BR237" s="135"/>
      <c r="BS237" s="135"/>
      <c r="BT237" s="135"/>
    </row>
    <row r="238" spans="1:72" s="196" customFormat="1">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c r="X238" s="135"/>
      <c r="Y238" s="135"/>
      <c r="Z238" s="135"/>
      <c r="AA238" s="135"/>
      <c r="AB238" s="135"/>
      <c r="AC238" s="135"/>
      <c r="AD238" s="135"/>
      <c r="AE238" s="135"/>
      <c r="AF238" s="135"/>
      <c r="AG238" s="135"/>
      <c r="AH238" s="135"/>
      <c r="AI238" s="135"/>
      <c r="AJ238" s="135"/>
      <c r="AK238" s="135"/>
      <c r="AL238" s="135"/>
      <c r="AM238" s="135"/>
      <c r="AN238" s="135"/>
      <c r="AO238" s="135"/>
      <c r="AP238" s="135"/>
      <c r="AQ238" s="135"/>
      <c r="AR238" s="135"/>
      <c r="AS238" s="135"/>
      <c r="AT238" s="135"/>
      <c r="AU238" s="135"/>
      <c r="AV238" s="135"/>
      <c r="AW238" s="135"/>
      <c r="AX238" s="135"/>
      <c r="AY238" s="135"/>
      <c r="AZ238" s="135"/>
      <c r="BA238" s="135"/>
      <c r="BB238" s="135"/>
      <c r="BC238" s="135"/>
      <c r="BD238" s="135"/>
      <c r="BE238" s="135"/>
      <c r="BF238" s="135"/>
      <c r="BG238" s="135"/>
      <c r="BH238" s="135"/>
      <c r="BI238" s="135"/>
      <c r="BJ238" s="135"/>
      <c r="BK238" s="135"/>
      <c r="BL238" s="135"/>
      <c r="BM238" s="135"/>
      <c r="BN238" s="135"/>
      <c r="BO238" s="135"/>
      <c r="BP238" s="135"/>
      <c r="BQ238" s="135"/>
      <c r="BR238" s="135"/>
      <c r="BS238" s="135"/>
      <c r="BT238" s="135"/>
    </row>
    <row r="239" spans="1:72" s="196" customFormat="1">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c r="X239" s="135"/>
      <c r="Y239" s="135"/>
      <c r="Z239" s="135"/>
      <c r="AA239" s="135"/>
      <c r="AB239" s="135"/>
      <c r="AC239" s="135"/>
      <c r="AD239" s="135"/>
      <c r="AE239" s="135"/>
      <c r="AF239" s="135"/>
      <c r="AG239" s="135"/>
      <c r="AH239" s="135"/>
      <c r="AI239" s="135"/>
      <c r="AJ239" s="135"/>
      <c r="AK239" s="135"/>
      <c r="AL239" s="135"/>
      <c r="AM239" s="135"/>
      <c r="AN239" s="135"/>
      <c r="AO239" s="135"/>
      <c r="AP239" s="135"/>
      <c r="AQ239" s="135"/>
      <c r="AR239" s="135"/>
      <c r="AS239" s="135"/>
      <c r="AT239" s="135"/>
      <c r="AU239" s="135"/>
      <c r="AV239" s="135"/>
      <c r="AW239" s="135"/>
      <c r="AX239" s="135"/>
      <c r="AY239" s="135"/>
      <c r="AZ239" s="135"/>
      <c r="BA239" s="135"/>
      <c r="BB239" s="135"/>
      <c r="BC239" s="135"/>
      <c r="BD239" s="135"/>
      <c r="BE239" s="135"/>
      <c r="BF239" s="135"/>
      <c r="BG239" s="135"/>
      <c r="BH239" s="135"/>
      <c r="BI239" s="135"/>
      <c r="BJ239" s="135"/>
      <c r="BK239" s="135"/>
      <c r="BL239" s="135"/>
      <c r="BM239" s="135"/>
      <c r="BN239" s="135"/>
      <c r="BO239" s="135"/>
      <c r="BP239" s="135"/>
      <c r="BQ239" s="135"/>
      <c r="BR239" s="135"/>
      <c r="BS239" s="135"/>
      <c r="BT239" s="135"/>
    </row>
    <row r="240" spans="1:72" s="196" customFormat="1">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c r="X240" s="135"/>
      <c r="Y240" s="135"/>
      <c r="Z240" s="135"/>
      <c r="AA240" s="135"/>
      <c r="AB240" s="135"/>
      <c r="AC240" s="135"/>
      <c r="AD240" s="135"/>
      <c r="AE240" s="135"/>
      <c r="AF240" s="135"/>
      <c r="AG240" s="135"/>
      <c r="AH240" s="135"/>
      <c r="AI240" s="135"/>
      <c r="AJ240" s="135"/>
      <c r="AK240" s="135"/>
      <c r="AL240" s="135"/>
      <c r="AM240" s="135"/>
      <c r="AN240" s="135"/>
      <c r="AO240" s="135"/>
      <c r="AP240" s="135"/>
      <c r="AQ240" s="135"/>
      <c r="AR240" s="135"/>
      <c r="AS240" s="135"/>
      <c r="AT240" s="135"/>
      <c r="AU240" s="135"/>
      <c r="AV240" s="135"/>
      <c r="AW240" s="135"/>
      <c r="AX240" s="135"/>
      <c r="AY240" s="135"/>
      <c r="AZ240" s="135"/>
      <c r="BA240" s="135"/>
      <c r="BB240" s="135"/>
      <c r="BC240" s="135"/>
      <c r="BD240" s="135"/>
      <c r="BE240" s="135"/>
      <c r="BF240" s="135"/>
      <c r="BG240" s="135"/>
      <c r="BH240" s="135"/>
      <c r="BI240" s="135"/>
      <c r="BJ240" s="135"/>
      <c r="BK240" s="135"/>
      <c r="BL240" s="135"/>
      <c r="BM240" s="135"/>
      <c r="BN240" s="135"/>
      <c r="BO240" s="135"/>
      <c r="BP240" s="135"/>
      <c r="BQ240" s="135"/>
      <c r="BR240" s="135"/>
      <c r="BS240" s="135"/>
      <c r="BT240" s="135"/>
    </row>
    <row r="241" spans="1:72" s="196" customFormat="1">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c r="X241" s="135"/>
      <c r="Y241" s="135"/>
      <c r="Z241" s="135"/>
      <c r="AA241" s="135"/>
      <c r="AB241" s="135"/>
      <c r="AC241" s="135"/>
      <c r="AD241" s="135"/>
      <c r="AE241" s="135"/>
      <c r="AF241" s="135"/>
      <c r="AG241" s="135"/>
      <c r="AH241" s="135"/>
      <c r="AI241" s="135"/>
      <c r="AJ241" s="135"/>
      <c r="AK241" s="135"/>
      <c r="AL241" s="135"/>
      <c r="AM241" s="135"/>
      <c r="AN241" s="135"/>
      <c r="AO241" s="135"/>
      <c r="AP241" s="135"/>
      <c r="AQ241" s="135"/>
      <c r="AR241" s="135"/>
      <c r="AS241" s="135"/>
      <c r="AT241" s="135"/>
      <c r="AU241" s="135"/>
      <c r="AV241" s="135"/>
      <c r="AW241" s="135"/>
      <c r="AX241" s="135"/>
      <c r="AY241" s="135"/>
      <c r="AZ241" s="135"/>
      <c r="BA241" s="135"/>
      <c r="BB241" s="135"/>
      <c r="BC241" s="135"/>
      <c r="BD241" s="135"/>
      <c r="BE241" s="135"/>
      <c r="BF241" s="135"/>
      <c r="BG241" s="135"/>
      <c r="BH241" s="135"/>
      <c r="BI241" s="135"/>
      <c r="BJ241" s="135"/>
      <c r="BK241" s="135"/>
      <c r="BL241" s="135"/>
      <c r="BM241" s="135"/>
      <c r="BN241" s="135"/>
      <c r="BO241" s="135"/>
      <c r="BP241" s="135"/>
      <c r="BQ241" s="135"/>
      <c r="BR241" s="135"/>
      <c r="BS241" s="135"/>
      <c r="BT241" s="135"/>
    </row>
    <row r="242" spans="1:72" s="196" customFormat="1">
      <c r="A242" s="135"/>
      <c r="B242" s="135"/>
      <c r="C242" s="135"/>
      <c r="D242" s="135"/>
      <c r="E242" s="135"/>
      <c r="F242" s="135"/>
      <c r="G242" s="135"/>
      <c r="H242" s="135"/>
      <c r="I242" s="135"/>
      <c r="J242" s="135"/>
      <c r="K242" s="135"/>
      <c r="L242" s="135"/>
      <c r="M242" s="135"/>
      <c r="N242" s="135"/>
      <c r="O242" s="135"/>
      <c r="P242" s="135"/>
      <c r="Q242" s="135"/>
      <c r="R242" s="135"/>
      <c r="S242" s="135"/>
      <c r="T242" s="135"/>
      <c r="U242" s="135"/>
      <c r="V242" s="135"/>
      <c r="W242" s="135"/>
      <c r="X242" s="135"/>
      <c r="Y242" s="135"/>
      <c r="Z242" s="135"/>
      <c r="AA242" s="135"/>
      <c r="AB242" s="135"/>
      <c r="AC242" s="135"/>
      <c r="AD242" s="135"/>
      <c r="AE242" s="135"/>
      <c r="AF242" s="135"/>
      <c r="AG242" s="135"/>
      <c r="AH242" s="135"/>
      <c r="AI242" s="135"/>
      <c r="AJ242" s="135"/>
      <c r="AK242" s="135"/>
      <c r="AL242" s="135"/>
      <c r="AM242" s="135"/>
      <c r="AN242" s="135"/>
      <c r="AO242" s="135"/>
      <c r="AP242" s="135"/>
      <c r="AQ242" s="135"/>
      <c r="AR242" s="135"/>
      <c r="AS242" s="135"/>
      <c r="AT242" s="135"/>
      <c r="AU242" s="135"/>
      <c r="AV242" s="135"/>
      <c r="AW242" s="135"/>
      <c r="AX242" s="135"/>
      <c r="AY242" s="135"/>
      <c r="AZ242" s="135"/>
      <c r="BA242" s="135"/>
      <c r="BB242" s="135"/>
      <c r="BC242" s="135"/>
      <c r="BD242" s="135"/>
      <c r="BE242" s="135"/>
      <c r="BF242" s="135"/>
      <c r="BG242" s="135"/>
      <c r="BH242" s="135"/>
      <c r="BI242" s="135"/>
      <c r="BJ242" s="135"/>
      <c r="BK242" s="135"/>
      <c r="BL242" s="135"/>
      <c r="BM242" s="135"/>
      <c r="BN242" s="135"/>
      <c r="BO242" s="135"/>
      <c r="BP242" s="135"/>
      <c r="BQ242" s="135"/>
      <c r="BR242" s="135"/>
      <c r="BS242" s="135"/>
      <c r="BT242" s="135"/>
    </row>
    <row r="243" spans="1:72" s="196" customFormat="1">
      <c r="A243" s="135"/>
      <c r="B243" s="135"/>
      <c r="C243" s="135"/>
      <c r="D243" s="135"/>
      <c r="E243" s="135"/>
      <c r="F243" s="135"/>
      <c r="G243" s="135"/>
      <c r="H243" s="135"/>
      <c r="I243" s="135"/>
      <c r="J243" s="135"/>
      <c r="K243" s="135"/>
      <c r="L243" s="135"/>
      <c r="M243" s="135"/>
      <c r="N243" s="135"/>
      <c r="O243" s="135"/>
      <c r="P243" s="135"/>
      <c r="Q243" s="135"/>
      <c r="R243" s="135"/>
      <c r="S243" s="135"/>
      <c r="T243" s="135"/>
      <c r="U243" s="135"/>
      <c r="V243" s="135"/>
      <c r="W243" s="135"/>
      <c r="X243" s="135"/>
      <c r="Y243" s="135"/>
      <c r="Z243" s="135"/>
      <c r="AA243" s="135"/>
      <c r="AB243" s="135"/>
      <c r="AC243" s="135"/>
      <c r="AD243" s="135"/>
      <c r="AE243" s="135"/>
      <c r="AF243" s="135"/>
      <c r="AG243" s="135"/>
      <c r="AH243" s="135"/>
      <c r="AI243" s="135"/>
      <c r="AJ243" s="135"/>
      <c r="AK243" s="135"/>
      <c r="AL243" s="135"/>
      <c r="AM243" s="135"/>
      <c r="AN243" s="135"/>
      <c r="AO243" s="135"/>
      <c r="AP243" s="135"/>
      <c r="AQ243" s="135"/>
      <c r="AR243" s="135"/>
      <c r="AS243" s="135"/>
      <c r="AT243" s="135"/>
      <c r="AU243" s="135"/>
      <c r="AV243" s="135"/>
      <c r="AW243" s="135"/>
      <c r="AX243" s="135"/>
      <c r="AY243" s="135"/>
      <c r="AZ243" s="135"/>
      <c r="BA243" s="135"/>
      <c r="BB243" s="135"/>
      <c r="BC243" s="135"/>
      <c r="BD243" s="135"/>
      <c r="BE243" s="135"/>
      <c r="BF243" s="135"/>
      <c r="BG243" s="135"/>
      <c r="BH243" s="135"/>
      <c r="BI243" s="135"/>
      <c r="BJ243" s="135"/>
      <c r="BK243" s="135"/>
      <c r="BL243" s="135"/>
      <c r="BM243" s="135"/>
      <c r="BN243" s="135"/>
      <c r="BO243" s="135"/>
      <c r="BP243" s="135"/>
      <c r="BQ243" s="135"/>
      <c r="BR243" s="135"/>
      <c r="BS243" s="135"/>
      <c r="BT243" s="135"/>
    </row>
    <row r="244" spans="1:72" s="196" customFormat="1">
      <c r="A244" s="135"/>
      <c r="B244" s="135"/>
      <c r="C244" s="135"/>
      <c r="D244" s="135"/>
      <c r="E244" s="135"/>
      <c r="F244" s="135"/>
      <c r="G244" s="135"/>
      <c r="H244" s="135"/>
      <c r="I244" s="135"/>
      <c r="J244" s="135"/>
      <c r="K244" s="135"/>
      <c r="L244" s="135"/>
      <c r="M244" s="135"/>
      <c r="N244" s="135"/>
      <c r="O244" s="135"/>
      <c r="P244" s="135"/>
      <c r="Q244" s="135"/>
      <c r="R244" s="135"/>
      <c r="S244" s="135"/>
      <c r="T244" s="135"/>
      <c r="U244" s="135"/>
      <c r="V244" s="135"/>
      <c r="W244" s="135"/>
      <c r="X244" s="135"/>
      <c r="Y244" s="135"/>
      <c r="Z244" s="135"/>
      <c r="AA244" s="135"/>
      <c r="AB244" s="135"/>
      <c r="AC244" s="135"/>
      <c r="AD244" s="135"/>
      <c r="AE244" s="135"/>
      <c r="AF244" s="135"/>
      <c r="AG244" s="135"/>
      <c r="AH244" s="135"/>
      <c r="AI244" s="135"/>
      <c r="AJ244" s="135"/>
      <c r="AK244" s="135"/>
      <c r="AL244" s="135"/>
      <c r="AM244" s="135"/>
      <c r="AN244" s="135"/>
      <c r="AO244" s="135"/>
      <c r="AP244" s="135"/>
      <c r="AQ244" s="135"/>
      <c r="AR244" s="135"/>
      <c r="AS244" s="135"/>
      <c r="AT244" s="135"/>
      <c r="AU244" s="135"/>
      <c r="AV244" s="135"/>
      <c r="AW244" s="135"/>
      <c r="AX244" s="135"/>
      <c r="AY244" s="135"/>
      <c r="AZ244" s="135"/>
      <c r="BA244" s="135"/>
      <c r="BB244" s="135"/>
      <c r="BC244" s="135"/>
      <c r="BD244" s="135"/>
      <c r="BE244" s="135"/>
      <c r="BF244" s="135"/>
      <c r="BG244" s="135"/>
      <c r="BH244" s="135"/>
      <c r="BI244" s="135"/>
      <c r="BJ244" s="135"/>
      <c r="BK244" s="135"/>
      <c r="BL244" s="135"/>
      <c r="BM244" s="135"/>
      <c r="BN244" s="135"/>
      <c r="BO244" s="135"/>
      <c r="BP244" s="135"/>
      <c r="BQ244" s="135"/>
      <c r="BR244" s="135"/>
      <c r="BS244" s="135"/>
      <c r="BT244" s="135"/>
    </row>
    <row r="245" spans="1:72" s="196" customFormat="1">
      <c r="A245" s="135"/>
      <c r="B245" s="135"/>
      <c r="C245" s="135"/>
      <c r="D245" s="135"/>
      <c r="E245" s="135"/>
      <c r="F245" s="135"/>
      <c r="G245" s="135"/>
      <c r="H245" s="135"/>
      <c r="I245" s="135"/>
      <c r="J245" s="135"/>
      <c r="K245" s="135"/>
      <c r="L245" s="135"/>
      <c r="M245" s="135"/>
      <c r="N245" s="135"/>
      <c r="O245" s="135"/>
      <c r="P245" s="135"/>
      <c r="Q245" s="135"/>
      <c r="R245" s="135"/>
      <c r="S245" s="135"/>
      <c r="T245" s="135"/>
      <c r="U245" s="135"/>
      <c r="V245" s="135"/>
      <c r="W245" s="135"/>
      <c r="X245" s="135"/>
      <c r="Y245" s="135"/>
      <c r="Z245" s="135"/>
      <c r="AA245" s="135"/>
      <c r="AB245" s="135"/>
      <c r="AC245" s="135"/>
      <c r="AD245" s="135"/>
      <c r="AE245" s="135"/>
      <c r="AF245" s="135"/>
      <c r="AG245" s="135"/>
      <c r="AH245" s="135"/>
      <c r="AI245" s="135"/>
      <c r="AJ245" s="135"/>
      <c r="AK245" s="135"/>
      <c r="AL245" s="135"/>
      <c r="AM245" s="135"/>
      <c r="AN245" s="135"/>
      <c r="AO245" s="135"/>
      <c r="AP245" s="135"/>
      <c r="AQ245" s="135"/>
      <c r="AR245" s="135"/>
      <c r="AS245" s="135"/>
      <c r="AT245" s="135"/>
      <c r="AU245" s="135"/>
      <c r="AV245" s="135"/>
      <c r="AW245" s="135"/>
      <c r="AX245" s="135"/>
      <c r="AY245" s="135"/>
      <c r="AZ245" s="135"/>
      <c r="BA245" s="135"/>
      <c r="BB245" s="135"/>
      <c r="BC245" s="135"/>
      <c r="BD245" s="135"/>
      <c r="BE245" s="135"/>
      <c r="BF245" s="135"/>
      <c r="BG245" s="135"/>
      <c r="BH245" s="135"/>
      <c r="BI245" s="135"/>
      <c r="BJ245" s="135"/>
      <c r="BK245" s="135"/>
      <c r="BL245" s="135"/>
      <c r="BM245" s="135"/>
      <c r="BN245" s="135"/>
      <c r="BO245" s="135"/>
      <c r="BP245" s="135"/>
      <c r="BQ245" s="135"/>
      <c r="BR245" s="135"/>
      <c r="BS245" s="135"/>
      <c r="BT245" s="135"/>
    </row>
    <row r="246" spans="1:72" s="196" customFormat="1">
      <c r="A246" s="135"/>
      <c r="B246" s="135"/>
      <c r="C246" s="135"/>
      <c r="D246" s="135"/>
      <c r="E246" s="135"/>
      <c r="F246" s="135"/>
      <c r="G246" s="135"/>
      <c r="H246" s="135"/>
      <c r="I246" s="135"/>
      <c r="J246" s="135"/>
      <c r="K246" s="135"/>
      <c r="L246" s="135"/>
      <c r="M246" s="135"/>
      <c r="N246" s="135"/>
      <c r="O246" s="135"/>
      <c r="P246" s="135"/>
      <c r="Q246" s="135"/>
      <c r="R246" s="135"/>
      <c r="S246" s="135"/>
      <c r="T246" s="135"/>
      <c r="U246" s="135"/>
      <c r="V246" s="135"/>
      <c r="W246" s="135"/>
      <c r="X246" s="135"/>
      <c r="Y246" s="135"/>
      <c r="Z246" s="135"/>
      <c r="AA246" s="135"/>
      <c r="AB246" s="135"/>
      <c r="AC246" s="135"/>
      <c r="AD246" s="135"/>
      <c r="AE246" s="135"/>
      <c r="AF246" s="135"/>
      <c r="AG246" s="135"/>
      <c r="AH246" s="135"/>
      <c r="AI246" s="135"/>
      <c r="AJ246" s="135"/>
      <c r="AK246" s="135"/>
      <c r="AL246" s="135"/>
      <c r="AM246" s="135"/>
      <c r="AN246" s="135"/>
      <c r="AO246" s="135"/>
      <c r="AP246" s="135"/>
      <c r="AQ246" s="135"/>
      <c r="AR246" s="135"/>
      <c r="AS246" s="135"/>
      <c r="AT246" s="135"/>
      <c r="AU246" s="135"/>
      <c r="AV246" s="135"/>
      <c r="AW246" s="135"/>
      <c r="AX246" s="135"/>
      <c r="AY246" s="135"/>
      <c r="AZ246" s="135"/>
      <c r="BA246" s="135"/>
      <c r="BB246" s="135"/>
      <c r="BC246" s="135"/>
      <c r="BD246" s="135"/>
      <c r="BE246" s="135"/>
      <c r="BF246" s="135"/>
      <c r="BG246" s="135"/>
      <c r="BH246" s="135"/>
      <c r="BI246" s="135"/>
      <c r="BJ246" s="135"/>
      <c r="BK246" s="135"/>
      <c r="BL246" s="135"/>
      <c r="BM246" s="135"/>
      <c r="BN246" s="135"/>
      <c r="BO246" s="135"/>
      <c r="BP246" s="135"/>
      <c r="BQ246" s="135"/>
      <c r="BR246" s="135"/>
      <c r="BS246" s="135"/>
      <c r="BT246" s="135"/>
    </row>
    <row r="247" spans="1:72" s="196" customFormat="1">
      <c r="A247" s="135"/>
      <c r="B247" s="135"/>
      <c r="C247" s="135"/>
      <c r="D247" s="135"/>
      <c r="E247" s="135"/>
      <c r="F247" s="135"/>
      <c r="G247" s="135"/>
      <c r="H247" s="135"/>
      <c r="I247" s="135"/>
      <c r="J247" s="135"/>
      <c r="K247" s="135"/>
      <c r="L247" s="135"/>
      <c r="M247" s="135"/>
      <c r="N247" s="135"/>
      <c r="O247" s="135"/>
      <c r="P247" s="135"/>
      <c r="Q247" s="135"/>
      <c r="R247" s="135"/>
      <c r="S247" s="135"/>
      <c r="T247" s="135"/>
      <c r="U247" s="135"/>
      <c r="V247" s="135"/>
      <c r="W247" s="135"/>
      <c r="X247" s="135"/>
      <c r="Y247" s="135"/>
      <c r="Z247" s="135"/>
      <c r="AA247" s="135"/>
      <c r="AB247" s="135"/>
      <c r="AC247" s="135"/>
      <c r="AD247" s="135"/>
      <c r="AE247" s="135"/>
      <c r="AF247" s="135"/>
      <c r="AG247" s="135"/>
      <c r="AH247" s="135"/>
      <c r="AI247" s="135"/>
      <c r="AJ247" s="135"/>
      <c r="AK247" s="135"/>
      <c r="AL247" s="135"/>
      <c r="AM247" s="135"/>
      <c r="AN247" s="135"/>
      <c r="AO247" s="135"/>
      <c r="AP247" s="135"/>
      <c r="AQ247" s="135"/>
      <c r="AR247" s="135"/>
      <c r="AS247" s="135"/>
      <c r="AT247" s="135"/>
      <c r="AU247" s="135"/>
      <c r="AV247" s="135"/>
      <c r="AW247" s="135"/>
      <c r="AX247" s="135"/>
      <c r="AY247" s="135"/>
      <c r="AZ247" s="135"/>
      <c r="BA247" s="135"/>
      <c r="BB247" s="135"/>
      <c r="BC247" s="135"/>
      <c r="BD247" s="135"/>
      <c r="BE247" s="135"/>
      <c r="BF247" s="135"/>
      <c r="BG247" s="135"/>
      <c r="BH247" s="135"/>
      <c r="BI247" s="135"/>
      <c r="BJ247" s="135"/>
      <c r="BK247" s="135"/>
      <c r="BL247" s="135"/>
      <c r="BM247" s="135"/>
      <c r="BN247" s="135"/>
      <c r="BO247" s="135"/>
      <c r="BP247" s="135"/>
      <c r="BQ247" s="135"/>
      <c r="BR247" s="135"/>
      <c r="BS247" s="135"/>
      <c r="BT247" s="135"/>
    </row>
    <row r="248" spans="1:72" s="196" customFormat="1">
      <c r="A248" s="135"/>
      <c r="B248" s="135"/>
      <c r="C248" s="135"/>
      <c r="D248" s="135"/>
      <c r="E248" s="135"/>
      <c r="F248" s="135"/>
      <c r="G248" s="135"/>
      <c r="H248" s="135"/>
      <c r="I248" s="135"/>
      <c r="J248" s="135"/>
      <c r="K248" s="135"/>
      <c r="L248" s="135"/>
      <c r="M248" s="135"/>
      <c r="N248" s="135"/>
      <c r="O248" s="135"/>
      <c r="P248" s="135"/>
      <c r="Q248" s="135"/>
      <c r="R248" s="135"/>
      <c r="S248" s="135"/>
      <c r="T248" s="135"/>
      <c r="U248" s="135"/>
      <c r="V248" s="135"/>
      <c r="W248" s="135"/>
      <c r="X248" s="135"/>
      <c r="Y248" s="135"/>
      <c r="Z248" s="135"/>
      <c r="AA248" s="135"/>
      <c r="AB248" s="135"/>
      <c r="AC248" s="135"/>
      <c r="AD248" s="135"/>
      <c r="AE248" s="135"/>
      <c r="AF248" s="135"/>
      <c r="AG248" s="135"/>
      <c r="AH248" s="135"/>
      <c r="AI248" s="135"/>
      <c r="AJ248" s="135"/>
      <c r="AK248" s="135"/>
      <c r="AL248" s="135"/>
      <c r="AM248" s="135"/>
      <c r="AN248" s="135"/>
      <c r="AO248" s="135"/>
      <c r="AP248" s="135"/>
      <c r="AQ248" s="135"/>
      <c r="AR248" s="135"/>
      <c r="AS248" s="135"/>
      <c r="AT248" s="135"/>
      <c r="AU248" s="135"/>
      <c r="AV248" s="135"/>
      <c r="AW248" s="135"/>
      <c r="AX248" s="135"/>
      <c r="AY248" s="135"/>
      <c r="AZ248" s="135"/>
      <c r="BA248" s="135"/>
      <c r="BB248" s="135"/>
      <c r="BC248" s="135"/>
      <c r="BD248" s="135"/>
      <c r="BE248" s="135"/>
      <c r="BF248" s="135"/>
      <c r="BG248" s="135"/>
      <c r="BH248" s="135"/>
      <c r="BI248" s="135"/>
      <c r="BJ248" s="135"/>
      <c r="BK248" s="135"/>
      <c r="BL248" s="135"/>
      <c r="BM248" s="135"/>
      <c r="BN248" s="135"/>
      <c r="BO248" s="135"/>
      <c r="BP248" s="135"/>
      <c r="BQ248" s="135"/>
      <c r="BR248" s="135"/>
      <c r="BS248" s="135"/>
      <c r="BT248" s="135"/>
    </row>
    <row r="249" spans="1:72" s="196" customFormat="1">
      <c r="A249" s="135"/>
      <c r="B249" s="135"/>
      <c r="C249" s="135"/>
      <c r="D249" s="135"/>
      <c r="E249" s="135"/>
      <c r="F249" s="135"/>
      <c r="G249" s="135"/>
      <c r="H249" s="135"/>
      <c r="I249" s="135"/>
      <c r="J249" s="135"/>
      <c r="K249" s="135"/>
      <c r="L249" s="135"/>
      <c r="M249" s="135"/>
      <c r="N249" s="135"/>
      <c r="O249" s="135"/>
      <c r="P249" s="135"/>
      <c r="Q249" s="135"/>
      <c r="R249" s="135"/>
      <c r="S249" s="135"/>
      <c r="T249" s="135"/>
      <c r="U249" s="135"/>
      <c r="V249" s="135"/>
      <c r="W249" s="135"/>
      <c r="X249" s="135"/>
      <c r="Y249" s="135"/>
      <c r="Z249" s="135"/>
      <c r="AA249" s="135"/>
      <c r="AB249" s="135"/>
      <c r="AC249" s="135"/>
      <c r="AD249" s="135"/>
      <c r="AE249" s="135"/>
      <c r="AF249" s="135"/>
      <c r="AG249" s="135"/>
      <c r="AH249" s="135"/>
      <c r="AI249" s="135"/>
      <c r="AJ249" s="135"/>
      <c r="AK249" s="135"/>
      <c r="AL249" s="135"/>
      <c r="AM249" s="135"/>
      <c r="AN249" s="135"/>
      <c r="AO249" s="135"/>
      <c r="AP249" s="135"/>
      <c r="AQ249" s="135"/>
      <c r="AR249" s="135"/>
      <c r="AS249" s="135"/>
      <c r="AT249" s="135"/>
      <c r="AU249" s="135"/>
      <c r="AV249" s="135"/>
      <c r="AW249" s="135"/>
      <c r="AX249" s="135"/>
      <c r="AY249" s="135"/>
      <c r="AZ249" s="135"/>
      <c r="BA249" s="135"/>
      <c r="BB249" s="135"/>
      <c r="BC249" s="135"/>
      <c r="BD249" s="135"/>
      <c r="BE249" s="135"/>
      <c r="BF249" s="135"/>
      <c r="BG249" s="135"/>
      <c r="BH249" s="135"/>
      <c r="BI249" s="135"/>
      <c r="BJ249" s="135"/>
      <c r="BK249" s="135"/>
      <c r="BL249" s="135"/>
      <c r="BM249" s="135"/>
      <c r="BN249" s="135"/>
      <c r="BO249" s="135"/>
      <c r="BP249" s="135"/>
      <c r="BQ249" s="135"/>
      <c r="BR249" s="135"/>
      <c r="BS249" s="135"/>
      <c r="BT249" s="135"/>
    </row>
    <row r="250" spans="1:72" s="196" customFormat="1">
      <c r="A250" s="135"/>
      <c r="B250" s="135"/>
      <c r="C250" s="135"/>
      <c r="D250" s="135"/>
      <c r="E250" s="135"/>
      <c r="F250" s="135"/>
      <c r="G250" s="135"/>
      <c r="H250" s="135"/>
      <c r="I250" s="135"/>
      <c r="J250" s="135"/>
      <c r="K250" s="135"/>
      <c r="L250" s="135"/>
      <c r="M250" s="135"/>
      <c r="N250" s="135"/>
      <c r="O250" s="135"/>
      <c r="P250" s="135"/>
      <c r="Q250" s="135"/>
      <c r="R250" s="135"/>
      <c r="S250" s="135"/>
      <c r="T250" s="135"/>
      <c r="U250" s="135"/>
      <c r="V250" s="135"/>
      <c r="W250" s="135"/>
      <c r="X250" s="135"/>
      <c r="Y250" s="135"/>
      <c r="Z250" s="135"/>
      <c r="AA250" s="135"/>
      <c r="AB250" s="135"/>
      <c r="AC250" s="135"/>
      <c r="AD250" s="135"/>
      <c r="AE250" s="135"/>
      <c r="AF250" s="135"/>
      <c r="AG250" s="135"/>
      <c r="AH250" s="135"/>
      <c r="AI250" s="135"/>
      <c r="AJ250" s="135"/>
      <c r="AK250" s="135"/>
      <c r="AL250" s="135"/>
      <c r="AM250" s="135"/>
      <c r="AN250" s="135"/>
      <c r="AO250" s="135"/>
      <c r="AP250" s="135"/>
      <c r="AQ250" s="135"/>
      <c r="AR250" s="135"/>
      <c r="AS250" s="135"/>
      <c r="AT250" s="135"/>
      <c r="AU250" s="135"/>
      <c r="AV250" s="135"/>
      <c r="AW250" s="135"/>
      <c r="AX250" s="135"/>
      <c r="AY250" s="135"/>
      <c r="AZ250" s="135"/>
      <c r="BA250" s="135"/>
      <c r="BB250" s="135"/>
      <c r="BC250" s="135"/>
      <c r="BD250" s="135"/>
      <c r="BE250" s="135"/>
      <c r="BF250" s="135"/>
      <c r="BG250" s="135"/>
      <c r="BH250" s="135"/>
      <c r="BI250" s="135"/>
      <c r="BJ250" s="135"/>
      <c r="BK250" s="135"/>
      <c r="BL250" s="135"/>
      <c r="BM250" s="135"/>
      <c r="BN250" s="135"/>
      <c r="BO250" s="135"/>
      <c r="BP250" s="135"/>
      <c r="BQ250" s="135"/>
      <c r="BR250" s="135"/>
      <c r="BS250" s="135"/>
      <c r="BT250" s="135"/>
    </row>
    <row r="251" spans="1:72" s="196" customFormat="1">
      <c r="A251" s="135"/>
      <c r="B251" s="135"/>
      <c r="C251" s="135"/>
      <c r="D251" s="135"/>
      <c r="E251" s="135"/>
      <c r="F251" s="135"/>
      <c r="G251" s="135"/>
      <c r="H251" s="135"/>
      <c r="I251" s="135"/>
      <c r="J251" s="135"/>
      <c r="K251" s="135"/>
      <c r="L251" s="135"/>
      <c r="M251" s="135"/>
      <c r="N251" s="135"/>
      <c r="O251" s="135"/>
      <c r="P251" s="135"/>
      <c r="Q251" s="135"/>
      <c r="R251" s="135"/>
      <c r="S251" s="135"/>
      <c r="T251" s="135"/>
      <c r="U251" s="135"/>
      <c r="V251" s="135"/>
      <c r="W251" s="135"/>
      <c r="X251" s="135"/>
      <c r="Y251" s="135"/>
      <c r="Z251" s="135"/>
      <c r="AA251" s="135"/>
      <c r="AB251" s="135"/>
      <c r="AC251" s="135"/>
      <c r="AD251" s="135"/>
      <c r="AE251" s="135"/>
      <c r="AF251" s="135"/>
      <c r="AG251" s="135"/>
      <c r="AH251" s="135"/>
      <c r="AI251" s="135"/>
      <c r="AJ251" s="135"/>
      <c r="AK251" s="135"/>
      <c r="AL251" s="135"/>
      <c r="AM251" s="135"/>
      <c r="AN251" s="135"/>
      <c r="AO251" s="135"/>
      <c r="AP251" s="135"/>
      <c r="AQ251" s="135"/>
      <c r="AR251" s="135"/>
      <c r="AS251" s="135"/>
      <c r="AT251" s="135"/>
      <c r="AU251" s="135"/>
      <c r="AV251" s="135"/>
      <c r="AW251" s="135"/>
      <c r="AX251" s="135"/>
      <c r="AY251" s="135"/>
      <c r="AZ251" s="135"/>
      <c r="BA251" s="135"/>
      <c r="BB251" s="135"/>
      <c r="BC251" s="135"/>
      <c r="BD251" s="135"/>
      <c r="BE251" s="135"/>
      <c r="BF251" s="135"/>
      <c r="BG251" s="135"/>
      <c r="BH251" s="135"/>
      <c r="BI251" s="135"/>
      <c r="BJ251" s="135"/>
      <c r="BK251" s="135"/>
      <c r="BL251" s="135"/>
      <c r="BM251" s="135"/>
      <c r="BN251" s="135"/>
      <c r="BO251" s="135"/>
      <c r="BP251" s="135"/>
      <c r="BQ251" s="135"/>
      <c r="BR251" s="135"/>
      <c r="BS251" s="135"/>
      <c r="BT251" s="135"/>
    </row>
    <row r="252" spans="1:72" s="196" customFormat="1">
      <c r="A252" s="135"/>
      <c r="B252" s="135"/>
      <c r="C252" s="135"/>
      <c r="D252" s="135"/>
      <c r="E252" s="135"/>
      <c r="F252" s="135"/>
      <c r="G252" s="135"/>
      <c r="H252" s="135"/>
      <c r="I252" s="135"/>
      <c r="J252" s="135"/>
      <c r="K252" s="135"/>
      <c r="L252" s="135"/>
      <c r="M252" s="135"/>
      <c r="N252" s="135"/>
      <c r="O252" s="135"/>
      <c r="P252" s="135"/>
      <c r="Q252" s="135"/>
      <c r="R252" s="135"/>
      <c r="S252" s="135"/>
      <c r="T252" s="135"/>
      <c r="U252" s="135"/>
      <c r="V252" s="135"/>
      <c r="W252" s="135"/>
      <c r="X252" s="135"/>
      <c r="Y252" s="135"/>
      <c r="Z252" s="135"/>
      <c r="AA252" s="135"/>
      <c r="AB252" s="135"/>
      <c r="AC252" s="135"/>
      <c r="AD252" s="135"/>
      <c r="AE252" s="135"/>
      <c r="AF252" s="135"/>
      <c r="AG252" s="135"/>
      <c r="AH252" s="135"/>
      <c r="AI252" s="135"/>
      <c r="AJ252" s="135"/>
      <c r="AK252" s="135"/>
      <c r="AL252" s="135"/>
      <c r="AM252" s="135"/>
      <c r="AN252" s="135"/>
      <c r="AO252" s="135"/>
      <c r="AP252" s="135"/>
      <c r="AQ252" s="135"/>
      <c r="AR252" s="135"/>
      <c r="AS252" s="135"/>
      <c r="AT252" s="135"/>
      <c r="AU252" s="135"/>
      <c r="AV252" s="135"/>
      <c r="AW252" s="135"/>
      <c r="AX252" s="135"/>
      <c r="AY252" s="135"/>
      <c r="AZ252" s="135"/>
      <c r="BA252" s="135"/>
      <c r="BB252" s="135"/>
      <c r="BC252" s="135"/>
      <c r="BD252" s="135"/>
      <c r="BE252" s="135"/>
      <c r="BF252" s="135"/>
      <c r="BG252" s="135"/>
      <c r="BH252" s="135"/>
      <c r="BI252" s="135"/>
      <c r="BJ252" s="135"/>
      <c r="BK252" s="135"/>
      <c r="BL252" s="135"/>
      <c r="BM252" s="135"/>
      <c r="BN252" s="135"/>
      <c r="BO252" s="135"/>
      <c r="BP252" s="135"/>
      <c r="BQ252" s="135"/>
      <c r="BR252" s="135"/>
      <c r="BS252" s="135"/>
      <c r="BT252" s="135"/>
    </row>
    <row r="253" spans="1:72" s="196" customFormat="1">
      <c r="A253" s="135"/>
      <c r="B253" s="135"/>
      <c r="C253" s="135"/>
      <c r="D253" s="135"/>
      <c r="E253" s="135"/>
      <c r="F253" s="135"/>
      <c r="G253" s="135"/>
      <c r="H253" s="135"/>
      <c r="I253" s="135"/>
      <c r="J253" s="135"/>
      <c r="K253" s="135"/>
      <c r="L253" s="135"/>
      <c r="M253" s="135"/>
      <c r="N253" s="135"/>
      <c r="O253" s="135"/>
      <c r="P253" s="135"/>
      <c r="Q253" s="135"/>
      <c r="R253" s="135"/>
      <c r="S253" s="135"/>
      <c r="T253" s="135"/>
      <c r="U253" s="135"/>
      <c r="V253" s="135"/>
      <c r="W253" s="135"/>
      <c r="X253" s="135"/>
      <c r="Y253" s="135"/>
      <c r="Z253" s="135"/>
      <c r="AA253" s="135"/>
      <c r="AB253" s="135"/>
      <c r="AC253" s="135"/>
      <c r="AD253" s="135"/>
      <c r="AE253" s="135"/>
      <c r="AF253" s="135"/>
      <c r="AG253" s="135"/>
      <c r="AH253" s="135"/>
      <c r="AI253" s="135"/>
      <c r="AJ253" s="135"/>
      <c r="AK253" s="135"/>
      <c r="AL253" s="135"/>
      <c r="AM253" s="135"/>
      <c r="AN253" s="135"/>
      <c r="AO253" s="135"/>
      <c r="AP253" s="135"/>
      <c r="AQ253" s="135"/>
      <c r="AR253" s="135"/>
      <c r="AS253" s="135"/>
      <c r="AT253" s="135"/>
      <c r="AU253" s="135"/>
      <c r="AV253" s="135"/>
      <c r="AW253" s="135"/>
      <c r="AX253" s="135"/>
      <c r="AY253" s="135"/>
      <c r="AZ253" s="135"/>
      <c r="BA253" s="135"/>
      <c r="BB253" s="135"/>
      <c r="BC253" s="135"/>
      <c r="BD253" s="135"/>
      <c r="BE253" s="135"/>
      <c r="BF253" s="135"/>
      <c r="BG253" s="135"/>
      <c r="BH253" s="135"/>
      <c r="BI253" s="135"/>
      <c r="BJ253" s="135"/>
      <c r="BK253" s="135"/>
      <c r="BL253" s="135"/>
      <c r="BM253" s="135"/>
      <c r="BN253" s="135"/>
      <c r="BO253" s="135"/>
      <c r="BP253" s="135"/>
      <c r="BQ253" s="135"/>
      <c r="BR253" s="135"/>
      <c r="BS253" s="135"/>
      <c r="BT253" s="135"/>
    </row>
    <row r="254" spans="1:72" s="196" customFormat="1">
      <c r="A254" s="135"/>
      <c r="B254" s="135"/>
      <c r="C254" s="135"/>
      <c r="D254" s="135"/>
      <c r="E254" s="135"/>
      <c r="F254" s="135"/>
      <c r="G254" s="135"/>
      <c r="H254" s="135"/>
      <c r="I254" s="135"/>
      <c r="J254" s="135"/>
      <c r="K254" s="135"/>
      <c r="L254" s="135"/>
      <c r="M254" s="135"/>
      <c r="N254" s="135"/>
      <c r="O254" s="135"/>
      <c r="P254" s="135"/>
      <c r="Q254" s="135"/>
      <c r="R254" s="135"/>
      <c r="S254" s="135"/>
      <c r="T254" s="135"/>
      <c r="U254" s="135"/>
      <c r="V254" s="135"/>
      <c r="W254" s="135"/>
      <c r="X254" s="135"/>
      <c r="Y254" s="135"/>
      <c r="Z254" s="135"/>
      <c r="AA254" s="135"/>
      <c r="AB254" s="135"/>
      <c r="AC254" s="135"/>
      <c r="AD254" s="135"/>
      <c r="AE254" s="135"/>
      <c r="AF254" s="135"/>
      <c r="AG254" s="135"/>
      <c r="AH254" s="135"/>
      <c r="AI254" s="135"/>
      <c r="AJ254" s="135"/>
      <c r="AK254" s="135"/>
      <c r="AL254" s="135"/>
      <c r="AM254" s="135"/>
      <c r="AN254" s="135"/>
      <c r="AO254" s="135"/>
      <c r="AP254" s="135"/>
      <c r="AQ254" s="135"/>
      <c r="AR254" s="135"/>
      <c r="AS254" s="135"/>
      <c r="AT254" s="135"/>
      <c r="AU254" s="135"/>
      <c r="AV254" s="135"/>
      <c r="AW254" s="135"/>
      <c r="AX254" s="135"/>
      <c r="AY254" s="135"/>
      <c r="AZ254" s="135"/>
      <c r="BA254" s="135"/>
      <c r="BB254" s="135"/>
      <c r="BC254" s="135"/>
      <c r="BD254" s="135"/>
      <c r="BE254" s="135"/>
      <c r="BF254" s="135"/>
      <c r="BG254" s="135"/>
      <c r="BH254" s="135"/>
      <c r="BI254" s="135"/>
      <c r="BJ254" s="135"/>
      <c r="BK254" s="135"/>
      <c r="BL254" s="135"/>
      <c r="BM254" s="135"/>
      <c r="BN254" s="135"/>
      <c r="BO254" s="135"/>
      <c r="BP254" s="135"/>
      <c r="BQ254" s="135"/>
      <c r="BR254" s="135"/>
      <c r="BS254" s="135"/>
      <c r="BT254" s="135"/>
    </row>
    <row r="255" spans="1:72" s="196" customFormat="1">
      <c r="A255" s="135"/>
      <c r="B255" s="135"/>
      <c r="C255" s="135"/>
      <c r="D255" s="135"/>
      <c r="E255" s="135"/>
      <c r="F255" s="135"/>
      <c r="G255" s="135"/>
      <c r="H255" s="135"/>
      <c r="I255" s="135"/>
      <c r="J255" s="135"/>
      <c r="K255" s="135"/>
      <c r="L255" s="135"/>
      <c r="M255" s="135"/>
      <c r="N255" s="135"/>
      <c r="O255" s="135"/>
      <c r="P255" s="135"/>
      <c r="Q255" s="135"/>
      <c r="R255" s="135"/>
      <c r="S255" s="135"/>
      <c r="T255" s="135"/>
      <c r="U255" s="135"/>
      <c r="V255" s="135"/>
      <c r="W255" s="135"/>
      <c r="X255" s="135"/>
      <c r="Y255" s="135"/>
      <c r="Z255" s="135"/>
      <c r="AA255" s="135"/>
      <c r="AB255" s="135"/>
      <c r="AC255" s="135"/>
      <c r="AD255" s="135"/>
      <c r="AE255" s="135"/>
      <c r="AF255" s="135"/>
      <c r="AG255" s="135"/>
      <c r="AH255" s="135"/>
      <c r="AI255" s="135"/>
      <c r="AJ255" s="135"/>
      <c r="AK255" s="135"/>
      <c r="AL255" s="135"/>
      <c r="AM255" s="135"/>
      <c r="AN255" s="135"/>
      <c r="AO255" s="135"/>
      <c r="AP255" s="135"/>
      <c r="AQ255" s="135"/>
      <c r="AR255" s="135"/>
      <c r="AS255" s="135"/>
      <c r="AT255" s="135"/>
      <c r="AU255" s="135"/>
      <c r="AV255" s="135"/>
      <c r="AW255" s="135"/>
      <c r="AX255" s="135"/>
      <c r="AY255" s="135"/>
      <c r="AZ255" s="135"/>
      <c r="BA255" s="135"/>
      <c r="BB255" s="135"/>
      <c r="BC255" s="135"/>
      <c r="BD255" s="135"/>
      <c r="BE255" s="135"/>
      <c r="BF255" s="135"/>
      <c r="BG255" s="135"/>
      <c r="BH255" s="135"/>
      <c r="BI255" s="135"/>
      <c r="BJ255" s="135"/>
      <c r="BK255" s="135"/>
      <c r="BL255" s="135"/>
      <c r="BM255" s="135"/>
      <c r="BN255" s="135"/>
      <c r="BO255" s="135"/>
      <c r="BP255" s="135"/>
      <c r="BQ255" s="135"/>
      <c r="BR255" s="135"/>
      <c r="BS255" s="135"/>
      <c r="BT255" s="135"/>
    </row>
    <row r="256" spans="1:72" s="196" customFormat="1">
      <c r="A256" s="135"/>
      <c r="B256" s="135"/>
      <c r="C256" s="135"/>
      <c r="D256" s="135"/>
      <c r="E256" s="135"/>
      <c r="F256" s="135"/>
      <c r="G256" s="135"/>
      <c r="H256" s="135"/>
      <c r="I256" s="135"/>
      <c r="J256" s="135"/>
      <c r="K256" s="135"/>
      <c r="L256" s="135"/>
      <c r="M256" s="135"/>
      <c r="N256" s="135"/>
      <c r="O256" s="135"/>
      <c r="P256" s="135"/>
      <c r="Q256" s="135"/>
      <c r="R256" s="135"/>
      <c r="S256" s="135"/>
      <c r="T256" s="135"/>
      <c r="U256" s="135"/>
      <c r="V256" s="135"/>
      <c r="W256" s="135"/>
      <c r="X256" s="135"/>
      <c r="Y256" s="135"/>
      <c r="Z256" s="135"/>
      <c r="AA256" s="135"/>
      <c r="AB256" s="135"/>
      <c r="AC256" s="135"/>
      <c r="AD256" s="135"/>
      <c r="AE256" s="135"/>
      <c r="AF256" s="135"/>
      <c r="AG256" s="135"/>
      <c r="AH256" s="135"/>
      <c r="AI256" s="135"/>
      <c r="AJ256" s="135"/>
      <c r="AK256" s="135"/>
      <c r="AL256" s="135"/>
      <c r="AM256" s="135"/>
      <c r="AN256" s="135"/>
      <c r="AO256" s="135"/>
      <c r="AP256" s="135"/>
      <c r="AQ256" s="135"/>
      <c r="AR256" s="135"/>
      <c r="AS256" s="135"/>
      <c r="AT256" s="135"/>
      <c r="AU256" s="135"/>
      <c r="AV256" s="135"/>
      <c r="AW256" s="135"/>
      <c r="AX256" s="135"/>
      <c r="AY256" s="135"/>
      <c r="AZ256" s="135"/>
      <c r="BA256" s="135"/>
      <c r="BB256" s="135"/>
      <c r="BC256" s="135"/>
      <c r="BD256" s="135"/>
      <c r="BE256" s="135"/>
      <c r="BF256" s="135"/>
      <c r="BG256" s="135"/>
      <c r="BH256" s="135"/>
      <c r="BI256" s="135"/>
      <c r="BJ256" s="135"/>
      <c r="BK256" s="135"/>
      <c r="BL256" s="135"/>
      <c r="BM256" s="135"/>
      <c r="BN256" s="135"/>
      <c r="BO256" s="135"/>
      <c r="BP256" s="135"/>
      <c r="BQ256" s="135"/>
      <c r="BR256" s="135"/>
      <c r="BS256" s="135"/>
      <c r="BT256" s="135"/>
    </row>
    <row r="257" spans="1:72" s="196" customFormat="1">
      <c r="A257" s="135"/>
      <c r="B257" s="135"/>
      <c r="C257" s="135"/>
      <c r="D257" s="135"/>
      <c r="E257" s="135"/>
      <c r="F257" s="135"/>
      <c r="G257" s="135"/>
      <c r="H257" s="135"/>
      <c r="I257" s="135"/>
      <c r="J257" s="135"/>
      <c r="K257" s="135"/>
      <c r="L257" s="135"/>
      <c r="M257" s="135"/>
      <c r="N257" s="135"/>
      <c r="O257" s="135"/>
      <c r="P257" s="135"/>
      <c r="Q257" s="135"/>
      <c r="R257" s="135"/>
      <c r="S257" s="135"/>
      <c r="T257" s="135"/>
      <c r="U257" s="135"/>
      <c r="V257" s="135"/>
      <c r="W257" s="135"/>
      <c r="X257" s="135"/>
      <c r="Y257" s="135"/>
      <c r="Z257" s="135"/>
      <c r="AA257" s="135"/>
      <c r="AB257" s="135"/>
      <c r="AC257" s="135"/>
      <c r="AD257" s="135"/>
      <c r="AE257" s="135"/>
      <c r="AF257" s="135"/>
      <c r="AG257" s="135"/>
      <c r="AH257" s="135"/>
      <c r="AI257" s="135"/>
      <c r="AJ257" s="135"/>
      <c r="AK257" s="135"/>
      <c r="AL257" s="135"/>
      <c r="AM257" s="135"/>
      <c r="AN257" s="135"/>
      <c r="AO257" s="135"/>
      <c r="AP257" s="135"/>
      <c r="AQ257" s="135"/>
      <c r="AR257" s="135"/>
      <c r="AS257" s="135"/>
      <c r="AT257" s="135"/>
      <c r="AU257" s="135"/>
      <c r="AV257" s="135"/>
      <c r="AW257" s="135"/>
      <c r="AX257" s="135"/>
      <c r="AY257" s="135"/>
      <c r="AZ257" s="135"/>
      <c r="BA257" s="135"/>
      <c r="BB257" s="135"/>
      <c r="BC257" s="135"/>
      <c r="BD257" s="135"/>
      <c r="BE257" s="135"/>
      <c r="BF257" s="135"/>
      <c r="BG257" s="135"/>
      <c r="BH257" s="135"/>
      <c r="BI257" s="135"/>
      <c r="BJ257" s="135"/>
      <c r="BK257" s="135"/>
      <c r="BL257" s="135"/>
      <c r="BM257" s="135"/>
      <c r="BN257" s="135"/>
      <c r="BO257" s="135"/>
      <c r="BP257" s="135"/>
      <c r="BQ257" s="135"/>
      <c r="BR257" s="135"/>
      <c r="BS257" s="135"/>
      <c r="BT257" s="135"/>
    </row>
    <row r="258" spans="1:72" s="196" customFormat="1">
      <c r="A258" s="135"/>
      <c r="B258" s="135"/>
      <c r="C258" s="135"/>
      <c r="D258" s="135"/>
      <c r="E258" s="135"/>
      <c r="F258" s="135"/>
      <c r="G258" s="135"/>
      <c r="H258" s="135"/>
      <c r="I258" s="135"/>
      <c r="J258" s="135"/>
      <c r="K258" s="135"/>
      <c r="L258" s="135"/>
      <c r="M258" s="135"/>
      <c r="N258" s="135"/>
      <c r="O258" s="135"/>
      <c r="P258" s="135"/>
      <c r="Q258" s="135"/>
      <c r="R258" s="135"/>
      <c r="S258" s="135"/>
      <c r="T258" s="135"/>
      <c r="U258" s="135"/>
      <c r="V258" s="135"/>
      <c r="W258" s="135"/>
      <c r="X258" s="135"/>
      <c r="Y258" s="135"/>
      <c r="Z258" s="135"/>
      <c r="AA258" s="135"/>
      <c r="AB258" s="135"/>
      <c r="AC258" s="135"/>
      <c r="AD258" s="135"/>
      <c r="AE258" s="135"/>
      <c r="AF258" s="135"/>
      <c r="AG258" s="135"/>
      <c r="AH258" s="135"/>
      <c r="AI258" s="135"/>
      <c r="AJ258" s="135"/>
      <c r="AK258" s="135"/>
      <c r="AL258" s="135"/>
      <c r="AM258" s="135"/>
      <c r="AN258" s="135"/>
      <c r="AO258" s="135"/>
      <c r="AP258" s="135"/>
      <c r="AQ258" s="135"/>
      <c r="AR258" s="135"/>
      <c r="AS258" s="135"/>
      <c r="AT258" s="135"/>
      <c r="AU258" s="135"/>
      <c r="AV258" s="135"/>
      <c r="AW258" s="135"/>
      <c r="AX258" s="135"/>
      <c r="AY258" s="135"/>
      <c r="AZ258" s="135"/>
      <c r="BA258" s="135"/>
      <c r="BB258" s="135"/>
      <c r="BC258" s="135"/>
      <c r="BD258" s="135"/>
      <c r="BE258" s="135"/>
      <c r="BF258" s="135"/>
      <c r="BG258" s="135"/>
      <c r="BH258" s="135"/>
      <c r="BI258" s="135"/>
      <c r="BJ258" s="135"/>
      <c r="BK258" s="135"/>
      <c r="BL258" s="135"/>
      <c r="BM258" s="135"/>
      <c r="BN258" s="135"/>
      <c r="BO258" s="135"/>
      <c r="BP258" s="135"/>
      <c r="BQ258" s="135"/>
      <c r="BR258" s="135"/>
      <c r="BS258" s="135"/>
      <c r="BT258" s="135"/>
    </row>
    <row r="259" spans="1:72" s="196" customFormat="1">
      <c r="A259" s="135"/>
      <c r="B259" s="135"/>
      <c r="C259" s="135"/>
      <c r="D259" s="135"/>
      <c r="E259" s="135"/>
      <c r="F259" s="135"/>
      <c r="G259" s="135"/>
      <c r="H259" s="135"/>
      <c r="I259" s="135"/>
      <c r="J259" s="135"/>
      <c r="K259" s="135"/>
      <c r="L259" s="135"/>
      <c r="M259" s="135"/>
      <c r="N259" s="135"/>
      <c r="O259" s="135"/>
      <c r="P259" s="135"/>
      <c r="Q259" s="135"/>
      <c r="R259" s="135"/>
      <c r="S259" s="135"/>
      <c r="T259" s="135"/>
      <c r="U259" s="135"/>
      <c r="V259" s="135"/>
      <c r="W259" s="135"/>
      <c r="X259" s="135"/>
      <c r="Y259" s="135"/>
      <c r="Z259" s="135"/>
      <c r="AA259" s="135"/>
      <c r="AB259" s="135"/>
      <c r="AC259" s="135"/>
      <c r="AD259" s="135"/>
      <c r="AE259" s="135"/>
      <c r="AF259" s="135"/>
      <c r="AG259" s="135"/>
      <c r="AH259" s="135"/>
      <c r="AI259" s="135"/>
      <c r="AJ259" s="135"/>
      <c r="AK259" s="135"/>
      <c r="AL259" s="135"/>
      <c r="AM259" s="135"/>
      <c r="AN259" s="135"/>
      <c r="AO259" s="135"/>
      <c r="AP259" s="135"/>
      <c r="AQ259" s="135"/>
      <c r="AR259" s="135"/>
      <c r="AS259" s="135"/>
      <c r="AT259" s="135"/>
      <c r="AU259" s="135"/>
      <c r="AV259" s="135"/>
      <c r="AW259" s="135"/>
      <c r="AX259" s="135"/>
      <c r="AY259" s="135"/>
      <c r="AZ259" s="135"/>
      <c r="BA259" s="135"/>
      <c r="BB259" s="135"/>
      <c r="BC259" s="135"/>
      <c r="BD259" s="135"/>
      <c r="BE259" s="135"/>
      <c r="BF259" s="135"/>
      <c r="BG259" s="135"/>
      <c r="BH259" s="135"/>
      <c r="BI259" s="135"/>
      <c r="BJ259" s="135"/>
      <c r="BK259" s="135"/>
      <c r="BL259" s="135"/>
      <c r="BM259" s="135"/>
      <c r="BN259" s="135"/>
      <c r="BO259" s="135"/>
      <c r="BP259" s="135"/>
      <c r="BQ259" s="135"/>
      <c r="BR259" s="135"/>
      <c r="BS259" s="135"/>
      <c r="BT259" s="135"/>
    </row>
    <row r="260" spans="1:72" s="196" customFormat="1">
      <c r="A260" s="135"/>
      <c r="B260" s="135"/>
      <c r="C260" s="135"/>
      <c r="D260" s="135"/>
      <c r="E260" s="135"/>
      <c r="F260" s="135"/>
      <c r="G260" s="135"/>
      <c r="H260" s="135"/>
      <c r="I260" s="135"/>
      <c r="J260" s="135"/>
      <c r="K260" s="135"/>
      <c r="L260" s="135"/>
      <c r="M260" s="135"/>
      <c r="N260" s="135"/>
      <c r="O260" s="135"/>
      <c r="P260" s="135"/>
      <c r="Q260" s="135"/>
      <c r="R260" s="135"/>
      <c r="S260" s="135"/>
      <c r="T260" s="135"/>
      <c r="U260" s="135"/>
      <c r="V260" s="135"/>
      <c r="W260" s="135"/>
      <c r="X260" s="135"/>
      <c r="Y260" s="135"/>
      <c r="Z260" s="135"/>
      <c r="AA260" s="135"/>
      <c r="AB260" s="135"/>
      <c r="AC260" s="135"/>
      <c r="AD260" s="135"/>
      <c r="AE260" s="135"/>
      <c r="AF260" s="135"/>
      <c r="AG260" s="135"/>
      <c r="AH260" s="135"/>
      <c r="AI260" s="135"/>
      <c r="AJ260" s="135"/>
      <c r="AK260" s="135"/>
      <c r="AL260" s="135"/>
      <c r="AM260" s="135"/>
      <c r="AN260" s="135"/>
      <c r="AO260" s="135"/>
      <c r="AP260" s="135"/>
      <c r="AQ260" s="135"/>
      <c r="AR260" s="135"/>
      <c r="AS260" s="135"/>
      <c r="AT260" s="135"/>
      <c r="AU260" s="135"/>
      <c r="AV260" s="135"/>
      <c r="AW260" s="135"/>
      <c r="AX260" s="135"/>
      <c r="AY260" s="135"/>
      <c r="AZ260" s="135"/>
      <c r="BA260" s="135"/>
      <c r="BB260" s="135"/>
      <c r="BC260" s="135"/>
      <c r="BD260" s="135"/>
      <c r="BE260" s="135"/>
      <c r="BF260" s="135"/>
      <c r="BG260" s="135"/>
      <c r="BH260" s="135"/>
      <c r="BI260" s="135"/>
      <c r="BJ260" s="135"/>
      <c r="BK260" s="135"/>
      <c r="BL260" s="135"/>
      <c r="BM260" s="135"/>
      <c r="BN260" s="135"/>
      <c r="BO260" s="135"/>
      <c r="BP260" s="135"/>
      <c r="BQ260" s="135"/>
      <c r="BR260" s="135"/>
      <c r="BS260" s="135"/>
      <c r="BT260" s="135"/>
    </row>
    <row r="261" spans="1:72" s="196" customFormat="1">
      <c r="A261" s="135"/>
      <c r="B261" s="135"/>
      <c r="C261" s="135"/>
      <c r="D261" s="135"/>
      <c r="E261" s="135"/>
      <c r="F261" s="135"/>
      <c r="G261" s="135"/>
      <c r="H261" s="135"/>
      <c r="I261" s="135"/>
      <c r="J261" s="135"/>
      <c r="K261" s="135"/>
      <c r="L261" s="135"/>
      <c r="M261" s="135"/>
      <c r="N261" s="135"/>
      <c r="O261" s="135"/>
      <c r="P261" s="135"/>
      <c r="Q261" s="135"/>
      <c r="R261" s="135"/>
      <c r="S261" s="135"/>
      <c r="T261" s="135"/>
      <c r="U261" s="135"/>
      <c r="V261" s="135"/>
      <c r="W261" s="135"/>
      <c r="X261" s="135"/>
      <c r="Y261" s="135"/>
      <c r="Z261" s="135"/>
      <c r="AA261" s="135"/>
      <c r="AB261" s="135"/>
      <c r="AC261" s="135"/>
      <c r="AD261" s="135"/>
      <c r="AE261" s="135"/>
      <c r="AF261" s="135"/>
      <c r="AG261" s="135"/>
      <c r="AH261" s="135"/>
      <c r="AI261" s="135"/>
      <c r="AJ261" s="135"/>
      <c r="AK261" s="135"/>
      <c r="AL261" s="135"/>
      <c r="AM261" s="135"/>
      <c r="AN261" s="135"/>
      <c r="AO261" s="135"/>
      <c r="AP261" s="135"/>
      <c r="AQ261" s="135"/>
      <c r="AR261" s="135"/>
      <c r="AS261" s="135"/>
      <c r="AT261" s="135"/>
      <c r="AU261" s="135"/>
      <c r="AV261" s="135"/>
      <c r="AW261" s="135"/>
      <c r="AX261" s="135"/>
      <c r="AY261" s="135"/>
      <c r="AZ261" s="135"/>
      <c r="BA261" s="135"/>
      <c r="BB261" s="135"/>
      <c r="BC261" s="135"/>
      <c r="BD261" s="135"/>
      <c r="BE261" s="135"/>
      <c r="BF261" s="135"/>
      <c r="BG261" s="135"/>
      <c r="BH261" s="135"/>
      <c r="BI261" s="135"/>
      <c r="BJ261" s="135"/>
      <c r="BK261" s="135"/>
      <c r="BL261" s="135"/>
      <c r="BM261" s="135"/>
      <c r="BN261" s="135"/>
      <c r="BO261" s="135"/>
      <c r="BP261" s="135"/>
      <c r="BQ261" s="135"/>
      <c r="BR261" s="135"/>
      <c r="BS261" s="135"/>
      <c r="BT261" s="135"/>
    </row>
    <row r="262" spans="1:72" s="196" customFormat="1">
      <c r="A262" s="135"/>
      <c r="B262" s="135"/>
      <c r="C262" s="135"/>
      <c r="D262" s="135"/>
      <c r="E262" s="135"/>
      <c r="F262" s="135"/>
      <c r="G262" s="135"/>
      <c r="H262" s="135"/>
      <c r="I262" s="135"/>
      <c r="J262" s="135"/>
      <c r="K262" s="135"/>
      <c r="L262" s="135"/>
      <c r="M262" s="135"/>
      <c r="N262" s="135"/>
      <c r="O262" s="135"/>
      <c r="P262" s="135"/>
      <c r="Q262" s="135"/>
      <c r="R262" s="135"/>
      <c r="S262" s="135"/>
      <c r="T262" s="135"/>
      <c r="U262" s="135"/>
      <c r="V262" s="135"/>
      <c r="W262" s="135"/>
      <c r="X262" s="135"/>
      <c r="Y262" s="135"/>
      <c r="Z262" s="135"/>
      <c r="AA262" s="135"/>
      <c r="AB262" s="135"/>
      <c r="AC262" s="135"/>
      <c r="AD262" s="135"/>
      <c r="AE262" s="135"/>
      <c r="AF262" s="135"/>
      <c r="AG262" s="135"/>
      <c r="AH262" s="135"/>
      <c r="AI262" s="135"/>
      <c r="AJ262" s="135"/>
      <c r="AK262" s="135"/>
      <c r="AL262" s="135"/>
      <c r="AM262" s="135"/>
      <c r="AN262" s="135"/>
      <c r="AO262" s="135"/>
      <c r="AP262" s="135"/>
      <c r="AQ262" s="135"/>
      <c r="AR262" s="135"/>
      <c r="AS262" s="135"/>
      <c r="AT262" s="135"/>
      <c r="AU262" s="135"/>
      <c r="AV262" s="135"/>
      <c r="AW262" s="135"/>
      <c r="AX262" s="135"/>
      <c r="AY262" s="135"/>
      <c r="AZ262" s="135"/>
      <c r="BA262" s="135"/>
      <c r="BB262" s="135"/>
      <c r="BC262" s="135"/>
      <c r="BD262" s="135"/>
      <c r="BE262" s="135"/>
      <c r="BF262" s="135"/>
      <c r="BG262" s="135"/>
      <c r="BH262" s="135"/>
      <c r="BI262" s="135"/>
      <c r="BJ262" s="135"/>
      <c r="BK262" s="135"/>
      <c r="BL262" s="135"/>
      <c r="BM262" s="135"/>
      <c r="BN262" s="135"/>
      <c r="BO262" s="135"/>
      <c r="BP262" s="135"/>
      <c r="BQ262" s="135"/>
      <c r="BR262" s="135"/>
      <c r="BS262" s="135"/>
      <c r="BT262" s="135"/>
    </row>
    <row r="263" spans="1:72" s="196" customFormat="1">
      <c r="A263" s="135"/>
      <c r="B263" s="135"/>
      <c r="C263" s="135"/>
      <c r="D263" s="135"/>
      <c r="E263" s="135"/>
      <c r="F263" s="135"/>
      <c r="G263" s="135"/>
      <c r="H263" s="135"/>
      <c r="I263" s="135"/>
      <c r="J263" s="135"/>
      <c r="K263" s="135"/>
      <c r="L263" s="135"/>
      <c r="M263" s="135"/>
      <c r="N263" s="135"/>
      <c r="O263" s="135"/>
      <c r="P263" s="135"/>
      <c r="Q263" s="135"/>
      <c r="R263" s="135"/>
      <c r="S263" s="135"/>
      <c r="T263" s="135"/>
      <c r="U263" s="135"/>
      <c r="V263" s="135"/>
      <c r="W263" s="135"/>
      <c r="X263" s="135"/>
      <c r="Y263" s="135"/>
      <c r="Z263" s="135"/>
      <c r="AA263" s="135"/>
      <c r="AB263" s="135"/>
      <c r="AC263" s="135"/>
      <c r="AD263" s="135"/>
      <c r="AE263" s="135"/>
      <c r="AF263" s="135"/>
      <c r="AG263" s="135"/>
      <c r="AH263" s="135"/>
      <c r="AI263" s="135"/>
      <c r="AJ263" s="135"/>
      <c r="AK263" s="135"/>
      <c r="AL263" s="135"/>
      <c r="AM263" s="135"/>
      <c r="AN263" s="135"/>
      <c r="AO263" s="135"/>
      <c r="AP263" s="135"/>
      <c r="AQ263" s="135"/>
      <c r="AR263" s="135"/>
      <c r="AS263" s="135"/>
      <c r="AT263" s="135"/>
      <c r="AU263" s="135"/>
      <c r="AV263" s="135"/>
      <c r="AW263" s="135"/>
      <c r="AX263" s="135"/>
      <c r="AY263" s="135"/>
      <c r="AZ263" s="135"/>
      <c r="BA263" s="135"/>
      <c r="BB263" s="135"/>
      <c r="BC263" s="135"/>
      <c r="BD263" s="135"/>
      <c r="BE263" s="135"/>
      <c r="BF263" s="135"/>
      <c r="BG263" s="135"/>
      <c r="BH263" s="135"/>
      <c r="BI263" s="135"/>
      <c r="BJ263" s="135"/>
      <c r="BK263" s="135"/>
      <c r="BL263" s="135"/>
      <c r="BM263" s="135"/>
      <c r="BN263" s="135"/>
      <c r="BO263" s="135"/>
      <c r="BP263" s="135"/>
      <c r="BQ263" s="135"/>
      <c r="BR263" s="135"/>
      <c r="BS263" s="135"/>
      <c r="BT263" s="135"/>
    </row>
    <row r="264" spans="1:72" s="196" customFormat="1">
      <c r="A264" s="135"/>
      <c r="B264" s="135"/>
      <c r="C264" s="135"/>
      <c r="D264" s="135"/>
      <c r="E264" s="135"/>
      <c r="F264" s="135"/>
      <c r="G264" s="135"/>
      <c r="H264" s="135"/>
      <c r="I264" s="135"/>
      <c r="J264" s="135"/>
      <c r="K264" s="135"/>
      <c r="L264" s="135"/>
      <c r="M264" s="135"/>
      <c r="N264" s="135"/>
      <c r="O264" s="135"/>
      <c r="P264" s="135"/>
      <c r="Q264" s="135"/>
      <c r="R264" s="135"/>
      <c r="S264" s="135"/>
      <c r="T264" s="135"/>
      <c r="U264" s="135"/>
      <c r="V264" s="135"/>
      <c r="W264" s="135"/>
      <c r="X264" s="135"/>
      <c r="Y264" s="135"/>
      <c r="Z264" s="135"/>
      <c r="AA264" s="135"/>
      <c r="AB264" s="135"/>
      <c r="AC264" s="135"/>
      <c r="AD264" s="135"/>
      <c r="AE264" s="135"/>
      <c r="AF264" s="135"/>
      <c r="AG264" s="135"/>
      <c r="AH264" s="135"/>
      <c r="AI264" s="135"/>
      <c r="AJ264" s="135"/>
      <c r="AK264" s="135"/>
      <c r="AL264" s="135"/>
      <c r="AM264" s="135"/>
      <c r="AN264" s="135"/>
      <c r="AO264" s="135"/>
      <c r="AP264" s="135"/>
      <c r="AQ264" s="135"/>
      <c r="AR264" s="135"/>
      <c r="AS264" s="135"/>
      <c r="AT264" s="135"/>
      <c r="AU264" s="135"/>
      <c r="AV264" s="135"/>
      <c r="AW264" s="135"/>
      <c r="AX264" s="135"/>
      <c r="AY264" s="135"/>
      <c r="AZ264" s="135"/>
      <c r="BA264" s="135"/>
      <c r="BB264" s="135"/>
      <c r="BC264" s="135"/>
      <c r="BD264" s="135"/>
      <c r="BE264" s="135"/>
      <c r="BF264" s="135"/>
      <c r="BG264" s="135"/>
      <c r="BH264" s="135"/>
      <c r="BI264" s="135"/>
      <c r="BJ264" s="135"/>
      <c r="BK264" s="135"/>
      <c r="BL264" s="135"/>
      <c r="BM264" s="135"/>
      <c r="BN264" s="135"/>
      <c r="BO264" s="135"/>
      <c r="BP264" s="135"/>
      <c r="BQ264" s="135"/>
      <c r="BR264" s="135"/>
      <c r="BS264" s="135"/>
      <c r="BT264" s="135"/>
    </row>
    <row r="265" spans="1:72" s="196" customFormat="1">
      <c r="A265" s="135"/>
      <c r="B265" s="135"/>
      <c r="C265" s="135"/>
      <c r="D265" s="135"/>
      <c r="E265" s="135"/>
      <c r="F265" s="135"/>
      <c r="G265" s="135"/>
      <c r="H265" s="135"/>
      <c r="I265" s="135"/>
      <c r="J265" s="135"/>
      <c r="K265" s="135"/>
      <c r="L265" s="135"/>
      <c r="M265" s="135"/>
      <c r="N265" s="135"/>
      <c r="O265" s="135"/>
      <c r="P265" s="135"/>
      <c r="Q265" s="135"/>
      <c r="R265" s="135"/>
      <c r="S265" s="135"/>
      <c r="T265" s="135"/>
      <c r="U265" s="135"/>
      <c r="V265" s="135"/>
      <c r="W265" s="135"/>
      <c r="X265" s="135"/>
      <c r="Y265" s="135"/>
      <c r="Z265" s="135"/>
      <c r="AA265" s="135"/>
      <c r="AB265" s="135"/>
      <c r="AC265" s="135"/>
      <c r="AD265" s="135"/>
      <c r="AE265" s="135"/>
      <c r="AF265" s="135"/>
      <c r="AG265" s="135"/>
      <c r="AH265" s="135"/>
      <c r="AI265" s="135"/>
      <c r="AJ265" s="135"/>
      <c r="AK265" s="135"/>
      <c r="AL265" s="135"/>
      <c r="AM265" s="135"/>
      <c r="AN265" s="135"/>
      <c r="AO265" s="135"/>
      <c r="AP265" s="135"/>
      <c r="AQ265" s="135"/>
      <c r="AR265" s="135"/>
      <c r="AS265" s="135"/>
      <c r="AT265" s="135"/>
      <c r="AU265" s="135"/>
      <c r="AV265" s="135"/>
      <c r="AW265" s="135"/>
      <c r="AX265" s="135"/>
      <c r="AY265" s="135"/>
      <c r="AZ265" s="135"/>
      <c r="BA265" s="135"/>
      <c r="BB265" s="135"/>
      <c r="BC265" s="135"/>
      <c r="BD265" s="135"/>
      <c r="BE265" s="135"/>
      <c r="BF265" s="135"/>
      <c r="BG265" s="135"/>
      <c r="BH265" s="135"/>
      <c r="BI265" s="135"/>
      <c r="BJ265" s="135"/>
      <c r="BK265" s="135"/>
      <c r="BL265" s="135"/>
      <c r="BM265" s="135"/>
      <c r="BN265" s="135"/>
      <c r="BO265" s="135"/>
      <c r="BP265" s="135"/>
      <c r="BQ265" s="135"/>
      <c r="BR265" s="135"/>
      <c r="BS265" s="135"/>
      <c r="BT265" s="135"/>
    </row>
    <row r="266" spans="1:72" s="196" customFormat="1">
      <c r="A266" s="135"/>
      <c r="B266" s="135"/>
      <c r="C266" s="135"/>
      <c r="D266" s="135"/>
      <c r="E266" s="135"/>
      <c r="F266" s="135"/>
      <c r="G266" s="135"/>
      <c r="H266" s="135"/>
      <c r="I266" s="135"/>
      <c r="J266" s="135"/>
      <c r="K266" s="135"/>
      <c r="L266" s="135"/>
      <c r="M266" s="135"/>
      <c r="N266" s="135"/>
      <c r="O266" s="135"/>
      <c r="P266" s="135"/>
      <c r="Q266" s="135"/>
      <c r="R266" s="135"/>
      <c r="S266" s="135"/>
      <c r="T266" s="135"/>
      <c r="U266" s="135"/>
      <c r="V266" s="135"/>
      <c r="W266" s="135"/>
      <c r="X266" s="135"/>
      <c r="Y266" s="135"/>
      <c r="Z266" s="135"/>
      <c r="AA266" s="135"/>
      <c r="AB266" s="135"/>
      <c r="AC266" s="135"/>
      <c r="AD266" s="135"/>
      <c r="AE266" s="135"/>
      <c r="AF266" s="135"/>
      <c r="AG266" s="135"/>
      <c r="AH266" s="135"/>
      <c r="AI266" s="135"/>
      <c r="AJ266" s="135"/>
      <c r="AK266" s="135"/>
      <c r="AL266" s="135"/>
      <c r="AM266" s="135"/>
      <c r="AN266" s="135"/>
      <c r="AO266" s="135"/>
      <c r="AP266" s="135"/>
      <c r="AQ266" s="135"/>
      <c r="AR266" s="135"/>
      <c r="AS266" s="135"/>
      <c r="AT266" s="135"/>
      <c r="AU266" s="135"/>
      <c r="AV266" s="135"/>
      <c r="AW266" s="135"/>
      <c r="AX266" s="135"/>
      <c r="AY266" s="135"/>
      <c r="AZ266" s="135"/>
      <c r="BA266" s="135"/>
      <c r="BB266" s="135"/>
      <c r="BC266" s="135"/>
      <c r="BD266" s="135"/>
      <c r="BE266" s="135"/>
      <c r="BF266" s="135"/>
      <c r="BG266" s="135"/>
      <c r="BH266" s="135"/>
      <c r="BI266" s="135"/>
      <c r="BJ266" s="135"/>
      <c r="BK266" s="135"/>
      <c r="BL266" s="135"/>
      <c r="BM266" s="135"/>
      <c r="BN266" s="135"/>
      <c r="BO266" s="135"/>
      <c r="BP266" s="135"/>
      <c r="BQ266" s="135"/>
      <c r="BR266" s="135"/>
      <c r="BS266" s="135"/>
      <c r="BT266" s="135"/>
    </row>
    <row r="267" spans="1:72" s="196" customFormat="1">
      <c r="A267" s="135"/>
      <c r="B267" s="135"/>
      <c r="C267" s="135"/>
      <c r="D267" s="135"/>
      <c r="E267" s="135"/>
      <c r="F267" s="135"/>
      <c r="G267" s="135"/>
      <c r="H267" s="135"/>
      <c r="I267" s="135"/>
      <c r="J267" s="135"/>
      <c r="K267" s="135"/>
      <c r="L267" s="135"/>
      <c r="M267" s="135"/>
      <c r="N267" s="135"/>
      <c r="O267" s="135"/>
      <c r="P267" s="135"/>
      <c r="Q267" s="135"/>
      <c r="R267" s="135"/>
      <c r="S267" s="135"/>
      <c r="T267" s="135"/>
      <c r="U267" s="135"/>
      <c r="V267" s="135"/>
      <c r="W267" s="135"/>
      <c r="X267" s="135"/>
      <c r="Y267" s="135"/>
      <c r="Z267" s="135"/>
      <c r="AA267" s="135"/>
      <c r="AB267" s="135"/>
      <c r="AC267" s="135"/>
      <c r="AD267" s="135"/>
      <c r="AE267" s="135"/>
      <c r="AF267" s="135"/>
      <c r="AG267" s="135"/>
      <c r="AH267" s="135"/>
      <c r="AI267" s="135"/>
      <c r="AJ267" s="135"/>
      <c r="AK267" s="135"/>
      <c r="AL267" s="135"/>
      <c r="AM267" s="135"/>
      <c r="AN267" s="135"/>
      <c r="AO267" s="135"/>
      <c r="AP267" s="135"/>
      <c r="AQ267" s="135"/>
      <c r="AR267" s="135"/>
      <c r="AS267" s="135"/>
      <c r="AT267" s="135"/>
      <c r="AU267" s="135"/>
      <c r="AV267" s="135"/>
      <c r="AW267" s="135"/>
      <c r="AX267" s="135"/>
      <c r="AY267" s="135"/>
      <c r="AZ267" s="135"/>
      <c r="BA267" s="135"/>
      <c r="BB267" s="135"/>
      <c r="BC267" s="135"/>
      <c r="BD267" s="135"/>
      <c r="BE267" s="135"/>
      <c r="BF267" s="135"/>
      <c r="BG267" s="135"/>
      <c r="BH267" s="135"/>
      <c r="BI267" s="135"/>
      <c r="BJ267" s="135"/>
      <c r="BK267" s="135"/>
      <c r="BL267" s="135"/>
      <c r="BM267" s="135"/>
      <c r="BN267" s="135"/>
      <c r="BO267" s="135"/>
      <c r="BP267" s="135"/>
      <c r="BQ267" s="135"/>
      <c r="BR267" s="135"/>
      <c r="BS267" s="135"/>
      <c r="BT267" s="135"/>
    </row>
    <row r="268" spans="1:72" s="196" customFormat="1">
      <c r="A268" s="135"/>
      <c r="B268" s="135"/>
      <c r="C268" s="135"/>
      <c r="D268" s="135"/>
      <c r="E268" s="135"/>
      <c r="F268" s="135"/>
      <c r="G268" s="135"/>
      <c r="H268" s="135"/>
      <c r="I268" s="135"/>
      <c r="J268" s="135"/>
      <c r="K268" s="135"/>
      <c r="L268" s="135"/>
      <c r="M268" s="135"/>
      <c r="N268" s="135"/>
      <c r="O268" s="135"/>
      <c r="P268" s="135"/>
      <c r="Q268" s="135"/>
      <c r="R268" s="135"/>
      <c r="S268" s="135"/>
      <c r="T268" s="135"/>
      <c r="U268" s="135"/>
      <c r="V268" s="135"/>
      <c r="W268" s="135"/>
      <c r="X268" s="135"/>
      <c r="Y268" s="135"/>
      <c r="Z268" s="135"/>
      <c r="AA268" s="135"/>
      <c r="AB268" s="135"/>
      <c r="AC268" s="135"/>
      <c r="AD268" s="135"/>
      <c r="AE268" s="135"/>
      <c r="AF268" s="135"/>
      <c r="AG268" s="135"/>
      <c r="AH268" s="135"/>
      <c r="AI268" s="135"/>
      <c r="AJ268" s="135"/>
      <c r="AK268" s="135"/>
      <c r="AL268" s="135"/>
      <c r="AM268" s="135"/>
      <c r="AN268" s="135"/>
      <c r="AO268" s="135"/>
      <c r="AP268" s="135"/>
      <c r="AQ268" s="135"/>
      <c r="AR268" s="135"/>
      <c r="AS268" s="135"/>
      <c r="AT268" s="135"/>
      <c r="AU268" s="135"/>
      <c r="AV268" s="135"/>
      <c r="AW268" s="135"/>
      <c r="AX268" s="135"/>
      <c r="AY268" s="135"/>
      <c r="AZ268" s="135"/>
      <c r="BA268" s="135"/>
      <c r="BB268" s="135"/>
      <c r="BC268" s="135"/>
      <c r="BD268" s="135"/>
      <c r="BE268" s="135"/>
      <c r="BF268" s="135"/>
      <c r="BG268" s="135"/>
      <c r="BH268" s="135"/>
      <c r="BI268" s="135"/>
      <c r="BJ268" s="135"/>
      <c r="BK268" s="135"/>
      <c r="BL268" s="135"/>
      <c r="BM268" s="135"/>
      <c r="BN268" s="135"/>
      <c r="BO268" s="135"/>
      <c r="BP268" s="135"/>
      <c r="BQ268" s="135"/>
      <c r="BR268" s="135"/>
      <c r="BS268" s="135"/>
      <c r="BT268" s="135"/>
    </row>
    <row r="269" spans="1:72" s="196" customFormat="1">
      <c r="A269" s="135"/>
      <c r="B269" s="135"/>
      <c r="C269" s="135"/>
      <c r="D269" s="135"/>
      <c r="E269" s="135"/>
      <c r="F269" s="135"/>
      <c r="G269" s="135"/>
      <c r="H269" s="135"/>
      <c r="I269" s="135"/>
      <c r="J269" s="135"/>
      <c r="K269" s="135"/>
      <c r="L269" s="135"/>
      <c r="M269" s="135"/>
      <c r="N269" s="135"/>
      <c r="O269" s="135"/>
      <c r="P269" s="135"/>
      <c r="Q269" s="135"/>
      <c r="R269" s="135"/>
      <c r="S269" s="135"/>
      <c r="T269" s="135"/>
      <c r="U269" s="135"/>
      <c r="V269" s="135"/>
      <c r="W269" s="135"/>
      <c r="X269" s="135"/>
      <c r="Y269" s="135"/>
      <c r="Z269" s="135"/>
      <c r="AA269" s="135"/>
      <c r="AB269" s="135"/>
      <c r="AC269" s="135"/>
      <c r="AD269" s="135"/>
      <c r="AE269" s="135"/>
      <c r="AF269" s="135"/>
      <c r="AG269" s="135"/>
      <c r="AH269" s="135"/>
      <c r="AI269" s="135"/>
      <c r="AJ269" s="135"/>
      <c r="AK269" s="135"/>
      <c r="AL269" s="135"/>
      <c r="AM269" s="135"/>
      <c r="AN269" s="135"/>
      <c r="AO269" s="135"/>
      <c r="AP269" s="135"/>
      <c r="AQ269" s="135"/>
      <c r="AR269" s="135"/>
      <c r="AS269" s="135"/>
      <c r="AT269" s="135"/>
      <c r="AU269" s="135"/>
      <c r="AV269" s="135"/>
      <c r="AW269" s="135"/>
      <c r="AX269" s="135"/>
      <c r="AY269" s="135"/>
      <c r="AZ269" s="135"/>
      <c r="BA269" s="135"/>
      <c r="BB269" s="135"/>
      <c r="BC269" s="135"/>
      <c r="BD269" s="135"/>
      <c r="BE269" s="135"/>
      <c r="BF269" s="135"/>
      <c r="BG269" s="135"/>
      <c r="BH269" s="135"/>
      <c r="BI269" s="135"/>
      <c r="BJ269" s="135"/>
      <c r="BK269" s="135"/>
      <c r="BL269" s="135"/>
      <c r="BM269" s="135"/>
      <c r="BN269" s="135"/>
      <c r="BO269" s="135"/>
      <c r="BP269" s="135"/>
      <c r="BQ269" s="135"/>
      <c r="BR269" s="135"/>
      <c r="BS269" s="135"/>
      <c r="BT269" s="135"/>
    </row>
    <row r="270" spans="1:72" s="196" customFormat="1">
      <c r="A270" s="135"/>
      <c r="B270" s="135"/>
      <c r="C270" s="135"/>
      <c r="D270" s="135"/>
      <c r="E270" s="135"/>
      <c r="F270" s="135"/>
      <c r="G270" s="135"/>
      <c r="H270" s="135"/>
      <c r="I270" s="135"/>
      <c r="J270" s="135"/>
      <c r="K270" s="135"/>
      <c r="L270" s="135"/>
      <c r="M270" s="135"/>
      <c r="N270" s="135"/>
      <c r="O270" s="135"/>
      <c r="P270" s="135"/>
      <c r="Q270" s="135"/>
      <c r="R270" s="135"/>
      <c r="S270" s="135"/>
      <c r="T270" s="135"/>
      <c r="U270" s="135"/>
      <c r="V270" s="135"/>
      <c r="W270" s="135"/>
      <c r="X270" s="135"/>
      <c r="Y270" s="135"/>
      <c r="Z270" s="135"/>
      <c r="AA270" s="135"/>
      <c r="AB270" s="135"/>
      <c r="AC270" s="135"/>
      <c r="AD270" s="135"/>
      <c r="AE270" s="135"/>
      <c r="AF270" s="135"/>
      <c r="AG270" s="135"/>
      <c r="AH270" s="135"/>
      <c r="AI270" s="135"/>
      <c r="AJ270" s="135"/>
      <c r="AK270" s="135"/>
      <c r="AL270" s="135"/>
      <c r="AM270" s="135"/>
      <c r="AN270" s="135"/>
      <c r="AO270" s="135"/>
      <c r="AP270" s="135"/>
      <c r="AQ270" s="135"/>
      <c r="AR270" s="135"/>
      <c r="AS270" s="135"/>
      <c r="AT270" s="135"/>
      <c r="AU270" s="135"/>
      <c r="AV270" s="135"/>
      <c r="AW270" s="135"/>
      <c r="AX270" s="135"/>
      <c r="AY270" s="135"/>
      <c r="AZ270" s="135"/>
      <c r="BA270" s="135"/>
      <c r="BB270" s="135"/>
      <c r="BC270" s="135"/>
      <c r="BD270" s="135"/>
      <c r="BE270" s="135"/>
      <c r="BF270" s="135"/>
      <c r="BG270" s="135"/>
      <c r="BH270" s="135"/>
      <c r="BI270" s="135"/>
      <c r="BJ270" s="135"/>
      <c r="BK270" s="135"/>
      <c r="BL270" s="135"/>
      <c r="BM270" s="135"/>
      <c r="BN270" s="135"/>
      <c r="BO270" s="135"/>
      <c r="BP270" s="135"/>
      <c r="BQ270" s="135"/>
      <c r="BR270" s="135"/>
      <c r="BS270" s="135"/>
      <c r="BT270" s="135"/>
    </row>
    <row r="271" spans="1:72" s="196" customFormat="1">
      <c r="A271" s="135"/>
      <c r="B271" s="135"/>
      <c r="C271" s="135"/>
      <c r="D271" s="135"/>
      <c r="E271" s="135"/>
      <c r="F271" s="135"/>
      <c r="G271" s="135"/>
      <c r="H271" s="135"/>
      <c r="I271" s="135"/>
      <c r="J271" s="135"/>
      <c r="K271" s="135"/>
      <c r="L271" s="135"/>
      <c r="M271" s="135"/>
      <c r="N271" s="135"/>
      <c r="O271" s="135"/>
      <c r="P271" s="135"/>
      <c r="Q271" s="135"/>
      <c r="R271" s="135"/>
      <c r="S271" s="135"/>
      <c r="T271" s="135"/>
      <c r="U271" s="135"/>
      <c r="V271" s="135"/>
      <c r="W271" s="135"/>
      <c r="X271" s="135"/>
      <c r="Y271" s="135"/>
      <c r="Z271" s="135"/>
      <c r="AA271" s="135"/>
      <c r="AB271" s="135"/>
      <c r="AC271" s="135"/>
      <c r="AD271" s="135"/>
      <c r="AE271" s="135"/>
      <c r="AF271" s="135"/>
      <c r="AG271" s="135"/>
      <c r="AH271" s="135"/>
      <c r="AI271" s="135"/>
      <c r="AJ271" s="135"/>
      <c r="AK271" s="135"/>
      <c r="AL271" s="135"/>
      <c r="AM271" s="135"/>
      <c r="AN271" s="135"/>
      <c r="AO271" s="135"/>
      <c r="AP271" s="135"/>
      <c r="AQ271" s="135"/>
      <c r="AR271" s="135"/>
      <c r="AS271" s="135"/>
      <c r="AT271" s="135"/>
      <c r="AU271" s="135"/>
      <c r="AV271" s="135"/>
      <c r="AW271" s="135"/>
      <c r="AX271" s="135"/>
      <c r="AY271" s="135"/>
      <c r="AZ271" s="135"/>
      <c r="BA271" s="135"/>
      <c r="BB271" s="135"/>
      <c r="BC271" s="135"/>
      <c r="BD271" s="135"/>
      <c r="BE271" s="135"/>
      <c r="BF271" s="135"/>
      <c r="BG271" s="135"/>
      <c r="BH271" s="135"/>
      <c r="BI271" s="135"/>
      <c r="BJ271" s="135"/>
      <c r="BK271" s="135"/>
      <c r="BL271" s="135"/>
      <c r="BM271" s="135"/>
      <c r="BN271" s="135"/>
      <c r="BO271" s="135"/>
      <c r="BP271" s="135"/>
      <c r="BQ271" s="135"/>
      <c r="BR271" s="135"/>
      <c r="BS271" s="135"/>
      <c r="BT271" s="135"/>
    </row>
    <row r="272" spans="1:72" s="196" customFormat="1">
      <c r="A272" s="135"/>
      <c r="B272" s="135"/>
      <c r="C272" s="135"/>
      <c r="D272" s="135"/>
      <c r="E272" s="135"/>
      <c r="F272" s="135"/>
      <c r="G272" s="135"/>
      <c r="H272" s="135"/>
      <c r="I272" s="135"/>
      <c r="J272" s="135"/>
      <c r="K272" s="135"/>
      <c r="L272" s="135"/>
      <c r="M272" s="135"/>
      <c r="N272" s="135"/>
      <c r="O272" s="135"/>
      <c r="P272" s="135"/>
      <c r="Q272" s="135"/>
      <c r="R272" s="135"/>
      <c r="S272" s="135"/>
      <c r="T272" s="135"/>
      <c r="U272" s="135"/>
      <c r="V272" s="135"/>
      <c r="W272" s="135"/>
      <c r="X272" s="135"/>
      <c r="Y272" s="135"/>
      <c r="Z272" s="135"/>
      <c r="AA272" s="135"/>
      <c r="AB272" s="135"/>
      <c r="AC272" s="135"/>
      <c r="AD272" s="135"/>
      <c r="AE272" s="135"/>
      <c r="AF272" s="135"/>
      <c r="AG272" s="135"/>
      <c r="AH272" s="135"/>
      <c r="AI272" s="135"/>
      <c r="AJ272" s="135"/>
      <c r="AK272" s="135"/>
      <c r="AL272" s="135"/>
      <c r="AM272" s="135"/>
      <c r="AN272" s="135"/>
      <c r="AO272" s="135"/>
      <c r="AP272" s="135"/>
      <c r="AQ272" s="135"/>
      <c r="AR272" s="135"/>
      <c r="AS272" s="135"/>
      <c r="AT272" s="135"/>
      <c r="AU272" s="135"/>
      <c r="AV272" s="135"/>
      <c r="AW272" s="135"/>
      <c r="AX272" s="135"/>
      <c r="AY272" s="135"/>
      <c r="AZ272" s="135"/>
      <c r="BA272" s="135"/>
      <c r="BB272" s="135"/>
      <c r="BC272" s="135"/>
      <c r="BD272" s="135"/>
      <c r="BE272" s="135"/>
      <c r="BF272" s="135"/>
      <c r="BG272" s="135"/>
      <c r="BH272" s="135"/>
      <c r="BI272" s="135"/>
      <c r="BJ272" s="135"/>
      <c r="BK272" s="135"/>
      <c r="BL272" s="135"/>
      <c r="BM272" s="135"/>
      <c r="BN272" s="135"/>
      <c r="BO272" s="135"/>
      <c r="BP272" s="135"/>
      <c r="BQ272" s="135"/>
      <c r="BR272" s="135"/>
      <c r="BS272" s="135"/>
      <c r="BT272" s="135"/>
    </row>
    <row r="273" spans="1:72" s="196" customFormat="1">
      <c r="A273" s="135"/>
      <c r="B273" s="135"/>
      <c r="C273" s="135"/>
      <c r="D273" s="135"/>
      <c r="E273" s="135"/>
      <c r="F273" s="135"/>
      <c r="G273" s="135"/>
      <c r="H273" s="135"/>
      <c r="I273" s="135"/>
      <c r="J273" s="135"/>
      <c r="K273" s="135"/>
      <c r="L273" s="135"/>
      <c r="M273" s="135"/>
      <c r="N273" s="135"/>
      <c r="O273" s="135"/>
      <c r="P273" s="135"/>
      <c r="Q273" s="135"/>
      <c r="R273" s="135"/>
      <c r="S273" s="135"/>
      <c r="T273" s="135"/>
      <c r="U273" s="135"/>
      <c r="V273" s="135"/>
      <c r="W273" s="135"/>
      <c r="X273" s="135"/>
      <c r="Y273" s="135"/>
      <c r="Z273" s="135"/>
      <c r="AA273" s="135"/>
      <c r="AB273" s="135"/>
      <c r="AC273" s="135"/>
      <c r="AD273" s="135"/>
      <c r="AE273" s="135"/>
      <c r="AF273" s="135"/>
      <c r="AG273" s="135"/>
      <c r="AH273" s="135"/>
      <c r="AI273" s="135"/>
      <c r="AJ273" s="135"/>
      <c r="AK273" s="135"/>
      <c r="AL273" s="135"/>
      <c r="AM273" s="135"/>
      <c r="AN273" s="135"/>
      <c r="AO273" s="135"/>
      <c r="AP273" s="135"/>
      <c r="AQ273" s="135"/>
      <c r="AR273" s="135"/>
      <c r="AS273" s="135"/>
      <c r="AT273" s="135"/>
      <c r="AU273" s="135"/>
      <c r="AV273" s="135"/>
      <c r="AW273" s="135"/>
      <c r="AX273" s="135"/>
      <c r="AY273" s="135"/>
      <c r="AZ273" s="135"/>
      <c r="BA273" s="135"/>
      <c r="BB273" s="135"/>
      <c r="BC273" s="135"/>
      <c r="BD273" s="135"/>
      <c r="BE273" s="135"/>
      <c r="BF273" s="135"/>
      <c r="BG273" s="135"/>
      <c r="BH273" s="135"/>
      <c r="BI273" s="135"/>
      <c r="BJ273" s="135"/>
      <c r="BK273" s="135"/>
      <c r="BL273" s="135"/>
      <c r="BM273" s="135"/>
      <c r="BN273" s="135"/>
      <c r="BO273" s="135"/>
      <c r="BP273" s="135"/>
      <c r="BQ273" s="135"/>
      <c r="BR273" s="135"/>
      <c r="BS273" s="135"/>
      <c r="BT273" s="135"/>
    </row>
    <row r="274" spans="1:72" s="196" customFormat="1">
      <c r="A274" s="135"/>
      <c r="B274" s="135"/>
      <c r="C274" s="135"/>
      <c r="D274" s="135"/>
      <c r="E274" s="135"/>
      <c r="F274" s="135"/>
      <c r="G274" s="135"/>
      <c r="H274" s="135"/>
      <c r="I274" s="135"/>
      <c r="J274" s="135"/>
      <c r="K274" s="135"/>
      <c r="L274" s="135"/>
      <c r="M274" s="135"/>
      <c r="N274" s="135"/>
      <c r="O274" s="135"/>
      <c r="P274" s="135"/>
      <c r="Q274" s="135"/>
      <c r="R274" s="135"/>
      <c r="S274" s="135"/>
      <c r="T274" s="135"/>
      <c r="U274" s="135"/>
      <c r="V274" s="135"/>
      <c r="W274" s="135"/>
      <c r="X274" s="135"/>
      <c r="Y274" s="135"/>
      <c r="Z274" s="135"/>
      <c r="AA274" s="135"/>
      <c r="AB274" s="135"/>
      <c r="AC274" s="135"/>
      <c r="AD274" s="135"/>
      <c r="AE274" s="135"/>
      <c r="AF274" s="135"/>
      <c r="AG274" s="135"/>
      <c r="AH274" s="135"/>
      <c r="AI274" s="135"/>
      <c r="AJ274" s="135"/>
      <c r="AK274" s="135"/>
      <c r="AL274" s="135"/>
      <c r="AM274" s="135"/>
      <c r="AN274" s="135"/>
      <c r="AO274" s="135"/>
      <c r="AP274" s="135"/>
      <c r="AQ274" s="135"/>
      <c r="AR274" s="135"/>
      <c r="AS274" s="135"/>
      <c r="AT274" s="135"/>
      <c r="AU274" s="135"/>
      <c r="AV274" s="135"/>
      <c r="AW274" s="135"/>
      <c r="AX274" s="135"/>
      <c r="AY274" s="135"/>
      <c r="AZ274" s="135"/>
      <c r="BA274" s="135"/>
      <c r="BB274" s="135"/>
      <c r="BC274" s="135"/>
      <c r="BD274" s="135"/>
      <c r="BE274" s="135"/>
      <c r="BF274" s="135"/>
      <c r="BG274" s="135"/>
      <c r="BH274" s="135"/>
      <c r="BI274" s="135"/>
      <c r="BJ274" s="135"/>
      <c r="BK274" s="135"/>
      <c r="BL274" s="135"/>
      <c r="BM274" s="135"/>
      <c r="BN274" s="135"/>
      <c r="BO274" s="135"/>
      <c r="BP274" s="135"/>
      <c r="BQ274" s="135"/>
      <c r="BR274" s="135"/>
      <c r="BS274" s="135"/>
      <c r="BT274" s="135"/>
    </row>
    <row r="275" spans="1:72" s="196" customFormat="1">
      <c r="A275" s="135"/>
      <c r="B275" s="135"/>
      <c r="C275" s="135"/>
      <c r="D275" s="135"/>
      <c r="E275" s="135"/>
      <c r="F275" s="135"/>
      <c r="G275" s="135"/>
      <c r="H275" s="135"/>
      <c r="I275" s="135"/>
      <c r="J275" s="135"/>
      <c r="K275" s="135"/>
      <c r="L275" s="135"/>
      <c r="M275" s="135"/>
      <c r="N275" s="135"/>
      <c r="O275" s="135"/>
      <c r="P275" s="135"/>
      <c r="Q275" s="135"/>
      <c r="R275" s="135"/>
      <c r="S275" s="135"/>
      <c r="T275" s="135"/>
      <c r="U275" s="135"/>
      <c r="V275" s="135"/>
      <c r="W275" s="135"/>
      <c r="X275" s="135"/>
      <c r="Y275" s="135"/>
      <c r="Z275" s="135"/>
      <c r="AA275" s="135"/>
      <c r="AB275" s="135"/>
      <c r="AC275" s="135"/>
      <c r="AD275" s="135"/>
      <c r="AE275" s="135"/>
      <c r="AF275" s="135"/>
      <c r="AG275" s="135"/>
      <c r="AH275" s="135"/>
      <c r="AI275" s="135"/>
      <c r="AJ275" s="135"/>
      <c r="AK275" s="135"/>
      <c r="AL275" s="135"/>
      <c r="AM275" s="135"/>
      <c r="AN275" s="135"/>
      <c r="AO275" s="135"/>
      <c r="AP275" s="135"/>
      <c r="AQ275" s="135"/>
      <c r="AR275" s="135"/>
      <c r="AS275" s="135"/>
      <c r="AT275" s="135"/>
      <c r="AU275" s="135"/>
      <c r="AV275" s="135"/>
      <c r="AW275" s="135"/>
      <c r="AX275" s="135"/>
      <c r="AY275" s="135"/>
      <c r="AZ275" s="135"/>
      <c r="BA275" s="135"/>
      <c r="BB275" s="135"/>
      <c r="BC275" s="135"/>
      <c r="BD275" s="135"/>
      <c r="BE275" s="135"/>
      <c r="BF275" s="135"/>
      <c r="BG275" s="135"/>
      <c r="BH275" s="135"/>
      <c r="BI275" s="135"/>
      <c r="BJ275" s="135"/>
      <c r="BK275" s="135"/>
      <c r="BL275" s="135"/>
      <c r="BM275" s="135"/>
      <c r="BN275" s="135"/>
      <c r="BO275" s="135"/>
      <c r="BP275" s="135"/>
      <c r="BQ275" s="135"/>
      <c r="BR275" s="135"/>
      <c r="BS275" s="135"/>
      <c r="BT275" s="135"/>
    </row>
    <row r="276" spans="1:72" s="196" customFormat="1">
      <c r="A276" s="135"/>
      <c r="B276" s="135"/>
      <c r="C276" s="135"/>
      <c r="D276" s="135"/>
      <c r="E276" s="135"/>
      <c r="F276" s="135"/>
      <c r="G276" s="135"/>
      <c r="H276" s="135"/>
      <c r="I276" s="135"/>
      <c r="J276" s="135"/>
      <c r="K276" s="135"/>
      <c r="L276" s="135"/>
      <c r="M276" s="135"/>
      <c r="N276" s="135"/>
      <c r="O276" s="135"/>
      <c r="P276" s="135"/>
      <c r="Q276" s="135"/>
      <c r="R276" s="135"/>
      <c r="S276" s="135"/>
      <c r="T276" s="135"/>
      <c r="U276" s="135"/>
      <c r="V276" s="135"/>
      <c r="W276" s="135"/>
      <c r="X276" s="135"/>
      <c r="Y276" s="135"/>
      <c r="Z276" s="135"/>
      <c r="AA276" s="135"/>
      <c r="AB276" s="135"/>
      <c r="AC276" s="135"/>
      <c r="AD276" s="135"/>
      <c r="AE276" s="135"/>
      <c r="AF276" s="135"/>
      <c r="AG276" s="135"/>
      <c r="AH276" s="135"/>
      <c r="AI276" s="135"/>
      <c r="AJ276" s="135"/>
      <c r="AK276" s="135"/>
      <c r="AL276" s="135"/>
      <c r="AM276" s="135"/>
      <c r="AN276" s="135"/>
      <c r="AO276" s="135"/>
      <c r="AP276" s="135"/>
      <c r="AQ276" s="135"/>
      <c r="AR276" s="135"/>
      <c r="AS276" s="135"/>
      <c r="AT276" s="135"/>
      <c r="AU276" s="135"/>
      <c r="AV276" s="135"/>
      <c r="AW276" s="135"/>
      <c r="AX276" s="135"/>
      <c r="AY276" s="135"/>
      <c r="AZ276" s="135"/>
      <c r="BA276" s="135"/>
      <c r="BB276" s="135"/>
      <c r="BC276" s="135"/>
      <c r="BD276" s="135"/>
      <c r="BE276" s="135"/>
      <c r="BF276" s="135"/>
      <c r="BG276" s="135"/>
      <c r="BH276" s="135"/>
      <c r="BI276" s="135"/>
      <c r="BJ276" s="135"/>
      <c r="BK276" s="135"/>
      <c r="BL276" s="135"/>
      <c r="BM276" s="135"/>
      <c r="BN276" s="135"/>
      <c r="BO276" s="135"/>
      <c r="BP276" s="135"/>
      <c r="BQ276" s="135"/>
      <c r="BR276" s="135"/>
      <c r="BS276" s="135"/>
      <c r="BT276" s="135"/>
    </row>
    <row r="277" spans="1:72" s="196" customFormat="1">
      <c r="A277" s="135"/>
      <c r="B277" s="135"/>
      <c r="C277" s="135"/>
      <c r="D277" s="135"/>
      <c r="E277" s="135"/>
      <c r="F277" s="135"/>
      <c r="G277" s="135"/>
      <c r="H277" s="135"/>
      <c r="I277" s="135"/>
      <c r="J277" s="135"/>
      <c r="K277" s="135"/>
      <c r="L277" s="135"/>
      <c r="M277" s="135"/>
      <c r="N277" s="135"/>
      <c r="O277" s="135"/>
      <c r="P277" s="135"/>
      <c r="Q277" s="135"/>
      <c r="R277" s="135"/>
      <c r="S277" s="135"/>
      <c r="T277" s="135"/>
      <c r="U277" s="135"/>
      <c r="V277" s="135"/>
      <c r="W277" s="135"/>
      <c r="X277" s="135"/>
      <c r="Y277" s="135"/>
      <c r="Z277" s="135"/>
      <c r="AA277" s="135"/>
      <c r="AB277" s="135"/>
      <c r="AC277" s="135"/>
      <c r="AD277" s="135"/>
      <c r="AE277" s="135"/>
      <c r="AF277" s="135"/>
      <c r="AG277" s="135"/>
      <c r="AH277" s="135"/>
      <c r="AI277" s="135"/>
      <c r="AJ277" s="135"/>
      <c r="AK277" s="135"/>
      <c r="AL277" s="135"/>
      <c r="AM277" s="135"/>
      <c r="AN277" s="135"/>
      <c r="AO277" s="135"/>
      <c r="AP277" s="135"/>
      <c r="AQ277" s="135"/>
      <c r="AR277" s="135"/>
      <c r="AS277" s="135"/>
      <c r="AT277" s="135"/>
      <c r="AU277" s="135"/>
      <c r="AV277" s="135"/>
      <c r="AW277" s="135"/>
      <c r="AX277" s="135"/>
      <c r="AY277" s="135"/>
      <c r="AZ277" s="135"/>
      <c r="BA277" s="135"/>
      <c r="BB277" s="135"/>
      <c r="BC277" s="135"/>
      <c r="BD277" s="135"/>
      <c r="BE277" s="135"/>
      <c r="BF277" s="135"/>
      <c r="BG277" s="135"/>
      <c r="BH277" s="135"/>
      <c r="BI277" s="135"/>
      <c r="BJ277" s="135"/>
      <c r="BK277" s="135"/>
      <c r="BL277" s="135"/>
      <c r="BM277" s="135"/>
      <c r="BN277" s="135"/>
      <c r="BO277" s="135"/>
      <c r="BP277" s="135"/>
      <c r="BQ277" s="135"/>
      <c r="BR277" s="135"/>
      <c r="BS277" s="135"/>
      <c r="BT277" s="135"/>
    </row>
    <row r="278" spans="1:72" s="196" customFormat="1">
      <c r="A278" s="135"/>
      <c r="B278" s="135"/>
      <c r="C278" s="135"/>
      <c r="D278" s="135"/>
      <c r="E278" s="135"/>
      <c r="F278" s="135"/>
      <c r="G278" s="135"/>
      <c r="H278" s="135"/>
      <c r="I278" s="135"/>
      <c r="J278" s="135"/>
      <c r="K278" s="135"/>
      <c r="L278" s="135"/>
      <c r="M278" s="135"/>
      <c r="N278" s="135"/>
      <c r="O278" s="135"/>
      <c r="P278" s="135"/>
      <c r="Q278" s="135"/>
      <c r="R278" s="135"/>
      <c r="S278" s="135"/>
      <c r="T278" s="135"/>
      <c r="U278" s="135"/>
      <c r="V278" s="135"/>
      <c r="W278" s="135"/>
      <c r="X278" s="135"/>
      <c r="Y278" s="135"/>
      <c r="Z278" s="135"/>
      <c r="AA278" s="135"/>
      <c r="AB278" s="135"/>
      <c r="AC278" s="135"/>
      <c r="AD278" s="135"/>
      <c r="AE278" s="135"/>
      <c r="AF278" s="135"/>
      <c r="AG278" s="135"/>
      <c r="AH278" s="135"/>
      <c r="AI278" s="135"/>
      <c r="AJ278" s="135"/>
      <c r="AK278" s="135"/>
      <c r="AL278" s="135"/>
      <c r="AM278" s="135"/>
      <c r="AN278" s="135"/>
      <c r="AO278" s="135"/>
      <c r="AP278" s="135"/>
      <c r="AQ278" s="135"/>
      <c r="AR278" s="135"/>
      <c r="AS278" s="135"/>
      <c r="AT278" s="135"/>
      <c r="AU278" s="135"/>
      <c r="AV278" s="135"/>
      <c r="AW278" s="135"/>
      <c r="AX278" s="135"/>
      <c r="AY278" s="135"/>
      <c r="AZ278" s="135"/>
      <c r="BA278" s="135"/>
      <c r="BB278" s="135"/>
      <c r="BC278" s="135"/>
      <c r="BD278" s="135"/>
      <c r="BE278" s="135"/>
      <c r="BF278" s="135"/>
      <c r="BG278" s="135"/>
      <c r="BH278" s="135"/>
      <c r="BI278" s="135"/>
      <c r="BJ278" s="135"/>
      <c r="BK278" s="135"/>
      <c r="BL278" s="135"/>
      <c r="BM278" s="135"/>
      <c r="BN278" s="135"/>
      <c r="BO278" s="135"/>
      <c r="BP278" s="135"/>
      <c r="BQ278" s="135"/>
      <c r="BR278" s="135"/>
      <c r="BS278" s="135"/>
      <c r="BT278" s="135"/>
    </row>
    <row r="279" spans="1:72" s="196" customFormat="1">
      <c r="A279" s="135"/>
      <c r="B279" s="135"/>
      <c r="C279" s="135"/>
      <c r="D279" s="135"/>
      <c r="E279" s="135"/>
      <c r="F279" s="135"/>
      <c r="G279" s="135"/>
      <c r="H279" s="135"/>
      <c r="I279" s="135"/>
      <c r="J279" s="135"/>
      <c r="K279" s="135"/>
      <c r="L279" s="135"/>
      <c r="M279" s="135"/>
      <c r="N279" s="135"/>
      <c r="O279" s="135"/>
      <c r="P279" s="135"/>
      <c r="Q279" s="135"/>
      <c r="R279" s="135"/>
      <c r="S279" s="135"/>
      <c r="T279" s="135"/>
      <c r="U279" s="135"/>
      <c r="V279" s="135"/>
      <c r="W279" s="135"/>
      <c r="X279" s="135"/>
      <c r="Y279" s="135"/>
      <c r="Z279" s="135"/>
      <c r="AA279" s="135"/>
      <c r="AB279" s="135"/>
      <c r="AC279" s="135"/>
      <c r="AD279" s="135"/>
      <c r="AE279" s="135"/>
      <c r="AF279" s="135"/>
      <c r="AG279" s="135"/>
      <c r="AH279" s="135"/>
      <c r="AI279" s="135"/>
      <c r="AJ279" s="135"/>
      <c r="AK279" s="135"/>
      <c r="AL279" s="135"/>
      <c r="AM279" s="135"/>
      <c r="AN279" s="135"/>
      <c r="AO279" s="135"/>
      <c r="AP279" s="135"/>
      <c r="AQ279" s="135"/>
      <c r="AR279" s="135"/>
      <c r="AS279" s="135"/>
      <c r="AT279" s="135"/>
      <c r="AU279" s="135"/>
      <c r="AV279" s="135"/>
      <c r="AW279" s="135"/>
      <c r="AX279" s="135"/>
      <c r="AY279" s="135"/>
      <c r="AZ279" s="135"/>
      <c r="BA279" s="135"/>
      <c r="BB279" s="135"/>
      <c r="BC279" s="135"/>
      <c r="BD279" s="135"/>
      <c r="BE279" s="135"/>
      <c r="BF279" s="135"/>
      <c r="BG279" s="135"/>
      <c r="BH279" s="135"/>
      <c r="BI279" s="135"/>
      <c r="BJ279" s="135"/>
      <c r="BK279" s="135"/>
      <c r="BL279" s="135"/>
      <c r="BM279" s="135"/>
      <c r="BN279" s="135"/>
      <c r="BO279" s="135"/>
      <c r="BP279" s="135"/>
      <c r="BQ279" s="135"/>
      <c r="BR279" s="135"/>
      <c r="BS279" s="135"/>
      <c r="BT279" s="135"/>
    </row>
    <row r="280" spans="1:72" s="196" customFormat="1">
      <c r="A280" s="135"/>
      <c r="B280" s="135"/>
      <c r="C280" s="135"/>
      <c r="D280" s="135"/>
      <c r="E280" s="135"/>
      <c r="F280" s="135"/>
      <c r="G280" s="135"/>
      <c r="H280" s="135"/>
      <c r="I280" s="135"/>
      <c r="J280" s="135"/>
      <c r="K280" s="135"/>
      <c r="L280" s="135"/>
      <c r="M280" s="135"/>
      <c r="N280" s="135"/>
      <c r="O280" s="135"/>
      <c r="P280" s="135"/>
      <c r="Q280" s="135"/>
      <c r="R280" s="135"/>
      <c r="S280" s="135"/>
      <c r="T280" s="135"/>
      <c r="U280" s="135"/>
      <c r="V280" s="135"/>
      <c r="W280" s="135"/>
      <c r="X280" s="135"/>
      <c r="Y280" s="135"/>
      <c r="Z280" s="135"/>
      <c r="AA280" s="135"/>
      <c r="AB280" s="135"/>
      <c r="AC280" s="135"/>
      <c r="AD280" s="135"/>
      <c r="AE280" s="135"/>
      <c r="AF280" s="135"/>
      <c r="AG280" s="135"/>
      <c r="AH280" s="135"/>
      <c r="AI280" s="135"/>
      <c r="AJ280" s="135"/>
      <c r="AK280" s="135"/>
      <c r="AL280" s="135"/>
      <c r="AM280" s="135"/>
      <c r="AN280" s="135"/>
      <c r="AO280" s="135"/>
      <c r="AP280" s="135"/>
      <c r="AQ280" s="135"/>
      <c r="AR280" s="135"/>
      <c r="AS280" s="135"/>
      <c r="AT280" s="135"/>
      <c r="AU280" s="135"/>
      <c r="AV280" s="135"/>
      <c r="AW280" s="135"/>
      <c r="AX280" s="135"/>
      <c r="AY280" s="135"/>
      <c r="AZ280" s="135"/>
      <c r="BA280" s="135"/>
      <c r="BB280" s="135"/>
      <c r="BC280" s="135"/>
      <c r="BD280" s="135"/>
      <c r="BE280" s="135"/>
      <c r="BF280" s="135"/>
      <c r="BG280" s="135"/>
      <c r="BH280" s="135"/>
      <c r="BI280" s="135"/>
      <c r="BJ280" s="135"/>
      <c r="BK280" s="135"/>
      <c r="BL280" s="135"/>
      <c r="BM280" s="135"/>
      <c r="BN280" s="135"/>
      <c r="BO280" s="135"/>
      <c r="BP280" s="135"/>
      <c r="BQ280" s="135"/>
      <c r="BR280" s="135"/>
      <c r="BS280" s="135"/>
      <c r="BT280" s="135"/>
    </row>
    <row r="281" spans="1:72" s="196" customFormat="1">
      <c r="A281" s="135"/>
      <c r="B281" s="135"/>
      <c r="C281" s="135"/>
      <c r="D281" s="135"/>
      <c r="E281" s="135"/>
      <c r="F281" s="135"/>
      <c r="G281" s="135"/>
      <c r="H281" s="135"/>
      <c r="I281" s="135"/>
      <c r="J281" s="135"/>
      <c r="K281" s="135"/>
      <c r="L281" s="135"/>
      <c r="M281" s="135"/>
      <c r="N281" s="135"/>
      <c r="O281" s="135"/>
      <c r="P281" s="135"/>
      <c r="Q281" s="135"/>
      <c r="R281" s="135"/>
      <c r="S281" s="135"/>
      <c r="T281" s="135"/>
      <c r="U281" s="135"/>
      <c r="V281" s="135"/>
      <c r="W281" s="135"/>
      <c r="X281" s="135"/>
      <c r="Y281" s="135"/>
      <c r="Z281" s="135"/>
      <c r="AA281" s="135"/>
      <c r="AB281" s="135"/>
      <c r="AC281" s="135"/>
      <c r="AD281" s="135"/>
      <c r="AE281" s="135"/>
      <c r="AF281" s="135"/>
      <c r="AG281" s="135"/>
      <c r="AH281" s="135"/>
      <c r="AI281" s="135"/>
      <c r="AJ281" s="135"/>
      <c r="AK281" s="135"/>
      <c r="AL281" s="135"/>
      <c r="AM281" s="135"/>
      <c r="AN281" s="135"/>
      <c r="AO281" s="135"/>
      <c r="AP281" s="135"/>
      <c r="AQ281" s="135"/>
      <c r="AR281" s="135"/>
      <c r="AS281" s="135"/>
      <c r="AT281" s="135"/>
      <c r="AU281" s="135"/>
      <c r="AV281" s="135"/>
      <c r="AW281" s="135"/>
      <c r="AX281" s="135"/>
      <c r="AY281" s="135"/>
      <c r="AZ281" s="135"/>
      <c r="BA281" s="135"/>
      <c r="BB281" s="135"/>
      <c r="BC281" s="135"/>
      <c r="BD281" s="135"/>
      <c r="BE281" s="135"/>
      <c r="BF281" s="135"/>
      <c r="BG281" s="135"/>
      <c r="BH281" s="135"/>
      <c r="BI281" s="135"/>
      <c r="BJ281" s="135"/>
      <c r="BK281" s="135"/>
      <c r="BL281" s="135"/>
      <c r="BM281" s="135"/>
      <c r="BN281" s="135"/>
      <c r="BO281" s="135"/>
      <c r="BP281" s="135"/>
      <c r="BQ281" s="135"/>
      <c r="BR281" s="135"/>
      <c r="BS281" s="135"/>
      <c r="BT281" s="135"/>
    </row>
    <row r="282" spans="1:72" s="196" customFormat="1">
      <c r="A282" s="135"/>
      <c r="B282" s="135"/>
      <c r="C282" s="135"/>
      <c r="D282" s="135"/>
      <c r="E282" s="135"/>
      <c r="F282" s="135"/>
      <c r="G282" s="135"/>
      <c r="H282" s="135"/>
      <c r="I282" s="135"/>
      <c r="J282" s="135"/>
      <c r="K282" s="135"/>
      <c r="L282" s="135"/>
      <c r="M282" s="135"/>
      <c r="N282" s="135"/>
      <c r="O282" s="135"/>
      <c r="P282" s="135"/>
      <c r="Q282" s="135"/>
      <c r="R282" s="135"/>
      <c r="S282" s="135"/>
      <c r="T282" s="135"/>
      <c r="U282" s="135"/>
      <c r="V282" s="135"/>
      <c r="W282" s="135"/>
      <c r="X282" s="135"/>
      <c r="Y282" s="135"/>
      <c r="Z282" s="135"/>
      <c r="AA282" s="135"/>
      <c r="AB282" s="135"/>
      <c r="AC282" s="135"/>
      <c r="AD282" s="135"/>
      <c r="AE282" s="135"/>
      <c r="AF282" s="135"/>
      <c r="AG282" s="135"/>
      <c r="AH282" s="135"/>
      <c r="AI282" s="135"/>
      <c r="AJ282" s="135"/>
      <c r="AK282" s="135"/>
      <c r="AL282" s="135"/>
      <c r="AM282" s="135"/>
      <c r="AN282" s="135"/>
      <c r="AO282" s="135"/>
      <c r="AP282" s="135"/>
      <c r="AQ282" s="135"/>
      <c r="AR282" s="135"/>
      <c r="AS282" s="135"/>
      <c r="AT282" s="135"/>
      <c r="AU282" s="135"/>
      <c r="AV282" s="135"/>
      <c r="AW282" s="135"/>
      <c r="AX282" s="135"/>
      <c r="AY282" s="135"/>
      <c r="AZ282" s="135"/>
      <c r="BA282" s="135"/>
      <c r="BB282" s="135"/>
      <c r="BC282" s="135"/>
      <c r="BD282" s="135"/>
      <c r="BE282" s="135"/>
      <c r="BF282" s="135"/>
      <c r="BG282" s="135"/>
      <c r="BH282" s="135"/>
      <c r="BI282" s="135"/>
      <c r="BJ282" s="135"/>
      <c r="BK282" s="135"/>
      <c r="BL282" s="135"/>
      <c r="BM282" s="135"/>
      <c r="BN282" s="135"/>
      <c r="BO282" s="135"/>
      <c r="BP282" s="135"/>
      <c r="BQ282" s="135"/>
      <c r="BR282" s="135"/>
      <c r="BS282" s="135"/>
      <c r="BT282" s="135"/>
    </row>
    <row r="283" spans="1:72" s="196" customFormat="1">
      <c r="A283" s="135"/>
      <c r="B283" s="135"/>
      <c r="C283" s="135"/>
      <c r="D283" s="135"/>
      <c r="E283" s="135"/>
      <c r="F283" s="135"/>
      <c r="G283" s="135"/>
      <c r="H283" s="135"/>
      <c r="I283" s="135"/>
      <c r="J283" s="135"/>
      <c r="K283" s="135"/>
      <c r="L283" s="135"/>
      <c r="M283" s="135"/>
      <c r="N283" s="135"/>
      <c r="O283" s="135"/>
      <c r="P283" s="135"/>
      <c r="Q283" s="135"/>
      <c r="R283" s="135"/>
      <c r="S283" s="135"/>
      <c r="T283" s="135"/>
      <c r="U283" s="135"/>
      <c r="V283" s="135"/>
      <c r="W283" s="135"/>
      <c r="X283" s="135"/>
      <c r="Y283" s="135"/>
      <c r="Z283" s="135"/>
      <c r="AA283" s="135"/>
      <c r="AB283" s="135"/>
      <c r="AC283" s="135"/>
      <c r="AD283" s="135"/>
      <c r="AE283" s="135"/>
      <c r="AF283" s="135"/>
      <c r="AG283" s="135"/>
      <c r="AH283" s="135"/>
      <c r="AI283" s="135"/>
      <c r="AJ283" s="135"/>
      <c r="AK283" s="135"/>
      <c r="AL283" s="135"/>
      <c r="AM283" s="135"/>
      <c r="AN283" s="135"/>
      <c r="AO283" s="135"/>
      <c r="AP283" s="135"/>
      <c r="AQ283" s="135"/>
      <c r="AR283" s="135"/>
      <c r="AS283" s="135"/>
      <c r="AT283" s="135"/>
      <c r="AU283" s="135"/>
      <c r="AV283" s="135"/>
      <c r="AW283" s="135"/>
      <c r="AX283" s="135"/>
      <c r="AY283" s="135"/>
      <c r="AZ283" s="135"/>
      <c r="BA283" s="135"/>
      <c r="BB283" s="135"/>
      <c r="BC283" s="135"/>
      <c r="BD283" s="135"/>
      <c r="BE283" s="135"/>
      <c r="BF283" s="135"/>
      <c r="BG283" s="135"/>
      <c r="BH283" s="135"/>
      <c r="BI283" s="135"/>
      <c r="BJ283" s="135"/>
      <c r="BK283" s="135"/>
      <c r="BL283" s="135"/>
      <c r="BM283" s="135"/>
      <c r="BN283" s="135"/>
      <c r="BO283" s="135"/>
      <c r="BP283" s="135"/>
      <c r="BQ283" s="135"/>
      <c r="BR283" s="135"/>
      <c r="BS283" s="135"/>
      <c r="BT283" s="135"/>
    </row>
    <row r="284" spans="1:72" s="196" customFormat="1">
      <c r="A284" s="135"/>
      <c r="B284" s="135"/>
      <c r="C284" s="135"/>
      <c r="D284" s="135"/>
      <c r="E284" s="135"/>
      <c r="F284" s="135"/>
      <c r="G284" s="135"/>
      <c r="H284" s="135"/>
      <c r="I284" s="135"/>
      <c r="J284" s="135"/>
      <c r="K284" s="135"/>
      <c r="L284" s="135"/>
      <c r="M284" s="135"/>
      <c r="N284" s="135"/>
      <c r="O284" s="135"/>
      <c r="P284" s="135"/>
      <c r="Q284" s="135"/>
      <c r="R284" s="135"/>
      <c r="S284" s="135"/>
      <c r="T284" s="135"/>
      <c r="U284" s="135"/>
      <c r="V284" s="135"/>
      <c r="W284" s="135"/>
      <c r="X284" s="135"/>
      <c r="Y284" s="135"/>
      <c r="Z284" s="135"/>
      <c r="AA284" s="135"/>
      <c r="AB284" s="135"/>
      <c r="AC284" s="135"/>
      <c r="AD284" s="135"/>
      <c r="AE284" s="135"/>
      <c r="AF284" s="135"/>
      <c r="AG284" s="135"/>
      <c r="AH284" s="135"/>
      <c r="AI284" s="135"/>
      <c r="AJ284" s="135"/>
      <c r="AK284" s="135"/>
      <c r="AL284" s="135"/>
      <c r="AM284" s="135"/>
      <c r="AN284" s="135"/>
      <c r="AO284" s="135"/>
      <c r="AP284" s="135"/>
      <c r="AQ284" s="135"/>
      <c r="AR284" s="135"/>
      <c r="AS284" s="135"/>
      <c r="AT284" s="135"/>
      <c r="AU284" s="135"/>
      <c r="AV284" s="135"/>
      <c r="AW284" s="135"/>
      <c r="AX284" s="135"/>
      <c r="AY284" s="135"/>
      <c r="AZ284" s="135"/>
      <c r="BA284" s="135"/>
      <c r="BB284" s="135"/>
      <c r="BC284" s="135"/>
      <c r="BD284" s="135"/>
      <c r="BE284" s="135"/>
      <c r="BF284" s="135"/>
      <c r="BG284" s="135"/>
      <c r="BH284" s="135"/>
      <c r="BI284" s="135"/>
      <c r="BJ284" s="135"/>
      <c r="BK284" s="135"/>
      <c r="BL284" s="135"/>
      <c r="BM284" s="135"/>
      <c r="BN284" s="135"/>
      <c r="BO284" s="135"/>
      <c r="BP284" s="135"/>
      <c r="BQ284" s="135"/>
      <c r="BR284" s="135"/>
      <c r="BS284" s="135"/>
      <c r="BT284" s="135"/>
    </row>
    <row r="285" spans="1:72" s="196" customFormat="1">
      <c r="A285" s="135"/>
      <c r="B285" s="135"/>
      <c r="C285" s="135"/>
      <c r="D285" s="135"/>
      <c r="E285" s="135"/>
      <c r="F285" s="135"/>
      <c r="G285" s="135"/>
      <c r="H285" s="135"/>
      <c r="I285" s="135"/>
      <c r="J285" s="135"/>
      <c r="K285" s="135"/>
      <c r="L285" s="135"/>
      <c r="M285" s="135"/>
      <c r="N285" s="135"/>
      <c r="O285" s="135"/>
      <c r="P285" s="135"/>
      <c r="Q285" s="135"/>
      <c r="R285" s="135"/>
      <c r="S285" s="135"/>
      <c r="T285" s="135"/>
      <c r="U285" s="135"/>
      <c r="V285" s="135"/>
      <c r="W285" s="135"/>
      <c r="X285" s="135"/>
      <c r="Y285" s="135"/>
      <c r="Z285" s="135"/>
      <c r="AA285" s="135"/>
      <c r="AB285" s="135"/>
      <c r="AC285" s="135"/>
      <c r="AD285" s="135"/>
      <c r="AE285" s="135"/>
      <c r="AF285" s="135"/>
      <c r="AG285" s="135"/>
      <c r="AH285" s="135"/>
      <c r="AI285" s="135"/>
      <c r="AJ285" s="135"/>
      <c r="AK285" s="135"/>
      <c r="AL285" s="135"/>
      <c r="AM285" s="135"/>
      <c r="AN285" s="135"/>
      <c r="AO285" s="135"/>
      <c r="AP285" s="135"/>
      <c r="AQ285" s="135"/>
      <c r="AR285" s="135"/>
      <c r="AS285" s="135"/>
      <c r="AT285" s="135"/>
      <c r="AU285" s="135"/>
      <c r="AV285" s="135"/>
      <c r="AW285" s="135"/>
      <c r="AX285" s="135"/>
      <c r="AY285" s="135"/>
      <c r="AZ285" s="135"/>
      <c r="BA285" s="135"/>
      <c r="BB285" s="135"/>
      <c r="BC285" s="135"/>
      <c r="BD285" s="135"/>
      <c r="BE285" s="135"/>
      <c r="BF285" s="135"/>
      <c r="BG285" s="135"/>
      <c r="BH285" s="135"/>
      <c r="BI285" s="135"/>
      <c r="BJ285" s="135"/>
      <c r="BK285" s="135"/>
      <c r="BL285" s="135"/>
      <c r="BM285" s="135"/>
      <c r="BN285" s="135"/>
      <c r="BO285" s="135"/>
      <c r="BP285" s="135"/>
      <c r="BQ285" s="135"/>
      <c r="BR285" s="135"/>
      <c r="BS285" s="135"/>
      <c r="BT285" s="135"/>
    </row>
    <row r="286" spans="1:72" s="196" customFormat="1">
      <c r="A286" s="135"/>
      <c r="B286" s="135"/>
      <c r="C286" s="135"/>
      <c r="D286" s="135"/>
      <c r="E286" s="135"/>
      <c r="F286" s="135"/>
      <c r="G286" s="135"/>
      <c r="H286" s="135"/>
      <c r="I286" s="135"/>
      <c r="J286" s="135"/>
      <c r="K286" s="135"/>
      <c r="L286" s="135"/>
      <c r="M286" s="135"/>
      <c r="N286" s="135"/>
      <c r="O286" s="135"/>
      <c r="P286" s="135"/>
      <c r="Q286" s="135"/>
      <c r="R286" s="135"/>
      <c r="S286" s="135"/>
      <c r="T286" s="135"/>
      <c r="U286" s="135"/>
      <c r="V286" s="135"/>
      <c r="W286" s="135"/>
      <c r="X286" s="135"/>
      <c r="Y286" s="135"/>
      <c r="Z286" s="135"/>
      <c r="AA286" s="135"/>
      <c r="AB286" s="135"/>
      <c r="AC286" s="135"/>
      <c r="AD286" s="135"/>
      <c r="AE286" s="135"/>
      <c r="AF286" s="135"/>
      <c r="AG286" s="135"/>
      <c r="AH286" s="135"/>
      <c r="AI286" s="135"/>
      <c r="AJ286" s="135"/>
      <c r="AK286" s="135"/>
      <c r="AL286" s="135"/>
      <c r="AM286" s="135"/>
      <c r="AN286" s="135"/>
      <c r="AO286" s="135"/>
      <c r="AP286" s="135"/>
      <c r="AQ286" s="135"/>
      <c r="AR286" s="135"/>
      <c r="AS286" s="135"/>
      <c r="AT286" s="135"/>
      <c r="AU286" s="135"/>
      <c r="AV286" s="135"/>
      <c r="AW286" s="135"/>
      <c r="AX286" s="135"/>
      <c r="AY286" s="135"/>
      <c r="AZ286" s="135"/>
      <c r="BA286" s="135"/>
      <c r="BB286" s="135"/>
      <c r="BC286" s="135"/>
      <c r="BD286" s="135"/>
      <c r="BE286" s="135"/>
      <c r="BF286" s="135"/>
      <c r="BG286" s="135"/>
      <c r="BH286" s="135"/>
      <c r="BI286" s="135"/>
      <c r="BJ286" s="135"/>
      <c r="BK286" s="135"/>
      <c r="BL286" s="135"/>
      <c r="BM286" s="135"/>
      <c r="BN286" s="135"/>
      <c r="BO286" s="135"/>
      <c r="BP286" s="135"/>
      <c r="BQ286" s="135"/>
      <c r="BR286" s="135"/>
      <c r="BS286" s="135"/>
      <c r="BT286" s="135"/>
    </row>
    <row r="287" spans="1:72" s="196" customFormat="1">
      <c r="A287" s="135"/>
      <c r="B287" s="135"/>
      <c r="C287" s="135"/>
      <c r="D287" s="135"/>
      <c r="E287" s="135"/>
      <c r="F287" s="135"/>
      <c r="G287" s="135"/>
      <c r="H287" s="135"/>
      <c r="I287" s="135"/>
      <c r="J287" s="135"/>
      <c r="K287" s="135"/>
      <c r="L287" s="135"/>
      <c r="M287" s="135"/>
      <c r="N287" s="135"/>
      <c r="O287" s="135"/>
      <c r="P287" s="135"/>
      <c r="Q287" s="135"/>
      <c r="R287" s="135"/>
      <c r="S287" s="135"/>
      <c r="T287" s="135"/>
      <c r="U287" s="135"/>
      <c r="V287" s="135"/>
      <c r="W287" s="135"/>
      <c r="X287" s="135"/>
      <c r="Y287" s="135"/>
      <c r="Z287" s="135"/>
      <c r="AA287" s="135"/>
      <c r="AB287" s="135"/>
      <c r="AC287" s="135"/>
      <c r="AD287" s="135"/>
      <c r="AE287" s="135"/>
      <c r="AF287" s="135"/>
      <c r="AG287" s="135"/>
      <c r="AH287" s="135"/>
      <c r="AI287" s="135"/>
      <c r="AJ287" s="135"/>
      <c r="AK287" s="135"/>
      <c r="AL287" s="135"/>
      <c r="AM287" s="135"/>
      <c r="AN287" s="135"/>
      <c r="AO287" s="135"/>
      <c r="AP287" s="135"/>
      <c r="AQ287" s="135"/>
      <c r="AR287" s="135"/>
      <c r="AS287" s="135"/>
      <c r="AT287" s="135"/>
      <c r="AU287" s="135"/>
      <c r="AV287" s="135"/>
      <c r="AW287" s="135"/>
      <c r="AX287" s="135"/>
      <c r="AY287" s="135"/>
      <c r="AZ287" s="135"/>
      <c r="BA287" s="135"/>
      <c r="BB287" s="135"/>
      <c r="BC287" s="135"/>
      <c r="BD287" s="135"/>
      <c r="BE287" s="135"/>
      <c r="BF287" s="135"/>
      <c r="BG287" s="135"/>
      <c r="BH287" s="135"/>
      <c r="BI287" s="135"/>
      <c r="BJ287" s="135"/>
      <c r="BK287" s="135"/>
      <c r="BL287" s="135"/>
      <c r="BM287" s="135"/>
      <c r="BN287" s="135"/>
      <c r="BO287" s="135"/>
      <c r="BP287" s="135"/>
      <c r="BQ287" s="135"/>
      <c r="BR287" s="135"/>
      <c r="BS287" s="135"/>
      <c r="BT287" s="135"/>
    </row>
    <row r="288" spans="1:72" s="196" customFormat="1">
      <c r="A288" s="135"/>
      <c r="B288" s="135"/>
      <c r="C288" s="135"/>
      <c r="D288" s="135"/>
      <c r="E288" s="135"/>
      <c r="F288" s="135"/>
      <c r="G288" s="135"/>
      <c r="H288" s="135"/>
      <c r="I288" s="135"/>
      <c r="J288" s="135"/>
      <c r="K288" s="135"/>
      <c r="L288" s="135"/>
      <c r="M288" s="135"/>
      <c r="N288" s="135"/>
      <c r="O288" s="135"/>
      <c r="P288" s="135"/>
      <c r="Q288" s="135"/>
      <c r="R288" s="135"/>
      <c r="S288" s="135"/>
      <c r="T288" s="135"/>
      <c r="U288" s="135"/>
      <c r="V288" s="135"/>
      <c r="W288" s="135"/>
      <c r="X288" s="135"/>
      <c r="Y288" s="135"/>
      <c r="Z288" s="135"/>
      <c r="AA288" s="135"/>
      <c r="AB288" s="135"/>
      <c r="AC288" s="135"/>
      <c r="AD288" s="135"/>
      <c r="AE288" s="135"/>
      <c r="AF288" s="135"/>
      <c r="AG288" s="135"/>
      <c r="AH288" s="135"/>
      <c r="AI288" s="135"/>
      <c r="AJ288" s="135"/>
      <c r="AK288" s="135"/>
      <c r="AL288" s="135"/>
      <c r="AM288" s="135"/>
      <c r="AN288" s="135"/>
      <c r="AO288" s="135"/>
      <c r="AP288" s="135"/>
      <c r="AQ288" s="135"/>
      <c r="AR288" s="135"/>
      <c r="AS288" s="135"/>
      <c r="AT288" s="135"/>
      <c r="AU288" s="135"/>
      <c r="AV288" s="135"/>
      <c r="AW288" s="135"/>
      <c r="AX288" s="135"/>
      <c r="AY288" s="135"/>
      <c r="AZ288" s="135"/>
      <c r="BA288" s="135"/>
      <c r="BB288" s="135"/>
      <c r="BC288" s="135"/>
      <c r="BD288" s="135"/>
      <c r="BE288" s="135"/>
      <c r="BF288" s="135"/>
      <c r="BG288" s="135"/>
      <c r="BH288" s="135"/>
      <c r="BI288" s="135"/>
      <c r="BJ288" s="135"/>
      <c r="BK288" s="135"/>
      <c r="BL288" s="135"/>
      <c r="BM288" s="135"/>
      <c r="BN288" s="135"/>
      <c r="BO288" s="135"/>
      <c r="BP288" s="135"/>
      <c r="BQ288" s="135"/>
      <c r="BR288" s="135"/>
      <c r="BS288" s="135"/>
      <c r="BT288" s="135"/>
    </row>
    <row r="289" spans="1:72" s="196" customFormat="1">
      <c r="A289" s="135"/>
      <c r="B289" s="135"/>
      <c r="C289" s="135"/>
      <c r="D289" s="135"/>
      <c r="E289" s="135"/>
      <c r="F289" s="135"/>
      <c r="G289" s="135"/>
      <c r="H289" s="135"/>
      <c r="I289" s="135"/>
      <c r="J289" s="135"/>
      <c r="K289" s="135"/>
      <c r="L289" s="135"/>
      <c r="M289" s="135"/>
      <c r="N289" s="135"/>
      <c r="O289" s="135"/>
      <c r="P289" s="135"/>
      <c r="Q289" s="135"/>
      <c r="R289" s="135"/>
      <c r="S289" s="135"/>
      <c r="T289" s="135"/>
      <c r="U289" s="135"/>
      <c r="V289" s="135"/>
      <c r="W289" s="135"/>
      <c r="X289" s="135"/>
      <c r="Y289" s="135"/>
      <c r="Z289" s="135"/>
      <c r="AA289" s="135"/>
      <c r="AB289" s="135"/>
      <c r="AC289" s="135"/>
      <c r="AD289" s="135"/>
      <c r="AE289" s="135"/>
      <c r="AF289" s="135"/>
      <c r="AG289" s="135"/>
      <c r="AH289" s="135"/>
      <c r="AI289" s="135"/>
      <c r="AJ289" s="135"/>
      <c r="AK289" s="135"/>
      <c r="AL289" s="135"/>
      <c r="AM289" s="135"/>
      <c r="AN289" s="135"/>
      <c r="AO289" s="135"/>
      <c r="AP289" s="135"/>
      <c r="AQ289" s="135"/>
      <c r="AR289" s="135"/>
      <c r="AS289" s="135"/>
      <c r="AT289" s="135"/>
      <c r="AU289" s="135"/>
      <c r="AV289" s="135"/>
      <c r="AW289" s="135"/>
      <c r="AX289" s="135"/>
      <c r="AY289" s="135"/>
      <c r="AZ289" s="135"/>
      <c r="BA289" s="135"/>
      <c r="BB289" s="135"/>
      <c r="BC289" s="135"/>
      <c r="BD289" s="135"/>
      <c r="BE289" s="135"/>
      <c r="BF289" s="135"/>
      <c r="BG289" s="135"/>
      <c r="BH289" s="135"/>
      <c r="BI289" s="135"/>
      <c r="BJ289" s="135"/>
      <c r="BK289" s="135"/>
      <c r="BL289" s="135"/>
      <c r="BM289" s="135"/>
      <c r="BN289" s="135"/>
      <c r="BO289" s="135"/>
      <c r="BP289" s="135"/>
      <c r="BQ289" s="135"/>
      <c r="BR289" s="135"/>
      <c r="BS289" s="135"/>
      <c r="BT289" s="135"/>
    </row>
    <row r="290" spans="1:72" s="196" customFormat="1">
      <c r="A290" s="135"/>
      <c r="B290" s="135"/>
      <c r="C290" s="135"/>
      <c r="D290" s="135"/>
      <c r="E290" s="135"/>
      <c r="F290" s="135"/>
      <c r="G290" s="135"/>
      <c r="H290" s="135"/>
      <c r="I290" s="135"/>
      <c r="J290" s="135"/>
      <c r="K290" s="135"/>
      <c r="L290" s="135"/>
      <c r="M290" s="135"/>
      <c r="N290" s="135"/>
      <c r="O290" s="135"/>
      <c r="P290" s="135"/>
      <c r="Q290" s="135"/>
      <c r="R290" s="135"/>
      <c r="S290" s="135"/>
      <c r="T290" s="135"/>
      <c r="U290" s="135"/>
      <c r="V290" s="135"/>
      <c r="W290" s="135"/>
      <c r="X290" s="135"/>
      <c r="Y290" s="135"/>
      <c r="Z290" s="135"/>
      <c r="AA290" s="135"/>
      <c r="AB290" s="135"/>
      <c r="AC290" s="135"/>
      <c r="AD290" s="135"/>
      <c r="AE290" s="135"/>
      <c r="AF290" s="135"/>
      <c r="AG290" s="135"/>
      <c r="AH290" s="135"/>
      <c r="AI290" s="135"/>
      <c r="AJ290" s="135"/>
      <c r="AK290" s="135"/>
      <c r="AL290" s="135"/>
      <c r="AM290" s="135"/>
      <c r="AN290" s="135"/>
      <c r="AO290" s="135"/>
      <c r="AP290" s="135"/>
      <c r="AQ290" s="135"/>
      <c r="AR290" s="135"/>
      <c r="AS290" s="135"/>
      <c r="AT290" s="135"/>
      <c r="AU290" s="135"/>
      <c r="AV290" s="135"/>
      <c r="AW290" s="135"/>
      <c r="AX290" s="135"/>
      <c r="AY290" s="135"/>
      <c r="AZ290" s="135"/>
      <c r="BA290" s="135"/>
      <c r="BB290" s="135"/>
      <c r="BC290" s="135"/>
      <c r="BD290" s="135"/>
      <c r="BE290" s="135"/>
      <c r="BF290" s="135"/>
      <c r="BG290" s="135"/>
      <c r="BH290" s="135"/>
      <c r="BI290" s="135"/>
      <c r="BJ290" s="135"/>
      <c r="BK290" s="135"/>
      <c r="BL290" s="135"/>
      <c r="BM290" s="135"/>
      <c r="BN290" s="135"/>
      <c r="BO290" s="135"/>
      <c r="BP290" s="135"/>
      <c r="BQ290" s="135"/>
      <c r="BR290" s="135"/>
      <c r="BS290" s="135"/>
      <c r="BT290" s="135"/>
    </row>
    <row r="291" spans="1:72" s="196" customFormat="1">
      <c r="A291" s="135"/>
      <c r="B291" s="135"/>
      <c r="C291" s="135"/>
      <c r="D291" s="135"/>
      <c r="E291" s="135"/>
      <c r="F291" s="135"/>
      <c r="G291" s="135"/>
      <c r="H291" s="135"/>
      <c r="I291" s="135"/>
      <c r="J291" s="135"/>
      <c r="K291" s="135"/>
      <c r="L291" s="135"/>
      <c r="M291" s="135"/>
      <c r="N291" s="135"/>
      <c r="O291" s="135"/>
      <c r="P291" s="135"/>
      <c r="Q291" s="135"/>
      <c r="R291" s="135"/>
      <c r="S291" s="135"/>
      <c r="T291" s="135"/>
      <c r="U291" s="135"/>
      <c r="V291" s="135"/>
      <c r="W291" s="135"/>
      <c r="X291" s="135"/>
      <c r="Y291" s="135"/>
      <c r="Z291" s="135"/>
      <c r="AA291" s="135"/>
      <c r="AB291" s="135"/>
      <c r="AC291" s="135"/>
      <c r="AD291" s="135"/>
      <c r="AE291" s="135"/>
      <c r="AF291" s="135"/>
      <c r="AG291" s="135"/>
      <c r="AH291" s="135"/>
      <c r="AI291" s="135"/>
      <c r="AJ291" s="135"/>
      <c r="AK291" s="135"/>
      <c r="AL291" s="135"/>
      <c r="AM291" s="135"/>
      <c r="AN291" s="135"/>
      <c r="AO291" s="135"/>
      <c r="AP291" s="135"/>
      <c r="AQ291" s="135"/>
      <c r="AR291" s="135"/>
      <c r="AS291" s="135"/>
      <c r="AT291" s="135"/>
      <c r="AU291" s="135"/>
      <c r="AV291" s="135"/>
      <c r="AW291" s="135"/>
      <c r="AX291" s="135"/>
      <c r="AY291" s="135"/>
      <c r="AZ291" s="135"/>
      <c r="BA291" s="135"/>
      <c r="BB291" s="135"/>
      <c r="BC291" s="135"/>
      <c r="BD291" s="135"/>
      <c r="BE291" s="135"/>
      <c r="BF291" s="135"/>
      <c r="BG291" s="135"/>
      <c r="BH291" s="135"/>
      <c r="BI291" s="135"/>
      <c r="BJ291" s="135"/>
      <c r="BK291" s="135"/>
      <c r="BL291" s="135"/>
      <c r="BM291" s="135"/>
      <c r="BN291" s="135"/>
      <c r="BO291" s="135"/>
      <c r="BP291" s="135"/>
      <c r="BQ291" s="135"/>
      <c r="BR291" s="135"/>
      <c r="BS291" s="135"/>
      <c r="BT291" s="135"/>
    </row>
    <row r="292" spans="1:72" s="196" customFormat="1">
      <c r="A292" s="135"/>
      <c r="B292" s="135"/>
      <c r="C292" s="135"/>
      <c r="D292" s="135"/>
      <c r="E292" s="135"/>
      <c r="F292" s="135"/>
      <c r="G292" s="135"/>
      <c r="H292" s="135"/>
      <c r="I292" s="135"/>
      <c r="J292" s="135"/>
      <c r="K292" s="135"/>
      <c r="L292" s="135"/>
      <c r="M292" s="135"/>
      <c r="N292" s="135"/>
      <c r="O292" s="135"/>
      <c r="P292" s="135"/>
      <c r="Q292" s="135"/>
      <c r="R292" s="135"/>
      <c r="S292" s="135"/>
      <c r="T292" s="135"/>
      <c r="U292" s="135"/>
      <c r="V292" s="135"/>
      <c r="W292" s="135"/>
      <c r="X292" s="135"/>
      <c r="Y292" s="135"/>
      <c r="Z292" s="135"/>
      <c r="AA292" s="135"/>
      <c r="AB292" s="135"/>
      <c r="AC292" s="135"/>
      <c r="AD292" s="135"/>
      <c r="AE292" s="135"/>
      <c r="AF292" s="135"/>
      <c r="AG292" s="135"/>
      <c r="AH292" s="135"/>
      <c r="AI292" s="135"/>
      <c r="AJ292" s="135"/>
      <c r="AK292" s="135"/>
      <c r="AL292" s="135"/>
      <c r="AM292" s="135"/>
      <c r="AN292" s="135"/>
      <c r="AO292" s="135"/>
      <c r="AP292" s="135"/>
      <c r="AQ292" s="135"/>
      <c r="AR292" s="135"/>
      <c r="AS292" s="135"/>
      <c r="AT292" s="135"/>
      <c r="AU292" s="135"/>
      <c r="AV292" s="135"/>
      <c r="AW292" s="135"/>
      <c r="AX292" s="135"/>
      <c r="AY292" s="135"/>
      <c r="AZ292" s="135"/>
      <c r="BA292" s="135"/>
      <c r="BB292" s="135"/>
      <c r="BC292" s="135"/>
      <c r="BD292" s="135"/>
      <c r="BE292" s="135"/>
      <c r="BF292" s="135"/>
      <c r="BG292" s="135"/>
      <c r="BH292" s="135"/>
      <c r="BI292" s="135"/>
      <c r="BJ292" s="135"/>
      <c r="BK292" s="135"/>
      <c r="BL292" s="135"/>
      <c r="BM292" s="135"/>
      <c r="BN292" s="135"/>
      <c r="BO292" s="135"/>
      <c r="BP292" s="135"/>
      <c r="BQ292" s="135"/>
      <c r="BR292" s="135"/>
      <c r="BS292" s="135"/>
      <c r="BT292" s="135"/>
    </row>
    <row r="293" spans="1:72" s="196" customFormat="1">
      <c r="A293" s="135"/>
      <c r="B293" s="135"/>
      <c r="C293" s="135"/>
      <c r="D293" s="135"/>
      <c r="E293" s="135"/>
      <c r="F293" s="135"/>
      <c r="G293" s="135"/>
      <c r="H293" s="135"/>
      <c r="I293" s="135"/>
      <c r="J293" s="135"/>
      <c r="K293" s="135"/>
      <c r="L293" s="135"/>
      <c r="M293" s="135"/>
      <c r="N293" s="135"/>
      <c r="O293" s="135"/>
      <c r="P293" s="135"/>
      <c r="Q293" s="135"/>
      <c r="R293" s="135"/>
      <c r="S293" s="135"/>
      <c r="T293" s="135"/>
      <c r="U293" s="135"/>
      <c r="V293" s="135"/>
      <c r="W293" s="135"/>
      <c r="X293" s="135"/>
      <c r="Y293" s="135"/>
      <c r="Z293" s="135"/>
      <c r="AA293" s="135"/>
      <c r="AB293" s="135"/>
      <c r="AC293" s="135"/>
      <c r="AD293" s="135"/>
      <c r="AE293" s="135"/>
      <c r="AF293" s="135"/>
      <c r="AG293" s="135"/>
      <c r="AH293" s="135"/>
      <c r="AI293" s="135"/>
      <c r="AJ293" s="135"/>
      <c r="AK293" s="135"/>
      <c r="AL293" s="135"/>
      <c r="AM293" s="135"/>
      <c r="AN293" s="135"/>
      <c r="AO293" s="135"/>
      <c r="AP293" s="135"/>
      <c r="AQ293" s="135"/>
      <c r="AR293" s="135"/>
      <c r="AS293" s="135"/>
      <c r="AT293" s="135"/>
      <c r="AU293" s="135"/>
      <c r="AV293" s="135"/>
      <c r="AW293" s="135"/>
      <c r="AX293" s="135"/>
      <c r="AY293" s="135"/>
      <c r="AZ293" s="135"/>
      <c r="BA293" s="135"/>
      <c r="BB293" s="135"/>
      <c r="BC293" s="135"/>
      <c r="BD293" s="135"/>
      <c r="BE293" s="135"/>
      <c r="BF293" s="135"/>
      <c r="BG293" s="135"/>
      <c r="BH293" s="135"/>
      <c r="BI293" s="135"/>
      <c r="BJ293" s="135"/>
      <c r="BK293" s="135"/>
      <c r="BL293" s="135"/>
      <c r="BM293" s="135"/>
      <c r="BN293" s="135"/>
      <c r="BO293" s="135"/>
      <c r="BP293" s="135"/>
      <c r="BQ293" s="135"/>
      <c r="BR293" s="135"/>
      <c r="BS293" s="135"/>
      <c r="BT293" s="135"/>
    </row>
    <row r="294" spans="1:72" s="196" customFormat="1">
      <c r="A294" s="135"/>
      <c r="B294" s="135"/>
      <c r="C294" s="135"/>
      <c r="D294" s="135"/>
      <c r="E294" s="135"/>
      <c r="F294" s="135"/>
      <c r="G294" s="135"/>
      <c r="H294" s="135"/>
      <c r="I294" s="135"/>
      <c r="J294" s="135"/>
      <c r="K294" s="135"/>
      <c r="L294" s="135"/>
      <c r="M294" s="135"/>
      <c r="N294" s="135"/>
      <c r="O294" s="135"/>
      <c r="P294" s="135"/>
      <c r="Q294" s="135"/>
      <c r="R294" s="135"/>
      <c r="S294" s="135"/>
      <c r="T294" s="135"/>
      <c r="U294" s="135"/>
      <c r="V294" s="135"/>
      <c r="W294" s="135"/>
      <c r="X294" s="135"/>
      <c r="Y294" s="135"/>
      <c r="Z294" s="135"/>
      <c r="AA294" s="135"/>
      <c r="AB294" s="135"/>
      <c r="AC294" s="135"/>
      <c r="AD294" s="135"/>
      <c r="AE294" s="135"/>
      <c r="AF294" s="135"/>
      <c r="AG294" s="135"/>
      <c r="AH294" s="135"/>
      <c r="AI294" s="135"/>
      <c r="AJ294" s="135"/>
      <c r="AK294" s="135"/>
      <c r="AL294" s="135"/>
      <c r="AM294" s="135"/>
      <c r="AN294" s="135"/>
      <c r="AO294" s="135"/>
      <c r="AP294" s="135"/>
      <c r="AQ294" s="135"/>
      <c r="AR294" s="135"/>
      <c r="AS294" s="135"/>
      <c r="AT294" s="135"/>
      <c r="AU294" s="135"/>
      <c r="AV294" s="135"/>
      <c r="AW294" s="135"/>
      <c r="AX294" s="135"/>
      <c r="AY294" s="135"/>
      <c r="AZ294" s="135"/>
      <c r="BA294" s="135"/>
      <c r="BB294" s="135"/>
      <c r="BC294" s="135"/>
      <c r="BD294" s="135"/>
      <c r="BE294" s="135"/>
      <c r="BF294" s="135"/>
      <c r="BG294" s="135"/>
      <c r="BH294" s="135"/>
      <c r="BI294" s="135"/>
      <c r="BJ294" s="135"/>
      <c r="BK294" s="135"/>
      <c r="BL294" s="135"/>
      <c r="BM294" s="135"/>
      <c r="BN294" s="135"/>
      <c r="BO294" s="135"/>
      <c r="BP294" s="135"/>
      <c r="BQ294" s="135"/>
      <c r="BR294" s="135"/>
      <c r="BS294" s="135"/>
      <c r="BT294" s="135"/>
    </row>
    <row r="295" spans="1:72" s="196" customFormat="1">
      <c r="A295" s="135"/>
      <c r="B295" s="135"/>
      <c r="C295" s="135"/>
      <c r="D295" s="135"/>
      <c r="E295" s="135"/>
      <c r="F295" s="135"/>
      <c r="G295" s="135"/>
      <c r="H295" s="135"/>
      <c r="I295" s="135"/>
      <c r="J295" s="135"/>
      <c r="K295" s="135"/>
      <c r="L295" s="135"/>
      <c r="M295" s="135"/>
      <c r="N295" s="135"/>
      <c r="O295" s="135"/>
      <c r="P295" s="135"/>
      <c r="Q295" s="135"/>
      <c r="R295" s="135"/>
      <c r="S295" s="135"/>
      <c r="T295" s="135"/>
      <c r="U295" s="135"/>
      <c r="V295" s="135"/>
      <c r="W295" s="135"/>
      <c r="X295" s="135"/>
      <c r="Y295" s="135"/>
      <c r="Z295" s="135"/>
      <c r="AA295" s="135"/>
      <c r="AB295" s="135"/>
      <c r="AC295" s="135"/>
      <c r="AD295" s="135"/>
      <c r="AE295" s="135"/>
      <c r="AF295" s="135"/>
      <c r="AG295" s="135"/>
      <c r="AH295" s="135"/>
      <c r="AI295" s="135"/>
      <c r="AJ295" s="135"/>
      <c r="AK295" s="135"/>
      <c r="AL295" s="135"/>
      <c r="AM295" s="135"/>
      <c r="AN295" s="135"/>
      <c r="AO295" s="135"/>
      <c r="AP295" s="135"/>
      <c r="AQ295" s="135"/>
      <c r="AR295" s="135"/>
      <c r="AS295" s="135"/>
      <c r="AT295" s="135"/>
      <c r="AU295" s="135"/>
      <c r="AV295" s="135"/>
      <c r="AW295" s="135"/>
      <c r="AX295" s="135"/>
      <c r="AY295" s="135"/>
      <c r="AZ295" s="135"/>
      <c r="BA295" s="135"/>
      <c r="BB295" s="135"/>
      <c r="BC295" s="135"/>
      <c r="BD295" s="135"/>
      <c r="BE295" s="135"/>
      <c r="BF295" s="135"/>
      <c r="BG295" s="135"/>
      <c r="BH295" s="135"/>
      <c r="BI295" s="135"/>
      <c r="BJ295" s="135"/>
      <c r="BK295" s="135"/>
      <c r="BL295" s="135"/>
      <c r="BM295" s="135"/>
      <c r="BN295" s="135"/>
      <c r="BO295" s="135"/>
      <c r="BP295" s="135"/>
      <c r="BQ295" s="135"/>
      <c r="BR295" s="135"/>
      <c r="BS295" s="135"/>
      <c r="BT295" s="135"/>
    </row>
    <row r="296" spans="1:72" s="196" customFormat="1">
      <c r="A296" s="135"/>
      <c r="B296" s="135"/>
      <c r="C296" s="135"/>
      <c r="D296" s="135"/>
      <c r="E296" s="135"/>
      <c r="F296" s="135"/>
      <c r="G296" s="135"/>
      <c r="H296" s="135"/>
      <c r="I296" s="135"/>
      <c r="J296" s="135"/>
      <c r="K296" s="135"/>
      <c r="L296" s="135"/>
      <c r="M296" s="135"/>
      <c r="N296" s="135"/>
      <c r="O296" s="135"/>
      <c r="P296" s="135"/>
      <c r="Q296" s="135"/>
      <c r="R296" s="135"/>
      <c r="S296" s="135"/>
      <c r="T296" s="135"/>
      <c r="U296" s="135"/>
      <c r="V296" s="135"/>
      <c r="W296" s="135"/>
      <c r="X296" s="135"/>
      <c r="Y296" s="135"/>
      <c r="Z296" s="135"/>
      <c r="AA296" s="135"/>
      <c r="AB296" s="135"/>
      <c r="AC296" s="135"/>
      <c r="AD296" s="135"/>
      <c r="AE296" s="135"/>
      <c r="AF296" s="135"/>
      <c r="AG296" s="135"/>
      <c r="AH296" s="135"/>
      <c r="AI296" s="135"/>
      <c r="AJ296" s="135"/>
      <c r="AK296" s="135"/>
      <c r="AL296" s="135"/>
      <c r="AM296" s="135"/>
      <c r="AN296" s="135"/>
      <c r="AO296" s="135"/>
      <c r="AP296" s="135"/>
      <c r="AQ296" s="135"/>
      <c r="AR296" s="135"/>
      <c r="AS296" s="135"/>
      <c r="AT296" s="135"/>
      <c r="AU296" s="135"/>
      <c r="AV296" s="135"/>
      <c r="AW296" s="135"/>
      <c r="AX296" s="135"/>
      <c r="AY296" s="135"/>
      <c r="AZ296" s="135"/>
      <c r="BA296" s="135"/>
      <c r="BB296" s="135"/>
      <c r="BC296" s="135"/>
      <c r="BD296" s="135"/>
      <c r="BE296" s="135"/>
      <c r="BF296" s="135"/>
      <c r="BG296" s="135"/>
      <c r="BH296" s="135"/>
      <c r="BI296" s="135"/>
      <c r="BJ296" s="135"/>
      <c r="BK296" s="135"/>
      <c r="BL296" s="135"/>
      <c r="BM296" s="135"/>
      <c r="BN296" s="135"/>
      <c r="BO296" s="135"/>
      <c r="BP296" s="135"/>
      <c r="BQ296" s="135"/>
      <c r="BR296" s="135"/>
      <c r="BS296" s="135"/>
      <c r="BT296" s="135"/>
    </row>
    <row r="297" spans="1:72" s="196" customFormat="1">
      <c r="A297" s="135"/>
      <c r="B297" s="135"/>
      <c r="C297" s="135"/>
      <c r="D297" s="135"/>
      <c r="E297" s="135"/>
      <c r="F297" s="135"/>
      <c r="G297" s="135"/>
      <c r="H297" s="135"/>
      <c r="I297" s="135"/>
      <c r="J297" s="135"/>
      <c r="K297" s="135"/>
      <c r="L297" s="135"/>
      <c r="M297" s="135"/>
      <c r="N297" s="135"/>
      <c r="O297" s="135"/>
      <c r="P297" s="135"/>
      <c r="Q297" s="135"/>
      <c r="R297" s="135"/>
      <c r="S297" s="135"/>
      <c r="T297" s="135"/>
      <c r="U297" s="135"/>
      <c r="V297" s="135"/>
      <c r="W297" s="135"/>
      <c r="X297" s="135"/>
      <c r="Y297" s="135"/>
      <c r="Z297" s="135"/>
      <c r="AA297" s="135"/>
      <c r="AB297" s="135"/>
      <c r="AC297" s="135"/>
      <c r="AD297" s="135"/>
      <c r="AE297" s="135"/>
      <c r="AF297" s="135"/>
      <c r="AG297" s="135"/>
      <c r="AH297" s="135"/>
      <c r="AI297" s="135"/>
      <c r="AJ297" s="135"/>
      <c r="AK297" s="135"/>
      <c r="AL297" s="135"/>
      <c r="AM297" s="135"/>
      <c r="AN297" s="135"/>
      <c r="AO297" s="135"/>
      <c r="AP297" s="135"/>
      <c r="AQ297" s="135"/>
      <c r="AR297" s="135"/>
      <c r="AS297" s="135"/>
      <c r="AT297" s="135"/>
      <c r="AU297" s="135"/>
      <c r="AV297" s="135"/>
      <c r="AW297" s="135"/>
      <c r="AX297" s="135"/>
      <c r="AY297" s="135"/>
      <c r="AZ297" s="135"/>
      <c r="BA297" s="135"/>
      <c r="BB297" s="135"/>
      <c r="BC297" s="135"/>
      <c r="BD297" s="135"/>
      <c r="BE297" s="135"/>
      <c r="BF297" s="135"/>
      <c r="BG297" s="135"/>
      <c r="BH297" s="135"/>
      <c r="BI297" s="135"/>
      <c r="BJ297" s="135"/>
      <c r="BK297" s="135"/>
      <c r="BL297" s="135"/>
      <c r="BM297" s="135"/>
      <c r="BN297" s="135"/>
      <c r="BO297" s="135"/>
      <c r="BP297" s="135"/>
      <c r="BQ297" s="135"/>
      <c r="BR297" s="135"/>
      <c r="BS297" s="135"/>
      <c r="BT297" s="135"/>
    </row>
    <row r="298" spans="1:72" s="196" customFormat="1">
      <c r="A298" s="135"/>
      <c r="B298" s="135"/>
      <c r="C298" s="135"/>
      <c r="D298" s="135"/>
      <c r="E298" s="135"/>
      <c r="F298" s="135"/>
      <c r="G298" s="135"/>
      <c r="H298" s="135"/>
      <c r="I298" s="135"/>
      <c r="J298" s="135"/>
      <c r="K298" s="135"/>
      <c r="L298" s="135"/>
      <c r="M298" s="135"/>
      <c r="N298" s="135"/>
      <c r="O298" s="135"/>
      <c r="P298" s="135"/>
      <c r="Q298" s="135"/>
      <c r="R298" s="135"/>
      <c r="S298" s="135"/>
      <c r="T298" s="135"/>
      <c r="U298" s="135"/>
      <c r="V298" s="135"/>
      <c r="W298" s="135"/>
      <c r="X298" s="135"/>
      <c r="Y298" s="135"/>
      <c r="Z298" s="135"/>
      <c r="AA298" s="135"/>
      <c r="AB298" s="135"/>
      <c r="AC298" s="135"/>
      <c r="AD298" s="135"/>
      <c r="AE298" s="135"/>
      <c r="AF298" s="135"/>
      <c r="AG298" s="135"/>
      <c r="AH298" s="135"/>
      <c r="AI298" s="135"/>
      <c r="AJ298" s="135"/>
      <c r="AK298" s="135"/>
      <c r="AL298" s="135"/>
      <c r="AM298" s="135"/>
      <c r="AN298" s="135"/>
      <c r="AO298" s="135"/>
      <c r="AP298" s="135"/>
      <c r="AQ298" s="135"/>
      <c r="AR298" s="135"/>
      <c r="AS298" s="135"/>
      <c r="AT298" s="135"/>
      <c r="AU298" s="135"/>
      <c r="AV298" s="135"/>
      <c r="AW298" s="135"/>
      <c r="AX298" s="135"/>
      <c r="AY298" s="135"/>
      <c r="AZ298" s="135"/>
      <c r="BA298" s="135"/>
      <c r="BB298" s="135"/>
      <c r="BC298" s="135"/>
      <c r="BD298" s="135"/>
      <c r="BE298" s="135"/>
      <c r="BF298" s="135"/>
      <c r="BG298" s="135"/>
      <c r="BH298" s="135"/>
      <c r="BI298" s="135"/>
      <c r="BJ298" s="135"/>
      <c r="BK298" s="135"/>
      <c r="BL298" s="135"/>
      <c r="BM298" s="135"/>
      <c r="BN298" s="135"/>
      <c r="BO298" s="135"/>
      <c r="BP298" s="135"/>
      <c r="BQ298" s="135"/>
      <c r="BR298" s="135"/>
      <c r="BS298" s="135"/>
      <c r="BT298" s="135"/>
    </row>
    <row r="299" spans="1:72" s="196" customFormat="1">
      <c r="A299" s="135"/>
      <c r="B299" s="135"/>
      <c r="C299" s="135"/>
      <c r="D299" s="135"/>
      <c r="E299" s="135"/>
      <c r="F299" s="135"/>
      <c r="G299" s="135"/>
      <c r="H299" s="135"/>
      <c r="I299" s="135"/>
      <c r="J299" s="135"/>
      <c r="K299" s="135"/>
      <c r="L299" s="135"/>
      <c r="M299" s="135"/>
      <c r="N299" s="135"/>
      <c r="O299" s="135"/>
      <c r="P299" s="135"/>
      <c r="Q299" s="135"/>
      <c r="R299" s="135"/>
      <c r="S299" s="135"/>
      <c r="T299" s="135"/>
      <c r="U299" s="135"/>
      <c r="V299" s="135"/>
      <c r="W299" s="135"/>
      <c r="X299" s="135"/>
      <c r="Y299" s="135"/>
      <c r="Z299" s="135"/>
      <c r="AA299" s="135"/>
      <c r="AB299" s="135"/>
      <c r="AC299" s="135"/>
      <c r="AD299" s="135"/>
      <c r="AE299" s="135"/>
      <c r="AF299" s="135"/>
      <c r="AG299" s="135"/>
      <c r="AH299" s="135"/>
      <c r="AI299" s="135"/>
      <c r="AJ299" s="135"/>
      <c r="AK299" s="135"/>
      <c r="AL299" s="135"/>
      <c r="AM299" s="135"/>
      <c r="AN299" s="135"/>
      <c r="AO299" s="135"/>
      <c r="AP299" s="135"/>
      <c r="AQ299" s="135"/>
      <c r="AR299" s="135"/>
      <c r="AS299" s="135"/>
      <c r="AT299" s="135"/>
      <c r="AU299" s="135"/>
      <c r="AV299" s="135"/>
      <c r="AW299" s="135"/>
      <c r="AX299" s="135"/>
      <c r="AY299" s="135"/>
      <c r="AZ299" s="135"/>
      <c r="BA299" s="135"/>
      <c r="BB299" s="135"/>
      <c r="BC299" s="135"/>
      <c r="BD299" s="135"/>
      <c r="BE299" s="135"/>
      <c r="BF299" s="135"/>
      <c r="BG299" s="135"/>
      <c r="BH299" s="135"/>
      <c r="BI299" s="135"/>
      <c r="BJ299" s="135"/>
      <c r="BK299" s="135"/>
      <c r="BL299" s="135"/>
      <c r="BM299" s="135"/>
      <c r="BN299" s="135"/>
      <c r="BO299" s="135"/>
      <c r="BP299" s="135"/>
      <c r="BQ299" s="135"/>
      <c r="BR299" s="135"/>
      <c r="BS299" s="135"/>
      <c r="BT299" s="135"/>
    </row>
    <row r="300" spans="1:72" s="196" customFormat="1">
      <c r="A300" s="135"/>
      <c r="B300" s="135"/>
      <c r="C300" s="135"/>
      <c r="D300" s="135"/>
      <c r="E300" s="135"/>
      <c r="F300" s="135"/>
      <c r="G300" s="135"/>
      <c r="H300" s="135"/>
      <c r="I300" s="135"/>
      <c r="J300" s="135"/>
      <c r="K300" s="135"/>
      <c r="L300" s="135"/>
      <c r="M300" s="135"/>
      <c r="N300" s="135"/>
      <c r="O300" s="135"/>
      <c r="P300" s="135"/>
      <c r="Q300" s="135"/>
      <c r="R300" s="135"/>
      <c r="S300" s="135"/>
      <c r="T300" s="135"/>
      <c r="U300" s="135"/>
      <c r="V300" s="135"/>
      <c r="W300" s="135"/>
      <c r="X300" s="135"/>
      <c r="Y300" s="135"/>
      <c r="Z300" s="135"/>
      <c r="AA300" s="135"/>
      <c r="AB300" s="135"/>
      <c r="AC300" s="135"/>
      <c r="AD300" s="135"/>
      <c r="AE300" s="135"/>
      <c r="AF300" s="135"/>
      <c r="AG300" s="135"/>
      <c r="AH300" s="135"/>
      <c r="AI300" s="135"/>
      <c r="AJ300" s="135"/>
      <c r="AK300" s="135"/>
      <c r="AL300" s="135"/>
      <c r="AM300" s="135"/>
      <c r="AN300" s="135"/>
      <c r="AO300" s="135"/>
      <c r="AP300" s="135"/>
      <c r="AQ300" s="135"/>
      <c r="AR300" s="135"/>
      <c r="AS300" s="135"/>
      <c r="AT300" s="135"/>
      <c r="AU300" s="135"/>
      <c r="AV300" s="135"/>
      <c r="AW300" s="135"/>
      <c r="AX300" s="135"/>
      <c r="AY300" s="135"/>
      <c r="AZ300" s="135"/>
      <c r="BA300" s="135"/>
      <c r="BB300" s="135"/>
      <c r="BC300" s="135"/>
      <c r="BD300" s="135"/>
      <c r="BE300" s="135"/>
      <c r="BF300" s="135"/>
      <c r="BG300" s="135"/>
      <c r="BH300" s="135"/>
      <c r="BI300" s="135"/>
      <c r="BJ300" s="135"/>
      <c r="BK300" s="135"/>
      <c r="BL300" s="135"/>
      <c r="BM300" s="135"/>
      <c r="BN300" s="135"/>
      <c r="BO300" s="135"/>
      <c r="BP300" s="135"/>
      <c r="BQ300" s="135"/>
      <c r="BR300" s="135"/>
      <c r="BS300" s="135"/>
      <c r="BT300" s="135"/>
    </row>
    <row r="301" spans="1:72" s="196" customFormat="1">
      <c r="A301" s="135"/>
      <c r="B301" s="135"/>
      <c r="C301" s="135"/>
      <c r="D301" s="135"/>
      <c r="E301" s="135"/>
      <c r="F301" s="135"/>
      <c r="G301" s="135"/>
      <c r="H301" s="135"/>
      <c r="I301" s="135"/>
      <c r="J301" s="135"/>
      <c r="K301" s="135"/>
      <c r="L301" s="135"/>
      <c r="M301" s="135"/>
      <c r="N301" s="135"/>
      <c r="O301" s="135"/>
      <c r="P301" s="135"/>
      <c r="Q301" s="135"/>
      <c r="R301" s="135"/>
      <c r="S301" s="135"/>
      <c r="T301" s="135"/>
      <c r="U301" s="135"/>
      <c r="V301" s="135"/>
      <c r="W301" s="135"/>
      <c r="X301" s="135"/>
      <c r="Y301" s="135"/>
      <c r="Z301" s="135"/>
      <c r="AA301" s="135"/>
      <c r="AB301" s="135"/>
      <c r="AC301" s="135"/>
      <c r="AD301" s="135"/>
      <c r="AE301" s="135"/>
      <c r="AF301" s="135"/>
      <c r="AG301" s="135"/>
      <c r="AH301" s="135"/>
      <c r="AI301" s="135"/>
      <c r="AJ301" s="135"/>
      <c r="AK301" s="135"/>
      <c r="AL301" s="135"/>
      <c r="AM301" s="135"/>
      <c r="AN301" s="135"/>
      <c r="AO301" s="135"/>
      <c r="AP301" s="135"/>
      <c r="AQ301" s="135"/>
      <c r="AR301" s="135"/>
      <c r="AS301" s="135"/>
      <c r="AT301" s="135"/>
      <c r="AU301" s="135"/>
      <c r="AV301" s="135"/>
      <c r="AW301" s="135"/>
      <c r="AX301" s="135"/>
      <c r="AY301" s="135"/>
      <c r="AZ301" s="135"/>
      <c r="BA301" s="135"/>
      <c r="BB301" s="135"/>
      <c r="BC301" s="135"/>
      <c r="BD301" s="135"/>
      <c r="BE301" s="135"/>
      <c r="BF301" s="135"/>
      <c r="BG301" s="135"/>
      <c r="BH301" s="135"/>
      <c r="BI301" s="135"/>
      <c r="BJ301" s="135"/>
      <c r="BK301" s="135"/>
      <c r="BL301" s="135"/>
      <c r="BM301" s="135"/>
      <c r="BN301" s="135"/>
      <c r="BO301" s="135"/>
      <c r="BP301" s="135"/>
      <c r="BQ301" s="135"/>
      <c r="BR301" s="135"/>
      <c r="BS301" s="135"/>
      <c r="BT301" s="135"/>
    </row>
    <row r="302" spans="1:72" s="196" customFormat="1">
      <c r="A302" s="135"/>
      <c r="B302" s="135"/>
      <c r="C302" s="135"/>
      <c r="D302" s="135"/>
      <c r="E302" s="135"/>
      <c r="F302" s="135"/>
      <c r="G302" s="135"/>
      <c r="H302" s="135"/>
      <c r="I302" s="135"/>
      <c r="J302" s="135"/>
      <c r="K302" s="135"/>
      <c r="L302" s="135"/>
      <c r="M302" s="135"/>
      <c r="N302" s="135"/>
      <c r="O302" s="135"/>
      <c r="P302" s="135"/>
      <c r="Q302" s="135"/>
      <c r="R302" s="135"/>
      <c r="S302" s="135"/>
      <c r="T302" s="135"/>
      <c r="U302" s="135"/>
      <c r="V302" s="135"/>
      <c r="W302" s="135"/>
      <c r="X302" s="135"/>
      <c r="Y302" s="135"/>
      <c r="Z302" s="135"/>
      <c r="AA302" s="135"/>
      <c r="AB302" s="135"/>
      <c r="AC302" s="135"/>
      <c r="AD302" s="135"/>
      <c r="AE302" s="135"/>
      <c r="AF302" s="135"/>
      <c r="AG302" s="135"/>
      <c r="AH302" s="135"/>
      <c r="AI302" s="135"/>
      <c r="AJ302" s="135"/>
      <c r="AK302" s="135"/>
      <c r="AL302" s="135"/>
      <c r="AM302" s="135"/>
      <c r="AN302" s="135"/>
      <c r="AO302" s="135"/>
      <c r="AP302" s="135"/>
      <c r="AQ302" s="135"/>
      <c r="AR302" s="135"/>
      <c r="AS302" s="135"/>
      <c r="AT302" s="135"/>
      <c r="AU302" s="135"/>
      <c r="AV302" s="135"/>
      <c r="AW302" s="135"/>
      <c r="AX302" s="135"/>
      <c r="AY302" s="135"/>
      <c r="AZ302" s="135"/>
      <c r="BA302" s="135"/>
      <c r="BB302" s="135"/>
      <c r="BC302" s="135"/>
      <c r="BD302" s="135"/>
      <c r="BE302" s="135"/>
      <c r="BF302" s="135"/>
      <c r="BG302" s="135"/>
      <c r="BH302" s="135"/>
      <c r="BI302" s="135"/>
      <c r="BJ302" s="135"/>
      <c r="BK302" s="135"/>
      <c r="BL302" s="135"/>
      <c r="BM302" s="135"/>
      <c r="BN302" s="135"/>
      <c r="BO302" s="135"/>
      <c r="BP302" s="135"/>
      <c r="BQ302" s="135"/>
      <c r="BR302" s="135"/>
      <c r="BS302" s="135"/>
      <c r="BT302" s="135"/>
    </row>
    <row r="303" spans="1:72" s="196" customFormat="1">
      <c r="A303" s="135"/>
      <c r="B303" s="135"/>
      <c r="C303" s="135"/>
      <c r="D303" s="135"/>
      <c r="E303" s="135"/>
      <c r="F303" s="135"/>
      <c r="G303" s="135"/>
      <c r="H303" s="135"/>
      <c r="I303" s="135"/>
      <c r="J303" s="135"/>
      <c r="K303" s="135"/>
      <c r="L303" s="135"/>
      <c r="M303" s="135"/>
      <c r="N303" s="135"/>
      <c r="O303" s="135"/>
      <c r="P303" s="135"/>
      <c r="Q303" s="135"/>
      <c r="R303" s="135"/>
      <c r="S303" s="135"/>
      <c r="T303" s="135"/>
      <c r="U303" s="135"/>
      <c r="V303" s="135"/>
      <c r="W303" s="135"/>
      <c r="X303" s="135"/>
      <c r="Y303" s="135"/>
      <c r="Z303" s="135"/>
      <c r="AA303" s="135"/>
      <c r="AB303" s="135"/>
      <c r="AC303" s="135"/>
      <c r="AD303" s="135"/>
      <c r="AE303" s="135"/>
      <c r="AF303" s="135"/>
      <c r="AG303" s="135"/>
      <c r="AH303" s="135"/>
      <c r="AI303" s="135"/>
      <c r="AJ303" s="135"/>
      <c r="AK303" s="135"/>
      <c r="AL303" s="135"/>
      <c r="AM303" s="135"/>
      <c r="AN303" s="135"/>
      <c r="AO303" s="135"/>
      <c r="AP303" s="135"/>
      <c r="AQ303" s="135"/>
      <c r="AR303" s="135"/>
      <c r="AS303" s="135"/>
      <c r="AT303" s="135"/>
      <c r="AU303" s="135"/>
      <c r="AV303" s="135"/>
      <c r="AW303" s="135"/>
      <c r="AX303" s="135"/>
      <c r="AY303" s="135"/>
      <c r="AZ303" s="135"/>
      <c r="BA303" s="135"/>
      <c r="BB303" s="135"/>
      <c r="BC303" s="135"/>
      <c r="BD303" s="135"/>
      <c r="BE303" s="135"/>
      <c r="BF303" s="135"/>
      <c r="BG303" s="135"/>
      <c r="BH303" s="135"/>
      <c r="BI303" s="135"/>
      <c r="BJ303" s="135"/>
      <c r="BK303" s="135"/>
      <c r="BL303" s="135"/>
      <c r="BM303" s="135"/>
      <c r="BN303" s="135"/>
      <c r="BO303" s="135"/>
      <c r="BP303" s="135"/>
      <c r="BQ303" s="135"/>
      <c r="BR303" s="135"/>
      <c r="BS303" s="135"/>
      <c r="BT303" s="135"/>
    </row>
    <row r="304" spans="1:72" s="196" customFormat="1">
      <c r="A304" s="135"/>
      <c r="B304" s="135"/>
      <c r="C304" s="135"/>
      <c r="D304" s="135"/>
      <c r="E304" s="135"/>
      <c r="F304" s="135"/>
      <c r="G304" s="135"/>
      <c r="H304" s="135"/>
      <c r="I304" s="135"/>
      <c r="J304" s="135"/>
      <c r="K304" s="135"/>
      <c r="L304" s="135"/>
      <c r="M304" s="135"/>
      <c r="N304" s="135"/>
      <c r="O304" s="135"/>
      <c r="P304" s="135"/>
      <c r="Q304" s="135"/>
      <c r="R304" s="135"/>
      <c r="S304" s="135"/>
      <c r="T304" s="135"/>
      <c r="U304" s="135"/>
      <c r="V304" s="135"/>
      <c r="W304" s="135"/>
      <c r="X304" s="135"/>
      <c r="Y304" s="135"/>
      <c r="Z304" s="135"/>
      <c r="AA304" s="135"/>
      <c r="AB304" s="135"/>
      <c r="AC304" s="135"/>
      <c r="AD304" s="135"/>
      <c r="AE304" s="135"/>
      <c r="AF304" s="135"/>
      <c r="AG304" s="135"/>
      <c r="AH304" s="135"/>
      <c r="AI304" s="135"/>
      <c r="AJ304" s="135"/>
      <c r="AK304" s="135"/>
      <c r="AL304" s="135"/>
      <c r="AM304" s="135"/>
      <c r="AN304" s="135"/>
      <c r="AO304" s="135"/>
      <c r="AP304" s="135"/>
      <c r="AQ304" s="135"/>
      <c r="AR304" s="135"/>
      <c r="AS304" s="135"/>
      <c r="AT304" s="135"/>
      <c r="AU304" s="135"/>
      <c r="AV304" s="135"/>
      <c r="AW304" s="135"/>
      <c r="AX304" s="135"/>
      <c r="AY304" s="135"/>
      <c r="AZ304" s="135"/>
      <c r="BA304" s="135"/>
      <c r="BB304" s="135"/>
      <c r="BC304" s="135"/>
      <c r="BD304" s="135"/>
      <c r="BE304" s="135"/>
      <c r="BF304" s="135"/>
      <c r="BG304" s="135"/>
      <c r="BH304" s="135"/>
      <c r="BI304" s="135"/>
      <c r="BJ304" s="135"/>
      <c r="BK304" s="135"/>
      <c r="BL304" s="135"/>
      <c r="BM304" s="135"/>
      <c r="BN304" s="135"/>
      <c r="BO304" s="135"/>
      <c r="BP304" s="135"/>
      <c r="BQ304" s="135"/>
      <c r="BR304" s="135"/>
      <c r="BS304" s="135"/>
      <c r="BT304" s="135"/>
    </row>
    <row r="305" spans="1:72" s="196" customFormat="1">
      <c r="A305" s="135"/>
      <c r="B305" s="135"/>
      <c r="C305" s="135"/>
      <c r="D305" s="135"/>
      <c r="E305" s="135"/>
      <c r="F305" s="135"/>
      <c r="G305" s="135"/>
      <c r="H305" s="135"/>
      <c r="I305" s="135"/>
      <c r="J305" s="135"/>
      <c r="K305" s="135"/>
      <c r="L305" s="135"/>
      <c r="M305" s="135"/>
      <c r="N305" s="135"/>
      <c r="O305" s="135"/>
      <c r="P305" s="135"/>
      <c r="Q305" s="135"/>
      <c r="R305" s="135"/>
      <c r="S305" s="135"/>
      <c r="T305" s="135"/>
      <c r="U305" s="135"/>
      <c r="V305" s="135"/>
      <c r="W305" s="135"/>
      <c r="X305" s="135"/>
      <c r="Y305" s="135"/>
      <c r="Z305" s="135"/>
      <c r="AA305" s="135"/>
      <c r="AB305" s="135"/>
      <c r="AC305" s="135"/>
      <c r="AD305" s="135"/>
      <c r="AE305" s="135"/>
      <c r="AF305" s="135"/>
      <c r="AG305" s="135"/>
      <c r="AH305" s="135"/>
      <c r="AI305" s="135"/>
      <c r="AJ305" s="135"/>
      <c r="AK305" s="135"/>
      <c r="AL305" s="135"/>
      <c r="AM305" s="135"/>
      <c r="AN305" s="135"/>
      <c r="AO305" s="135"/>
      <c r="AP305" s="135"/>
      <c r="AQ305" s="135"/>
      <c r="AR305" s="135"/>
      <c r="AS305" s="135"/>
      <c r="AT305" s="135"/>
      <c r="AU305" s="135"/>
      <c r="AV305" s="135"/>
      <c r="AW305" s="135"/>
      <c r="AX305" s="135"/>
      <c r="AY305" s="135"/>
      <c r="AZ305" s="135"/>
      <c r="BA305" s="135"/>
      <c r="BB305" s="135"/>
      <c r="BC305" s="135"/>
      <c r="BD305" s="135"/>
      <c r="BE305" s="135"/>
      <c r="BF305" s="135"/>
      <c r="BG305" s="135"/>
      <c r="BH305" s="135"/>
      <c r="BI305" s="135"/>
      <c r="BJ305" s="135"/>
      <c r="BK305" s="135"/>
      <c r="BL305" s="135"/>
      <c r="BM305" s="135"/>
      <c r="BN305" s="135"/>
      <c r="BO305" s="135"/>
      <c r="BP305" s="135"/>
      <c r="BQ305" s="135"/>
      <c r="BR305" s="135"/>
      <c r="BS305" s="135"/>
      <c r="BT305" s="135"/>
    </row>
    <row r="306" spans="1:72" s="196" customFormat="1">
      <c r="A306" s="135"/>
      <c r="B306" s="135"/>
      <c r="C306" s="135"/>
      <c r="D306" s="135"/>
      <c r="E306" s="135"/>
      <c r="F306" s="135"/>
      <c r="G306" s="135"/>
      <c r="H306" s="135"/>
      <c r="I306" s="135"/>
      <c r="J306" s="135"/>
      <c r="K306" s="135"/>
      <c r="L306" s="135"/>
      <c r="M306" s="135"/>
      <c r="N306" s="135"/>
      <c r="O306" s="135"/>
      <c r="P306" s="135"/>
      <c r="Q306" s="135"/>
      <c r="R306" s="135"/>
      <c r="S306" s="135"/>
      <c r="T306" s="135"/>
      <c r="U306" s="135"/>
      <c r="V306" s="135"/>
      <c r="W306" s="135"/>
      <c r="X306" s="135"/>
      <c r="Y306" s="135"/>
      <c r="Z306" s="135"/>
      <c r="AA306" s="135"/>
      <c r="AB306" s="135"/>
      <c r="AC306" s="135"/>
      <c r="AD306" s="135"/>
      <c r="AE306" s="135"/>
      <c r="AF306" s="135"/>
      <c r="AG306" s="135"/>
      <c r="AH306" s="135"/>
      <c r="AI306" s="135"/>
      <c r="AJ306" s="135"/>
      <c r="AK306" s="135"/>
      <c r="AL306" s="135"/>
      <c r="AM306" s="135"/>
      <c r="AN306" s="135"/>
      <c r="AO306" s="135"/>
      <c r="AP306" s="135"/>
      <c r="AQ306" s="135"/>
      <c r="AR306" s="135"/>
      <c r="AS306" s="135"/>
      <c r="AT306" s="135"/>
      <c r="AU306" s="135"/>
      <c r="AV306" s="135"/>
      <c r="AW306" s="135"/>
      <c r="AX306" s="135"/>
      <c r="AY306" s="135"/>
      <c r="AZ306" s="135"/>
      <c r="BA306" s="135"/>
      <c r="BB306" s="135"/>
      <c r="BC306" s="135"/>
      <c r="BD306" s="135"/>
      <c r="BE306" s="135"/>
      <c r="BF306" s="135"/>
      <c r="BG306" s="135"/>
      <c r="BH306" s="135"/>
      <c r="BI306" s="135"/>
      <c r="BJ306" s="135"/>
      <c r="BK306" s="135"/>
      <c r="BL306" s="135"/>
      <c r="BM306" s="135"/>
      <c r="BN306" s="135"/>
      <c r="BO306" s="135"/>
      <c r="BP306" s="135"/>
      <c r="BQ306" s="135"/>
      <c r="BR306" s="135"/>
      <c r="BS306" s="135"/>
      <c r="BT306" s="135"/>
    </row>
    <row r="307" spans="1:72" s="196" customFormat="1">
      <c r="A307" s="135"/>
      <c r="B307" s="135"/>
      <c r="C307" s="135"/>
      <c r="D307" s="135"/>
      <c r="E307" s="135"/>
      <c r="F307" s="135"/>
      <c r="G307" s="135"/>
      <c r="H307" s="135"/>
      <c r="I307" s="135"/>
      <c r="J307" s="135"/>
      <c r="K307" s="135"/>
      <c r="L307" s="135"/>
      <c r="M307" s="135"/>
      <c r="N307" s="135"/>
      <c r="O307" s="135"/>
      <c r="P307" s="135"/>
      <c r="Q307" s="135"/>
      <c r="R307" s="135"/>
      <c r="S307" s="135"/>
      <c r="T307" s="135"/>
      <c r="U307" s="135"/>
      <c r="V307" s="135"/>
      <c r="W307" s="135"/>
      <c r="X307" s="135"/>
      <c r="Y307" s="135"/>
      <c r="Z307" s="135"/>
      <c r="AA307" s="135"/>
      <c r="AB307" s="135"/>
      <c r="AC307" s="135"/>
      <c r="AD307" s="135"/>
      <c r="AE307" s="135"/>
      <c r="AF307" s="135"/>
      <c r="AG307" s="135"/>
      <c r="AH307" s="135"/>
      <c r="AI307" s="135"/>
      <c r="AJ307" s="135"/>
      <c r="AK307" s="135"/>
      <c r="AL307" s="135"/>
      <c r="AM307" s="135"/>
      <c r="AN307" s="135"/>
      <c r="AO307" s="135"/>
      <c r="AP307" s="135"/>
      <c r="AQ307" s="135"/>
      <c r="AR307" s="135"/>
      <c r="AS307" s="135"/>
      <c r="AT307" s="135"/>
      <c r="AU307" s="135"/>
      <c r="AV307" s="135"/>
      <c r="AW307" s="135"/>
      <c r="AX307" s="135"/>
      <c r="AY307" s="135"/>
      <c r="AZ307" s="135"/>
      <c r="BA307" s="135"/>
      <c r="BB307" s="135"/>
      <c r="BC307" s="135"/>
      <c r="BD307" s="135"/>
      <c r="BE307" s="135"/>
      <c r="BF307" s="135"/>
      <c r="BG307" s="135"/>
      <c r="BH307" s="135"/>
      <c r="BI307" s="135"/>
      <c r="BJ307" s="135"/>
      <c r="BK307" s="135"/>
      <c r="BL307" s="135"/>
      <c r="BM307" s="135"/>
      <c r="BN307" s="135"/>
      <c r="BO307" s="135"/>
      <c r="BP307" s="135"/>
      <c r="BQ307" s="135"/>
      <c r="BR307" s="135"/>
      <c r="BS307" s="135"/>
      <c r="BT307" s="135"/>
    </row>
    <row r="308" spans="1:72" s="196" customFormat="1">
      <c r="A308" s="135"/>
      <c r="B308" s="135"/>
      <c r="C308" s="135"/>
      <c r="D308" s="135"/>
      <c r="E308" s="135"/>
      <c r="F308" s="135"/>
      <c r="G308" s="135"/>
      <c r="H308" s="135"/>
      <c r="I308" s="135"/>
      <c r="J308" s="135"/>
      <c r="K308" s="135"/>
      <c r="L308" s="135"/>
      <c r="M308" s="135"/>
      <c r="N308" s="135"/>
      <c r="O308" s="135"/>
      <c r="P308" s="135"/>
      <c r="Q308" s="135"/>
      <c r="R308" s="135"/>
      <c r="S308" s="135"/>
      <c r="T308" s="135"/>
      <c r="U308" s="135"/>
      <c r="V308" s="135"/>
      <c r="W308" s="135"/>
      <c r="X308" s="135"/>
      <c r="Y308" s="135"/>
      <c r="Z308" s="135"/>
      <c r="AA308" s="135"/>
      <c r="AB308" s="135"/>
      <c r="AC308" s="135"/>
      <c r="AD308" s="135"/>
      <c r="AE308" s="135"/>
      <c r="AF308" s="135"/>
      <c r="AG308" s="135"/>
      <c r="AH308" s="135"/>
      <c r="AI308" s="135"/>
      <c r="AJ308" s="135"/>
      <c r="AK308" s="135"/>
      <c r="AL308" s="135"/>
      <c r="AM308" s="135"/>
      <c r="AN308" s="135"/>
      <c r="AO308" s="135"/>
      <c r="AP308" s="135"/>
      <c r="AQ308" s="135"/>
      <c r="AR308" s="135"/>
      <c r="AS308" s="135"/>
      <c r="AT308" s="135"/>
      <c r="AU308" s="135"/>
      <c r="AV308" s="135"/>
      <c r="AW308" s="135"/>
      <c r="AX308" s="135"/>
      <c r="AY308" s="135"/>
      <c r="AZ308" s="135"/>
      <c r="BA308" s="135"/>
      <c r="BB308" s="135"/>
      <c r="BC308" s="135"/>
      <c r="BD308" s="135"/>
      <c r="BE308" s="135"/>
      <c r="BF308" s="135"/>
      <c r="BG308" s="135"/>
      <c r="BH308" s="135"/>
      <c r="BI308" s="135"/>
      <c r="BJ308" s="135"/>
      <c r="BK308" s="135"/>
      <c r="BL308" s="135"/>
      <c r="BM308" s="135"/>
      <c r="BN308" s="135"/>
      <c r="BO308" s="135"/>
      <c r="BP308" s="135"/>
      <c r="BQ308" s="135"/>
      <c r="BR308" s="135"/>
      <c r="BS308" s="135"/>
      <c r="BT308" s="135"/>
    </row>
    <row r="309" spans="1:72" s="196" customFormat="1">
      <c r="A309" s="135"/>
      <c r="B309" s="135"/>
      <c r="C309" s="135"/>
      <c r="D309" s="135"/>
      <c r="E309" s="135"/>
      <c r="F309" s="135"/>
      <c r="G309" s="135"/>
      <c r="H309" s="135"/>
      <c r="I309" s="135"/>
      <c r="J309" s="135"/>
      <c r="K309" s="135"/>
      <c r="L309" s="135"/>
      <c r="M309" s="135"/>
      <c r="N309" s="135"/>
      <c r="O309" s="135"/>
      <c r="P309" s="135"/>
      <c r="Q309" s="135"/>
      <c r="R309" s="135"/>
      <c r="S309" s="135"/>
      <c r="T309" s="135"/>
      <c r="U309" s="135"/>
      <c r="V309" s="135"/>
      <c r="W309" s="135"/>
      <c r="X309" s="135"/>
      <c r="Y309" s="135"/>
      <c r="Z309" s="135"/>
      <c r="AA309" s="135"/>
      <c r="AB309" s="135"/>
      <c r="AC309" s="135"/>
      <c r="AD309" s="135"/>
      <c r="AE309" s="135"/>
      <c r="AF309" s="135"/>
      <c r="AG309" s="135"/>
      <c r="AH309" s="135"/>
      <c r="AI309" s="135"/>
      <c r="AJ309" s="135"/>
      <c r="AK309" s="135"/>
      <c r="AL309" s="135"/>
      <c r="AM309" s="135"/>
      <c r="AN309" s="135"/>
      <c r="AO309" s="135"/>
      <c r="AP309" s="135"/>
      <c r="AQ309" s="135"/>
      <c r="AR309" s="135"/>
      <c r="AS309" s="135"/>
      <c r="AT309" s="135"/>
      <c r="AU309" s="135"/>
      <c r="AV309" s="135"/>
      <c r="AW309" s="135"/>
      <c r="AX309" s="135"/>
      <c r="AY309" s="135"/>
      <c r="AZ309" s="135"/>
      <c r="BA309" s="135"/>
      <c r="BB309" s="135"/>
      <c r="BC309" s="135"/>
      <c r="BD309" s="135"/>
      <c r="BE309" s="135"/>
      <c r="BF309" s="135"/>
      <c r="BG309" s="135"/>
      <c r="BH309" s="135"/>
      <c r="BI309" s="135"/>
      <c r="BJ309" s="135"/>
      <c r="BK309" s="135"/>
      <c r="BL309" s="135"/>
      <c r="BM309" s="135"/>
      <c r="BN309" s="135"/>
      <c r="BO309" s="135"/>
      <c r="BP309" s="135"/>
      <c r="BQ309" s="135"/>
      <c r="BR309" s="135"/>
      <c r="BS309" s="135"/>
      <c r="BT309" s="135"/>
    </row>
    <row r="310" spans="1:72" s="196" customFormat="1">
      <c r="A310" s="135"/>
      <c r="B310" s="135"/>
      <c r="C310" s="135"/>
      <c r="D310" s="135"/>
      <c r="E310" s="135"/>
      <c r="F310" s="135"/>
      <c r="G310" s="135"/>
      <c r="H310" s="135"/>
      <c r="I310" s="135"/>
      <c r="J310" s="135"/>
      <c r="K310" s="135"/>
      <c r="L310" s="135"/>
      <c r="M310" s="135"/>
      <c r="N310" s="135"/>
      <c r="O310" s="135"/>
      <c r="P310" s="135"/>
      <c r="Q310" s="135"/>
      <c r="R310" s="135"/>
      <c r="S310" s="135"/>
      <c r="T310" s="135"/>
      <c r="U310" s="135"/>
      <c r="V310" s="135"/>
      <c r="W310" s="135"/>
      <c r="X310" s="135"/>
      <c r="Y310" s="135"/>
      <c r="Z310" s="135"/>
      <c r="AA310" s="135"/>
      <c r="AB310" s="135"/>
      <c r="AC310" s="135"/>
      <c r="AD310" s="135"/>
      <c r="AE310" s="135"/>
      <c r="AF310" s="135"/>
      <c r="AG310" s="135"/>
      <c r="AH310" s="135"/>
      <c r="AI310" s="135"/>
      <c r="AJ310" s="135"/>
      <c r="AK310" s="135"/>
      <c r="AL310" s="135"/>
      <c r="AM310" s="135"/>
      <c r="AN310" s="135"/>
      <c r="AO310" s="135"/>
      <c r="AP310" s="135"/>
      <c r="AQ310" s="135"/>
      <c r="AR310" s="135"/>
      <c r="AS310" s="135"/>
      <c r="AT310" s="135"/>
      <c r="AU310" s="135"/>
      <c r="AV310" s="135"/>
      <c r="AW310" s="135"/>
      <c r="AX310" s="135"/>
      <c r="AY310" s="135"/>
      <c r="AZ310" s="135"/>
      <c r="BA310" s="135"/>
      <c r="BB310" s="135"/>
      <c r="BC310" s="135"/>
      <c r="BD310" s="135"/>
      <c r="BE310" s="135"/>
      <c r="BF310" s="135"/>
      <c r="BG310" s="135"/>
      <c r="BH310" s="135"/>
      <c r="BI310" s="135"/>
      <c r="BJ310" s="135"/>
      <c r="BK310" s="135"/>
      <c r="BL310" s="135"/>
      <c r="BM310" s="135"/>
      <c r="BN310" s="135"/>
      <c r="BO310" s="135"/>
      <c r="BP310" s="135"/>
      <c r="BQ310" s="135"/>
      <c r="BR310" s="135"/>
      <c r="BS310" s="135"/>
      <c r="BT310" s="135"/>
    </row>
    <row r="311" spans="1:72" s="196" customFormat="1">
      <c r="A311" s="135"/>
      <c r="B311" s="135"/>
      <c r="C311" s="135"/>
      <c r="D311" s="135"/>
      <c r="E311" s="135"/>
      <c r="F311" s="135"/>
      <c r="G311" s="135"/>
      <c r="H311" s="135"/>
      <c r="I311" s="135"/>
      <c r="J311" s="135"/>
      <c r="K311" s="135"/>
      <c r="L311" s="135"/>
      <c r="M311" s="135"/>
      <c r="N311" s="135"/>
      <c r="O311" s="135"/>
      <c r="P311" s="135"/>
      <c r="Q311" s="135"/>
      <c r="R311" s="135"/>
      <c r="S311" s="135"/>
      <c r="T311" s="135"/>
      <c r="U311" s="135"/>
      <c r="V311" s="135"/>
      <c r="W311" s="135"/>
      <c r="X311" s="135"/>
      <c r="Y311" s="135"/>
      <c r="Z311" s="135"/>
      <c r="AA311" s="135"/>
      <c r="AB311" s="135"/>
      <c r="AC311" s="135"/>
      <c r="AD311" s="135"/>
      <c r="AE311" s="135"/>
      <c r="AF311" s="135"/>
      <c r="AG311" s="135"/>
      <c r="AH311" s="135"/>
      <c r="AI311" s="135"/>
      <c r="AJ311" s="135"/>
      <c r="AK311" s="135"/>
      <c r="AL311" s="135"/>
      <c r="AM311" s="135"/>
      <c r="AN311" s="135"/>
      <c r="AO311" s="135"/>
      <c r="AP311" s="135"/>
      <c r="AQ311" s="135"/>
      <c r="AR311" s="135"/>
      <c r="AS311" s="135"/>
      <c r="AT311" s="135"/>
      <c r="AU311" s="135"/>
      <c r="AV311" s="135"/>
      <c r="AW311" s="135"/>
      <c r="AX311" s="135"/>
      <c r="AY311" s="135"/>
      <c r="AZ311" s="135"/>
      <c r="BA311" s="135"/>
      <c r="BB311" s="135"/>
      <c r="BC311" s="135"/>
      <c r="BD311" s="135"/>
      <c r="BE311" s="135"/>
      <c r="BF311" s="135"/>
      <c r="BG311" s="135"/>
      <c r="BH311" s="135"/>
      <c r="BI311" s="135"/>
      <c r="BJ311" s="135"/>
      <c r="BK311" s="135"/>
      <c r="BL311" s="135"/>
      <c r="BM311" s="135"/>
      <c r="BN311" s="135"/>
      <c r="BO311" s="135"/>
      <c r="BP311" s="135"/>
      <c r="BQ311" s="135"/>
      <c r="BR311" s="135"/>
      <c r="BS311" s="135"/>
      <c r="BT311" s="135"/>
    </row>
    <row r="312" spans="1:72" s="196" customFormat="1">
      <c r="A312" s="135"/>
      <c r="B312" s="135"/>
      <c r="C312" s="135"/>
      <c r="D312" s="135"/>
      <c r="E312" s="135"/>
      <c r="F312" s="135"/>
      <c r="G312" s="135"/>
      <c r="H312" s="135"/>
      <c r="I312" s="135"/>
      <c r="J312" s="135"/>
      <c r="K312" s="135"/>
      <c r="L312" s="135"/>
      <c r="M312" s="135"/>
      <c r="N312" s="135"/>
      <c r="O312" s="135"/>
      <c r="P312" s="135"/>
      <c r="Q312" s="135"/>
      <c r="R312" s="135"/>
      <c r="S312" s="135"/>
      <c r="T312" s="135"/>
      <c r="U312" s="135"/>
      <c r="V312" s="135"/>
      <c r="W312" s="135"/>
      <c r="X312" s="135"/>
      <c r="Y312" s="135"/>
      <c r="Z312" s="135"/>
      <c r="AA312" s="135"/>
      <c r="AB312" s="135"/>
      <c r="AC312" s="135"/>
      <c r="AD312" s="135"/>
      <c r="AE312" s="135"/>
      <c r="AF312" s="135"/>
      <c r="AG312" s="135"/>
      <c r="AH312" s="135"/>
      <c r="AI312" s="135"/>
      <c r="AJ312" s="135"/>
      <c r="AK312" s="135"/>
      <c r="AL312" s="135"/>
      <c r="AM312" s="135"/>
      <c r="AN312" s="135"/>
      <c r="AO312" s="135"/>
      <c r="AP312" s="135"/>
      <c r="AQ312" s="135"/>
      <c r="AR312" s="135"/>
      <c r="AS312" s="135"/>
      <c r="AT312" s="135"/>
      <c r="AU312" s="135"/>
      <c r="AV312" s="135"/>
      <c r="AW312" s="135"/>
      <c r="AX312" s="135"/>
      <c r="AY312" s="135"/>
      <c r="AZ312" s="135"/>
      <c r="BA312" s="135"/>
      <c r="BB312" s="135"/>
      <c r="BC312" s="135"/>
      <c r="BD312" s="135"/>
      <c r="BE312" s="135"/>
      <c r="BF312" s="135"/>
      <c r="BG312" s="135"/>
      <c r="BH312" s="135"/>
      <c r="BI312" s="135"/>
      <c r="BJ312" s="135"/>
      <c r="BK312" s="135"/>
      <c r="BL312" s="135"/>
      <c r="BM312" s="135"/>
      <c r="BN312" s="135"/>
      <c r="BO312" s="135"/>
      <c r="BP312" s="135"/>
      <c r="BQ312" s="135"/>
      <c r="BR312" s="135"/>
      <c r="BS312" s="135"/>
      <c r="BT312" s="135"/>
    </row>
    <row r="313" spans="1:72" s="196" customFormat="1">
      <c r="A313" s="135"/>
      <c r="B313" s="135"/>
      <c r="C313" s="135"/>
      <c r="D313" s="135"/>
      <c r="E313" s="135"/>
      <c r="F313" s="135"/>
      <c r="G313" s="135"/>
      <c r="H313" s="135"/>
      <c r="I313" s="135"/>
      <c r="J313" s="135"/>
      <c r="K313" s="135"/>
      <c r="L313" s="135"/>
      <c r="M313" s="135"/>
      <c r="N313" s="135"/>
      <c r="O313" s="135"/>
      <c r="P313" s="135"/>
      <c r="Q313" s="135"/>
      <c r="R313" s="135"/>
      <c r="S313" s="135"/>
      <c r="T313" s="135"/>
      <c r="U313" s="135"/>
      <c r="V313" s="135"/>
      <c r="W313" s="135"/>
      <c r="X313" s="135"/>
      <c r="Y313" s="135"/>
      <c r="Z313" s="135"/>
      <c r="AA313" s="135"/>
      <c r="AB313" s="135"/>
      <c r="AC313" s="135"/>
      <c r="AD313" s="135"/>
      <c r="AE313" s="135"/>
      <c r="AF313" s="135"/>
      <c r="AG313" s="135"/>
      <c r="AH313" s="135"/>
      <c r="AI313" s="135"/>
      <c r="AJ313" s="135"/>
      <c r="AK313" s="135"/>
      <c r="AL313" s="135"/>
      <c r="AM313" s="135"/>
      <c r="AN313" s="135"/>
      <c r="AO313" s="135"/>
      <c r="AP313" s="135"/>
      <c r="AQ313" s="135"/>
      <c r="AR313" s="135"/>
      <c r="AS313" s="135"/>
      <c r="AT313" s="135"/>
      <c r="AU313" s="135"/>
      <c r="AV313" s="135"/>
      <c r="AW313" s="135"/>
      <c r="AX313" s="135"/>
      <c r="AY313" s="135"/>
      <c r="AZ313" s="135"/>
      <c r="BA313" s="135"/>
      <c r="BB313" s="135"/>
      <c r="BC313" s="135"/>
      <c r="BD313" s="135"/>
      <c r="BE313" s="135"/>
      <c r="BF313" s="135"/>
      <c r="BG313" s="135"/>
      <c r="BH313" s="135"/>
      <c r="BI313" s="135"/>
      <c r="BJ313" s="135"/>
      <c r="BK313" s="135"/>
      <c r="BL313" s="135"/>
      <c r="BM313" s="135"/>
      <c r="BN313" s="135"/>
      <c r="BO313" s="135"/>
      <c r="BP313" s="135"/>
      <c r="BQ313" s="135"/>
      <c r="BR313" s="135"/>
      <c r="BS313" s="135"/>
      <c r="BT313" s="135"/>
    </row>
    <row r="314" spans="1:72" s="196" customFormat="1">
      <c r="A314" s="135"/>
      <c r="B314" s="135"/>
      <c r="C314" s="135"/>
      <c r="D314" s="135"/>
      <c r="E314" s="135"/>
      <c r="F314" s="135"/>
      <c r="G314" s="135"/>
      <c r="H314" s="135"/>
      <c r="I314" s="135"/>
      <c r="J314" s="135"/>
      <c r="K314" s="135"/>
      <c r="L314" s="135"/>
      <c r="M314" s="135"/>
      <c r="N314" s="135"/>
      <c r="O314" s="135"/>
      <c r="P314" s="135"/>
      <c r="Q314" s="135"/>
      <c r="R314" s="135"/>
      <c r="S314" s="135"/>
      <c r="T314" s="135"/>
      <c r="U314" s="135"/>
      <c r="V314" s="135"/>
      <c r="W314" s="135"/>
      <c r="X314" s="135"/>
      <c r="Y314" s="135"/>
      <c r="Z314" s="135"/>
      <c r="AA314" s="135"/>
      <c r="AB314" s="135"/>
      <c r="AC314" s="135"/>
      <c r="AD314" s="135"/>
      <c r="AE314" s="135"/>
      <c r="AF314" s="135"/>
      <c r="AG314" s="135"/>
      <c r="AH314" s="135"/>
      <c r="AI314" s="135"/>
      <c r="AJ314" s="135"/>
      <c r="AK314" s="135"/>
      <c r="AL314" s="135"/>
      <c r="AM314" s="135"/>
      <c r="AN314" s="135"/>
      <c r="AO314" s="135"/>
      <c r="AP314" s="135"/>
      <c r="AQ314" s="135"/>
      <c r="AR314" s="135"/>
      <c r="AS314" s="135"/>
      <c r="AT314" s="135"/>
      <c r="AU314" s="135"/>
      <c r="AV314" s="135"/>
      <c r="AW314" s="135"/>
      <c r="AX314" s="135"/>
      <c r="AY314" s="135"/>
      <c r="AZ314" s="135"/>
      <c r="BA314" s="135"/>
      <c r="BB314" s="135"/>
      <c r="BC314" s="135"/>
      <c r="BD314" s="135"/>
      <c r="BE314" s="135"/>
      <c r="BF314" s="135"/>
      <c r="BG314" s="135"/>
      <c r="BH314" s="135"/>
      <c r="BI314" s="135"/>
      <c r="BJ314" s="135"/>
      <c r="BK314" s="135"/>
      <c r="BL314" s="135"/>
      <c r="BM314" s="135"/>
      <c r="BN314" s="135"/>
      <c r="BO314" s="135"/>
      <c r="BP314" s="135"/>
      <c r="BQ314" s="135"/>
      <c r="BR314" s="135"/>
      <c r="BS314" s="135"/>
      <c r="BT314" s="135"/>
    </row>
    <row r="315" spans="1:72" s="196" customFormat="1">
      <c r="A315" s="135"/>
      <c r="B315" s="135"/>
      <c r="C315" s="135"/>
      <c r="D315" s="135"/>
      <c r="E315" s="135"/>
      <c r="F315" s="135"/>
      <c r="G315" s="135"/>
      <c r="H315" s="135"/>
      <c r="I315" s="135"/>
      <c r="J315" s="135"/>
      <c r="K315" s="135"/>
      <c r="L315" s="135"/>
      <c r="M315" s="135"/>
      <c r="N315" s="135"/>
      <c r="O315" s="135"/>
      <c r="P315" s="135"/>
      <c r="Q315" s="135"/>
      <c r="R315" s="135"/>
      <c r="S315" s="135"/>
      <c r="T315" s="135"/>
      <c r="U315" s="135"/>
      <c r="V315" s="135"/>
      <c r="W315" s="135"/>
      <c r="X315" s="135"/>
      <c r="Y315" s="135"/>
      <c r="Z315" s="135"/>
      <c r="AA315" s="135"/>
      <c r="AB315" s="135"/>
      <c r="AC315" s="135"/>
      <c r="AD315" s="135"/>
      <c r="AE315" s="135"/>
      <c r="AF315" s="135"/>
      <c r="AG315" s="135"/>
      <c r="AH315" s="135"/>
      <c r="AI315" s="135"/>
      <c r="AJ315" s="135"/>
      <c r="AK315" s="135"/>
      <c r="AL315" s="135"/>
      <c r="AM315" s="135"/>
      <c r="AN315" s="135"/>
      <c r="AO315" s="135"/>
      <c r="AP315" s="135"/>
      <c r="AQ315" s="135"/>
      <c r="AR315" s="135"/>
      <c r="AS315" s="135"/>
      <c r="AT315" s="135"/>
      <c r="AU315" s="135"/>
      <c r="AV315" s="135"/>
      <c r="AW315" s="135"/>
      <c r="AX315" s="135"/>
      <c r="AY315" s="135"/>
      <c r="AZ315" s="135"/>
      <c r="BA315" s="135"/>
      <c r="BB315" s="135"/>
      <c r="BC315" s="135"/>
      <c r="BD315" s="135"/>
      <c r="BE315" s="135"/>
      <c r="BF315" s="135"/>
      <c r="BG315" s="135"/>
      <c r="BH315" s="135"/>
      <c r="BI315" s="135"/>
      <c r="BJ315" s="135"/>
      <c r="BK315" s="135"/>
      <c r="BL315" s="135"/>
      <c r="BM315" s="135"/>
      <c r="BN315" s="135"/>
      <c r="BO315" s="135"/>
      <c r="BP315" s="135"/>
      <c r="BQ315" s="135"/>
      <c r="BR315" s="135"/>
      <c r="BS315" s="135"/>
      <c r="BT315" s="135"/>
    </row>
    <row r="316" spans="1:72" s="196" customFormat="1">
      <c r="A316" s="135"/>
      <c r="B316" s="135"/>
      <c r="C316" s="135"/>
      <c r="D316" s="135"/>
      <c r="E316" s="135"/>
      <c r="F316" s="135"/>
      <c r="G316" s="135"/>
      <c r="H316" s="135"/>
      <c r="I316" s="135"/>
      <c r="J316" s="135"/>
      <c r="K316" s="135"/>
      <c r="L316" s="135"/>
      <c r="M316" s="135"/>
      <c r="N316" s="135"/>
      <c r="O316" s="135"/>
      <c r="P316" s="135"/>
      <c r="Q316" s="135"/>
      <c r="R316" s="135"/>
      <c r="S316" s="135"/>
      <c r="T316" s="135"/>
      <c r="U316" s="135"/>
      <c r="V316" s="135"/>
      <c r="W316" s="135"/>
      <c r="X316" s="135"/>
      <c r="Y316" s="135"/>
      <c r="Z316" s="135"/>
      <c r="AA316" s="135"/>
      <c r="AB316" s="135"/>
      <c r="AC316" s="135"/>
      <c r="AD316" s="135"/>
      <c r="AE316" s="135"/>
      <c r="AF316" s="135"/>
      <c r="AG316" s="135"/>
      <c r="AH316" s="135"/>
      <c r="AI316" s="135"/>
      <c r="AJ316" s="135"/>
      <c r="AK316" s="135"/>
      <c r="AL316" s="135"/>
      <c r="AM316" s="135"/>
      <c r="AN316" s="135"/>
      <c r="AO316" s="135"/>
      <c r="AP316" s="135"/>
      <c r="AQ316" s="135"/>
      <c r="AR316" s="135"/>
      <c r="AS316" s="135"/>
      <c r="AT316" s="135"/>
      <c r="AU316" s="135"/>
      <c r="AV316" s="135"/>
      <c r="AW316" s="135"/>
      <c r="AX316" s="135"/>
      <c r="AY316" s="135"/>
      <c r="AZ316" s="135"/>
      <c r="BA316" s="135"/>
      <c r="BB316" s="135"/>
      <c r="BC316" s="135"/>
      <c r="BD316" s="135"/>
      <c r="BE316" s="135"/>
      <c r="BF316" s="135"/>
      <c r="BG316" s="135"/>
      <c r="BH316" s="135"/>
      <c r="BI316" s="135"/>
      <c r="BJ316" s="135"/>
      <c r="BK316" s="135"/>
      <c r="BL316" s="135"/>
      <c r="BM316" s="135"/>
      <c r="BN316" s="135"/>
      <c r="BO316" s="135"/>
      <c r="BP316" s="135"/>
      <c r="BQ316" s="135"/>
      <c r="BR316" s="135"/>
      <c r="BS316" s="135"/>
      <c r="BT316" s="135"/>
    </row>
    <row r="317" spans="1:72" s="196" customFormat="1">
      <c r="A317" s="135"/>
      <c r="B317" s="135"/>
      <c r="C317" s="135"/>
      <c r="D317" s="135"/>
      <c r="E317" s="135"/>
      <c r="F317" s="135"/>
      <c r="G317" s="135"/>
      <c r="H317" s="135"/>
      <c r="I317" s="135"/>
      <c r="J317" s="135"/>
      <c r="K317" s="135"/>
      <c r="L317" s="135"/>
      <c r="M317" s="135"/>
      <c r="N317" s="135"/>
      <c r="O317" s="135"/>
      <c r="P317" s="135"/>
      <c r="Q317" s="135"/>
      <c r="R317" s="135"/>
      <c r="S317" s="135"/>
      <c r="T317" s="135"/>
      <c r="U317" s="135"/>
      <c r="V317" s="135"/>
      <c r="W317" s="135"/>
      <c r="X317" s="135"/>
      <c r="Y317" s="135"/>
      <c r="Z317" s="135"/>
      <c r="AA317" s="135"/>
      <c r="AB317" s="135"/>
      <c r="AC317" s="135"/>
      <c r="AD317" s="135"/>
      <c r="AE317" s="135"/>
      <c r="AF317" s="135"/>
      <c r="AG317" s="135"/>
      <c r="AH317" s="135"/>
      <c r="AI317" s="135"/>
      <c r="AJ317" s="135"/>
      <c r="AK317" s="135"/>
      <c r="AL317" s="135"/>
      <c r="AM317" s="135"/>
      <c r="AN317" s="135"/>
      <c r="AO317" s="135"/>
      <c r="AP317" s="135"/>
      <c r="AQ317" s="135"/>
      <c r="AR317" s="135"/>
      <c r="AS317" s="135"/>
      <c r="AT317" s="135"/>
      <c r="AU317" s="135"/>
      <c r="AV317" s="135"/>
      <c r="AW317" s="135"/>
      <c r="AX317" s="135"/>
      <c r="AY317" s="135"/>
      <c r="AZ317" s="135"/>
      <c r="BA317" s="135"/>
      <c r="BB317" s="135"/>
      <c r="BC317" s="135"/>
      <c r="BD317" s="135"/>
      <c r="BE317" s="135"/>
      <c r="BF317" s="135"/>
      <c r="BG317" s="135"/>
      <c r="BH317" s="135"/>
      <c r="BI317" s="135"/>
      <c r="BJ317" s="135"/>
      <c r="BK317" s="135"/>
      <c r="BL317" s="135"/>
      <c r="BM317" s="135"/>
      <c r="BN317" s="135"/>
      <c r="BO317" s="135"/>
      <c r="BP317" s="135"/>
      <c r="BQ317" s="135"/>
      <c r="BR317" s="135"/>
      <c r="BS317" s="135"/>
      <c r="BT317" s="135"/>
    </row>
    <row r="318" spans="1:72" s="196" customFormat="1">
      <c r="A318" s="135"/>
      <c r="B318" s="135"/>
      <c r="C318" s="135"/>
      <c r="D318" s="135"/>
      <c r="E318" s="135"/>
      <c r="F318" s="135"/>
      <c r="G318" s="135"/>
      <c r="H318" s="135"/>
      <c r="I318" s="135"/>
      <c r="J318" s="135"/>
      <c r="K318" s="135"/>
      <c r="L318" s="135"/>
      <c r="M318" s="135"/>
      <c r="N318" s="135"/>
      <c r="O318" s="135"/>
      <c r="P318" s="135"/>
      <c r="Q318" s="135"/>
      <c r="R318" s="135"/>
      <c r="S318" s="135"/>
      <c r="T318" s="135"/>
      <c r="U318" s="135"/>
      <c r="V318" s="135"/>
      <c r="W318" s="135"/>
      <c r="X318" s="135"/>
      <c r="Y318" s="135"/>
      <c r="Z318" s="135"/>
      <c r="AA318" s="135"/>
      <c r="AB318" s="135"/>
      <c r="AC318" s="135"/>
      <c r="AD318" s="135"/>
      <c r="AE318" s="135"/>
      <c r="AF318" s="135"/>
      <c r="AG318" s="135"/>
      <c r="AH318" s="135"/>
      <c r="AI318" s="135"/>
      <c r="AJ318" s="135"/>
      <c r="AK318" s="135"/>
      <c r="AL318" s="135"/>
      <c r="AM318" s="135"/>
      <c r="AN318" s="135"/>
      <c r="AO318" s="135"/>
      <c r="AP318" s="135"/>
      <c r="AQ318" s="135"/>
      <c r="AR318" s="135"/>
      <c r="AS318" s="135"/>
      <c r="AT318" s="135"/>
      <c r="AU318" s="135"/>
      <c r="AV318" s="135"/>
      <c r="AW318" s="135"/>
      <c r="AX318" s="135"/>
      <c r="AY318" s="135"/>
      <c r="AZ318" s="135"/>
      <c r="BA318" s="135"/>
      <c r="BB318" s="135"/>
      <c r="BC318" s="135"/>
      <c r="BD318" s="135"/>
      <c r="BE318" s="135"/>
      <c r="BF318" s="135"/>
      <c r="BG318" s="135"/>
      <c r="BH318" s="135"/>
      <c r="BI318" s="135"/>
      <c r="BJ318" s="135"/>
      <c r="BK318" s="135"/>
      <c r="BL318" s="135"/>
      <c r="BM318" s="135"/>
      <c r="BN318" s="135"/>
      <c r="BO318" s="135"/>
      <c r="BP318" s="135"/>
      <c r="BQ318" s="135"/>
      <c r="BR318" s="135"/>
      <c r="BS318" s="135"/>
      <c r="BT318" s="135"/>
    </row>
    <row r="319" spans="1:72" s="196" customFormat="1">
      <c r="A319" s="135"/>
      <c r="B319" s="135"/>
      <c r="C319" s="135"/>
      <c r="D319" s="135"/>
      <c r="E319" s="135"/>
      <c r="F319" s="135"/>
      <c r="G319" s="135"/>
      <c r="H319" s="135"/>
      <c r="I319" s="135"/>
      <c r="J319" s="135"/>
      <c r="K319" s="135"/>
      <c r="L319" s="135"/>
      <c r="M319" s="135"/>
      <c r="N319" s="135"/>
      <c r="O319" s="135"/>
      <c r="P319" s="135"/>
      <c r="Q319" s="135"/>
      <c r="R319" s="135"/>
      <c r="S319" s="135"/>
      <c r="T319" s="135"/>
      <c r="U319" s="135"/>
      <c r="V319" s="135"/>
      <c r="W319" s="135"/>
      <c r="X319" s="135"/>
      <c r="Y319" s="135"/>
      <c r="Z319" s="135"/>
      <c r="AA319" s="135"/>
      <c r="AB319" s="135"/>
      <c r="AC319" s="135"/>
      <c r="AD319" s="135"/>
      <c r="AE319" s="135"/>
      <c r="AF319" s="135"/>
      <c r="AG319" s="135"/>
      <c r="AH319" s="135"/>
      <c r="AI319" s="135"/>
      <c r="AJ319" s="135"/>
      <c r="AK319" s="135"/>
      <c r="AL319" s="135"/>
      <c r="AM319" s="135"/>
      <c r="AN319" s="135"/>
      <c r="AO319" s="135"/>
      <c r="AP319" s="135"/>
      <c r="AQ319" s="135"/>
      <c r="AR319" s="135"/>
      <c r="AS319" s="135"/>
      <c r="AT319" s="135"/>
      <c r="AU319" s="135"/>
      <c r="AV319" s="135"/>
      <c r="AW319" s="135"/>
      <c r="AX319" s="135"/>
      <c r="AY319" s="135"/>
      <c r="AZ319" s="135"/>
      <c r="BA319" s="135"/>
      <c r="BB319" s="135"/>
      <c r="BC319" s="135"/>
      <c r="BD319" s="135"/>
      <c r="BE319" s="135"/>
      <c r="BF319" s="135"/>
      <c r="BG319" s="135"/>
      <c r="BH319" s="135"/>
      <c r="BI319" s="135"/>
      <c r="BJ319" s="135"/>
      <c r="BK319" s="135"/>
      <c r="BL319" s="135"/>
      <c r="BM319" s="135"/>
      <c r="BN319" s="135"/>
      <c r="BO319" s="135"/>
      <c r="BP319" s="135"/>
      <c r="BQ319" s="135"/>
      <c r="BR319" s="135"/>
      <c r="BS319" s="135"/>
      <c r="BT319" s="135"/>
    </row>
    <row r="320" spans="1:72" s="196" customFormat="1">
      <c r="A320" s="135"/>
      <c r="B320" s="135"/>
      <c r="C320" s="135"/>
      <c r="D320" s="135"/>
      <c r="E320" s="135"/>
      <c r="F320" s="135"/>
      <c r="G320" s="135"/>
      <c r="H320" s="135"/>
      <c r="I320" s="135"/>
      <c r="J320" s="135"/>
      <c r="K320" s="135"/>
      <c r="L320" s="135"/>
      <c r="M320" s="135"/>
      <c r="N320" s="135"/>
      <c r="O320" s="135"/>
      <c r="P320" s="135"/>
      <c r="Q320" s="135"/>
      <c r="R320" s="135"/>
      <c r="S320" s="135"/>
      <c r="T320" s="135"/>
      <c r="U320" s="135"/>
      <c r="V320" s="135"/>
      <c r="W320" s="135"/>
      <c r="X320" s="135"/>
      <c r="Y320" s="135"/>
      <c r="Z320" s="135"/>
      <c r="AA320" s="135"/>
      <c r="AB320" s="135"/>
      <c r="AC320" s="135"/>
      <c r="AD320" s="135"/>
      <c r="AE320" s="135"/>
      <c r="AF320" s="135"/>
      <c r="AG320" s="135"/>
      <c r="AH320" s="135"/>
      <c r="AI320" s="135"/>
      <c r="AJ320" s="135"/>
      <c r="AK320" s="135"/>
      <c r="AL320" s="135"/>
      <c r="AM320" s="135"/>
      <c r="AN320" s="135"/>
      <c r="AO320" s="135"/>
      <c r="AP320" s="135"/>
      <c r="AQ320" s="135"/>
      <c r="AR320" s="135"/>
      <c r="AS320" s="135"/>
      <c r="AT320" s="135"/>
      <c r="AU320" s="135"/>
      <c r="AV320" s="135"/>
      <c r="AW320" s="135"/>
      <c r="AX320" s="135"/>
      <c r="AY320" s="135"/>
      <c r="AZ320" s="135"/>
      <c r="BA320" s="135"/>
      <c r="BB320" s="135"/>
      <c r="BC320" s="135"/>
      <c r="BD320" s="135"/>
      <c r="BE320" s="135"/>
      <c r="BF320" s="135"/>
      <c r="BG320" s="135"/>
      <c r="BH320" s="135"/>
      <c r="BI320" s="135"/>
      <c r="BJ320" s="135"/>
      <c r="BK320" s="135"/>
      <c r="BL320" s="135"/>
      <c r="BM320" s="135"/>
      <c r="BN320" s="135"/>
      <c r="BO320" s="135"/>
      <c r="BP320" s="135"/>
      <c r="BQ320" s="135"/>
      <c r="BR320" s="135"/>
      <c r="BS320" s="135"/>
      <c r="BT320" s="135"/>
    </row>
    <row r="321" spans="1:72" s="196" customFormat="1">
      <c r="A321" s="135"/>
      <c r="B321" s="135"/>
      <c r="C321" s="135"/>
      <c r="D321" s="135"/>
      <c r="E321" s="135"/>
      <c r="F321" s="135"/>
      <c r="G321" s="135"/>
      <c r="H321" s="135"/>
      <c r="I321" s="135"/>
      <c r="J321" s="135"/>
      <c r="K321" s="135"/>
      <c r="L321" s="135"/>
      <c r="M321" s="135"/>
      <c r="N321" s="135"/>
      <c r="O321" s="135"/>
      <c r="P321" s="135"/>
      <c r="Q321" s="135"/>
      <c r="R321" s="135"/>
      <c r="S321" s="135"/>
      <c r="T321" s="135"/>
      <c r="U321" s="135"/>
      <c r="V321" s="135"/>
      <c r="W321" s="135"/>
      <c r="X321" s="135"/>
      <c r="Y321" s="135"/>
      <c r="Z321" s="135"/>
      <c r="AA321" s="135"/>
      <c r="AB321" s="135"/>
      <c r="AC321" s="135"/>
      <c r="AD321" s="135"/>
      <c r="AE321" s="135"/>
      <c r="AF321" s="135"/>
      <c r="AG321" s="135"/>
      <c r="AH321" s="135"/>
      <c r="AI321" s="135"/>
      <c r="AJ321" s="135"/>
      <c r="AK321" s="135"/>
      <c r="AL321" s="135"/>
      <c r="AM321" s="135"/>
      <c r="AN321" s="135"/>
      <c r="AO321" s="135"/>
      <c r="AP321" s="135"/>
      <c r="AQ321" s="135"/>
      <c r="AR321" s="135"/>
      <c r="AS321" s="135"/>
      <c r="AT321" s="135"/>
      <c r="AU321" s="135"/>
      <c r="AV321" s="135"/>
      <c r="AW321" s="135"/>
      <c r="AX321" s="135"/>
      <c r="AY321" s="135"/>
      <c r="AZ321" s="135"/>
      <c r="BA321" s="135"/>
      <c r="BB321" s="135"/>
      <c r="BC321" s="135"/>
      <c r="BD321" s="135"/>
      <c r="BE321" s="135"/>
      <c r="BF321" s="135"/>
      <c r="BG321" s="135"/>
      <c r="BH321" s="135"/>
      <c r="BI321" s="135"/>
      <c r="BJ321" s="135"/>
      <c r="BK321" s="135"/>
      <c r="BL321" s="135"/>
      <c r="BM321" s="135"/>
      <c r="BN321" s="135"/>
      <c r="BO321" s="135"/>
      <c r="BP321" s="135"/>
      <c r="BQ321" s="135"/>
      <c r="BR321" s="135"/>
      <c r="BS321" s="135"/>
      <c r="BT321" s="135"/>
    </row>
    <row r="322" spans="1:72" s="196" customFormat="1">
      <c r="A322" s="135"/>
      <c r="B322" s="135"/>
      <c r="C322" s="135"/>
      <c r="D322" s="135"/>
      <c r="E322" s="135"/>
      <c r="F322" s="135"/>
      <c r="G322" s="135"/>
      <c r="H322" s="135"/>
      <c r="I322" s="135"/>
      <c r="J322" s="135"/>
      <c r="K322" s="135"/>
      <c r="L322" s="135"/>
      <c r="M322" s="135"/>
      <c r="N322" s="135"/>
      <c r="O322" s="135"/>
      <c r="P322" s="135"/>
      <c r="Q322" s="135"/>
      <c r="R322" s="135"/>
      <c r="S322" s="135"/>
      <c r="T322" s="135"/>
      <c r="U322" s="135"/>
      <c r="V322" s="135"/>
      <c r="W322" s="135"/>
      <c r="X322" s="135"/>
      <c r="Y322" s="135"/>
      <c r="Z322" s="135"/>
      <c r="AA322" s="135"/>
      <c r="AB322" s="135"/>
      <c r="AC322" s="135"/>
      <c r="AD322" s="135"/>
      <c r="AE322" s="135"/>
      <c r="AF322" s="135"/>
      <c r="AG322" s="135"/>
      <c r="AH322" s="135"/>
      <c r="AI322" s="135"/>
      <c r="AJ322" s="135"/>
      <c r="AK322" s="135"/>
      <c r="AL322" s="135"/>
      <c r="AM322" s="135"/>
      <c r="AN322" s="135"/>
      <c r="AO322" s="135"/>
      <c r="AP322" s="135"/>
      <c r="AQ322" s="135"/>
      <c r="AR322" s="135"/>
      <c r="AS322" s="135"/>
      <c r="AT322" s="135"/>
      <c r="AU322" s="135"/>
      <c r="AV322" s="135"/>
      <c r="AW322" s="135"/>
      <c r="AX322" s="135"/>
      <c r="AY322" s="135"/>
      <c r="AZ322" s="135"/>
      <c r="BA322" s="135"/>
      <c r="BB322" s="135"/>
      <c r="BC322" s="135"/>
      <c r="BD322" s="135"/>
      <c r="BE322" s="135"/>
      <c r="BF322" s="135"/>
      <c r="BG322" s="135"/>
      <c r="BH322" s="135"/>
      <c r="BI322" s="135"/>
      <c r="BJ322" s="135"/>
      <c r="BK322" s="135"/>
      <c r="BL322" s="135"/>
      <c r="BM322" s="135"/>
      <c r="BN322" s="135"/>
      <c r="BO322" s="135"/>
      <c r="BP322" s="135"/>
      <c r="BQ322" s="135"/>
      <c r="BR322" s="135"/>
      <c r="BS322" s="135"/>
      <c r="BT322" s="135"/>
    </row>
    <row r="323" spans="1:72" s="196" customFormat="1">
      <c r="A323" s="135"/>
      <c r="B323" s="135"/>
      <c r="C323" s="135"/>
      <c r="D323" s="135"/>
      <c r="E323" s="135"/>
      <c r="F323" s="135"/>
      <c r="G323" s="135"/>
      <c r="H323" s="135"/>
      <c r="I323" s="135"/>
      <c r="J323" s="135"/>
      <c r="K323" s="135"/>
      <c r="L323" s="135"/>
      <c r="M323" s="135"/>
      <c r="N323" s="135"/>
      <c r="O323" s="135"/>
      <c r="P323" s="135"/>
      <c r="Q323" s="135"/>
      <c r="R323" s="135"/>
      <c r="S323" s="135"/>
      <c r="T323" s="135"/>
      <c r="U323" s="135"/>
      <c r="V323" s="135"/>
      <c r="W323" s="135"/>
      <c r="X323" s="135"/>
      <c r="Y323" s="135"/>
      <c r="Z323" s="135"/>
      <c r="AA323" s="135"/>
      <c r="AB323" s="135"/>
      <c r="AC323" s="135"/>
      <c r="AD323" s="135"/>
      <c r="AE323" s="135"/>
      <c r="AF323" s="135"/>
      <c r="AG323" s="135"/>
      <c r="AH323" s="135"/>
      <c r="AI323" s="135"/>
      <c r="AJ323" s="135"/>
      <c r="AK323" s="135"/>
      <c r="AL323" s="135"/>
      <c r="AM323" s="135"/>
      <c r="AN323" s="135"/>
      <c r="AO323" s="135"/>
      <c r="AP323" s="135"/>
      <c r="AQ323" s="135"/>
      <c r="AR323" s="135"/>
      <c r="AS323" s="135"/>
      <c r="AT323" s="135"/>
      <c r="AU323" s="135"/>
      <c r="AV323" s="135"/>
      <c r="AW323" s="135"/>
      <c r="AX323" s="135"/>
      <c r="AY323" s="135"/>
      <c r="AZ323" s="135"/>
      <c r="BA323" s="135"/>
      <c r="BB323" s="135"/>
      <c r="BC323" s="135"/>
      <c r="BD323" s="135"/>
      <c r="BE323" s="135"/>
      <c r="BF323" s="135"/>
      <c r="BG323" s="135"/>
      <c r="BH323" s="135"/>
      <c r="BI323" s="135"/>
      <c r="BJ323" s="135"/>
      <c r="BK323" s="135"/>
      <c r="BL323" s="135"/>
      <c r="BM323" s="135"/>
      <c r="BN323" s="135"/>
      <c r="BO323" s="135"/>
      <c r="BP323" s="135"/>
      <c r="BQ323" s="135"/>
      <c r="BR323" s="135"/>
      <c r="BS323" s="135"/>
      <c r="BT323" s="135"/>
    </row>
    <row r="324" spans="1:72" s="196" customFormat="1">
      <c r="A324" s="135"/>
      <c r="B324" s="135"/>
      <c r="C324" s="135"/>
      <c r="D324" s="135"/>
      <c r="E324" s="135"/>
      <c r="F324" s="135"/>
      <c r="G324" s="135"/>
      <c r="H324" s="135"/>
      <c r="I324" s="135"/>
      <c r="J324" s="135"/>
      <c r="K324" s="135"/>
      <c r="L324" s="135"/>
      <c r="M324" s="135"/>
      <c r="N324" s="135"/>
      <c r="O324" s="135"/>
      <c r="P324" s="135"/>
      <c r="Q324" s="135"/>
      <c r="R324" s="135"/>
      <c r="S324" s="135"/>
      <c r="T324" s="135"/>
      <c r="U324" s="135"/>
      <c r="V324" s="135"/>
      <c r="W324" s="135"/>
      <c r="X324" s="135"/>
      <c r="Y324" s="135"/>
      <c r="Z324" s="135"/>
      <c r="AA324" s="135"/>
      <c r="AB324" s="135"/>
      <c r="AC324" s="135"/>
      <c r="AD324" s="135"/>
      <c r="AE324" s="135"/>
      <c r="AF324" s="135"/>
      <c r="AG324" s="135"/>
      <c r="AH324" s="135"/>
      <c r="AI324" s="135"/>
      <c r="AJ324" s="135"/>
      <c r="AK324" s="135"/>
      <c r="AL324" s="135"/>
      <c r="AM324" s="135"/>
      <c r="AN324" s="135"/>
      <c r="AO324" s="135"/>
      <c r="AP324" s="135"/>
      <c r="AQ324" s="135"/>
      <c r="AR324" s="135"/>
      <c r="AS324" s="135"/>
      <c r="AT324" s="135"/>
      <c r="AU324" s="135"/>
      <c r="AV324" s="135"/>
      <c r="AW324" s="135"/>
      <c r="AX324" s="135"/>
      <c r="AY324" s="135"/>
      <c r="AZ324" s="135"/>
      <c r="BA324" s="135"/>
      <c r="BB324" s="135"/>
      <c r="BC324" s="135"/>
      <c r="BD324" s="135"/>
      <c r="BE324" s="135"/>
      <c r="BF324" s="135"/>
      <c r="BG324" s="135"/>
      <c r="BH324" s="135"/>
      <c r="BI324" s="135"/>
      <c r="BJ324" s="135"/>
      <c r="BK324" s="135"/>
      <c r="BL324" s="135"/>
      <c r="BM324" s="135"/>
      <c r="BN324" s="135"/>
      <c r="BO324" s="135"/>
      <c r="BP324" s="135"/>
      <c r="BQ324" s="135"/>
      <c r="BR324" s="135"/>
      <c r="BS324" s="135"/>
      <c r="BT324" s="135"/>
    </row>
    <row r="325" spans="1:72" s="196" customFormat="1">
      <c r="A325" s="135"/>
      <c r="B325" s="135"/>
      <c r="C325" s="135"/>
      <c r="D325" s="135"/>
      <c r="E325" s="135"/>
      <c r="F325" s="135"/>
      <c r="G325" s="135"/>
      <c r="H325" s="135"/>
      <c r="I325" s="135"/>
      <c r="J325" s="135"/>
      <c r="K325" s="135"/>
      <c r="L325" s="135"/>
      <c r="M325" s="135"/>
      <c r="N325" s="135"/>
      <c r="O325" s="135"/>
      <c r="P325" s="135"/>
      <c r="Q325" s="135"/>
      <c r="R325" s="135"/>
      <c r="S325" s="135"/>
      <c r="T325" s="135"/>
      <c r="U325" s="135"/>
      <c r="V325" s="135"/>
      <c r="W325" s="135"/>
      <c r="X325" s="135"/>
      <c r="Y325" s="135"/>
      <c r="Z325" s="135"/>
      <c r="AA325" s="135"/>
      <c r="AB325" s="135"/>
      <c r="AC325" s="135"/>
      <c r="AD325" s="135"/>
      <c r="AE325" s="135"/>
      <c r="AF325" s="135"/>
      <c r="AG325" s="135"/>
      <c r="AH325" s="135"/>
      <c r="AI325" s="135"/>
      <c r="AJ325" s="135"/>
      <c r="AK325" s="135"/>
      <c r="AL325" s="135"/>
      <c r="AM325" s="135"/>
      <c r="AN325" s="135"/>
      <c r="AO325" s="135"/>
      <c r="AP325" s="135"/>
      <c r="AQ325" s="135"/>
      <c r="AR325" s="135"/>
      <c r="AS325" s="135"/>
      <c r="AT325" s="135"/>
      <c r="AU325" s="135"/>
      <c r="AV325" s="135"/>
      <c r="AW325" s="135"/>
      <c r="AX325" s="135"/>
      <c r="AY325" s="135"/>
      <c r="AZ325" s="135"/>
      <c r="BA325" s="135"/>
      <c r="BB325" s="135"/>
      <c r="BC325" s="135"/>
      <c r="BD325" s="135"/>
      <c r="BE325" s="135"/>
      <c r="BF325" s="135"/>
      <c r="BG325" s="135"/>
      <c r="BH325" s="135"/>
      <c r="BI325" s="135"/>
      <c r="BJ325" s="135"/>
      <c r="BK325" s="135"/>
      <c r="BL325" s="135"/>
      <c r="BM325" s="135"/>
      <c r="BN325" s="135"/>
      <c r="BO325" s="135"/>
      <c r="BP325" s="135"/>
      <c r="BQ325" s="135"/>
      <c r="BR325" s="135"/>
      <c r="BS325" s="135"/>
      <c r="BT325" s="135"/>
    </row>
    <row r="326" spans="1:72" s="196" customFormat="1">
      <c r="A326" s="135"/>
      <c r="B326" s="135"/>
      <c r="C326" s="135"/>
      <c r="D326" s="135"/>
      <c r="E326" s="135"/>
      <c r="F326" s="135"/>
      <c r="G326" s="135"/>
      <c r="H326" s="135"/>
      <c r="I326" s="135"/>
      <c r="J326" s="135"/>
      <c r="K326" s="135"/>
      <c r="L326" s="135"/>
      <c r="M326" s="135"/>
      <c r="N326" s="135"/>
      <c r="O326" s="135"/>
      <c r="P326" s="135"/>
      <c r="Q326" s="135"/>
      <c r="R326" s="135"/>
      <c r="S326" s="135"/>
      <c r="T326" s="135"/>
      <c r="U326" s="135"/>
      <c r="V326" s="135"/>
      <c r="W326" s="135"/>
      <c r="X326" s="135"/>
      <c r="Y326" s="135"/>
      <c r="Z326" s="135"/>
      <c r="AA326" s="135"/>
      <c r="AB326" s="135"/>
      <c r="AC326" s="135"/>
      <c r="AD326" s="135"/>
      <c r="AE326" s="135"/>
      <c r="AF326" s="135"/>
      <c r="AG326" s="135"/>
      <c r="AH326" s="135"/>
      <c r="AI326" s="135"/>
      <c r="AJ326" s="135"/>
      <c r="AK326" s="135"/>
      <c r="AL326" s="135"/>
      <c r="AM326" s="135"/>
      <c r="AN326" s="135"/>
      <c r="AO326" s="135"/>
      <c r="AP326" s="135"/>
      <c r="AQ326" s="135"/>
      <c r="AR326" s="135"/>
      <c r="AS326" s="135"/>
      <c r="AT326" s="135"/>
      <c r="AU326" s="135"/>
      <c r="AV326" s="135"/>
      <c r="AW326" s="135"/>
      <c r="AX326" s="135"/>
      <c r="AY326" s="135"/>
      <c r="AZ326" s="135"/>
      <c r="BA326" s="135"/>
      <c r="BB326" s="135"/>
      <c r="BC326" s="135"/>
      <c r="BD326" s="135"/>
      <c r="BE326" s="135"/>
      <c r="BF326" s="135"/>
      <c r="BG326" s="135"/>
      <c r="BH326" s="135"/>
      <c r="BI326" s="135"/>
      <c r="BJ326" s="135"/>
      <c r="BK326" s="135"/>
      <c r="BL326" s="135"/>
      <c r="BM326" s="135"/>
      <c r="BN326" s="135"/>
      <c r="BO326" s="135"/>
      <c r="BP326" s="135"/>
      <c r="BQ326" s="135"/>
      <c r="BR326" s="135"/>
      <c r="BS326" s="135"/>
      <c r="BT326" s="135"/>
    </row>
    <row r="327" spans="1:72" s="196" customFormat="1">
      <c r="A327" s="135"/>
      <c r="B327" s="135"/>
      <c r="C327" s="135"/>
      <c r="D327" s="135"/>
      <c r="E327" s="135"/>
      <c r="F327" s="135"/>
      <c r="G327" s="135"/>
      <c r="H327" s="135"/>
      <c r="I327" s="135"/>
      <c r="J327" s="135"/>
      <c r="K327" s="135"/>
      <c r="L327" s="135"/>
      <c r="M327" s="135"/>
      <c r="N327" s="135"/>
      <c r="O327" s="135"/>
      <c r="P327" s="135"/>
      <c r="Q327" s="135"/>
      <c r="R327" s="135"/>
      <c r="S327" s="135"/>
      <c r="T327" s="135"/>
      <c r="U327" s="135"/>
      <c r="V327" s="135"/>
      <c r="W327" s="135"/>
      <c r="X327" s="135"/>
      <c r="Y327" s="135"/>
      <c r="Z327" s="135"/>
      <c r="AA327" s="135"/>
      <c r="AB327" s="135"/>
      <c r="AC327" s="135"/>
      <c r="AD327" s="135"/>
      <c r="AE327" s="135"/>
      <c r="AF327" s="135"/>
      <c r="AG327" s="135"/>
      <c r="AH327" s="135"/>
      <c r="AI327" s="135"/>
      <c r="AJ327" s="135"/>
      <c r="AK327" s="135"/>
      <c r="AL327" s="135"/>
      <c r="AM327" s="135"/>
      <c r="AN327" s="135"/>
      <c r="AO327" s="135"/>
      <c r="AP327" s="135"/>
      <c r="AQ327" s="135"/>
      <c r="AR327" s="135"/>
      <c r="AS327" s="135"/>
      <c r="AT327" s="135"/>
      <c r="AU327" s="135"/>
      <c r="AV327" s="135"/>
      <c r="AW327" s="135"/>
      <c r="AX327" s="135"/>
      <c r="AY327" s="135"/>
      <c r="AZ327" s="135"/>
      <c r="BA327" s="135"/>
      <c r="BB327" s="135"/>
      <c r="BC327" s="135"/>
      <c r="BD327" s="135"/>
      <c r="BE327" s="135"/>
      <c r="BF327" s="135"/>
      <c r="BG327" s="135"/>
      <c r="BH327" s="135"/>
      <c r="BI327" s="135"/>
      <c r="BJ327" s="135"/>
      <c r="BK327" s="135"/>
      <c r="BL327" s="135"/>
      <c r="BM327" s="135"/>
      <c r="BN327" s="135"/>
      <c r="BO327" s="135"/>
      <c r="BP327" s="135"/>
      <c r="BQ327" s="135"/>
      <c r="BR327" s="135"/>
      <c r="BS327" s="135"/>
      <c r="BT327" s="135"/>
    </row>
    <row r="328" spans="1:72" s="196" customFormat="1">
      <c r="A328" s="135"/>
      <c r="B328" s="135"/>
      <c r="C328" s="135"/>
      <c r="D328" s="135"/>
      <c r="E328" s="135"/>
      <c r="F328" s="135"/>
      <c r="G328" s="135"/>
      <c r="H328" s="135"/>
      <c r="I328" s="135"/>
      <c r="J328" s="135"/>
      <c r="K328" s="135"/>
      <c r="L328" s="135"/>
      <c r="M328" s="135"/>
      <c r="N328" s="135"/>
      <c r="O328" s="135"/>
      <c r="P328" s="135"/>
      <c r="Q328" s="135"/>
      <c r="R328" s="135"/>
      <c r="S328" s="135"/>
      <c r="T328" s="135"/>
      <c r="U328" s="135"/>
      <c r="V328" s="135"/>
      <c r="W328" s="135"/>
      <c r="X328" s="135"/>
      <c r="Y328" s="135"/>
      <c r="Z328" s="135"/>
      <c r="AA328" s="135"/>
      <c r="AB328" s="135"/>
      <c r="AC328" s="135"/>
      <c r="AD328" s="135"/>
      <c r="AE328" s="135"/>
      <c r="AF328" s="135"/>
      <c r="AG328" s="135"/>
      <c r="AH328" s="135"/>
      <c r="AI328" s="135"/>
      <c r="AJ328" s="135"/>
      <c r="AK328" s="135"/>
      <c r="AL328" s="135"/>
      <c r="AM328" s="135"/>
      <c r="AN328" s="135"/>
      <c r="AO328" s="135"/>
      <c r="AP328" s="135"/>
      <c r="AQ328" s="135"/>
      <c r="AR328" s="135"/>
      <c r="AS328" s="135"/>
      <c r="AT328" s="135"/>
      <c r="AU328" s="135"/>
      <c r="AV328" s="135"/>
      <c r="AW328" s="135"/>
      <c r="AX328" s="135"/>
      <c r="AY328" s="135"/>
      <c r="AZ328" s="135"/>
      <c r="BA328" s="135"/>
      <c r="BB328" s="135"/>
      <c r="BC328" s="135"/>
      <c r="BD328" s="135"/>
      <c r="BE328" s="135"/>
      <c r="BF328" s="135"/>
      <c r="BG328" s="135"/>
      <c r="BH328" s="135"/>
      <c r="BI328" s="135"/>
      <c r="BJ328" s="135"/>
      <c r="BK328" s="135"/>
      <c r="BL328" s="135"/>
      <c r="BM328" s="135"/>
      <c r="BN328" s="135"/>
      <c r="BO328" s="135"/>
      <c r="BP328" s="135"/>
      <c r="BQ328" s="135"/>
      <c r="BR328" s="135"/>
      <c r="BS328" s="135"/>
      <c r="BT328" s="135"/>
    </row>
    <row r="329" spans="1:72" s="196" customFormat="1">
      <c r="A329" s="135"/>
      <c r="B329" s="135"/>
      <c r="C329" s="135"/>
      <c r="D329" s="135"/>
      <c r="E329" s="135"/>
      <c r="F329" s="135"/>
      <c r="G329" s="135"/>
      <c r="H329" s="135"/>
      <c r="I329" s="135"/>
      <c r="J329" s="135"/>
      <c r="K329" s="135"/>
      <c r="L329" s="135"/>
      <c r="M329" s="135"/>
      <c r="N329" s="135"/>
      <c r="O329" s="135"/>
      <c r="P329" s="135"/>
      <c r="Q329" s="135"/>
      <c r="R329" s="135"/>
      <c r="S329" s="135"/>
      <c r="T329" s="135"/>
      <c r="U329" s="135"/>
      <c r="V329" s="135"/>
      <c r="W329" s="135"/>
      <c r="X329" s="135"/>
      <c r="Y329" s="135"/>
      <c r="Z329" s="135"/>
      <c r="AA329" s="135"/>
      <c r="AB329" s="135"/>
      <c r="AC329" s="135"/>
      <c r="AD329" s="135"/>
      <c r="AE329" s="135"/>
      <c r="AF329" s="135"/>
      <c r="AG329" s="135"/>
      <c r="AH329" s="135"/>
      <c r="AI329" s="135"/>
      <c r="AJ329" s="135"/>
      <c r="AK329" s="135"/>
      <c r="AL329" s="135"/>
      <c r="AM329" s="135"/>
      <c r="AN329" s="135"/>
      <c r="AO329" s="135"/>
      <c r="AP329" s="135"/>
      <c r="AQ329" s="135"/>
      <c r="AR329" s="135"/>
      <c r="AS329" s="135"/>
      <c r="AT329" s="135"/>
      <c r="AU329" s="135"/>
      <c r="AV329" s="135"/>
      <c r="AW329" s="135"/>
      <c r="AX329" s="135"/>
      <c r="AY329" s="135"/>
      <c r="AZ329" s="135"/>
      <c r="BA329" s="135"/>
      <c r="BB329" s="135"/>
      <c r="BC329" s="135"/>
      <c r="BD329" s="135"/>
      <c r="BE329" s="135"/>
      <c r="BF329" s="135"/>
      <c r="BG329" s="135"/>
      <c r="BH329" s="135"/>
      <c r="BI329" s="135"/>
      <c r="BJ329" s="135"/>
      <c r="BK329" s="135"/>
      <c r="BL329" s="135"/>
      <c r="BM329" s="135"/>
      <c r="BN329" s="135"/>
      <c r="BO329" s="135"/>
      <c r="BP329" s="135"/>
      <c r="BQ329" s="135"/>
      <c r="BR329" s="135"/>
      <c r="BS329" s="135"/>
      <c r="BT329" s="135"/>
    </row>
    <row r="330" spans="1:72" s="196" customFormat="1">
      <c r="A330" s="135"/>
      <c r="B330" s="135"/>
      <c r="C330" s="135"/>
      <c r="D330" s="135"/>
      <c r="E330" s="135"/>
      <c r="F330" s="135"/>
      <c r="G330" s="135"/>
      <c r="H330" s="135"/>
      <c r="I330" s="135"/>
      <c r="J330" s="135"/>
      <c r="K330" s="135"/>
      <c r="L330" s="135"/>
      <c r="M330" s="135"/>
      <c r="N330" s="135"/>
      <c r="O330" s="135"/>
      <c r="P330" s="135"/>
      <c r="Q330" s="135"/>
      <c r="R330" s="135"/>
      <c r="S330" s="135"/>
      <c r="T330" s="135"/>
      <c r="U330" s="135"/>
      <c r="V330" s="135"/>
      <c r="W330" s="135"/>
      <c r="X330" s="135"/>
      <c r="Y330" s="135"/>
      <c r="Z330" s="135"/>
      <c r="AA330" s="135"/>
      <c r="AB330" s="135"/>
      <c r="AC330" s="135"/>
      <c r="AD330" s="135"/>
      <c r="AE330" s="135"/>
      <c r="AF330" s="135"/>
      <c r="AG330" s="135"/>
      <c r="AH330" s="135"/>
      <c r="AI330" s="135"/>
      <c r="AJ330" s="135"/>
      <c r="AK330" s="135"/>
      <c r="AL330" s="135"/>
      <c r="AM330" s="135"/>
      <c r="AN330" s="135"/>
      <c r="AO330" s="135"/>
      <c r="AP330" s="135"/>
      <c r="AQ330" s="135"/>
      <c r="AR330" s="135"/>
      <c r="AS330" s="135"/>
      <c r="AT330" s="135"/>
      <c r="AU330" s="135"/>
      <c r="AV330" s="135"/>
      <c r="AW330" s="135"/>
      <c r="AX330" s="135"/>
      <c r="AY330" s="135"/>
      <c r="AZ330" s="135"/>
      <c r="BA330" s="135"/>
      <c r="BB330" s="135"/>
      <c r="BC330" s="135"/>
      <c r="BD330" s="135"/>
      <c r="BE330" s="135"/>
      <c r="BF330" s="135"/>
      <c r="BG330" s="135"/>
      <c r="BH330" s="135"/>
      <c r="BI330" s="135"/>
      <c r="BJ330" s="135"/>
      <c r="BK330" s="135"/>
      <c r="BL330" s="135"/>
      <c r="BM330" s="135"/>
      <c r="BN330" s="135"/>
      <c r="BO330" s="135"/>
      <c r="BP330" s="135"/>
      <c r="BQ330" s="135"/>
      <c r="BR330" s="135"/>
      <c r="BS330" s="135"/>
      <c r="BT330" s="135"/>
    </row>
    <row r="331" spans="1:72" s="196" customFormat="1">
      <c r="A331" s="135"/>
      <c r="B331" s="135"/>
      <c r="C331" s="135"/>
      <c r="D331" s="135"/>
      <c r="E331" s="135"/>
      <c r="F331" s="135"/>
      <c r="G331" s="135"/>
      <c r="H331" s="135"/>
      <c r="I331" s="135"/>
      <c r="J331" s="135"/>
      <c r="K331" s="135"/>
      <c r="L331" s="135"/>
      <c r="M331" s="135"/>
      <c r="N331" s="135"/>
      <c r="O331" s="135"/>
      <c r="P331" s="135"/>
      <c r="Q331" s="135"/>
      <c r="R331" s="135"/>
      <c r="S331" s="135"/>
      <c r="T331" s="135"/>
      <c r="U331" s="135"/>
      <c r="V331" s="135"/>
      <c r="W331" s="135"/>
      <c r="X331" s="135"/>
      <c r="Y331" s="135"/>
      <c r="Z331" s="135"/>
      <c r="AA331" s="135"/>
      <c r="AB331" s="135"/>
      <c r="AC331" s="135"/>
      <c r="AD331" s="135"/>
      <c r="AE331" s="135"/>
      <c r="AF331" s="135"/>
      <c r="AG331" s="135"/>
      <c r="AH331" s="135"/>
      <c r="AI331" s="135"/>
      <c r="AJ331" s="135"/>
      <c r="AK331" s="135"/>
      <c r="AL331" s="135"/>
      <c r="AM331" s="135"/>
      <c r="AN331" s="135"/>
      <c r="AO331" s="135"/>
      <c r="AP331" s="135"/>
      <c r="AQ331" s="135"/>
      <c r="AR331" s="135"/>
      <c r="AS331" s="135"/>
      <c r="AT331" s="135"/>
      <c r="AU331" s="135"/>
      <c r="AV331" s="135"/>
      <c r="AW331" s="135"/>
      <c r="AX331" s="135"/>
      <c r="AY331" s="135"/>
      <c r="AZ331" s="135"/>
      <c r="BA331" s="135"/>
      <c r="BB331" s="135"/>
      <c r="BC331" s="135"/>
      <c r="BD331" s="135"/>
      <c r="BE331" s="135"/>
      <c r="BF331" s="135"/>
      <c r="BG331" s="135"/>
      <c r="BH331" s="135"/>
      <c r="BI331" s="135"/>
      <c r="BJ331" s="135"/>
      <c r="BK331" s="135"/>
      <c r="BL331" s="135"/>
      <c r="BM331" s="135"/>
      <c r="BN331" s="135"/>
      <c r="BO331" s="135"/>
      <c r="BP331" s="135"/>
      <c r="BQ331" s="135"/>
      <c r="BR331" s="135"/>
      <c r="BS331" s="135"/>
      <c r="BT331" s="135"/>
    </row>
    <row r="332" spans="1:72" s="196" customFormat="1">
      <c r="A332" s="135"/>
      <c r="B332" s="135"/>
      <c r="C332" s="135"/>
      <c r="D332" s="135"/>
      <c r="E332" s="135"/>
      <c r="F332" s="135"/>
      <c r="G332" s="135"/>
      <c r="H332" s="135"/>
      <c r="I332" s="135"/>
      <c r="J332" s="135"/>
      <c r="K332" s="135"/>
      <c r="L332" s="135"/>
      <c r="M332" s="135"/>
      <c r="N332" s="135"/>
      <c r="O332" s="135"/>
      <c r="P332" s="135"/>
      <c r="Q332" s="135"/>
      <c r="R332" s="135"/>
      <c r="S332" s="135"/>
      <c r="T332" s="135"/>
      <c r="U332" s="135"/>
      <c r="V332" s="135"/>
      <c r="W332" s="135"/>
      <c r="X332" s="135"/>
      <c r="Y332" s="135"/>
      <c r="Z332" s="135"/>
      <c r="AA332" s="135"/>
      <c r="AB332" s="135"/>
      <c r="AC332" s="135"/>
      <c r="AD332" s="135"/>
      <c r="AE332" s="135"/>
      <c r="AF332" s="135"/>
      <c r="AG332" s="135"/>
      <c r="AH332" s="135"/>
      <c r="AI332" s="135"/>
      <c r="AJ332" s="135"/>
      <c r="AK332" s="135"/>
      <c r="AL332" s="135"/>
      <c r="AM332" s="135"/>
      <c r="AN332" s="135"/>
      <c r="AO332" s="135"/>
      <c r="AP332" s="135"/>
      <c r="AQ332" s="135"/>
      <c r="AR332" s="135"/>
      <c r="AS332" s="135"/>
      <c r="AT332" s="135"/>
      <c r="AU332" s="135"/>
      <c r="AV332" s="135"/>
      <c r="AW332" s="135"/>
      <c r="AX332" s="135"/>
      <c r="AY332" s="135"/>
      <c r="AZ332" s="135"/>
      <c r="BA332" s="135"/>
      <c r="BB332" s="135"/>
      <c r="BC332" s="135"/>
      <c r="BD332" s="135"/>
      <c r="BE332" s="135"/>
      <c r="BF332" s="135"/>
      <c r="BG332" s="135"/>
      <c r="BH332" s="135"/>
      <c r="BI332" s="135"/>
      <c r="BJ332" s="135"/>
      <c r="BK332" s="135"/>
      <c r="BL332" s="135"/>
      <c r="BM332" s="135"/>
      <c r="BN332" s="135"/>
      <c r="BO332" s="135"/>
      <c r="BP332" s="135"/>
      <c r="BQ332" s="135"/>
      <c r="BR332" s="135"/>
      <c r="BS332" s="135"/>
      <c r="BT332" s="135"/>
    </row>
    <row r="333" spans="1:72" s="196" customFormat="1">
      <c r="A333" s="135"/>
      <c r="B333" s="135"/>
      <c r="C333" s="135"/>
      <c r="D333" s="135"/>
      <c r="E333" s="135"/>
      <c r="F333" s="135"/>
      <c r="G333" s="135"/>
      <c r="H333" s="135"/>
      <c r="I333" s="135"/>
      <c r="J333" s="135"/>
      <c r="K333" s="135"/>
      <c r="L333" s="135"/>
      <c r="M333" s="135"/>
      <c r="N333" s="135"/>
      <c r="O333" s="135"/>
      <c r="P333" s="135"/>
      <c r="Q333" s="135"/>
      <c r="R333" s="135"/>
      <c r="S333" s="135"/>
      <c r="T333" s="135"/>
      <c r="U333" s="135"/>
      <c r="V333" s="135"/>
      <c r="W333" s="135"/>
      <c r="X333" s="135"/>
      <c r="Y333" s="135"/>
      <c r="Z333" s="135"/>
      <c r="AA333" s="135"/>
      <c r="AB333" s="135"/>
      <c r="AC333" s="135"/>
      <c r="AD333" s="135"/>
      <c r="AE333" s="135"/>
      <c r="AF333" s="135"/>
      <c r="AG333" s="135"/>
      <c r="AH333" s="135"/>
      <c r="AI333" s="135"/>
      <c r="AJ333" s="135"/>
      <c r="AK333" s="135"/>
      <c r="AL333" s="135"/>
      <c r="AM333" s="135"/>
      <c r="AN333" s="135"/>
      <c r="AO333" s="135"/>
      <c r="AP333" s="135"/>
      <c r="AQ333" s="135"/>
      <c r="AR333" s="135"/>
      <c r="AS333" s="135"/>
      <c r="AT333" s="135"/>
      <c r="AU333" s="135"/>
      <c r="AV333" s="135"/>
      <c r="AW333" s="135"/>
      <c r="AX333" s="135"/>
      <c r="AY333" s="135"/>
      <c r="AZ333" s="135"/>
      <c r="BA333" s="135"/>
      <c r="BB333" s="135"/>
      <c r="BC333" s="135"/>
      <c r="BD333" s="135"/>
      <c r="BE333" s="135"/>
      <c r="BF333" s="135"/>
      <c r="BG333" s="135"/>
      <c r="BH333" s="135"/>
      <c r="BI333" s="135"/>
      <c r="BJ333" s="135"/>
      <c r="BK333" s="135"/>
      <c r="BL333" s="135"/>
      <c r="BM333" s="135"/>
      <c r="BN333" s="135"/>
      <c r="BO333" s="135"/>
      <c r="BP333" s="135"/>
      <c r="BQ333" s="135"/>
      <c r="BR333" s="135"/>
      <c r="BS333" s="135"/>
      <c r="BT333" s="135"/>
    </row>
    <row r="334" spans="1:72" s="196" customFormat="1">
      <c r="A334" s="135"/>
      <c r="B334" s="135"/>
      <c r="C334" s="135"/>
      <c r="D334" s="135"/>
      <c r="E334" s="135"/>
      <c r="F334" s="135"/>
      <c r="G334" s="135"/>
      <c r="H334" s="135"/>
      <c r="I334" s="135"/>
      <c r="J334" s="135"/>
      <c r="K334" s="135"/>
      <c r="L334" s="135"/>
      <c r="M334" s="135"/>
      <c r="N334" s="135"/>
      <c r="O334" s="135"/>
      <c r="P334" s="135"/>
      <c r="Q334" s="135"/>
      <c r="R334" s="135"/>
      <c r="S334" s="135"/>
      <c r="T334" s="135"/>
      <c r="U334" s="135"/>
      <c r="V334" s="135"/>
      <c r="W334" s="135"/>
      <c r="X334" s="135"/>
      <c r="Y334" s="135"/>
      <c r="Z334" s="135"/>
      <c r="AA334" s="135"/>
      <c r="AB334" s="135"/>
      <c r="AC334" s="135"/>
      <c r="AD334" s="135"/>
      <c r="AE334" s="135"/>
      <c r="AF334" s="135"/>
      <c r="AG334" s="135"/>
      <c r="AH334" s="135"/>
      <c r="AI334" s="135"/>
      <c r="AJ334" s="135"/>
      <c r="AK334" s="135"/>
      <c r="AL334" s="135"/>
      <c r="AM334" s="135"/>
      <c r="AN334" s="135"/>
      <c r="AO334" s="135"/>
      <c r="AP334" s="135"/>
      <c r="AQ334" s="135"/>
      <c r="AR334" s="135"/>
      <c r="AS334" s="135"/>
      <c r="AT334" s="135"/>
      <c r="AU334" s="135"/>
      <c r="AV334" s="135"/>
      <c r="AW334" s="135"/>
      <c r="AX334" s="135"/>
      <c r="AY334" s="135"/>
      <c r="AZ334" s="135"/>
      <c r="BA334" s="135"/>
      <c r="BB334" s="135"/>
      <c r="BC334" s="135"/>
      <c r="BD334" s="135"/>
      <c r="BE334" s="135"/>
      <c r="BF334" s="135"/>
      <c r="BG334" s="135"/>
      <c r="BH334" s="135"/>
      <c r="BI334" s="135"/>
      <c r="BJ334" s="135"/>
      <c r="BK334" s="135"/>
      <c r="BL334" s="135"/>
      <c r="BM334" s="135"/>
      <c r="BN334" s="135"/>
      <c r="BO334" s="135"/>
      <c r="BP334" s="135"/>
      <c r="BQ334" s="135"/>
      <c r="BR334" s="135"/>
      <c r="BS334" s="135"/>
      <c r="BT334" s="135"/>
    </row>
    <row r="335" spans="1:72" s="196" customFormat="1">
      <c r="A335" s="135"/>
      <c r="B335" s="135"/>
      <c r="C335" s="135"/>
      <c r="D335" s="135"/>
      <c r="E335" s="135"/>
      <c r="F335" s="135"/>
      <c r="G335" s="135"/>
      <c r="H335" s="135"/>
      <c r="I335" s="135"/>
      <c r="J335" s="135"/>
      <c r="K335" s="135"/>
      <c r="L335" s="135"/>
      <c r="M335" s="135"/>
      <c r="N335" s="135"/>
      <c r="O335" s="135"/>
      <c r="P335" s="135"/>
      <c r="Q335" s="135"/>
      <c r="R335" s="135"/>
      <c r="S335" s="135"/>
      <c r="T335" s="135"/>
      <c r="U335" s="135"/>
      <c r="V335" s="135"/>
      <c r="W335" s="135"/>
      <c r="X335" s="135"/>
      <c r="Y335" s="135"/>
      <c r="Z335" s="135"/>
      <c r="AA335" s="135"/>
      <c r="AB335" s="135"/>
      <c r="AC335" s="135"/>
      <c r="AD335" s="135"/>
      <c r="AE335" s="135"/>
      <c r="AF335" s="135"/>
      <c r="AG335" s="135"/>
      <c r="AH335" s="135"/>
      <c r="AI335" s="135"/>
      <c r="AJ335" s="135"/>
      <c r="AK335" s="135"/>
      <c r="AL335" s="135"/>
      <c r="AM335" s="135"/>
      <c r="AN335" s="135"/>
      <c r="AO335" s="135"/>
      <c r="AP335" s="135"/>
      <c r="AQ335" s="135"/>
      <c r="AR335" s="135"/>
      <c r="AS335" s="135"/>
      <c r="AT335" s="135"/>
      <c r="AU335" s="135"/>
      <c r="AV335" s="135"/>
      <c r="AW335" s="135"/>
      <c r="AX335" s="135"/>
      <c r="AY335" s="135"/>
      <c r="AZ335" s="135"/>
      <c r="BA335" s="135"/>
      <c r="BB335" s="135"/>
      <c r="BC335" s="135"/>
      <c r="BD335" s="135"/>
      <c r="BE335" s="135"/>
      <c r="BF335" s="135"/>
      <c r="BG335" s="135"/>
      <c r="BH335" s="135"/>
      <c r="BI335" s="135"/>
      <c r="BJ335" s="135"/>
      <c r="BK335" s="135"/>
      <c r="BL335" s="135"/>
      <c r="BM335" s="135"/>
      <c r="BN335" s="135"/>
      <c r="BO335" s="135"/>
      <c r="BP335" s="135"/>
      <c r="BQ335" s="135"/>
      <c r="BR335" s="135"/>
      <c r="BS335" s="135"/>
      <c r="BT335" s="135"/>
    </row>
    <row r="336" spans="1:72" s="196" customFormat="1">
      <c r="A336" s="135"/>
      <c r="B336" s="135"/>
      <c r="C336" s="135"/>
      <c r="D336" s="135"/>
      <c r="E336" s="135"/>
      <c r="F336" s="135"/>
      <c r="G336" s="135"/>
      <c r="H336" s="135"/>
      <c r="I336" s="135"/>
      <c r="J336" s="135"/>
      <c r="K336" s="135"/>
      <c r="L336" s="135"/>
      <c r="M336" s="135"/>
      <c r="N336" s="135"/>
      <c r="O336" s="135"/>
      <c r="P336" s="135"/>
      <c r="Q336" s="135"/>
      <c r="R336" s="135"/>
      <c r="S336" s="135"/>
      <c r="T336" s="135"/>
      <c r="U336" s="135"/>
      <c r="V336" s="135"/>
      <c r="W336" s="135"/>
      <c r="X336" s="135"/>
      <c r="Y336" s="135"/>
      <c r="Z336" s="135"/>
      <c r="AA336" s="135"/>
      <c r="AB336" s="135"/>
      <c r="AC336" s="135"/>
      <c r="AD336" s="135"/>
      <c r="AE336" s="135"/>
      <c r="AF336" s="135"/>
      <c r="AG336" s="135"/>
      <c r="AH336" s="135"/>
      <c r="AI336" s="135"/>
      <c r="AJ336" s="135"/>
      <c r="AK336" s="135"/>
      <c r="AL336" s="135"/>
      <c r="AM336" s="135"/>
      <c r="AN336" s="135"/>
      <c r="AO336" s="135"/>
      <c r="AP336" s="135"/>
      <c r="AQ336" s="135"/>
      <c r="AR336" s="135"/>
      <c r="AS336" s="135"/>
      <c r="AT336" s="135"/>
      <c r="AU336" s="135"/>
      <c r="AV336" s="135"/>
      <c r="AW336" s="135"/>
      <c r="AX336" s="135"/>
      <c r="AY336" s="135"/>
      <c r="AZ336" s="135"/>
      <c r="BA336" s="135"/>
      <c r="BB336" s="135"/>
      <c r="BC336" s="135"/>
      <c r="BD336" s="135"/>
      <c r="BE336" s="135"/>
      <c r="BF336" s="135"/>
      <c r="BG336" s="135"/>
      <c r="BH336" s="135"/>
      <c r="BI336" s="135"/>
      <c r="BJ336" s="135"/>
      <c r="BK336" s="135"/>
      <c r="BL336" s="135"/>
      <c r="BM336" s="135"/>
      <c r="BN336" s="135"/>
      <c r="BO336" s="135"/>
      <c r="BP336" s="135"/>
      <c r="BQ336" s="135"/>
      <c r="BR336" s="135"/>
      <c r="BS336" s="135"/>
      <c r="BT336" s="135"/>
    </row>
    <row r="337" spans="1:72" s="196" customFormat="1">
      <c r="A337" s="135"/>
      <c r="B337" s="135"/>
      <c r="C337" s="135"/>
      <c r="D337" s="135"/>
      <c r="E337" s="135"/>
      <c r="F337" s="135"/>
      <c r="G337" s="135"/>
      <c r="H337" s="135"/>
      <c r="I337" s="135"/>
      <c r="J337" s="135"/>
      <c r="K337" s="135"/>
      <c r="L337" s="135"/>
      <c r="M337" s="135"/>
      <c r="N337" s="135"/>
      <c r="O337" s="135"/>
      <c r="P337" s="135"/>
      <c r="Q337" s="135"/>
      <c r="R337" s="135"/>
      <c r="S337" s="135"/>
      <c r="T337" s="135"/>
      <c r="U337" s="135"/>
      <c r="V337" s="135"/>
      <c r="W337" s="135"/>
      <c r="X337" s="135"/>
      <c r="Y337" s="135"/>
      <c r="Z337" s="135"/>
      <c r="AA337" s="135"/>
      <c r="AB337" s="135"/>
      <c r="AC337" s="135"/>
      <c r="AD337" s="135"/>
      <c r="AE337" s="135"/>
      <c r="AF337" s="135"/>
      <c r="AG337" s="135"/>
      <c r="AH337" s="135"/>
      <c r="AI337" s="135"/>
      <c r="AJ337" s="135"/>
      <c r="AK337" s="135"/>
      <c r="AL337" s="135"/>
      <c r="AM337" s="135"/>
      <c r="AN337" s="135"/>
      <c r="AO337" s="135"/>
      <c r="AP337" s="135"/>
      <c r="AQ337" s="135"/>
      <c r="AR337" s="135"/>
      <c r="AS337" s="135"/>
      <c r="AT337" s="135"/>
      <c r="AU337" s="135"/>
      <c r="AV337" s="135"/>
      <c r="AW337" s="135"/>
      <c r="AX337" s="135"/>
      <c r="AY337" s="135"/>
      <c r="AZ337" s="135"/>
      <c r="BA337" s="135"/>
      <c r="BB337" s="135"/>
      <c r="BC337" s="135"/>
      <c r="BD337" s="135"/>
      <c r="BE337" s="135"/>
      <c r="BF337" s="135"/>
      <c r="BG337" s="135"/>
      <c r="BH337" s="135"/>
      <c r="BI337" s="135"/>
      <c r="BJ337" s="135"/>
      <c r="BK337" s="135"/>
      <c r="BL337" s="135"/>
      <c r="BM337" s="135"/>
      <c r="BN337" s="135"/>
      <c r="BO337" s="135"/>
      <c r="BP337" s="135"/>
      <c r="BQ337" s="135"/>
      <c r="BR337" s="135"/>
      <c r="BS337" s="135"/>
      <c r="BT337" s="135"/>
    </row>
    <row r="338" spans="1:72" s="196" customFormat="1">
      <c r="A338" s="135"/>
      <c r="B338" s="135"/>
      <c r="C338" s="135"/>
      <c r="D338" s="135"/>
      <c r="E338" s="135"/>
      <c r="F338" s="135"/>
      <c r="G338" s="135"/>
      <c r="H338" s="135"/>
      <c r="I338" s="135"/>
      <c r="J338" s="135"/>
      <c r="K338" s="135"/>
      <c r="L338" s="135"/>
      <c r="M338" s="135"/>
      <c r="N338" s="135"/>
      <c r="O338" s="135"/>
      <c r="P338" s="135"/>
      <c r="Q338" s="135"/>
      <c r="R338" s="135"/>
      <c r="S338" s="135"/>
      <c r="T338" s="135"/>
      <c r="U338" s="135"/>
      <c r="V338" s="135"/>
      <c r="W338" s="135"/>
      <c r="X338" s="135"/>
      <c r="Y338" s="135"/>
      <c r="Z338" s="135"/>
      <c r="AA338" s="135"/>
      <c r="AB338" s="135"/>
      <c r="AC338" s="135"/>
      <c r="AD338" s="135"/>
      <c r="AE338" s="135"/>
      <c r="AF338" s="135"/>
      <c r="AG338" s="135"/>
      <c r="AH338" s="135"/>
      <c r="AI338" s="135"/>
      <c r="AJ338" s="135"/>
      <c r="AK338" s="135"/>
      <c r="AL338" s="135"/>
      <c r="AM338" s="135"/>
      <c r="AN338" s="135"/>
      <c r="AO338" s="135"/>
      <c r="AP338" s="135"/>
      <c r="AQ338" s="135"/>
      <c r="AR338" s="135"/>
      <c r="AS338" s="135"/>
      <c r="AT338" s="135"/>
      <c r="AU338" s="135"/>
      <c r="AV338" s="135"/>
      <c r="AW338" s="135"/>
      <c r="AX338" s="135"/>
      <c r="AY338" s="135"/>
      <c r="AZ338" s="135"/>
      <c r="BA338" s="135"/>
      <c r="BB338" s="135"/>
      <c r="BC338" s="135"/>
      <c r="BD338" s="135"/>
      <c r="BE338" s="135"/>
      <c r="BF338" s="135"/>
      <c r="BG338" s="135"/>
      <c r="BH338" s="135"/>
      <c r="BI338" s="135"/>
      <c r="BJ338" s="135"/>
      <c r="BK338" s="135"/>
      <c r="BL338" s="135"/>
      <c r="BM338" s="135"/>
      <c r="BN338" s="135"/>
      <c r="BO338" s="135"/>
      <c r="BP338" s="135"/>
      <c r="BQ338" s="135"/>
      <c r="BR338" s="135"/>
      <c r="BS338" s="135"/>
      <c r="BT338" s="135"/>
    </row>
    <row r="339" spans="1:72" s="196" customFormat="1">
      <c r="A339" s="135"/>
      <c r="B339" s="135"/>
      <c r="C339" s="135"/>
      <c r="D339" s="135"/>
      <c r="E339" s="135"/>
      <c r="F339" s="135"/>
      <c r="G339" s="135"/>
      <c r="H339" s="135"/>
      <c r="I339" s="135"/>
      <c r="J339" s="135"/>
      <c r="K339" s="135"/>
      <c r="L339" s="135"/>
      <c r="M339" s="135"/>
      <c r="N339" s="135"/>
      <c r="O339" s="135"/>
      <c r="P339" s="135"/>
      <c r="Q339" s="135"/>
      <c r="R339" s="135"/>
      <c r="S339" s="135"/>
      <c r="T339" s="135"/>
      <c r="U339" s="135"/>
      <c r="V339" s="135"/>
      <c r="W339" s="135"/>
      <c r="X339" s="135"/>
      <c r="Y339" s="135"/>
      <c r="Z339" s="135"/>
      <c r="AA339" s="135"/>
      <c r="AB339" s="135"/>
      <c r="AC339" s="135"/>
      <c r="AD339" s="135"/>
      <c r="AE339" s="135"/>
      <c r="AF339" s="135"/>
      <c r="AG339" s="135"/>
      <c r="AH339" s="135"/>
      <c r="AI339" s="135"/>
      <c r="AJ339" s="135"/>
      <c r="AK339" s="135"/>
      <c r="AL339" s="135"/>
      <c r="AM339" s="135"/>
      <c r="AN339" s="135"/>
      <c r="AO339" s="135"/>
      <c r="AP339" s="135"/>
      <c r="AQ339" s="135"/>
      <c r="AR339" s="135"/>
      <c r="AS339" s="135"/>
      <c r="AT339" s="135"/>
      <c r="AU339" s="135"/>
      <c r="AV339" s="135"/>
      <c r="AW339" s="135"/>
      <c r="AX339" s="135"/>
      <c r="AY339" s="135"/>
      <c r="AZ339" s="135"/>
      <c r="BA339" s="135"/>
      <c r="BB339" s="135"/>
      <c r="BC339" s="135"/>
      <c r="BD339" s="135"/>
      <c r="BE339" s="135"/>
      <c r="BF339" s="135"/>
      <c r="BG339" s="135"/>
      <c r="BH339" s="135"/>
      <c r="BI339" s="135"/>
      <c r="BJ339" s="135"/>
      <c r="BK339" s="135"/>
      <c r="BL339" s="135"/>
      <c r="BM339" s="135"/>
      <c r="BN339" s="135"/>
      <c r="BO339" s="135"/>
      <c r="BP339" s="135"/>
      <c r="BQ339" s="135"/>
      <c r="BR339" s="135"/>
      <c r="BS339" s="135"/>
      <c r="BT339" s="135"/>
    </row>
    <row r="340" spans="1:72" s="196" customFormat="1">
      <c r="A340" s="135"/>
      <c r="B340" s="135"/>
      <c r="C340" s="135"/>
      <c r="D340" s="135"/>
      <c r="E340" s="135"/>
      <c r="F340" s="135"/>
      <c r="G340" s="135"/>
      <c r="H340" s="135"/>
      <c r="I340" s="135"/>
      <c r="J340" s="135"/>
      <c r="K340" s="135"/>
      <c r="L340" s="135"/>
      <c r="M340" s="135"/>
      <c r="N340" s="135"/>
      <c r="O340" s="135"/>
      <c r="P340" s="135"/>
      <c r="Q340" s="135"/>
      <c r="R340" s="135"/>
      <c r="S340" s="135"/>
      <c r="T340" s="135"/>
      <c r="U340" s="135"/>
      <c r="V340" s="135"/>
      <c r="W340" s="135"/>
      <c r="X340" s="135"/>
      <c r="Y340" s="135"/>
      <c r="Z340" s="135"/>
      <c r="AA340" s="135"/>
      <c r="AB340" s="135"/>
      <c r="AC340" s="135"/>
      <c r="AD340" s="135"/>
      <c r="AE340" s="135"/>
      <c r="AF340" s="135"/>
      <c r="AG340" s="135"/>
      <c r="AH340" s="135"/>
      <c r="AI340" s="135"/>
      <c r="AJ340" s="135"/>
      <c r="AK340" s="135"/>
      <c r="AL340" s="135"/>
      <c r="AM340" s="135"/>
      <c r="AN340" s="135"/>
      <c r="AO340" s="135"/>
      <c r="AP340" s="135"/>
      <c r="AQ340" s="135"/>
      <c r="AR340" s="135"/>
      <c r="AS340" s="135"/>
      <c r="AT340" s="135"/>
      <c r="AU340" s="135"/>
      <c r="AV340" s="135"/>
      <c r="AW340" s="135"/>
      <c r="AX340" s="135"/>
      <c r="AY340" s="135"/>
      <c r="AZ340" s="135"/>
      <c r="BA340" s="135"/>
      <c r="BB340" s="135"/>
      <c r="BC340" s="135"/>
      <c r="BD340" s="135"/>
      <c r="BE340" s="135"/>
      <c r="BF340" s="135"/>
      <c r="BG340" s="135"/>
      <c r="BH340" s="135"/>
      <c r="BI340" s="135"/>
      <c r="BJ340" s="135"/>
      <c r="BK340" s="135"/>
      <c r="BL340" s="135"/>
      <c r="BM340" s="135"/>
      <c r="BN340" s="135"/>
      <c r="BO340" s="135"/>
      <c r="BP340" s="135"/>
      <c r="BQ340" s="135"/>
      <c r="BR340" s="135"/>
      <c r="BS340" s="135"/>
      <c r="BT340" s="135"/>
    </row>
    <row r="341" spans="1:72" s="196" customFormat="1">
      <c r="A341" s="135"/>
      <c r="B341" s="135"/>
      <c r="C341" s="135"/>
      <c r="D341" s="135"/>
      <c r="E341" s="135"/>
      <c r="F341" s="135"/>
      <c r="G341" s="135"/>
      <c r="H341" s="135"/>
      <c r="I341" s="135"/>
      <c r="J341" s="135"/>
      <c r="K341" s="135"/>
      <c r="L341" s="135"/>
      <c r="M341" s="135"/>
      <c r="N341" s="135"/>
      <c r="O341" s="135"/>
      <c r="P341" s="135"/>
      <c r="Q341" s="135"/>
      <c r="R341" s="135"/>
      <c r="S341" s="135"/>
      <c r="T341" s="135"/>
      <c r="U341" s="135"/>
      <c r="V341" s="135"/>
      <c r="W341" s="135"/>
      <c r="X341" s="135"/>
      <c r="Y341" s="135"/>
      <c r="Z341" s="135"/>
      <c r="AA341" s="135"/>
      <c r="AB341" s="135"/>
      <c r="AC341" s="135"/>
      <c r="AD341" s="135"/>
      <c r="AE341" s="135"/>
      <c r="AF341" s="135"/>
      <c r="AG341" s="135"/>
      <c r="AH341" s="135"/>
      <c r="AI341" s="135"/>
      <c r="AJ341" s="135"/>
      <c r="AK341" s="135"/>
      <c r="AL341" s="135"/>
      <c r="AM341" s="135"/>
      <c r="AN341" s="135"/>
      <c r="AO341" s="135"/>
      <c r="AP341" s="135"/>
      <c r="AQ341" s="135"/>
      <c r="AR341" s="135"/>
      <c r="AS341" s="135"/>
      <c r="AT341" s="135"/>
      <c r="AU341" s="135"/>
      <c r="AV341" s="135"/>
      <c r="AW341" s="135"/>
      <c r="AX341" s="135"/>
      <c r="AY341" s="135"/>
      <c r="AZ341" s="135"/>
      <c r="BA341" s="135"/>
      <c r="BB341" s="135"/>
      <c r="BC341" s="135"/>
      <c r="BD341" s="135"/>
      <c r="BE341" s="135"/>
      <c r="BF341" s="135"/>
      <c r="BG341" s="135"/>
      <c r="BH341" s="135"/>
      <c r="BI341" s="135"/>
      <c r="BJ341" s="135"/>
      <c r="BK341" s="135"/>
      <c r="BL341" s="135"/>
      <c r="BM341" s="135"/>
      <c r="BN341" s="135"/>
      <c r="BO341" s="135"/>
      <c r="BP341" s="135"/>
      <c r="BQ341" s="135"/>
      <c r="BR341" s="135"/>
      <c r="BS341" s="135"/>
      <c r="BT341" s="135"/>
    </row>
    <row r="342" spans="1:72" s="196" customFormat="1">
      <c r="A342" s="135"/>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c r="AA342" s="135"/>
      <c r="AB342" s="135"/>
      <c r="AC342" s="135"/>
      <c r="AD342" s="135"/>
      <c r="AE342" s="135"/>
      <c r="AF342" s="135"/>
      <c r="AG342" s="135"/>
      <c r="AH342" s="135"/>
      <c r="AI342" s="135"/>
      <c r="AJ342" s="135"/>
      <c r="AK342" s="135"/>
      <c r="AL342" s="135"/>
      <c r="AM342" s="135"/>
      <c r="AN342" s="135"/>
      <c r="AO342" s="135"/>
      <c r="AP342" s="135"/>
      <c r="AQ342" s="135"/>
      <c r="AR342" s="135"/>
      <c r="AS342" s="135"/>
      <c r="AT342" s="135"/>
      <c r="AU342" s="135"/>
      <c r="AV342" s="135"/>
      <c r="AW342" s="135"/>
      <c r="AX342" s="135"/>
      <c r="AY342" s="135"/>
      <c r="AZ342" s="135"/>
      <c r="BA342" s="135"/>
      <c r="BB342" s="135"/>
      <c r="BC342" s="135"/>
      <c r="BD342" s="135"/>
      <c r="BE342" s="135"/>
      <c r="BF342" s="135"/>
      <c r="BG342" s="135"/>
      <c r="BH342" s="135"/>
      <c r="BI342" s="135"/>
      <c r="BJ342" s="135"/>
      <c r="BK342" s="135"/>
      <c r="BL342" s="135"/>
      <c r="BM342" s="135"/>
      <c r="BN342" s="135"/>
      <c r="BO342" s="135"/>
      <c r="BP342" s="135"/>
      <c r="BQ342" s="135"/>
      <c r="BR342" s="135"/>
      <c r="BS342" s="135"/>
      <c r="BT342" s="135"/>
    </row>
    <row r="343" spans="1:72" s="196" customFormat="1">
      <c r="A343" s="135"/>
      <c r="B343" s="135"/>
      <c r="C343" s="135"/>
      <c r="D343" s="135"/>
      <c r="E343" s="135"/>
      <c r="F343" s="135"/>
      <c r="G343" s="135"/>
      <c r="H343" s="135"/>
      <c r="I343" s="135"/>
      <c r="J343" s="135"/>
      <c r="K343" s="135"/>
      <c r="L343" s="135"/>
      <c r="M343" s="135"/>
      <c r="N343" s="135"/>
      <c r="O343" s="135"/>
      <c r="P343" s="135"/>
      <c r="Q343" s="135"/>
      <c r="R343" s="135"/>
      <c r="S343" s="135"/>
      <c r="T343" s="135"/>
      <c r="U343" s="135"/>
      <c r="V343" s="135"/>
      <c r="W343" s="135"/>
      <c r="X343" s="135"/>
      <c r="Y343" s="135"/>
      <c r="Z343" s="135"/>
      <c r="AA343" s="135"/>
      <c r="AB343" s="135"/>
      <c r="AC343" s="135"/>
      <c r="AD343" s="135"/>
      <c r="AE343" s="135"/>
      <c r="AF343" s="135"/>
      <c r="AG343" s="135"/>
      <c r="AH343" s="135"/>
      <c r="AI343" s="135"/>
      <c r="AJ343" s="135"/>
      <c r="AK343" s="135"/>
      <c r="AL343" s="135"/>
      <c r="AM343" s="135"/>
      <c r="AN343" s="135"/>
      <c r="AO343" s="135"/>
      <c r="AP343" s="135"/>
      <c r="AQ343" s="135"/>
      <c r="AR343" s="135"/>
      <c r="AS343" s="135"/>
      <c r="AT343" s="135"/>
      <c r="AU343" s="135"/>
      <c r="AV343" s="135"/>
      <c r="AW343" s="135"/>
      <c r="AX343" s="135"/>
      <c r="AY343" s="135"/>
      <c r="AZ343" s="135"/>
      <c r="BA343" s="135"/>
      <c r="BB343" s="135"/>
      <c r="BC343" s="135"/>
      <c r="BD343" s="135"/>
      <c r="BE343" s="135"/>
      <c r="BF343" s="135"/>
      <c r="BG343" s="135"/>
      <c r="BH343" s="135"/>
      <c r="BI343" s="135"/>
      <c r="BJ343" s="135"/>
      <c r="BK343" s="135"/>
      <c r="BL343" s="135"/>
      <c r="BM343" s="135"/>
      <c r="BN343" s="135"/>
      <c r="BO343" s="135"/>
      <c r="BP343" s="135"/>
      <c r="BQ343" s="135"/>
      <c r="BR343" s="135"/>
      <c r="BS343" s="135"/>
      <c r="BT343" s="135"/>
    </row>
    <row r="344" spans="1:72" s="196" customFormat="1">
      <c r="A344" s="135"/>
      <c r="B344" s="135"/>
      <c r="C344" s="135"/>
      <c r="D344" s="135"/>
      <c r="E344" s="135"/>
      <c r="F344" s="135"/>
      <c r="G344" s="135"/>
      <c r="H344" s="135"/>
      <c r="I344" s="135"/>
      <c r="J344" s="135"/>
      <c r="K344" s="135"/>
      <c r="L344" s="135"/>
      <c r="M344" s="135"/>
      <c r="N344" s="135"/>
      <c r="O344" s="135"/>
      <c r="P344" s="135"/>
      <c r="Q344" s="135"/>
      <c r="R344" s="135"/>
      <c r="S344" s="135"/>
      <c r="T344" s="135"/>
      <c r="U344" s="135"/>
      <c r="V344" s="135"/>
      <c r="W344" s="135"/>
      <c r="X344" s="135"/>
      <c r="Y344" s="135"/>
      <c r="Z344" s="135"/>
      <c r="AA344" s="135"/>
      <c r="AB344" s="135"/>
      <c r="AC344" s="135"/>
      <c r="AD344" s="135"/>
      <c r="AE344" s="135"/>
      <c r="AF344" s="135"/>
      <c r="AG344" s="135"/>
      <c r="AH344" s="135"/>
      <c r="AI344" s="135"/>
      <c r="AJ344" s="135"/>
      <c r="AK344" s="135"/>
      <c r="AL344" s="135"/>
      <c r="AM344" s="135"/>
      <c r="AN344" s="135"/>
      <c r="AO344" s="135"/>
      <c r="AP344" s="135"/>
      <c r="AQ344" s="135"/>
      <c r="AR344" s="135"/>
      <c r="AS344" s="135"/>
      <c r="AT344" s="135"/>
      <c r="AU344" s="135"/>
      <c r="AV344" s="135"/>
      <c r="AW344" s="135"/>
      <c r="AX344" s="135"/>
      <c r="AY344" s="135"/>
      <c r="AZ344" s="135"/>
      <c r="BA344" s="135"/>
      <c r="BB344" s="135"/>
      <c r="BC344" s="135"/>
      <c r="BD344" s="135"/>
      <c r="BE344" s="135"/>
      <c r="BF344" s="135"/>
      <c r="BG344" s="135"/>
      <c r="BH344" s="135"/>
      <c r="BI344" s="135"/>
      <c r="BJ344" s="135"/>
      <c r="BK344" s="135"/>
      <c r="BL344" s="135"/>
      <c r="BM344" s="135"/>
      <c r="BN344" s="135"/>
      <c r="BO344" s="135"/>
      <c r="BP344" s="135"/>
      <c r="BQ344" s="135"/>
      <c r="BR344" s="135"/>
      <c r="BS344" s="135"/>
      <c r="BT344" s="135"/>
    </row>
    <row r="345" spans="1:72" s="196" customFormat="1">
      <c r="A345" s="135"/>
      <c r="B345" s="135"/>
      <c r="C345" s="135"/>
      <c r="D345" s="135"/>
      <c r="E345" s="135"/>
      <c r="F345" s="135"/>
      <c r="G345" s="135"/>
      <c r="H345" s="135"/>
      <c r="I345" s="135"/>
      <c r="J345" s="135"/>
      <c r="K345" s="135"/>
      <c r="L345" s="135"/>
      <c r="M345" s="135"/>
      <c r="N345" s="135"/>
      <c r="O345" s="135"/>
      <c r="P345" s="135"/>
      <c r="Q345" s="135"/>
      <c r="R345" s="135"/>
      <c r="S345" s="135"/>
      <c r="T345" s="135"/>
      <c r="U345" s="135"/>
      <c r="V345" s="135"/>
      <c r="W345" s="135"/>
      <c r="X345" s="135"/>
      <c r="Y345" s="135"/>
      <c r="Z345" s="135"/>
      <c r="AA345" s="135"/>
      <c r="AB345" s="135"/>
      <c r="AC345" s="135"/>
      <c r="AD345" s="135"/>
      <c r="AE345" s="135"/>
      <c r="AF345" s="135"/>
      <c r="AG345" s="135"/>
      <c r="AH345" s="135"/>
      <c r="AI345" s="135"/>
      <c r="AJ345" s="135"/>
      <c r="AK345" s="135"/>
      <c r="AL345" s="135"/>
      <c r="AM345" s="135"/>
      <c r="AN345" s="135"/>
      <c r="AO345" s="135"/>
      <c r="AP345" s="135"/>
      <c r="AQ345" s="135"/>
      <c r="AR345" s="135"/>
      <c r="AS345" s="135"/>
      <c r="AT345" s="135"/>
      <c r="AU345" s="135"/>
      <c r="AV345" s="135"/>
      <c r="AW345" s="135"/>
      <c r="AX345" s="135"/>
      <c r="AY345" s="135"/>
      <c r="AZ345" s="135"/>
      <c r="BA345" s="135"/>
      <c r="BB345" s="135"/>
      <c r="BC345" s="135"/>
      <c r="BD345" s="135"/>
      <c r="BE345" s="135"/>
      <c r="BF345" s="135"/>
      <c r="BG345" s="135"/>
      <c r="BH345" s="135"/>
      <c r="BI345" s="135"/>
      <c r="BJ345" s="135"/>
      <c r="BK345" s="135"/>
      <c r="BL345" s="135"/>
      <c r="BM345" s="135"/>
      <c r="BN345" s="135"/>
      <c r="BO345" s="135"/>
      <c r="BP345" s="135"/>
      <c r="BQ345" s="135"/>
      <c r="BR345" s="135"/>
      <c r="BS345" s="135"/>
      <c r="BT345" s="135"/>
    </row>
    <row r="346" spans="1:72" s="196" customFormat="1">
      <c r="A346" s="135"/>
      <c r="B346" s="135"/>
      <c r="C346" s="135"/>
      <c r="D346" s="135"/>
      <c r="E346" s="135"/>
      <c r="F346" s="135"/>
      <c r="G346" s="135"/>
      <c r="H346" s="135"/>
      <c r="I346" s="135"/>
      <c r="J346" s="135"/>
      <c r="K346" s="135"/>
      <c r="L346" s="135"/>
      <c r="M346" s="135"/>
      <c r="N346" s="135"/>
      <c r="O346" s="135"/>
      <c r="P346" s="135"/>
      <c r="Q346" s="135"/>
      <c r="R346" s="135"/>
      <c r="S346" s="135"/>
      <c r="T346" s="135"/>
      <c r="U346" s="135"/>
      <c r="V346" s="135"/>
      <c r="W346" s="135"/>
      <c r="X346" s="135"/>
      <c r="Y346" s="135"/>
      <c r="Z346" s="135"/>
      <c r="AA346" s="135"/>
      <c r="AB346" s="135"/>
      <c r="AC346" s="135"/>
      <c r="AD346" s="135"/>
      <c r="AE346" s="135"/>
      <c r="AF346" s="135"/>
      <c r="AG346" s="135"/>
      <c r="AH346" s="135"/>
      <c r="AI346" s="135"/>
      <c r="AJ346" s="135"/>
      <c r="AK346" s="135"/>
      <c r="AL346" s="135"/>
      <c r="AM346" s="135"/>
      <c r="AN346" s="135"/>
      <c r="AO346" s="135"/>
      <c r="AP346" s="135"/>
      <c r="AQ346" s="135"/>
      <c r="AR346" s="135"/>
      <c r="AS346" s="135"/>
      <c r="AT346" s="135"/>
      <c r="AU346" s="135"/>
      <c r="AV346" s="135"/>
      <c r="AW346" s="135"/>
      <c r="AX346" s="135"/>
      <c r="AY346" s="135"/>
      <c r="AZ346" s="135"/>
      <c r="BA346" s="135"/>
      <c r="BB346" s="135"/>
      <c r="BC346" s="135"/>
      <c r="BD346" s="135"/>
      <c r="BE346" s="135"/>
      <c r="BF346" s="135"/>
      <c r="BG346" s="135"/>
      <c r="BH346" s="135"/>
      <c r="BI346" s="135"/>
      <c r="BJ346" s="135"/>
      <c r="BK346" s="135"/>
      <c r="BL346" s="135"/>
      <c r="BM346" s="135"/>
      <c r="BN346" s="135"/>
      <c r="BO346" s="135"/>
      <c r="BP346" s="135"/>
      <c r="BQ346" s="135"/>
      <c r="BR346" s="135"/>
      <c r="BS346" s="135"/>
      <c r="BT346" s="135"/>
    </row>
    <row r="347" spans="1:72" s="196" customFormat="1">
      <c r="A347" s="135"/>
      <c r="B347" s="135"/>
      <c r="C347" s="135"/>
      <c r="D347" s="135"/>
      <c r="E347" s="135"/>
      <c r="F347" s="135"/>
      <c r="G347" s="135"/>
      <c r="H347" s="135"/>
      <c r="I347" s="135"/>
      <c r="J347" s="135"/>
      <c r="K347" s="135"/>
      <c r="L347" s="135"/>
      <c r="M347" s="135"/>
      <c r="N347" s="135"/>
      <c r="O347" s="135"/>
      <c r="P347" s="135"/>
      <c r="Q347" s="135"/>
      <c r="R347" s="135"/>
      <c r="S347" s="135"/>
      <c r="T347" s="135"/>
      <c r="U347" s="135"/>
      <c r="V347" s="135"/>
      <c r="W347" s="135"/>
      <c r="X347" s="135"/>
      <c r="Y347" s="135"/>
      <c r="Z347" s="135"/>
      <c r="AA347" s="135"/>
      <c r="AB347" s="135"/>
      <c r="AC347" s="135"/>
      <c r="AD347" s="135"/>
      <c r="AE347" s="135"/>
      <c r="AF347" s="135"/>
      <c r="AG347" s="135"/>
      <c r="AH347" s="135"/>
      <c r="AI347" s="135"/>
      <c r="AJ347" s="135"/>
      <c r="AK347" s="135"/>
      <c r="AL347" s="135"/>
      <c r="AM347" s="135"/>
      <c r="AN347" s="135"/>
      <c r="AO347" s="135"/>
      <c r="AP347" s="135"/>
      <c r="AQ347" s="135"/>
      <c r="AR347" s="135"/>
      <c r="AS347" s="135"/>
      <c r="AT347" s="135"/>
      <c r="AU347" s="135"/>
      <c r="AV347" s="135"/>
      <c r="AW347" s="135"/>
      <c r="AX347" s="135"/>
      <c r="AY347" s="135"/>
      <c r="AZ347" s="135"/>
      <c r="BA347" s="135"/>
      <c r="BB347" s="135"/>
      <c r="BC347" s="135"/>
      <c r="BD347" s="135"/>
      <c r="BE347" s="135"/>
      <c r="BF347" s="135"/>
      <c r="BG347" s="135"/>
      <c r="BH347" s="135"/>
      <c r="BI347" s="135"/>
      <c r="BJ347" s="135"/>
      <c r="BK347" s="135"/>
      <c r="BL347" s="135"/>
      <c r="BM347" s="135"/>
      <c r="BN347" s="135"/>
      <c r="BO347" s="135"/>
      <c r="BP347" s="135"/>
      <c r="BQ347" s="135"/>
      <c r="BR347" s="135"/>
      <c r="BS347" s="135"/>
      <c r="BT347" s="135"/>
    </row>
    <row r="348" spans="1:72" s="196" customFormat="1">
      <c r="A348" s="135"/>
      <c r="B348" s="135"/>
      <c r="C348" s="135"/>
      <c r="D348" s="135"/>
      <c r="E348" s="135"/>
      <c r="F348" s="135"/>
      <c r="G348" s="135"/>
      <c r="H348" s="135"/>
      <c r="I348" s="135"/>
      <c r="J348" s="135"/>
      <c r="K348" s="135"/>
      <c r="L348" s="135"/>
      <c r="M348" s="135"/>
      <c r="N348" s="135"/>
      <c r="O348" s="135"/>
      <c r="P348" s="135"/>
      <c r="Q348" s="135"/>
      <c r="R348" s="135"/>
      <c r="S348" s="135"/>
      <c r="T348" s="135"/>
      <c r="U348" s="135"/>
      <c r="V348" s="135"/>
      <c r="W348" s="135"/>
      <c r="X348" s="135"/>
      <c r="Y348" s="135"/>
      <c r="Z348" s="135"/>
      <c r="AA348" s="135"/>
      <c r="AB348" s="135"/>
      <c r="AC348" s="135"/>
      <c r="AD348" s="135"/>
      <c r="AE348" s="135"/>
      <c r="AF348" s="135"/>
      <c r="AG348" s="135"/>
      <c r="AH348" s="135"/>
      <c r="AI348" s="135"/>
      <c r="AJ348" s="135"/>
      <c r="AK348" s="135"/>
      <c r="AL348" s="135"/>
      <c r="AM348" s="135"/>
      <c r="AN348" s="135"/>
      <c r="AO348" s="135"/>
      <c r="AP348" s="135"/>
      <c r="AQ348" s="135"/>
      <c r="AR348" s="135"/>
      <c r="AS348" s="135"/>
      <c r="AT348" s="135"/>
      <c r="AU348" s="135"/>
      <c r="AV348" s="135"/>
      <c r="AW348" s="135"/>
      <c r="AX348" s="135"/>
      <c r="AY348" s="135"/>
      <c r="AZ348" s="135"/>
      <c r="BA348" s="135"/>
      <c r="BB348" s="135"/>
      <c r="BC348" s="135"/>
      <c r="BD348" s="135"/>
      <c r="BE348" s="135"/>
      <c r="BF348" s="135"/>
      <c r="BG348" s="135"/>
      <c r="BH348" s="135"/>
      <c r="BI348" s="135"/>
      <c r="BJ348" s="135"/>
      <c r="BK348" s="135"/>
      <c r="BL348" s="135"/>
      <c r="BM348" s="135"/>
      <c r="BN348" s="135"/>
      <c r="BO348" s="135"/>
      <c r="BP348" s="135"/>
      <c r="BQ348" s="135"/>
      <c r="BR348" s="135"/>
      <c r="BS348" s="135"/>
      <c r="BT348" s="135"/>
    </row>
    <row r="349" spans="1:72" s="196" customFormat="1">
      <c r="A349" s="135"/>
      <c r="B349" s="135"/>
      <c r="C349" s="135"/>
      <c r="D349" s="135"/>
      <c r="E349" s="135"/>
      <c r="F349" s="135"/>
      <c r="G349" s="135"/>
      <c r="H349" s="135"/>
      <c r="I349" s="135"/>
      <c r="J349" s="135"/>
      <c r="K349" s="135"/>
      <c r="L349" s="135"/>
      <c r="M349" s="135"/>
      <c r="N349" s="135"/>
      <c r="O349" s="135"/>
      <c r="P349" s="135"/>
      <c r="Q349" s="135"/>
      <c r="R349" s="135"/>
      <c r="S349" s="135"/>
      <c r="T349" s="135"/>
      <c r="U349" s="135"/>
      <c r="V349" s="135"/>
      <c r="W349" s="135"/>
      <c r="X349" s="135"/>
      <c r="Y349" s="135"/>
      <c r="Z349" s="135"/>
      <c r="AA349" s="135"/>
      <c r="AB349" s="135"/>
      <c r="AC349" s="135"/>
      <c r="AD349" s="135"/>
      <c r="AE349" s="135"/>
      <c r="AF349" s="135"/>
      <c r="AG349" s="135"/>
      <c r="AH349" s="135"/>
      <c r="AI349" s="135"/>
      <c r="AJ349" s="135"/>
      <c r="AK349" s="135"/>
      <c r="AL349" s="135"/>
      <c r="AM349" s="135"/>
      <c r="AN349" s="135"/>
      <c r="AO349" s="135"/>
      <c r="AP349" s="135"/>
      <c r="AQ349" s="135"/>
      <c r="AR349" s="135"/>
      <c r="AS349" s="135"/>
      <c r="AT349" s="135"/>
      <c r="AU349" s="135"/>
      <c r="AV349" s="135"/>
      <c r="AW349" s="135"/>
      <c r="AX349" s="135"/>
      <c r="AY349" s="135"/>
      <c r="AZ349" s="135"/>
      <c r="BA349" s="135"/>
      <c r="BB349" s="135"/>
      <c r="BC349" s="135"/>
      <c r="BD349" s="135"/>
      <c r="BE349" s="135"/>
      <c r="BF349" s="135"/>
      <c r="BG349" s="135"/>
      <c r="BH349" s="135"/>
      <c r="BI349" s="135"/>
      <c r="BJ349" s="135"/>
      <c r="BK349" s="135"/>
      <c r="BL349" s="135"/>
      <c r="BM349" s="135"/>
      <c r="BN349" s="135"/>
      <c r="BO349" s="135"/>
      <c r="BP349" s="135"/>
      <c r="BQ349" s="135"/>
      <c r="BR349" s="135"/>
      <c r="BS349" s="135"/>
      <c r="BT349" s="135"/>
    </row>
    <row r="350" spans="1:72" s="196" customFormat="1">
      <c r="A350" s="135"/>
      <c r="B350" s="135"/>
      <c r="C350" s="135"/>
      <c r="D350" s="135"/>
      <c r="E350" s="135"/>
      <c r="F350" s="135"/>
      <c r="G350" s="135"/>
      <c r="H350" s="135"/>
      <c r="I350" s="135"/>
      <c r="J350" s="135"/>
      <c r="K350" s="135"/>
      <c r="L350" s="135"/>
      <c r="M350" s="135"/>
      <c r="N350" s="135"/>
      <c r="O350" s="135"/>
      <c r="P350" s="135"/>
      <c r="Q350" s="135"/>
      <c r="R350" s="135"/>
      <c r="S350" s="135"/>
      <c r="T350" s="135"/>
      <c r="U350" s="135"/>
      <c r="V350" s="135"/>
      <c r="W350" s="135"/>
      <c r="X350" s="135"/>
      <c r="Y350" s="135"/>
      <c r="Z350" s="135"/>
      <c r="AA350" s="135"/>
      <c r="AB350" s="135"/>
      <c r="AC350" s="135"/>
      <c r="AD350" s="135"/>
      <c r="AE350" s="135"/>
      <c r="AF350" s="135"/>
      <c r="AG350" s="135"/>
      <c r="AH350" s="135"/>
      <c r="AI350" s="135"/>
      <c r="AJ350" s="135"/>
      <c r="AK350" s="135"/>
      <c r="AL350" s="135"/>
      <c r="AM350" s="135"/>
      <c r="AN350" s="135"/>
      <c r="AO350" s="135"/>
      <c r="AP350" s="135"/>
      <c r="AQ350" s="135"/>
      <c r="AR350" s="135"/>
      <c r="AS350" s="135"/>
      <c r="AT350" s="135"/>
      <c r="AU350" s="135"/>
      <c r="AV350" s="135"/>
      <c r="AW350" s="135"/>
      <c r="AX350" s="135"/>
      <c r="AY350" s="135"/>
      <c r="AZ350" s="135"/>
      <c r="BA350" s="135"/>
      <c r="BB350" s="135"/>
      <c r="BC350" s="135"/>
      <c r="BD350" s="135"/>
      <c r="BE350" s="135"/>
      <c r="BF350" s="135"/>
      <c r="BG350" s="135"/>
      <c r="BH350" s="135"/>
      <c r="BI350" s="135"/>
      <c r="BJ350" s="135"/>
      <c r="BK350" s="135"/>
      <c r="BL350" s="135"/>
      <c r="BM350" s="135"/>
      <c r="BN350" s="135"/>
      <c r="BO350" s="135"/>
      <c r="BP350" s="135"/>
      <c r="BQ350" s="135"/>
      <c r="BR350" s="135"/>
      <c r="BS350" s="135"/>
      <c r="BT350" s="135"/>
    </row>
    <row r="351" spans="1:72" s="196" customFormat="1">
      <c r="A351" s="135"/>
      <c r="B351" s="135"/>
      <c r="C351" s="135"/>
      <c r="D351" s="135"/>
      <c r="E351" s="135"/>
      <c r="F351" s="135"/>
      <c r="G351" s="135"/>
      <c r="H351" s="135"/>
      <c r="I351" s="135"/>
      <c r="J351" s="135"/>
      <c r="K351" s="135"/>
      <c r="L351" s="135"/>
      <c r="M351" s="135"/>
      <c r="N351" s="135"/>
      <c r="O351" s="135"/>
      <c r="P351" s="135"/>
      <c r="Q351" s="135"/>
      <c r="R351" s="135"/>
      <c r="S351" s="135"/>
      <c r="T351" s="135"/>
      <c r="U351" s="135"/>
      <c r="V351" s="135"/>
      <c r="W351" s="135"/>
      <c r="X351" s="135"/>
      <c r="Y351" s="135"/>
      <c r="Z351" s="135"/>
      <c r="AA351" s="135"/>
      <c r="AB351" s="135"/>
      <c r="AC351" s="135"/>
      <c r="AD351" s="135"/>
      <c r="AE351" s="135"/>
      <c r="AF351" s="135"/>
      <c r="AG351" s="135"/>
      <c r="AH351" s="135"/>
      <c r="AI351" s="135"/>
      <c r="AJ351" s="135"/>
      <c r="AK351" s="135"/>
      <c r="AL351" s="135"/>
      <c r="AM351" s="135"/>
      <c r="AN351" s="135"/>
      <c r="AO351" s="135"/>
      <c r="AP351" s="135"/>
      <c r="AQ351" s="135"/>
      <c r="AR351" s="135"/>
      <c r="AS351" s="135"/>
      <c r="AT351" s="135"/>
      <c r="AU351" s="135"/>
      <c r="AV351" s="135"/>
      <c r="AW351" s="135"/>
      <c r="AX351" s="135"/>
      <c r="AY351" s="135"/>
      <c r="AZ351" s="135"/>
      <c r="BA351" s="135"/>
      <c r="BB351" s="135"/>
      <c r="BC351" s="135"/>
      <c r="BD351" s="135"/>
      <c r="BE351" s="135"/>
      <c r="BF351" s="135"/>
      <c r="BG351" s="135"/>
      <c r="BH351" s="135"/>
      <c r="BI351" s="135"/>
      <c r="BJ351" s="135"/>
      <c r="BK351" s="135"/>
      <c r="BL351" s="135"/>
      <c r="BM351" s="135"/>
      <c r="BN351" s="135"/>
      <c r="BO351" s="135"/>
      <c r="BP351" s="135"/>
      <c r="BQ351" s="135"/>
      <c r="BR351" s="135"/>
      <c r="BS351" s="135"/>
      <c r="BT351" s="135"/>
    </row>
    <row r="352" spans="1:72" s="196" customFormat="1">
      <c r="A352" s="135"/>
      <c r="B352" s="135"/>
      <c r="C352" s="135"/>
      <c r="D352" s="135"/>
      <c r="E352" s="135"/>
      <c r="F352" s="135"/>
      <c r="G352" s="135"/>
      <c r="H352" s="135"/>
      <c r="I352" s="135"/>
      <c r="J352" s="135"/>
      <c r="K352" s="135"/>
      <c r="L352" s="135"/>
      <c r="M352" s="135"/>
      <c r="N352" s="135"/>
      <c r="O352" s="135"/>
      <c r="P352" s="135"/>
      <c r="Q352" s="135"/>
      <c r="R352" s="135"/>
      <c r="S352" s="135"/>
      <c r="T352" s="135"/>
      <c r="U352" s="135"/>
      <c r="V352" s="135"/>
      <c r="W352" s="135"/>
      <c r="X352" s="135"/>
      <c r="Y352" s="135"/>
      <c r="Z352" s="135"/>
      <c r="AA352" s="135"/>
      <c r="AB352" s="135"/>
      <c r="AC352" s="135"/>
      <c r="AD352" s="135"/>
      <c r="AE352" s="135"/>
      <c r="AF352" s="135"/>
      <c r="AG352" s="135"/>
      <c r="AH352" s="135"/>
      <c r="AI352" s="135"/>
      <c r="AJ352" s="135"/>
      <c r="AK352" s="135"/>
      <c r="AL352" s="135"/>
      <c r="AM352" s="135"/>
      <c r="AN352" s="135"/>
      <c r="AO352" s="135"/>
      <c r="AP352" s="135"/>
      <c r="AQ352" s="135"/>
      <c r="AR352" s="135"/>
      <c r="AS352" s="135"/>
      <c r="AT352" s="135"/>
      <c r="AU352" s="135"/>
      <c r="AV352" s="135"/>
      <c r="AW352" s="135"/>
      <c r="AX352" s="135"/>
      <c r="AY352" s="135"/>
      <c r="AZ352" s="135"/>
      <c r="BA352" s="135"/>
      <c r="BB352" s="135"/>
      <c r="BC352" s="135"/>
      <c r="BD352" s="135"/>
      <c r="BE352" s="135"/>
      <c r="BF352" s="135"/>
      <c r="BG352" s="135"/>
      <c r="BH352" s="135"/>
      <c r="BI352" s="135"/>
      <c r="BJ352" s="135"/>
      <c r="BK352" s="135"/>
      <c r="BL352" s="135"/>
      <c r="BM352" s="135"/>
      <c r="BN352" s="135"/>
      <c r="BO352" s="135"/>
      <c r="BP352" s="135"/>
      <c r="BQ352" s="135"/>
      <c r="BR352" s="135"/>
      <c r="BS352" s="135"/>
      <c r="BT352" s="135"/>
    </row>
    <row r="353" spans="1:72" s="196" customFormat="1">
      <c r="A353" s="135"/>
      <c r="B353" s="135"/>
      <c r="C353" s="135"/>
      <c r="D353" s="135"/>
      <c r="E353" s="135"/>
      <c r="F353" s="135"/>
      <c r="G353" s="135"/>
      <c r="H353" s="135"/>
      <c r="I353" s="135"/>
      <c r="J353" s="135"/>
      <c r="K353" s="135"/>
      <c r="L353" s="135"/>
      <c r="M353" s="135"/>
      <c r="N353" s="135"/>
      <c r="O353" s="135"/>
      <c r="P353" s="135"/>
      <c r="Q353" s="135"/>
      <c r="R353" s="135"/>
      <c r="S353" s="135"/>
      <c r="T353" s="135"/>
      <c r="U353" s="135"/>
      <c r="V353" s="135"/>
      <c r="W353" s="135"/>
      <c r="X353" s="135"/>
      <c r="Y353" s="135"/>
      <c r="Z353" s="135"/>
      <c r="AA353" s="135"/>
      <c r="AB353" s="135"/>
      <c r="AC353" s="135"/>
      <c r="AD353" s="135"/>
      <c r="AE353" s="135"/>
      <c r="AF353" s="135"/>
      <c r="AG353" s="135"/>
      <c r="AH353" s="135"/>
      <c r="AI353" s="135"/>
      <c r="AJ353" s="135"/>
      <c r="AK353" s="135"/>
      <c r="AL353" s="135"/>
      <c r="AM353" s="135"/>
      <c r="AN353" s="135"/>
      <c r="AO353" s="135"/>
      <c r="AP353" s="135"/>
      <c r="AQ353" s="135"/>
      <c r="AR353" s="135"/>
      <c r="AS353" s="135"/>
      <c r="AT353" s="135"/>
      <c r="AU353" s="135"/>
      <c r="AV353" s="135"/>
      <c r="AW353" s="135"/>
      <c r="AX353" s="135"/>
      <c r="AY353" s="135"/>
      <c r="AZ353" s="135"/>
      <c r="BA353" s="135"/>
      <c r="BB353" s="135"/>
      <c r="BC353" s="135"/>
      <c r="BD353" s="135"/>
      <c r="BE353" s="135"/>
      <c r="BF353" s="135"/>
      <c r="BG353" s="135"/>
      <c r="BH353" s="135"/>
      <c r="BI353" s="135"/>
      <c r="BJ353" s="135"/>
      <c r="BK353" s="135"/>
      <c r="BL353" s="135"/>
      <c r="BM353" s="135"/>
      <c r="BN353" s="135"/>
      <c r="BO353" s="135"/>
      <c r="BP353" s="135"/>
      <c r="BQ353" s="135"/>
      <c r="BR353" s="135"/>
      <c r="BS353" s="135"/>
      <c r="BT353" s="135"/>
    </row>
    <row r="354" spans="1:72" s="196" customFormat="1">
      <c r="A354" s="135"/>
      <c r="B354" s="135"/>
      <c r="C354" s="135"/>
      <c r="D354" s="135"/>
      <c r="E354" s="135"/>
      <c r="F354" s="135"/>
      <c r="G354" s="135"/>
      <c r="H354" s="135"/>
      <c r="I354" s="135"/>
      <c r="J354" s="135"/>
      <c r="K354" s="135"/>
      <c r="L354" s="135"/>
      <c r="M354" s="135"/>
      <c r="N354" s="135"/>
      <c r="O354" s="135"/>
      <c r="P354" s="135"/>
      <c r="Q354" s="135"/>
      <c r="R354" s="135"/>
      <c r="S354" s="135"/>
      <c r="T354" s="135"/>
      <c r="U354" s="135"/>
      <c r="V354" s="135"/>
      <c r="W354" s="135"/>
      <c r="X354" s="135"/>
      <c r="Y354" s="135"/>
      <c r="Z354" s="135"/>
      <c r="AA354" s="135"/>
      <c r="AB354" s="135"/>
      <c r="AC354" s="135"/>
      <c r="AD354" s="135"/>
      <c r="AE354" s="135"/>
      <c r="AF354" s="135"/>
      <c r="AG354" s="135"/>
      <c r="AH354" s="135"/>
      <c r="AI354" s="135"/>
      <c r="AJ354" s="135"/>
      <c r="AK354" s="135"/>
      <c r="AL354" s="135"/>
      <c r="AM354" s="135"/>
      <c r="AN354" s="135"/>
      <c r="AO354" s="135"/>
      <c r="AP354" s="135"/>
      <c r="AQ354" s="135"/>
      <c r="AR354" s="135"/>
      <c r="AS354" s="135"/>
      <c r="AT354" s="135"/>
      <c r="AU354" s="135"/>
      <c r="AV354" s="135"/>
      <c r="AW354" s="135"/>
      <c r="AX354" s="135"/>
      <c r="AY354" s="135"/>
      <c r="AZ354" s="135"/>
      <c r="BA354" s="135"/>
      <c r="BB354" s="135"/>
      <c r="BC354" s="135"/>
      <c r="BD354" s="135"/>
      <c r="BE354" s="135"/>
      <c r="BF354" s="135"/>
      <c r="BG354" s="135"/>
      <c r="BH354" s="135"/>
      <c r="BI354" s="135"/>
      <c r="BJ354" s="135"/>
      <c r="BK354" s="135"/>
      <c r="BL354" s="135"/>
      <c r="BM354" s="135"/>
      <c r="BN354" s="135"/>
      <c r="BO354" s="135"/>
      <c r="BP354" s="135"/>
      <c r="BQ354" s="135"/>
      <c r="BR354" s="135"/>
      <c r="BS354" s="135"/>
      <c r="BT354" s="135"/>
    </row>
    <row r="355" spans="1:72" s="196" customFormat="1">
      <c r="A355" s="135"/>
      <c r="B355" s="135"/>
      <c r="C355" s="135"/>
      <c r="D355" s="135"/>
      <c r="E355" s="135"/>
      <c r="F355" s="135"/>
      <c r="G355" s="135"/>
      <c r="H355" s="135"/>
      <c r="I355" s="135"/>
      <c r="J355" s="135"/>
      <c r="K355" s="135"/>
      <c r="L355" s="135"/>
      <c r="M355" s="135"/>
      <c r="N355" s="135"/>
      <c r="O355" s="135"/>
      <c r="P355" s="135"/>
      <c r="Q355" s="135"/>
      <c r="R355" s="135"/>
      <c r="S355" s="135"/>
      <c r="T355" s="135"/>
      <c r="U355" s="135"/>
      <c r="V355" s="135"/>
      <c r="W355" s="135"/>
      <c r="X355" s="135"/>
      <c r="Y355" s="135"/>
      <c r="Z355" s="135"/>
      <c r="AA355" s="135"/>
      <c r="AB355" s="135"/>
      <c r="AC355" s="135"/>
      <c r="AD355" s="135"/>
      <c r="AE355" s="135"/>
      <c r="AF355" s="135"/>
      <c r="AG355" s="135"/>
      <c r="AH355" s="135"/>
      <c r="AI355" s="135"/>
      <c r="AJ355" s="135"/>
      <c r="AK355" s="135"/>
      <c r="AL355" s="135"/>
      <c r="AM355" s="135"/>
      <c r="AN355" s="135"/>
      <c r="AO355" s="135"/>
      <c r="AP355" s="135"/>
      <c r="AQ355" s="135"/>
      <c r="AR355" s="135"/>
      <c r="AS355" s="135"/>
      <c r="AT355" s="135"/>
      <c r="AU355" s="135"/>
      <c r="AV355" s="135"/>
      <c r="AW355" s="135"/>
      <c r="AX355" s="135"/>
      <c r="AY355" s="135"/>
      <c r="AZ355" s="135"/>
      <c r="BA355" s="135"/>
      <c r="BB355" s="135"/>
      <c r="BC355" s="135"/>
      <c r="BD355" s="135"/>
      <c r="BE355" s="135"/>
      <c r="BF355" s="135"/>
      <c r="BG355" s="135"/>
      <c r="BH355" s="135"/>
      <c r="BI355" s="135"/>
      <c r="BJ355" s="135"/>
      <c r="BK355" s="135"/>
      <c r="BL355" s="135"/>
      <c r="BM355" s="135"/>
      <c r="BN355" s="135"/>
      <c r="BO355" s="135"/>
      <c r="BP355" s="135"/>
      <c r="BQ355" s="135"/>
      <c r="BR355" s="135"/>
      <c r="BS355" s="135"/>
      <c r="BT355" s="135"/>
    </row>
    <row r="356" spans="1:72" s="196" customFormat="1">
      <c r="A356" s="135"/>
      <c r="B356" s="135"/>
      <c r="C356" s="135"/>
      <c r="D356" s="135"/>
      <c r="E356" s="135"/>
      <c r="F356" s="135"/>
      <c r="G356" s="135"/>
      <c r="H356" s="135"/>
      <c r="I356" s="135"/>
      <c r="J356" s="135"/>
      <c r="K356" s="135"/>
      <c r="L356" s="135"/>
      <c r="M356" s="135"/>
      <c r="N356" s="135"/>
      <c r="O356" s="135"/>
      <c r="P356" s="135"/>
      <c r="Q356" s="135"/>
      <c r="R356" s="135"/>
      <c r="S356" s="135"/>
      <c r="T356" s="135"/>
      <c r="U356" s="135"/>
      <c r="V356" s="135"/>
      <c r="W356" s="135"/>
      <c r="X356" s="135"/>
      <c r="Y356" s="135"/>
      <c r="Z356" s="135"/>
      <c r="AA356" s="135"/>
      <c r="AB356" s="135"/>
      <c r="AC356" s="135"/>
      <c r="AD356" s="135"/>
      <c r="AE356" s="135"/>
      <c r="AF356" s="135"/>
      <c r="AG356" s="135"/>
      <c r="AH356" s="135"/>
      <c r="AI356" s="135"/>
      <c r="AJ356" s="135"/>
      <c r="AK356" s="135"/>
      <c r="AL356" s="135"/>
      <c r="AM356" s="135"/>
      <c r="AN356" s="135"/>
      <c r="AO356" s="135"/>
      <c r="AP356" s="135"/>
      <c r="AQ356" s="135"/>
      <c r="AR356" s="135"/>
      <c r="AS356" s="135"/>
      <c r="AT356" s="135"/>
      <c r="AU356" s="135"/>
      <c r="AV356" s="135"/>
      <c r="AW356" s="135"/>
      <c r="AX356" s="135"/>
      <c r="AY356" s="135"/>
      <c r="AZ356" s="135"/>
      <c r="BA356" s="135"/>
      <c r="BB356" s="135"/>
      <c r="BC356" s="135"/>
      <c r="BD356" s="135"/>
      <c r="BE356" s="135"/>
      <c r="BF356" s="135"/>
      <c r="BG356" s="135"/>
      <c r="BH356" s="135"/>
      <c r="BI356" s="135"/>
      <c r="BJ356" s="135"/>
      <c r="BK356" s="135"/>
      <c r="BL356" s="135"/>
      <c r="BM356" s="135"/>
      <c r="BN356" s="135"/>
      <c r="BO356" s="135"/>
      <c r="BP356" s="135"/>
      <c r="BQ356" s="135"/>
      <c r="BR356" s="135"/>
      <c r="BS356" s="135"/>
      <c r="BT356" s="135"/>
    </row>
    <row r="357" spans="1:72" s="196" customFormat="1">
      <c r="A357" s="135"/>
      <c r="B357" s="135"/>
      <c r="C357" s="135"/>
      <c r="D357" s="135"/>
      <c r="E357" s="135"/>
      <c r="F357" s="135"/>
      <c r="G357" s="135"/>
      <c r="H357" s="135"/>
      <c r="I357" s="135"/>
      <c r="J357" s="135"/>
      <c r="K357" s="135"/>
      <c r="L357" s="135"/>
      <c r="M357" s="135"/>
      <c r="N357" s="135"/>
      <c r="O357" s="135"/>
      <c r="P357" s="135"/>
      <c r="Q357" s="135"/>
      <c r="R357" s="135"/>
      <c r="S357" s="135"/>
      <c r="T357" s="135"/>
      <c r="U357" s="135"/>
      <c r="V357" s="135"/>
      <c r="W357" s="135"/>
      <c r="X357" s="135"/>
      <c r="Y357" s="135"/>
      <c r="Z357" s="135"/>
      <c r="AA357" s="135"/>
      <c r="AB357" s="135"/>
      <c r="AC357" s="135"/>
      <c r="AD357" s="135"/>
      <c r="AE357" s="135"/>
      <c r="AF357" s="135"/>
      <c r="AG357" s="135"/>
      <c r="AH357" s="135"/>
      <c r="AI357" s="135"/>
      <c r="AJ357" s="135"/>
      <c r="AK357" s="135"/>
      <c r="AL357" s="135"/>
      <c r="AM357" s="135"/>
      <c r="AN357" s="135"/>
      <c r="AO357" s="135"/>
      <c r="AP357" s="135"/>
      <c r="AQ357" s="135"/>
      <c r="AR357" s="135"/>
      <c r="AS357" s="135"/>
      <c r="AT357" s="135"/>
      <c r="AU357" s="135"/>
      <c r="AV357" s="135"/>
      <c r="AW357" s="135"/>
      <c r="AX357" s="135"/>
      <c r="AY357" s="135"/>
      <c r="AZ357" s="135"/>
      <c r="BA357" s="135"/>
      <c r="BB357" s="135"/>
      <c r="BC357" s="135"/>
      <c r="BD357" s="135"/>
      <c r="BE357" s="135"/>
      <c r="BF357" s="135"/>
      <c r="BG357" s="135"/>
      <c r="BH357" s="135"/>
      <c r="BI357" s="135"/>
      <c r="BJ357" s="135"/>
      <c r="BK357" s="135"/>
      <c r="BL357" s="135"/>
      <c r="BM357" s="135"/>
      <c r="BN357" s="135"/>
      <c r="BO357" s="135"/>
      <c r="BP357" s="135"/>
      <c r="BQ357" s="135"/>
      <c r="BR357" s="135"/>
      <c r="BS357" s="135"/>
      <c r="BT357" s="135"/>
    </row>
    <row r="358" spans="1:72" s="196" customFormat="1">
      <c r="A358" s="135"/>
      <c r="B358" s="135"/>
      <c r="C358" s="135"/>
      <c r="D358" s="135"/>
      <c r="E358" s="135"/>
      <c r="F358" s="135"/>
      <c r="G358" s="135"/>
      <c r="H358" s="135"/>
      <c r="I358" s="135"/>
      <c r="J358" s="135"/>
      <c r="K358" s="135"/>
      <c r="L358" s="135"/>
      <c r="M358" s="135"/>
      <c r="N358" s="135"/>
      <c r="O358" s="135"/>
      <c r="P358" s="135"/>
      <c r="Q358" s="135"/>
      <c r="R358" s="135"/>
      <c r="S358" s="135"/>
      <c r="T358" s="135"/>
      <c r="U358" s="135"/>
      <c r="V358" s="135"/>
      <c r="W358" s="135"/>
      <c r="X358" s="135"/>
      <c r="Y358" s="135"/>
      <c r="Z358" s="135"/>
      <c r="AA358" s="135"/>
      <c r="AB358" s="135"/>
      <c r="AC358" s="135"/>
      <c r="AD358" s="135"/>
      <c r="AE358" s="135"/>
      <c r="AF358" s="135"/>
      <c r="AG358" s="135"/>
      <c r="AH358" s="135"/>
      <c r="AI358" s="135"/>
      <c r="AJ358" s="135"/>
      <c r="AK358" s="135"/>
      <c r="AL358" s="135"/>
      <c r="AM358" s="135"/>
      <c r="AN358" s="135"/>
      <c r="AO358" s="135"/>
      <c r="AP358" s="135"/>
      <c r="AQ358" s="135"/>
      <c r="AR358" s="135"/>
      <c r="AS358" s="135"/>
      <c r="AT358" s="135"/>
      <c r="AU358" s="135"/>
      <c r="AV358" s="135"/>
      <c r="AW358" s="135"/>
      <c r="AX358" s="135"/>
      <c r="AY358" s="135"/>
      <c r="AZ358" s="135"/>
      <c r="BA358" s="135"/>
      <c r="BB358" s="135"/>
      <c r="BC358" s="135"/>
      <c r="BD358" s="135"/>
      <c r="BE358" s="135"/>
      <c r="BF358" s="135"/>
      <c r="BG358" s="135"/>
      <c r="BH358" s="135"/>
      <c r="BI358" s="135"/>
      <c r="BJ358" s="135"/>
      <c r="BK358" s="135"/>
      <c r="BL358" s="135"/>
      <c r="BM358" s="135"/>
      <c r="BN358" s="135"/>
      <c r="BO358" s="135"/>
      <c r="BP358" s="135"/>
      <c r="BQ358" s="135"/>
      <c r="BR358" s="135"/>
      <c r="BS358" s="135"/>
      <c r="BT358" s="135"/>
    </row>
    <row r="359" spans="1:72" s="196" customFormat="1">
      <c r="A359" s="135"/>
      <c r="B359" s="135"/>
      <c r="C359" s="135"/>
      <c r="D359" s="135"/>
      <c r="E359" s="135"/>
      <c r="F359" s="135"/>
      <c r="G359" s="135"/>
      <c r="H359" s="135"/>
      <c r="I359" s="135"/>
      <c r="J359" s="135"/>
      <c r="K359" s="135"/>
      <c r="L359" s="135"/>
      <c r="M359" s="135"/>
      <c r="N359" s="135"/>
      <c r="O359" s="135"/>
      <c r="P359" s="135"/>
      <c r="Q359" s="135"/>
      <c r="R359" s="135"/>
      <c r="S359" s="135"/>
      <c r="T359" s="135"/>
      <c r="U359" s="135"/>
      <c r="V359" s="135"/>
      <c r="W359" s="135"/>
      <c r="X359" s="135"/>
      <c r="Y359" s="135"/>
      <c r="Z359" s="135"/>
      <c r="AA359" s="135"/>
      <c r="AB359" s="135"/>
      <c r="AC359" s="135"/>
      <c r="AD359" s="135"/>
      <c r="AE359" s="135"/>
      <c r="AF359" s="135"/>
      <c r="AG359" s="135"/>
      <c r="AH359" s="135"/>
      <c r="AI359" s="135"/>
      <c r="AJ359" s="135"/>
      <c r="AK359" s="135"/>
      <c r="AL359" s="135"/>
      <c r="AM359" s="135"/>
      <c r="AN359" s="135"/>
      <c r="AO359" s="135"/>
      <c r="AP359" s="135"/>
      <c r="AQ359" s="135"/>
      <c r="AR359" s="135"/>
      <c r="AS359" s="135"/>
      <c r="AT359" s="135"/>
      <c r="AU359" s="135"/>
      <c r="AV359" s="135"/>
      <c r="AW359" s="135"/>
      <c r="AX359" s="135"/>
      <c r="AY359" s="135"/>
      <c r="AZ359" s="135"/>
      <c r="BA359" s="135"/>
      <c r="BB359" s="135"/>
      <c r="BC359" s="135"/>
      <c r="BD359" s="135"/>
      <c r="BE359" s="135"/>
      <c r="BF359" s="135"/>
      <c r="BG359" s="135"/>
      <c r="BH359" s="135"/>
      <c r="BI359" s="135"/>
      <c r="BJ359" s="135"/>
      <c r="BK359" s="135"/>
      <c r="BL359" s="135"/>
      <c r="BM359" s="135"/>
      <c r="BN359" s="135"/>
      <c r="BO359" s="135"/>
      <c r="BP359" s="135"/>
      <c r="BQ359" s="135"/>
      <c r="BR359" s="135"/>
      <c r="BS359" s="135"/>
      <c r="BT359" s="135"/>
    </row>
    <row r="360" spans="1:72" s="196" customFormat="1">
      <c r="A360" s="135"/>
      <c r="B360" s="135"/>
      <c r="C360" s="135"/>
      <c r="D360" s="135"/>
      <c r="E360" s="135"/>
      <c r="F360" s="135"/>
      <c r="G360" s="135"/>
      <c r="H360" s="135"/>
      <c r="I360" s="135"/>
      <c r="J360" s="135"/>
      <c r="K360" s="135"/>
      <c r="L360" s="135"/>
      <c r="M360" s="135"/>
      <c r="N360" s="135"/>
      <c r="O360" s="135"/>
      <c r="P360" s="135"/>
      <c r="Q360" s="135"/>
      <c r="R360" s="135"/>
      <c r="S360" s="135"/>
      <c r="T360" s="135"/>
      <c r="U360" s="135"/>
      <c r="V360" s="135"/>
      <c r="W360" s="135"/>
      <c r="X360" s="135"/>
      <c r="Y360" s="135"/>
      <c r="Z360" s="135"/>
      <c r="AA360" s="135"/>
      <c r="AB360" s="135"/>
      <c r="AC360" s="135"/>
      <c r="AD360" s="135"/>
      <c r="AE360" s="135"/>
      <c r="AF360" s="135"/>
      <c r="AG360" s="135"/>
      <c r="AH360" s="135"/>
      <c r="AI360" s="135"/>
      <c r="AJ360" s="135"/>
      <c r="AK360" s="135"/>
      <c r="AL360" s="135"/>
      <c r="AM360" s="135"/>
      <c r="AN360" s="135"/>
      <c r="AO360" s="135"/>
      <c r="AP360" s="135"/>
      <c r="AQ360" s="135"/>
      <c r="AR360" s="135"/>
      <c r="AS360" s="135"/>
      <c r="AT360" s="135"/>
      <c r="AU360" s="135"/>
      <c r="AV360" s="135"/>
      <c r="AW360" s="135"/>
      <c r="AX360" s="135"/>
      <c r="AY360" s="135"/>
      <c r="AZ360" s="135"/>
      <c r="BA360" s="135"/>
      <c r="BB360" s="135"/>
      <c r="BC360" s="135"/>
      <c r="BD360" s="135"/>
      <c r="BE360" s="135"/>
      <c r="BF360" s="135"/>
      <c r="BG360" s="135"/>
      <c r="BH360" s="135"/>
      <c r="BI360" s="135"/>
      <c r="BJ360" s="135"/>
      <c r="BK360" s="135"/>
      <c r="BL360" s="135"/>
      <c r="BM360" s="135"/>
      <c r="BN360" s="135"/>
      <c r="BO360" s="135"/>
      <c r="BP360" s="135"/>
      <c r="BQ360" s="135"/>
      <c r="BR360" s="135"/>
      <c r="BS360" s="135"/>
      <c r="BT360" s="135"/>
    </row>
    <row r="361" spans="1:72" s="196" customFormat="1">
      <c r="A361" s="135"/>
      <c r="B361" s="135"/>
      <c r="C361" s="135"/>
      <c r="D361" s="135"/>
      <c r="E361" s="135"/>
      <c r="F361" s="135"/>
      <c r="G361" s="135"/>
      <c r="H361" s="135"/>
      <c r="I361" s="135"/>
      <c r="J361" s="135"/>
      <c r="K361" s="135"/>
      <c r="L361" s="135"/>
      <c r="M361" s="135"/>
      <c r="N361" s="135"/>
      <c r="O361" s="135"/>
      <c r="P361" s="135"/>
      <c r="Q361" s="135"/>
      <c r="R361" s="135"/>
      <c r="S361" s="135"/>
      <c r="T361" s="135"/>
      <c r="U361" s="135"/>
      <c r="V361" s="135"/>
      <c r="W361" s="135"/>
      <c r="X361" s="135"/>
      <c r="Y361" s="135"/>
      <c r="Z361" s="135"/>
      <c r="AA361" s="135"/>
      <c r="AB361" s="135"/>
      <c r="AC361" s="135"/>
      <c r="AD361" s="135"/>
      <c r="AE361" s="135"/>
      <c r="AF361" s="135"/>
      <c r="AG361" s="135"/>
      <c r="AH361" s="135"/>
      <c r="AI361" s="135"/>
      <c r="AJ361" s="135"/>
      <c r="AK361" s="135"/>
      <c r="AL361" s="135"/>
      <c r="AM361" s="135"/>
      <c r="AN361" s="135"/>
      <c r="AO361" s="135"/>
      <c r="AP361" s="135"/>
      <c r="AQ361" s="135"/>
      <c r="AR361" s="135"/>
      <c r="AS361" s="135"/>
      <c r="AT361" s="135"/>
      <c r="AU361" s="135"/>
      <c r="AV361" s="135"/>
      <c r="AW361" s="135"/>
      <c r="AX361" s="135"/>
      <c r="AY361" s="135"/>
      <c r="AZ361" s="135"/>
      <c r="BA361" s="135"/>
      <c r="BB361" s="135"/>
      <c r="BC361" s="135"/>
      <c r="BD361" s="135"/>
      <c r="BE361" s="135"/>
      <c r="BF361" s="135"/>
      <c r="BG361" s="135"/>
      <c r="BH361" s="135"/>
      <c r="BI361" s="135"/>
      <c r="BJ361" s="135"/>
      <c r="BK361" s="135"/>
      <c r="BL361" s="135"/>
      <c r="BM361" s="135"/>
      <c r="BN361" s="135"/>
      <c r="BO361" s="135"/>
      <c r="BP361" s="135"/>
      <c r="BQ361" s="135"/>
      <c r="BR361" s="135"/>
      <c r="BS361" s="135"/>
      <c r="BT361" s="135"/>
    </row>
    <row r="362" spans="1:72" s="196" customFormat="1">
      <c r="A362" s="135"/>
      <c r="B362" s="135"/>
      <c r="C362" s="135"/>
      <c r="D362" s="135"/>
      <c r="E362" s="135"/>
      <c r="F362" s="135"/>
      <c r="G362" s="135"/>
      <c r="H362" s="135"/>
      <c r="I362" s="135"/>
      <c r="J362" s="135"/>
      <c r="K362" s="135"/>
      <c r="L362" s="135"/>
      <c r="M362" s="135"/>
      <c r="N362" s="135"/>
      <c r="O362" s="135"/>
      <c r="P362" s="135"/>
      <c r="Q362" s="135"/>
      <c r="R362" s="135"/>
      <c r="S362" s="135"/>
      <c r="T362" s="135"/>
      <c r="U362" s="135"/>
      <c r="V362" s="135"/>
      <c r="W362" s="135"/>
      <c r="X362" s="135"/>
      <c r="Y362" s="135"/>
      <c r="Z362" s="135"/>
      <c r="AA362" s="135"/>
      <c r="AB362" s="135"/>
      <c r="AC362" s="135"/>
      <c r="AD362" s="135"/>
      <c r="AE362" s="135"/>
      <c r="AF362" s="135"/>
      <c r="AG362" s="135"/>
      <c r="AH362" s="135"/>
      <c r="AI362" s="135"/>
      <c r="AJ362" s="135"/>
      <c r="AK362" s="135"/>
      <c r="AL362" s="135"/>
      <c r="AM362" s="135"/>
      <c r="AN362" s="135"/>
      <c r="AO362" s="135"/>
      <c r="AP362" s="135"/>
      <c r="AQ362" s="135"/>
      <c r="AR362" s="135"/>
      <c r="AS362" s="135"/>
      <c r="AT362" s="135"/>
      <c r="AU362" s="135"/>
      <c r="AV362" s="135"/>
      <c r="AW362" s="135"/>
      <c r="AX362" s="135"/>
      <c r="AY362" s="135"/>
      <c r="AZ362" s="135"/>
      <c r="BA362" s="135"/>
      <c r="BB362" s="135"/>
      <c r="BC362" s="135"/>
      <c r="BD362" s="135"/>
      <c r="BE362" s="135"/>
      <c r="BF362" s="135"/>
      <c r="BG362" s="135"/>
      <c r="BH362" s="135"/>
      <c r="BI362" s="135"/>
      <c r="BJ362" s="135"/>
      <c r="BK362" s="135"/>
      <c r="BL362" s="135"/>
      <c r="BM362" s="135"/>
      <c r="BN362" s="135"/>
      <c r="BO362" s="135"/>
      <c r="BP362" s="135"/>
      <c r="BQ362" s="135"/>
      <c r="BR362" s="135"/>
      <c r="BS362" s="135"/>
      <c r="BT362" s="135"/>
    </row>
    <row r="363" spans="1:72" s="196" customFormat="1">
      <c r="A363" s="135"/>
      <c r="B363" s="135"/>
      <c r="C363" s="135"/>
      <c r="D363" s="135"/>
      <c r="E363" s="135"/>
      <c r="F363" s="135"/>
      <c r="G363" s="135"/>
      <c r="H363" s="135"/>
      <c r="I363" s="135"/>
      <c r="J363" s="135"/>
      <c r="K363" s="135"/>
      <c r="L363" s="135"/>
      <c r="M363" s="135"/>
      <c r="N363" s="135"/>
      <c r="O363" s="135"/>
      <c r="P363" s="135"/>
      <c r="Q363" s="135"/>
      <c r="R363" s="135"/>
      <c r="S363" s="135"/>
      <c r="T363" s="135"/>
      <c r="U363" s="135"/>
      <c r="V363" s="135"/>
      <c r="W363" s="135"/>
      <c r="X363" s="135"/>
      <c r="Y363" s="135"/>
      <c r="Z363" s="135"/>
      <c r="AA363" s="135"/>
      <c r="AB363" s="135"/>
      <c r="AC363" s="135"/>
      <c r="AD363" s="135"/>
      <c r="AE363" s="135"/>
      <c r="AF363" s="135"/>
      <c r="AG363" s="135"/>
      <c r="AH363" s="135"/>
      <c r="AI363" s="135"/>
      <c r="AJ363" s="135"/>
      <c r="AK363" s="135"/>
      <c r="AL363" s="135"/>
      <c r="AM363" s="135"/>
      <c r="AN363" s="135"/>
      <c r="AO363" s="135"/>
      <c r="AP363" s="135"/>
      <c r="AQ363" s="135"/>
      <c r="AR363" s="135"/>
      <c r="AS363" s="135"/>
      <c r="AT363" s="135"/>
      <c r="AU363" s="135"/>
      <c r="AV363" s="135"/>
      <c r="AW363" s="135"/>
      <c r="AX363" s="135"/>
      <c r="AY363" s="135"/>
      <c r="AZ363" s="135"/>
      <c r="BA363" s="135"/>
      <c r="BB363" s="135"/>
      <c r="BC363" s="135"/>
      <c r="BD363" s="135"/>
      <c r="BE363" s="135"/>
      <c r="BF363" s="135"/>
      <c r="BG363" s="135"/>
      <c r="BH363" s="135"/>
      <c r="BI363" s="135"/>
      <c r="BJ363" s="135"/>
      <c r="BK363" s="135"/>
      <c r="BL363" s="135"/>
      <c r="BM363" s="135"/>
      <c r="BN363" s="135"/>
      <c r="BO363" s="135"/>
      <c r="BP363" s="135"/>
      <c r="BQ363" s="135"/>
      <c r="BR363" s="135"/>
      <c r="BS363" s="135"/>
      <c r="BT363" s="135"/>
    </row>
    <row r="364" spans="1:72" s="196" customFormat="1">
      <c r="A364" s="135"/>
      <c r="B364" s="135"/>
      <c r="C364" s="135"/>
      <c r="D364" s="135"/>
      <c r="E364" s="135"/>
      <c r="F364" s="135"/>
      <c r="G364" s="135"/>
      <c r="H364" s="135"/>
      <c r="I364" s="135"/>
      <c r="J364" s="135"/>
      <c r="K364" s="135"/>
      <c r="L364" s="135"/>
      <c r="M364" s="135"/>
      <c r="N364" s="135"/>
      <c r="O364" s="135"/>
      <c r="P364" s="135"/>
      <c r="Q364" s="135"/>
      <c r="R364" s="135"/>
      <c r="S364" s="135"/>
      <c r="T364" s="135"/>
      <c r="U364" s="135"/>
      <c r="V364" s="135"/>
      <c r="W364" s="135"/>
      <c r="X364" s="135"/>
      <c r="Y364" s="135"/>
      <c r="Z364" s="135"/>
      <c r="AA364" s="135"/>
      <c r="AB364" s="135"/>
      <c r="AC364" s="135"/>
      <c r="AD364" s="135"/>
      <c r="AE364" s="135"/>
      <c r="AF364" s="135"/>
      <c r="AG364" s="135"/>
      <c r="AH364" s="135"/>
      <c r="AI364" s="135"/>
      <c r="AJ364" s="135"/>
      <c r="AK364" s="135"/>
      <c r="AL364" s="135"/>
      <c r="AM364" s="135"/>
      <c r="AN364" s="135"/>
      <c r="AO364" s="135"/>
      <c r="AP364" s="135"/>
      <c r="AQ364" s="135"/>
      <c r="AR364" s="135"/>
      <c r="AS364" s="135"/>
      <c r="AT364" s="135"/>
      <c r="AU364" s="135"/>
      <c r="AV364" s="135"/>
      <c r="AW364" s="135"/>
      <c r="AX364" s="135"/>
      <c r="AY364" s="135"/>
      <c r="AZ364" s="135"/>
      <c r="BA364" s="135"/>
      <c r="BB364" s="135"/>
      <c r="BC364" s="135"/>
      <c r="BD364" s="135"/>
      <c r="BE364" s="135"/>
      <c r="BF364" s="135"/>
      <c r="BG364" s="135"/>
      <c r="BH364" s="135"/>
      <c r="BI364" s="135"/>
      <c r="BJ364" s="135"/>
      <c r="BK364" s="135"/>
      <c r="BL364" s="135"/>
      <c r="BM364" s="135"/>
      <c r="BN364" s="135"/>
      <c r="BO364" s="135"/>
      <c r="BP364" s="135"/>
      <c r="BQ364" s="135"/>
      <c r="BR364" s="135"/>
      <c r="BS364" s="135"/>
      <c r="BT364" s="135"/>
    </row>
    <row r="365" spans="1:72" s="196" customFormat="1">
      <c r="A365" s="135"/>
      <c r="B365" s="135"/>
      <c r="C365" s="135"/>
      <c r="D365" s="135"/>
      <c r="E365" s="135"/>
      <c r="F365" s="135"/>
      <c r="G365" s="135"/>
      <c r="H365" s="135"/>
      <c r="I365" s="135"/>
      <c r="J365" s="135"/>
      <c r="K365" s="135"/>
      <c r="L365" s="135"/>
      <c r="M365" s="135"/>
      <c r="N365" s="135"/>
      <c r="O365" s="135"/>
      <c r="P365" s="135"/>
      <c r="Q365" s="135"/>
      <c r="R365" s="135"/>
      <c r="S365" s="135"/>
      <c r="T365" s="135"/>
      <c r="U365" s="135"/>
      <c r="V365" s="135"/>
      <c r="W365" s="135"/>
      <c r="X365" s="135"/>
      <c r="Y365" s="135"/>
      <c r="Z365" s="135"/>
      <c r="AA365" s="135"/>
      <c r="AB365" s="135"/>
      <c r="AC365" s="135"/>
      <c r="AD365" s="135"/>
      <c r="AE365" s="135"/>
      <c r="AF365" s="135"/>
      <c r="AG365" s="135"/>
      <c r="AH365" s="135"/>
      <c r="AI365" s="135"/>
      <c r="AJ365" s="135"/>
      <c r="AK365" s="135"/>
      <c r="AL365" s="135"/>
      <c r="AM365" s="135"/>
      <c r="AN365" s="135"/>
      <c r="AO365" s="135"/>
      <c r="AP365" s="135"/>
      <c r="AQ365" s="135"/>
      <c r="AR365" s="135"/>
      <c r="AS365" s="135"/>
      <c r="AT365" s="135"/>
      <c r="AU365" s="135"/>
      <c r="AV365" s="135"/>
      <c r="AW365" s="135"/>
      <c r="AX365" s="135"/>
      <c r="AY365" s="135"/>
      <c r="AZ365" s="135"/>
      <c r="BA365" s="135"/>
      <c r="BB365" s="135"/>
      <c r="BC365" s="135"/>
      <c r="BD365" s="135"/>
      <c r="BE365" s="135"/>
      <c r="BF365" s="135"/>
      <c r="BG365" s="135"/>
      <c r="BH365" s="135"/>
      <c r="BI365" s="135"/>
      <c r="BJ365" s="135"/>
      <c r="BK365" s="135"/>
      <c r="BL365" s="135"/>
      <c r="BM365" s="135"/>
      <c r="BN365" s="135"/>
      <c r="BO365" s="135"/>
      <c r="BP365" s="135"/>
      <c r="BQ365" s="135"/>
      <c r="BR365" s="135"/>
      <c r="BS365" s="135"/>
      <c r="BT365" s="135"/>
    </row>
    <row r="366" spans="1:72" s="196" customFormat="1">
      <c r="A366" s="135"/>
      <c r="B366" s="135"/>
      <c r="C366" s="135"/>
      <c r="D366" s="135"/>
      <c r="E366" s="135"/>
      <c r="F366" s="135"/>
      <c r="G366" s="135"/>
      <c r="H366" s="135"/>
      <c r="I366" s="135"/>
      <c r="J366" s="135"/>
      <c r="K366" s="135"/>
      <c r="L366" s="135"/>
      <c r="M366" s="135"/>
      <c r="N366" s="135"/>
      <c r="O366" s="135"/>
      <c r="P366" s="135"/>
      <c r="Q366" s="135"/>
      <c r="R366" s="135"/>
      <c r="S366" s="135"/>
      <c r="T366" s="135"/>
      <c r="U366" s="135"/>
      <c r="V366" s="135"/>
      <c r="W366" s="135"/>
      <c r="X366" s="135"/>
      <c r="Y366" s="135"/>
      <c r="Z366" s="135"/>
      <c r="AA366" s="135"/>
      <c r="AB366" s="135"/>
      <c r="AC366" s="135"/>
      <c r="AD366" s="135"/>
      <c r="AE366" s="135"/>
      <c r="AF366" s="135"/>
      <c r="AG366" s="135"/>
      <c r="AH366" s="135"/>
      <c r="AI366" s="135"/>
      <c r="AJ366" s="135"/>
      <c r="AK366" s="135"/>
      <c r="AL366" s="135"/>
      <c r="AM366" s="135"/>
      <c r="AN366" s="135"/>
      <c r="AO366" s="135"/>
      <c r="AP366" s="135"/>
      <c r="AQ366" s="135"/>
      <c r="AR366" s="135"/>
      <c r="AS366" s="135"/>
      <c r="AT366" s="135"/>
      <c r="AU366" s="135"/>
      <c r="AV366" s="135"/>
      <c r="AW366" s="135"/>
      <c r="AX366" s="135"/>
      <c r="AY366" s="135"/>
      <c r="AZ366" s="135"/>
      <c r="BA366" s="135"/>
      <c r="BB366" s="135"/>
      <c r="BC366" s="135"/>
      <c r="BD366" s="135"/>
      <c r="BE366" s="135"/>
      <c r="BF366" s="135"/>
      <c r="BG366" s="135"/>
      <c r="BH366" s="135"/>
      <c r="BI366" s="135"/>
      <c r="BJ366" s="135"/>
      <c r="BK366" s="135"/>
      <c r="BL366" s="135"/>
      <c r="BM366" s="135"/>
      <c r="BN366" s="135"/>
      <c r="BO366" s="135"/>
      <c r="BP366" s="135"/>
      <c r="BQ366" s="135"/>
      <c r="BR366" s="135"/>
      <c r="BS366" s="135"/>
      <c r="BT366" s="135"/>
    </row>
    <row r="367" spans="1:72" s="196" customFormat="1">
      <c r="A367" s="135"/>
      <c r="B367" s="135"/>
      <c r="C367" s="135"/>
      <c r="D367" s="135"/>
      <c r="E367" s="135"/>
      <c r="F367" s="135"/>
      <c r="G367" s="135"/>
      <c r="H367" s="135"/>
      <c r="I367" s="135"/>
      <c r="J367" s="135"/>
      <c r="K367" s="135"/>
      <c r="L367" s="135"/>
      <c r="M367" s="135"/>
      <c r="N367" s="135"/>
      <c r="O367" s="135"/>
      <c r="P367" s="135"/>
      <c r="Q367" s="135"/>
      <c r="R367" s="135"/>
      <c r="S367" s="135"/>
      <c r="T367" s="135"/>
      <c r="U367" s="135"/>
      <c r="V367" s="135"/>
      <c r="W367" s="135"/>
      <c r="X367" s="135"/>
      <c r="Y367" s="135"/>
      <c r="Z367" s="135"/>
      <c r="AA367" s="135"/>
      <c r="AB367" s="135"/>
      <c r="AC367" s="135"/>
      <c r="AD367" s="135"/>
      <c r="AE367" s="135"/>
      <c r="AF367" s="135"/>
      <c r="AG367" s="135"/>
      <c r="AH367" s="135"/>
      <c r="AI367" s="135"/>
      <c r="AJ367" s="135"/>
      <c r="AK367" s="135"/>
      <c r="AL367" s="135"/>
      <c r="AM367" s="135"/>
      <c r="AN367" s="135"/>
      <c r="AO367" s="135"/>
      <c r="AP367" s="135"/>
      <c r="AQ367" s="135"/>
      <c r="AR367" s="135"/>
      <c r="AS367" s="135"/>
      <c r="AT367" s="135"/>
      <c r="AU367" s="135"/>
      <c r="AV367" s="135"/>
      <c r="AW367" s="135"/>
      <c r="AX367" s="135"/>
      <c r="AY367" s="135"/>
      <c r="AZ367" s="135"/>
      <c r="BA367" s="135"/>
      <c r="BB367" s="135"/>
      <c r="BC367" s="135"/>
      <c r="BD367" s="135"/>
      <c r="BE367" s="135"/>
      <c r="BF367" s="135"/>
      <c r="BG367" s="135"/>
      <c r="BH367" s="135"/>
      <c r="BI367" s="135"/>
      <c r="BJ367" s="135"/>
      <c r="BK367" s="135"/>
      <c r="BL367" s="135"/>
      <c r="BM367" s="135"/>
      <c r="BN367" s="135"/>
      <c r="BO367" s="135"/>
      <c r="BP367" s="135"/>
      <c r="BQ367" s="135"/>
      <c r="BR367" s="135"/>
      <c r="BS367" s="135"/>
      <c r="BT367" s="135"/>
    </row>
    <row r="368" spans="1:72" s="196" customFormat="1">
      <c r="A368" s="135"/>
      <c r="B368" s="135"/>
      <c r="C368" s="135"/>
      <c r="D368" s="135"/>
      <c r="E368" s="135"/>
      <c r="F368" s="135"/>
      <c r="G368" s="135"/>
      <c r="H368" s="135"/>
      <c r="I368" s="135"/>
      <c r="J368" s="135"/>
      <c r="K368" s="135"/>
      <c r="L368" s="135"/>
      <c r="M368" s="135"/>
      <c r="N368" s="135"/>
      <c r="O368" s="135"/>
      <c r="P368" s="135"/>
      <c r="Q368" s="135"/>
      <c r="R368" s="135"/>
      <c r="S368" s="135"/>
      <c r="T368" s="135"/>
      <c r="U368" s="135"/>
      <c r="V368" s="135"/>
      <c r="W368" s="135"/>
      <c r="X368" s="135"/>
      <c r="Y368" s="135"/>
      <c r="Z368" s="135"/>
      <c r="AA368" s="135"/>
      <c r="AB368" s="135"/>
      <c r="AC368" s="135"/>
      <c r="AD368" s="135"/>
      <c r="AE368" s="135"/>
      <c r="AF368" s="135"/>
      <c r="AG368" s="135"/>
      <c r="AH368" s="135"/>
      <c r="AI368" s="135"/>
      <c r="AJ368" s="135"/>
      <c r="AK368" s="135"/>
      <c r="AL368" s="135"/>
      <c r="AM368" s="135"/>
      <c r="AN368" s="135"/>
      <c r="AO368" s="135"/>
      <c r="AP368" s="135"/>
      <c r="AQ368" s="135"/>
      <c r="AR368" s="135"/>
      <c r="AS368" s="135"/>
      <c r="AT368" s="135"/>
      <c r="AU368" s="135"/>
      <c r="AV368" s="135"/>
      <c r="AW368" s="135"/>
      <c r="AX368" s="135"/>
      <c r="AY368" s="135"/>
      <c r="AZ368" s="135"/>
      <c r="BA368" s="135"/>
      <c r="BB368" s="135"/>
      <c r="BC368" s="135"/>
      <c r="BD368" s="135"/>
      <c r="BE368" s="135"/>
      <c r="BF368" s="135"/>
      <c r="BG368" s="135"/>
      <c r="BH368" s="135"/>
      <c r="BI368" s="135"/>
      <c r="BJ368" s="135"/>
      <c r="BK368" s="135"/>
      <c r="BL368" s="135"/>
      <c r="BM368" s="135"/>
      <c r="BN368" s="135"/>
      <c r="BO368" s="135"/>
      <c r="BP368" s="135"/>
      <c r="BQ368" s="135"/>
      <c r="BR368" s="135"/>
      <c r="BS368" s="135"/>
      <c r="BT368" s="135"/>
    </row>
    <row r="369" spans="1:72" s="196" customFormat="1">
      <c r="A369" s="135"/>
      <c r="B369" s="135"/>
      <c r="C369" s="135"/>
      <c r="D369" s="135"/>
      <c r="E369" s="135"/>
      <c r="F369" s="135"/>
      <c r="G369" s="135"/>
      <c r="H369" s="135"/>
      <c r="I369" s="135"/>
      <c r="J369" s="135"/>
      <c r="K369" s="135"/>
      <c r="L369" s="135"/>
      <c r="M369" s="135"/>
      <c r="N369" s="135"/>
      <c r="O369" s="135"/>
      <c r="P369" s="135"/>
      <c r="Q369" s="135"/>
      <c r="R369" s="135"/>
      <c r="S369" s="135"/>
      <c r="T369" s="135"/>
      <c r="U369" s="135"/>
      <c r="V369" s="135"/>
      <c r="W369" s="135"/>
      <c r="X369" s="135"/>
      <c r="Y369" s="135"/>
      <c r="Z369" s="135"/>
      <c r="AA369" s="135"/>
      <c r="AB369" s="135"/>
      <c r="AC369" s="135"/>
      <c r="AD369" s="135"/>
      <c r="AE369" s="135"/>
      <c r="AF369" s="135"/>
      <c r="AG369" s="135"/>
      <c r="AH369" s="135"/>
      <c r="AI369" s="135"/>
      <c r="AJ369" s="135"/>
      <c r="AK369" s="135"/>
      <c r="AL369" s="135"/>
      <c r="AM369" s="135"/>
      <c r="AN369" s="135"/>
      <c r="AO369" s="135"/>
      <c r="AP369" s="135"/>
      <c r="AQ369" s="135"/>
      <c r="AR369" s="135"/>
      <c r="AS369" s="135"/>
      <c r="AT369" s="135"/>
      <c r="AU369" s="135"/>
      <c r="AV369" s="135"/>
      <c r="AW369" s="135"/>
      <c r="AX369" s="135"/>
      <c r="AY369" s="135"/>
      <c r="AZ369" s="135"/>
      <c r="BA369" s="135"/>
      <c r="BB369" s="135"/>
      <c r="BC369" s="135"/>
      <c r="BD369" s="135"/>
      <c r="BE369" s="135"/>
      <c r="BF369" s="135"/>
      <c r="BG369" s="135"/>
      <c r="BH369" s="135"/>
      <c r="BI369" s="135"/>
      <c r="BJ369" s="135"/>
      <c r="BK369" s="135"/>
      <c r="BL369" s="135"/>
      <c r="BM369" s="135"/>
      <c r="BN369" s="135"/>
      <c r="BO369" s="135"/>
      <c r="BP369" s="135"/>
      <c r="BQ369" s="135"/>
      <c r="BR369" s="135"/>
      <c r="BS369" s="135"/>
      <c r="BT369" s="135"/>
    </row>
    <row r="370" spans="1:72" s="196" customFormat="1">
      <c r="A370" s="135"/>
      <c r="B370" s="135"/>
      <c r="C370" s="135"/>
      <c r="D370" s="135"/>
      <c r="E370" s="135"/>
      <c r="F370" s="135"/>
      <c r="G370" s="135"/>
      <c r="H370" s="135"/>
      <c r="I370" s="135"/>
      <c r="J370" s="135"/>
      <c r="K370" s="135"/>
      <c r="L370" s="135"/>
      <c r="M370" s="135"/>
      <c r="N370" s="135"/>
      <c r="O370" s="135"/>
      <c r="P370" s="135"/>
      <c r="Q370" s="135"/>
      <c r="R370" s="135"/>
      <c r="S370" s="135"/>
      <c r="T370" s="135"/>
      <c r="U370" s="135"/>
      <c r="V370" s="135"/>
      <c r="W370" s="135"/>
      <c r="X370" s="135"/>
      <c r="Y370" s="135"/>
      <c r="Z370" s="135"/>
      <c r="AA370" s="135"/>
      <c r="AB370" s="135"/>
      <c r="AC370" s="135"/>
      <c r="AD370" s="135"/>
      <c r="AE370" s="135"/>
      <c r="AF370" s="135"/>
      <c r="AG370" s="135"/>
      <c r="AH370" s="135"/>
      <c r="AI370" s="135"/>
      <c r="AJ370" s="135"/>
      <c r="AK370" s="135"/>
      <c r="AL370" s="135"/>
      <c r="AM370" s="135"/>
      <c r="AN370" s="135"/>
      <c r="AO370" s="135"/>
      <c r="AP370" s="135"/>
      <c r="AQ370" s="135"/>
      <c r="AR370" s="135"/>
      <c r="AS370" s="135"/>
      <c r="AT370" s="135"/>
      <c r="AU370" s="135"/>
      <c r="AV370" s="135"/>
      <c r="AW370" s="135"/>
      <c r="AX370" s="135"/>
      <c r="AY370" s="135"/>
      <c r="AZ370" s="135"/>
      <c r="BA370" s="135"/>
      <c r="BB370" s="135"/>
      <c r="BC370" s="135"/>
      <c r="BD370" s="135"/>
      <c r="BE370" s="135"/>
      <c r="BF370" s="135"/>
      <c r="BG370" s="135"/>
      <c r="BH370" s="135"/>
      <c r="BI370" s="135"/>
      <c r="BJ370" s="135"/>
      <c r="BK370" s="135"/>
      <c r="BL370" s="135"/>
      <c r="BM370" s="135"/>
      <c r="BN370" s="135"/>
      <c r="BO370" s="135"/>
      <c r="BP370" s="135"/>
      <c r="BQ370" s="135"/>
      <c r="BR370" s="135"/>
      <c r="BS370" s="135"/>
      <c r="BT370" s="135"/>
    </row>
    <row r="371" spans="1:72" s="196" customFormat="1">
      <c r="A371" s="135"/>
      <c r="B371" s="135"/>
      <c r="C371" s="135"/>
      <c r="D371" s="135"/>
      <c r="E371" s="135"/>
      <c r="F371" s="135"/>
      <c r="G371" s="135"/>
      <c r="H371" s="135"/>
      <c r="I371" s="135"/>
      <c r="J371" s="135"/>
      <c r="K371" s="135"/>
      <c r="L371" s="135"/>
      <c r="M371" s="135"/>
      <c r="N371" s="135"/>
      <c r="O371" s="135"/>
      <c r="P371" s="135"/>
      <c r="Q371" s="135"/>
      <c r="R371" s="135"/>
      <c r="S371" s="135"/>
      <c r="T371" s="135"/>
      <c r="U371" s="135"/>
      <c r="V371" s="135"/>
      <c r="W371" s="135"/>
      <c r="X371" s="135"/>
      <c r="Y371" s="135"/>
      <c r="Z371" s="135"/>
      <c r="AA371" s="135"/>
      <c r="AB371" s="135"/>
      <c r="AC371" s="135"/>
      <c r="AD371" s="135"/>
      <c r="AE371" s="135"/>
      <c r="AF371" s="135"/>
      <c r="AG371" s="135"/>
      <c r="AH371" s="135"/>
      <c r="AI371" s="135"/>
      <c r="AJ371" s="135"/>
      <c r="AK371" s="135"/>
      <c r="AL371" s="135"/>
      <c r="AM371" s="135"/>
      <c r="AN371" s="135"/>
      <c r="AO371" s="135"/>
      <c r="AP371" s="135"/>
      <c r="AQ371" s="135"/>
      <c r="AR371" s="135"/>
      <c r="AS371" s="135"/>
      <c r="AT371" s="135"/>
      <c r="AU371" s="135"/>
      <c r="AV371" s="135"/>
      <c r="AW371" s="135"/>
      <c r="AX371" s="135"/>
      <c r="AY371" s="135"/>
      <c r="AZ371" s="135"/>
      <c r="BA371" s="135"/>
      <c r="BB371" s="135"/>
      <c r="BC371" s="135"/>
      <c r="BD371" s="135"/>
      <c r="BE371" s="135"/>
      <c r="BF371" s="135"/>
      <c r="BG371" s="135"/>
      <c r="BH371" s="135"/>
      <c r="BI371" s="135"/>
      <c r="BJ371" s="135"/>
      <c r="BK371" s="135"/>
      <c r="BL371" s="135"/>
      <c r="BM371" s="135"/>
      <c r="BN371" s="135"/>
      <c r="BO371" s="135"/>
      <c r="BP371" s="135"/>
      <c r="BQ371" s="135"/>
      <c r="BR371" s="135"/>
      <c r="BS371" s="135"/>
      <c r="BT371" s="135"/>
    </row>
    <row r="372" spans="1:72" s="196" customFormat="1">
      <c r="A372" s="135"/>
      <c r="B372" s="135"/>
      <c r="C372" s="135"/>
      <c r="D372" s="135"/>
      <c r="E372" s="135"/>
      <c r="F372" s="135"/>
      <c r="G372" s="135"/>
      <c r="H372" s="135"/>
      <c r="I372" s="135"/>
      <c r="J372" s="135"/>
      <c r="K372" s="135"/>
      <c r="L372" s="135"/>
      <c r="M372" s="135"/>
      <c r="N372" s="135"/>
      <c r="O372" s="135"/>
      <c r="P372" s="135"/>
      <c r="Q372" s="135"/>
      <c r="R372" s="135"/>
      <c r="S372" s="135"/>
      <c r="T372" s="135"/>
      <c r="U372" s="135"/>
      <c r="V372" s="135"/>
      <c r="W372" s="135"/>
      <c r="X372" s="135"/>
      <c r="Y372" s="135"/>
      <c r="Z372" s="135"/>
      <c r="AA372" s="135"/>
      <c r="AB372" s="135"/>
      <c r="AC372" s="135"/>
      <c r="AD372" s="135"/>
      <c r="AE372" s="135"/>
      <c r="AF372" s="135"/>
      <c r="AG372" s="135"/>
      <c r="AH372" s="135"/>
      <c r="AI372" s="135"/>
      <c r="AJ372" s="135"/>
      <c r="AK372" s="135"/>
      <c r="AL372" s="135"/>
      <c r="AM372" s="135"/>
      <c r="AN372" s="135"/>
      <c r="AO372" s="135"/>
      <c r="AP372" s="135"/>
      <c r="AQ372" s="135"/>
      <c r="AR372" s="135"/>
      <c r="AS372" s="135"/>
      <c r="AT372" s="135"/>
      <c r="AU372" s="135"/>
      <c r="AV372" s="135"/>
      <c r="AW372" s="135"/>
      <c r="AX372" s="135"/>
      <c r="AY372" s="135"/>
      <c r="AZ372" s="135"/>
      <c r="BA372" s="135"/>
      <c r="BB372" s="135"/>
      <c r="BC372" s="135"/>
      <c r="BD372" s="135"/>
      <c r="BE372" s="135"/>
      <c r="BF372" s="135"/>
      <c r="BG372" s="135"/>
      <c r="BH372" s="135"/>
      <c r="BI372" s="135"/>
      <c r="BJ372" s="135"/>
      <c r="BK372" s="135"/>
      <c r="BL372" s="135"/>
      <c r="BM372" s="135"/>
      <c r="BN372" s="135"/>
      <c r="BO372" s="135"/>
      <c r="BP372" s="135"/>
      <c r="BQ372" s="135"/>
      <c r="BR372" s="135"/>
      <c r="BS372" s="135"/>
      <c r="BT372" s="135"/>
    </row>
    <row r="373" spans="1:72" s="196" customFormat="1">
      <c r="A373" s="135"/>
      <c r="B373" s="135"/>
      <c r="C373" s="135"/>
      <c r="D373" s="135"/>
      <c r="E373" s="135"/>
      <c r="F373" s="135"/>
      <c r="G373" s="135"/>
      <c r="H373" s="135"/>
      <c r="I373" s="135"/>
      <c r="J373" s="135"/>
      <c r="K373" s="135"/>
      <c r="L373" s="135"/>
      <c r="M373" s="135"/>
      <c r="N373" s="135"/>
      <c r="O373" s="135"/>
      <c r="P373" s="135"/>
      <c r="Q373" s="135"/>
      <c r="R373" s="135"/>
      <c r="S373" s="135"/>
      <c r="T373" s="135"/>
      <c r="U373" s="135"/>
      <c r="V373" s="135"/>
      <c r="W373" s="135"/>
      <c r="X373" s="135"/>
      <c r="Y373" s="135"/>
      <c r="Z373" s="135"/>
      <c r="AA373" s="135"/>
      <c r="AB373" s="135"/>
      <c r="AC373" s="135"/>
      <c r="AD373" s="135"/>
      <c r="AE373" s="135"/>
      <c r="AF373" s="135"/>
      <c r="AG373" s="135"/>
      <c r="AH373" s="135"/>
      <c r="AI373" s="135"/>
      <c r="AJ373" s="135"/>
      <c r="AK373" s="135"/>
      <c r="AL373" s="135"/>
      <c r="AM373" s="135"/>
      <c r="AN373" s="135"/>
      <c r="AO373" s="135"/>
      <c r="AP373" s="135"/>
      <c r="AQ373" s="135"/>
      <c r="AR373" s="135"/>
      <c r="AS373" s="135"/>
      <c r="AT373" s="135"/>
      <c r="AU373" s="135"/>
      <c r="AV373" s="135"/>
      <c r="AW373" s="135"/>
      <c r="AX373" s="135"/>
      <c r="AY373" s="135"/>
      <c r="AZ373" s="135"/>
      <c r="BA373" s="135"/>
      <c r="BB373" s="135"/>
      <c r="BC373" s="135"/>
      <c r="BD373" s="135"/>
      <c r="BE373" s="135"/>
      <c r="BF373" s="135"/>
      <c r="BG373" s="135"/>
      <c r="BH373" s="135"/>
      <c r="BI373" s="135"/>
      <c r="BJ373" s="135"/>
      <c r="BK373" s="135"/>
      <c r="BL373" s="135"/>
      <c r="BM373" s="135"/>
      <c r="BN373" s="135"/>
      <c r="BO373" s="135"/>
      <c r="BP373" s="135"/>
      <c r="BQ373" s="135"/>
      <c r="BR373" s="135"/>
      <c r="BS373" s="135"/>
      <c r="BT373" s="135"/>
    </row>
    <row r="374" spans="1:72" s="196" customFormat="1">
      <c r="A374" s="135"/>
      <c r="B374" s="135"/>
      <c r="C374" s="135"/>
      <c r="D374" s="135"/>
      <c r="E374" s="135"/>
      <c r="F374" s="135"/>
      <c r="G374" s="135"/>
      <c r="H374" s="135"/>
      <c r="I374" s="135"/>
      <c r="J374" s="135"/>
      <c r="K374" s="135"/>
      <c r="L374" s="135"/>
      <c r="M374" s="135"/>
      <c r="N374" s="135"/>
      <c r="O374" s="135"/>
      <c r="P374" s="135"/>
      <c r="Q374" s="135"/>
      <c r="R374" s="135"/>
      <c r="S374" s="135"/>
      <c r="T374" s="135"/>
      <c r="U374" s="135"/>
      <c r="V374" s="135"/>
      <c r="W374" s="135"/>
      <c r="X374" s="135"/>
      <c r="Y374" s="135"/>
      <c r="Z374" s="135"/>
      <c r="AA374" s="135"/>
      <c r="AB374" s="135"/>
      <c r="AC374" s="135"/>
      <c r="AD374" s="135"/>
      <c r="AE374" s="135"/>
      <c r="AF374" s="135"/>
      <c r="AG374" s="135"/>
      <c r="AH374" s="135"/>
      <c r="AI374" s="135"/>
      <c r="AJ374" s="135"/>
      <c r="AK374" s="135"/>
      <c r="AL374" s="135"/>
      <c r="AM374" s="135"/>
      <c r="AN374" s="135"/>
      <c r="AO374" s="135"/>
      <c r="AP374" s="135"/>
      <c r="AQ374" s="135"/>
      <c r="AR374" s="135"/>
      <c r="AS374" s="135"/>
      <c r="AT374" s="135"/>
      <c r="AU374" s="135"/>
      <c r="AV374" s="135"/>
      <c r="AW374" s="135"/>
      <c r="AX374" s="135"/>
      <c r="AY374" s="135"/>
      <c r="AZ374" s="135"/>
      <c r="BA374" s="135"/>
      <c r="BB374" s="135"/>
      <c r="BC374" s="135"/>
      <c r="BD374" s="135"/>
      <c r="BE374" s="135"/>
      <c r="BF374" s="135"/>
      <c r="BG374" s="135"/>
      <c r="BH374" s="135"/>
      <c r="BI374" s="135"/>
      <c r="BJ374" s="135"/>
      <c r="BK374" s="135"/>
      <c r="BL374" s="135"/>
      <c r="BM374" s="135"/>
      <c r="BN374" s="135"/>
      <c r="BO374" s="135"/>
      <c r="BP374" s="135"/>
      <c r="BQ374" s="135"/>
      <c r="BR374" s="135"/>
      <c r="BS374" s="135"/>
      <c r="BT374" s="135"/>
    </row>
    <row r="375" spans="1:72" s="196" customFormat="1">
      <c r="A375" s="135"/>
      <c r="B375" s="135"/>
      <c r="C375" s="135"/>
      <c r="D375" s="135"/>
      <c r="E375" s="135"/>
      <c r="F375" s="135"/>
      <c r="G375" s="135"/>
      <c r="H375" s="135"/>
      <c r="I375" s="135"/>
      <c r="J375" s="135"/>
      <c r="K375" s="135"/>
      <c r="L375" s="135"/>
      <c r="M375" s="135"/>
      <c r="N375" s="135"/>
      <c r="O375" s="135"/>
      <c r="P375" s="135"/>
      <c r="Q375" s="135"/>
      <c r="R375" s="135"/>
      <c r="S375" s="135"/>
      <c r="T375" s="135"/>
      <c r="U375" s="135"/>
      <c r="V375" s="135"/>
      <c r="W375" s="135"/>
      <c r="X375" s="135"/>
      <c r="Y375" s="135"/>
      <c r="Z375" s="135"/>
      <c r="AA375" s="135"/>
      <c r="AB375" s="135"/>
      <c r="AC375" s="135"/>
      <c r="AD375" s="135"/>
      <c r="AE375" s="135"/>
      <c r="AF375" s="135"/>
      <c r="AG375" s="135"/>
      <c r="AH375" s="135"/>
      <c r="AI375" s="135"/>
      <c r="AJ375" s="135"/>
      <c r="AK375" s="135"/>
      <c r="AL375" s="135"/>
      <c r="AM375" s="135"/>
      <c r="AN375" s="135"/>
      <c r="AO375" s="135"/>
      <c r="AP375" s="135"/>
      <c r="AQ375" s="135"/>
      <c r="AR375" s="135"/>
      <c r="AS375" s="135"/>
      <c r="AT375" s="135"/>
      <c r="AU375" s="135"/>
      <c r="AV375" s="135"/>
      <c r="AW375" s="135"/>
      <c r="AX375" s="135"/>
      <c r="AY375" s="135"/>
      <c r="AZ375" s="135"/>
      <c r="BA375" s="135"/>
      <c r="BB375" s="135"/>
      <c r="BC375" s="135"/>
      <c r="BD375" s="135"/>
      <c r="BE375" s="135"/>
      <c r="BF375" s="135"/>
      <c r="BG375" s="135"/>
      <c r="BH375" s="135"/>
      <c r="BI375" s="135"/>
      <c r="BJ375" s="135"/>
      <c r="BK375" s="135"/>
      <c r="BL375" s="135"/>
      <c r="BM375" s="135"/>
      <c r="BN375" s="135"/>
      <c r="BO375" s="135"/>
      <c r="BP375" s="135"/>
      <c r="BQ375" s="135"/>
      <c r="BR375" s="135"/>
      <c r="BS375" s="135"/>
      <c r="BT375" s="135"/>
    </row>
    <row r="376" spans="1:72" s="196" customFormat="1">
      <c r="A376" s="135"/>
      <c r="B376" s="135"/>
      <c r="C376" s="135"/>
      <c r="D376" s="135"/>
      <c r="E376" s="135"/>
      <c r="F376" s="135"/>
      <c r="G376" s="135"/>
      <c r="H376" s="135"/>
      <c r="I376" s="135"/>
      <c r="J376" s="135"/>
      <c r="K376" s="135"/>
      <c r="L376" s="135"/>
      <c r="M376" s="135"/>
      <c r="N376" s="135"/>
      <c r="O376" s="135"/>
      <c r="P376" s="135"/>
      <c r="Q376" s="135"/>
      <c r="R376" s="135"/>
      <c r="S376" s="135"/>
      <c r="T376" s="135"/>
      <c r="U376" s="135"/>
      <c r="V376" s="135"/>
      <c r="W376" s="135"/>
      <c r="X376" s="135"/>
      <c r="Y376" s="135"/>
      <c r="Z376" s="135"/>
      <c r="AA376" s="135"/>
      <c r="AB376" s="135"/>
      <c r="AC376" s="135"/>
      <c r="AD376" s="135"/>
      <c r="AE376" s="135"/>
      <c r="AF376" s="135"/>
      <c r="AG376" s="135"/>
      <c r="AH376" s="135"/>
      <c r="AI376" s="135"/>
      <c r="AJ376" s="135"/>
      <c r="AK376" s="135"/>
      <c r="AL376" s="135"/>
      <c r="AM376" s="135"/>
      <c r="AN376" s="135"/>
      <c r="AO376" s="135"/>
      <c r="AP376" s="135"/>
      <c r="AQ376" s="135"/>
      <c r="AR376" s="135"/>
      <c r="AS376" s="135"/>
      <c r="AT376" s="135"/>
      <c r="AU376" s="135"/>
      <c r="AV376" s="135"/>
      <c r="AW376" s="135"/>
      <c r="AX376" s="135"/>
      <c r="AY376" s="135"/>
      <c r="AZ376" s="135"/>
      <c r="BA376" s="135"/>
      <c r="BB376" s="135"/>
      <c r="BC376" s="135"/>
      <c r="BD376" s="135"/>
      <c r="BE376" s="135"/>
      <c r="BF376" s="135"/>
      <c r="BG376" s="135"/>
      <c r="BH376" s="135"/>
      <c r="BI376" s="135"/>
      <c r="BJ376" s="135"/>
      <c r="BK376" s="135"/>
      <c r="BL376" s="135"/>
      <c r="BM376" s="135"/>
      <c r="BN376" s="135"/>
      <c r="BO376" s="135"/>
      <c r="BP376" s="135"/>
      <c r="BQ376" s="135"/>
      <c r="BR376" s="135"/>
      <c r="BS376" s="135"/>
      <c r="BT376" s="135"/>
    </row>
    <row r="377" spans="1:72" s="196" customFormat="1">
      <c r="A377" s="135"/>
      <c r="B377" s="135"/>
      <c r="C377" s="135"/>
      <c r="D377" s="135"/>
      <c r="E377" s="135"/>
      <c r="F377" s="135"/>
      <c r="G377" s="135"/>
      <c r="H377" s="135"/>
      <c r="I377" s="135"/>
      <c r="J377" s="135"/>
      <c r="K377" s="135"/>
      <c r="L377" s="135"/>
      <c r="M377" s="135"/>
      <c r="N377" s="135"/>
      <c r="O377" s="135"/>
      <c r="P377" s="135"/>
      <c r="Q377" s="135"/>
      <c r="R377" s="135"/>
      <c r="S377" s="135"/>
      <c r="T377" s="135"/>
      <c r="U377" s="135"/>
      <c r="V377" s="135"/>
      <c r="W377" s="135"/>
      <c r="X377" s="135"/>
      <c r="Y377" s="135"/>
      <c r="Z377" s="135"/>
      <c r="AA377" s="135"/>
      <c r="AB377" s="135"/>
      <c r="AC377" s="135"/>
      <c r="AD377" s="135"/>
      <c r="AE377" s="135"/>
      <c r="AF377" s="135"/>
      <c r="AG377" s="135"/>
      <c r="AH377" s="135"/>
      <c r="AI377" s="135"/>
      <c r="AJ377" s="135"/>
      <c r="AK377" s="135"/>
      <c r="AL377" s="135"/>
      <c r="AM377" s="135"/>
      <c r="AN377" s="135"/>
      <c r="AO377" s="135"/>
      <c r="AP377" s="135"/>
      <c r="AQ377" s="135"/>
      <c r="AR377" s="135"/>
      <c r="AS377" s="135"/>
      <c r="AT377" s="135"/>
      <c r="AU377" s="135"/>
      <c r="AV377" s="135"/>
      <c r="AW377" s="135"/>
      <c r="AX377" s="135"/>
      <c r="AY377" s="135"/>
      <c r="AZ377" s="135"/>
      <c r="BA377" s="135"/>
      <c r="BB377" s="135"/>
      <c r="BC377" s="135"/>
      <c r="BD377" s="135"/>
      <c r="BE377" s="135"/>
      <c r="BF377" s="135"/>
      <c r="BG377" s="135"/>
      <c r="BH377" s="135"/>
      <c r="BI377" s="135"/>
      <c r="BJ377" s="135"/>
      <c r="BK377" s="135"/>
      <c r="BL377" s="135"/>
      <c r="BM377" s="135"/>
      <c r="BN377" s="135"/>
      <c r="BO377" s="135"/>
      <c r="BP377" s="135"/>
      <c r="BQ377" s="135"/>
      <c r="BR377" s="135"/>
      <c r="BS377" s="135"/>
      <c r="BT377" s="135"/>
    </row>
    <row r="378" spans="1:72" s="196" customFormat="1">
      <c r="A378" s="135"/>
      <c r="B378" s="135"/>
      <c r="C378" s="135"/>
      <c r="D378" s="135"/>
      <c r="E378" s="135"/>
      <c r="F378" s="135"/>
      <c r="G378" s="135"/>
      <c r="H378" s="135"/>
      <c r="I378" s="135"/>
      <c r="J378" s="135"/>
      <c r="K378" s="135"/>
      <c r="L378" s="135"/>
      <c r="M378" s="135"/>
      <c r="N378" s="135"/>
      <c r="O378" s="135"/>
      <c r="P378" s="135"/>
      <c r="Q378" s="135"/>
      <c r="R378" s="135"/>
      <c r="S378" s="135"/>
      <c r="T378" s="135"/>
      <c r="U378" s="135"/>
      <c r="V378" s="135"/>
      <c r="W378" s="135"/>
      <c r="X378" s="135"/>
      <c r="Y378" s="135"/>
      <c r="Z378" s="135"/>
      <c r="AA378" s="135"/>
      <c r="AB378" s="135"/>
      <c r="AC378" s="135"/>
      <c r="AD378" s="135"/>
      <c r="AE378" s="135"/>
      <c r="AF378" s="135"/>
      <c r="AG378" s="135"/>
      <c r="AH378" s="135"/>
      <c r="AI378" s="135"/>
      <c r="AJ378" s="135"/>
      <c r="AK378" s="135"/>
      <c r="AL378" s="135"/>
      <c r="AM378" s="135"/>
      <c r="AN378" s="135"/>
      <c r="AO378" s="135"/>
      <c r="AP378" s="135"/>
      <c r="AQ378" s="135"/>
      <c r="AR378" s="135"/>
      <c r="AS378" s="135"/>
      <c r="AT378" s="135"/>
      <c r="AU378" s="135"/>
      <c r="AV378" s="135"/>
      <c r="AW378" s="135"/>
      <c r="AX378" s="135"/>
      <c r="AY378" s="135"/>
      <c r="AZ378" s="135"/>
      <c r="BA378" s="135"/>
      <c r="BB378" s="135"/>
      <c r="BC378" s="135"/>
      <c r="BD378" s="135"/>
      <c r="BE378" s="135"/>
      <c r="BF378" s="135"/>
      <c r="BG378" s="135"/>
      <c r="BH378" s="135"/>
      <c r="BI378" s="135"/>
      <c r="BJ378" s="135"/>
      <c r="BK378" s="135"/>
      <c r="BL378" s="135"/>
      <c r="BM378" s="135"/>
      <c r="BN378" s="135"/>
      <c r="BO378" s="135"/>
      <c r="BP378" s="135"/>
      <c r="BQ378" s="135"/>
      <c r="BR378" s="135"/>
      <c r="BS378" s="135"/>
      <c r="BT378" s="135"/>
    </row>
    <row r="379" spans="1:72" s="196" customFormat="1">
      <c r="A379" s="135"/>
      <c r="B379" s="135"/>
      <c r="C379" s="135"/>
      <c r="D379" s="135"/>
      <c r="E379" s="135"/>
      <c r="F379" s="135"/>
      <c r="G379" s="135"/>
      <c r="H379" s="135"/>
      <c r="I379" s="135"/>
      <c r="J379" s="135"/>
      <c r="K379" s="135"/>
      <c r="L379" s="135"/>
      <c r="M379" s="135"/>
      <c r="N379" s="135"/>
      <c r="O379" s="135"/>
      <c r="P379" s="135"/>
      <c r="Q379" s="135"/>
      <c r="R379" s="135"/>
      <c r="S379" s="135"/>
      <c r="T379" s="135"/>
      <c r="U379" s="135"/>
      <c r="V379" s="135"/>
      <c r="W379" s="135"/>
      <c r="X379" s="135"/>
      <c r="Y379" s="135"/>
      <c r="Z379" s="135"/>
      <c r="AA379" s="135"/>
      <c r="AB379" s="135"/>
      <c r="AC379" s="135"/>
      <c r="AD379" s="135"/>
      <c r="AE379" s="135"/>
      <c r="AF379" s="135"/>
      <c r="AG379" s="135"/>
      <c r="AH379" s="135"/>
      <c r="AI379" s="135"/>
      <c r="AJ379" s="135"/>
      <c r="AK379" s="135"/>
      <c r="AL379" s="135"/>
      <c r="AM379" s="135"/>
      <c r="AN379" s="135"/>
      <c r="AO379" s="135"/>
      <c r="AP379" s="135"/>
      <c r="AQ379" s="135"/>
      <c r="AR379" s="135"/>
      <c r="AS379" s="135"/>
      <c r="AT379" s="135"/>
      <c r="AU379" s="135"/>
      <c r="AV379" s="135"/>
      <c r="AW379" s="135"/>
      <c r="AX379" s="135"/>
      <c r="AY379" s="135"/>
      <c r="AZ379" s="135"/>
      <c r="BA379" s="135"/>
      <c r="BB379" s="135"/>
      <c r="BC379" s="135"/>
      <c r="BD379" s="135"/>
      <c r="BE379" s="135"/>
      <c r="BF379" s="135"/>
      <c r="BG379" s="135"/>
      <c r="BH379" s="135"/>
      <c r="BI379" s="135"/>
      <c r="BJ379" s="135"/>
      <c r="BK379" s="135"/>
      <c r="BL379" s="135"/>
      <c r="BM379" s="135"/>
      <c r="BN379" s="135"/>
      <c r="BO379" s="135"/>
      <c r="BP379" s="135"/>
      <c r="BQ379" s="135"/>
      <c r="BR379" s="135"/>
      <c r="BS379" s="135"/>
      <c r="BT379" s="135"/>
    </row>
    <row r="380" spans="1:72" s="196" customFormat="1">
      <c r="A380" s="135"/>
      <c r="B380" s="135"/>
      <c r="C380" s="135"/>
      <c r="D380" s="135"/>
      <c r="E380" s="135"/>
      <c r="F380" s="135"/>
      <c r="G380" s="135"/>
      <c r="H380" s="135"/>
      <c r="I380" s="135"/>
      <c r="J380" s="135"/>
      <c r="K380" s="135"/>
      <c r="L380" s="135"/>
      <c r="M380" s="135"/>
      <c r="N380" s="135"/>
      <c r="O380" s="135"/>
      <c r="P380" s="135"/>
      <c r="Q380" s="135"/>
      <c r="R380" s="135"/>
      <c r="S380" s="135"/>
      <c r="T380" s="135"/>
      <c r="U380" s="135"/>
      <c r="V380" s="135"/>
      <c r="W380" s="135"/>
      <c r="X380" s="135"/>
      <c r="Y380" s="135"/>
      <c r="Z380" s="135"/>
      <c r="AA380" s="135"/>
      <c r="AB380" s="135"/>
      <c r="AC380" s="135"/>
      <c r="AD380" s="135"/>
      <c r="AE380" s="135"/>
      <c r="AF380" s="135"/>
      <c r="AG380" s="135"/>
      <c r="AH380" s="135"/>
      <c r="AI380" s="135"/>
      <c r="AJ380" s="135"/>
      <c r="AK380" s="135"/>
      <c r="AL380" s="135"/>
      <c r="AM380" s="135"/>
      <c r="AN380" s="135"/>
      <c r="AO380" s="135"/>
      <c r="AP380" s="135"/>
      <c r="AQ380" s="135"/>
      <c r="AR380" s="135"/>
      <c r="AS380" s="135"/>
      <c r="AT380" s="135"/>
      <c r="AU380" s="135"/>
      <c r="AV380" s="135"/>
      <c r="AW380" s="135"/>
      <c r="AX380" s="135"/>
      <c r="AY380" s="135"/>
      <c r="AZ380" s="135"/>
      <c r="BA380" s="135"/>
      <c r="BB380" s="135"/>
      <c r="BC380" s="135"/>
      <c r="BD380" s="135"/>
      <c r="BE380" s="135"/>
      <c r="BF380" s="135"/>
      <c r="BG380" s="135"/>
      <c r="BH380" s="135"/>
      <c r="BI380" s="135"/>
      <c r="BJ380" s="135"/>
      <c r="BK380" s="135"/>
      <c r="BL380" s="135"/>
      <c r="BM380" s="135"/>
      <c r="BN380" s="135"/>
      <c r="BO380" s="135"/>
      <c r="BP380" s="135"/>
      <c r="BQ380" s="135"/>
      <c r="BR380" s="135"/>
      <c r="BS380" s="135"/>
      <c r="BT380" s="135"/>
    </row>
    <row r="381" spans="1:72" s="196" customFormat="1">
      <c r="A381" s="135"/>
      <c r="B381" s="135"/>
      <c r="C381" s="135"/>
      <c r="D381" s="135"/>
      <c r="E381" s="135"/>
      <c r="F381" s="135"/>
      <c r="G381" s="135"/>
      <c r="H381" s="135"/>
      <c r="I381" s="135"/>
      <c r="J381" s="135"/>
      <c r="K381" s="135"/>
      <c r="L381" s="135"/>
      <c r="M381" s="135"/>
      <c r="N381" s="135"/>
      <c r="O381" s="135"/>
      <c r="P381" s="135"/>
      <c r="Q381" s="135"/>
      <c r="R381" s="135"/>
      <c r="S381" s="135"/>
      <c r="T381" s="135"/>
      <c r="U381" s="135"/>
      <c r="V381" s="135"/>
      <c r="W381" s="135"/>
      <c r="X381" s="135"/>
      <c r="Y381" s="135"/>
      <c r="Z381" s="135"/>
      <c r="AA381" s="135"/>
      <c r="AB381" s="135"/>
      <c r="AC381" s="135"/>
      <c r="AD381" s="135"/>
      <c r="AE381" s="135"/>
      <c r="AF381" s="135"/>
      <c r="AG381" s="135"/>
      <c r="AH381" s="135"/>
      <c r="AI381" s="135"/>
      <c r="AJ381" s="135"/>
      <c r="AK381" s="135"/>
      <c r="AL381" s="135"/>
      <c r="AM381" s="135"/>
      <c r="AN381" s="135"/>
      <c r="AO381" s="135"/>
      <c r="AP381" s="135"/>
      <c r="AQ381" s="135"/>
      <c r="AR381" s="135"/>
      <c r="AS381" s="135"/>
      <c r="AT381" s="135"/>
      <c r="AU381" s="135"/>
      <c r="AV381" s="135"/>
      <c r="AW381" s="135"/>
      <c r="AX381" s="135"/>
      <c r="AY381" s="135"/>
      <c r="AZ381" s="135"/>
      <c r="BA381" s="135"/>
      <c r="BB381" s="135"/>
      <c r="BC381" s="135"/>
      <c r="BD381" s="135"/>
      <c r="BE381" s="135"/>
      <c r="BF381" s="135"/>
      <c r="BG381" s="135"/>
      <c r="BH381" s="135"/>
      <c r="BI381" s="135"/>
      <c r="BJ381" s="135"/>
      <c r="BK381" s="135"/>
      <c r="BL381" s="135"/>
      <c r="BM381" s="135"/>
      <c r="BN381" s="135"/>
      <c r="BO381" s="135"/>
      <c r="BP381" s="135"/>
      <c r="BQ381" s="135"/>
      <c r="BR381" s="135"/>
      <c r="BS381" s="135"/>
      <c r="BT381" s="135"/>
    </row>
    <row r="382" spans="1:72" s="196" customFormat="1">
      <c r="A382" s="135"/>
      <c r="B382" s="135"/>
      <c r="C382" s="135"/>
      <c r="D382" s="135"/>
      <c r="E382" s="135"/>
      <c r="F382" s="135"/>
      <c r="G382" s="135"/>
      <c r="H382" s="135"/>
      <c r="I382" s="135"/>
      <c r="J382" s="135"/>
      <c r="K382" s="135"/>
      <c r="L382" s="135"/>
      <c r="M382" s="135"/>
      <c r="N382" s="135"/>
      <c r="O382" s="135"/>
      <c r="P382" s="135"/>
      <c r="Q382" s="135"/>
      <c r="R382" s="135"/>
      <c r="S382" s="135"/>
      <c r="T382" s="135"/>
      <c r="U382" s="135"/>
      <c r="V382" s="135"/>
      <c r="W382" s="135"/>
      <c r="X382" s="135"/>
      <c r="Y382" s="135"/>
      <c r="Z382" s="135"/>
      <c r="AA382" s="135"/>
      <c r="AB382" s="135"/>
      <c r="AC382" s="135"/>
      <c r="AD382" s="135"/>
      <c r="AE382" s="135"/>
      <c r="AF382" s="135"/>
      <c r="AG382" s="135"/>
      <c r="AH382" s="135"/>
      <c r="AI382" s="135"/>
      <c r="AJ382" s="135"/>
      <c r="AK382" s="135"/>
      <c r="AL382" s="135"/>
      <c r="AM382" s="135"/>
      <c r="AN382" s="135"/>
      <c r="AO382" s="135"/>
      <c r="AP382" s="135"/>
      <c r="AQ382" s="135"/>
      <c r="AR382" s="135"/>
      <c r="AS382" s="135"/>
      <c r="AT382" s="135"/>
      <c r="AU382" s="135"/>
      <c r="AV382" s="135"/>
      <c r="AW382" s="135"/>
      <c r="AX382" s="135"/>
      <c r="AY382" s="135"/>
      <c r="AZ382" s="135"/>
      <c r="BA382" s="135"/>
      <c r="BB382" s="135"/>
      <c r="BC382" s="135"/>
      <c r="BD382" s="135"/>
      <c r="BE382" s="135"/>
      <c r="BF382" s="135"/>
      <c r="BG382" s="135"/>
      <c r="BH382" s="135"/>
      <c r="BI382" s="135"/>
      <c r="BJ382" s="135"/>
      <c r="BK382" s="135"/>
      <c r="BL382" s="135"/>
      <c r="BM382" s="135"/>
      <c r="BN382" s="135"/>
      <c r="BO382" s="135"/>
      <c r="BP382" s="135"/>
      <c r="BQ382" s="135"/>
      <c r="BR382" s="135"/>
      <c r="BS382" s="135"/>
      <c r="BT382" s="135"/>
    </row>
    <row r="383" spans="1:72" s="196" customFormat="1">
      <c r="A383" s="135"/>
      <c r="B383" s="135"/>
      <c r="C383" s="135"/>
      <c r="D383" s="135"/>
      <c r="E383" s="135"/>
      <c r="F383" s="135"/>
      <c r="G383" s="135"/>
      <c r="H383" s="135"/>
      <c r="I383" s="135"/>
      <c r="J383" s="135"/>
      <c r="K383" s="135"/>
      <c r="L383" s="135"/>
      <c r="M383" s="135"/>
      <c r="N383" s="135"/>
      <c r="O383" s="135"/>
      <c r="P383" s="135"/>
      <c r="Q383" s="135"/>
      <c r="R383" s="135"/>
      <c r="S383" s="135"/>
      <c r="T383" s="135"/>
      <c r="U383" s="135"/>
      <c r="V383" s="135"/>
      <c r="W383" s="135"/>
      <c r="X383" s="135"/>
      <c r="Y383" s="135"/>
      <c r="Z383" s="135"/>
      <c r="AA383" s="135"/>
      <c r="AB383" s="135"/>
      <c r="AC383" s="135"/>
      <c r="AD383" s="135"/>
      <c r="AE383" s="135"/>
      <c r="AF383" s="135"/>
      <c r="AG383" s="135"/>
      <c r="AH383" s="135"/>
      <c r="AI383" s="135"/>
      <c r="AJ383" s="135"/>
      <c r="AK383" s="135"/>
      <c r="AL383" s="135"/>
      <c r="AM383" s="135"/>
      <c r="AN383" s="135"/>
      <c r="AO383" s="135"/>
      <c r="AP383" s="135"/>
      <c r="AQ383" s="135"/>
      <c r="AR383" s="135"/>
      <c r="AS383" s="135"/>
      <c r="AT383" s="135"/>
      <c r="AU383" s="135"/>
      <c r="AV383" s="135"/>
      <c r="AW383" s="135"/>
      <c r="AX383" s="135"/>
      <c r="AY383" s="135"/>
      <c r="AZ383" s="135"/>
      <c r="BA383" s="135"/>
      <c r="BB383" s="135"/>
      <c r="BC383" s="135"/>
      <c r="BD383" s="135"/>
      <c r="BE383" s="135"/>
      <c r="BF383" s="135"/>
      <c r="BG383" s="135"/>
      <c r="BH383" s="135"/>
      <c r="BI383" s="135"/>
      <c r="BJ383" s="135"/>
      <c r="BK383" s="135"/>
      <c r="BL383" s="135"/>
      <c r="BM383" s="135"/>
      <c r="BN383" s="135"/>
      <c r="BO383" s="135"/>
      <c r="BP383" s="135"/>
      <c r="BQ383" s="135"/>
      <c r="BR383" s="135"/>
      <c r="BS383" s="135"/>
      <c r="BT383" s="135"/>
    </row>
    <row r="384" spans="1:72" s="196" customFormat="1">
      <c r="A384" s="135"/>
      <c r="B384" s="135"/>
      <c r="C384" s="135"/>
      <c r="D384" s="135"/>
      <c r="E384" s="135"/>
      <c r="F384" s="135"/>
      <c r="G384" s="135"/>
      <c r="H384" s="135"/>
      <c r="I384" s="135"/>
      <c r="J384" s="135"/>
      <c r="K384" s="135"/>
      <c r="L384" s="135"/>
      <c r="M384" s="135"/>
      <c r="N384" s="135"/>
      <c r="O384" s="135"/>
      <c r="P384" s="135"/>
      <c r="Q384" s="135"/>
      <c r="R384" s="135"/>
      <c r="S384" s="135"/>
      <c r="T384" s="135"/>
      <c r="U384" s="135"/>
      <c r="V384" s="135"/>
      <c r="W384" s="135"/>
      <c r="X384" s="135"/>
      <c r="Y384" s="135"/>
      <c r="Z384" s="135"/>
      <c r="AA384" s="135"/>
      <c r="AB384" s="135"/>
      <c r="AC384" s="135"/>
      <c r="AD384" s="135"/>
      <c r="AE384" s="135"/>
      <c r="AF384" s="135"/>
      <c r="AG384" s="135"/>
      <c r="AH384" s="135"/>
      <c r="AI384" s="135"/>
      <c r="AJ384" s="135"/>
      <c r="AK384" s="135"/>
      <c r="AL384" s="135"/>
      <c r="AM384" s="135"/>
      <c r="AN384" s="135"/>
      <c r="AO384" s="135"/>
      <c r="AP384" s="135"/>
      <c r="AQ384" s="135"/>
      <c r="AR384" s="135"/>
      <c r="AS384" s="135"/>
      <c r="AT384" s="135"/>
      <c r="AU384" s="135"/>
      <c r="AV384" s="135"/>
      <c r="AW384" s="135"/>
      <c r="AX384" s="135"/>
      <c r="AY384" s="135"/>
      <c r="AZ384" s="135"/>
      <c r="BA384" s="135"/>
      <c r="BB384" s="135"/>
      <c r="BC384" s="135"/>
      <c r="BD384" s="135"/>
      <c r="BE384" s="135"/>
      <c r="BF384" s="135"/>
      <c r="BG384" s="135"/>
      <c r="BH384" s="135"/>
      <c r="BI384" s="135"/>
      <c r="BJ384" s="135"/>
      <c r="BK384" s="135"/>
      <c r="BL384" s="135"/>
      <c r="BM384" s="135"/>
      <c r="BN384" s="135"/>
      <c r="BO384" s="135"/>
      <c r="BP384" s="135"/>
      <c r="BQ384" s="135"/>
      <c r="BR384" s="135"/>
      <c r="BS384" s="135"/>
      <c r="BT384" s="135"/>
    </row>
    <row r="385" spans="1:72" s="196" customFormat="1">
      <c r="A385" s="135"/>
      <c r="B385" s="135"/>
      <c r="C385" s="135"/>
      <c r="D385" s="135"/>
      <c r="E385" s="135"/>
      <c r="F385" s="135"/>
      <c r="G385" s="135"/>
      <c r="H385" s="135"/>
      <c r="I385" s="135"/>
      <c r="J385" s="135"/>
      <c r="K385" s="135"/>
      <c r="L385" s="135"/>
      <c r="M385" s="135"/>
      <c r="N385" s="135"/>
      <c r="O385" s="135"/>
      <c r="P385" s="135"/>
      <c r="Q385" s="135"/>
      <c r="R385" s="135"/>
      <c r="S385" s="135"/>
      <c r="T385" s="135"/>
      <c r="U385" s="135"/>
      <c r="V385" s="135"/>
      <c r="W385" s="135"/>
      <c r="X385" s="135"/>
      <c r="Y385" s="135"/>
      <c r="Z385" s="135"/>
      <c r="AA385" s="135"/>
      <c r="AB385" s="135"/>
      <c r="AC385" s="135"/>
      <c r="AD385" s="135"/>
      <c r="AE385" s="135"/>
      <c r="AF385" s="135"/>
      <c r="AG385" s="135"/>
      <c r="AH385" s="135"/>
      <c r="AI385" s="135"/>
      <c r="AJ385" s="135"/>
      <c r="AK385" s="135"/>
      <c r="AL385" s="135"/>
      <c r="AM385" s="135"/>
      <c r="AN385" s="135"/>
      <c r="AO385" s="135"/>
      <c r="AP385" s="135"/>
      <c r="AQ385" s="135"/>
      <c r="AR385" s="135"/>
      <c r="AS385" s="135"/>
      <c r="AT385" s="135"/>
      <c r="AU385" s="135"/>
      <c r="AV385" s="135"/>
      <c r="AW385" s="135"/>
      <c r="AX385" s="135"/>
      <c r="AY385" s="135"/>
      <c r="AZ385" s="135"/>
      <c r="BA385" s="135"/>
      <c r="BB385" s="135"/>
      <c r="BC385" s="135"/>
      <c r="BD385" s="135"/>
      <c r="BE385" s="135"/>
      <c r="BF385" s="135"/>
      <c r="BG385" s="135"/>
      <c r="BH385" s="135"/>
      <c r="BI385" s="135"/>
      <c r="BJ385" s="135"/>
      <c r="BK385" s="135"/>
      <c r="BL385" s="135"/>
      <c r="BM385" s="135"/>
      <c r="BN385" s="135"/>
      <c r="BO385" s="135"/>
      <c r="BP385" s="135"/>
      <c r="BQ385" s="135"/>
      <c r="BR385" s="135"/>
      <c r="BS385" s="135"/>
      <c r="BT385" s="135"/>
    </row>
    <row r="386" spans="1:72" s="196" customFormat="1">
      <c r="A386" s="135"/>
      <c r="B386" s="135"/>
      <c r="C386" s="135"/>
      <c r="D386" s="135"/>
      <c r="E386" s="135"/>
      <c r="F386" s="135"/>
      <c r="G386" s="135"/>
      <c r="H386" s="135"/>
      <c r="I386" s="135"/>
      <c r="J386" s="135"/>
      <c r="K386" s="135"/>
      <c r="L386" s="135"/>
      <c r="M386" s="135"/>
      <c r="N386" s="135"/>
      <c r="O386" s="135"/>
      <c r="P386" s="135"/>
      <c r="Q386" s="135"/>
      <c r="R386" s="135"/>
      <c r="S386" s="135"/>
      <c r="T386" s="135"/>
      <c r="U386" s="135"/>
      <c r="V386" s="135"/>
      <c r="W386" s="135"/>
      <c r="X386" s="135"/>
      <c r="Y386" s="135"/>
      <c r="Z386" s="135"/>
      <c r="AA386" s="135"/>
      <c r="AB386" s="135"/>
      <c r="AC386" s="135"/>
      <c r="AD386" s="135"/>
      <c r="AE386" s="135"/>
      <c r="AF386" s="135"/>
      <c r="AG386" s="135"/>
      <c r="AH386" s="135"/>
      <c r="AI386" s="135"/>
      <c r="AJ386" s="135"/>
      <c r="AK386" s="135"/>
      <c r="AL386" s="135"/>
      <c r="AM386" s="135"/>
      <c r="AN386" s="135"/>
      <c r="AO386" s="135"/>
      <c r="AP386" s="135"/>
      <c r="AQ386" s="135"/>
      <c r="AR386" s="135"/>
      <c r="AS386" s="135"/>
      <c r="AT386" s="135"/>
      <c r="AU386" s="135"/>
      <c r="AV386" s="135"/>
      <c r="AW386" s="135"/>
      <c r="AX386" s="135"/>
      <c r="AY386" s="135"/>
      <c r="AZ386" s="135"/>
      <c r="BA386" s="135"/>
      <c r="BB386" s="135"/>
      <c r="BC386" s="135"/>
      <c r="BD386" s="135"/>
      <c r="BE386" s="135"/>
      <c r="BF386" s="135"/>
      <c r="BG386" s="135"/>
      <c r="BH386" s="135"/>
      <c r="BI386" s="135"/>
      <c r="BJ386" s="135"/>
      <c r="BK386" s="135"/>
      <c r="BL386" s="135"/>
      <c r="BM386" s="135"/>
      <c r="BN386" s="135"/>
      <c r="BO386" s="135"/>
      <c r="BP386" s="135"/>
      <c r="BQ386" s="135"/>
      <c r="BR386" s="135"/>
      <c r="BS386" s="135"/>
      <c r="BT386" s="135"/>
    </row>
    <row r="387" spans="1:72" s="196" customFormat="1">
      <c r="A387" s="135"/>
      <c r="B387" s="135"/>
      <c r="C387" s="135"/>
      <c r="D387" s="135"/>
      <c r="E387" s="135"/>
      <c r="F387" s="135"/>
      <c r="G387" s="135"/>
      <c r="H387" s="135"/>
      <c r="I387" s="135"/>
      <c r="J387" s="135"/>
      <c r="K387" s="135"/>
      <c r="L387" s="135"/>
      <c r="M387" s="135"/>
      <c r="N387" s="135"/>
      <c r="O387" s="135"/>
      <c r="P387" s="135"/>
      <c r="Q387" s="135"/>
      <c r="R387" s="135"/>
      <c r="S387" s="135"/>
      <c r="T387" s="135"/>
      <c r="U387" s="135"/>
      <c r="V387" s="135"/>
      <c r="W387" s="135"/>
      <c r="X387" s="135"/>
      <c r="Y387" s="135"/>
      <c r="Z387" s="135"/>
      <c r="AA387" s="135"/>
      <c r="AB387" s="135"/>
      <c r="AC387" s="135"/>
      <c r="AD387" s="135"/>
      <c r="AE387" s="135"/>
      <c r="AF387" s="135"/>
      <c r="AG387" s="135"/>
      <c r="AH387" s="135"/>
      <c r="AI387" s="135"/>
      <c r="AJ387" s="135"/>
      <c r="AK387" s="135"/>
      <c r="AL387" s="135"/>
      <c r="AM387" s="135"/>
      <c r="AN387" s="135"/>
      <c r="AO387" s="135"/>
      <c r="AP387" s="135"/>
      <c r="AQ387" s="135"/>
      <c r="AR387" s="135"/>
      <c r="AS387" s="135"/>
      <c r="AT387" s="135"/>
      <c r="AU387" s="135"/>
      <c r="AV387" s="135"/>
      <c r="AW387" s="135"/>
      <c r="AX387" s="135"/>
      <c r="AY387" s="135"/>
      <c r="AZ387" s="135"/>
      <c r="BA387" s="135"/>
      <c r="BB387" s="135"/>
      <c r="BC387" s="135"/>
      <c r="BD387" s="135"/>
      <c r="BE387" s="135"/>
      <c r="BF387" s="135"/>
      <c r="BG387" s="135"/>
      <c r="BH387" s="135"/>
      <c r="BI387" s="135"/>
      <c r="BJ387" s="135"/>
      <c r="BK387" s="135"/>
      <c r="BL387" s="135"/>
      <c r="BM387" s="135"/>
      <c r="BN387" s="135"/>
      <c r="BO387" s="135"/>
      <c r="BP387" s="135"/>
      <c r="BQ387" s="135"/>
      <c r="BR387" s="135"/>
      <c r="BS387" s="135"/>
      <c r="BT387" s="135"/>
    </row>
    <row r="388" spans="1:72" s="196" customFormat="1">
      <c r="A388" s="135"/>
      <c r="B388" s="135"/>
      <c r="C388" s="135"/>
      <c r="D388" s="135"/>
      <c r="E388" s="135"/>
      <c r="F388" s="135"/>
      <c r="G388" s="135"/>
      <c r="H388" s="135"/>
      <c r="I388" s="135"/>
      <c r="J388" s="135"/>
      <c r="K388" s="135"/>
      <c r="L388" s="135"/>
      <c r="M388" s="135"/>
      <c r="N388" s="135"/>
      <c r="O388" s="135"/>
      <c r="P388" s="135"/>
      <c r="Q388" s="135"/>
      <c r="R388" s="135"/>
      <c r="S388" s="135"/>
      <c r="T388" s="135"/>
      <c r="U388" s="135"/>
      <c r="V388" s="135"/>
      <c r="W388" s="135"/>
      <c r="X388" s="135"/>
      <c r="Y388" s="135"/>
      <c r="Z388" s="135"/>
      <c r="AA388" s="135"/>
      <c r="AB388" s="135"/>
      <c r="AC388" s="135"/>
      <c r="AD388" s="135"/>
      <c r="AE388" s="135"/>
      <c r="AF388" s="135"/>
      <c r="AG388" s="135"/>
      <c r="AH388" s="135"/>
      <c r="AI388" s="135"/>
      <c r="AJ388" s="135"/>
      <c r="AK388" s="135"/>
      <c r="AL388" s="135"/>
      <c r="AM388" s="135"/>
      <c r="AN388" s="135"/>
      <c r="AO388" s="135"/>
      <c r="AP388" s="135"/>
      <c r="AQ388" s="135"/>
      <c r="AR388" s="135"/>
      <c r="AS388" s="135"/>
      <c r="AT388" s="135"/>
      <c r="AU388" s="135"/>
      <c r="AV388" s="135"/>
      <c r="AW388" s="135"/>
      <c r="AX388" s="135"/>
      <c r="AY388" s="135"/>
      <c r="AZ388" s="135"/>
      <c r="BA388" s="135"/>
      <c r="BB388" s="135"/>
      <c r="BC388" s="135"/>
      <c r="BD388" s="135"/>
      <c r="BE388" s="135"/>
      <c r="BF388" s="135"/>
      <c r="BG388" s="135"/>
      <c r="BH388" s="135"/>
      <c r="BI388" s="135"/>
      <c r="BJ388" s="135"/>
      <c r="BK388" s="135"/>
      <c r="BL388" s="135"/>
      <c r="BM388" s="135"/>
      <c r="BN388" s="135"/>
      <c r="BO388" s="135"/>
      <c r="BP388" s="135"/>
      <c r="BQ388" s="135"/>
      <c r="BR388" s="135"/>
      <c r="BS388" s="135"/>
      <c r="BT388" s="135"/>
    </row>
    <row r="389" spans="1:72" s="196" customFormat="1">
      <c r="A389" s="135"/>
      <c r="B389" s="135"/>
      <c r="C389" s="135"/>
      <c r="D389" s="135"/>
      <c r="E389" s="135"/>
      <c r="F389" s="135"/>
      <c r="G389" s="135"/>
      <c r="H389" s="135"/>
      <c r="I389" s="135"/>
      <c r="J389" s="135"/>
      <c r="K389" s="135"/>
      <c r="L389" s="135"/>
      <c r="M389" s="135"/>
      <c r="N389" s="135"/>
      <c r="O389" s="135"/>
      <c r="P389" s="135"/>
      <c r="Q389" s="135"/>
      <c r="R389" s="135"/>
      <c r="S389" s="135"/>
      <c r="T389" s="135"/>
      <c r="U389" s="135"/>
      <c r="V389" s="135"/>
      <c r="W389" s="135"/>
      <c r="X389" s="135"/>
      <c r="Y389" s="135"/>
      <c r="Z389" s="135"/>
      <c r="AA389" s="135"/>
      <c r="AB389" s="135"/>
      <c r="AC389" s="135"/>
      <c r="AD389" s="135"/>
      <c r="AE389" s="135"/>
      <c r="AF389" s="135"/>
      <c r="AG389" s="135"/>
      <c r="AH389" s="135"/>
      <c r="AI389" s="135"/>
      <c r="AJ389" s="135"/>
      <c r="AK389" s="135"/>
      <c r="AL389" s="135"/>
      <c r="AM389" s="135"/>
      <c r="AN389" s="135"/>
      <c r="AO389" s="135"/>
      <c r="AP389" s="135"/>
      <c r="AQ389" s="135"/>
      <c r="AR389" s="135"/>
      <c r="AS389" s="135"/>
      <c r="AT389" s="135"/>
      <c r="AU389" s="135"/>
      <c r="AV389" s="135"/>
      <c r="AW389" s="135"/>
      <c r="AX389" s="135"/>
      <c r="AY389" s="135"/>
      <c r="AZ389" s="135"/>
      <c r="BA389" s="135"/>
      <c r="BB389" s="135"/>
      <c r="BC389" s="135"/>
      <c r="BD389" s="135"/>
      <c r="BE389" s="135"/>
      <c r="BF389" s="135"/>
      <c r="BG389" s="135"/>
      <c r="BH389" s="135"/>
      <c r="BI389" s="135"/>
      <c r="BJ389" s="135"/>
      <c r="BK389" s="135"/>
      <c r="BL389" s="135"/>
      <c r="BM389" s="135"/>
      <c r="BN389" s="135"/>
      <c r="BO389" s="135"/>
      <c r="BP389" s="135"/>
      <c r="BQ389" s="135"/>
      <c r="BR389" s="135"/>
      <c r="BS389" s="135"/>
      <c r="BT389" s="135"/>
    </row>
    <row r="390" spans="1:72" s="196" customFormat="1">
      <c r="A390" s="135"/>
      <c r="B390" s="135"/>
      <c r="C390" s="135"/>
      <c r="D390" s="135"/>
      <c r="E390" s="135"/>
      <c r="F390" s="135"/>
      <c r="G390" s="135"/>
      <c r="H390" s="135"/>
      <c r="I390" s="135"/>
      <c r="J390" s="135"/>
      <c r="K390" s="135"/>
      <c r="L390" s="135"/>
      <c r="M390" s="135"/>
      <c r="N390" s="135"/>
      <c r="O390" s="135"/>
      <c r="P390" s="135"/>
      <c r="Q390" s="135"/>
      <c r="R390" s="135"/>
      <c r="S390" s="135"/>
      <c r="T390" s="135"/>
      <c r="U390" s="135"/>
      <c r="V390" s="135"/>
      <c r="W390" s="135"/>
      <c r="X390" s="135"/>
      <c r="Y390" s="135"/>
      <c r="Z390" s="135"/>
      <c r="AA390" s="135"/>
      <c r="AB390" s="135"/>
      <c r="AC390" s="135"/>
      <c r="AD390" s="135"/>
      <c r="AE390" s="135"/>
      <c r="AF390" s="135"/>
      <c r="AG390" s="135"/>
      <c r="AH390" s="135"/>
      <c r="AI390" s="135"/>
      <c r="AJ390" s="135"/>
      <c r="AK390" s="135"/>
      <c r="AL390" s="135"/>
      <c r="AM390" s="135"/>
      <c r="AN390" s="135"/>
      <c r="AO390" s="135"/>
      <c r="AP390" s="135"/>
      <c r="AQ390" s="135"/>
      <c r="AR390" s="135"/>
      <c r="AS390" s="135"/>
      <c r="AT390" s="135"/>
      <c r="AU390" s="135"/>
      <c r="AV390" s="135"/>
      <c r="AW390" s="135"/>
      <c r="AX390" s="135"/>
      <c r="AY390" s="135"/>
      <c r="AZ390" s="135"/>
      <c r="BA390" s="135"/>
      <c r="BB390" s="135"/>
      <c r="BC390" s="135"/>
      <c r="BD390" s="135"/>
      <c r="BE390" s="135"/>
      <c r="BF390" s="135"/>
      <c r="BG390" s="135"/>
      <c r="BH390" s="135"/>
      <c r="BI390" s="135"/>
      <c r="BJ390" s="135"/>
      <c r="BK390" s="135"/>
      <c r="BL390" s="135"/>
      <c r="BM390" s="135"/>
      <c r="BN390" s="135"/>
      <c r="BO390" s="135"/>
      <c r="BP390" s="135"/>
      <c r="BQ390" s="135"/>
      <c r="BR390" s="135"/>
      <c r="BS390" s="135"/>
      <c r="BT390" s="135"/>
    </row>
    <row r="391" spans="1:72" s="196" customFormat="1">
      <c r="A391" s="135"/>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c r="AA391" s="135"/>
      <c r="AB391" s="135"/>
      <c r="AC391" s="135"/>
      <c r="AD391" s="135"/>
      <c r="AE391" s="135"/>
      <c r="AF391" s="135"/>
      <c r="AG391" s="135"/>
      <c r="AH391" s="135"/>
      <c r="AI391" s="135"/>
      <c r="AJ391" s="135"/>
      <c r="AK391" s="135"/>
      <c r="AL391" s="135"/>
      <c r="AM391" s="135"/>
      <c r="AN391" s="135"/>
      <c r="AO391" s="135"/>
      <c r="AP391" s="135"/>
      <c r="AQ391" s="135"/>
      <c r="AR391" s="135"/>
      <c r="AS391" s="135"/>
      <c r="AT391" s="135"/>
      <c r="AU391" s="135"/>
      <c r="AV391" s="135"/>
      <c r="AW391" s="135"/>
      <c r="AX391" s="135"/>
      <c r="AY391" s="135"/>
      <c r="AZ391" s="135"/>
      <c r="BA391" s="135"/>
      <c r="BB391" s="135"/>
      <c r="BC391" s="135"/>
      <c r="BD391" s="135"/>
      <c r="BE391" s="135"/>
      <c r="BF391" s="135"/>
      <c r="BG391" s="135"/>
      <c r="BH391" s="135"/>
      <c r="BI391" s="135"/>
      <c r="BJ391" s="135"/>
      <c r="BK391" s="135"/>
      <c r="BL391" s="135"/>
      <c r="BM391" s="135"/>
      <c r="BN391" s="135"/>
      <c r="BO391" s="135"/>
      <c r="BP391" s="135"/>
      <c r="BQ391" s="135"/>
      <c r="BR391" s="135"/>
      <c r="BS391" s="135"/>
      <c r="BT391" s="135"/>
    </row>
    <row r="392" spans="1:72" s="196" customFormat="1">
      <c r="A392" s="135"/>
      <c r="B392" s="135"/>
      <c r="C392" s="135"/>
      <c r="D392" s="135"/>
      <c r="E392" s="135"/>
      <c r="F392" s="135"/>
      <c r="G392" s="135"/>
      <c r="H392" s="135"/>
      <c r="I392" s="135"/>
      <c r="J392" s="135"/>
      <c r="K392" s="135"/>
      <c r="L392" s="135"/>
      <c r="M392" s="135"/>
      <c r="N392" s="135"/>
      <c r="O392" s="135"/>
      <c r="P392" s="135"/>
      <c r="Q392" s="135"/>
      <c r="R392" s="135"/>
      <c r="S392" s="135"/>
      <c r="T392" s="135"/>
      <c r="U392" s="135"/>
      <c r="V392" s="135"/>
      <c r="W392" s="135"/>
      <c r="X392" s="135"/>
      <c r="Y392" s="135"/>
      <c r="Z392" s="135"/>
      <c r="AA392" s="135"/>
      <c r="AB392" s="135"/>
      <c r="AC392" s="135"/>
      <c r="AD392" s="135"/>
      <c r="AE392" s="135"/>
      <c r="AF392" s="135"/>
      <c r="AG392" s="135"/>
      <c r="AH392" s="135"/>
      <c r="AI392" s="135"/>
      <c r="AJ392" s="135"/>
      <c r="AK392" s="135"/>
      <c r="AL392" s="135"/>
      <c r="AM392" s="135"/>
      <c r="AN392" s="135"/>
      <c r="AO392" s="135"/>
      <c r="AP392" s="135"/>
      <c r="AQ392" s="135"/>
      <c r="AR392" s="135"/>
      <c r="AS392" s="135"/>
      <c r="AT392" s="135"/>
      <c r="AU392" s="135"/>
      <c r="AV392" s="135"/>
      <c r="AW392" s="135"/>
      <c r="AX392" s="135"/>
      <c r="AY392" s="135"/>
      <c r="AZ392" s="135"/>
      <c r="BA392" s="135"/>
      <c r="BB392" s="135"/>
      <c r="BC392" s="135"/>
      <c r="BD392" s="135"/>
      <c r="BE392" s="135"/>
      <c r="BF392" s="135"/>
      <c r="BG392" s="135"/>
      <c r="BH392" s="135"/>
      <c r="BI392" s="135"/>
      <c r="BJ392" s="135"/>
      <c r="BK392" s="135"/>
      <c r="BL392" s="135"/>
      <c r="BM392" s="135"/>
      <c r="BN392" s="135"/>
      <c r="BO392" s="135"/>
      <c r="BP392" s="135"/>
      <c r="BQ392" s="135"/>
      <c r="BR392" s="135"/>
      <c r="BS392" s="135"/>
      <c r="BT392" s="135"/>
    </row>
    <row r="393" spans="1:72" s="196" customFormat="1">
      <c r="A393" s="135"/>
      <c r="B393" s="135"/>
      <c r="C393" s="135"/>
      <c r="D393" s="135"/>
      <c r="E393" s="135"/>
      <c r="F393" s="135"/>
      <c r="G393" s="135"/>
      <c r="H393" s="135"/>
      <c r="I393" s="135"/>
      <c r="J393" s="135"/>
      <c r="K393" s="135"/>
      <c r="L393" s="135"/>
      <c r="M393" s="135"/>
      <c r="N393" s="135"/>
      <c r="O393" s="135"/>
      <c r="P393" s="135"/>
      <c r="Q393" s="135"/>
      <c r="R393" s="135"/>
      <c r="S393" s="135"/>
      <c r="T393" s="135"/>
      <c r="U393" s="135"/>
      <c r="V393" s="135"/>
      <c r="W393" s="135"/>
      <c r="X393" s="135"/>
      <c r="Y393" s="135"/>
      <c r="Z393" s="135"/>
      <c r="AA393" s="135"/>
      <c r="AB393" s="135"/>
      <c r="AC393" s="135"/>
      <c r="AD393" s="135"/>
      <c r="AE393" s="135"/>
      <c r="AF393" s="135"/>
      <c r="AG393" s="135"/>
      <c r="AH393" s="135"/>
      <c r="AI393" s="135"/>
      <c r="AJ393" s="135"/>
      <c r="AK393" s="135"/>
      <c r="AL393" s="135"/>
      <c r="AM393" s="135"/>
      <c r="AN393" s="135"/>
      <c r="AO393" s="135"/>
      <c r="AP393" s="135"/>
      <c r="AQ393" s="135"/>
      <c r="AR393" s="135"/>
      <c r="AS393" s="135"/>
      <c r="AT393" s="135"/>
      <c r="AU393" s="135"/>
      <c r="AV393" s="135"/>
      <c r="AW393" s="135"/>
      <c r="AX393" s="135"/>
      <c r="AY393" s="135"/>
      <c r="AZ393" s="135"/>
      <c r="BA393" s="135"/>
      <c r="BB393" s="135"/>
      <c r="BC393" s="135"/>
      <c r="BD393" s="135"/>
      <c r="BE393" s="135"/>
      <c r="BF393" s="135"/>
      <c r="BG393" s="135"/>
      <c r="BH393" s="135"/>
      <c r="BI393" s="135"/>
      <c r="BJ393" s="135"/>
      <c r="BK393" s="135"/>
      <c r="BL393" s="135"/>
      <c r="BM393" s="135"/>
      <c r="BN393" s="135"/>
      <c r="BO393" s="135"/>
      <c r="BP393" s="135"/>
      <c r="BQ393" s="135"/>
      <c r="BR393" s="135"/>
      <c r="BS393" s="135"/>
      <c r="BT393" s="135"/>
    </row>
    <row r="394" spans="1:72" s="196" customFormat="1">
      <c r="A394" s="135"/>
      <c r="B394" s="135"/>
      <c r="C394" s="135"/>
      <c r="D394" s="135"/>
      <c r="E394" s="135"/>
      <c r="F394" s="135"/>
      <c r="G394" s="135"/>
      <c r="H394" s="135"/>
      <c r="I394" s="135"/>
      <c r="J394" s="135"/>
      <c r="K394" s="135"/>
      <c r="L394" s="135"/>
      <c r="M394" s="135"/>
      <c r="N394" s="135"/>
      <c r="O394" s="135"/>
      <c r="P394" s="135"/>
      <c r="Q394" s="135"/>
      <c r="R394" s="135"/>
      <c r="S394" s="135"/>
      <c r="T394" s="135"/>
      <c r="U394" s="135"/>
      <c r="V394" s="135"/>
      <c r="W394" s="135"/>
      <c r="X394" s="135"/>
      <c r="Y394" s="135"/>
      <c r="Z394" s="135"/>
      <c r="AA394" s="135"/>
      <c r="AB394" s="135"/>
      <c r="AC394" s="135"/>
      <c r="AD394" s="135"/>
      <c r="AE394" s="135"/>
      <c r="AF394" s="135"/>
      <c r="AG394" s="135"/>
      <c r="AH394" s="135"/>
      <c r="AI394" s="135"/>
      <c r="AJ394" s="135"/>
      <c r="AK394" s="135"/>
      <c r="AL394" s="135"/>
      <c r="AM394" s="135"/>
      <c r="AN394" s="135"/>
      <c r="AO394" s="135"/>
      <c r="AP394" s="135"/>
      <c r="AQ394" s="135"/>
      <c r="AR394" s="135"/>
      <c r="AS394" s="135"/>
      <c r="AT394" s="135"/>
      <c r="AU394" s="135"/>
      <c r="AV394" s="135"/>
      <c r="AW394" s="135"/>
      <c r="AX394" s="135"/>
      <c r="AY394" s="135"/>
      <c r="AZ394" s="135"/>
      <c r="BA394" s="135"/>
      <c r="BB394" s="135"/>
      <c r="BC394" s="135"/>
      <c r="BD394" s="135"/>
      <c r="BE394" s="135"/>
      <c r="BF394" s="135"/>
      <c r="BG394" s="135"/>
      <c r="BH394" s="135"/>
      <c r="BI394" s="135"/>
      <c r="BJ394" s="135"/>
      <c r="BK394" s="135"/>
      <c r="BL394" s="135"/>
      <c r="BM394" s="135"/>
      <c r="BN394" s="135"/>
      <c r="BO394" s="135"/>
      <c r="BP394" s="135"/>
      <c r="BQ394" s="135"/>
      <c r="BR394" s="135"/>
      <c r="BS394" s="135"/>
      <c r="BT394" s="135"/>
    </row>
    <row r="395" spans="1:72" s="196" customFormat="1">
      <c r="A395" s="135"/>
      <c r="B395" s="135"/>
      <c r="C395" s="135"/>
      <c r="D395" s="135"/>
      <c r="E395" s="135"/>
      <c r="F395" s="135"/>
      <c r="G395" s="135"/>
      <c r="H395" s="135"/>
      <c r="I395" s="135"/>
      <c r="J395" s="135"/>
      <c r="K395" s="135"/>
      <c r="L395" s="135"/>
      <c r="M395" s="135"/>
      <c r="N395" s="135"/>
      <c r="O395" s="135"/>
      <c r="P395" s="135"/>
      <c r="Q395" s="135"/>
      <c r="R395" s="135"/>
      <c r="S395" s="135"/>
      <c r="T395" s="135"/>
      <c r="U395" s="135"/>
      <c r="V395" s="135"/>
      <c r="W395" s="135"/>
      <c r="X395" s="135"/>
      <c r="Y395" s="135"/>
      <c r="Z395" s="135"/>
      <c r="AA395" s="135"/>
      <c r="AB395" s="135"/>
      <c r="AC395" s="135"/>
      <c r="AD395" s="135"/>
      <c r="AE395" s="135"/>
      <c r="AF395" s="135"/>
      <c r="AG395" s="135"/>
      <c r="AH395" s="135"/>
      <c r="AI395" s="135"/>
      <c r="AJ395" s="135"/>
      <c r="AK395" s="135"/>
      <c r="AL395" s="135"/>
      <c r="AM395" s="135"/>
      <c r="AN395" s="135"/>
      <c r="AO395" s="135"/>
      <c r="AP395" s="135"/>
      <c r="AQ395" s="135"/>
      <c r="AR395" s="135"/>
      <c r="AS395" s="135"/>
      <c r="AT395" s="135"/>
      <c r="AU395" s="135"/>
      <c r="AV395" s="135"/>
      <c r="AW395" s="135"/>
      <c r="AX395" s="135"/>
      <c r="AY395" s="135"/>
      <c r="AZ395" s="135"/>
      <c r="BA395" s="135"/>
      <c r="BB395" s="135"/>
      <c r="BC395" s="135"/>
      <c r="BD395" s="135"/>
      <c r="BE395" s="135"/>
      <c r="BF395" s="135"/>
      <c r="BG395" s="135"/>
      <c r="BH395" s="135"/>
      <c r="BI395" s="135"/>
      <c r="BJ395" s="135"/>
      <c r="BK395" s="135"/>
      <c r="BL395" s="135"/>
      <c r="BM395" s="135"/>
      <c r="BN395" s="135"/>
      <c r="BO395" s="135"/>
      <c r="BP395" s="135"/>
      <c r="BQ395" s="135"/>
      <c r="BR395" s="135"/>
      <c r="BS395" s="135"/>
      <c r="BT395" s="135"/>
    </row>
    <row r="396" spans="1:72" s="196" customFormat="1">
      <c r="A396" s="135"/>
      <c r="B396" s="135"/>
      <c r="C396" s="135"/>
      <c r="D396" s="135"/>
      <c r="E396" s="135"/>
      <c r="F396" s="135"/>
      <c r="G396" s="135"/>
      <c r="H396" s="135"/>
      <c r="I396" s="135"/>
      <c r="J396" s="135"/>
      <c r="K396" s="135"/>
      <c r="L396" s="135"/>
      <c r="M396" s="135"/>
      <c r="N396" s="135"/>
      <c r="O396" s="135"/>
      <c r="P396" s="135"/>
      <c r="Q396" s="135"/>
      <c r="R396" s="135"/>
      <c r="S396" s="135"/>
      <c r="T396" s="135"/>
      <c r="U396" s="135"/>
      <c r="V396" s="135"/>
      <c r="W396" s="135"/>
      <c r="X396" s="135"/>
      <c r="Y396" s="135"/>
      <c r="Z396" s="135"/>
      <c r="AA396" s="135"/>
      <c r="AB396" s="135"/>
      <c r="AC396" s="135"/>
      <c r="AD396" s="135"/>
      <c r="AE396" s="135"/>
      <c r="AF396" s="135"/>
      <c r="AG396" s="135"/>
      <c r="AH396" s="135"/>
      <c r="AI396" s="135"/>
      <c r="AJ396" s="135"/>
      <c r="AK396" s="135"/>
      <c r="AL396" s="135"/>
      <c r="AM396" s="135"/>
      <c r="AN396" s="135"/>
      <c r="AO396" s="135"/>
      <c r="AP396" s="135"/>
      <c r="AQ396" s="135"/>
      <c r="AR396" s="135"/>
      <c r="AS396" s="135"/>
      <c r="AT396" s="135"/>
      <c r="AU396" s="135"/>
      <c r="AV396" s="135"/>
      <c r="AW396" s="135"/>
      <c r="AX396" s="135"/>
      <c r="AY396" s="135"/>
      <c r="AZ396" s="135"/>
      <c r="BA396" s="135"/>
      <c r="BB396" s="135"/>
      <c r="BC396" s="135"/>
      <c r="BD396" s="135"/>
      <c r="BE396" s="135"/>
      <c r="BF396" s="135"/>
      <c r="BG396" s="135"/>
      <c r="BH396" s="135"/>
      <c r="BI396" s="135"/>
      <c r="BJ396" s="135"/>
      <c r="BK396" s="135"/>
      <c r="BL396" s="135"/>
      <c r="BM396" s="135"/>
      <c r="BN396" s="135"/>
      <c r="BO396" s="135"/>
      <c r="BP396" s="135"/>
      <c r="BQ396" s="135"/>
      <c r="BR396" s="135"/>
      <c r="BS396" s="135"/>
      <c r="BT396" s="135"/>
    </row>
    <row r="397" spans="1:72" s="196" customFormat="1">
      <c r="A397" s="135"/>
      <c r="B397" s="135"/>
      <c r="C397" s="135"/>
      <c r="D397" s="135"/>
      <c r="E397" s="135"/>
      <c r="F397" s="135"/>
      <c r="G397" s="135"/>
      <c r="H397" s="135"/>
      <c r="I397" s="135"/>
      <c r="J397" s="135"/>
      <c r="K397" s="135"/>
      <c r="L397" s="135"/>
      <c r="M397" s="135"/>
      <c r="N397" s="135"/>
      <c r="O397" s="135"/>
      <c r="P397" s="135"/>
      <c r="Q397" s="135"/>
      <c r="R397" s="135"/>
      <c r="S397" s="135"/>
      <c r="T397" s="135"/>
      <c r="U397" s="135"/>
      <c r="V397" s="135"/>
      <c r="W397" s="135"/>
      <c r="X397" s="135"/>
      <c r="Y397" s="135"/>
      <c r="Z397" s="135"/>
      <c r="AA397" s="135"/>
      <c r="AB397" s="135"/>
      <c r="AC397" s="135"/>
      <c r="AD397" s="135"/>
      <c r="AE397" s="135"/>
      <c r="AF397" s="135"/>
      <c r="AG397" s="135"/>
      <c r="AH397" s="135"/>
      <c r="AI397" s="135"/>
      <c r="AJ397" s="135"/>
      <c r="AK397" s="135"/>
      <c r="AL397" s="135"/>
      <c r="AM397" s="135"/>
      <c r="AN397" s="135"/>
      <c r="AO397" s="135"/>
      <c r="AP397" s="135"/>
      <c r="AQ397" s="135"/>
      <c r="AR397" s="135"/>
      <c r="AS397" s="135"/>
      <c r="AT397" s="135"/>
      <c r="AU397" s="135"/>
      <c r="AV397" s="135"/>
      <c r="AW397" s="135"/>
      <c r="AX397" s="135"/>
      <c r="AY397" s="135"/>
      <c r="AZ397" s="135"/>
      <c r="BA397" s="135"/>
      <c r="BB397" s="135"/>
      <c r="BC397" s="135"/>
      <c r="BD397" s="135"/>
      <c r="BE397" s="135"/>
      <c r="BF397" s="135"/>
      <c r="BG397" s="135"/>
      <c r="BH397" s="135"/>
      <c r="BI397" s="135"/>
      <c r="BJ397" s="135"/>
      <c r="BK397" s="135"/>
      <c r="BL397" s="135"/>
      <c r="BM397" s="135"/>
      <c r="BN397" s="135"/>
      <c r="BO397" s="135"/>
      <c r="BP397" s="135"/>
      <c r="BQ397" s="135"/>
      <c r="BR397" s="135"/>
      <c r="BS397" s="135"/>
      <c r="BT397" s="135"/>
    </row>
    <row r="398" spans="1:72" s="196" customFormat="1">
      <c r="A398" s="135"/>
      <c r="B398" s="135"/>
      <c r="C398" s="135"/>
      <c r="D398" s="135"/>
      <c r="E398" s="135"/>
      <c r="F398" s="135"/>
      <c r="G398" s="135"/>
      <c r="H398" s="135"/>
      <c r="I398" s="135"/>
      <c r="J398" s="135"/>
      <c r="K398" s="135"/>
      <c r="L398" s="135"/>
      <c r="M398" s="135"/>
      <c r="N398" s="135"/>
      <c r="O398" s="135"/>
      <c r="P398" s="135"/>
      <c r="Q398" s="135"/>
      <c r="R398" s="135"/>
      <c r="S398" s="135"/>
      <c r="T398" s="135"/>
      <c r="U398" s="135"/>
      <c r="V398" s="135"/>
      <c r="W398" s="135"/>
      <c r="X398" s="135"/>
      <c r="Y398" s="135"/>
      <c r="Z398" s="135"/>
      <c r="AA398" s="135"/>
      <c r="AB398" s="135"/>
      <c r="AC398" s="135"/>
      <c r="AD398" s="135"/>
      <c r="AE398" s="135"/>
      <c r="AF398" s="135"/>
      <c r="AG398" s="135"/>
      <c r="AH398" s="135"/>
      <c r="AI398" s="135"/>
      <c r="AJ398" s="135"/>
      <c r="AK398" s="135"/>
      <c r="AL398" s="135"/>
      <c r="AM398" s="135"/>
      <c r="AN398" s="135"/>
      <c r="AO398" s="135"/>
      <c r="AP398" s="135"/>
      <c r="AQ398" s="135"/>
      <c r="AR398" s="135"/>
      <c r="AS398" s="135"/>
      <c r="AT398" s="135"/>
      <c r="AU398" s="135"/>
      <c r="AV398" s="135"/>
      <c r="AW398" s="135"/>
      <c r="AX398" s="135"/>
      <c r="AY398" s="135"/>
      <c r="AZ398" s="135"/>
      <c r="BA398" s="135"/>
      <c r="BB398" s="135"/>
      <c r="BC398" s="135"/>
      <c r="BD398" s="135"/>
      <c r="BE398" s="135"/>
      <c r="BF398" s="135"/>
      <c r="BG398" s="135"/>
      <c r="BH398" s="135"/>
      <c r="BI398" s="135"/>
      <c r="BJ398" s="135"/>
      <c r="BK398" s="135"/>
      <c r="BL398" s="135"/>
      <c r="BM398" s="135"/>
      <c r="BN398" s="135"/>
      <c r="BO398" s="135"/>
      <c r="BP398" s="135"/>
      <c r="BQ398" s="135"/>
      <c r="BR398" s="135"/>
      <c r="BS398" s="135"/>
      <c r="BT398" s="135"/>
    </row>
    <row r="399" spans="1:72" s="196" customFormat="1">
      <c r="A399" s="135"/>
      <c r="B399" s="135"/>
      <c r="C399" s="135"/>
      <c r="D399" s="135"/>
      <c r="E399" s="135"/>
      <c r="F399" s="135"/>
      <c r="G399" s="135"/>
      <c r="H399" s="135"/>
      <c r="I399" s="135"/>
      <c r="J399" s="135"/>
      <c r="K399" s="135"/>
      <c r="L399" s="135"/>
      <c r="M399" s="135"/>
      <c r="N399" s="135"/>
      <c r="O399" s="135"/>
      <c r="P399" s="135"/>
      <c r="Q399" s="135"/>
      <c r="R399" s="135"/>
      <c r="S399" s="135"/>
      <c r="T399" s="135"/>
      <c r="U399" s="135"/>
      <c r="V399" s="135"/>
      <c r="W399" s="135"/>
      <c r="X399" s="135"/>
      <c r="Y399" s="135"/>
      <c r="Z399" s="135"/>
      <c r="AA399" s="135"/>
      <c r="AB399" s="135"/>
      <c r="AC399" s="135"/>
      <c r="AD399" s="135"/>
      <c r="AE399" s="135"/>
      <c r="AF399" s="135"/>
      <c r="AG399" s="135"/>
      <c r="AH399" s="135"/>
      <c r="AI399" s="135"/>
      <c r="AJ399" s="135"/>
      <c r="AK399" s="135"/>
      <c r="AL399" s="135"/>
      <c r="AM399" s="135"/>
      <c r="AN399" s="135"/>
      <c r="AO399" s="135"/>
      <c r="AP399" s="135"/>
      <c r="AQ399" s="135"/>
      <c r="AR399" s="135"/>
      <c r="AS399" s="135"/>
      <c r="AT399" s="135"/>
      <c r="AU399" s="135"/>
      <c r="AV399" s="135"/>
      <c r="AW399" s="135"/>
      <c r="AX399" s="135"/>
      <c r="AY399" s="135"/>
      <c r="AZ399" s="135"/>
      <c r="BA399" s="135"/>
      <c r="BB399" s="135"/>
      <c r="BC399" s="135"/>
      <c r="BD399" s="135"/>
      <c r="BE399" s="135"/>
      <c r="BF399" s="135"/>
      <c r="BG399" s="135"/>
      <c r="BH399" s="135"/>
      <c r="BI399" s="135"/>
      <c r="BJ399" s="135"/>
      <c r="BK399" s="135"/>
      <c r="BL399" s="135"/>
      <c r="BM399" s="135"/>
      <c r="BN399" s="135"/>
      <c r="BO399" s="135"/>
      <c r="BP399" s="135"/>
      <c r="BQ399" s="135"/>
      <c r="BR399" s="135"/>
      <c r="BS399" s="135"/>
      <c r="BT399" s="135"/>
    </row>
    <row r="400" spans="1:72" s="196" customFormat="1">
      <c r="A400" s="135"/>
      <c r="B400" s="135"/>
      <c r="C400" s="135"/>
      <c r="D400" s="135"/>
      <c r="E400" s="135"/>
      <c r="F400" s="135"/>
      <c r="G400" s="135"/>
      <c r="H400" s="135"/>
      <c r="I400" s="135"/>
      <c r="J400" s="135"/>
      <c r="K400" s="135"/>
      <c r="L400" s="135"/>
      <c r="M400" s="135"/>
      <c r="N400" s="135"/>
      <c r="O400" s="135"/>
      <c r="P400" s="135"/>
      <c r="Q400" s="135"/>
      <c r="R400" s="135"/>
      <c r="S400" s="135"/>
      <c r="T400" s="135"/>
      <c r="U400" s="135"/>
      <c r="V400" s="135"/>
      <c r="W400" s="135"/>
      <c r="X400" s="135"/>
      <c r="Y400" s="135"/>
      <c r="Z400" s="135"/>
      <c r="AA400" s="135"/>
      <c r="AB400" s="135"/>
      <c r="AC400" s="135"/>
      <c r="AD400" s="135"/>
      <c r="AE400" s="135"/>
      <c r="AF400" s="135"/>
      <c r="AG400" s="135"/>
      <c r="AH400" s="135"/>
      <c r="AI400" s="135"/>
      <c r="AJ400" s="135"/>
      <c r="AK400" s="135"/>
      <c r="AL400" s="135"/>
      <c r="AM400" s="135"/>
      <c r="AN400" s="135"/>
      <c r="AO400" s="135"/>
      <c r="AP400" s="135"/>
      <c r="AQ400" s="135"/>
      <c r="AR400" s="135"/>
      <c r="AS400" s="135"/>
      <c r="AT400" s="135"/>
      <c r="AU400" s="135"/>
      <c r="AV400" s="135"/>
      <c r="AW400" s="135"/>
      <c r="AX400" s="135"/>
      <c r="AY400" s="135"/>
      <c r="AZ400" s="135"/>
      <c r="BA400" s="135"/>
      <c r="BB400" s="135"/>
      <c r="BC400" s="135"/>
      <c r="BD400" s="135"/>
      <c r="BE400" s="135"/>
      <c r="BF400" s="135"/>
      <c r="BG400" s="135"/>
      <c r="BH400" s="135"/>
      <c r="BI400" s="135"/>
      <c r="BJ400" s="135"/>
      <c r="BK400" s="135"/>
      <c r="BL400" s="135"/>
      <c r="BM400" s="135"/>
      <c r="BN400" s="135"/>
      <c r="BO400" s="135"/>
      <c r="BP400" s="135"/>
      <c r="BQ400" s="135"/>
      <c r="BR400" s="135"/>
      <c r="BS400" s="135"/>
      <c r="BT400" s="135"/>
    </row>
    <row r="401" spans="1:72" s="196" customFormat="1">
      <c r="A401" s="135"/>
      <c r="B401" s="135"/>
      <c r="C401" s="135"/>
      <c r="D401" s="135"/>
      <c r="E401" s="135"/>
      <c r="F401" s="135"/>
      <c r="G401" s="135"/>
      <c r="H401" s="135"/>
      <c r="I401" s="135"/>
      <c r="J401" s="135"/>
      <c r="K401" s="135"/>
      <c r="L401" s="135"/>
      <c r="M401" s="135"/>
      <c r="N401" s="135"/>
      <c r="O401" s="135"/>
      <c r="P401" s="135"/>
      <c r="Q401" s="135"/>
      <c r="R401" s="135"/>
      <c r="S401" s="135"/>
      <c r="T401" s="135"/>
      <c r="U401" s="135"/>
      <c r="V401" s="135"/>
      <c r="W401" s="135"/>
      <c r="X401" s="135"/>
      <c r="Y401" s="135"/>
      <c r="Z401" s="135"/>
      <c r="AA401" s="135"/>
      <c r="AB401" s="135"/>
      <c r="AC401" s="135"/>
      <c r="AD401" s="135"/>
      <c r="AE401" s="135"/>
      <c r="AF401" s="135"/>
      <c r="AG401" s="135"/>
      <c r="AH401" s="135"/>
      <c r="AI401" s="135"/>
      <c r="AJ401" s="135"/>
      <c r="AK401" s="135"/>
      <c r="AL401" s="135"/>
      <c r="AM401" s="135"/>
      <c r="AN401" s="135"/>
      <c r="AO401" s="135"/>
      <c r="AP401" s="135"/>
      <c r="AQ401" s="135"/>
      <c r="AR401" s="135"/>
      <c r="AS401" s="135"/>
      <c r="AT401" s="135"/>
      <c r="AU401" s="135"/>
      <c r="AV401" s="135"/>
      <c r="AW401" s="135"/>
      <c r="AX401" s="135"/>
      <c r="AY401" s="135"/>
      <c r="AZ401" s="135"/>
      <c r="BA401" s="135"/>
      <c r="BB401" s="135"/>
      <c r="BC401" s="135"/>
      <c r="BD401" s="135"/>
      <c r="BE401" s="135"/>
      <c r="BF401" s="135"/>
      <c r="BG401" s="135"/>
      <c r="BH401" s="135"/>
      <c r="BI401" s="135"/>
      <c r="BJ401" s="135"/>
      <c r="BK401" s="135"/>
      <c r="BL401" s="135"/>
      <c r="BM401" s="135"/>
      <c r="BN401" s="135"/>
      <c r="BO401" s="135"/>
      <c r="BP401" s="135"/>
      <c r="BQ401" s="135"/>
      <c r="BR401" s="135"/>
      <c r="BS401" s="135"/>
      <c r="BT401" s="135"/>
    </row>
    <row r="402" spans="1:72" s="196" customFormat="1">
      <c r="A402" s="135"/>
      <c r="B402" s="135"/>
      <c r="C402" s="135"/>
      <c r="D402" s="135"/>
      <c r="E402" s="135"/>
      <c r="F402" s="135"/>
      <c r="G402" s="135"/>
      <c r="H402" s="135"/>
      <c r="I402" s="135"/>
      <c r="J402" s="135"/>
      <c r="K402" s="135"/>
      <c r="L402" s="135"/>
      <c r="M402" s="135"/>
      <c r="N402" s="135"/>
      <c r="O402" s="135"/>
      <c r="P402" s="135"/>
      <c r="Q402" s="135"/>
      <c r="R402" s="135"/>
      <c r="S402" s="135"/>
      <c r="T402" s="135"/>
      <c r="U402" s="135"/>
      <c r="V402" s="135"/>
      <c r="W402" s="135"/>
      <c r="X402" s="135"/>
      <c r="Y402" s="135"/>
      <c r="Z402" s="135"/>
      <c r="AA402" s="135"/>
      <c r="AB402" s="135"/>
      <c r="AC402" s="135"/>
      <c r="AD402" s="135"/>
      <c r="AE402" s="135"/>
      <c r="AF402" s="135"/>
      <c r="AG402" s="135"/>
      <c r="AH402" s="135"/>
      <c r="AI402" s="135"/>
      <c r="AJ402" s="135"/>
      <c r="AK402" s="135"/>
      <c r="AL402" s="135"/>
      <c r="AM402" s="135"/>
      <c r="AN402" s="135"/>
      <c r="AO402" s="135"/>
      <c r="AP402" s="135"/>
      <c r="AQ402" s="135"/>
      <c r="AR402" s="135"/>
      <c r="AS402" s="135"/>
      <c r="AT402" s="135"/>
      <c r="AU402" s="135"/>
      <c r="AV402" s="135"/>
      <c r="AW402" s="135"/>
      <c r="AX402" s="135"/>
      <c r="AY402" s="135"/>
      <c r="AZ402" s="135"/>
      <c r="BA402" s="135"/>
      <c r="BB402" s="135"/>
      <c r="BC402" s="135"/>
      <c r="BD402" s="135"/>
      <c r="BE402" s="135"/>
      <c r="BF402" s="135"/>
      <c r="BG402" s="135"/>
      <c r="BH402" s="135"/>
      <c r="BI402" s="135"/>
      <c r="BJ402" s="135"/>
      <c r="BK402" s="135"/>
      <c r="BL402" s="135"/>
      <c r="BM402" s="135"/>
      <c r="BN402" s="135"/>
      <c r="BO402" s="135"/>
      <c r="BP402" s="135"/>
      <c r="BQ402" s="135"/>
      <c r="BR402" s="135"/>
      <c r="BS402" s="135"/>
      <c r="BT402" s="135"/>
    </row>
    <row r="403" spans="1:72" s="196" customFormat="1">
      <c r="A403" s="135"/>
      <c r="B403" s="135"/>
      <c r="C403" s="135"/>
      <c r="D403" s="135"/>
      <c r="E403" s="135"/>
      <c r="F403" s="135"/>
      <c r="G403" s="135"/>
      <c r="H403" s="135"/>
      <c r="I403" s="135"/>
      <c r="J403" s="135"/>
      <c r="K403" s="135"/>
      <c r="L403" s="135"/>
      <c r="M403" s="135"/>
      <c r="N403" s="135"/>
      <c r="O403" s="135"/>
      <c r="P403" s="135"/>
      <c r="Q403" s="135"/>
      <c r="R403" s="135"/>
      <c r="S403" s="135"/>
      <c r="T403" s="135"/>
      <c r="U403" s="135"/>
      <c r="V403" s="135"/>
      <c r="W403" s="135"/>
      <c r="X403" s="135"/>
      <c r="Y403" s="135"/>
      <c r="Z403" s="135"/>
      <c r="AA403" s="135"/>
      <c r="AB403" s="135"/>
      <c r="AC403" s="135"/>
      <c r="AD403" s="135"/>
      <c r="AE403" s="135"/>
      <c r="AF403" s="135"/>
      <c r="AG403" s="135"/>
      <c r="AH403" s="135"/>
      <c r="AI403" s="135"/>
      <c r="AJ403" s="135"/>
      <c r="AK403" s="135"/>
      <c r="AL403" s="135"/>
      <c r="AM403" s="135"/>
      <c r="AN403" s="135"/>
      <c r="AO403" s="135"/>
      <c r="AP403" s="135"/>
      <c r="AQ403" s="135"/>
      <c r="AR403" s="135"/>
      <c r="AS403" s="135"/>
      <c r="AT403" s="135"/>
      <c r="AU403" s="135"/>
      <c r="AV403" s="135"/>
      <c r="AW403" s="135"/>
      <c r="AX403" s="135"/>
      <c r="AY403" s="135"/>
      <c r="AZ403" s="135"/>
      <c r="BA403" s="135"/>
      <c r="BB403" s="135"/>
      <c r="BC403" s="135"/>
      <c r="BD403" s="135"/>
      <c r="BE403" s="135"/>
      <c r="BF403" s="135"/>
      <c r="BG403" s="135"/>
      <c r="BH403" s="135"/>
      <c r="BI403" s="135"/>
      <c r="BJ403" s="135"/>
      <c r="BK403" s="135"/>
      <c r="BL403" s="135"/>
      <c r="BM403" s="135"/>
      <c r="BN403" s="135"/>
      <c r="BO403" s="135"/>
      <c r="BP403" s="135"/>
      <c r="BQ403" s="135"/>
      <c r="BR403" s="135"/>
      <c r="BS403" s="135"/>
      <c r="BT403" s="135"/>
    </row>
    <row r="404" spans="1:72" s="196" customFormat="1">
      <c r="A404" s="135"/>
      <c r="B404" s="135"/>
      <c r="C404" s="135"/>
      <c r="D404" s="135"/>
      <c r="E404" s="135"/>
      <c r="F404" s="135"/>
      <c r="G404" s="135"/>
      <c r="H404" s="135"/>
      <c r="I404" s="135"/>
      <c r="J404" s="135"/>
      <c r="K404" s="135"/>
      <c r="L404" s="135"/>
      <c r="M404" s="135"/>
      <c r="N404" s="135"/>
      <c r="O404" s="135"/>
      <c r="P404" s="135"/>
      <c r="Q404" s="135"/>
      <c r="R404" s="135"/>
      <c r="S404" s="135"/>
      <c r="T404" s="135"/>
      <c r="U404" s="135"/>
      <c r="V404" s="135"/>
      <c r="W404" s="135"/>
      <c r="X404" s="135"/>
      <c r="Y404" s="135"/>
      <c r="Z404" s="135"/>
      <c r="AA404" s="135"/>
      <c r="AB404" s="135"/>
      <c r="AC404" s="135"/>
      <c r="AD404" s="135"/>
      <c r="AE404" s="135"/>
      <c r="AF404" s="135"/>
      <c r="AG404" s="135"/>
      <c r="AH404" s="135"/>
      <c r="AI404" s="135"/>
      <c r="AJ404" s="135"/>
      <c r="AK404" s="135"/>
      <c r="AL404" s="135"/>
      <c r="AM404" s="135"/>
      <c r="AN404" s="135"/>
      <c r="AO404" s="135"/>
      <c r="AP404" s="135"/>
      <c r="AQ404" s="135"/>
      <c r="AR404" s="135"/>
      <c r="AS404" s="135"/>
      <c r="AT404" s="135"/>
      <c r="AU404" s="135"/>
      <c r="AV404" s="135"/>
      <c r="AW404" s="135"/>
      <c r="AX404" s="135"/>
      <c r="AY404" s="135"/>
      <c r="AZ404" s="135"/>
      <c r="BA404" s="135"/>
      <c r="BB404" s="135"/>
      <c r="BC404" s="135"/>
      <c r="BD404" s="135"/>
      <c r="BE404" s="135"/>
      <c r="BF404" s="135"/>
      <c r="BG404" s="135"/>
      <c r="BH404" s="135"/>
      <c r="BI404" s="135"/>
      <c r="BJ404" s="135"/>
      <c r="BK404" s="135"/>
      <c r="BL404" s="135"/>
      <c r="BM404" s="135"/>
      <c r="BN404" s="135"/>
      <c r="BO404" s="135"/>
      <c r="BP404" s="135"/>
      <c r="BQ404" s="135"/>
      <c r="BR404" s="135"/>
      <c r="BS404" s="135"/>
      <c r="BT404" s="135"/>
    </row>
    <row r="405" spans="1:72" s="196" customFormat="1">
      <c r="A405" s="135"/>
      <c r="B405" s="135"/>
      <c r="C405" s="135"/>
      <c r="D405" s="135"/>
      <c r="E405" s="135"/>
      <c r="F405" s="135"/>
      <c r="G405" s="135"/>
      <c r="H405" s="135"/>
      <c r="I405" s="135"/>
      <c r="J405" s="135"/>
      <c r="K405" s="135"/>
      <c r="L405" s="135"/>
      <c r="M405" s="135"/>
      <c r="N405" s="135"/>
      <c r="O405" s="135"/>
      <c r="P405" s="135"/>
      <c r="Q405" s="135"/>
      <c r="R405" s="135"/>
      <c r="S405" s="135"/>
      <c r="T405" s="135"/>
      <c r="U405" s="135"/>
      <c r="V405" s="135"/>
      <c r="W405" s="135"/>
      <c r="X405" s="135"/>
      <c r="Y405" s="135"/>
      <c r="Z405" s="135"/>
      <c r="AA405" s="135"/>
      <c r="AB405" s="135"/>
      <c r="AC405" s="135"/>
      <c r="AD405" s="135"/>
      <c r="AE405" s="135"/>
      <c r="AF405" s="135"/>
      <c r="AG405" s="135"/>
      <c r="AH405" s="135"/>
      <c r="AI405" s="135"/>
      <c r="AJ405" s="135"/>
      <c r="AK405" s="135"/>
      <c r="AL405" s="135"/>
      <c r="AM405" s="135"/>
      <c r="AN405" s="135"/>
      <c r="AO405" s="135"/>
      <c r="AP405" s="135"/>
      <c r="AQ405" s="135"/>
      <c r="AR405" s="135"/>
      <c r="AS405" s="135"/>
      <c r="AT405" s="135"/>
      <c r="AU405" s="135"/>
      <c r="AV405" s="135"/>
      <c r="AW405" s="135"/>
      <c r="AX405" s="135"/>
      <c r="AY405" s="135"/>
      <c r="AZ405" s="135"/>
      <c r="BA405" s="135"/>
      <c r="BB405" s="135"/>
      <c r="BC405" s="135"/>
      <c r="BD405" s="135"/>
      <c r="BE405" s="135"/>
      <c r="BF405" s="135"/>
      <c r="BG405" s="135"/>
      <c r="BH405" s="135"/>
      <c r="BI405" s="135"/>
      <c r="BJ405" s="135"/>
      <c r="BK405" s="135"/>
      <c r="BL405" s="135"/>
      <c r="BM405" s="135"/>
      <c r="BN405" s="135"/>
      <c r="BO405" s="135"/>
      <c r="BP405" s="135"/>
      <c r="BQ405" s="135"/>
      <c r="BR405" s="135"/>
      <c r="BS405" s="135"/>
      <c r="BT405" s="135"/>
    </row>
    <row r="406" spans="1:72" s="196" customFormat="1">
      <c r="A406" s="135"/>
      <c r="B406" s="135"/>
      <c r="C406" s="135"/>
      <c r="D406" s="135"/>
      <c r="E406" s="135"/>
      <c r="F406" s="135"/>
      <c r="G406" s="135"/>
      <c r="H406" s="135"/>
      <c r="I406" s="135"/>
      <c r="J406" s="135"/>
      <c r="K406" s="135"/>
      <c r="L406" s="135"/>
      <c r="M406" s="135"/>
      <c r="N406" s="135"/>
      <c r="O406" s="135"/>
      <c r="P406" s="135"/>
      <c r="Q406" s="135"/>
      <c r="R406" s="135"/>
      <c r="S406" s="135"/>
      <c r="T406" s="135"/>
      <c r="U406" s="135"/>
      <c r="V406" s="135"/>
      <c r="W406" s="135"/>
      <c r="X406" s="135"/>
      <c r="Y406" s="135"/>
      <c r="Z406" s="135"/>
      <c r="AA406" s="135"/>
      <c r="AB406" s="135"/>
      <c r="AC406" s="135"/>
      <c r="AD406" s="135"/>
      <c r="AE406" s="135"/>
      <c r="AF406" s="135"/>
      <c r="AG406" s="135"/>
      <c r="AH406" s="135"/>
      <c r="AI406" s="135"/>
      <c r="AJ406" s="135"/>
      <c r="AK406" s="135"/>
      <c r="AL406" s="135"/>
      <c r="AM406" s="135"/>
      <c r="AN406" s="135"/>
      <c r="AO406" s="135"/>
      <c r="AP406" s="135"/>
      <c r="AQ406" s="135"/>
      <c r="AR406" s="135"/>
      <c r="AS406" s="135"/>
      <c r="AT406" s="135"/>
      <c r="AU406" s="135"/>
      <c r="AV406" s="135"/>
      <c r="AW406" s="135"/>
      <c r="AX406" s="135"/>
      <c r="AY406" s="135"/>
      <c r="AZ406" s="135"/>
      <c r="BA406" s="135"/>
      <c r="BB406" s="135"/>
      <c r="BC406" s="135"/>
      <c r="BD406" s="135"/>
      <c r="BE406" s="135"/>
      <c r="BF406" s="135"/>
      <c r="BG406" s="135"/>
      <c r="BH406" s="135"/>
      <c r="BI406" s="135"/>
      <c r="BJ406" s="135"/>
      <c r="BK406" s="135"/>
      <c r="BL406" s="135"/>
      <c r="BM406" s="135"/>
      <c r="BN406" s="135"/>
      <c r="BO406" s="135"/>
      <c r="BP406" s="135"/>
      <c r="BQ406" s="135"/>
      <c r="BR406" s="135"/>
      <c r="BS406" s="135"/>
      <c r="BT406" s="135"/>
    </row>
    <row r="407" spans="1:72" s="196" customFormat="1">
      <c r="A407" s="135"/>
      <c r="B407" s="135"/>
      <c r="C407" s="135"/>
      <c r="D407" s="135"/>
      <c r="E407" s="135"/>
      <c r="F407" s="135"/>
      <c r="G407" s="135"/>
      <c r="H407" s="135"/>
      <c r="I407" s="135"/>
      <c r="J407" s="135"/>
      <c r="K407" s="135"/>
      <c r="L407" s="135"/>
      <c r="M407" s="135"/>
      <c r="N407" s="135"/>
      <c r="O407" s="135"/>
      <c r="P407" s="135"/>
      <c r="Q407" s="135"/>
      <c r="R407" s="135"/>
      <c r="S407" s="135"/>
      <c r="T407" s="135"/>
      <c r="U407" s="135"/>
      <c r="V407" s="135"/>
      <c r="W407" s="135"/>
      <c r="X407" s="135"/>
      <c r="Y407" s="135"/>
      <c r="Z407" s="135"/>
      <c r="AA407" s="135"/>
      <c r="AB407" s="135"/>
      <c r="AC407" s="135"/>
      <c r="AD407" s="135"/>
      <c r="AE407" s="135"/>
      <c r="AF407" s="135"/>
      <c r="AG407" s="135"/>
      <c r="AH407" s="135"/>
      <c r="AI407" s="135"/>
      <c r="AJ407" s="135"/>
      <c r="AK407" s="135"/>
      <c r="AL407" s="135"/>
      <c r="AM407" s="135"/>
      <c r="AN407" s="135"/>
      <c r="AO407" s="135"/>
      <c r="AP407" s="135"/>
      <c r="AQ407" s="135"/>
      <c r="AR407" s="135"/>
      <c r="AS407" s="135"/>
      <c r="AT407" s="135"/>
      <c r="AU407" s="135"/>
      <c r="AV407" s="135"/>
      <c r="AW407" s="135"/>
      <c r="AX407" s="135"/>
      <c r="AY407" s="135"/>
      <c r="AZ407" s="135"/>
      <c r="BA407" s="135"/>
      <c r="BB407" s="135"/>
      <c r="BC407" s="135"/>
      <c r="BD407" s="135"/>
      <c r="BE407" s="135"/>
      <c r="BF407" s="135"/>
      <c r="BG407" s="135"/>
      <c r="BH407" s="135"/>
      <c r="BI407" s="135"/>
      <c r="BJ407" s="135"/>
      <c r="BK407" s="135"/>
      <c r="BL407" s="135"/>
      <c r="BM407" s="135"/>
      <c r="BN407" s="135"/>
      <c r="BO407" s="135"/>
      <c r="BP407" s="135"/>
      <c r="BQ407" s="135"/>
      <c r="BR407" s="135"/>
      <c r="BS407" s="135"/>
      <c r="BT407" s="135"/>
    </row>
    <row r="408" spans="1:72" s="196" customFormat="1">
      <c r="A408" s="135"/>
      <c r="B408" s="135"/>
      <c r="C408" s="135"/>
      <c r="D408" s="135"/>
      <c r="E408" s="135"/>
      <c r="F408" s="135"/>
      <c r="G408" s="135"/>
      <c r="H408" s="135"/>
      <c r="I408" s="135"/>
      <c r="J408" s="135"/>
      <c r="K408" s="135"/>
      <c r="L408" s="135"/>
      <c r="M408" s="135"/>
      <c r="N408" s="135"/>
      <c r="O408" s="135"/>
      <c r="P408" s="135"/>
      <c r="Q408" s="135"/>
      <c r="R408" s="135"/>
      <c r="S408" s="135"/>
      <c r="T408" s="135"/>
      <c r="U408" s="135"/>
      <c r="V408" s="135"/>
      <c r="W408" s="135"/>
      <c r="X408" s="135"/>
      <c r="Y408" s="135"/>
      <c r="Z408" s="135"/>
      <c r="AA408" s="135"/>
      <c r="AB408" s="135"/>
      <c r="AC408" s="135"/>
      <c r="AD408" s="135"/>
      <c r="AE408" s="135"/>
      <c r="AF408" s="135"/>
      <c r="AG408" s="135"/>
      <c r="AH408" s="135"/>
      <c r="AI408" s="135"/>
      <c r="AJ408" s="135"/>
      <c r="AK408" s="135"/>
      <c r="AL408" s="135"/>
      <c r="AM408" s="135"/>
      <c r="AN408" s="135"/>
      <c r="AO408" s="135"/>
      <c r="AP408" s="135"/>
      <c r="AQ408" s="135"/>
      <c r="AR408" s="135"/>
      <c r="AS408" s="135"/>
      <c r="AT408" s="135"/>
      <c r="AU408" s="135"/>
      <c r="AV408" s="135"/>
      <c r="AW408" s="135"/>
      <c r="AX408" s="135"/>
      <c r="AY408" s="135"/>
      <c r="AZ408" s="135"/>
      <c r="BA408" s="135"/>
      <c r="BB408" s="135"/>
      <c r="BC408" s="135"/>
      <c r="BD408" s="135"/>
      <c r="BE408" s="135"/>
      <c r="BF408" s="135"/>
      <c r="BG408" s="135"/>
      <c r="BH408" s="135"/>
      <c r="BI408" s="135"/>
      <c r="BJ408" s="135"/>
      <c r="BK408" s="135"/>
      <c r="BL408" s="135"/>
      <c r="BM408" s="135"/>
      <c r="BN408" s="135"/>
      <c r="BO408" s="135"/>
      <c r="BP408" s="135"/>
      <c r="BQ408" s="135"/>
      <c r="BR408" s="135"/>
      <c r="BS408" s="135"/>
      <c r="BT408" s="135"/>
    </row>
    <row r="409" spans="1:72" s="196" customFormat="1">
      <c r="A409" s="135"/>
      <c r="B409" s="135"/>
      <c r="C409" s="135"/>
      <c r="D409" s="135"/>
      <c r="E409" s="135"/>
      <c r="F409" s="135"/>
      <c r="G409" s="135"/>
      <c r="H409" s="135"/>
      <c r="I409" s="135"/>
      <c r="J409" s="135"/>
      <c r="K409" s="135"/>
      <c r="L409" s="135"/>
      <c r="M409" s="135"/>
      <c r="N409" s="135"/>
      <c r="O409" s="135"/>
      <c r="P409" s="135"/>
      <c r="Q409" s="135"/>
      <c r="R409" s="135"/>
      <c r="S409" s="135"/>
      <c r="T409" s="135"/>
      <c r="U409" s="135"/>
      <c r="V409" s="135"/>
      <c r="W409" s="135"/>
      <c r="X409" s="135"/>
      <c r="Y409" s="135"/>
      <c r="Z409" s="135"/>
      <c r="AA409" s="135"/>
      <c r="AB409" s="135"/>
      <c r="AC409" s="135"/>
      <c r="AD409" s="135"/>
      <c r="AE409" s="135"/>
      <c r="AF409" s="135"/>
      <c r="AG409" s="135"/>
      <c r="AH409" s="135"/>
      <c r="AI409" s="135"/>
      <c r="AJ409" s="135"/>
      <c r="AK409" s="135"/>
      <c r="AL409" s="135"/>
      <c r="AM409" s="135"/>
      <c r="AN409" s="135"/>
      <c r="AO409" s="135"/>
      <c r="AP409" s="135"/>
      <c r="AQ409" s="135"/>
      <c r="AR409" s="135"/>
      <c r="AS409" s="135"/>
      <c r="AT409" s="135"/>
      <c r="AU409" s="135"/>
      <c r="AV409" s="135"/>
      <c r="AW409" s="135"/>
      <c r="AX409" s="135"/>
      <c r="AY409" s="135"/>
      <c r="AZ409" s="135"/>
      <c r="BA409" s="135"/>
      <c r="BB409" s="135"/>
      <c r="BC409" s="135"/>
      <c r="BD409" s="135"/>
      <c r="BE409" s="135"/>
      <c r="BF409" s="135"/>
      <c r="BG409" s="135"/>
      <c r="BH409" s="135"/>
      <c r="BI409" s="135"/>
      <c r="BJ409" s="135"/>
      <c r="BK409" s="135"/>
      <c r="BL409" s="135"/>
      <c r="BM409" s="135"/>
      <c r="BN409" s="135"/>
      <c r="BO409" s="135"/>
      <c r="BP409" s="135"/>
      <c r="BQ409" s="135"/>
      <c r="BR409" s="135"/>
      <c r="BS409" s="135"/>
      <c r="BT409" s="135"/>
    </row>
    <row r="410" spans="1:72" s="196" customFormat="1">
      <c r="A410" s="135"/>
      <c r="B410" s="135"/>
      <c r="C410" s="135"/>
      <c r="D410" s="135"/>
      <c r="E410" s="135"/>
      <c r="F410" s="135"/>
      <c r="G410" s="135"/>
      <c r="H410" s="135"/>
      <c r="I410" s="135"/>
      <c r="J410" s="135"/>
      <c r="K410" s="135"/>
      <c r="L410" s="135"/>
      <c r="M410" s="135"/>
      <c r="N410" s="135"/>
      <c r="O410" s="135"/>
      <c r="P410" s="135"/>
      <c r="Q410" s="135"/>
      <c r="R410" s="135"/>
      <c r="S410" s="135"/>
      <c r="T410" s="135"/>
      <c r="U410" s="135"/>
      <c r="V410" s="135"/>
      <c r="W410" s="135"/>
      <c r="X410" s="135"/>
      <c r="Y410" s="135"/>
      <c r="Z410" s="135"/>
      <c r="AA410" s="135"/>
      <c r="AB410" s="135"/>
      <c r="AC410" s="135"/>
      <c r="AD410" s="135"/>
      <c r="AE410" s="135"/>
      <c r="AF410" s="135"/>
      <c r="AG410" s="135"/>
      <c r="AH410" s="135"/>
      <c r="AI410" s="135"/>
      <c r="AJ410" s="135"/>
      <c r="AK410" s="135"/>
      <c r="AL410" s="135"/>
      <c r="AM410" s="135"/>
      <c r="AN410" s="135"/>
      <c r="AO410" s="135"/>
      <c r="AP410" s="135"/>
      <c r="AQ410" s="135"/>
      <c r="AR410" s="135"/>
      <c r="AS410" s="135"/>
      <c r="AT410" s="135"/>
      <c r="AU410" s="135"/>
      <c r="AV410" s="135"/>
      <c r="AW410" s="135"/>
      <c r="AX410" s="135"/>
      <c r="AY410" s="135"/>
      <c r="AZ410" s="135"/>
      <c r="BA410" s="135"/>
      <c r="BB410" s="135"/>
      <c r="BC410" s="135"/>
      <c r="BD410" s="135"/>
      <c r="BE410" s="135"/>
      <c r="BF410" s="135"/>
      <c r="BG410" s="135"/>
      <c r="BH410" s="135"/>
      <c r="BI410" s="135"/>
      <c r="BJ410" s="135"/>
      <c r="BK410" s="135"/>
      <c r="BL410" s="135"/>
      <c r="BM410" s="135"/>
      <c r="BN410" s="135"/>
      <c r="BO410" s="135"/>
      <c r="BP410" s="135"/>
      <c r="BQ410" s="135"/>
      <c r="BR410" s="135"/>
      <c r="BS410" s="135"/>
      <c r="BT410" s="135"/>
    </row>
    <row r="411" spans="1:72" s="196" customFormat="1">
      <c r="A411" s="135"/>
      <c r="B411" s="135"/>
      <c r="C411" s="135"/>
      <c r="D411" s="135"/>
      <c r="E411" s="135"/>
      <c r="F411" s="135"/>
      <c r="G411" s="135"/>
      <c r="H411" s="135"/>
      <c r="I411" s="135"/>
      <c r="J411" s="135"/>
      <c r="K411" s="135"/>
      <c r="L411" s="135"/>
      <c r="M411" s="135"/>
      <c r="N411" s="135"/>
      <c r="O411" s="135"/>
      <c r="P411" s="135"/>
      <c r="Q411" s="135"/>
      <c r="R411" s="135"/>
      <c r="S411" s="135"/>
      <c r="T411" s="135"/>
      <c r="U411" s="135"/>
      <c r="V411" s="135"/>
      <c r="W411" s="135"/>
      <c r="X411" s="135"/>
      <c r="Y411" s="135"/>
      <c r="Z411" s="135"/>
      <c r="AA411" s="135"/>
      <c r="AB411" s="135"/>
      <c r="AC411" s="135"/>
      <c r="AD411" s="135"/>
      <c r="AE411" s="135"/>
      <c r="AF411" s="135"/>
      <c r="AG411" s="135"/>
      <c r="AH411" s="135"/>
      <c r="AI411" s="135"/>
      <c r="AJ411" s="135"/>
      <c r="AK411" s="135"/>
      <c r="AL411" s="135"/>
      <c r="AM411" s="135"/>
      <c r="AN411" s="135"/>
      <c r="AO411" s="135"/>
      <c r="AP411" s="135"/>
      <c r="AQ411" s="135"/>
      <c r="AR411" s="135"/>
      <c r="AS411" s="135"/>
      <c r="AT411" s="135"/>
      <c r="AU411" s="135"/>
      <c r="AV411" s="135"/>
      <c r="AW411" s="135"/>
      <c r="AX411" s="135"/>
      <c r="AY411" s="135"/>
      <c r="AZ411" s="135"/>
      <c r="BA411" s="135"/>
      <c r="BB411" s="135"/>
      <c r="BC411" s="135"/>
      <c r="BD411" s="135"/>
      <c r="BE411" s="135"/>
      <c r="BF411" s="135"/>
      <c r="BG411" s="135"/>
      <c r="BH411" s="135"/>
      <c r="BI411" s="135"/>
      <c r="BJ411" s="135"/>
      <c r="BK411" s="135"/>
      <c r="BL411" s="135"/>
      <c r="BM411" s="135"/>
      <c r="BN411" s="135"/>
      <c r="BO411" s="135"/>
      <c r="BP411" s="135"/>
      <c r="BQ411" s="135"/>
      <c r="BR411" s="135"/>
      <c r="BS411" s="135"/>
      <c r="BT411" s="135"/>
    </row>
    <row r="412" spans="1:72" s="196" customFormat="1">
      <c r="A412" s="135"/>
      <c r="B412" s="135"/>
      <c r="C412" s="135"/>
      <c r="D412" s="135"/>
      <c r="E412" s="135"/>
      <c r="F412" s="135"/>
      <c r="G412" s="135"/>
      <c r="H412" s="135"/>
      <c r="I412" s="135"/>
      <c r="J412" s="135"/>
      <c r="K412" s="135"/>
      <c r="L412" s="135"/>
      <c r="M412" s="135"/>
      <c r="N412" s="135"/>
      <c r="O412" s="135"/>
      <c r="P412" s="135"/>
      <c r="Q412" s="135"/>
      <c r="R412" s="135"/>
      <c r="S412" s="135"/>
      <c r="T412" s="135"/>
      <c r="U412" s="135"/>
      <c r="V412" s="135"/>
      <c r="W412" s="135"/>
      <c r="X412" s="135"/>
      <c r="Y412" s="135"/>
      <c r="Z412" s="135"/>
      <c r="AA412" s="135"/>
      <c r="AB412" s="135"/>
      <c r="AC412" s="135"/>
      <c r="AD412" s="135"/>
      <c r="AE412" s="135"/>
      <c r="AF412" s="135"/>
      <c r="AG412" s="135"/>
      <c r="AH412" s="135"/>
      <c r="AI412" s="135"/>
      <c r="AJ412" s="135"/>
      <c r="AK412" s="135"/>
      <c r="AL412" s="135"/>
      <c r="AM412" s="135"/>
      <c r="AN412" s="135"/>
      <c r="AO412" s="135"/>
      <c r="AP412" s="135"/>
      <c r="AQ412" s="135"/>
      <c r="AR412" s="135"/>
      <c r="AS412" s="135"/>
      <c r="AT412" s="135"/>
      <c r="AU412" s="135"/>
      <c r="AV412" s="135"/>
      <c r="AW412" s="135"/>
      <c r="AX412" s="135"/>
      <c r="AY412" s="135"/>
      <c r="AZ412" s="135"/>
      <c r="BA412" s="135"/>
      <c r="BB412" s="135"/>
      <c r="BC412" s="135"/>
      <c r="BD412" s="135"/>
      <c r="BE412" s="135"/>
      <c r="BF412" s="135"/>
      <c r="BG412" s="135"/>
      <c r="BH412" s="135"/>
      <c r="BI412" s="135"/>
      <c r="BJ412" s="135"/>
      <c r="BK412" s="135"/>
      <c r="BL412" s="135"/>
      <c r="BM412" s="135"/>
      <c r="BN412" s="135"/>
      <c r="BO412" s="135"/>
      <c r="BP412" s="135"/>
      <c r="BQ412" s="135"/>
      <c r="BR412" s="135"/>
      <c r="BS412" s="135"/>
      <c r="BT412" s="135"/>
    </row>
    <row r="413" spans="1:72" s="196" customFormat="1">
      <c r="A413" s="135"/>
      <c r="B413" s="135"/>
      <c r="C413" s="135"/>
      <c r="D413" s="135"/>
      <c r="E413" s="135"/>
      <c r="F413" s="135"/>
      <c r="G413" s="135"/>
      <c r="H413" s="135"/>
      <c r="I413" s="135"/>
      <c r="J413" s="135"/>
      <c r="K413" s="135"/>
      <c r="L413" s="135"/>
      <c r="M413" s="135"/>
      <c r="N413" s="135"/>
      <c r="O413" s="135"/>
      <c r="P413" s="135"/>
      <c r="Q413" s="135"/>
      <c r="R413" s="135"/>
      <c r="S413" s="135"/>
      <c r="T413" s="135"/>
      <c r="U413" s="135"/>
      <c r="V413" s="135"/>
      <c r="W413" s="135"/>
      <c r="X413" s="135"/>
      <c r="Y413" s="135"/>
      <c r="Z413" s="135"/>
      <c r="AA413" s="135"/>
      <c r="AB413" s="135"/>
      <c r="AC413" s="135"/>
      <c r="AD413" s="135"/>
      <c r="AE413" s="135"/>
      <c r="AF413" s="135"/>
      <c r="AG413" s="135"/>
      <c r="AH413" s="135"/>
      <c r="AI413" s="135"/>
      <c r="AJ413" s="135"/>
      <c r="AK413" s="135"/>
      <c r="AL413" s="135"/>
      <c r="AM413" s="135"/>
      <c r="AN413" s="135"/>
      <c r="AO413" s="135"/>
      <c r="AP413" s="135"/>
      <c r="AQ413" s="135"/>
      <c r="AR413" s="135"/>
      <c r="AS413" s="135"/>
      <c r="AT413" s="135"/>
      <c r="AU413" s="135"/>
      <c r="AV413" s="135"/>
      <c r="AW413" s="135"/>
      <c r="AX413" s="135"/>
      <c r="AY413" s="135"/>
      <c r="AZ413" s="135"/>
      <c r="BA413" s="135"/>
      <c r="BB413" s="135"/>
      <c r="BC413" s="135"/>
      <c r="BD413" s="135"/>
      <c r="BE413" s="135"/>
      <c r="BF413" s="135"/>
      <c r="BG413" s="135"/>
      <c r="BH413" s="135"/>
      <c r="BI413" s="135"/>
      <c r="BJ413" s="135"/>
      <c r="BK413" s="135"/>
      <c r="BL413" s="135"/>
      <c r="BM413" s="135"/>
      <c r="BN413" s="135"/>
      <c r="BO413" s="135"/>
      <c r="BP413" s="135"/>
      <c r="BQ413" s="135"/>
      <c r="BR413" s="135"/>
      <c r="BS413" s="135"/>
      <c r="BT413" s="135"/>
    </row>
    <row r="414" spans="1:72" s="196" customFormat="1">
      <c r="A414" s="135"/>
      <c r="B414" s="135"/>
      <c r="C414" s="135"/>
      <c r="D414" s="135"/>
      <c r="E414" s="135"/>
      <c r="F414" s="135"/>
      <c r="G414" s="135"/>
      <c r="H414" s="135"/>
      <c r="I414" s="135"/>
      <c r="J414" s="135"/>
      <c r="K414" s="135"/>
      <c r="L414" s="135"/>
      <c r="M414" s="135"/>
      <c r="N414" s="135"/>
      <c r="O414" s="135"/>
      <c r="P414" s="135"/>
      <c r="Q414" s="135"/>
      <c r="R414" s="135"/>
      <c r="S414" s="135"/>
      <c r="T414" s="135"/>
      <c r="U414" s="135"/>
      <c r="V414" s="135"/>
      <c r="W414" s="135"/>
      <c r="X414" s="135"/>
      <c r="Y414" s="135"/>
      <c r="Z414" s="135"/>
      <c r="AA414" s="135"/>
      <c r="AB414" s="135"/>
      <c r="AC414" s="135"/>
      <c r="AD414" s="135"/>
      <c r="AE414" s="135"/>
      <c r="AF414" s="135"/>
      <c r="AG414" s="135"/>
      <c r="AH414" s="135"/>
      <c r="AI414" s="135"/>
      <c r="AJ414" s="135"/>
      <c r="AK414" s="135"/>
      <c r="AL414" s="135"/>
      <c r="AM414" s="135"/>
      <c r="AN414" s="135"/>
      <c r="AO414" s="135"/>
      <c r="AP414" s="135"/>
      <c r="AQ414" s="135"/>
      <c r="AR414" s="135"/>
      <c r="AS414" s="135"/>
      <c r="AT414" s="135"/>
      <c r="AU414" s="135"/>
      <c r="AV414" s="135"/>
      <c r="AW414" s="135"/>
      <c r="AX414" s="135"/>
      <c r="AY414" s="135"/>
      <c r="AZ414" s="135"/>
      <c r="BA414" s="135"/>
      <c r="BB414" s="135"/>
      <c r="BC414" s="135"/>
      <c r="BD414" s="135"/>
      <c r="BE414" s="135"/>
      <c r="BF414" s="135"/>
      <c r="BG414" s="135"/>
      <c r="BH414" s="135"/>
      <c r="BI414" s="135"/>
      <c r="BJ414" s="135"/>
      <c r="BK414" s="135"/>
      <c r="BL414" s="135"/>
      <c r="BM414" s="135"/>
      <c r="BN414" s="135"/>
      <c r="BO414" s="135"/>
      <c r="BP414" s="135"/>
      <c r="BQ414" s="135"/>
      <c r="BR414" s="135"/>
      <c r="BS414" s="135"/>
      <c r="BT414" s="135"/>
    </row>
    <row r="415" spans="1:72" s="196" customFormat="1">
      <c r="A415" s="135"/>
      <c r="B415" s="135"/>
      <c r="C415" s="135"/>
      <c r="D415" s="135"/>
      <c r="E415" s="135"/>
      <c r="F415" s="135"/>
      <c r="G415" s="135"/>
      <c r="H415" s="135"/>
      <c r="I415" s="135"/>
      <c r="J415" s="135"/>
      <c r="K415" s="135"/>
      <c r="L415" s="135"/>
      <c r="M415" s="135"/>
      <c r="N415" s="135"/>
      <c r="O415" s="135"/>
      <c r="P415" s="135"/>
      <c r="Q415" s="135"/>
      <c r="R415" s="135"/>
      <c r="S415" s="135"/>
      <c r="T415" s="135"/>
      <c r="U415" s="135"/>
      <c r="V415" s="135"/>
      <c r="W415" s="135"/>
      <c r="X415" s="135"/>
      <c r="Y415" s="135"/>
      <c r="Z415" s="135"/>
      <c r="AA415" s="135"/>
      <c r="AB415" s="135"/>
      <c r="AC415" s="135"/>
      <c r="AD415" s="135"/>
      <c r="AE415" s="135"/>
      <c r="AF415" s="135"/>
      <c r="AG415" s="135"/>
      <c r="AH415" s="135"/>
      <c r="AI415" s="135"/>
      <c r="AJ415" s="135"/>
      <c r="AK415" s="135"/>
      <c r="AL415" s="135"/>
      <c r="AM415" s="135"/>
      <c r="AN415" s="135"/>
      <c r="AO415" s="135"/>
      <c r="AP415" s="135"/>
      <c r="AQ415" s="135"/>
      <c r="AR415" s="135"/>
      <c r="AS415" s="135"/>
      <c r="AT415" s="135"/>
      <c r="AU415" s="135"/>
      <c r="AV415" s="135"/>
      <c r="AW415" s="135"/>
      <c r="AX415" s="135"/>
      <c r="AY415" s="135"/>
      <c r="AZ415" s="135"/>
      <c r="BA415" s="135"/>
      <c r="BB415" s="135"/>
      <c r="BC415" s="135"/>
      <c r="BD415" s="135"/>
      <c r="BE415" s="135"/>
      <c r="BF415" s="135"/>
      <c r="BG415" s="135"/>
      <c r="BH415" s="135"/>
      <c r="BI415" s="135"/>
      <c r="BJ415" s="135"/>
      <c r="BK415" s="135"/>
      <c r="BL415" s="135"/>
      <c r="BM415" s="135"/>
      <c r="BN415" s="135"/>
      <c r="BO415" s="135"/>
      <c r="BP415" s="135"/>
      <c r="BQ415" s="135"/>
      <c r="BR415" s="135"/>
      <c r="BS415" s="135"/>
      <c r="BT415" s="135"/>
    </row>
    <row r="416" spans="1:72" s="196" customFormat="1">
      <c r="A416" s="135"/>
      <c r="B416" s="135"/>
      <c r="C416" s="135"/>
      <c r="D416" s="135"/>
      <c r="E416" s="135"/>
      <c r="F416" s="135"/>
      <c r="G416" s="135"/>
      <c r="H416" s="135"/>
      <c r="I416" s="135"/>
      <c r="J416" s="135"/>
      <c r="K416" s="135"/>
      <c r="L416" s="135"/>
      <c r="M416" s="135"/>
      <c r="N416" s="135"/>
      <c r="O416" s="135"/>
      <c r="P416" s="135"/>
      <c r="Q416" s="135"/>
      <c r="R416" s="135"/>
      <c r="S416" s="135"/>
      <c r="T416" s="135"/>
      <c r="U416" s="135"/>
      <c r="V416" s="135"/>
      <c r="W416" s="135"/>
      <c r="X416" s="135"/>
      <c r="Y416" s="135"/>
      <c r="Z416" s="135"/>
      <c r="AA416" s="135"/>
      <c r="AB416" s="135"/>
      <c r="AC416" s="135"/>
      <c r="AD416" s="135"/>
      <c r="AE416" s="135"/>
      <c r="AF416" s="135"/>
      <c r="AG416" s="135"/>
      <c r="AH416" s="135"/>
      <c r="AI416" s="135"/>
      <c r="AJ416" s="135"/>
      <c r="AK416" s="135"/>
      <c r="AL416" s="135"/>
      <c r="AM416" s="135"/>
      <c r="AN416" s="135"/>
      <c r="AO416" s="135"/>
      <c r="AP416" s="135"/>
      <c r="AQ416" s="135"/>
      <c r="AR416" s="135"/>
      <c r="AS416" s="135"/>
      <c r="AT416" s="135"/>
      <c r="AU416" s="135"/>
      <c r="AV416" s="135"/>
      <c r="AW416" s="135"/>
      <c r="AX416" s="135"/>
      <c r="AY416" s="135"/>
      <c r="AZ416" s="135"/>
      <c r="BA416" s="135"/>
      <c r="BB416" s="135"/>
      <c r="BC416" s="135"/>
      <c r="BD416" s="135"/>
      <c r="BE416" s="135"/>
      <c r="BF416" s="135"/>
      <c r="BG416" s="135"/>
      <c r="BH416" s="135"/>
      <c r="BI416" s="135"/>
      <c r="BJ416" s="135"/>
      <c r="BK416" s="135"/>
      <c r="BL416" s="135"/>
      <c r="BM416" s="135"/>
      <c r="BN416" s="135"/>
      <c r="BO416" s="135"/>
      <c r="BP416" s="135"/>
      <c r="BQ416" s="135"/>
      <c r="BR416" s="135"/>
      <c r="BS416" s="135"/>
      <c r="BT416" s="135"/>
    </row>
    <row r="417" spans="1:72" s="196" customFormat="1">
      <c r="A417" s="135"/>
      <c r="B417" s="135"/>
      <c r="C417" s="135"/>
      <c r="D417" s="135"/>
      <c r="E417" s="135"/>
      <c r="F417" s="135"/>
      <c r="G417" s="135"/>
      <c r="H417" s="135"/>
      <c r="I417" s="135"/>
      <c r="J417" s="135"/>
      <c r="K417" s="135"/>
      <c r="L417" s="135"/>
      <c r="M417" s="135"/>
      <c r="N417" s="135"/>
      <c r="O417" s="135"/>
      <c r="P417" s="135"/>
      <c r="Q417" s="135"/>
      <c r="R417" s="135"/>
      <c r="S417" s="135"/>
      <c r="T417" s="135"/>
      <c r="U417" s="135"/>
      <c r="V417" s="135"/>
      <c r="W417" s="135"/>
      <c r="X417" s="135"/>
      <c r="Y417" s="135"/>
      <c r="Z417" s="135"/>
      <c r="AA417" s="135"/>
      <c r="AB417" s="135"/>
      <c r="AC417" s="135"/>
      <c r="AD417" s="135"/>
      <c r="AE417" s="135"/>
      <c r="AF417" s="135"/>
      <c r="AG417" s="135"/>
      <c r="AH417" s="135"/>
      <c r="AI417" s="135"/>
      <c r="AJ417" s="135"/>
      <c r="AK417" s="135"/>
      <c r="AL417" s="135"/>
      <c r="AM417" s="135"/>
      <c r="AN417" s="135"/>
      <c r="AO417" s="135"/>
      <c r="AP417" s="135"/>
      <c r="AQ417" s="135"/>
      <c r="AR417" s="135"/>
      <c r="AS417" s="135"/>
      <c r="AT417" s="135"/>
      <c r="AU417" s="135"/>
      <c r="AV417" s="135"/>
      <c r="AW417" s="135"/>
      <c r="AX417" s="135"/>
      <c r="AY417" s="135"/>
      <c r="AZ417" s="135"/>
      <c r="BA417" s="135"/>
      <c r="BB417" s="135"/>
      <c r="BC417" s="135"/>
      <c r="BD417" s="135"/>
      <c r="BE417" s="135"/>
      <c r="BF417" s="135"/>
      <c r="BG417" s="135"/>
      <c r="BH417" s="135"/>
      <c r="BI417" s="135"/>
      <c r="BJ417" s="135"/>
      <c r="BK417" s="135"/>
      <c r="BL417" s="135"/>
      <c r="BM417" s="135"/>
      <c r="BN417" s="135"/>
      <c r="BO417" s="135"/>
      <c r="BP417" s="135"/>
      <c r="BQ417" s="135"/>
      <c r="BR417" s="135"/>
      <c r="BS417" s="135"/>
      <c r="BT417" s="135"/>
    </row>
    <row r="418" spans="1:72" s="196" customFormat="1">
      <c r="A418" s="135"/>
      <c r="B418" s="135"/>
      <c r="C418" s="135"/>
      <c r="D418" s="135"/>
      <c r="E418" s="135"/>
      <c r="F418" s="135"/>
      <c r="G418" s="135"/>
      <c r="H418" s="135"/>
      <c r="I418" s="135"/>
      <c r="J418" s="135"/>
      <c r="K418" s="135"/>
      <c r="L418" s="135"/>
      <c r="M418" s="135"/>
      <c r="N418" s="135"/>
      <c r="O418" s="135"/>
      <c r="P418" s="135"/>
      <c r="Q418" s="135"/>
      <c r="R418" s="135"/>
      <c r="S418" s="135"/>
      <c r="T418" s="135"/>
      <c r="U418" s="135"/>
      <c r="V418" s="135"/>
      <c r="W418" s="135"/>
      <c r="X418" s="135"/>
      <c r="Y418" s="135"/>
      <c r="Z418" s="135"/>
      <c r="AA418" s="135"/>
      <c r="AB418" s="135"/>
      <c r="AC418" s="135"/>
      <c r="AD418" s="135"/>
      <c r="AE418" s="135"/>
      <c r="AF418" s="135"/>
      <c r="AG418" s="135"/>
      <c r="AH418" s="135"/>
      <c r="AI418" s="135"/>
      <c r="AJ418" s="135"/>
      <c r="AK418" s="135"/>
      <c r="AL418" s="135"/>
      <c r="AM418" s="135"/>
      <c r="AN418" s="135"/>
      <c r="AO418" s="135"/>
      <c r="AP418" s="135"/>
      <c r="AQ418" s="135"/>
      <c r="AR418" s="135"/>
      <c r="AS418" s="135"/>
      <c r="AT418" s="135"/>
      <c r="AU418" s="135"/>
      <c r="AV418" s="135"/>
      <c r="AW418" s="135"/>
      <c r="AX418" s="135"/>
      <c r="AY418" s="135"/>
      <c r="AZ418" s="135"/>
      <c r="BA418" s="135"/>
      <c r="BB418" s="135"/>
      <c r="BC418" s="135"/>
      <c r="BD418" s="135"/>
      <c r="BE418" s="135"/>
      <c r="BF418" s="135"/>
      <c r="BG418" s="135"/>
      <c r="BH418" s="135"/>
      <c r="BI418" s="135"/>
      <c r="BJ418" s="135"/>
      <c r="BK418" s="135"/>
      <c r="BL418" s="135"/>
      <c r="BM418" s="135"/>
      <c r="BN418" s="135"/>
      <c r="BO418" s="135"/>
      <c r="BP418" s="135"/>
      <c r="BQ418" s="135"/>
      <c r="BR418" s="135"/>
      <c r="BS418" s="135"/>
      <c r="BT418" s="135"/>
    </row>
    <row r="419" spans="1:72" s="196" customFormat="1">
      <c r="A419" s="135"/>
      <c r="B419" s="135"/>
      <c r="C419" s="135"/>
      <c r="D419" s="135"/>
      <c r="E419" s="135"/>
      <c r="F419" s="135"/>
      <c r="G419" s="135"/>
      <c r="H419" s="135"/>
      <c r="I419" s="135"/>
      <c r="J419" s="135"/>
      <c r="K419" s="135"/>
      <c r="L419" s="135"/>
      <c r="M419" s="135"/>
      <c r="N419" s="135"/>
      <c r="O419" s="135"/>
      <c r="P419" s="135"/>
      <c r="Q419" s="135"/>
      <c r="R419" s="135"/>
      <c r="S419" s="135"/>
      <c r="T419" s="135"/>
      <c r="U419" s="135"/>
      <c r="V419" s="135"/>
      <c r="W419" s="135"/>
      <c r="X419" s="135"/>
      <c r="Y419" s="135"/>
      <c r="Z419" s="135"/>
      <c r="AA419" s="135"/>
      <c r="AB419" s="135"/>
      <c r="AC419" s="135"/>
      <c r="AD419" s="135"/>
      <c r="AE419" s="135"/>
      <c r="AF419" s="135"/>
      <c r="AG419" s="135"/>
      <c r="AH419" s="135"/>
      <c r="AI419" s="135"/>
      <c r="AJ419" s="135"/>
      <c r="AK419" s="135"/>
      <c r="AL419" s="135"/>
      <c r="AM419" s="135"/>
      <c r="AN419" s="135"/>
      <c r="AO419" s="135"/>
      <c r="AP419" s="135"/>
      <c r="AQ419" s="135"/>
      <c r="AR419" s="135"/>
      <c r="AS419" s="135"/>
      <c r="AT419" s="135"/>
      <c r="AU419" s="135"/>
      <c r="AV419" s="135"/>
      <c r="AW419" s="135"/>
      <c r="AX419" s="135"/>
      <c r="AY419" s="135"/>
      <c r="AZ419" s="135"/>
      <c r="BA419" s="135"/>
      <c r="BB419" s="135"/>
      <c r="BC419" s="135"/>
      <c r="BD419" s="135"/>
      <c r="BE419" s="135"/>
      <c r="BF419" s="135"/>
      <c r="BG419" s="135"/>
      <c r="BH419" s="135"/>
      <c r="BI419" s="135"/>
      <c r="BJ419" s="135"/>
      <c r="BK419" s="135"/>
      <c r="BL419" s="135"/>
      <c r="BM419" s="135"/>
      <c r="BN419" s="135"/>
      <c r="BO419" s="135"/>
      <c r="BP419" s="135"/>
      <c r="BQ419" s="135"/>
      <c r="BR419" s="135"/>
      <c r="BS419" s="135"/>
      <c r="BT419" s="135"/>
    </row>
    <row r="420" spans="1:72" s="196" customFormat="1">
      <c r="A420" s="135"/>
      <c r="B420" s="135"/>
      <c r="C420" s="135"/>
      <c r="D420" s="135"/>
      <c r="E420" s="135"/>
      <c r="F420" s="135"/>
      <c r="G420" s="135"/>
      <c r="H420" s="135"/>
      <c r="I420" s="135"/>
      <c r="J420" s="135"/>
      <c r="K420" s="135"/>
      <c r="L420" s="135"/>
      <c r="M420" s="135"/>
      <c r="N420" s="135"/>
      <c r="O420" s="135"/>
      <c r="P420" s="135"/>
      <c r="Q420" s="135"/>
      <c r="R420" s="135"/>
      <c r="S420" s="135"/>
      <c r="T420" s="135"/>
      <c r="U420" s="135"/>
      <c r="V420" s="135"/>
      <c r="W420" s="135"/>
      <c r="X420" s="135"/>
      <c r="Y420" s="135"/>
      <c r="Z420" s="135"/>
      <c r="AA420" s="135"/>
      <c r="AB420" s="135"/>
      <c r="AC420" s="135"/>
      <c r="AD420" s="135"/>
      <c r="AE420" s="135"/>
      <c r="AF420" s="135"/>
      <c r="AG420" s="135"/>
      <c r="AH420" s="135"/>
      <c r="AI420" s="135"/>
      <c r="AJ420" s="135"/>
      <c r="AK420" s="135"/>
      <c r="AL420" s="135"/>
      <c r="AM420" s="135"/>
      <c r="AN420" s="135"/>
      <c r="AO420" s="135"/>
      <c r="AP420" s="135"/>
      <c r="AQ420" s="135"/>
      <c r="AR420" s="135"/>
      <c r="AS420" s="135"/>
      <c r="AT420" s="135"/>
      <c r="AU420" s="135"/>
      <c r="AV420" s="135"/>
      <c r="AW420" s="135"/>
      <c r="AX420" s="135"/>
      <c r="AY420" s="135"/>
      <c r="AZ420" s="135"/>
      <c r="BA420" s="135"/>
      <c r="BB420" s="135"/>
      <c r="BC420" s="135"/>
      <c r="BD420" s="135"/>
      <c r="BE420" s="135"/>
      <c r="BF420" s="135"/>
      <c r="BG420" s="135"/>
      <c r="BH420" s="135"/>
      <c r="BI420" s="135"/>
      <c r="BJ420" s="135"/>
      <c r="BK420" s="135"/>
      <c r="BL420" s="135"/>
      <c r="BM420" s="135"/>
      <c r="BN420" s="135"/>
      <c r="BO420" s="135"/>
      <c r="BP420" s="135"/>
      <c r="BQ420" s="135"/>
      <c r="BR420" s="135"/>
      <c r="BS420" s="135"/>
      <c r="BT420" s="135"/>
    </row>
    <row r="421" spans="1:72" s="196" customFormat="1">
      <c r="A421" s="135"/>
      <c r="B421" s="135"/>
      <c r="C421" s="135"/>
      <c r="D421" s="135"/>
      <c r="E421" s="135"/>
      <c r="F421" s="135"/>
      <c r="G421" s="135"/>
      <c r="H421" s="135"/>
      <c r="I421" s="135"/>
      <c r="J421" s="135"/>
      <c r="K421" s="135"/>
      <c r="L421" s="135"/>
      <c r="M421" s="135"/>
      <c r="N421" s="135"/>
      <c r="O421" s="135"/>
      <c r="P421" s="135"/>
      <c r="Q421" s="135"/>
      <c r="R421" s="135"/>
      <c r="S421" s="135"/>
      <c r="T421" s="135"/>
      <c r="U421" s="135"/>
      <c r="V421" s="135"/>
      <c r="W421" s="135"/>
      <c r="X421" s="135"/>
      <c r="Y421" s="135"/>
      <c r="Z421" s="135"/>
      <c r="AA421" s="135"/>
      <c r="AB421" s="135"/>
      <c r="AC421" s="135"/>
      <c r="AD421" s="135"/>
      <c r="AE421" s="135"/>
      <c r="AF421" s="135"/>
      <c r="AG421" s="135"/>
      <c r="AH421" s="135"/>
      <c r="AI421" s="135"/>
      <c r="AJ421" s="135"/>
      <c r="AK421" s="135"/>
      <c r="AL421" s="135"/>
      <c r="AM421" s="135"/>
      <c r="AN421" s="135"/>
      <c r="AO421" s="135"/>
      <c r="AP421" s="135"/>
      <c r="AQ421" s="135"/>
      <c r="AR421" s="135"/>
      <c r="AS421" s="135"/>
      <c r="AT421" s="135"/>
      <c r="AU421" s="135"/>
      <c r="AV421" s="135"/>
      <c r="AW421" s="135"/>
      <c r="AX421" s="135"/>
      <c r="AY421" s="135"/>
      <c r="AZ421" s="135"/>
      <c r="BA421" s="135"/>
      <c r="BB421" s="135"/>
      <c r="BC421" s="135"/>
      <c r="BD421" s="135"/>
      <c r="BE421" s="135"/>
      <c r="BF421" s="135"/>
      <c r="BG421" s="135"/>
      <c r="BH421" s="135"/>
      <c r="BI421" s="135"/>
      <c r="BJ421" s="135"/>
      <c r="BK421" s="135"/>
      <c r="BL421" s="135"/>
      <c r="BM421" s="135"/>
      <c r="BN421" s="135"/>
      <c r="BO421" s="135"/>
      <c r="BP421" s="135"/>
      <c r="BQ421" s="135"/>
      <c r="BR421" s="135"/>
      <c r="BS421" s="135"/>
      <c r="BT421" s="135"/>
    </row>
    <row r="422" spans="1:72" s="196" customFormat="1">
      <c r="A422" s="135"/>
      <c r="B422" s="135"/>
      <c r="C422" s="135"/>
      <c r="D422" s="135"/>
      <c r="E422" s="135"/>
      <c r="F422" s="135"/>
      <c r="G422" s="135"/>
      <c r="H422" s="135"/>
      <c r="I422" s="135"/>
      <c r="J422" s="135"/>
      <c r="K422" s="135"/>
      <c r="L422" s="135"/>
      <c r="M422" s="135"/>
      <c r="N422" s="135"/>
      <c r="O422" s="135"/>
      <c r="P422" s="135"/>
      <c r="Q422" s="135"/>
      <c r="R422" s="135"/>
      <c r="S422" s="135"/>
      <c r="T422" s="135"/>
      <c r="U422" s="135"/>
      <c r="V422" s="135"/>
      <c r="W422" s="135"/>
      <c r="X422" s="135"/>
      <c r="Y422" s="135"/>
      <c r="Z422" s="135"/>
      <c r="AA422" s="135"/>
      <c r="AB422" s="135"/>
      <c r="AC422" s="135"/>
      <c r="AD422" s="135"/>
      <c r="AE422" s="135"/>
      <c r="AF422" s="135"/>
      <c r="AG422" s="135"/>
      <c r="AH422" s="135"/>
      <c r="AI422" s="135"/>
      <c r="AJ422" s="135"/>
      <c r="AK422" s="135"/>
      <c r="AL422" s="135"/>
      <c r="AM422" s="135"/>
      <c r="AN422" s="135"/>
      <c r="AO422" s="135"/>
      <c r="AP422" s="135"/>
      <c r="AQ422" s="135"/>
      <c r="AR422" s="135"/>
      <c r="AS422" s="135"/>
      <c r="AT422" s="135"/>
      <c r="AU422" s="135"/>
      <c r="AV422" s="135"/>
      <c r="AW422" s="135"/>
      <c r="AX422" s="135"/>
      <c r="AY422" s="135"/>
      <c r="AZ422" s="135"/>
      <c r="BA422" s="135"/>
      <c r="BB422" s="135"/>
      <c r="BC422" s="135"/>
      <c r="BD422" s="135"/>
      <c r="BE422" s="135"/>
      <c r="BF422" s="135"/>
      <c r="BG422" s="135"/>
      <c r="BH422" s="135"/>
      <c r="BI422" s="135"/>
      <c r="BJ422" s="135"/>
      <c r="BK422" s="135"/>
      <c r="BL422" s="135"/>
      <c r="BM422" s="135"/>
      <c r="BN422" s="135"/>
      <c r="BO422" s="135"/>
      <c r="BP422" s="135"/>
      <c r="BQ422" s="135"/>
      <c r="BR422" s="135"/>
      <c r="BS422" s="135"/>
      <c r="BT422" s="135"/>
    </row>
    <row r="423" spans="1:72" s="196" customFormat="1">
      <c r="A423" s="135"/>
      <c r="B423" s="135"/>
      <c r="C423" s="135"/>
      <c r="D423" s="135"/>
      <c r="E423" s="135"/>
      <c r="F423" s="135"/>
      <c r="G423" s="135"/>
      <c r="H423" s="135"/>
      <c r="I423" s="135"/>
      <c r="J423" s="135"/>
      <c r="K423" s="135"/>
      <c r="L423" s="135"/>
      <c r="M423" s="135"/>
      <c r="N423" s="135"/>
      <c r="O423" s="135"/>
      <c r="P423" s="135"/>
      <c r="Q423" s="135"/>
      <c r="R423" s="135"/>
      <c r="S423" s="135"/>
      <c r="T423" s="135"/>
      <c r="U423" s="135"/>
      <c r="V423" s="135"/>
      <c r="W423" s="135"/>
      <c r="X423" s="135"/>
      <c r="Y423" s="135"/>
      <c r="Z423" s="135"/>
      <c r="AA423" s="135"/>
      <c r="AB423" s="135"/>
      <c r="AC423" s="135"/>
      <c r="AD423" s="135"/>
      <c r="AE423" s="135"/>
      <c r="AF423" s="135"/>
      <c r="AG423" s="135"/>
      <c r="AH423" s="135"/>
      <c r="AI423" s="135"/>
      <c r="AJ423" s="135"/>
      <c r="AK423" s="135"/>
      <c r="AL423" s="135"/>
      <c r="AM423" s="135"/>
      <c r="AN423" s="135"/>
      <c r="AO423" s="135"/>
      <c r="AP423" s="135"/>
      <c r="AQ423" s="135"/>
      <c r="AR423" s="135"/>
      <c r="AS423" s="135"/>
      <c r="AT423" s="135"/>
      <c r="AU423" s="135"/>
      <c r="AV423" s="135"/>
      <c r="AW423" s="135"/>
      <c r="AX423" s="135"/>
      <c r="AY423" s="135"/>
      <c r="AZ423" s="135"/>
      <c r="BA423" s="135"/>
      <c r="BB423" s="135"/>
      <c r="BC423" s="135"/>
      <c r="BD423" s="135"/>
      <c r="BE423" s="135"/>
      <c r="BF423" s="135"/>
      <c r="BG423" s="135"/>
      <c r="BH423" s="135"/>
      <c r="BI423" s="135"/>
      <c r="BJ423" s="135"/>
      <c r="BK423" s="135"/>
      <c r="BL423" s="135"/>
      <c r="BM423" s="135"/>
      <c r="BN423" s="135"/>
      <c r="BO423" s="135"/>
      <c r="BP423" s="135"/>
      <c r="BQ423" s="135"/>
      <c r="BR423" s="135"/>
      <c r="BS423" s="135"/>
      <c r="BT423" s="135"/>
    </row>
    <row r="424" spans="1:72" s="196" customFormat="1">
      <c r="A424" s="135"/>
      <c r="B424" s="135"/>
      <c r="C424" s="135"/>
      <c r="D424" s="135"/>
      <c r="E424" s="135"/>
      <c r="F424" s="135"/>
      <c r="G424" s="135"/>
      <c r="H424" s="135"/>
      <c r="I424" s="135"/>
      <c r="J424" s="135"/>
      <c r="K424" s="135"/>
      <c r="L424" s="135"/>
      <c r="M424" s="135"/>
      <c r="N424" s="135"/>
      <c r="O424" s="135"/>
      <c r="P424" s="135"/>
      <c r="Q424" s="135"/>
      <c r="R424" s="135"/>
      <c r="S424" s="135"/>
      <c r="T424" s="135"/>
      <c r="U424" s="135"/>
      <c r="V424" s="135"/>
      <c r="W424" s="135"/>
      <c r="X424" s="135"/>
      <c r="Y424" s="135"/>
      <c r="Z424" s="135"/>
      <c r="AA424" s="135"/>
      <c r="AB424" s="135"/>
      <c r="AC424" s="135"/>
      <c r="AD424" s="135"/>
      <c r="AE424" s="135"/>
      <c r="AF424" s="135"/>
      <c r="AG424" s="135"/>
      <c r="AH424" s="135"/>
      <c r="AI424" s="135"/>
      <c r="AJ424" s="135"/>
      <c r="AK424" s="135"/>
      <c r="AL424" s="135"/>
      <c r="AM424" s="135"/>
      <c r="AN424" s="135"/>
      <c r="AO424" s="135"/>
      <c r="AP424" s="135"/>
      <c r="AQ424" s="135"/>
      <c r="AR424" s="135"/>
      <c r="AS424" s="135"/>
      <c r="AT424" s="135"/>
      <c r="AU424" s="135"/>
      <c r="AV424" s="135"/>
      <c r="AW424" s="135"/>
      <c r="AX424" s="135"/>
      <c r="AY424" s="135"/>
      <c r="AZ424" s="135"/>
      <c r="BA424" s="135"/>
      <c r="BB424" s="135"/>
      <c r="BC424" s="135"/>
      <c r="BD424" s="135"/>
      <c r="BE424" s="135"/>
      <c r="BF424" s="135"/>
      <c r="BG424" s="135"/>
      <c r="BH424" s="135"/>
      <c r="BI424" s="135"/>
      <c r="BJ424" s="135"/>
      <c r="BK424" s="135"/>
      <c r="BL424" s="135"/>
      <c r="BM424" s="135"/>
      <c r="BN424" s="135"/>
      <c r="BO424" s="135"/>
      <c r="BP424" s="135"/>
      <c r="BQ424" s="135"/>
      <c r="BR424" s="135"/>
      <c r="BS424" s="135"/>
      <c r="BT424" s="135"/>
    </row>
    <row r="425" spans="1:72" s="196" customFormat="1">
      <c r="A425" s="135"/>
      <c r="B425" s="135"/>
      <c r="C425" s="135"/>
      <c r="D425" s="135"/>
      <c r="E425" s="135"/>
      <c r="F425" s="135"/>
      <c r="G425" s="135"/>
      <c r="H425" s="135"/>
      <c r="I425" s="135"/>
      <c r="J425" s="135"/>
      <c r="K425" s="135"/>
      <c r="L425" s="135"/>
      <c r="M425" s="135"/>
      <c r="N425" s="135"/>
      <c r="O425" s="135"/>
      <c r="P425" s="135"/>
      <c r="Q425" s="135"/>
      <c r="R425" s="135"/>
      <c r="S425" s="135"/>
      <c r="T425" s="135"/>
      <c r="U425" s="135"/>
      <c r="V425" s="135"/>
      <c r="W425" s="135"/>
      <c r="X425" s="135"/>
      <c r="Y425" s="135"/>
      <c r="Z425" s="135"/>
      <c r="AA425" s="135"/>
      <c r="AB425" s="135"/>
      <c r="AC425" s="135"/>
      <c r="AD425" s="135"/>
      <c r="AE425" s="135"/>
      <c r="AF425" s="135"/>
      <c r="AG425" s="135"/>
      <c r="AH425" s="135"/>
      <c r="AI425" s="135"/>
      <c r="AJ425" s="135"/>
      <c r="AK425" s="135"/>
      <c r="AL425" s="135"/>
      <c r="AM425" s="135"/>
      <c r="AN425" s="135"/>
      <c r="AO425" s="135"/>
      <c r="AP425" s="135"/>
      <c r="AQ425" s="135"/>
      <c r="AR425" s="135"/>
      <c r="AS425" s="135"/>
      <c r="AT425" s="135"/>
      <c r="AU425" s="135"/>
      <c r="AV425" s="135"/>
      <c r="AW425" s="135"/>
      <c r="AX425" s="135"/>
      <c r="AY425" s="135"/>
      <c r="AZ425" s="135"/>
      <c r="BA425" s="135"/>
      <c r="BB425" s="135"/>
      <c r="BC425" s="135"/>
      <c r="BD425" s="135"/>
      <c r="BE425" s="135"/>
      <c r="BF425" s="135"/>
      <c r="BG425" s="135"/>
      <c r="BH425" s="135"/>
      <c r="BI425" s="135"/>
      <c r="BJ425" s="135"/>
      <c r="BK425" s="135"/>
      <c r="BL425" s="135"/>
      <c r="BM425" s="135"/>
      <c r="BN425" s="135"/>
      <c r="BO425" s="135"/>
      <c r="BP425" s="135"/>
      <c r="BQ425" s="135"/>
      <c r="BR425" s="135"/>
      <c r="BS425" s="135"/>
      <c r="BT425" s="135"/>
    </row>
    <row r="426" spans="1:72" s="196" customFormat="1">
      <c r="A426" s="135"/>
      <c r="B426" s="135"/>
      <c r="C426" s="135"/>
      <c r="D426" s="135"/>
      <c r="E426" s="135"/>
      <c r="F426" s="135"/>
      <c r="G426" s="135"/>
      <c r="H426" s="135"/>
      <c r="I426" s="135"/>
      <c r="J426" s="135"/>
      <c r="K426" s="135"/>
      <c r="L426" s="135"/>
      <c r="M426" s="135"/>
      <c r="N426" s="135"/>
      <c r="O426" s="135"/>
      <c r="P426" s="135"/>
      <c r="Q426" s="135"/>
      <c r="R426" s="135"/>
      <c r="S426" s="135"/>
      <c r="T426" s="135"/>
      <c r="U426" s="135"/>
      <c r="V426" s="135"/>
      <c r="W426" s="135"/>
      <c r="X426" s="135"/>
      <c r="Y426" s="135"/>
      <c r="Z426" s="135"/>
      <c r="AA426" s="135"/>
      <c r="AB426" s="135"/>
      <c r="AC426" s="135"/>
      <c r="AD426" s="135"/>
      <c r="AE426" s="135"/>
      <c r="AF426" s="135"/>
      <c r="AG426" s="135"/>
      <c r="AH426" s="135"/>
      <c r="AI426" s="135"/>
      <c r="AJ426" s="135"/>
      <c r="AK426" s="135"/>
      <c r="AL426" s="135"/>
      <c r="AM426" s="135"/>
      <c r="AN426" s="135"/>
      <c r="AO426" s="135"/>
      <c r="AP426" s="135"/>
      <c r="AQ426" s="135"/>
      <c r="AR426" s="135"/>
      <c r="AS426" s="135"/>
      <c r="AT426" s="135"/>
      <c r="AU426" s="135"/>
      <c r="AV426" s="135"/>
      <c r="AW426" s="135"/>
      <c r="AX426" s="135"/>
      <c r="AY426" s="135"/>
      <c r="AZ426" s="135"/>
      <c r="BA426" s="135"/>
      <c r="BB426" s="135"/>
      <c r="BC426" s="135"/>
      <c r="BD426" s="135"/>
      <c r="BE426" s="135"/>
      <c r="BF426" s="135"/>
      <c r="BG426" s="135"/>
      <c r="BH426" s="135"/>
      <c r="BI426" s="135"/>
      <c r="BJ426" s="135"/>
      <c r="BK426" s="135"/>
      <c r="BL426" s="135"/>
      <c r="BM426" s="135"/>
      <c r="BN426" s="135"/>
      <c r="BO426" s="135"/>
      <c r="BP426" s="135"/>
      <c r="BQ426" s="135"/>
      <c r="BR426" s="135"/>
      <c r="BS426" s="135"/>
      <c r="BT426" s="135"/>
    </row>
    <row r="427" spans="1:72" s="196" customFormat="1">
      <c r="A427" s="135"/>
      <c r="B427" s="135"/>
      <c r="C427" s="135"/>
      <c r="D427" s="135"/>
      <c r="E427" s="135"/>
      <c r="F427" s="135"/>
      <c r="G427" s="135"/>
      <c r="H427" s="135"/>
      <c r="I427" s="135"/>
      <c r="J427" s="135"/>
      <c r="K427" s="135"/>
      <c r="L427" s="135"/>
      <c r="M427" s="135"/>
      <c r="N427" s="135"/>
      <c r="O427" s="135"/>
      <c r="P427" s="135"/>
      <c r="Q427" s="135"/>
      <c r="R427" s="135"/>
      <c r="S427" s="135"/>
      <c r="T427" s="135"/>
      <c r="U427" s="135"/>
      <c r="V427" s="135"/>
      <c r="W427" s="135"/>
      <c r="X427" s="135"/>
      <c r="Y427" s="135"/>
      <c r="Z427" s="135"/>
      <c r="AA427" s="135"/>
      <c r="AB427" s="135"/>
      <c r="AC427" s="135"/>
      <c r="AD427" s="135"/>
      <c r="AE427" s="135"/>
      <c r="AF427" s="135"/>
      <c r="AG427" s="135"/>
      <c r="AH427" s="135"/>
      <c r="AI427" s="135"/>
      <c r="AJ427" s="135"/>
      <c r="AK427" s="135"/>
      <c r="AL427" s="135"/>
      <c r="AM427" s="135"/>
      <c r="AN427" s="135"/>
      <c r="AO427" s="135"/>
      <c r="AP427" s="135"/>
      <c r="AQ427" s="135"/>
      <c r="AR427" s="135"/>
      <c r="AS427" s="135"/>
      <c r="AT427" s="135"/>
      <c r="AU427" s="135"/>
      <c r="AV427" s="135"/>
      <c r="AW427" s="135"/>
      <c r="AX427" s="135"/>
      <c r="AY427" s="135"/>
      <c r="AZ427" s="135"/>
      <c r="BA427" s="135"/>
      <c r="BB427" s="135"/>
      <c r="BC427" s="135"/>
      <c r="BD427" s="135"/>
      <c r="BE427" s="135"/>
      <c r="BF427" s="135"/>
      <c r="BG427" s="135"/>
      <c r="BH427" s="135"/>
      <c r="BI427" s="135"/>
      <c r="BJ427" s="135"/>
      <c r="BK427" s="135"/>
      <c r="BL427" s="135"/>
      <c r="BM427" s="135"/>
      <c r="BN427" s="135"/>
      <c r="BO427" s="135"/>
      <c r="BP427" s="135"/>
      <c r="BQ427" s="135"/>
      <c r="BR427" s="135"/>
      <c r="BS427" s="135"/>
      <c r="BT427" s="135"/>
    </row>
    <row r="428" spans="1:72" s="196" customFormat="1">
      <c r="A428" s="135"/>
      <c r="B428" s="135"/>
      <c r="C428" s="135"/>
      <c r="D428" s="135"/>
      <c r="E428" s="135"/>
      <c r="F428" s="135"/>
      <c r="G428" s="135"/>
      <c r="H428" s="135"/>
      <c r="I428" s="135"/>
      <c r="J428" s="135"/>
      <c r="K428" s="135"/>
      <c r="L428" s="135"/>
      <c r="M428" s="135"/>
      <c r="N428" s="135"/>
      <c r="O428" s="135"/>
      <c r="P428" s="135"/>
      <c r="Q428" s="135"/>
      <c r="R428" s="135"/>
      <c r="S428" s="135"/>
      <c r="T428" s="135"/>
      <c r="U428" s="135"/>
      <c r="V428" s="135"/>
      <c r="W428" s="135"/>
      <c r="X428" s="135"/>
      <c r="Y428" s="135"/>
      <c r="Z428" s="135"/>
      <c r="AA428" s="135"/>
      <c r="AB428" s="135"/>
      <c r="AC428" s="135"/>
      <c r="AD428" s="135"/>
      <c r="AE428" s="135"/>
      <c r="AF428" s="135"/>
      <c r="AG428" s="135"/>
      <c r="AH428" s="135"/>
      <c r="AI428" s="135"/>
      <c r="AJ428" s="135"/>
      <c r="AK428" s="135"/>
      <c r="AL428" s="135"/>
      <c r="AM428" s="135"/>
      <c r="AN428" s="135"/>
      <c r="AO428" s="135"/>
      <c r="AP428" s="135"/>
      <c r="AQ428" s="135"/>
      <c r="AR428" s="135"/>
      <c r="AS428" s="135"/>
      <c r="AT428" s="135"/>
      <c r="AU428" s="135"/>
      <c r="AV428" s="135"/>
      <c r="AW428" s="135"/>
      <c r="AX428" s="135"/>
      <c r="AY428" s="135"/>
      <c r="AZ428" s="135"/>
      <c r="BA428" s="135"/>
      <c r="BB428" s="135"/>
      <c r="BC428" s="135"/>
      <c r="BD428" s="135"/>
      <c r="BE428" s="135"/>
      <c r="BF428" s="135"/>
      <c r="BG428" s="135"/>
      <c r="BH428" s="135"/>
      <c r="BI428" s="135"/>
      <c r="BJ428" s="135"/>
      <c r="BK428" s="135"/>
      <c r="BL428" s="135"/>
      <c r="BM428" s="135"/>
      <c r="BN428" s="135"/>
      <c r="BO428" s="135"/>
      <c r="BP428" s="135"/>
      <c r="BQ428" s="135"/>
      <c r="BR428" s="135"/>
      <c r="BS428" s="135"/>
      <c r="BT428" s="135"/>
    </row>
    <row r="429" spans="1:72" s="196" customFormat="1">
      <c r="A429" s="135"/>
      <c r="B429" s="135"/>
      <c r="C429" s="135"/>
      <c r="D429" s="135"/>
      <c r="E429" s="135"/>
      <c r="F429" s="135"/>
      <c r="G429" s="135"/>
      <c r="H429" s="135"/>
      <c r="I429" s="135"/>
      <c r="J429" s="135"/>
      <c r="K429" s="135"/>
      <c r="L429" s="135"/>
      <c r="M429" s="135"/>
      <c r="N429" s="135"/>
      <c r="O429" s="135"/>
      <c r="P429" s="135"/>
      <c r="Q429" s="135"/>
      <c r="R429" s="135"/>
      <c r="S429" s="135"/>
      <c r="T429" s="135"/>
      <c r="U429" s="135"/>
      <c r="V429" s="135"/>
      <c r="W429" s="135"/>
      <c r="X429" s="135"/>
      <c r="Y429" s="135"/>
      <c r="Z429" s="135"/>
      <c r="AA429" s="135"/>
      <c r="AB429" s="135"/>
      <c r="AC429" s="135"/>
      <c r="AD429" s="135"/>
      <c r="AE429" s="135"/>
      <c r="AF429" s="135"/>
      <c r="AG429" s="135"/>
      <c r="AH429" s="135"/>
      <c r="AI429" s="135"/>
      <c r="AJ429" s="135"/>
      <c r="AK429" s="135"/>
      <c r="AL429" s="135"/>
      <c r="AM429" s="135"/>
      <c r="AN429" s="135"/>
      <c r="AO429" s="135"/>
      <c r="AP429" s="135"/>
      <c r="AQ429" s="135"/>
      <c r="AR429" s="135"/>
      <c r="AS429" s="135"/>
      <c r="AT429" s="135"/>
      <c r="AU429" s="135"/>
      <c r="AV429" s="135"/>
      <c r="AW429" s="135"/>
      <c r="AX429" s="135"/>
      <c r="AY429" s="135"/>
      <c r="AZ429" s="135"/>
      <c r="BA429" s="135"/>
      <c r="BB429" s="135"/>
      <c r="BC429" s="135"/>
      <c r="BD429" s="135"/>
      <c r="BE429" s="135"/>
      <c r="BF429" s="135"/>
      <c r="BG429" s="135"/>
      <c r="BH429" s="135"/>
      <c r="BI429" s="135"/>
      <c r="BJ429" s="135"/>
      <c r="BK429" s="135"/>
      <c r="BL429" s="135"/>
      <c r="BM429" s="135"/>
      <c r="BN429" s="135"/>
      <c r="BO429" s="135"/>
      <c r="BP429" s="135"/>
      <c r="BQ429" s="135"/>
      <c r="BR429" s="135"/>
      <c r="BS429" s="135"/>
      <c r="BT429" s="135"/>
    </row>
    <row r="430" spans="1:72" s="196" customFormat="1">
      <c r="A430" s="135"/>
      <c r="B430" s="135"/>
      <c r="C430" s="135"/>
      <c r="D430" s="135"/>
      <c r="E430" s="135"/>
      <c r="F430" s="135"/>
      <c r="G430" s="135"/>
      <c r="H430" s="135"/>
      <c r="I430" s="135"/>
      <c r="J430" s="135"/>
      <c r="K430" s="135"/>
      <c r="L430" s="135"/>
      <c r="M430" s="135"/>
      <c r="N430" s="135"/>
      <c r="O430" s="135"/>
      <c r="P430" s="135"/>
      <c r="Q430" s="135"/>
      <c r="R430" s="135"/>
      <c r="S430" s="135"/>
      <c r="T430" s="135"/>
      <c r="U430" s="135"/>
      <c r="V430" s="135"/>
      <c r="W430" s="135"/>
      <c r="X430" s="135"/>
      <c r="Y430" s="135"/>
      <c r="Z430" s="135"/>
      <c r="AA430" s="135"/>
      <c r="AB430" s="135"/>
      <c r="AC430" s="135"/>
      <c r="AD430" s="135"/>
      <c r="AE430" s="135"/>
      <c r="AF430" s="135"/>
      <c r="AG430" s="135"/>
      <c r="AH430" s="135"/>
      <c r="AI430" s="135"/>
      <c r="AJ430" s="135"/>
      <c r="AK430" s="135"/>
      <c r="AL430" s="135"/>
      <c r="AM430" s="135"/>
      <c r="AN430" s="135"/>
      <c r="AO430" s="135"/>
      <c r="AP430" s="135"/>
      <c r="AQ430" s="135"/>
      <c r="AR430" s="135"/>
      <c r="AS430" s="135"/>
      <c r="AT430" s="135"/>
      <c r="AU430" s="135"/>
      <c r="AV430" s="135"/>
      <c r="AW430" s="135"/>
      <c r="AX430" s="135"/>
      <c r="AY430" s="135"/>
      <c r="AZ430" s="135"/>
      <c r="BA430" s="135"/>
      <c r="BB430" s="135"/>
      <c r="BC430" s="135"/>
      <c r="BD430" s="135"/>
      <c r="BE430" s="135"/>
      <c r="BF430" s="135"/>
      <c r="BG430" s="135"/>
      <c r="BH430" s="135"/>
      <c r="BI430" s="135"/>
      <c r="BJ430" s="135"/>
      <c r="BK430" s="135"/>
      <c r="BL430" s="135"/>
      <c r="BM430" s="135"/>
      <c r="BN430" s="135"/>
      <c r="BO430" s="135"/>
      <c r="BP430" s="135"/>
      <c r="BQ430" s="135"/>
      <c r="BR430" s="135"/>
      <c r="BS430" s="135"/>
      <c r="BT430" s="135"/>
    </row>
    <row r="431" spans="1:72" s="196" customFormat="1">
      <c r="A431" s="135"/>
      <c r="B431" s="135"/>
      <c r="C431" s="135"/>
      <c r="D431" s="135"/>
      <c r="E431" s="135"/>
      <c r="F431" s="135"/>
      <c r="G431" s="135"/>
      <c r="H431" s="135"/>
      <c r="I431" s="135"/>
      <c r="J431" s="135"/>
      <c r="K431" s="135"/>
      <c r="L431" s="135"/>
      <c r="M431" s="135"/>
      <c r="N431" s="135"/>
      <c r="O431" s="135"/>
      <c r="P431" s="135"/>
      <c r="Q431" s="135"/>
      <c r="R431" s="135"/>
      <c r="S431" s="135"/>
      <c r="T431" s="135"/>
      <c r="U431" s="135"/>
      <c r="V431" s="135"/>
      <c r="W431" s="135"/>
      <c r="X431" s="135"/>
      <c r="Y431" s="135"/>
      <c r="Z431" s="135"/>
      <c r="AA431" s="135"/>
      <c r="AB431" s="135"/>
      <c r="AC431" s="135"/>
      <c r="AD431" s="135"/>
      <c r="AE431" s="135"/>
      <c r="AF431" s="135"/>
      <c r="AG431" s="135"/>
      <c r="AH431" s="135"/>
      <c r="AI431" s="135"/>
      <c r="AJ431" s="135"/>
      <c r="AK431" s="135"/>
      <c r="AL431" s="135"/>
      <c r="AM431" s="135"/>
      <c r="AN431" s="135"/>
      <c r="AO431" s="135"/>
      <c r="AP431" s="135"/>
      <c r="AQ431" s="135"/>
      <c r="AR431" s="135"/>
      <c r="AS431" s="135"/>
      <c r="AT431" s="135"/>
      <c r="AU431" s="135"/>
      <c r="AV431" s="135"/>
      <c r="AW431" s="135"/>
      <c r="AX431" s="135"/>
      <c r="AY431" s="135"/>
      <c r="AZ431" s="135"/>
      <c r="BA431" s="135"/>
      <c r="BB431" s="135"/>
      <c r="BC431" s="135"/>
      <c r="BD431" s="135"/>
      <c r="BE431" s="135"/>
      <c r="BF431" s="135"/>
      <c r="BG431" s="135"/>
      <c r="BH431" s="135"/>
      <c r="BI431" s="135"/>
      <c r="BJ431" s="135"/>
      <c r="BK431" s="135"/>
      <c r="BL431" s="135"/>
      <c r="BM431" s="135"/>
      <c r="BN431" s="135"/>
      <c r="BO431" s="135"/>
      <c r="BP431" s="135"/>
      <c r="BQ431" s="135"/>
      <c r="BR431" s="135"/>
      <c r="BS431" s="135"/>
      <c r="BT431" s="135"/>
    </row>
    <row r="432" spans="1:72" s="196" customFormat="1">
      <c r="A432" s="135"/>
      <c r="B432" s="135"/>
      <c r="C432" s="135"/>
      <c r="D432" s="135"/>
      <c r="E432" s="135"/>
      <c r="F432" s="135"/>
      <c r="G432" s="135"/>
      <c r="H432" s="135"/>
      <c r="I432" s="135"/>
      <c r="J432" s="135"/>
      <c r="K432" s="135"/>
      <c r="L432" s="135"/>
      <c r="M432" s="135"/>
      <c r="N432" s="135"/>
      <c r="O432" s="135"/>
      <c r="P432" s="135"/>
      <c r="Q432" s="135"/>
      <c r="R432" s="135"/>
      <c r="S432" s="135"/>
      <c r="T432" s="135"/>
      <c r="U432" s="135"/>
      <c r="V432" s="135"/>
      <c r="W432" s="135"/>
      <c r="X432" s="135"/>
      <c r="Y432" s="135"/>
      <c r="Z432" s="135"/>
      <c r="AA432" s="135"/>
      <c r="AB432" s="135"/>
      <c r="AC432" s="135"/>
      <c r="AD432" s="135"/>
      <c r="AE432" s="135"/>
      <c r="AF432" s="135"/>
      <c r="AG432" s="135"/>
      <c r="AH432" s="135"/>
      <c r="AI432" s="135"/>
      <c r="AJ432" s="135"/>
      <c r="AK432" s="135"/>
      <c r="AL432" s="135"/>
      <c r="AM432" s="135"/>
      <c r="AN432" s="135"/>
      <c r="AO432" s="135"/>
      <c r="AP432" s="135"/>
      <c r="AQ432" s="135"/>
      <c r="AR432" s="135"/>
      <c r="AS432" s="135"/>
      <c r="AT432" s="135"/>
      <c r="AU432" s="135"/>
      <c r="AV432" s="135"/>
      <c r="AW432" s="135"/>
      <c r="AX432" s="135"/>
      <c r="AY432" s="135"/>
      <c r="AZ432" s="135"/>
      <c r="BA432" s="135"/>
      <c r="BB432" s="135"/>
      <c r="BC432" s="135"/>
      <c r="BD432" s="135"/>
      <c r="BE432" s="135"/>
      <c r="BF432" s="135"/>
      <c r="BG432" s="135"/>
      <c r="BH432" s="135"/>
      <c r="BI432" s="135"/>
      <c r="BJ432" s="135"/>
      <c r="BK432" s="135"/>
      <c r="BL432" s="135"/>
      <c r="BM432" s="135"/>
      <c r="BN432" s="135"/>
      <c r="BO432" s="135"/>
      <c r="BP432" s="135"/>
      <c r="BQ432" s="135"/>
      <c r="BR432" s="135"/>
      <c r="BS432" s="135"/>
      <c r="BT432" s="135"/>
    </row>
    <row r="433" spans="1:72" s="196" customFormat="1">
      <c r="A433" s="135"/>
      <c r="B433" s="135"/>
      <c r="C433" s="135"/>
      <c r="D433" s="135"/>
      <c r="E433" s="135"/>
      <c r="F433" s="135"/>
      <c r="G433" s="135"/>
      <c r="H433" s="135"/>
      <c r="I433" s="135"/>
      <c r="J433" s="135"/>
      <c r="K433" s="135"/>
      <c r="L433" s="135"/>
      <c r="M433" s="135"/>
      <c r="N433" s="135"/>
      <c r="O433" s="135"/>
      <c r="P433" s="135"/>
      <c r="Q433" s="135"/>
      <c r="R433" s="135"/>
      <c r="S433" s="135"/>
      <c r="T433" s="135"/>
      <c r="U433" s="135"/>
      <c r="V433" s="135"/>
      <c r="W433" s="135"/>
      <c r="X433" s="135"/>
      <c r="Y433" s="135"/>
      <c r="Z433" s="135"/>
      <c r="AA433" s="135"/>
      <c r="AB433" s="135"/>
      <c r="AC433" s="135"/>
      <c r="AD433" s="135"/>
      <c r="AE433" s="135"/>
      <c r="AF433" s="135"/>
      <c r="AG433" s="135"/>
      <c r="AH433" s="135"/>
      <c r="AI433" s="135"/>
      <c r="AJ433" s="135"/>
      <c r="AK433" s="135"/>
      <c r="AL433" s="135"/>
      <c r="AM433" s="135"/>
      <c r="AN433" s="135"/>
      <c r="AO433" s="135"/>
      <c r="AP433" s="135"/>
      <c r="AQ433" s="135"/>
      <c r="AR433" s="135"/>
      <c r="AS433" s="135"/>
      <c r="AT433" s="135"/>
      <c r="AU433" s="135"/>
      <c r="AV433" s="135"/>
      <c r="AW433" s="135"/>
      <c r="AX433" s="135"/>
      <c r="AY433" s="135"/>
      <c r="AZ433" s="135"/>
      <c r="BA433" s="135"/>
      <c r="BB433" s="135"/>
      <c r="BC433" s="135"/>
      <c r="BD433" s="135"/>
      <c r="BE433" s="135"/>
      <c r="BF433" s="135"/>
      <c r="BG433" s="135"/>
      <c r="BH433" s="135"/>
      <c r="BI433" s="135"/>
      <c r="BJ433" s="135"/>
      <c r="BK433" s="135"/>
      <c r="BL433" s="135"/>
      <c r="BM433" s="135"/>
      <c r="BN433" s="135"/>
      <c r="BO433" s="135"/>
      <c r="BP433" s="135"/>
      <c r="BQ433" s="135"/>
      <c r="BR433" s="135"/>
      <c r="BS433" s="135"/>
      <c r="BT433" s="135"/>
    </row>
    <row r="434" spans="1:72" s="196" customFormat="1">
      <c r="A434" s="135"/>
      <c r="B434" s="135"/>
      <c r="C434" s="135"/>
      <c r="D434" s="135"/>
      <c r="E434" s="135"/>
      <c r="F434" s="135"/>
      <c r="G434" s="135"/>
      <c r="H434" s="135"/>
      <c r="I434" s="135"/>
      <c r="J434" s="135"/>
      <c r="K434" s="135"/>
      <c r="L434" s="135"/>
      <c r="M434" s="135"/>
      <c r="N434" s="135"/>
      <c r="O434" s="135"/>
      <c r="P434" s="135"/>
      <c r="Q434" s="135"/>
      <c r="R434" s="135"/>
      <c r="S434" s="135"/>
      <c r="T434" s="135"/>
      <c r="U434" s="135"/>
      <c r="V434" s="135"/>
      <c r="W434" s="135"/>
      <c r="X434" s="135"/>
      <c r="Y434" s="135"/>
      <c r="Z434" s="135"/>
      <c r="AA434" s="135"/>
      <c r="AB434" s="135"/>
      <c r="AC434" s="135"/>
      <c r="AD434" s="135"/>
      <c r="AE434" s="135"/>
      <c r="AF434" s="135"/>
      <c r="AG434" s="135"/>
      <c r="AH434" s="135"/>
      <c r="AI434" s="135"/>
      <c r="AJ434" s="135"/>
      <c r="AK434" s="135"/>
      <c r="AL434" s="135"/>
      <c r="AM434" s="135"/>
      <c r="AN434" s="135"/>
      <c r="AO434" s="135"/>
      <c r="AP434" s="135"/>
      <c r="AQ434" s="135"/>
      <c r="AR434" s="135"/>
      <c r="AS434" s="135"/>
      <c r="AT434" s="135"/>
      <c r="AU434" s="135"/>
      <c r="AV434" s="135"/>
      <c r="AW434" s="135"/>
      <c r="AX434" s="135"/>
      <c r="AY434" s="135"/>
      <c r="AZ434" s="135"/>
      <c r="BA434" s="135"/>
      <c r="BB434" s="135"/>
      <c r="BC434" s="135"/>
      <c r="BD434" s="135"/>
      <c r="BE434" s="135"/>
      <c r="BF434" s="135"/>
      <c r="BG434" s="135"/>
      <c r="BH434" s="135"/>
      <c r="BI434" s="135"/>
      <c r="BJ434" s="135"/>
      <c r="BK434" s="135"/>
      <c r="BL434" s="135"/>
      <c r="BM434" s="135"/>
      <c r="BN434" s="135"/>
      <c r="BO434" s="135"/>
      <c r="BP434" s="135"/>
      <c r="BQ434" s="135"/>
      <c r="BR434" s="135"/>
      <c r="BS434" s="135"/>
      <c r="BT434" s="135"/>
    </row>
    <row r="435" spans="1:72" s="196" customFormat="1">
      <c r="A435" s="135"/>
      <c r="B435" s="135"/>
      <c r="C435" s="135"/>
      <c r="D435" s="135"/>
      <c r="E435" s="135"/>
      <c r="F435" s="135"/>
      <c r="G435" s="135"/>
      <c r="H435" s="135"/>
      <c r="I435" s="135"/>
      <c r="J435" s="135"/>
      <c r="K435" s="135"/>
      <c r="L435" s="135"/>
      <c r="M435" s="135"/>
      <c r="N435" s="135"/>
      <c r="O435" s="135"/>
      <c r="P435" s="135"/>
      <c r="Q435" s="135"/>
      <c r="R435" s="135"/>
      <c r="S435" s="135"/>
      <c r="T435" s="135"/>
      <c r="U435" s="135"/>
      <c r="V435" s="135"/>
      <c r="W435" s="135"/>
      <c r="X435" s="135"/>
      <c r="Y435" s="135"/>
      <c r="Z435" s="135"/>
      <c r="AA435" s="135"/>
      <c r="AB435" s="135"/>
      <c r="AC435" s="135"/>
      <c r="AD435" s="135"/>
      <c r="AE435" s="135"/>
      <c r="AF435" s="135"/>
      <c r="AG435" s="135"/>
      <c r="AH435" s="135"/>
      <c r="AI435" s="135"/>
      <c r="AJ435" s="135"/>
      <c r="AK435" s="135"/>
      <c r="AL435" s="135"/>
      <c r="AM435" s="135"/>
      <c r="AN435" s="135"/>
      <c r="AO435" s="135"/>
      <c r="AP435" s="135"/>
      <c r="AQ435" s="135"/>
      <c r="AR435" s="135"/>
      <c r="AS435" s="135"/>
      <c r="AT435" s="135"/>
      <c r="AU435" s="135"/>
      <c r="AV435" s="135"/>
      <c r="AW435" s="135"/>
      <c r="AX435" s="135"/>
      <c r="AY435" s="135"/>
      <c r="AZ435" s="135"/>
      <c r="BA435" s="135"/>
      <c r="BB435" s="135"/>
      <c r="BC435" s="135"/>
      <c r="BD435" s="135"/>
      <c r="BE435" s="135"/>
      <c r="BF435" s="135"/>
      <c r="BG435" s="135"/>
      <c r="BH435" s="135"/>
      <c r="BI435" s="135"/>
      <c r="BJ435" s="135"/>
      <c r="BK435" s="135"/>
      <c r="BL435" s="135"/>
      <c r="BM435" s="135"/>
      <c r="BN435" s="135"/>
      <c r="BO435" s="135"/>
      <c r="BP435" s="135"/>
      <c r="BQ435" s="135"/>
      <c r="BR435" s="135"/>
      <c r="BS435" s="135"/>
      <c r="BT435" s="135"/>
    </row>
    <row r="436" spans="1:72" s="196" customFormat="1">
      <c r="A436" s="135"/>
      <c r="B436" s="135"/>
      <c r="C436" s="135"/>
      <c r="D436" s="135"/>
      <c r="E436" s="135"/>
      <c r="F436" s="135"/>
      <c r="G436" s="135"/>
      <c r="H436" s="135"/>
      <c r="I436" s="135"/>
      <c r="J436" s="135"/>
      <c r="K436" s="135"/>
      <c r="L436" s="135"/>
      <c r="M436" s="135"/>
      <c r="N436" s="135"/>
      <c r="O436" s="135"/>
      <c r="P436" s="135"/>
      <c r="Q436" s="135"/>
      <c r="R436" s="135"/>
      <c r="S436" s="135"/>
      <c r="T436" s="135"/>
      <c r="U436" s="135"/>
      <c r="V436" s="135"/>
      <c r="W436" s="135"/>
      <c r="X436" s="135"/>
      <c r="Y436" s="135"/>
      <c r="Z436" s="135"/>
      <c r="AA436" s="135"/>
      <c r="AB436" s="135"/>
      <c r="AC436" s="135"/>
      <c r="AD436" s="135"/>
      <c r="AE436" s="135"/>
      <c r="AF436" s="135"/>
      <c r="AG436" s="135"/>
      <c r="AH436" s="135"/>
      <c r="AI436" s="135"/>
      <c r="AJ436" s="135"/>
      <c r="AK436" s="135"/>
      <c r="AL436" s="135"/>
      <c r="AM436" s="135"/>
      <c r="AN436" s="135"/>
      <c r="AO436" s="135"/>
      <c r="AP436" s="135"/>
      <c r="AQ436" s="135"/>
      <c r="AR436" s="135"/>
      <c r="AS436" s="135"/>
      <c r="AT436" s="135"/>
      <c r="AU436" s="135"/>
      <c r="AV436" s="135"/>
      <c r="AW436" s="135"/>
      <c r="AX436" s="135"/>
      <c r="AY436" s="135"/>
      <c r="AZ436" s="135"/>
      <c r="BA436" s="135"/>
      <c r="BB436" s="135"/>
      <c r="BC436" s="135"/>
      <c r="BD436" s="135"/>
      <c r="BE436" s="135"/>
      <c r="BF436" s="135"/>
      <c r="BG436" s="135"/>
      <c r="BH436" s="135"/>
      <c r="BI436" s="135"/>
      <c r="BJ436" s="135"/>
      <c r="BK436" s="135"/>
      <c r="BL436" s="135"/>
      <c r="BM436" s="135"/>
      <c r="BN436" s="135"/>
      <c r="BO436" s="135"/>
      <c r="BP436" s="135"/>
      <c r="BQ436" s="135"/>
      <c r="BR436" s="135"/>
      <c r="BS436" s="135"/>
      <c r="BT436" s="135"/>
    </row>
    <row r="437" spans="1:72" s="196" customFormat="1">
      <c r="A437" s="135"/>
      <c r="B437" s="135"/>
      <c r="C437" s="135"/>
      <c r="D437" s="135"/>
      <c r="E437" s="135"/>
      <c r="F437" s="135"/>
      <c r="G437" s="135"/>
      <c r="H437" s="135"/>
      <c r="I437" s="135"/>
      <c r="J437" s="135"/>
      <c r="K437" s="135"/>
      <c r="L437" s="135"/>
      <c r="M437" s="135"/>
      <c r="N437" s="135"/>
      <c r="O437" s="135"/>
      <c r="P437" s="135"/>
      <c r="Q437" s="135"/>
      <c r="R437" s="135"/>
      <c r="S437" s="135"/>
      <c r="T437" s="135"/>
      <c r="U437" s="135"/>
      <c r="V437" s="135"/>
      <c r="W437" s="135"/>
      <c r="X437" s="135"/>
      <c r="Y437" s="135"/>
      <c r="Z437" s="135"/>
      <c r="AA437" s="135"/>
      <c r="AB437" s="135"/>
      <c r="AC437" s="135"/>
      <c r="AD437" s="135"/>
      <c r="AE437" s="135"/>
      <c r="AF437" s="135"/>
      <c r="AG437" s="135"/>
      <c r="AH437" s="135"/>
      <c r="AI437" s="135"/>
      <c r="AJ437" s="135"/>
      <c r="AK437" s="135"/>
      <c r="AL437" s="135"/>
      <c r="AM437" s="135"/>
      <c r="AN437" s="135"/>
      <c r="AO437" s="135"/>
      <c r="AP437" s="135"/>
      <c r="AQ437" s="135"/>
      <c r="AR437" s="135"/>
      <c r="AS437" s="135"/>
      <c r="AT437" s="135"/>
      <c r="AU437" s="135"/>
      <c r="AV437" s="135"/>
      <c r="AW437" s="135"/>
      <c r="AX437" s="135"/>
      <c r="AY437" s="135"/>
      <c r="AZ437" s="135"/>
      <c r="BA437" s="135"/>
      <c r="BB437" s="135"/>
      <c r="BC437" s="135"/>
      <c r="BD437" s="135"/>
      <c r="BE437" s="135"/>
      <c r="BF437" s="135"/>
      <c r="BG437" s="135"/>
      <c r="BH437" s="135"/>
      <c r="BI437" s="135"/>
      <c r="BJ437" s="135"/>
      <c r="BK437" s="135"/>
      <c r="BL437" s="135"/>
      <c r="BM437" s="135"/>
      <c r="BN437" s="135"/>
      <c r="BO437" s="135"/>
      <c r="BP437" s="135"/>
      <c r="BQ437" s="135"/>
      <c r="BR437" s="135"/>
      <c r="BS437" s="135"/>
      <c r="BT437" s="135"/>
    </row>
    <row r="438" spans="1:72" s="196" customFormat="1">
      <c r="A438" s="135"/>
      <c r="B438" s="135"/>
      <c r="C438" s="135"/>
      <c r="D438" s="135"/>
      <c r="E438" s="135"/>
      <c r="F438" s="135"/>
      <c r="G438" s="135"/>
      <c r="H438" s="135"/>
      <c r="I438" s="135"/>
      <c r="J438" s="135"/>
      <c r="K438" s="135"/>
      <c r="L438" s="135"/>
      <c r="M438" s="135"/>
      <c r="N438" s="135"/>
      <c r="O438" s="135"/>
      <c r="P438" s="135"/>
      <c r="Q438" s="135"/>
      <c r="R438" s="135"/>
      <c r="S438" s="135"/>
      <c r="T438" s="135"/>
      <c r="U438" s="135"/>
      <c r="V438" s="135"/>
      <c r="W438" s="135"/>
      <c r="X438" s="135"/>
      <c r="Y438" s="135"/>
      <c r="Z438" s="135"/>
      <c r="AA438" s="135"/>
      <c r="AB438" s="135"/>
      <c r="AC438" s="135"/>
      <c r="AD438" s="135"/>
      <c r="AE438" s="135"/>
      <c r="AF438" s="135"/>
      <c r="AG438" s="135"/>
      <c r="AH438" s="135"/>
      <c r="AI438" s="135"/>
      <c r="AJ438" s="135"/>
      <c r="AK438" s="135"/>
      <c r="AL438" s="135"/>
      <c r="AM438" s="135"/>
      <c r="AN438" s="135"/>
      <c r="AO438" s="135"/>
      <c r="AP438" s="135"/>
      <c r="AQ438" s="135"/>
      <c r="AR438" s="135"/>
      <c r="AS438" s="135"/>
      <c r="AT438" s="135"/>
      <c r="AU438" s="135"/>
      <c r="AV438" s="135"/>
      <c r="AW438" s="135"/>
      <c r="AX438" s="135"/>
      <c r="AY438" s="135"/>
      <c r="AZ438" s="135"/>
      <c r="BA438" s="135"/>
      <c r="BB438" s="135"/>
      <c r="BC438" s="135"/>
      <c r="BD438" s="135"/>
      <c r="BE438" s="135"/>
      <c r="BF438" s="135"/>
      <c r="BG438" s="135"/>
      <c r="BH438" s="135"/>
      <c r="BI438" s="135"/>
      <c r="BJ438" s="135"/>
      <c r="BK438" s="135"/>
      <c r="BL438" s="135"/>
      <c r="BM438" s="135"/>
      <c r="BN438" s="135"/>
      <c r="BO438" s="135"/>
      <c r="BP438" s="135"/>
      <c r="BQ438" s="135"/>
      <c r="BR438" s="135"/>
      <c r="BS438" s="135"/>
      <c r="BT438" s="135"/>
    </row>
    <row r="439" spans="1:72" s="196" customFormat="1">
      <c r="A439" s="135"/>
      <c r="B439" s="135"/>
      <c r="C439" s="135"/>
      <c r="D439" s="135"/>
      <c r="E439" s="135"/>
      <c r="F439" s="135"/>
      <c r="G439" s="135"/>
      <c r="H439" s="135"/>
      <c r="I439" s="135"/>
      <c r="J439" s="135"/>
      <c r="K439" s="135"/>
      <c r="L439" s="135"/>
      <c r="M439" s="135"/>
      <c r="N439" s="135"/>
      <c r="O439" s="135"/>
      <c r="P439" s="135"/>
      <c r="Q439" s="135"/>
      <c r="R439" s="135"/>
      <c r="S439" s="135"/>
      <c r="T439" s="135"/>
      <c r="U439" s="135"/>
      <c r="V439" s="135"/>
      <c r="W439" s="135"/>
      <c r="X439" s="135"/>
      <c r="Y439" s="135"/>
      <c r="Z439" s="135"/>
      <c r="AA439" s="135"/>
      <c r="AB439" s="135"/>
      <c r="AC439" s="135"/>
      <c r="AD439" s="135"/>
      <c r="AE439" s="135"/>
      <c r="AF439" s="135"/>
      <c r="AG439" s="135"/>
      <c r="AH439" s="135"/>
      <c r="AI439" s="135"/>
      <c r="AJ439" s="135"/>
      <c r="AK439" s="135"/>
      <c r="AL439" s="135"/>
      <c r="AM439" s="135"/>
      <c r="AN439" s="135"/>
      <c r="AO439" s="135"/>
      <c r="AP439" s="135"/>
      <c r="AQ439" s="135"/>
      <c r="AR439" s="135"/>
      <c r="AS439" s="135"/>
      <c r="AT439" s="135"/>
      <c r="AU439" s="135"/>
      <c r="AV439" s="135"/>
      <c r="AW439" s="135"/>
      <c r="AX439" s="135"/>
      <c r="AY439" s="135"/>
      <c r="AZ439" s="135"/>
      <c r="BA439" s="135"/>
      <c r="BB439" s="135"/>
      <c r="BC439" s="135"/>
      <c r="BD439" s="135"/>
      <c r="BE439" s="135"/>
      <c r="BF439" s="135"/>
      <c r="BG439" s="135"/>
      <c r="BH439" s="135"/>
      <c r="BI439" s="135"/>
      <c r="BJ439" s="135"/>
      <c r="BK439" s="135"/>
      <c r="BL439" s="135"/>
      <c r="BM439" s="135"/>
      <c r="BN439" s="135"/>
      <c r="BO439" s="135"/>
      <c r="BP439" s="135"/>
      <c r="BQ439" s="135"/>
      <c r="BR439" s="135"/>
      <c r="BS439" s="135"/>
      <c r="BT439" s="135"/>
    </row>
    <row r="440" spans="1:72" s="196" customFormat="1">
      <c r="A440" s="135"/>
      <c r="B440" s="135"/>
      <c r="C440" s="135"/>
      <c r="D440" s="135"/>
      <c r="E440" s="135"/>
      <c r="F440" s="135"/>
      <c r="G440" s="135"/>
      <c r="H440" s="135"/>
      <c r="I440" s="135"/>
      <c r="J440" s="135"/>
      <c r="K440" s="135"/>
      <c r="L440" s="135"/>
      <c r="M440" s="135"/>
      <c r="N440" s="135"/>
      <c r="O440" s="135"/>
      <c r="P440" s="135"/>
      <c r="Q440" s="135"/>
      <c r="R440" s="135"/>
      <c r="S440" s="135"/>
      <c r="T440" s="135"/>
      <c r="U440" s="135"/>
      <c r="V440" s="135"/>
      <c r="W440" s="135"/>
      <c r="X440" s="135"/>
      <c r="Y440" s="135"/>
      <c r="Z440" s="135"/>
      <c r="AA440" s="135"/>
      <c r="AB440" s="135"/>
      <c r="AC440" s="135"/>
      <c r="AD440" s="135"/>
      <c r="AE440" s="135"/>
      <c r="AF440" s="135"/>
      <c r="AG440" s="135"/>
      <c r="AH440" s="135"/>
      <c r="AI440" s="135"/>
      <c r="AJ440" s="135"/>
      <c r="AK440" s="135"/>
      <c r="AL440" s="135"/>
      <c r="AM440" s="135"/>
      <c r="AN440" s="135"/>
      <c r="AO440" s="135"/>
      <c r="AP440" s="135"/>
      <c r="AQ440" s="135"/>
      <c r="AR440" s="135"/>
      <c r="AS440" s="135"/>
      <c r="AT440" s="135"/>
      <c r="AU440" s="135"/>
      <c r="AV440" s="135"/>
      <c r="AW440" s="135"/>
      <c r="AX440" s="135"/>
      <c r="AY440" s="135"/>
      <c r="AZ440" s="135"/>
      <c r="BA440" s="135"/>
      <c r="BB440" s="135"/>
      <c r="BC440" s="135"/>
      <c r="BD440" s="135"/>
      <c r="BE440" s="135"/>
      <c r="BF440" s="135"/>
      <c r="BG440" s="135"/>
      <c r="BH440" s="135"/>
      <c r="BI440" s="135"/>
      <c r="BJ440" s="135"/>
      <c r="BK440" s="135"/>
      <c r="BL440" s="135"/>
      <c r="BM440" s="135"/>
      <c r="BN440" s="135"/>
      <c r="BO440" s="135"/>
      <c r="BP440" s="135"/>
      <c r="BQ440" s="135"/>
      <c r="BR440" s="135"/>
      <c r="BS440" s="135"/>
      <c r="BT440" s="135"/>
    </row>
    <row r="441" spans="1:72" s="196" customFormat="1">
      <c r="A441" s="135"/>
      <c r="B441" s="135"/>
      <c r="C441" s="135"/>
      <c r="D441" s="135"/>
      <c r="E441" s="135"/>
      <c r="F441" s="135"/>
      <c r="G441" s="135"/>
      <c r="H441" s="135"/>
      <c r="I441" s="135"/>
      <c r="J441" s="135"/>
      <c r="K441" s="135"/>
      <c r="L441" s="135"/>
      <c r="M441" s="135"/>
      <c r="N441" s="135"/>
      <c r="O441" s="135"/>
      <c r="P441" s="135"/>
      <c r="Q441" s="135"/>
      <c r="R441" s="135"/>
      <c r="S441" s="135"/>
      <c r="T441" s="135"/>
      <c r="U441" s="135"/>
      <c r="V441" s="135"/>
      <c r="W441" s="135"/>
      <c r="X441" s="135"/>
      <c r="Y441" s="135"/>
      <c r="Z441" s="135"/>
      <c r="AA441" s="135"/>
      <c r="AB441" s="135"/>
      <c r="AC441" s="135"/>
      <c r="AD441" s="135"/>
      <c r="AE441" s="135"/>
      <c r="AF441" s="135"/>
      <c r="AG441" s="135"/>
      <c r="AH441" s="135"/>
      <c r="AI441" s="135"/>
      <c r="AJ441" s="135"/>
      <c r="AK441" s="135"/>
      <c r="AL441" s="135"/>
      <c r="AM441" s="135"/>
      <c r="AN441" s="135"/>
      <c r="AO441" s="135"/>
      <c r="AP441" s="135"/>
      <c r="AQ441" s="135"/>
      <c r="AR441" s="135"/>
      <c r="AS441" s="135"/>
      <c r="AT441" s="135"/>
      <c r="AU441" s="135"/>
      <c r="AV441" s="135"/>
      <c r="AW441" s="135"/>
      <c r="AX441" s="135"/>
      <c r="AY441" s="135"/>
      <c r="AZ441" s="135"/>
      <c r="BA441" s="135"/>
      <c r="BB441" s="135"/>
      <c r="BC441" s="135"/>
      <c r="BD441" s="135"/>
      <c r="BE441" s="135"/>
      <c r="BF441" s="135"/>
      <c r="BG441" s="135"/>
      <c r="BH441" s="135"/>
      <c r="BI441" s="135"/>
      <c r="BJ441" s="135"/>
      <c r="BK441" s="135"/>
      <c r="BL441" s="135"/>
      <c r="BM441" s="135"/>
      <c r="BN441" s="135"/>
      <c r="BO441" s="135"/>
      <c r="BP441" s="135"/>
      <c r="BQ441" s="135"/>
      <c r="BR441" s="135"/>
      <c r="BS441" s="135"/>
      <c r="BT441" s="135"/>
    </row>
    <row r="442" spans="1:72" s="196" customFormat="1">
      <c r="A442" s="135"/>
      <c r="B442" s="135"/>
      <c r="C442" s="135"/>
      <c r="D442" s="135"/>
      <c r="E442" s="135"/>
      <c r="F442" s="135"/>
      <c r="G442" s="135"/>
      <c r="H442" s="135"/>
      <c r="I442" s="135"/>
      <c r="J442" s="135"/>
      <c r="K442" s="135"/>
      <c r="L442" s="135"/>
      <c r="M442" s="135"/>
      <c r="N442" s="135"/>
      <c r="O442" s="135"/>
      <c r="P442" s="135"/>
      <c r="Q442" s="135"/>
      <c r="R442" s="135"/>
      <c r="S442" s="135"/>
      <c r="T442" s="135"/>
      <c r="U442" s="135"/>
      <c r="V442" s="135"/>
      <c r="W442" s="135"/>
      <c r="X442" s="135"/>
      <c r="Y442" s="135"/>
      <c r="Z442" s="135"/>
      <c r="AA442" s="135"/>
      <c r="AB442" s="135"/>
      <c r="AC442" s="135"/>
      <c r="AD442" s="135"/>
      <c r="AE442" s="135"/>
      <c r="AF442" s="135"/>
      <c r="AG442" s="135"/>
      <c r="AH442" s="135"/>
      <c r="AI442" s="135"/>
      <c r="AJ442" s="135"/>
      <c r="AK442" s="135"/>
      <c r="AL442" s="135"/>
      <c r="AM442" s="135"/>
      <c r="AN442" s="135"/>
      <c r="AO442" s="135"/>
      <c r="AP442" s="135"/>
      <c r="AQ442" s="135"/>
      <c r="AR442" s="135"/>
      <c r="AS442" s="135"/>
      <c r="AT442" s="135"/>
      <c r="AU442" s="135"/>
      <c r="AV442" s="135"/>
      <c r="AW442" s="135"/>
      <c r="AX442" s="135"/>
      <c r="AY442" s="135"/>
      <c r="AZ442" s="135"/>
      <c r="BA442" s="135"/>
      <c r="BB442" s="135"/>
      <c r="BC442" s="135"/>
      <c r="BD442" s="135"/>
      <c r="BE442" s="135"/>
      <c r="BF442" s="135"/>
      <c r="BG442" s="135"/>
      <c r="BH442" s="135"/>
      <c r="BI442" s="135"/>
      <c r="BJ442" s="135"/>
      <c r="BK442" s="135"/>
      <c r="BL442" s="135"/>
      <c r="BM442" s="135"/>
      <c r="BN442" s="135"/>
      <c r="BO442" s="135"/>
      <c r="BP442" s="135"/>
      <c r="BQ442" s="135"/>
      <c r="BR442" s="135"/>
      <c r="BS442" s="135"/>
      <c r="BT442" s="135"/>
    </row>
    <row r="443" spans="1:72" s="196" customFormat="1">
      <c r="A443" s="135"/>
      <c r="B443" s="135"/>
      <c r="C443" s="135"/>
      <c r="D443" s="135"/>
      <c r="E443" s="135"/>
      <c r="F443" s="135"/>
      <c r="G443" s="135"/>
      <c r="H443" s="135"/>
      <c r="I443" s="135"/>
      <c r="J443" s="135"/>
      <c r="K443" s="135"/>
      <c r="L443" s="135"/>
      <c r="M443" s="135"/>
      <c r="N443" s="135"/>
      <c r="O443" s="135"/>
      <c r="P443" s="135"/>
      <c r="Q443" s="135"/>
      <c r="R443" s="135"/>
      <c r="S443" s="135"/>
      <c r="T443" s="135"/>
      <c r="U443" s="135"/>
      <c r="V443" s="135"/>
      <c r="W443" s="135"/>
      <c r="X443" s="135"/>
      <c r="Y443" s="135"/>
      <c r="Z443" s="135"/>
      <c r="AA443" s="135"/>
      <c r="AB443" s="135"/>
      <c r="AC443" s="135"/>
      <c r="AD443" s="135"/>
      <c r="AE443" s="135"/>
      <c r="AF443" s="135"/>
      <c r="AG443" s="135"/>
      <c r="AH443" s="135"/>
      <c r="AI443" s="135"/>
      <c r="AJ443" s="135"/>
      <c r="AK443" s="135"/>
      <c r="AL443" s="135"/>
      <c r="AM443" s="135"/>
      <c r="AN443" s="135"/>
      <c r="AO443" s="135"/>
      <c r="AP443" s="135"/>
      <c r="AQ443" s="135"/>
      <c r="AR443" s="135"/>
      <c r="AS443" s="135"/>
      <c r="AT443" s="135"/>
      <c r="AU443" s="135"/>
      <c r="AV443" s="135"/>
      <c r="AW443" s="135"/>
      <c r="AX443" s="135"/>
      <c r="AY443" s="135"/>
      <c r="AZ443" s="135"/>
      <c r="BA443" s="135"/>
      <c r="BB443" s="135"/>
      <c r="BC443" s="135"/>
      <c r="BD443" s="135"/>
      <c r="BE443" s="135"/>
      <c r="BF443" s="135"/>
      <c r="BG443" s="135"/>
      <c r="BH443" s="135"/>
      <c r="BI443" s="135"/>
      <c r="BJ443" s="135"/>
      <c r="BK443" s="135"/>
      <c r="BL443" s="135"/>
      <c r="BM443" s="135"/>
      <c r="BN443" s="135"/>
      <c r="BO443" s="135"/>
      <c r="BP443" s="135"/>
      <c r="BQ443" s="135"/>
      <c r="BR443" s="135"/>
      <c r="BS443" s="135"/>
      <c r="BT443" s="135"/>
    </row>
    <row r="444" spans="1:72" s="196" customFormat="1">
      <c r="A444" s="135"/>
      <c r="B444" s="135"/>
      <c r="C444" s="135"/>
      <c r="D444" s="135"/>
      <c r="E444" s="135"/>
      <c r="F444" s="135"/>
      <c r="G444" s="135"/>
      <c r="H444" s="135"/>
      <c r="I444" s="135"/>
      <c r="J444" s="135"/>
      <c r="K444" s="135"/>
      <c r="L444" s="135"/>
      <c r="M444" s="135"/>
      <c r="N444" s="135"/>
      <c r="O444" s="135"/>
      <c r="P444" s="135"/>
      <c r="Q444" s="135"/>
      <c r="R444" s="135"/>
      <c r="S444" s="135"/>
      <c r="T444" s="135"/>
      <c r="U444" s="135"/>
      <c r="V444" s="135"/>
      <c r="W444" s="135"/>
      <c r="X444" s="135"/>
      <c r="Y444" s="135"/>
      <c r="Z444" s="135"/>
      <c r="AA444" s="135"/>
      <c r="AB444" s="135"/>
      <c r="AC444" s="135"/>
      <c r="AD444" s="135"/>
      <c r="AE444" s="135"/>
      <c r="AF444" s="135"/>
      <c r="AG444" s="135"/>
      <c r="AH444" s="135"/>
      <c r="AI444" s="135"/>
      <c r="AJ444" s="135"/>
      <c r="AK444" s="135"/>
      <c r="AL444" s="135"/>
      <c r="AM444" s="135"/>
      <c r="AN444" s="135"/>
      <c r="AO444" s="135"/>
      <c r="AP444" s="135"/>
      <c r="AQ444" s="135"/>
      <c r="AR444" s="135"/>
      <c r="AS444" s="135"/>
      <c r="AT444" s="135"/>
      <c r="AU444" s="135"/>
      <c r="AV444" s="135"/>
      <c r="AW444" s="135"/>
      <c r="AX444" s="135"/>
      <c r="AY444" s="135"/>
      <c r="AZ444" s="135"/>
      <c r="BA444" s="135"/>
      <c r="BB444" s="135"/>
      <c r="BC444" s="135"/>
      <c r="BD444" s="135"/>
      <c r="BE444" s="135"/>
      <c r="BF444" s="135"/>
      <c r="BG444" s="135"/>
      <c r="BH444" s="135"/>
      <c r="BI444" s="135"/>
      <c r="BJ444" s="135"/>
      <c r="BK444" s="135"/>
      <c r="BL444" s="135"/>
      <c r="BM444" s="135"/>
      <c r="BN444" s="135"/>
      <c r="BO444" s="135"/>
      <c r="BP444" s="135"/>
      <c r="BQ444" s="135"/>
      <c r="BR444" s="135"/>
      <c r="BS444" s="135"/>
      <c r="BT444" s="135"/>
    </row>
    <row r="445" spans="1:72" s="196" customFormat="1">
      <c r="A445" s="135"/>
      <c r="B445" s="135"/>
      <c r="C445" s="135"/>
      <c r="D445" s="135"/>
      <c r="E445" s="135"/>
      <c r="F445" s="135"/>
      <c r="G445" s="135"/>
      <c r="H445" s="135"/>
      <c r="I445" s="135"/>
      <c r="J445" s="135"/>
      <c r="K445" s="135"/>
      <c r="L445" s="135"/>
      <c r="M445" s="135"/>
      <c r="N445" s="135"/>
      <c r="O445" s="135"/>
      <c r="P445" s="135"/>
      <c r="Q445" s="135"/>
      <c r="R445" s="135"/>
      <c r="S445" s="135"/>
      <c r="T445" s="135"/>
      <c r="U445" s="135"/>
      <c r="V445" s="135"/>
      <c r="W445" s="135"/>
      <c r="X445" s="135"/>
      <c r="Y445" s="135"/>
      <c r="Z445" s="135"/>
      <c r="AA445" s="135"/>
      <c r="AB445" s="135"/>
      <c r="AC445" s="135"/>
      <c r="AD445" s="135"/>
      <c r="AE445" s="135"/>
      <c r="AF445" s="135"/>
      <c r="AG445" s="135"/>
      <c r="AH445" s="135"/>
      <c r="AI445" s="135"/>
      <c r="AJ445" s="135"/>
      <c r="AK445" s="135"/>
      <c r="AL445" s="135"/>
      <c r="AM445" s="135"/>
      <c r="AN445" s="135"/>
      <c r="AO445" s="135"/>
      <c r="AP445" s="135"/>
      <c r="AQ445" s="135"/>
      <c r="AR445" s="135"/>
      <c r="AS445" s="135"/>
      <c r="AT445" s="135"/>
      <c r="AU445" s="135"/>
      <c r="AV445" s="135"/>
      <c r="AW445" s="135"/>
      <c r="AX445" s="135"/>
      <c r="AY445" s="135"/>
      <c r="AZ445" s="135"/>
      <c r="BA445" s="135"/>
      <c r="BB445" s="135"/>
      <c r="BC445" s="135"/>
      <c r="BD445" s="135"/>
      <c r="BE445" s="135"/>
      <c r="BF445" s="135"/>
      <c r="BG445" s="135"/>
      <c r="BH445" s="135"/>
      <c r="BI445" s="135"/>
      <c r="BJ445" s="135"/>
      <c r="BK445" s="135"/>
      <c r="BL445" s="135"/>
      <c r="BM445" s="135"/>
      <c r="BN445" s="135"/>
      <c r="BO445" s="135"/>
      <c r="BP445" s="135"/>
      <c r="BQ445" s="135"/>
      <c r="BR445" s="135"/>
      <c r="BS445" s="135"/>
      <c r="BT445" s="135"/>
    </row>
    <row r="446" spans="1:72" s="196" customFormat="1">
      <c r="A446" s="135"/>
      <c r="B446" s="135"/>
      <c r="C446" s="135"/>
      <c r="D446" s="135"/>
      <c r="E446" s="135"/>
      <c r="F446" s="135"/>
      <c r="G446" s="135"/>
      <c r="H446" s="135"/>
      <c r="I446" s="135"/>
      <c r="J446" s="135"/>
      <c r="K446" s="135"/>
      <c r="L446" s="135"/>
      <c r="M446" s="135"/>
      <c r="N446" s="135"/>
      <c r="O446" s="135"/>
      <c r="P446" s="135"/>
      <c r="Q446" s="135"/>
      <c r="R446" s="135"/>
      <c r="S446" s="135"/>
      <c r="T446" s="135"/>
      <c r="U446" s="135"/>
      <c r="V446" s="135"/>
      <c r="W446" s="135"/>
      <c r="X446" s="135"/>
      <c r="Y446" s="135"/>
      <c r="Z446" s="135"/>
      <c r="AA446" s="135"/>
      <c r="AB446" s="135"/>
      <c r="AC446" s="135"/>
      <c r="AD446" s="135"/>
      <c r="AE446" s="135"/>
      <c r="AF446" s="135"/>
      <c r="AG446" s="135"/>
      <c r="AH446" s="135"/>
      <c r="AI446" s="135"/>
      <c r="AJ446" s="135"/>
      <c r="AK446" s="135"/>
      <c r="AL446" s="135"/>
      <c r="AM446" s="135"/>
      <c r="AN446" s="135"/>
      <c r="AO446" s="135"/>
      <c r="AP446" s="135"/>
      <c r="AQ446" s="135"/>
      <c r="AR446" s="135"/>
      <c r="AS446" s="135"/>
      <c r="AT446" s="135"/>
      <c r="AU446" s="135"/>
      <c r="AV446" s="135"/>
      <c r="AW446" s="135"/>
      <c r="AX446" s="135"/>
      <c r="AY446" s="135"/>
      <c r="AZ446" s="135"/>
      <c r="BA446" s="135"/>
      <c r="BB446" s="135"/>
      <c r="BC446" s="135"/>
      <c r="BD446" s="135"/>
      <c r="BE446" s="135"/>
      <c r="BF446" s="135"/>
      <c r="BG446" s="135"/>
      <c r="BH446" s="135"/>
      <c r="BI446" s="135"/>
      <c r="BJ446" s="135"/>
      <c r="BK446" s="135"/>
      <c r="BL446" s="135"/>
      <c r="BM446" s="135"/>
      <c r="BN446" s="135"/>
      <c r="BO446" s="135"/>
      <c r="BP446" s="135"/>
      <c r="BQ446" s="135"/>
      <c r="BR446" s="135"/>
      <c r="BS446" s="135"/>
      <c r="BT446" s="135"/>
    </row>
    <row r="447" spans="1:72" s="196" customFormat="1">
      <c r="A447" s="135"/>
      <c r="B447" s="135"/>
      <c r="C447" s="135"/>
      <c r="D447" s="135"/>
      <c r="E447" s="135"/>
      <c r="F447" s="135"/>
      <c r="G447" s="135"/>
      <c r="H447" s="135"/>
      <c r="I447" s="135"/>
      <c r="J447" s="135"/>
      <c r="K447" s="135"/>
      <c r="L447" s="135"/>
      <c r="M447" s="135"/>
      <c r="N447" s="135"/>
      <c r="O447" s="135"/>
      <c r="P447" s="135"/>
      <c r="Q447" s="135"/>
      <c r="R447" s="135"/>
      <c r="S447" s="135"/>
      <c r="T447" s="135"/>
      <c r="U447" s="135"/>
      <c r="V447" s="135"/>
      <c r="W447" s="135"/>
      <c r="X447" s="135"/>
      <c r="Y447" s="135"/>
      <c r="Z447" s="135"/>
      <c r="AA447" s="135"/>
      <c r="AB447" s="135"/>
      <c r="AC447" s="135"/>
      <c r="AD447" s="135"/>
      <c r="AE447" s="135"/>
      <c r="AF447" s="135"/>
      <c r="AG447" s="135"/>
      <c r="AH447" s="135"/>
      <c r="AI447" s="135"/>
      <c r="AJ447" s="135"/>
      <c r="AK447" s="135"/>
      <c r="AL447" s="135"/>
      <c r="AM447" s="135"/>
      <c r="AN447" s="135"/>
      <c r="AO447" s="135"/>
      <c r="AP447" s="135"/>
      <c r="AQ447" s="135"/>
      <c r="AR447" s="135"/>
      <c r="AS447" s="135"/>
      <c r="AT447" s="135"/>
      <c r="AU447" s="135"/>
      <c r="AV447" s="135"/>
      <c r="AW447" s="135"/>
      <c r="AX447" s="135"/>
      <c r="AY447" s="135"/>
      <c r="AZ447" s="135"/>
      <c r="BA447" s="135"/>
      <c r="BB447" s="135"/>
      <c r="BC447" s="135"/>
      <c r="BD447" s="135"/>
      <c r="BE447" s="135"/>
      <c r="BF447" s="135"/>
      <c r="BG447" s="135"/>
      <c r="BH447" s="135"/>
      <c r="BI447" s="135"/>
      <c r="BJ447" s="135"/>
      <c r="BK447" s="135"/>
      <c r="BL447" s="135"/>
      <c r="BM447" s="135"/>
      <c r="BN447" s="135"/>
      <c r="BO447" s="135"/>
      <c r="BP447" s="135"/>
      <c r="BQ447" s="135"/>
      <c r="BR447" s="135"/>
      <c r="BS447" s="135"/>
      <c r="BT447" s="135"/>
    </row>
    <row r="448" spans="1:72" s="196" customFormat="1">
      <c r="A448" s="135"/>
      <c r="B448" s="135"/>
      <c r="C448" s="135"/>
      <c r="D448" s="135"/>
      <c r="E448" s="135"/>
      <c r="F448" s="135"/>
      <c r="G448" s="135"/>
      <c r="H448" s="135"/>
      <c r="I448" s="135"/>
      <c r="J448" s="135"/>
      <c r="K448" s="135"/>
      <c r="L448" s="135"/>
      <c r="M448" s="135"/>
      <c r="N448" s="135"/>
      <c r="O448" s="135"/>
      <c r="P448" s="135"/>
      <c r="Q448" s="135"/>
      <c r="R448" s="135"/>
      <c r="S448" s="135"/>
      <c r="T448" s="135"/>
      <c r="U448" s="135"/>
      <c r="V448" s="135"/>
      <c r="W448" s="135"/>
      <c r="X448" s="135"/>
      <c r="Y448" s="135"/>
      <c r="Z448" s="135"/>
      <c r="AA448" s="135"/>
      <c r="AB448" s="135"/>
      <c r="AC448" s="135"/>
      <c r="AD448" s="135"/>
      <c r="AE448" s="135"/>
      <c r="AF448" s="135"/>
      <c r="AG448" s="135"/>
      <c r="AH448" s="135"/>
      <c r="AI448" s="135"/>
      <c r="AJ448" s="135"/>
      <c r="AK448" s="135"/>
      <c r="AL448" s="135"/>
      <c r="AM448" s="135"/>
      <c r="AN448" s="135"/>
      <c r="AO448" s="135"/>
      <c r="AP448" s="135"/>
      <c r="AQ448" s="135"/>
      <c r="AR448" s="135"/>
      <c r="AS448" s="135"/>
      <c r="AT448" s="135"/>
      <c r="AU448" s="135"/>
      <c r="AV448" s="135"/>
      <c r="AW448" s="135"/>
      <c r="AX448" s="135"/>
      <c r="AY448" s="135"/>
      <c r="AZ448" s="135"/>
      <c r="BA448" s="135"/>
      <c r="BB448" s="135"/>
      <c r="BC448" s="135"/>
      <c r="BD448" s="135"/>
      <c r="BE448" s="135"/>
      <c r="BF448" s="135"/>
      <c r="BG448" s="135"/>
      <c r="BH448" s="135"/>
      <c r="BI448" s="135"/>
      <c r="BJ448" s="135"/>
      <c r="BK448" s="135"/>
      <c r="BL448" s="135"/>
      <c r="BM448" s="135"/>
      <c r="BN448" s="135"/>
      <c r="BO448" s="135"/>
      <c r="BP448" s="135"/>
      <c r="BQ448" s="135"/>
      <c r="BR448" s="135"/>
      <c r="BS448" s="135"/>
      <c r="BT448" s="135"/>
    </row>
    <row r="449" spans="1:72" s="196" customFormat="1">
      <c r="A449" s="135"/>
      <c r="B449" s="135"/>
      <c r="C449" s="135"/>
      <c r="D449" s="135"/>
      <c r="E449" s="135"/>
      <c r="F449" s="135"/>
      <c r="G449" s="135"/>
      <c r="H449" s="135"/>
      <c r="I449" s="135"/>
      <c r="J449" s="135"/>
      <c r="K449" s="135"/>
      <c r="L449" s="135"/>
      <c r="M449" s="135"/>
      <c r="N449" s="135"/>
      <c r="O449" s="135"/>
      <c r="P449" s="135"/>
      <c r="Q449" s="135"/>
      <c r="R449" s="135"/>
      <c r="S449" s="135"/>
      <c r="T449" s="135"/>
      <c r="U449" s="135"/>
      <c r="V449" s="135"/>
      <c r="W449" s="135"/>
      <c r="X449" s="135"/>
      <c r="Y449" s="135"/>
      <c r="Z449" s="135"/>
      <c r="AA449" s="135"/>
      <c r="AB449" s="135"/>
      <c r="AC449" s="135"/>
      <c r="AD449" s="135"/>
      <c r="AE449" s="135"/>
      <c r="AF449" s="135"/>
      <c r="AG449" s="135"/>
      <c r="AH449" s="135"/>
      <c r="AI449" s="135"/>
      <c r="AJ449" s="135"/>
      <c r="AK449" s="135"/>
      <c r="AL449" s="135"/>
      <c r="AM449" s="135"/>
      <c r="AN449" s="135"/>
      <c r="AO449" s="135"/>
      <c r="AP449" s="135"/>
      <c r="AQ449" s="135"/>
      <c r="AR449" s="135"/>
      <c r="AS449" s="135"/>
      <c r="AT449" s="135"/>
      <c r="AU449" s="135"/>
      <c r="AV449" s="135"/>
      <c r="AW449" s="135"/>
      <c r="AX449" s="135"/>
      <c r="AY449" s="135"/>
      <c r="AZ449" s="135"/>
      <c r="BA449" s="135"/>
      <c r="BB449" s="135"/>
      <c r="BC449" s="135"/>
      <c r="BD449" s="135"/>
      <c r="BE449" s="135"/>
      <c r="BF449" s="135"/>
      <c r="BG449" s="135"/>
      <c r="BH449" s="135"/>
      <c r="BI449" s="135"/>
      <c r="BJ449" s="135"/>
      <c r="BK449" s="135"/>
      <c r="BL449" s="135"/>
      <c r="BM449" s="135"/>
      <c r="BN449" s="135"/>
      <c r="BO449" s="135"/>
      <c r="BP449" s="135"/>
      <c r="BQ449" s="135"/>
      <c r="BR449" s="135"/>
      <c r="BS449" s="135"/>
      <c r="BT449" s="135"/>
    </row>
    <row r="450" spans="1:72" s="196" customFormat="1">
      <c r="A450" s="135"/>
      <c r="B450" s="135"/>
      <c r="C450" s="135"/>
      <c r="D450" s="135"/>
      <c r="E450" s="135"/>
      <c r="F450" s="135"/>
      <c r="G450" s="135"/>
      <c r="H450" s="135"/>
      <c r="I450" s="135"/>
      <c r="J450" s="135"/>
      <c r="K450" s="135"/>
      <c r="L450" s="135"/>
      <c r="M450" s="135"/>
      <c r="N450" s="135"/>
      <c r="O450" s="135"/>
      <c r="P450" s="135"/>
      <c r="Q450" s="135"/>
      <c r="R450" s="135"/>
      <c r="S450" s="135"/>
      <c r="T450" s="135"/>
      <c r="U450" s="135"/>
      <c r="V450" s="135"/>
      <c r="W450" s="135"/>
      <c r="X450" s="135"/>
      <c r="Y450" s="135"/>
      <c r="Z450" s="135"/>
      <c r="AA450" s="135"/>
      <c r="AB450" s="135"/>
      <c r="AC450" s="135"/>
      <c r="AD450" s="135"/>
      <c r="AE450" s="135"/>
      <c r="AF450" s="135"/>
      <c r="AG450" s="135"/>
      <c r="AH450" s="135"/>
      <c r="AI450" s="135"/>
      <c r="AJ450" s="135"/>
      <c r="AK450" s="135"/>
      <c r="AL450" s="135"/>
      <c r="AM450" s="135"/>
      <c r="AN450" s="135"/>
      <c r="AO450" s="135"/>
      <c r="AP450" s="135"/>
      <c r="AQ450" s="135"/>
      <c r="AR450" s="135"/>
      <c r="AS450" s="135"/>
      <c r="AT450" s="135"/>
      <c r="AU450" s="135"/>
      <c r="AV450" s="135"/>
      <c r="AW450" s="135"/>
      <c r="AX450" s="135"/>
      <c r="AY450" s="135"/>
      <c r="AZ450" s="135"/>
      <c r="BA450" s="135"/>
      <c r="BB450" s="135"/>
      <c r="BC450" s="135"/>
      <c r="BD450" s="135"/>
      <c r="BE450" s="135"/>
      <c r="BF450" s="135"/>
      <c r="BG450" s="135"/>
      <c r="BH450" s="135"/>
      <c r="BI450" s="135"/>
      <c r="BJ450" s="135"/>
      <c r="BK450" s="135"/>
      <c r="BL450" s="135"/>
      <c r="BM450" s="135"/>
      <c r="BN450" s="135"/>
      <c r="BO450" s="135"/>
      <c r="BP450" s="135"/>
      <c r="BQ450" s="135"/>
      <c r="BR450" s="135"/>
      <c r="BS450" s="135"/>
      <c r="BT450" s="135"/>
    </row>
    <row r="451" spans="1:72" s="196" customFormat="1">
      <c r="A451" s="135"/>
      <c r="B451" s="135"/>
      <c r="C451" s="135"/>
      <c r="D451" s="135"/>
      <c r="E451" s="135"/>
      <c r="F451" s="135"/>
      <c r="G451" s="135"/>
      <c r="H451" s="135"/>
      <c r="I451" s="135"/>
      <c r="J451" s="135"/>
      <c r="K451" s="135"/>
      <c r="L451" s="135"/>
      <c r="M451" s="135"/>
      <c r="N451" s="135"/>
      <c r="O451" s="135"/>
      <c r="P451" s="135"/>
      <c r="Q451" s="135"/>
      <c r="R451" s="135"/>
      <c r="S451" s="135"/>
      <c r="T451" s="135"/>
      <c r="U451" s="135"/>
      <c r="V451" s="135"/>
      <c r="W451" s="135"/>
      <c r="X451" s="135"/>
      <c r="Y451" s="135"/>
      <c r="Z451" s="135"/>
      <c r="AA451" s="135"/>
      <c r="AB451" s="135"/>
      <c r="AC451" s="135"/>
      <c r="AD451" s="135"/>
      <c r="AE451" s="135"/>
      <c r="AF451" s="135"/>
      <c r="AG451" s="135"/>
      <c r="AH451" s="135"/>
      <c r="AI451" s="135"/>
      <c r="AJ451" s="135"/>
      <c r="AK451" s="135"/>
      <c r="AL451" s="135"/>
      <c r="AM451" s="135"/>
      <c r="AN451" s="135"/>
      <c r="AO451" s="135"/>
      <c r="AP451" s="135"/>
      <c r="AQ451" s="135"/>
      <c r="AR451" s="135"/>
      <c r="AS451" s="135"/>
      <c r="AT451" s="135"/>
      <c r="AU451" s="135"/>
      <c r="AV451" s="135"/>
      <c r="AW451" s="135"/>
      <c r="AX451" s="135"/>
      <c r="AY451" s="135"/>
      <c r="AZ451" s="135"/>
      <c r="BA451" s="135"/>
      <c r="BB451" s="135"/>
      <c r="BC451" s="135"/>
      <c r="BD451" s="135"/>
      <c r="BE451" s="135"/>
      <c r="BF451" s="135"/>
      <c r="BG451" s="135"/>
      <c r="BH451" s="135"/>
      <c r="BI451" s="135"/>
      <c r="BJ451" s="135"/>
      <c r="BK451" s="135"/>
      <c r="BL451" s="135"/>
      <c r="BM451" s="135"/>
      <c r="BN451" s="135"/>
      <c r="BO451" s="135"/>
      <c r="BP451" s="135"/>
      <c r="BQ451" s="135"/>
      <c r="BR451" s="135"/>
      <c r="BS451" s="135"/>
      <c r="BT451" s="135"/>
    </row>
    <row r="452" spans="1:72" s="196" customFormat="1">
      <c r="A452" s="135"/>
      <c r="B452" s="135"/>
      <c r="C452" s="135"/>
      <c r="D452" s="135"/>
      <c r="E452" s="135"/>
      <c r="F452" s="135"/>
      <c r="G452" s="135"/>
      <c r="H452" s="135"/>
      <c r="I452" s="135"/>
      <c r="J452" s="135"/>
      <c r="K452" s="135"/>
      <c r="L452" s="135"/>
      <c r="M452" s="135"/>
      <c r="N452" s="135"/>
      <c r="O452" s="135"/>
      <c r="P452" s="135"/>
      <c r="Q452" s="135"/>
      <c r="R452" s="135"/>
      <c r="S452" s="135"/>
      <c r="T452" s="135"/>
      <c r="U452" s="135"/>
      <c r="V452" s="135"/>
      <c r="W452" s="135"/>
      <c r="X452" s="135"/>
      <c r="Y452" s="135"/>
      <c r="Z452" s="135"/>
      <c r="AA452" s="135"/>
      <c r="AB452" s="135"/>
      <c r="AC452" s="135"/>
      <c r="AD452" s="135"/>
      <c r="AE452" s="135"/>
      <c r="AF452" s="135"/>
      <c r="AG452" s="135"/>
      <c r="AH452" s="135"/>
      <c r="AI452" s="135"/>
      <c r="AJ452" s="135"/>
      <c r="AK452" s="135"/>
      <c r="AL452" s="135"/>
      <c r="AM452" s="135"/>
      <c r="AN452" s="135"/>
      <c r="AO452" s="135"/>
      <c r="AP452" s="135"/>
      <c r="AQ452" s="135"/>
      <c r="AR452" s="135"/>
      <c r="AS452" s="135"/>
      <c r="AT452" s="135"/>
      <c r="AU452" s="135"/>
      <c r="AV452" s="135"/>
      <c r="AW452" s="135"/>
      <c r="AX452" s="135"/>
      <c r="AY452" s="135"/>
      <c r="AZ452" s="135"/>
      <c r="BA452" s="135"/>
      <c r="BB452" s="135"/>
      <c r="BC452" s="135"/>
      <c r="BD452" s="135"/>
      <c r="BE452" s="135"/>
      <c r="BF452" s="135"/>
      <c r="BG452" s="135"/>
      <c r="BH452" s="135"/>
      <c r="BI452" s="135"/>
      <c r="BJ452" s="135"/>
      <c r="BK452" s="135"/>
      <c r="BL452" s="135"/>
      <c r="BM452" s="135"/>
      <c r="BN452" s="135"/>
      <c r="BO452" s="135"/>
      <c r="BP452" s="135"/>
      <c r="BQ452" s="135"/>
      <c r="BR452" s="135"/>
      <c r="BS452" s="135"/>
      <c r="BT452" s="135"/>
    </row>
    <row r="453" spans="1:72" s="196" customFormat="1">
      <c r="A453" s="135"/>
      <c r="B453" s="135"/>
      <c r="C453" s="135"/>
      <c r="D453" s="135"/>
      <c r="E453" s="135"/>
      <c r="F453" s="135"/>
      <c r="G453" s="135"/>
      <c r="H453" s="135"/>
      <c r="I453" s="135"/>
      <c r="J453" s="135"/>
      <c r="K453" s="135"/>
      <c r="L453" s="135"/>
      <c r="M453" s="135"/>
      <c r="N453" s="135"/>
      <c r="O453" s="135"/>
      <c r="P453" s="135"/>
      <c r="Q453" s="135"/>
      <c r="R453" s="135"/>
      <c r="S453" s="135"/>
      <c r="T453" s="135"/>
      <c r="U453" s="135"/>
      <c r="V453" s="135"/>
      <c r="W453" s="135"/>
      <c r="X453" s="135"/>
      <c r="Y453" s="135"/>
      <c r="Z453" s="135"/>
      <c r="AA453" s="135"/>
      <c r="AB453" s="135"/>
      <c r="AC453" s="135"/>
      <c r="AD453" s="135"/>
      <c r="AE453" s="135"/>
      <c r="AF453" s="135"/>
      <c r="AG453" s="135"/>
      <c r="AH453" s="135"/>
      <c r="AI453" s="135"/>
      <c r="AJ453" s="135"/>
      <c r="AK453" s="135"/>
      <c r="AL453" s="135"/>
      <c r="AM453" s="135"/>
      <c r="AN453" s="135"/>
      <c r="AO453" s="135"/>
      <c r="AP453" s="135"/>
      <c r="AQ453" s="135"/>
      <c r="AR453" s="135"/>
      <c r="AS453" s="135"/>
      <c r="AT453" s="135"/>
      <c r="AU453" s="135"/>
      <c r="AV453" s="135"/>
      <c r="AW453" s="135"/>
      <c r="AX453" s="135"/>
      <c r="AY453" s="135"/>
      <c r="AZ453" s="135"/>
      <c r="BA453" s="135"/>
      <c r="BB453" s="135"/>
      <c r="BC453" s="135"/>
      <c r="BD453" s="135"/>
      <c r="BE453" s="135"/>
      <c r="BF453" s="135"/>
      <c r="BG453" s="135"/>
      <c r="BH453" s="135"/>
      <c r="BI453" s="135"/>
      <c r="BJ453" s="135"/>
      <c r="BK453" s="135"/>
      <c r="BL453" s="135"/>
      <c r="BM453" s="135"/>
      <c r="BN453" s="135"/>
      <c r="BO453" s="135"/>
      <c r="BP453" s="135"/>
      <c r="BQ453" s="135"/>
      <c r="BR453" s="135"/>
      <c r="BS453" s="135"/>
      <c r="BT453" s="135"/>
    </row>
    <row r="454" spans="1:72" s="196" customFormat="1">
      <c r="A454" s="135"/>
      <c r="B454" s="135"/>
      <c r="C454" s="135"/>
      <c r="D454" s="135"/>
      <c r="E454" s="135"/>
      <c r="F454" s="135"/>
      <c r="G454" s="135"/>
      <c r="H454" s="135"/>
      <c r="I454" s="135"/>
      <c r="J454" s="135"/>
      <c r="K454" s="135"/>
      <c r="L454" s="135"/>
      <c r="M454" s="135"/>
      <c r="N454" s="135"/>
      <c r="O454" s="135"/>
      <c r="P454" s="135"/>
      <c r="Q454" s="135"/>
      <c r="R454" s="135"/>
      <c r="S454" s="135"/>
      <c r="T454" s="135"/>
      <c r="U454" s="135"/>
      <c r="V454" s="135"/>
      <c r="W454" s="135"/>
      <c r="X454" s="135"/>
      <c r="Y454" s="135"/>
      <c r="Z454" s="135"/>
      <c r="AA454" s="135"/>
      <c r="AB454" s="135"/>
      <c r="AC454" s="135"/>
      <c r="AD454" s="135"/>
      <c r="AE454" s="135"/>
      <c r="AF454" s="135"/>
      <c r="AG454" s="135"/>
      <c r="AH454" s="135"/>
      <c r="AI454" s="135"/>
      <c r="AJ454" s="135"/>
      <c r="AK454" s="135"/>
      <c r="AL454" s="135"/>
      <c r="AM454" s="135"/>
      <c r="AN454" s="135"/>
      <c r="AO454" s="135"/>
      <c r="AP454" s="135"/>
      <c r="AQ454" s="135"/>
      <c r="AR454" s="135"/>
      <c r="AS454" s="135"/>
      <c r="AT454" s="135"/>
      <c r="AU454" s="135"/>
      <c r="AV454" s="135"/>
      <c r="AW454" s="135"/>
      <c r="AX454" s="135"/>
      <c r="AY454" s="135"/>
      <c r="AZ454" s="135"/>
      <c r="BA454" s="135"/>
      <c r="BB454" s="135"/>
      <c r="BC454" s="135"/>
      <c r="BD454" s="135"/>
      <c r="BE454" s="135"/>
      <c r="BF454" s="135"/>
      <c r="BG454" s="135"/>
      <c r="BH454" s="135"/>
      <c r="BI454" s="135"/>
      <c r="BJ454" s="135"/>
      <c r="BK454" s="135"/>
      <c r="BL454" s="135"/>
      <c r="BM454" s="135"/>
      <c r="BN454" s="135"/>
      <c r="BO454" s="135"/>
      <c r="BP454" s="135"/>
      <c r="BQ454" s="135"/>
      <c r="BR454" s="135"/>
      <c r="BS454" s="135"/>
      <c r="BT454" s="135"/>
    </row>
    <row r="455" spans="1:72" s="196" customFormat="1">
      <c r="A455" s="135"/>
      <c r="B455" s="135"/>
      <c r="C455" s="135"/>
      <c r="D455" s="135"/>
      <c r="E455" s="135"/>
      <c r="F455" s="135"/>
      <c r="G455" s="135"/>
      <c r="H455" s="135"/>
      <c r="I455" s="135"/>
      <c r="J455" s="135"/>
      <c r="K455" s="135"/>
      <c r="L455" s="135"/>
      <c r="M455" s="135"/>
      <c r="N455" s="135"/>
      <c r="O455" s="135"/>
      <c r="P455" s="135"/>
      <c r="Q455" s="135"/>
      <c r="R455" s="135"/>
      <c r="S455" s="135"/>
      <c r="T455" s="135"/>
      <c r="U455" s="135"/>
      <c r="V455" s="135"/>
      <c r="W455" s="135"/>
      <c r="X455" s="135"/>
      <c r="Y455" s="135"/>
      <c r="Z455" s="135"/>
      <c r="AA455" s="135"/>
      <c r="AB455" s="135"/>
      <c r="AC455" s="135"/>
      <c r="AD455" s="135"/>
      <c r="AE455" s="135"/>
      <c r="AF455" s="135"/>
      <c r="AG455" s="135"/>
      <c r="AH455" s="135"/>
      <c r="AI455" s="135"/>
      <c r="AJ455" s="135"/>
      <c r="AK455" s="135"/>
      <c r="AL455" s="135"/>
      <c r="AM455" s="135"/>
      <c r="AN455" s="135"/>
      <c r="AO455" s="135"/>
      <c r="AP455" s="135"/>
      <c r="AQ455" s="135"/>
      <c r="AR455" s="135"/>
      <c r="AS455" s="135"/>
      <c r="AT455" s="135"/>
      <c r="AU455" s="135"/>
      <c r="AV455" s="135"/>
      <c r="AW455" s="135"/>
      <c r="AX455" s="135"/>
      <c r="AY455" s="135"/>
      <c r="AZ455" s="135"/>
      <c r="BA455" s="135"/>
      <c r="BB455" s="135"/>
      <c r="BC455" s="135"/>
      <c r="BD455" s="135"/>
      <c r="BE455" s="135"/>
      <c r="BF455" s="135"/>
      <c r="BG455" s="135"/>
      <c r="BH455" s="135"/>
      <c r="BI455" s="135"/>
      <c r="BJ455" s="135"/>
      <c r="BK455" s="135"/>
      <c r="BL455" s="135"/>
      <c r="BM455" s="135"/>
      <c r="BN455" s="135"/>
      <c r="BO455" s="135"/>
      <c r="BP455" s="135"/>
      <c r="BQ455" s="135"/>
      <c r="BR455" s="135"/>
      <c r="BS455" s="135"/>
      <c r="BT455" s="135"/>
    </row>
    <row r="456" spans="1:72" s="196" customFormat="1">
      <c r="A456" s="135"/>
      <c r="B456" s="135"/>
      <c r="C456" s="135"/>
      <c r="D456" s="135"/>
      <c r="E456" s="135"/>
      <c r="F456" s="135"/>
      <c r="G456" s="135"/>
      <c r="H456" s="135"/>
      <c r="I456" s="135"/>
      <c r="J456" s="135"/>
      <c r="K456" s="135"/>
      <c r="L456" s="135"/>
      <c r="M456" s="135"/>
      <c r="N456" s="135"/>
      <c r="O456" s="135"/>
      <c r="P456" s="135"/>
      <c r="Q456" s="135"/>
      <c r="R456" s="135"/>
      <c r="S456" s="135"/>
      <c r="T456" s="135"/>
      <c r="U456" s="135"/>
      <c r="V456" s="135"/>
      <c r="W456" s="135"/>
      <c r="X456" s="135"/>
      <c r="Y456" s="135"/>
      <c r="Z456" s="135"/>
      <c r="AA456" s="135"/>
      <c r="AB456" s="135"/>
      <c r="AC456" s="135"/>
      <c r="AD456" s="135"/>
      <c r="AE456" s="135"/>
      <c r="AF456" s="135"/>
      <c r="AG456" s="135"/>
      <c r="AH456" s="135"/>
      <c r="AI456" s="135"/>
      <c r="AJ456" s="135"/>
      <c r="AK456" s="135"/>
      <c r="AL456" s="135"/>
      <c r="AM456" s="135"/>
      <c r="AN456" s="135"/>
      <c r="AO456" s="135"/>
      <c r="AP456" s="135"/>
      <c r="AQ456" s="135"/>
      <c r="AR456" s="135"/>
      <c r="AS456" s="135"/>
      <c r="AT456" s="135"/>
      <c r="AU456" s="135"/>
      <c r="AV456" s="135"/>
      <c r="AW456" s="135"/>
      <c r="AX456" s="135"/>
      <c r="AY456" s="135"/>
      <c r="AZ456" s="135"/>
      <c r="BA456" s="135"/>
      <c r="BB456" s="135"/>
      <c r="BC456" s="135"/>
      <c r="BD456" s="135"/>
      <c r="BE456" s="135"/>
      <c r="BF456" s="135"/>
      <c r="BG456" s="135"/>
      <c r="BH456" s="135"/>
      <c r="BI456" s="135"/>
      <c r="BJ456" s="135"/>
      <c r="BK456" s="135"/>
      <c r="BL456" s="135"/>
      <c r="BM456" s="135"/>
      <c r="BN456" s="135"/>
      <c r="BO456" s="135"/>
      <c r="BP456" s="135"/>
      <c r="BQ456" s="135"/>
      <c r="BR456" s="135"/>
      <c r="BS456" s="135"/>
      <c r="BT456" s="135"/>
    </row>
    <row r="457" spans="1:72" s="196" customFormat="1">
      <c r="A457" s="135"/>
      <c r="B457" s="135"/>
      <c r="C457" s="135"/>
      <c r="D457" s="135"/>
      <c r="E457" s="135"/>
      <c r="F457" s="135"/>
      <c r="G457" s="135"/>
      <c r="H457" s="135"/>
      <c r="I457" s="135"/>
      <c r="J457" s="135"/>
      <c r="K457" s="135"/>
      <c r="L457" s="135"/>
      <c r="M457" s="135"/>
      <c r="N457" s="135"/>
      <c r="O457" s="135"/>
      <c r="P457" s="135"/>
      <c r="Q457" s="135"/>
      <c r="R457" s="135"/>
      <c r="S457" s="135"/>
      <c r="T457" s="135"/>
      <c r="U457" s="135"/>
      <c r="V457" s="135"/>
      <c r="W457" s="135"/>
      <c r="X457" s="135"/>
      <c r="Y457" s="135"/>
      <c r="Z457" s="135"/>
      <c r="AA457" s="135"/>
      <c r="AB457" s="135"/>
      <c r="AC457" s="135"/>
      <c r="AD457" s="135"/>
      <c r="AE457" s="135"/>
      <c r="AF457" s="135"/>
      <c r="AG457" s="135"/>
      <c r="AH457" s="135"/>
      <c r="AI457" s="135"/>
      <c r="AJ457" s="135"/>
      <c r="AK457" s="135"/>
      <c r="AL457" s="135"/>
      <c r="AM457" s="135"/>
      <c r="AN457" s="135"/>
      <c r="AO457" s="135"/>
      <c r="AP457" s="135"/>
      <c r="AQ457" s="135"/>
      <c r="AR457" s="135"/>
      <c r="AS457" s="135"/>
      <c r="AT457" s="135"/>
      <c r="AU457" s="135"/>
      <c r="AV457" s="135"/>
      <c r="AW457" s="135"/>
      <c r="AX457" s="135"/>
      <c r="AY457" s="135"/>
      <c r="AZ457" s="135"/>
      <c r="BA457" s="135"/>
      <c r="BB457" s="135"/>
      <c r="BC457" s="135"/>
      <c r="BD457" s="135"/>
      <c r="BE457" s="135"/>
      <c r="BF457" s="135"/>
      <c r="BG457" s="135"/>
      <c r="BH457" s="135"/>
      <c r="BI457" s="135"/>
      <c r="BJ457" s="135"/>
      <c r="BK457" s="135"/>
      <c r="BL457" s="135"/>
      <c r="BM457" s="135"/>
      <c r="BN457" s="135"/>
      <c r="BO457" s="135"/>
      <c r="BP457" s="135"/>
      <c r="BQ457" s="135"/>
      <c r="BR457" s="135"/>
      <c r="BS457" s="135"/>
      <c r="BT457" s="135"/>
    </row>
    <row r="458" spans="1:72" s="196" customFormat="1">
      <c r="A458" s="135"/>
      <c r="B458" s="135"/>
      <c r="C458" s="135"/>
      <c r="D458" s="135"/>
      <c r="E458" s="135"/>
      <c r="F458" s="135"/>
      <c r="G458" s="135"/>
      <c r="H458" s="135"/>
      <c r="I458" s="135"/>
      <c r="J458" s="135"/>
      <c r="K458" s="135"/>
      <c r="L458" s="135"/>
      <c r="M458" s="135"/>
      <c r="N458" s="135"/>
      <c r="O458" s="135"/>
      <c r="P458" s="135"/>
      <c r="Q458" s="135"/>
      <c r="R458" s="135"/>
      <c r="S458" s="135"/>
      <c r="T458" s="135"/>
      <c r="U458" s="135"/>
      <c r="V458" s="135"/>
      <c r="W458" s="135"/>
      <c r="X458" s="135"/>
      <c r="Y458" s="135"/>
      <c r="Z458" s="135"/>
      <c r="AA458" s="135"/>
      <c r="AB458" s="135"/>
      <c r="AC458" s="135"/>
      <c r="AD458" s="135"/>
      <c r="AE458" s="135"/>
      <c r="AF458" s="135"/>
      <c r="AG458" s="135"/>
      <c r="AH458" s="135"/>
      <c r="AI458" s="135"/>
      <c r="AJ458" s="135"/>
      <c r="AK458" s="135"/>
      <c r="AL458" s="135"/>
      <c r="AM458" s="135"/>
      <c r="AN458" s="135"/>
      <c r="AO458" s="135"/>
      <c r="AP458" s="135"/>
      <c r="AQ458" s="135"/>
      <c r="AR458" s="135"/>
      <c r="AS458" s="135"/>
      <c r="AT458" s="135"/>
      <c r="AU458" s="135"/>
      <c r="AV458" s="135"/>
      <c r="AW458" s="135"/>
      <c r="AX458" s="135"/>
      <c r="AY458" s="135"/>
      <c r="AZ458" s="135"/>
      <c r="BA458" s="135"/>
      <c r="BB458" s="135"/>
      <c r="BC458" s="135"/>
      <c r="BD458" s="135"/>
      <c r="BE458" s="135"/>
      <c r="BF458" s="135"/>
      <c r="BG458" s="135"/>
      <c r="BH458" s="135"/>
      <c r="BI458" s="135"/>
      <c r="BJ458" s="135"/>
      <c r="BK458" s="135"/>
      <c r="BL458" s="135"/>
      <c r="BM458" s="135"/>
      <c r="BN458" s="135"/>
      <c r="BO458" s="135"/>
      <c r="BP458" s="135"/>
      <c r="BQ458" s="135"/>
      <c r="BR458" s="135"/>
      <c r="BS458" s="135"/>
      <c r="BT458" s="135"/>
    </row>
    <row r="459" spans="1:72" s="196" customFormat="1">
      <c r="A459" s="135"/>
      <c r="B459" s="135"/>
      <c r="C459" s="135"/>
      <c r="D459" s="135"/>
      <c r="E459" s="135"/>
      <c r="F459" s="135"/>
      <c r="G459" s="135"/>
      <c r="H459" s="135"/>
      <c r="I459" s="135"/>
      <c r="J459" s="135"/>
      <c r="K459" s="135"/>
      <c r="L459" s="135"/>
      <c r="M459" s="135"/>
      <c r="N459" s="135"/>
      <c r="O459" s="135"/>
      <c r="P459" s="135"/>
      <c r="Q459" s="135"/>
      <c r="R459" s="135"/>
      <c r="S459" s="135"/>
      <c r="T459" s="135"/>
      <c r="U459" s="135"/>
      <c r="V459" s="135"/>
      <c r="W459" s="135"/>
      <c r="X459" s="135"/>
      <c r="Y459" s="135"/>
      <c r="Z459" s="135"/>
      <c r="AA459" s="135"/>
      <c r="AB459" s="135"/>
      <c r="AC459" s="135"/>
      <c r="AD459" s="135"/>
      <c r="AE459" s="135"/>
      <c r="AF459" s="135"/>
      <c r="AG459" s="135"/>
      <c r="AH459" s="135"/>
      <c r="AI459" s="135"/>
      <c r="AJ459" s="135"/>
      <c r="AK459" s="135"/>
      <c r="AL459" s="135"/>
      <c r="AM459" s="135"/>
      <c r="AN459" s="135"/>
      <c r="AO459" s="135"/>
      <c r="AP459" s="135"/>
      <c r="AQ459" s="135"/>
      <c r="AR459" s="135"/>
      <c r="AS459" s="135"/>
      <c r="AT459" s="135"/>
      <c r="AU459" s="135"/>
      <c r="AV459" s="135"/>
      <c r="AW459" s="135"/>
      <c r="AX459" s="135"/>
      <c r="AY459" s="135"/>
      <c r="AZ459" s="135"/>
      <c r="BA459" s="135"/>
      <c r="BB459" s="135"/>
      <c r="BC459" s="135"/>
      <c r="BD459" s="135"/>
      <c r="BE459" s="135"/>
      <c r="BF459" s="135"/>
      <c r="BG459" s="135"/>
      <c r="BH459" s="135"/>
      <c r="BI459" s="135"/>
      <c r="BJ459" s="135"/>
      <c r="BK459" s="135"/>
      <c r="BL459" s="135"/>
      <c r="BM459" s="135"/>
      <c r="BN459" s="135"/>
      <c r="BO459" s="135"/>
      <c r="BP459" s="135"/>
      <c r="BQ459" s="135"/>
      <c r="BR459" s="135"/>
      <c r="BS459" s="135"/>
      <c r="BT459" s="135"/>
    </row>
    <row r="460" spans="1:72" s="196" customFormat="1">
      <c r="A460" s="135"/>
      <c r="B460" s="135"/>
      <c r="C460" s="135"/>
      <c r="D460" s="135"/>
      <c r="E460" s="135"/>
      <c r="F460" s="135"/>
      <c r="G460" s="135"/>
      <c r="H460" s="135"/>
      <c r="I460" s="135"/>
      <c r="J460" s="135"/>
      <c r="K460" s="135"/>
      <c r="L460" s="135"/>
      <c r="M460" s="135"/>
      <c r="N460" s="135"/>
      <c r="O460" s="135"/>
      <c r="P460" s="135"/>
      <c r="Q460" s="135"/>
      <c r="R460" s="135"/>
      <c r="S460" s="135"/>
      <c r="T460" s="135"/>
      <c r="U460" s="135"/>
      <c r="V460" s="135"/>
      <c r="W460" s="135"/>
      <c r="X460" s="135"/>
      <c r="Y460" s="135"/>
      <c r="Z460" s="135"/>
      <c r="AA460" s="135"/>
      <c r="AB460" s="135"/>
      <c r="AC460" s="135"/>
      <c r="AD460" s="135"/>
      <c r="AE460" s="135"/>
      <c r="AF460" s="135"/>
      <c r="AG460" s="135"/>
      <c r="AH460" s="135"/>
      <c r="AI460" s="135"/>
      <c r="AJ460" s="135"/>
      <c r="AK460" s="135"/>
      <c r="AL460" s="135"/>
      <c r="AM460" s="135"/>
      <c r="AN460" s="135"/>
      <c r="AO460" s="135"/>
      <c r="AP460" s="135"/>
      <c r="AQ460" s="135"/>
      <c r="AR460" s="135"/>
      <c r="AS460" s="135"/>
      <c r="AT460" s="135"/>
      <c r="AU460" s="135"/>
      <c r="AV460" s="135"/>
      <c r="AW460" s="135"/>
      <c r="AX460" s="135"/>
      <c r="AY460" s="135"/>
      <c r="AZ460" s="135"/>
      <c r="BA460" s="135"/>
      <c r="BB460" s="135"/>
      <c r="BC460" s="135"/>
      <c r="BD460" s="135"/>
      <c r="BE460" s="135"/>
      <c r="BF460" s="135"/>
      <c r="BG460" s="135"/>
      <c r="BH460" s="135"/>
      <c r="BI460" s="135"/>
      <c r="BJ460" s="135"/>
      <c r="BK460" s="135"/>
      <c r="BL460" s="135"/>
      <c r="BM460" s="135"/>
      <c r="BN460" s="135"/>
      <c r="BO460" s="135"/>
      <c r="BP460" s="135"/>
      <c r="BQ460" s="135"/>
      <c r="BR460" s="135"/>
      <c r="BS460" s="135"/>
      <c r="BT460" s="135"/>
    </row>
    <row r="461" spans="1:72" s="196" customFormat="1">
      <c r="A461" s="135"/>
      <c r="B461" s="135"/>
      <c r="C461" s="135"/>
      <c r="D461" s="135"/>
      <c r="E461" s="135"/>
      <c r="F461" s="135"/>
      <c r="G461" s="135"/>
      <c r="H461" s="135"/>
      <c r="I461" s="135"/>
      <c r="J461" s="135"/>
      <c r="K461" s="135"/>
      <c r="L461" s="135"/>
      <c r="M461" s="135"/>
      <c r="N461" s="135"/>
      <c r="O461" s="135"/>
      <c r="P461" s="135"/>
      <c r="Q461" s="135"/>
      <c r="R461" s="135"/>
      <c r="S461" s="135"/>
      <c r="T461" s="135"/>
      <c r="U461" s="135"/>
      <c r="V461" s="135"/>
      <c r="W461" s="135"/>
      <c r="X461" s="135"/>
      <c r="Y461" s="135"/>
      <c r="Z461" s="135"/>
      <c r="AA461" s="135"/>
      <c r="AB461" s="135"/>
      <c r="AC461" s="135"/>
      <c r="AD461" s="135"/>
      <c r="AE461" s="135"/>
      <c r="AF461" s="135"/>
      <c r="AG461" s="135"/>
      <c r="AH461" s="135"/>
      <c r="AI461" s="135"/>
      <c r="AJ461" s="135"/>
      <c r="AK461" s="135"/>
      <c r="AL461" s="135"/>
      <c r="AM461" s="135"/>
      <c r="AN461" s="135"/>
      <c r="AO461" s="135"/>
      <c r="AP461" s="135"/>
      <c r="AQ461" s="135"/>
      <c r="AR461" s="135"/>
      <c r="AS461" s="135"/>
      <c r="AT461" s="135"/>
      <c r="AU461" s="135"/>
      <c r="AV461" s="135"/>
      <c r="AW461" s="135"/>
      <c r="AX461" s="135"/>
      <c r="AY461" s="135"/>
      <c r="AZ461" s="135"/>
      <c r="BA461" s="135"/>
      <c r="BB461" s="135"/>
      <c r="BC461" s="135"/>
      <c r="BD461" s="135"/>
      <c r="BE461" s="135"/>
      <c r="BF461" s="135"/>
      <c r="BG461" s="135"/>
      <c r="BH461" s="135"/>
      <c r="BI461" s="135"/>
      <c r="BJ461" s="135"/>
      <c r="BK461" s="135"/>
      <c r="BL461" s="135"/>
      <c r="BM461" s="135"/>
      <c r="BN461" s="135"/>
      <c r="BO461" s="135"/>
      <c r="BP461" s="135"/>
      <c r="BQ461" s="135"/>
      <c r="BR461" s="135"/>
      <c r="BS461" s="135"/>
      <c r="BT461" s="135"/>
    </row>
    <row r="462" spans="1:72" s="196" customFormat="1">
      <c r="A462" s="135"/>
      <c r="B462" s="135"/>
      <c r="C462" s="135"/>
      <c r="D462" s="135"/>
      <c r="E462" s="135"/>
      <c r="F462" s="135"/>
      <c r="G462" s="135"/>
      <c r="H462" s="135"/>
      <c r="I462" s="135"/>
      <c r="J462" s="135"/>
      <c r="K462" s="135"/>
      <c r="L462" s="135"/>
      <c r="M462" s="135"/>
      <c r="N462" s="135"/>
      <c r="O462" s="135"/>
      <c r="P462" s="135"/>
      <c r="Q462" s="135"/>
      <c r="R462" s="135"/>
      <c r="S462" s="135"/>
      <c r="T462" s="135"/>
      <c r="U462" s="135"/>
      <c r="V462" s="135"/>
      <c r="W462" s="135"/>
      <c r="X462" s="135"/>
      <c r="Y462" s="135"/>
      <c r="Z462" s="135"/>
      <c r="AA462" s="135"/>
      <c r="AB462" s="135"/>
      <c r="AC462" s="135"/>
      <c r="AD462" s="135"/>
      <c r="AE462" s="135"/>
      <c r="AF462" s="135"/>
      <c r="AG462" s="135"/>
      <c r="AH462" s="135"/>
      <c r="AI462" s="135"/>
      <c r="AJ462" s="135"/>
      <c r="AK462" s="135"/>
      <c r="AL462" s="135"/>
      <c r="AM462" s="135"/>
      <c r="AN462" s="135"/>
      <c r="AO462" s="135"/>
      <c r="AP462" s="135"/>
      <c r="AQ462" s="135"/>
      <c r="AR462" s="135"/>
      <c r="AS462" s="135"/>
      <c r="AT462" s="135"/>
      <c r="AU462" s="135"/>
      <c r="AV462" s="135"/>
      <c r="AW462" s="135"/>
      <c r="AX462" s="135"/>
      <c r="AY462" s="135"/>
      <c r="AZ462" s="135"/>
      <c r="BA462" s="135"/>
      <c r="BB462" s="135"/>
      <c r="BC462" s="135"/>
      <c r="BD462" s="135"/>
      <c r="BE462" s="135"/>
      <c r="BF462" s="135"/>
      <c r="BG462" s="135"/>
      <c r="BH462" s="135"/>
      <c r="BI462" s="135"/>
      <c r="BJ462" s="135"/>
      <c r="BK462" s="135"/>
      <c r="BL462" s="135"/>
      <c r="BM462" s="135"/>
      <c r="BN462" s="135"/>
      <c r="BO462" s="135"/>
      <c r="BP462" s="135"/>
      <c r="BQ462" s="135"/>
      <c r="BR462" s="135"/>
      <c r="BS462" s="135"/>
      <c r="BT462" s="135"/>
    </row>
    <row r="463" spans="1:72" s="196" customFormat="1">
      <c r="A463" s="135"/>
      <c r="B463" s="135"/>
      <c r="C463" s="135"/>
      <c r="D463" s="135"/>
      <c r="E463" s="135"/>
      <c r="F463" s="135"/>
      <c r="G463" s="135"/>
      <c r="H463" s="135"/>
      <c r="I463" s="135"/>
      <c r="J463" s="135"/>
      <c r="K463" s="135"/>
      <c r="L463" s="135"/>
      <c r="M463" s="135"/>
      <c r="N463" s="135"/>
      <c r="O463" s="135"/>
      <c r="P463" s="135"/>
      <c r="Q463" s="135"/>
      <c r="R463" s="135"/>
      <c r="S463" s="135"/>
      <c r="T463" s="135"/>
      <c r="U463" s="135"/>
      <c r="V463" s="135"/>
      <c r="W463" s="135"/>
      <c r="X463" s="135"/>
      <c r="Y463" s="135"/>
      <c r="Z463" s="135"/>
      <c r="AA463" s="135"/>
      <c r="AB463" s="135"/>
      <c r="AC463" s="135"/>
      <c r="AD463" s="135"/>
      <c r="AE463" s="135"/>
      <c r="AF463" s="135"/>
      <c r="AG463" s="135"/>
      <c r="AH463" s="135"/>
      <c r="AI463" s="135"/>
      <c r="AJ463" s="135"/>
      <c r="AK463" s="135"/>
      <c r="AL463" s="135"/>
      <c r="AM463" s="135"/>
      <c r="AN463" s="135"/>
      <c r="AO463" s="135"/>
      <c r="AP463" s="135"/>
      <c r="AQ463" s="135"/>
      <c r="AR463" s="135"/>
      <c r="AS463" s="135"/>
      <c r="AT463" s="135"/>
      <c r="AU463" s="135"/>
      <c r="AV463" s="135"/>
      <c r="AW463" s="135"/>
      <c r="AX463" s="135"/>
      <c r="AY463" s="135"/>
      <c r="AZ463" s="135"/>
      <c r="BA463" s="135"/>
      <c r="BB463" s="135"/>
      <c r="BC463" s="135"/>
      <c r="BD463" s="135"/>
      <c r="BE463" s="135"/>
      <c r="BF463" s="135"/>
      <c r="BG463" s="135"/>
      <c r="BH463" s="135"/>
      <c r="BI463" s="135"/>
      <c r="BJ463" s="135"/>
      <c r="BK463" s="135"/>
      <c r="BL463" s="135"/>
      <c r="BM463" s="135"/>
      <c r="BN463" s="135"/>
      <c r="BO463" s="135"/>
      <c r="BP463" s="135"/>
      <c r="BQ463" s="135"/>
      <c r="BR463" s="135"/>
      <c r="BS463" s="135"/>
      <c r="BT463" s="135"/>
    </row>
    <row r="464" spans="1:72" s="196" customFormat="1">
      <c r="A464" s="135"/>
      <c r="B464" s="135"/>
      <c r="C464" s="135"/>
      <c r="D464" s="135"/>
      <c r="E464" s="135"/>
      <c r="F464" s="135"/>
      <c r="G464" s="135"/>
      <c r="H464" s="135"/>
      <c r="I464" s="135"/>
      <c r="J464" s="135"/>
      <c r="K464" s="135"/>
      <c r="L464" s="135"/>
      <c r="M464" s="135"/>
      <c r="N464" s="135"/>
      <c r="O464" s="135"/>
      <c r="P464" s="135"/>
      <c r="Q464" s="135"/>
      <c r="R464" s="135"/>
      <c r="S464" s="135"/>
      <c r="T464" s="135"/>
      <c r="U464" s="135"/>
      <c r="V464" s="135"/>
      <c r="W464" s="135"/>
      <c r="X464" s="135"/>
      <c r="Y464" s="135"/>
      <c r="Z464" s="135"/>
      <c r="AA464" s="135"/>
      <c r="AB464" s="135"/>
      <c r="AC464" s="135"/>
      <c r="AD464" s="135"/>
      <c r="AE464" s="135"/>
      <c r="AF464" s="135"/>
      <c r="AG464" s="135"/>
      <c r="AH464" s="135"/>
      <c r="AI464" s="135"/>
      <c r="AJ464" s="135"/>
      <c r="AK464" s="135"/>
      <c r="AL464" s="135"/>
      <c r="AM464" s="135"/>
      <c r="AN464" s="135"/>
      <c r="AO464" s="135"/>
      <c r="AP464" s="135"/>
      <c r="AQ464" s="135"/>
      <c r="AR464" s="135"/>
      <c r="AS464" s="135"/>
      <c r="AT464" s="135"/>
      <c r="AU464" s="135"/>
      <c r="AV464" s="135"/>
      <c r="AW464" s="135"/>
      <c r="AX464" s="135"/>
      <c r="AY464" s="135"/>
      <c r="AZ464" s="135"/>
      <c r="BA464" s="135"/>
      <c r="BB464" s="135"/>
      <c r="BC464" s="135"/>
      <c r="BD464" s="135"/>
      <c r="BE464" s="135"/>
      <c r="BF464" s="135"/>
      <c r="BG464" s="135"/>
      <c r="BH464" s="135"/>
      <c r="BI464" s="135"/>
      <c r="BJ464" s="135"/>
      <c r="BK464" s="135"/>
      <c r="BL464" s="135"/>
      <c r="BM464" s="135"/>
      <c r="BN464" s="135"/>
      <c r="BO464" s="135"/>
      <c r="BP464" s="135"/>
      <c r="BQ464" s="135"/>
      <c r="BR464" s="135"/>
      <c r="BS464" s="135"/>
      <c r="BT464" s="135"/>
    </row>
    <row r="465" spans="1:72" s="196" customFormat="1">
      <c r="A465" s="135"/>
      <c r="B465" s="135"/>
      <c r="C465" s="135"/>
      <c r="D465" s="135"/>
      <c r="E465" s="135"/>
      <c r="F465" s="135"/>
      <c r="G465" s="135"/>
      <c r="H465" s="135"/>
      <c r="I465" s="135"/>
      <c r="J465" s="135"/>
      <c r="K465" s="135"/>
      <c r="L465" s="135"/>
      <c r="M465" s="135"/>
      <c r="N465" s="135"/>
      <c r="O465" s="135"/>
      <c r="P465" s="135"/>
      <c r="Q465" s="135"/>
      <c r="R465" s="135"/>
      <c r="S465" s="135"/>
      <c r="T465" s="135"/>
      <c r="U465" s="135"/>
      <c r="V465" s="135"/>
      <c r="W465" s="135"/>
      <c r="X465" s="135"/>
      <c r="Y465" s="135"/>
      <c r="Z465" s="135"/>
      <c r="AA465" s="135"/>
      <c r="AB465" s="135"/>
      <c r="AC465" s="135"/>
      <c r="AD465" s="135"/>
      <c r="AE465" s="135"/>
      <c r="AF465" s="135"/>
      <c r="AG465" s="135"/>
      <c r="AH465" s="135"/>
      <c r="AI465" s="135"/>
      <c r="AJ465" s="135"/>
      <c r="AK465" s="135"/>
      <c r="AL465" s="135"/>
      <c r="AM465" s="135"/>
      <c r="AN465" s="135"/>
      <c r="AO465" s="135"/>
      <c r="AP465" s="135"/>
      <c r="AQ465" s="135"/>
      <c r="AR465" s="135"/>
      <c r="AS465" s="135"/>
      <c r="AT465" s="135"/>
      <c r="AU465" s="135"/>
      <c r="AV465" s="135"/>
      <c r="AW465" s="135"/>
      <c r="AX465" s="135"/>
      <c r="AY465" s="135"/>
      <c r="AZ465" s="135"/>
      <c r="BA465" s="135"/>
      <c r="BB465" s="135"/>
      <c r="BC465" s="135"/>
      <c r="BD465" s="135"/>
      <c r="BE465" s="135"/>
      <c r="BF465" s="135"/>
      <c r="BG465" s="135"/>
      <c r="BH465" s="135"/>
      <c r="BI465" s="135"/>
      <c r="BJ465" s="135"/>
      <c r="BK465" s="135"/>
      <c r="BL465" s="135"/>
      <c r="BM465" s="135"/>
      <c r="BN465" s="135"/>
      <c r="BO465" s="135"/>
      <c r="BP465" s="135"/>
      <c r="BQ465" s="135"/>
      <c r="BR465" s="135"/>
      <c r="BS465" s="135"/>
      <c r="BT465" s="135"/>
    </row>
    <row r="466" spans="1:72" s="196" customFormat="1">
      <c r="A466" s="135"/>
      <c r="B466" s="135"/>
      <c r="C466" s="135"/>
      <c r="D466" s="135"/>
      <c r="E466" s="135"/>
      <c r="F466" s="135"/>
      <c r="G466" s="135"/>
      <c r="H466" s="135"/>
      <c r="I466" s="135"/>
      <c r="J466" s="135"/>
      <c r="K466" s="135"/>
      <c r="L466" s="135"/>
      <c r="M466" s="135"/>
      <c r="N466" s="135"/>
      <c r="O466" s="135"/>
      <c r="P466" s="135"/>
      <c r="Q466" s="135"/>
      <c r="R466" s="135"/>
      <c r="S466" s="135"/>
      <c r="T466" s="135"/>
      <c r="U466" s="135"/>
      <c r="V466" s="135"/>
      <c r="W466" s="135"/>
      <c r="X466" s="135"/>
      <c r="Y466" s="135"/>
      <c r="Z466" s="135"/>
      <c r="AA466" s="135"/>
      <c r="AB466" s="135"/>
      <c r="AC466" s="135"/>
      <c r="AD466" s="135"/>
      <c r="AE466" s="135"/>
      <c r="AF466" s="135"/>
      <c r="AG466" s="135"/>
      <c r="AH466" s="135"/>
      <c r="AI466" s="135"/>
      <c r="AJ466" s="135"/>
      <c r="AK466" s="135"/>
      <c r="AL466" s="135"/>
      <c r="AM466" s="135"/>
      <c r="AN466" s="135"/>
      <c r="AO466" s="135"/>
      <c r="AP466" s="135"/>
      <c r="AQ466" s="135"/>
      <c r="AR466" s="135"/>
      <c r="AS466" s="135"/>
      <c r="AT466" s="135"/>
      <c r="AU466" s="135"/>
      <c r="AV466" s="135"/>
      <c r="AW466" s="135"/>
      <c r="AX466" s="135"/>
      <c r="AY466" s="135"/>
      <c r="AZ466" s="135"/>
      <c r="BA466" s="135"/>
      <c r="BB466" s="135"/>
      <c r="BC466" s="135"/>
      <c r="BD466" s="135"/>
      <c r="BE466" s="135"/>
      <c r="BF466" s="135"/>
      <c r="BG466" s="135"/>
      <c r="BH466" s="135"/>
      <c r="BI466" s="135"/>
      <c r="BJ466" s="135"/>
      <c r="BK466" s="135"/>
      <c r="BL466" s="135"/>
      <c r="BM466" s="135"/>
      <c r="BN466" s="135"/>
      <c r="BO466" s="135"/>
      <c r="BP466" s="135"/>
      <c r="BQ466" s="135"/>
      <c r="BR466" s="135"/>
      <c r="BS466" s="135"/>
      <c r="BT466" s="135"/>
    </row>
    <row r="467" spans="1:72" s="196" customFormat="1">
      <c r="A467" s="135"/>
      <c r="B467" s="135"/>
      <c r="C467" s="135"/>
      <c r="D467" s="135"/>
      <c r="E467" s="135"/>
      <c r="F467" s="135"/>
      <c r="G467" s="135"/>
      <c r="H467" s="135"/>
      <c r="I467" s="135"/>
      <c r="J467" s="135"/>
      <c r="K467" s="135"/>
      <c r="L467" s="135"/>
      <c r="M467" s="135"/>
      <c r="N467" s="135"/>
      <c r="O467" s="135"/>
      <c r="P467" s="135"/>
      <c r="Q467" s="135"/>
      <c r="R467" s="135"/>
      <c r="S467" s="135"/>
      <c r="T467" s="135"/>
      <c r="U467" s="135"/>
      <c r="V467" s="135"/>
      <c r="W467" s="135"/>
      <c r="X467" s="135"/>
      <c r="Y467" s="135"/>
      <c r="Z467" s="135"/>
      <c r="AA467" s="135"/>
      <c r="AB467" s="135"/>
      <c r="AC467" s="135"/>
      <c r="AD467" s="135"/>
      <c r="AE467" s="135"/>
      <c r="AF467" s="135"/>
      <c r="AG467" s="135"/>
      <c r="AH467" s="135"/>
      <c r="AI467" s="135"/>
      <c r="AJ467" s="135"/>
      <c r="AK467" s="135"/>
      <c r="AL467" s="135"/>
      <c r="AM467" s="135"/>
      <c r="AN467" s="135"/>
      <c r="AO467" s="135"/>
      <c r="AP467" s="135"/>
      <c r="AQ467" s="135"/>
      <c r="AR467" s="135"/>
      <c r="AS467" s="135"/>
      <c r="AT467" s="135"/>
      <c r="AU467" s="135"/>
      <c r="AV467" s="135"/>
      <c r="AW467" s="135"/>
      <c r="AX467" s="135"/>
      <c r="AY467" s="135"/>
      <c r="AZ467" s="135"/>
      <c r="BA467" s="135"/>
      <c r="BB467" s="135"/>
      <c r="BC467" s="135"/>
      <c r="BD467" s="135"/>
      <c r="BE467" s="135"/>
      <c r="BF467" s="135"/>
      <c r="BG467" s="135"/>
      <c r="BH467" s="135"/>
      <c r="BI467" s="135"/>
      <c r="BJ467" s="135"/>
      <c r="BK467" s="135"/>
      <c r="BL467" s="135"/>
      <c r="BM467" s="135"/>
      <c r="BN467" s="135"/>
      <c r="BO467" s="135"/>
      <c r="BP467" s="135"/>
      <c r="BQ467" s="135"/>
      <c r="BR467" s="135"/>
      <c r="BS467" s="135"/>
      <c r="BT467" s="135"/>
    </row>
    <row r="468" spans="1:72" s="196" customFormat="1">
      <c r="A468" s="135"/>
      <c r="B468" s="135"/>
      <c r="C468" s="135"/>
      <c r="D468" s="135"/>
      <c r="E468" s="135"/>
      <c r="F468" s="135"/>
      <c r="G468" s="135"/>
      <c r="H468" s="135"/>
      <c r="I468" s="135"/>
      <c r="J468" s="135"/>
      <c r="K468" s="135"/>
      <c r="L468" s="135"/>
      <c r="M468" s="135"/>
      <c r="N468" s="135"/>
      <c r="O468" s="135"/>
      <c r="P468" s="135"/>
      <c r="Q468" s="135"/>
      <c r="R468" s="135"/>
      <c r="S468" s="135"/>
      <c r="T468" s="135"/>
      <c r="U468" s="135"/>
      <c r="V468" s="135"/>
      <c r="W468" s="135"/>
      <c r="X468" s="135"/>
      <c r="Y468" s="135"/>
      <c r="Z468" s="135"/>
      <c r="AA468" s="135"/>
      <c r="AB468" s="135"/>
      <c r="AC468" s="135"/>
      <c r="AD468" s="135"/>
      <c r="AE468" s="135"/>
      <c r="AF468" s="135"/>
      <c r="AG468" s="135"/>
      <c r="AH468" s="135"/>
      <c r="AI468" s="135"/>
      <c r="AJ468" s="135"/>
      <c r="AK468" s="135"/>
      <c r="AL468" s="135"/>
      <c r="AM468" s="135"/>
      <c r="AN468" s="135"/>
      <c r="AO468" s="135"/>
      <c r="AP468" s="135"/>
      <c r="AQ468" s="135"/>
      <c r="AR468" s="135"/>
      <c r="AS468" s="135"/>
      <c r="AT468" s="135"/>
      <c r="AU468" s="135"/>
      <c r="AV468" s="135"/>
      <c r="AW468" s="135"/>
      <c r="AX468" s="135"/>
      <c r="AY468" s="135"/>
      <c r="AZ468" s="135"/>
      <c r="BA468" s="135"/>
      <c r="BB468" s="135"/>
      <c r="BC468" s="135"/>
      <c r="BD468" s="135"/>
      <c r="BE468" s="135"/>
      <c r="BF468" s="135"/>
      <c r="BG468" s="135"/>
      <c r="BH468" s="135"/>
      <c r="BI468" s="135"/>
      <c r="BJ468" s="135"/>
      <c r="BK468" s="135"/>
      <c r="BL468" s="135"/>
      <c r="BM468" s="135"/>
      <c r="BN468" s="135"/>
      <c r="BO468" s="135"/>
      <c r="BP468" s="135"/>
      <c r="BQ468" s="135"/>
      <c r="BR468" s="135"/>
      <c r="BS468" s="135"/>
      <c r="BT468" s="135"/>
    </row>
    <row r="469" spans="1:72" s="196" customFormat="1">
      <c r="A469" s="135"/>
      <c r="B469" s="135"/>
      <c r="C469" s="135"/>
      <c r="D469" s="135"/>
      <c r="E469" s="135"/>
      <c r="F469" s="135"/>
      <c r="G469" s="135"/>
      <c r="H469" s="135"/>
      <c r="I469" s="135"/>
      <c r="J469" s="135"/>
      <c r="K469" s="135"/>
      <c r="L469" s="135"/>
      <c r="M469" s="135"/>
      <c r="N469" s="135"/>
      <c r="O469" s="135"/>
      <c r="P469" s="135"/>
      <c r="Q469" s="135"/>
      <c r="R469" s="135"/>
      <c r="S469" s="135"/>
      <c r="T469" s="135"/>
      <c r="U469" s="135"/>
      <c r="V469" s="135"/>
      <c r="W469" s="135"/>
      <c r="X469" s="135"/>
      <c r="Y469" s="135"/>
      <c r="Z469" s="135"/>
      <c r="AA469" s="135"/>
      <c r="AB469" s="135"/>
      <c r="AC469" s="135"/>
      <c r="AD469" s="135"/>
      <c r="AE469" s="135"/>
      <c r="AF469" s="135"/>
      <c r="AG469" s="135"/>
      <c r="AH469" s="135"/>
      <c r="AI469" s="135"/>
      <c r="AJ469" s="135"/>
      <c r="AK469" s="135"/>
      <c r="AL469" s="135"/>
      <c r="AM469" s="135"/>
      <c r="AN469" s="135"/>
      <c r="AO469" s="135"/>
      <c r="AP469" s="135"/>
      <c r="AQ469" s="135"/>
      <c r="AR469" s="135"/>
      <c r="AS469" s="135"/>
      <c r="AT469" s="135"/>
      <c r="AU469" s="135"/>
      <c r="AV469" s="135"/>
      <c r="AW469" s="135"/>
      <c r="AX469" s="135"/>
      <c r="AY469" s="135"/>
      <c r="AZ469" s="135"/>
      <c r="BA469" s="135"/>
      <c r="BB469" s="135"/>
      <c r="BC469" s="135"/>
      <c r="BD469" s="135"/>
      <c r="BE469" s="135"/>
      <c r="BF469" s="135"/>
      <c r="BG469" s="135"/>
      <c r="BH469" s="135"/>
      <c r="BI469" s="135"/>
      <c r="BJ469" s="135"/>
      <c r="BK469" s="135"/>
      <c r="BL469" s="135"/>
      <c r="BM469" s="135"/>
      <c r="BN469" s="135"/>
      <c r="BO469" s="135"/>
      <c r="BP469" s="135"/>
      <c r="BQ469" s="135"/>
      <c r="BR469" s="135"/>
      <c r="BS469" s="135"/>
      <c r="BT469" s="135"/>
    </row>
    <row r="470" spans="1:72" s="196" customFormat="1">
      <c r="A470" s="135"/>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c r="AA470" s="135"/>
      <c r="AB470" s="135"/>
      <c r="AC470" s="135"/>
      <c r="AD470" s="135"/>
      <c r="AE470" s="135"/>
      <c r="AF470" s="135"/>
      <c r="AG470" s="135"/>
      <c r="AH470" s="135"/>
      <c r="AI470" s="135"/>
      <c r="AJ470" s="135"/>
      <c r="AK470" s="135"/>
      <c r="AL470" s="135"/>
      <c r="AM470" s="135"/>
      <c r="AN470" s="135"/>
      <c r="AO470" s="135"/>
      <c r="AP470" s="135"/>
      <c r="AQ470" s="135"/>
      <c r="AR470" s="135"/>
      <c r="AS470" s="135"/>
      <c r="AT470" s="135"/>
      <c r="AU470" s="135"/>
      <c r="AV470" s="135"/>
      <c r="AW470" s="135"/>
      <c r="AX470" s="135"/>
      <c r="AY470" s="135"/>
      <c r="AZ470" s="135"/>
      <c r="BA470" s="135"/>
      <c r="BB470" s="135"/>
      <c r="BC470" s="135"/>
      <c r="BD470" s="135"/>
      <c r="BE470" s="135"/>
      <c r="BF470" s="135"/>
      <c r="BG470" s="135"/>
      <c r="BH470" s="135"/>
      <c r="BI470" s="135"/>
      <c r="BJ470" s="135"/>
      <c r="BK470" s="135"/>
      <c r="BL470" s="135"/>
      <c r="BM470" s="135"/>
      <c r="BN470" s="135"/>
      <c r="BO470" s="135"/>
      <c r="BP470" s="135"/>
      <c r="BQ470" s="135"/>
      <c r="BR470" s="135"/>
      <c r="BS470" s="135"/>
      <c r="BT470" s="135"/>
    </row>
    <row r="471" spans="1:72" s="196" customFormat="1">
      <c r="A471" s="135"/>
      <c r="B471" s="135"/>
      <c r="C471" s="135"/>
      <c r="D471" s="135"/>
      <c r="E471" s="135"/>
      <c r="F471" s="135"/>
      <c r="G471" s="135"/>
      <c r="H471" s="135"/>
      <c r="I471" s="135"/>
      <c r="J471" s="135"/>
      <c r="K471" s="135"/>
      <c r="L471" s="135"/>
      <c r="M471" s="135"/>
      <c r="N471" s="135"/>
      <c r="O471" s="135"/>
      <c r="P471" s="135"/>
      <c r="Q471" s="135"/>
      <c r="R471" s="135"/>
      <c r="S471" s="135"/>
      <c r="T471" s="135"/>
      <c r="U471" s="135"/>
      <c r="V471" s="135"/>
      <c r="W471" s="135"/>
      <c r="X471" s="135"/>
      <c r="Y471" s="135"/>
      <c r="Z471" s="135"/>
      <c r="AA471" s="135"/>
      <c r="AB471" s="135"/>
      <c r="AC471" s="135"/>
      <c r="AD471" s="135"/>
      <c r="AE471" s="135"/>
      <c r="AF471" s="135"/>
      <c r="AG471" s="135"/>
      <c r="AH471" s="135"/>
      <c r="AI471" s="135"/>
      <c r="AJ471" s="135"/>
      <c r="AK471" s="135"/>
      <c r="AL471" s="135"/>
      <c r="AM471" s="135"/>
      <c r="AN471" s="135"/>
      <c r="AO471" s="135"/>
      <c r="AP471" s="135"/>
      <c r="AQ471" s="135"/>
      <c r="AR471" s="135"/>
      <c r="AS471" s="135"/>
      <c r="AT471" s="135"/>
      <c r="AU471" s="135"/>
      <c r="AV471" s="135"/>
      <c r="AW471" s="135"/>
      <c r="AX471" s="135"/>
      <c r="AY471" s="135"/>
      <c r="AZ471" s="135"/>
      <c r="BA471" s="135"/>
      <c r="BB471" s="135"/>
      <c r="BC471" s="135"/>
      <c r="BD471" s="135"/>
      <c r="BE471" s="135"/>
      <c r="BF471" s="135"/>
      <c r="BG471" s="135"/>
      <c r="BH471" s="135"/>
      <c r="BI471" s="135"/>
      <c r="BJ471" s="135"/>
      <c r="BK471" s="135"/>
      <c r="BL471" s="135"/>
      <c r="BM471" s="135"/>
      <c r="BN471" s="135"/>
      <c r="BO471" s="135"/>
      <c r="BP471" s="135"/>
      <c r="BQ471" s="135"/>
      <c r="BR471" s="135"/>
      <c r="BS471" s="135"/>
      <c r="BT471" s="135"/>
    </row>
    <row r="472" spans="1:72" s="196" customFormat="1">
      <c r="A472" s="135"/>
      <c r="B472" s="135"/>
      <c r="C472" s="135"/>
      <c r="D472" s="135"/>
      <c r="E472" s="135"/>
      <c r="F472" s="135"/>
      <c r="G472" s="135"/>
      <c r="H472" s="135"/>
      <c r="I472" s="135"/>
      <c r="J472" s="135"/>
      <c r="K472" s="135"/>
      <c r="L472" s="135"/>
      <c r="M472" s="135"/>
      <c r="N472" s="135"/>
      <c r="O472" s="135"/>
      <c r="P472" s="135"/>
      <c r="Q472" s="135"/>
      <c r="R472" s="135"/>
      <c r="S472" s="135"/>
      <c r="T472" s="135"/>
      <c r="U472" s="135"/>
      <c r="V472" s="135"/>
      <c r="W472" s="135"/>
      <c r="X472" s="135"/>
      <c r="Y472" s="135"/>
      <c r="Z472" s="135"/>
      <c r="AA472" s="135"/>
      <c r="AB472" s="135"/>
      <c r="AC472" s="135"/>
      <c r="AD472" s="135"/>
      <c r="AE472" s="135"/>
      <c r="AF472" s="135"/>
      <c r="AG472" s="135"/>
      <c r="AH472" s="135"/>
      <c r="AI472" s="135"/>
      <c r="AJ472" s="135"/>
      <c r="AK472" s="135"/>
      <c r="AL472" s="135"/>
      <c r="AM472" s="135"/>
      <c r="AN472" s="135"/>
      <c r="AO472" s="135"/>
      <c r="AP472" s="135"/>
      <c r="AQ472" s="135"/>
      <c r="AR472" s="135"/>
      <c r="AS472" s="135"/>
      <c r="AT472" s="135"/>
      <c r="AU472" s="135"/>
      <c r="AV472" s="135"/>
      <c r="AW472" s="135"/>
      <c r="AX472" s="135"/>
      <c r="AY472" s="135"/>
      <c r="AZ472" s="135"/>
      <c r="BA472" s="135"/>
      <c r="BB472" s="135"/>
      <c r="BC472" s="135"/>
      <c r="BD472" s="135"/>
      <c r="BE472" s="135"/>
      <c r="BF472" s="135"/>
      <c r="BG472" s="135"/>
      <c r="BH472" s="135"/>
      <c r="BI472" s="135"/>
      <c r="BJ472" s="135"/>
      <c r="BK472" s="135"/>
      <c r="BL472" s="135"/>
      <c r="BM472" s="135"/>
      <c r="BN472" s="135"/>
      <c r="BO472" s="135"/>
      <c r="BP472" s="135"/>
      <c r="BQ472" s="135"/>
      <c r="BR472" s="135"/>
      <c r="BS472" s="135"/>
      <c r="BT472" s="135"/>
    </row>
    <row r="473" spans="1:72" s="196" customFormat="1">
      <c r="A473" s="135"/>
      <c r="B473" s="135"/>
      <c r="C473" s="135"/>
      <c r="D473" s="135"/>
      <c r="E473" s="135"/>
      <c r="F473" s="135"/>
      <c r="G473" s="135"/>
      <c r="H473" s="135"/>
      <c r="I473" s="135"/>
      <c r="J473" s="135"/>
      <c r="K473" s="135"/>
      <c r="L473" s="135"/>
      <c r="M473" s="135"/>
      <c r="N473" s="135"/>
      <c r="O473" s="135"/>
      <c r="P473" s="135"/>
      <c r="Q473" s="135"/>
      <c r="R473" s="135"/>
      <c r="S473" s="135"/>
      <c r="T473" s="135"/>
      <c r="U473" s="135"/>
      <c r="V473" s="135"/>
      <c r="W473" s="135"/>
      <c r="X473" s="135"/>
      <c r="Y473" s="135"/>
      <c r="Z473" s="135"/>
      <c r="AA473" s="135"/>
      <c r="AB473" s="135"/>
      <c r="AC473" s="135"/>
      <c r="AD473" s="135"/>
      <c r="AE473" s="135"/>
      <c r="AF473" s="135"/>
      <c r="AG473" s="135"/>
      <c r="AH473" s="135"/>
      <c r="AI473" s="135"/>
      <c r="AJ473" s="135"/>
      <c r="AK473" s="135"/>
      <c r="AL473" s="135"/>
      <c r="AM473" s="135"/>
      <c r="AN473" s="135"/>
      <c r="AO473" s="135"/>
      <c r="AP473" s="135"/>
      <c r="AQ473" s="135"/>
      <c r="AR473" s="135"/>
      <c r="AS473" s="135"/>
      <c r="AT473" s="135"/>
      <c r="AU473" s="135"/>
      <c r="AV473" s="135"/>
      <c r="AW473" s="135"/>
      <c r="AX473" s="135"/>
      <c r="AY473" s="135"/>
      <c r="AZ473" s="135"/>
      <c r="BA473" s="135"/>
      <c r="BB473" s="135"/>
      <c r="BC473" s="135"/>
      <c r="BD473" s="135"/>
      <c r="BE473" s="135"/>
      <c r="BF473" s="135"/>
      <c r="BG473" s="135"/>
      <c r="BH473" s="135"/>
      <c r="BI473" s="135"/>
      <c r="BJ473" s="135"/>
      <c r="BK473" s="135"/>
      <c r="BL473" s="135"/>
      <c r="BM473" s="135"/>
      <c r="BN473" s="135"/>
      <c r="BO473" s="135"/>
      <c r="BP473" s="135"/>
      <c r="BQ473" s="135"/>
      <c r="BR473" s="135"/>
      <c r="BS473" s="135"/>
      <c r="BT473" s="135"/>
    </row>
    <row r="474" spans="1:72" s="196" customFormat="1">
      <c r="A474" s="135"/>
      <c r="B474" s="135"/>
      <c r="C474" s="135"/>
      <c r="D474" s="135"/>
      <c r="E474" s="135"/>
      <c r="F474" s="135"/>
      <c r="G474" s="135"/>
      <c r="H474" s="135"/>
      <c r="I474" s="135"/>
      <c r="J474" s="135"/>
      <c r="K474" s="135"/>
      <c r="L474" s="135"/>
      <c r="M474" s="135"/>
      <c r="N474" s="135"/>
      <c r="O474" s="135"/>
      <c r="P474" s="135"/>
      <c r="Q474" s="135"/>
      <c r="R474" s="135"/>
      <c r="S474" s="135"/>
      <c r="T474" s="135"/>
      <c r="U474" s="135"/>
      <c r="V474" s="135"/>
      <c r="W474" s="135"/>
      <c r="X474" s="135"/>
      <c r="Y474" s="135"/>
      <c r="Z474" s="135"/>
      <c r="AA474" s="135"/>
      <c r="AB474" s="135"/>
      <c r="AC474" s="135"/>
      <c r="AD474" s="135"/>
      <c r="AE474" s="135"/>
      <c r="AF474" s="135"/>
      <c r="AG474" s="135"/>
      <c r="AH474" s="135"/>
      <c r="AI474" s="135"/>
      <c r="AJ474" s="135"/>
      <c r="AK474" s="135"/>
      <c r="AL474" s="135"/>
      <c r="AM474" s="135"/>
      <c r="AN474" s="135"/>
      <c r="AO474" s="135"/>
      <c r="AP474" s="135"/>
      <c r="AQ474" s="135"/>
      <c r="AR474" s="135"/>
      <c r="AS474" s="135"/>
      <c r="AT474" s="135"/>
      <c r="AU474" s="135"/>
      <c r="AV474" s="135"/>
      <c r="AW474" s="135"/>
      <c r="AX474" s="135"/>
      <c r="AY474" s="135"/>
      <c r="AZ474" s="135"/>
      <c r="BA474" s="135"/>
      <c r="BB474" s="135"/>
      <c r="BC474" s="135"/>
      <c r="BD474" s="135"/>
      <c r="BE474" s="135"/>
      <c r="BF474" s="135"/>
      <c r="BG474" s="135"/>
      <c r="BH474" s="135"/>
      <c r="BI474" s="135"/>
      <c r="BJ474" s="135"/>
      <c r="BK474" s="135"/>
      <c r="BL474" s="135"/>
      <c r="BM474" s="135"/>
      <c r="BN474" s="135"/>
      <c r="BO474" s="135"/>
      <c r="BP474" s="135"/>
      <c r="BQ474" s="135"/>
      <c r="BR474" s="135"/>
      <c r="BS474" s="135"/>
      <c r="BT474" s="135"/>
    </row>
    <row r="475" spans="1:72" s="196" customFormat="1">
      <c r="A475" s="135"/>
      <c r="B475" s="135"/>
      <c r="C475" s="135"/>
      <c r="D475" s="135"/>
      <c r="E475" s="135"/>
      <c r="F475" s="135"/>
      <c r="G475" s="135"/>
      <c r="H475" s="135"/>
      <c r="I475" s="135"/>
      <c r="J475" s="135"/>
      <c r="K475" s="135"/>
      <c r="L475" s="135"/>
      <c r="M475" s="135"/>
      <c r="N475" s="135"/>
      <c r="O475" s="135"/>
      <c r="P475" s="135"/>
      <c r="Q475" s="135"/>
      <c r="R475" s="135"/>
      <c r="S475" s="135"/>
      <c r="T475" s="135"/>
      <c r="U475" s="135"/>
      <c r="V475" s="135"/>
      <c r="W475" s="135"/>
      <c r="X475" s="135"/>
      <c r="Y475" s="135"/>
      <c r="Z475" s="135"/>
      <c r="AA475" s="135"/>
      <c r="AB475" s="135"/>
      <c r="AC475" s="135"/>
      <c r="AD475" s="135"/>
      <c r="AE475" s="135"/>
      <c r="AF475" s="135"/>
      <c r="AG475" s="135"/>
      <c r="AH475" s="135"/>
      <c r="AI475" s="135"/>
      <c r="AJ475" s="135"/>
      <c r="AK475" s="135"/>
      <c r="AL475" s="135"/>
      <c r="AM475" s="135"/>
      <c r="AN475" s="135"/>
      <c r="AO475" s="135"/>
      <c r="AP475" s="135"/>
      <c r="AQ475" s="135"/>
      <c r="AR475" s="135"/>
      <c r="AS475" s="135"/>
      <c r="AT475" s="135"/>
      <c r="AU475" s="135"/>
      <c r="AV475" s="135"/>
      <c r="AW475" s="135"/>
      <c r="AX475" s="135"/>
      <c r="AY475" s="135"/>
      <c r="AZ475" s="135"/>
      <c r="BA475" s="135"/>
      <c r="BB475" s="135"/>
      <c r="BC475" s="135"/>
      <c r="BD475" s="135"/>
      <c r="BE475" s="135"/>
      <c r="BF475" s="135"/>
      <c r="BG475" s="135"/>
      <c r="BH475" s="135"/>
      <c r="BI475" s="135"/>
      <c r="BJ475" s="135"/>
      <c r="BK475" s="135"/>
      <c r="BL475" s="135"/>
      <c r="BM475" s="135"/>
      <c r="BN475" s="135"/>
      <c r="BO475" s="135"/>
      <c r="BP475" s="135"/>
      <c r="BQ475" s="135"/>
      <c r="BR475" s="135"/>
      <c r="BS475" s="135"/>
      <c r="BT475" s="135"/>
    </row>
    <row r="476" spans="1:72" s="196" customFormat="1">
      <c r="A476" s="135"/>
      <c r="B476" s="135"/>
      <c r="C476" s="135"/>
      <c r="D476" s="135"/>
      <c r="E476" s="135"/>
      <c r="F476" s="135"/>
      <c r="G476" s="135"/>
      <c r="H476" s="135"/>
      <c r="I476" s="135"/>
      <c r="J476" s="135"/>
      <c r="K476" s="135"/>
      <c r="L476" s="135"/>
      <c r="M476" s="135"/>
      <c r="N476" s="135"/>
      <c r="O476" s="135"/>
      <c r="P476" s="135"/>
      <c r="Q476" s="135"/>
      <c r="R476" s="135"/>
      <c r="S476" s="135"/>
      <c r="T476" s="135"/>
      <c r="U476" s="135"/>
      <c r="V476" s="135"/>
      <c r="W476" s="135"/>
      <c r="X476" s="135"/>
      <c r="Y476" s="135"/>
      <c r="Z476" s="135"/>
      <c r="AA476" s="135"/>
      <c r="AB476" s="135"/>
      <c r="AC476" s="135"/>
      <c r="AD476" s="135"/>
      <c r="AE476" s="135"/>
      <c r="AF476" s="135"/>
      <c r="AG476" s="135"/>
      <c r="AH476" s="135"/>
      <c r="AI476" s="135"/>
      <c r="AJ476" s="135"/>
      <c r="AK476" s="135"/>
      <c r="AL476" s="135"/>
      <c r="AM476" s="135"/>
      <c r="AN476" s="135"/>
      <c r="AO476" s="135"/>
      <c r="AP476" s="135"/>
      <c r="AQ476" s="135"/>
      <c r="AR476" s="135"/>
      <c r="AS476" s="135"/>
      <c r="AT476" s="135"/>
      <c r="AU476" s="135"/>
      <c r="AV476" s="135"/>
      <c r="AW476" s="135"/>
      <c r="AX476" s="135"/>
      <c r="AY476" s="135"/>
      <c r="AZ476" s="135"/>
      <c r="BA476" s="135"/>
      <c r="BB476" s="135"/>
      <c r="BC476" s="135"/>
      <c r="BD476" s="135"/>
      <c r="BE476" s="135"/>
      <c r="BF476" s="135"/>
      <c r="BG476" s="135"/>
      <c r="BH476" s="135"/>
      <c r="BI476" s="135"/>
      <c r="BJ476" s="135"/>
      <c r="BK476" s="135"/>
      <c r="BL476" s="135"/>
      <c r="BM476" s="135"/>
      <c r="BN476" s="135"/>
      <c r="BO476" s="135"/>
      <c r="BP476" s="135"/>
      <c r="BQ476" s="135"/>
      <c r="BR476" s="135"/>
      <c r="BS476" s="135"/>
      <c r="BT476" s="135"/>
    </row>
    <row r="477" spans="1:72" s="196" customFormat="1">
      <c r="A477" s="135"/>
      <c r="B477" s="135"/>
      <c r="C477" s="135"/>
      <c r="D477" s="135"/>
      <c r="E477" s="135"/>
      <c r="F477" s="135"/>
      <c r="G477" s="135"/>
      <c r="H477" s="135"/>
      <c r="I477" s="135"/>
      <c r="J477" s="135"/>
      <c r="K477" s="135"/>
      <c r="L477" s="135"/>
      <c r="M477" s="135"/>
      <c r="N477" s="135"/>
      <c r="O477" s="135"/>
      <c r="P477" s="135"/>
      <c r="Q477" s="135"/>
      <c r="R477" s="135"/>
      <c r="S477" s="135"/>
      <c r="T477" s="135"/>
      <c r="U477" s="135"/>
      <c r="V477" s="135"/>
      <c r="W477" s="135"/>
      <c r="X477" s="135"/>
      <c r="Y477" s="135"/>
      <c r="Z477" s="135"/>
      <c r="AA477" s="135"/>
      <c r="AB477" s="135"/>
      <c r="AC477" s="135"/>
      <c r="AD477" s="135"/>
      <c r="AE477" s="135"/>
      <c r="AF477" s="135"/>
      <c r="AG477" s="135"/>
      <c r="AH477" s="135"/>
      <c r="AI477" s="135"/>
      <c r="AJ477" s="135"/>
      <c r="AK477" s="135"/>
      <c r="AL477" s="135"/>
      <c r="AM477" s="135"/>
      <c r="AN477" s="135"/>
      <c r="AO477" s="135"/>
      <c r="AP477" s="135"/>
      <c r="AQ477" s="135"/>
      <c r="AR477" s="135"/>
      <c r="AS477" s="135"/>
      <c r="AT477" s="135"/>
      <c r="AU477" s="135"/>
      <c r="AV477" s="135"/>
      <c r="AW477" s="135"/>
      <c r="AX477" s="135"/>
      <c r="AY477" s="135"/>
      <c r="AZ477" s="135"/>
      <c r="BA477" s="135"/>
      <c r="BB477" s="135"/>
      <c r="BC477" s="135"/>
      <c r="BD477" s="135"/>
      <c r="BE477" s="135"/>
      <c r="BF477" s="135"/>
      <c r="BG477" s="135"/>
      <c r="BH477" s="135"/>
      <c r="BI477" s="135"/>
      <c r="BJ477" s="135"/>
      <c r="BK477" s="135"/>
      <c r="BL477" s="135"/>
      <c r="BM477" s="135"/>
      <c r="BN477" s="135"/>
      <c r="BO477" s="135"/>
      <c r="BP477" s="135"/>
      <c r="BQ477" s="135"/>
      <c r="BR477" s="135"/>
      <c r="BS477" s="135"/>
      <c r="BT477" s="135"/>
    </row>
    <row r="478" spans="1:72" s="196" customFormat="1">
      <c r="A478" s="135"/>
      <c r="B478" s="135"/>
      <c r="C478" s="135"/>
      <c r="D478" s="135"/>
      <c r="E478" s="135"/>
      <c r="F478" s="135"/>
      <c r="G478" s="135"/>
      <c r="H478" s="135"/>
      <c r="I478" s="135"/>
      <c r="J478" s="135"/>
      <c r="K478" s="135"/>
      <c r="L478" s="135"/>
      <c r="M478" s="135"/>
      <c r="N478" s="135"/>
      <c r="O478" s="135"/>
      <c r="P478" s="135"/>
      <c r="Q478" s="135"/>
      <c r="R478" s="135"/>
      <c r="S478" s="135"/>
      <c r="T478" s="135"/>
      <c r="U478" s="135"/>
      <c r="V478" s="135"/>
      <c r="W478" s="135"/>
      <c r="X478" s="135"/>
      <c r="Y478" s="135"/>
      <c r="Z478" s="135"/>
      <c r="AA478" s="135"/>
      <c r="AB478" s="135"/>
      <c r="AC478" s="135"/>
      <c r="AD478" s="135"/>
      <c r="AE478" s="135"/>
      <c r="AF478" s="135"/>
      <c r="AG478" s="135"/>
      <c r="AH478" s="135"/>
      <c r="AI478" s="135"/>
      <c r="AJ478" s="135"/>
      <c r="AK478" s="135"/>
      <c r="AL478" s="135"/>
      <c r="AM478" s="135"/>
      <c r="AN478" s="135"/>
      <c r="AO478" s="135"/>
      <c r="AP478" s="135"/>
      <c r="AQ478" s="135"/>
      <c r="AR478" s="135"/>
      <c r="AS478" s="135"/>
      <c r="AT478" s="135"/>
      <c r="AU478" s="135"/>
      <c r="AV478" s="135"/>
      <c r="AW478" s="135"/>
      <c r="AX478" s="135"/>
      <c r="AY478" s="135"/>
      <c r="AZ478" s="135"/>
      <c r="BA478" s="135"/>
      <c r="BB478" s="135"/>
      <c r="BC478" s="135"/>
      <c r="BD478" s="135"/>
      <c r="BE478" s="135"/>
      <c r="BF478" s="135"/>
      <c r="BG478" s="135"/>
      <c r="BH478" s="135"/>
      <c r="BI478" s="135"/>
      <c r="BJ478" s="135"/>
      <c r="BK478" s="135"/>
      <c r="BL478" s="135"/>
      <c r="BM478" s="135"/>
      <c r="BN478" s="135"/>
      <c r="BO478" s="135"/>
      <c r="BP478" s="135"/>
      <c r="BQ478" s="135"/>
      <c r="BR478" s="135"/>
      <c r="BS478" s="135"/>
      <c r="BT478" s="135"/>
    </row>
    <row r="479" spans="1:72" s="196" customFormat="1">
      <c r="A479" s="135"/>
      <c r="B479" s="135"/>
      <c r="C479" s="135"/>
      <c r="D479" s="135"/>
      <c r="E479" s="135"/>
      <c r="F479" s="135"/>
      <c r="G479" s="135"/>
      <c r="H479" s="135"/>
      <c r="I479" s="135"/>
      <c r="J479" s="135"/>
      <c r="K479" s="135"/>
      <c r="L479" s="135"/>
      <c r="M479" s="135"/>
      <c r="N479" s="135"/>
      <c r="O479" s="135"/>
      <c r="P479" s="135"/>
      <c r="Q479" s="135"/>
      <c r="R479" s="135"/>
      <c r="S479" s="135"/>
      <c r="T479" s="135"/>
      <c r="U479" s="135"/>
      <c r="V479" s="135"/>
      <c r="W479" s="135"/>
      <c r="X479" s="135"/>
      <c r="Y479" s="135"/>
      <c r="Z479" s="135"/>
      <c r="AA479" s="135"/>
      <c r="AB479" s="135"/>
      <c r="AC479" s="135"/>
      <c r="AD479" s="135"/>
      <c r="AE479" s="135"/>
      <c r="AF479" s="135"/>
      <c r="AG479" s="135"/>
      <c r="AH479" s="135"/>
      <c r="AI479" s="135"/>
      <c r="AJ479" s="135"/>
      <c r="AK479" s="135"/>
      <c r="AL479" s="135"/>
      <c r="AM479" s="135"/>
      <c r="AN479" s="135"/>
      <c r="AO479" s="135"/>
      <c r="AP479" s="135"/>
      <c r="AQ479" s="135"/>
      <c r="AR479" s="135"/>
      <c r="AS479" s="135"/>
      <c r="AT479" s="135"/>
      <c r="AU479" s="135"/>
      <c r="AV479" s="135"/>
      <c r="AW479" s="135"/>
      <c r="AX479" s="135"/>
      <c r="AY479" s="135"/>
      <c r="AZ479" s="135"/>
      <c r="BA479" s="135"/>
      <c r="BB479" s="135"/>
      <c r="BC479" s="135"/>
      <c r="BD479" s="135"/>
      <c r="BE479" s="135"/>
      <c r="BF479" s="135"/>
      <c r="BG479" s="135"/>
      <c r="BH479" s="135"/>
      <c r="BI479" s="135"/>
      <c r="BJ479" s="135"/>
      <c r="BK479" s="135"/>
      <c r="BL479" s="135"/>
      <c r="BM479" s="135"/>
      <c r="BN479" s="135"/>
      <c r="BO479" s="135"/>
      <c r="BP479" s="135"/>
      <c r="BQ479" s="135"/>
      <c r="BR479" s="135"/>
      <c r="BS479" s="135"/>
      <c r="BT479" s="135"/>
    </row>
    <row r="480" spans="1:72" s="196" customFormat="1">
      <c r="A480" s="135"/>
      <c r="B480" s="135"/>
      <c r="C480" s="135"/>
      <c r="D480" s="135"/>
      <c r="E480" s="135"/>
      <c r="F480" s="135"/>
      <c r="G480" s="135"/>
      <c r="H480" s="135"/>
      <c r="I480" s="135"/>
      <c r="J480" s="135"/>
      <c r="K480" s="135"/>
      <c r="L480" s="135"/>
      <c r="M480" s="135"/>
      <c r="N480" s="135"/>
      <c r="O480" s="135"/>
      <c r="P480" s="135"/>
      <c r="Q480" s="135"/>
      <c r="R480" s="135"/>
      <c r="S480" s="135"/>
      <c r="T480" s="135"/>
      <c r="U480" s="135"/>
      <c r="V480" s="135"/>
      <c r="W480" s="135"/>
      <c r="X480" s="135"/>
      <c r="Y480" s="135"/>
      <c r="Z480" s="135"/>
      <c r="AA480" s="135"/>
      <c r="AB480" s="135"/>
      <c r="AC480" s="135"/>
      <c r="AD480" s="135"/>
      <c r="AE480" s="135"/>
      <c r="AF480" s="135"/>
      <c r="AG480" s="135"/>
      <c r="AH480" s="135"/>
      <c r="AI480" s="135"/>
      <c r="AJ480" s="135"/>
      <c r="AK480" s="135"/>
      <c r="AL480" s="135"/>
      <c r="AM480" s="135"/>
      <c r="AN480" s="135"/>
      <c r="AO480" s="135"/>
      <c r="AP480" s="135"/>
      <c r="AQ480" s="135"/>
      <c r="AR480" s="135"/>
      <c r="AS480" s="135"/>
      <c r="AT480" s="135"/>
      <c r="AU480" s="135"/>
      <c r="AV480" s="135"/>
      <c r="AW480" s="135"/>
      <c r="AX480" s="135"/>
      <c r="AY480" s="135"/>
      <c r="AZ480" s="135"/>
      <c r="BA480" s="135"/>
      <c r="BB480" s="135"/>
      <c r="BC480" s="135"/>
      <c r="BD480" s="135"/>
      <c r="BE480" s="135"/>
      <c r="BF480" s="135"/>
      <c r="BG480" s="135"/>
      <c r="BH480" s="135"/>
      <c r="BI480" s="135"/>
      <c r="BJ480" s="135"/>
      <c r="BK480" s="135"/>
      <c r="BL480" s="135"/>
      <c r="BM480" s="135"/>
      <c r="BN480" s="135"/>
      <c r="BO480" s="135"/>
      <c r="BP480" s="135"/>
      <c r="BQ480" s="135"/>
      <c r="BR480" s="135"/>
      <c r="BS480" s="135"/>
      <c r="BT480" s="135"/>
    </row>
    <row r="481" spans="1:72" s="196" customFormat="1">
      <c r="A481" s="135"/>
      <c r="B481" s="135"/>
      <c r="C481" s="135"/>
      <c r="D481" s="135"/>
      <c r="E481" s="135"/>
      <c r="F481" s="135"/>
      <c r="G481" s="135"/>
      <c r="H481" s="135"/>
      <c r="I481" s="135"/>
      <c r="J481" s="135"/>
      <c r="K481" s="135"/>
      <c r="L481" s="135"/>
      <c r="M481" s="135"/>
      <c r="N481" s="135"/>
      <c r="O481" s="135"/>
      <c r="P481" s="135"/>
      <c r="Q481" s="135"/>
      <c r="R481" s="135"/>
      <c r="S481" s="135"/>
      <c r="T481" s="135"/>
      <c r="U481" s="135"/>
      <c r="V481" s="135"/>
      <c r="W481" s="135"/>
      <c r="X481" s="135"/>
      <c r="Y481" s="135"/>
      <c r="Z481" s="135"/>
      <c r="AA481" s="135"/>
      <c r="AB481" s="135"/>
      <c r="AC481" s="135"/>
      <c r="AD481" s="135"/>
      <c r="AE481" s="135"/>
      <c r="AF481" s="135"/>
      <c r="AG481" s="135"/>
      <c r="AH481" s="135"/>
      <c r="AI481" s="135"/>
      <c r="AJ481" s="135"/>
      <c r="AK481" s="135"/>
      <c r="AL481" s="135"/>
      <c r="AM481" s="135"/>
      <c r="AN481" s="135"/>
      <c r="AO481" s="135"/>
      <c r="AP481" s="135"/>
      <c r="AQ481" s="135"/>
      <c r="AR481" s="135"/>
      <c r="AS481" s="135"/>
      <c r="AT481" s="135"/>
      <c r="AU481" s="135"/>
      <c r="AV481" s="135"/>
      <c r="AW481" s="135"/>
      <c r="AX481" s="135"/>
      <c r="AY481" s="135"/>
      <c r="AZ481" s="135"/>
      <c r="BA481" s="135"/>
      <c r="BB481" s="135"/>
      <c r="BC481" s="135"/>
      <c r="BD481" s="135"/>
      <c r="BE481" s="135"/>
      <c r="BF481" s="135"/>
      <c r="BG481" s="135"/>
      <c r="BH481" s="135"/>
      <c r="BI481" s="135"/>
      <c r="BJ481" s="135"/>
      <c r="BK481" s="135"/>
      <c r="BL481" s="135"/>
      <c r="BM481" s="135"/>
      <c r="BN481" s="135"/>
      <c r="BO481" s="135"/>
      <c r="BP481" s="135"/>
      <c r="BQ481" s="135"/>
      <c r="BR481" s="135"/>
      <c r="BS481" s="135"/>
      <c r="BT481" s="135"/>
    </row>
    <row r="482" spans="1:72" s="196" customFormat="1">
      <c r="A482" s="135"/>
      <c r="B482" s="135"/>
      <c r="C482" s="135"/>
      <c r="D482" s="135"/>
      <c r="E482" s="135"/>
      <c r="F482" s="135"/>
      <c r="G482" s="135"/>
      <c r="H482" s="135"/>
      <c r="I482" s="135"/>
      <c r="J482" s="135"/>
      <c r="K482" s="135"/>
      <c r="L482" s="135"/>
      <c r="M482" s="135"/>
      <c r="N482" s="135"/>
      <c r="O482" s="135"/>
      <c r="P482" s="135"/>
      <c r="Q482" s="135"/>
      <c r="R482" s="135"/>
      <c r="S482" s="135"/>
      <c r="T482" s="135"/>
      <c r="U482" s="135"/>
      <c r="V482" s="135"/>
      <c r="W482" s="135"/>
      <c r="X482" s="135"/>
      <c r="Y482" s="135"/>
      <c r="Z482" s="135"/>
      <c r="AA482" s="135"/>
      <c r="AB482" s="135"/>
      <c r="AC482" s="135"/>
      <c r="AD482" s="135"/>
      <c r="AE482" s="135"/>
      <c r="AF482" s="135"/>
      <c r="AG482" s="135"/>
      <c r="AH482" s="135"/>
      <c r="AI482" s="135"/>
      <c r="AJ482" s="135"/>
      <c r="AK482" s="135"/>
      <c r="AL482" s="135"/>
      <c r="AM482" s="135"/>
      <c r="AN482" s="135"/>
      <c r="AO482" s="135"/>
      <c r="AP482" s="135"/>
      <c r="AQ482" s="135"/>
      <c r="AR482" s="135"/>
      <c r="AS482" s="135"/>
      <c r="AT482" s="135"/>
      <c r="AU482" s="135"/>
      <c r="AV482" s="135"/>
      <c r="AW482" s="135"/>
      <c r="AX482" s="135"/>
      <c r="AY482" s="135"/>
      <c r="AZ482" s="135"/>
      <c r="BA482" s="135"/>
      <c r="BB482" s="135"/>
      <c r="BC482" s="135"/>
      <c r="BD482" s="135"/>
      <c r="BE482" s="135"/>
      <c r="BF482" s="135"/>
      <c r="BG482" s="135"/>
      <c r="BH482" s="135"/>
      <c r="BI482" s="135"/>
      <c r="BJ482" s="135"/>
      <c r="BK482" s="135"/>
      <c r="BL482" s="135"/>
      <c r="BM482" s="135"/>
      <c r="BN482" s="135"/>
      <c r="BO482" s="135"/>
      <c r="BP482" s="135"/>
      <c r="BQ482" s="135"/>
      <c r="BR482" s="135"/>
      <c r="BS482" s="135"/>
      <c r="BT482" s="135"/>
    </row>
    <row r="483" spans="1:72" s="196" customFormat="1">
      <c r="A483" s="135"/>
      <c r="B483" s="135"/>
      <c r="C483" s="135"/>
      <c r="D483" s="135"/>
      <c r="E483" s="135"/>
      <c r="F483" s="135"/>
      <c r="G483" s="135"/>
      <c r="H483" s="135"/>
      <c r="I483" s="135"/>
      <c r="J483" s="135"/>
      <c r="K483" s="135"/>
      <c r="L483" s="135"/>
      <c r="M483" s="135"/>
      <c r="N483" s="135"/>
      <c r="O483" s="135"/>
      <c r="P483" s="135"/>
      <c r="Q483" s="135"/>
      <c r="R483" s="135"/>
      <c r="S483" s="135"/>
      <c r="T483" s="135"/>
      <c r="U483" s="135"/>
      <c r="V483" s="135"/>
      <c r="W483" s="135"/>
      <c r="X483" s="135"/>
      <c r="Y483" s="135"/>
      <c r="Z483" s="135"/>
      <c r="AA483" s="135"/>
      <c r="AB483" s="135"/>
      <c r="AC483" s="135"/>
      <c r="AD483" s="135"/>
      <c r="AE483" s="135"/>
      <c r="AF483" s="135"/>
      <c r="AG483" s="135"/>
      <c r="AH483" s="135"/>
      <c r="AI483" s="135"/>
      <c r="AJ483" s="135"/>
      <c r="AK483" s="135"/>
      <c r="AL483" s="135"/>
      <c r="AM483" s="135"/>
      <c r="AN483" s="135"/>
      <c r="AO483" s="135"/>
      <c r="AP483" s="135"/>
      <c r="AQ483" s="135"/>
      <c r="AR483" s="135"/>
      <c r="AS483" s="135"/>
      <c r="AT483" s="135"/>
      <c r="AU483" s="135"/>
      <c r="AV483" s="135"/>
      <c r="AW483" s="135"/>
      <c r="AX483" s="135"/>
      <c r="AY483" s="135"/>
      <c r="AZ483" s="135"/>
      <c r="BA483" s="135"/>
      <c r="BB483" s="135"/>
      <c r="BC483" s="135"/>
      <c r="BD483" s="135"/>
      <c r="BE483" s="135"/>
      <c r="BF483" s="135"/>
      <c r="BG483" s="135"/>
      <c r="BH483" s="135"/>
      <c r="BI483" s="135"/>
      <c r="BJ483" s="135"/>
      <c r="BK483" s="135"/>
      <c r="BL483" s="135"/>
      <c r="BM483" s="135"/>
      <c r="BN483" s="135"/>
      <c r="BO483" s="135"/>
      <c r="BP483" s="135"/>
      <c r="BQ483" s="135"/>
      <c r="BR483" s="135"/>
      <c r="BS483" s="135"/>
      <c r="BT483" s="135"/>
    </row>
    <row r="484" spans="1:72" s="196" customFormat="1">
      <c r="A484" s="135"/>
      <c r="B484" s="135"/>
      <c r="C484" s="135"/>
      <c r="D484" s="135"/>
      <c r="E484" s="135"/>
      <c r="F484" s="135"/>
      <c r="G484" s="135"/>
      <c r="H484" s="135"/>
      <c r="I484" s="135"/>
      <c r="J484" s="135"/>
      <c r="K484" s="135"/>
      <c r="L484" s="135"/>
      <c r="M484" s="135"/>
      <c r="N484" s="135"/>
      <c r="O484" s="135"/>
      <c r="P484" s="135"/>
      <c r="Q484" s="135"/>
      <c r="R484" s="135"/>
      <c r="S484" s="135"/>
      <c r="T484" s="135"/>
      <c r="U484" s="135"/>
      <c r="V484" s="135"/>
      <c r="W484" s="135"/>
      <c r="X484" s="135"/>
      <c r="Y484" s="135"/>
      <c r="Z484" s="135"/>
      <c r="AA484" s="135"/>
      <c r="AB484" s="135"/>
      <c r="AC484" s="135"/>
      <c r="AD484" s="135"/>
      <c r="AE484" s="135"/>
      <c r="AF484" s="135"/>
      <c r="AG484" s="135"/>
      <c r="AH484" s="135"/>
      <c r="AI484" s="135"/>
      <c r="AJ484" s="135"/>
      <c r="AK484" s="135"/>
      <c r="AL484" s="135"/>
      <c r="AM484" s="135"/>
      <c r="AN484" s="135"/>
      <c r="AO484" s="135"/>
      <c r="AP484" s="135"/>
      <c r="AQ484" s="135"/>
      <c r="AR484" s="135"/>
      <c r="AS484" s="135"/>
      <c r="AT484" s="135"/>
      <c r="AU484" s="135"/>
      <c r="AV484" s="135"/>
      <c r="AW484" s="135"/>
      <c r="AX484" s="135"/>
      <c r="AY484" s="135"/>
      <c r="AZ484" s="135"/>
      <c r="BA484" s="135"/>
      <c r="BB484" s="135"/>
      <c r="BC484" s="135"/>
      <c r="BD484" s="135"/>
      <c r="BE484" s="135"/>
      <c r="BF484" s="135"/>
      <c r="BG484" s="135"/>
      <c r="BH484" s="135"/>
      <c r="BI484" s="135"/>
      <c r="BJ484" s="135"/>
      <c r="BK484" s="135"/>
      <c r="BL484" s="135"/>
      <c r="BM484" s="135"/>
      <c r="BN484" s="135"/>
      <c r="BO484" s="135"/>
      <c r="BP484" s="135"/>
      <c r="BQ484" s="135"/>
      <c r="BR484" s="135"/>
      <c r="BS484" s="135"/>
      <c r="BT484" s="135"/>
    </row>
    <row r="485" spans="1:72" s="196" customFormat="1">
      <c r="A485" s="135"/>
      <c r="B485" s="135"/>
      <c r="C485" s="135"/>
      <c r="D485" s="135"/>
      <c r="E485" s="135"/>
      <c r="F485" s="135"/>
      <c r="G485" s="135"/>
      <c r="H485" s="135"/>
      <c r="I485" s="135"/>
      <c r="J485" s="135"/>
      <c r="K485" s="135"/>
      <c r="L485" s="135"/>
      <c r="M485" s="135"/>
      <c r="N485" s="135"/>
      <c r="O485" s="135"/>
      <c r="P485" s="135"/>
      <c r="Q485" s="135"/>
      <c r="R485" s="135"/>
      <c r="S485" s="135"/>
      <c r="T485" s="135"/>
      <c r="U485" s="135"/>
      <c r="V485" s="135"/>
      <c r="W485" s="135"/>
      <c r="X485" s="135"/>
      <c r="Y485" s="135"/>
      <c r="Z485" s="135"/>
      <c r="AA485" s="135"/>
      <c r="AB485" s="135"/>
      <c r="AC485" s="135"/>
      <c r="AD485" s="135"/>
      <c r="AE485" s="135"/>
      <c r="AF485" s="135"/>
      <c r="AG485" s="135"/>
      <c r="AH485" s="135"/>
      <c r="AI485" s="135"/>
      <c r="AJ485" s="135"/>
      <c r="AK485" s="135"/>
      <c r="AL485" s="135"/>
      <c r="AM485" s="135"/>
      <c r="AN485" s="135"/>
      <c r="AO485" s="135"/>
      <c r="AP485" s="135"/>
      <c r="AQ485" s="135"/>
      <c r="AR485" s="135"/>
      <c r="AS485" s="135"/>
      <c r="AT485" s="135"/>
      <c r="AU485" s="135"/>
      <c r="AV485" s="135"/>
      <c r="AW485" s="135"/>
      <c r="AX485" s="135"/>
      <c r="AY485" s="135"/>
      <c r="AZ485" s="135"/>
      <c r="BA485" s="135"/>
      <c r="BB485" s="135"/>
      <c r="BC485" s="135"/>
      <c r="BD485" s="135"/>
      <c r="BE485" s="135"/>
      <c r="BF485" s="135"/>
      <c r="BG485" s="135"/>
      <c r="BH485" s="135"/>
      <c r="BI485" s="135"/>
      <c r="BJ485" s="135"/>
      <c r="BK485" s="135"/>
      <c r="BL485" s="135"/>
      <c r="BM485" s="135"/>
      <c r="BN485" s="135"/>
      <c r="BO485" s="135"/>
      <c r="BP485" s="135"/>
      <c r="BQ485" s="135"/>
      <c r="BR485" s="135"/>
      <c r="BS485" s="135"/>
      <c r="BT485" s="135"/>
    </row>
    <row r="486" spans="1:72" s="196" customFormat="1">
      <c r="A486" s="135"/>
      <c r="B486" s="135"/>
      <c r="C486" s="135"/>
      <c r="D486" s="135"/>
      <c r="E486" s="135"/>
      <c r="F486" s="135"/>
      <c r="G486" s="135"/>
      <c r="H486" s="135"/>
      <c r="I486" s="135"/>
      <c r="J486" s="135"/>
      <c r="K486" s="135"/>
      <c r="L486" s="135"/>
      <c r="M486" s="135"/>
      <c r="N486" s="135"/>
      <c r="O486" s="135"/>
      <c r="P486" s="135"/>
      <c r="Q486" s="135"/>
      <c r="R486" s="135"/>
      <c r="S486" s="135"/>
      <c r="T486" s="135"/>
      <c r="U486" s="135"/>
      <c r="V486" s="135"/>
      <c r="W486" s="135"/>
      <c r="X486" s="135"/>
      <c r="Y486" s="135"/>
      <c r="Z486" s="135"/>
      <c r="AA486" s="135"/>
      <c r="AB486" s="135"/>
      <c r="AC486" s="135"/>
      <c r="AD486" s="135"/>
      <c r="AE486" s="135"/>
      <c r="AF486" s="135"/>
      <c r="AG486" s="135"/>
      <c r="AH486" s="135"/>
      <c r="AI486" s="135"/>
      <c r="AJ486" s="135"/>
      <c r="AK486" s="135"/>
      <c r="AL486" s="135"/>
      <c r="AM486" s="135"/>
      <c r="AN486" s="135"/>
      <c r="AO486" s="135"/>
      <c r="AP486" s="135"/>
      <c r="AQ486" s="135"/>
      <c r="AR486" s="135"/>
      <c r="AS486" s="135"/>
      <c r="AT486" s="135"/>
      <c r="AU486" s="135"/>
      <c r="AV486" s="135"/>
      <c r="AW486" s="135"/>
      <c r="AX486" s="135"/>
      <c r="AY486" s="135"/>
      <c r="AZ486" s="135"/>
      <c r="BA486" s="135"/>
      <c r="BB486" s="135"/>
      <c r="BC486" s="135"/>
      <c r="BD486" s="135"/>
      <c r="BE486" s="135"/>
      <c r="BF486" s="135"/>
      <c r="BG486" s="135"/>
      <c r="BH486" s="135"/>
      <c r="BI486" s="135"/>
      <c r="BJ486" s="135"/>
      <c r="BK486" s="135"/>
      <c r="BL486" s="135"/>
      <c r="BM486" s="135"/>
      <c r="BN486" s="135"/>
      <c r="BO486" s="135"/>
      <c r="BP486" s="135"/>
      <c r="BQ486" s="135"/>
      <c r="BR486" s="135"/>
      <c r="BS486" s="135"/>
      <c r="BT486" s="135"/>
    </row>
    <row r="487" spans="1:72" s="196" customFormat="1">
      <c r="A487" s="135"/>
      <c r="B487" s="135"/>
      <c r="C487" s="135"/>
      <c r="D487" s="135"/>
      <c r="E487" s="135"/>
      <c r="F487" s="135"/>
      <c r="G487" s="135"/>
      <c r="H487" s="135"/>
      <c r="I487" s="135"/>
      <c r="J487" s="135"/>
      <c r="K487" s="135"/>
      <c r="L487" s="135"/>
      <c r="M487" s="135"/>
      <c r="N487" s="135"/>
      <c r="O487" s="135"/>
      <c r="P487" s="135"/>
      <c r="Q487" s="135"/>
      <c r="R487" s="135"/>
      <c r="S487" s="135"/>
      <c r="T487" s="135"/>
      <c r="U487" s="135"/>
      <c r="V487" s="135"/>
      <c r="W487" s="135"/>
      <c r="X487" s="135"/>
      <c r="Y487" s="135"/>
      <c r="Z487" s="135"/>
      <c r="AA487" s="135"/>
      <c r="AB487" s="135"/>
      <c r="AC487" s="135"/>
      <c r="AD487" s="135"/>
      <c r="AE487" s="135"/>
      <c r="AF487" s="135"/>
      <c r="AG487" s="135"/>
      <c r="AH487" s="135"/>
      <c r="AI487" s="135"/>
      <c r="AJ487" s="135"/>
      <c r="AK487" s="135"/>
      <c r="AL487" s="135"/>
      <c r="AM487" s="135"/>
      <c r="AN487" s="135"/>
      <c r="AO487" s="135"/>
      <c r="AP487" s="135"/>
      <c r="AQ487" s="135"/>
      <c r="AR487" s="135"/>
      <c r="AS487" s="135"/>
      <c r="AT487" s="135"/>
      <c r="AU487" s="135"/>
      <c r="AV487" s="135"/>
      <c r="AW487" s="135"/>
      <c r="AX487" s="135"/>
      <c r="AY487" s="135"/>
      <c r="AZ487" s="135"/>
      <c r="BA487" s="135"/>
      <c r="BB487" s="135"/>
      <c r="BC487" s="135"/>
      <c r="BD487" s="135"/>
      <c r="BE487" s="135"/>
      <c r="BF487" s="135"/>
      <c r="BG487" s="135"/>
      <c r="BH487" s="135"/>
      <c r="BI487" s="135"/>
      <c r="BJ487" s="135"/>
      <c r="BK487" s="135"/>
      <c r="BL487" s="135"/>
      <c r="BM487" s="135"/>
      <c r="BN487" s="135"/>
      <c r="BO487" s="135"/>
      <c r="BP487" s="135"/>
      <c r="BQ487" s="135"/>
      <c r="BR487" s="135"/>
      <c r="BS487" s="135"/>
      <c r="BT487" s="135"/>
    </row>
    <row r="488" spans="1:72" s="196" customFormat="1">
      <c r="A488" s="135"/>
      <c r="B488" s="135"/>
      <c r="C488" s="135"/>
      <c r="D488" s="135"/>
      <c r="E488" s="135"/>
      <c r="F488" s="135"/>
      <c r="G488" s="135"/>
      <c r="H488" s="135"/>
      <c r="I488" s="135"/>
      <c r="J488" s="135"/>
      <c r="K488" s="135"/>
      <c r="L488" s="135"/>
      <c r="M488" s="135"/>
      <c r="N488" s="135"/>
      <c r="O488" s="135"/>
      <c r="P488" s="135"/>
      <c r="Q488" s="135"/>
      <c r="R488" s="135"/>
      <c r="S488" s="135"/>
      <c r="T488" s="135"/>
      <c r="U488" s="135"/>
      <c r="V488" s="135"/>
      <c r="W488" s="135"/>
      <c r="X488" s="135"/>
      <c r="Y488" s="135"/>
      <c r="Z488" s="135"/>
      <c r="AA488" s="135"/>
      <c r="AB488" s="135"/>
      <c r="AC488" s="135"/>
      <c r="AD488" s="135"/>
      <c r="AE488" s="135"/>
      <c r="AF488" s="135"/>
      <c r="AG488" s="135"/>
      <c r="AH488" s="135"/>
      <c r="AI488" s="135"/>
      <c r="AJ488" s="135"/>
      <c r="AK488" s="135"/>
      <c r="AL488" s="135"/>
      <c r="AM488" s="135"/>
      <c r="AN488" s="135"/>
      <c r="AO488" s="135"/>
      <c r="AP488" s="135"/>
      <c r="AQ488" s="135"/>
      <c r="AR488" s="135"/>
      <c r="AS488" s="135"/>
      <c r="AT488" s="135"/>
      <c r="AU488" s="135"/>
      <c r="AV488" s="135"/>
      <c r="AW488" s="135"/>
      <c r="AX488" s="135"/>
      <c r="AY488" s="135"/>
      <c r="AZ488" s="135"/>
      <c r="BA488" s="135"/>
      <c r="BB488" s="135"/>
      <c r="BC488" s="135"/>
      <c r="BD488" s="135"/>
      <c r="BE488" s="135"/>
      <c r="BF488" s="135"/>
      <c r="BG488" s="135"/>
      <c r="BH488" s="135"/>
      <c r="BI488" s="135"/>
      <c r="BJ488" s="135"/>
      <c r="BK488" s="135"/>
      <c r="BL488" s="135"/>
      <c r="BM488" s="135"/>
      <c r="BN488" s="135"/>
      <c r="BO488" s="135"/>
      <c r="BP488" s="135"/>
      <c r="BQ488" s="135"/>
      <c r="BR488" s="135"/>
      <c r="BS488" s="135"/>
      <c r="BT488" s="135"/>
    </row>
    <row r="489" spans="1:72" s="196" customFormat="1">
      <c r="A489" s="135"/>
      <c r="B489" s="135"/>
      <c r="C489" s="135"/>
      <c r="D489" s="135"/>
      <c r="E489" s="135"/>
      <c r="F489" s="135"/>
      <c r="G489" s="135"/>
      <c r="H489" s="135"/>
      <c r="I489" s="135"/>
      <c r="J489" s="135"/>
      <c r="K489" s="135"/>
      <c r="L489" s="135"/>
      <c r="M489" s="135"/>
      <c r="N489" s="135"/>
      <c r="O489" s="135"/>
      <c r="P489" s="135"/>
      <c r="Q489" s="135"/>
      <c r="R489" s="135"/>
      <c r="S489" s="135"/>
      <c r="T489" s="135"/>
      <c r="U489" s="135"/>
      <c r="V489" s="135"/>
      <c r="W489" s="135"/>
      <c r="X489" s="135"/>
      <c r="Y489" s="135"/>
      <c r="Z489" s="135"/>
      <c r="AA489" s="135"/>
      <c r="AB489" s="135"/>
      <c r="AC489" s="135"/>
      <c r="AD489" s="135"/>
      <c r="AE489" s="135"/>
      <c r="AF489" s="135"/>
      <c r="AG489" s="135"/>
      <c r="AH489" s="135"/>
      <c r="AI489" s="135"/>
      <c r="AJ489" s="135"/>
      <c r="AK489" s="135"/>
      <c r="AL489" s="135"/>
      <c r="AM489" s="135"/>
      <c r="AN489" s="135"/>
      <c r="AO489" s="135"/>
      <c r="AP489" s="135"/>
      <c r="AQ489" s="135"/>
      <c r="AR489" s="135"/>
      <c r="AS489" s="135"/>
      <c r="AT489" s="135"/>
      <c r="AU489" s="135"/>
      <c r="AV489" s="135"/>
      <c r="AW489" s="135"/>
      <c r="AX489" s="135"/>
      <c r="AY489" s="135"/>
      <c r="AZ489" s="135"/>
      <c r="BA489" s="135"/>
      <c r="BB489" s="135"/>
      <c r="BC489" s="135"/>
      <c r="BD489" s="135"/>
      <c r="BE489" s="135"/>
      <c r="BF489" s="135"/>
      <c r="BG489" s="135"/>
      <c r="BH489" s="135"/>
      <c r="BI489" s="135"/>
      <c r="BJ489" s="135"/>
      <c r="BK489" s="135"/>
      <c r="BL489" s="135"/>
      <c r="BM489" s="135"/>
      <c r="BN489" s="135"/>
      <c r="BO489" s="135"/>
      <c r="BP489" s="135"/>
      <c r="BQ489" s="135"/>
      <c r="BR489" s="135"/>
      <c r="BS489" s="135"/>
      <c r="BT489" s="135"/>
    </row>
    <row r="490" spans="1:72" s="196" customFormat="1">
      <c r="A490" s="135"/>
      <c r="B490" s="135"/>
      <c r="C490" s="135"/>
      <c r="D490" s="135"/>
      <c r="E490" s="135"/>
      <c r="F490" s="135"/>
      <c r="G490" s="135"/>
      <c r="H490" s="135"/>
      <c r="I490" s="135"/>
      <c r="J490" s="135"/>
      <c r="K490" s="135"/>
      <c r="L490" s="135"/>
      <c r="M490" s="135"/>
      <c r="N490" s="135"/>
      <c r="O490" s="135"/>
      <c r="P490" s="135"/>
      <c r="Q490" s="135"/>
      <c r="R490" s="135"/>
      <c r="S490" s="135"/>
      <c r="T490" s="135"/>
      <c r="U490" s="135"/>
      <c r="V490" s="135"/>
      <c r="W490" s="135"/>
      <c r="X490" s="135"/>
      <c r="Y490" s="135"/>
      <c r="Z490" s="135"/>
      <c r="AA490" s="135"/>
      <c r="AB490" s="135"/>
      <c r="AC490" s="135"/>
      <c r="AD490" s="135"/>
      <c r="AE490" s="135"/>
      <c r="AF490" s="135"/>
      <c r="AG490" s="135"/>
      <c r="AH490" s="135"/>
      <c r="AI490" s="135"/>
      <c r="AJ490" s="135"/>
      <c r="AK490" s="135"/>
      <c r="AL490" s="135"/>
      <c r="AM490" s="135"/>
      <c r="AN490" s="135"/>
      <c r="AO490" s="135"/>
      <c r="AP490" s="135"/>
      <c r="AQ490" s="135"/>
      <c r="AR490" s="135"/>
      <c r="AS490" s="135"/>
      <c r="AT490" s="135"/>
      <c r="AU490" s="135"/>
      <c r="AV490" s="135"/>
      <c r="AW490" s="135"/>
      <c r="AX490" s="135"/>
      <c r="AY490" s="135"/>
      <c r="AZ490" s="135"/>
      <c r="BA490" s="135"/>
      <c r="BB490" s="135"/>
      <c r="BC490" s="135"/>
      <c r="BD490" s="135"/>
      <c r="BE490" s="135"/>
      <c r="BF490" s="135"/>
      <c r="BG490" s="135"/>
      <c r="BH490" s="135"/>
      <c r="BI490" s="135"/>
      <c r="BJ490" s="135"/>
      <c r="BK490" s="135"/>
      <c r="BL490" s="135"/>
      <c r="BM490" s="135"/>
      <c r="BN490" s="135"/>
      <c r="BO490" s="135"/>
      <c r="BP490" s="135"/>
      <c r="BQ490" s="135"/>
      <c r="BR490" s="135"/>
      <c r="BS490" s="135"/>
      <c r="BT490" s="135"/>
    </row>
    <row r="491" spans="1:72" s="196" customFormat="1">
      <c r="A491" s="135"/>
      <c r="B491" s="135"/>
      <c r="C491" s="135"/>
      <c r="D491" s="135"/>
      <c r="E491" s="135"/>
      <c r="F491" s="135"/>
      <c r="G491" s="135"/>
      <c r="H491" s="135"/>
      <c r="I491" s="135"/>
      <c r="J491" s="135"/>
      <c r="K491" s="135"/>
      <c r="L491" s="135"/>
      <c r="M491" s="135"/>
      <c r="N491" s="135"/>
      <c r="O491" s="135"/>
      <c r="P491" s="135"/>
      <c r="Q491" s="135"/>
      <c r="R491" s="135"/>
      <c r="S491" s="135"/>
      <c r="T491" s="135"/>
      <c r="U491" s="135"/>
      <c r="V491" s="135"/>
      <c r="W491" s="135"/>
      <c r="X491" s="135"/>
      <c r="Y491" s="135"/>
      <c r="Z491" s="135"/>
      <c r="AA491" s="135"/>
      <c r="AB491" s="135"/>
      <c r="AC491" s="135"/>
      <c r="AD491" s="135"/>
      <c r="AE491" s="135"/>
      <c r="AF491" s="135"/>
      <c r="AG491" s="135"/>
      <c r="AH491" s="135"/>
      <c r="AI491" s="135"/>
      <c r="AJ491" s="135"/>
      <c r="AK491" s="135"/>
      <c r="AL491" s="135"/>
      <c r="AM491" s="135"/>
      <c r="AN491" s="135"/>
      <c r="AO491" s="135"/>
      <c r="AP491" s="135"/>
      <c r="AQ491" s="135"/>
      <c r="AR491" s="135"/>
      <c r="AS491" s="135"/>
      <c r="AT491" s="135"/>
      <c r="AU491" s="135"/>
      <c r="AV491" s="135"/>
      <c r="AW491" s="135"/>
      <c r="AX491" s="135"/>
      <c r="AY491" s="135"/>
      <c r="AZ491" s="135"/>
      <c r="BA491" s="135"/>
      <c r="BB491" s="135"/>
      <c r="BC491" s="135"/>
      <c r="BD491" s="135"/>
      <c r="BE491" s="135"/>
      <c r="BF491" s="135"/>
      <c r="BG491" s="135"/>
      <c r="BH491" s="135"/>
      <c r="BI491" s="135"/>
      <c r="BJ491" s="135"/>
      <c r="BK491" s="135"/>
      <c r="BL491" s="135"/>
      <c r="BM491" s="135"/>
      <c r="BN491" s="135"/>
      <c r="BO491" s="135"/>
      <c r="BP491" s="135"/>
      <c r="BQ491" s="135"/>
      <c r="BR491" s="135"/>
      <c r="BS491" s="135"/>
      <c r="BT491" s="135"/>
    </row>
    <row r="492" spans="1:72" s="196" customFormat="1">
      <c r="A492" s="135"/>
      <c r="B492" s="135"/>
      <c r="C492" s="135"/>
      <c r="D492" s="135"/>
      <c r="E492" s="135"/>
      <c r="F492" s="135"/>
      <c r="G492" s="135"/>
      <c r="H492" s="135"/>
      <c r="I492" s="135"/>
      <c r="J492" s="135"/>
      <c r="K492" s="135"/>
      <c r="L492" s="135"/>
      <c r="M492" s="135"/>
      <c r="N492" s="135"/>
      <c r="O492" s="135"/>
      <c r="P492" s="135"/>
      <c r="Q492" s="135"/>
      <c r="R492" s="135"/>
      <c r="S492" s="135"/>
      <c r="T492" s="135"/>
      <c r="U492" s="135"/>
      <c r="V492" s="135"/>
      <c r="W492" s="135"/>
      <c r="X492" s="135"/>
      <c r="Y492" s="135"/>
      <c r="Z492" s="135"/>
      <c r="AA492" s="135"/>
      <c r="AB492" s="135"/>
      <c r="AC492" s="135"/>
      <c r="AD492" s="135"/>
      <c r="AE492" s="135"/>
      <c r="AF492" s="135"/>
      <c r="AG492" s="135"/>
      <c r="AH492" s="135"/>
      <c r="AI492" s="135"/>
      <c r="AJ492" s="135"/>
      <c r="AK492" s="135"/>
      <c r="AL492" s="135"/>
      <c r="AM492" s="135"/>
      <c r="AN492" s="135"/>
      <c r="AO492" s="135"/>
      <c r="AP492" s="135"/>
      <c r="AQ492" s="135"/>
      <c r="AR492" s="135"/>
      <c r="AS492" s="135"/>
      <c r="AT492" s="135"/>
      <c r="AU492" s="135"/>
      <c r="AV492" s="135"/>
      <c r="AW492" s="135"/>
      <c r="AX492" s="135"/>
      <c r="AY492" s="135"/>
      <c r="AZ492" s="135"/>
      <c r="BA492" s="135"/>
      <c r="BB492" s="135"/>
      <c r="BC492" s="135"/>
      <c r="BD492" s="135"/>
      <c r="BE492" s="135"/>
      <c r="BF492" s="135"/>
      <c r="BG492" s="135"/>
      <c r="BH492" s="135"/>
      <c r="BI492" s="135"/>
      <c r="BJ492" s="135"/>
      <c r="BK492" s="135"/>
      <c r="BL492" s="135"/>
      <c r="BM492" s="135"/>
      <c r="BN492" s="135"/>
      <c r="BO492" s="135"/>
      <c r="BP492" s="135"/>
      <c r="BQ492" s="135"/>
      <c r="BR492" s="135"/>
      <c r="BS492" s="135"/>
      <c r="BT492" s="135"/>
    </row>
    <row r="493" spans="1:72" s="196" customFormat="1">
      <c r="A493" s="135"/>
      <c r="B493" s="135"/>
      <c r="C493" s="135"/>
      <c r="D493" s="135"/>
      <c r="E493" s="135"/>
      <c r="F493" s="135"/>
      <c r="G493" s="135"/>
      <c r="H493" s="135"/>
      <c r="I493" s="135"/>
      <c r="J493" s="135"/>
      <c r="K493" s="135"/>
      <c r="L493" s="135"/>
      <c r="M493" s="135"/>
      <c r="N493" s="135"/>
      <c r="O493" s="135"/>
      <c r="P493" s="135"/>
      <c r="Q493" s="135"/>
      <c r="R493" s="135"/>
      <c r="S493" s="135"/>
      <c r="T493" s="135"/>
      <c r="U493" s="135"/>
      <c r="V493" s="135"/>
      <c r="W493" s="135"/>
      <c r="X493" s="135"/>
      <c r="Y493" s="135"/>
      <c r="Z493" s="135"/>
      <c r="AA493" s="135"/>
      <c r="AB493" s="135"/>
      <c r="AC493" s="135"/>
      <c r="AD493" s="135"/>
      <c r="AE493" s="135"/>
      <c r="AF493" s="135"/>
      <c r="AG493" s="135"/>
      <c r="AH493" s="135"/>
      <c r="AI493" s="135"/>
      <c r="AJ493" s="135"/>
      <c r="AK493" s="135"/>
      <c r="AL493" s="135"/>
      <c r="AM493" s="135"/>
      <c r="AN493" s="135"/>
      <c r="AO493" s="135"/>
      <c r="AP493" s="135"/>
      <c r="AQ493" s="135"/>
      <c r="AR493" s="135"/>
      <c r="AS493" s="135"/>
      <c r="AT493" s="135"/>
      <c r="AU493" s="135"/>
      <c r="AV493" s="135"/>
      <c r="AW493" s="135"/>
      <c r="AX493" s="135"/>
      <c r="AY493" s="135"/>
      <c r="AZ493" s="135"/>
      <c r="BA493" s="135"/>
      <c r="BB493" s="135"/>
      <c r="BC493" s="135"/>
      <c r="BD493" s="135"/>
      <c r="BE493" s="135"/>
      <c r="BF493" s="135"/>
      <c r="BG493" s="135"/>
      <c r="BH493" s="135"/>
      <c r="BI493" s="135"/>
      <c r="BJ493" s="135"/>
      <c r="BK493" s="135"/>
      <c r="BL493" s="135"/>
      <c r="BM493" s="135"/>
      <c r="BN493" s="135"/>
      <c r="BO493" s="135"/>
      <c r="BP493" s="135"/>
      <c r="BQ493" s="135"/>
      <c r="BR493" s="135"/>
      <c r="BS493" s="135"/>
      <c r="BT493" s="135"/>
    </row>
    <row r="494" spans="1:72" s="196" customFormat="1">
      <c r="A494" s="135"/>
      <c r="B494" s="135"/>
      <c r="C494" s="135"/>
      <c r="D494" s="135"/>
      <c r="E494" s="135"/>
      <c r="F494" s="135"/>
      <c r="G494" s="135"/>
      <c r="H494" s="135"/>
      <c r="I494" s="135"/>
      <c r="J494" s="135"/>
      <c r="K494" s="135"/>
      <c r="L494" s="135"/>
      <c r="M494" s="135"/>
      <c r="N494" s="135"/>
      <c r="O494" s="135"/>
      <c r="P494" s="135"/>
      <c r="Q494" s="135"/>
      <c r="R494" s="135"/>
      <c r="S494" s="135"/>
      <c r="T494" s="135"/>
      <c r="U494" s="135"/>
      <c r="V494" s="135"/>
      <c r="W494" s="135"/>
      <c r="X494" s="135"/>
      <c r="Y494" s="135"/>
      <c r="Z494" s="135"/>
      <c r="AA494" s="135"/>
      <c r="AB494" s="135"/>
      <c r="AC494" s="135"/>
      <c r="AD494" s="135"/>
      <c r="AE494" s="135"/>
      <c r="AF494" s="135"/>
      <c r="AG494" s="135"/>
      <c r="AH494" s="135"/>
      <c r="AI494" s="135"/>
      <c r="AJ494" s="135"/>
      <c r="AK494" s="135"/>
      <c r="AL494" s="135"/>
      <c r="AM494" s="135"/>
      <c r="AN494" s="135"/>
      <c r="AO494" s="135"/>
      <c r="AP494" s="135"/>
      <c r="AQ494" s="135"/>
      <c r="AR494" s="135"/>
      <c r="AS494" s="135"/>
      <c r="AT494" s="135"/>
      <c r="AU494" s="135"/>
      <c r="AV494" s="135"/>
      <c r="AW494" s="135"/>
      <c r="AX494" s="135"/>
      <c r="AY494" s="135"/>
      <c r="AZ494" s="135"/>
      <c r="BA494" s="135"/>
      <c r="BB494" s="135"/>
      <c r="BC494" s="135"/>
      <c r="BD494" s="135"/>
      <c r="BE494" s="135"/>
      <c r="BF494" s="135"/>
      <c r="BG494" s="135"/>
      <c r="BH494" s="135"/>
      <c r="BI494" s="135"/>
      <c r="BJ494" s="135"/>
      <c r="BK494" s="135"/>
      <c r="BL494" s="135"/>
      <c r="BM494" s="135"/>
      <c r="BN494" s="135"/>
      <c r="BO494" s="135"/>
      <c r="BP494" s="135"/>
      <c r="BQ494" s="135"/>
      <c r="BR494" s="135"/>
      <c r="BS494" s="135"/>
      <c r="BT494" s="135"/>
    </row>
    <row r="495" spans="1:72" s="196" customFormat="1">
      <c r="A495" s="135"/>
      <c r="B495" s="135"/>
      <c r="C495" s="135"/>
      <c r="D495" s="135"/>
      <c r="E495" s="135"/>
      <c r="F495" s="135"/>
      <c r="G495" s="135"/>
      <c r="H495" s="135"/>
      <c r="I495" s="135"/>
      <c r="J495" s="135"/>
      <c r="K495" s="135"/>
      <c r="L495" s="135"/>
      <c r="M495" s="135"/>
      <c r="N495" s="135"/>
      <c r="O495" s="135"/>
      <c r="P495" s="135"/>
      <c r="Q495" s="135"/>
      <c r="R495" s="135"/>
      <c r="S495" s="135"/>
      <c r="T495" s="135"/>
      <c r="U495" s="135"/>
      <c r="V495" s="135"/>
      <c r="W495" s="135"/>
      <c r="X495" s="135"/>
      <c r="Y495" s="135"/>
      <c r="Z495" s="135"/>
      <c r="AA495" s="135"/>
      <c r="AB495" s="135"/>
      <c r="AC495" s="135"/>
      <c r="AD495" s="135"/>
      <c r="AE495" s="135"/>
      <c r="AF495" s="135"/>
      <c r="AG495" s="135"/>
      <c r="AH495" s="135"/>
      <c r="AI495" s="135"/>
      <c r="AJ495" s="135"/>
      <c r="AK495" s="135"/>
      <c r="AL495" s="135"/>
      <c r="AM495" s="135"/>
      <c r="AN495" s="135"/>
      <c r="AO495" s="135"/>
      <c r="AP495" s="135"/>
      <c r="AQ495" s="135"/>
      <c r="AR495" s="135"/>
      <c r="AS495" s="135"/>
      <c r="AT495" s="135"/>
      <c r="AU495" s="135"/>
      <c r="AV495" s="135"/>
      <c r="AW495" s="135"/>
      <c r="AX495" s="135"/>
      <c r="AY495" s="135"/>
      <c r="AZ495" s="135"/>
      <c r="BA495" s="135"/>
      <c r="BB495" s="135"/>
      <c r="BC495" s="135"/>
      <c r="BD495" s="135"/>
      <c r="BE495" s="135"/>
      <c r="BF495" s="135"/>
      <c r="BG495" s="135"/>
      <c r="BH495" s="135"/>
      <c r="BI495" s="135"/>
      <c r="BJ495" s="135"/>
      <c r="BK495" s="135"/>
      <c r="BL495" s="135"/>
      <c r="BM495" s="135"/>
      <c r="BN495" s="135"/>
      <c r="BO495" s="135"/>
      <c r="BP495" s="135"/>
      <c r="BQ495" s="135"/>
      <c r="BR495" s="135"/>
      <c r="BS495" s="135"/>
      <c r="BT495" s="135"/>
    </row>
    <row r="496" spans="1:72" s="196" customFormat="1">
      <c r="A496" s="135"/>
      <c r="B496" s="135"/>
      <c r="C496" s="135"/>
      <c r="D496" s="135"/>
      <c r="E496" s="135"/>
      <c r="F496" s="135"/>
      <c r="G496" s="135"/>
      <c r="H496" s="135"/>
      <c r="I496" s="135"/>
      <c r="J496" s="135"/>
      <c r="K496" s="135"/>
      <c r="L496" s="135"/>
      <c r="M496" s="135"/>
      <c r="N496" s="135"/>
      <c r="O496" s="135"/>
      <c r="P496" s="135"/>
      <c r="Q496" s="135"/>
      <c r="R496" s="135"/>
      <c r="S496" s="135"/>
      <c r="T496" s="135"/>
      <c r="U496" s="135"/>
      <c r="V496" s="135"/>
      <c r="W496" s="135"/>
      <c r="X496" s="135"/>
      <c r="Y496" s="135"/>
      <c r="Z496" s="135"/>
      <c r="AA496" s="135"/>
      <c r="AB496" s="135"/>
      <c r="AC496" s="135"/>
      <c r="AD496" s="135"/>
      <c r="AE496" s="135"/>
      <c r="AF496" s="135"/>
      <c r="AG496" s="135"/>
      <c r="AH496" s="135"/>
      <c r="AI496" s="135"/>
      <c r="AJ496" s="135"/>
      <c r="AK496" s="135"/>
      <c r="AL496" s="135"/>
      <c r="AM496" s="135"/>
      <c r="AN496" s="135"/>
      <c r="AO496" s="135"/>
      <c r="AP496" s="135"/>
      <c r="AQ496" s="135"/>
      <c r="AR496" s="135"/>
      <c r="AS496" s="135"/>
      <c r="AT496" s="135"/>
      <c r="AU496" s="135"/>
      <c r="AV496" s="135"/>
      <c r="AW496" s="135"/>
      <c r="AX496" s="135"/>
      <c r="AY496" s="135"/>
      <c r="AZ496" s="135"/>
      <c r="BA496" s="135"/>
      <c r="BB496" s="135"/>
      <c r="BC496" s="135"/>
      <c r="BD496" s="135"/>
      <c r="BE496" s="135"/>
      <c r="BF496" s="135"/>
      <c r="BG496" s="135"/>
      <c r="BH496" s="135"/>
      <c r="BI496" s="135"/>
      <c r="BJ496" s="135"/>
      <c r="BK496" s="135"/>
      <c r="BL496" s="135"/>
      <c r="BM496" s="135"/>
      <c r="BN496" s="135"/>
      <c r="BO496" s="135"/>
      <c r="BP496" s="135"/>
      <c r="BQ496" s="135"/>
      <c r="BR496" s="135"/>
      <c r="BS496" s="135"/>
      <c r="BT496" s="135"/>
    </row>
    <row r="497" spans="1:72" s="196" customFormat="1">
      <c r="A497" s="135"/>
      <c r="B497" s="135"/>
      <c r="C497" s="135"/>
      <c r="D497" s="135"/>
      <c r="E497" s="135"/>
      <c r="F497" s="135"/>
      <c r="G497" s="135"/>
      <c r="H497" s="135"/>
      <c r="I497" s="135"/>
      <c r="J497" s="135"/>
      <c r="K497" s="135"/>
      <c r="L497" s="135"/>
      <c r="M497" s="135"/>
      <c r="N497" s="135"/>
      <c r="O497" s="135"/>
      <c r="P497" s="135"/>
      <c r="Q497" s="135"/>
      <c r="R497" s="135"/>
      <c r="S497" s="135"/>
      <c r="T497" s="135"/>
      <c r="U497" s="135"/>
      <c r="V497" s="135"/>
      <c r="W497" s="135"/>
      <c r="X497" s="135"/>
      <c r="Y497" s="135"/>
      <c r="Z497" s="135"/>
      <c r="AA497" s="135"/>
      <c r="AB497" s="135"/>
      <c r="AC497" s="135"/>
      <c r="AD497" s="135"/>
      <c r="AE497" s="135"/>
      <c r="AF497" s="135"/>
      <c r="AG497" s="135"/>
      <c r="AH497" s="135"/>
      <c r="AI497" s="135"/>
      <c r="AJ497" s="135"/>
      <c r="AK497" s="135"/>
      <c r="AL497" s="135"/>
      <c r="AM497" s="135"/>
      <c r="AN497" s="135"/>
      <c r="AO497" s="135"/>
      <c r="AP497" s="135"/>
      <c r="AQ497" s="135"/>
      <c r="AR497" s="135"/>
      <c r="AS497" s="135"/>
      <c r="AT497" s="135"/>
      <c r="AU497" s="135"/>
      <c r="AV497" s="135"/>
      <c r="AW497" s="135"/>
      <c r="AX497" s="135"/>
      <c r="AY497" s="135"/>
      <c r="AZ497" s="135"/>
      <c r="BA497" s="135"/>
      <c r="BB497" s="135"/>
      <c r="BC497" s="135"/>
      <c r="BD497" s="135"/>
      <c r="BE497" s="135"/>
      <c r="BF497" s="135"/>
      <c r="BG497" s="135"/>
      <c r="BH497" s="135"/>
      <c r="BI497" s="135"/>
      <c r="BJ497" s="135"/>
      <c r="BK497" s="135"/>
      <c r="BL497" s="135"/>
      <c r="BM497" s="135"/>
      <c r="BN497" s="135"/>
      <c r="BO497" s="135"/>
      <c r="BP497" s="135"/>
      <c r="BQ497" s="135"/>
      <c r="BR497" s="135"/>
      <c r="BS497" s="135"/>
      <c r="BT497" s="135"/>
    </row>
    <row r="498" spans="1:72" s="196" customFormat="1">
      <c r="A498" s="135"/>
      <c r="B498" s="135"/>
      <c r="C498" s="135"/>
      <c r="D498" s="135"/>
      <c r="E498" s="135"/>
      <c r="F498" s="135"/>
      <c r="G498" s="135"/>
      <c r="H498" s="135"/>
      <c r="I498" s="135"/>
      <c r="J498" s="135"/>
      <c r="K498" s="135"/>
      <c r="L498" s="135"/>
      <c r="M498" s="135"/>
      <c r="N498" s="135"/>
      <c r="O498" s="135"/>
      <c r="P498" s="135"/>
      <c r="Q498" s="135"/>
      <c r="R498" s="135"/>
      <c r="S498" s="135"/>
      <c r="T498" s="135"/>
      <c r="U498" s="135"/>
      <c r="V498" s="135"/>
      <c r="W498" s="135"/>
      <c r="X498" s="135"/>
      <c r="Y498" s="135"/>
      <c r="Z498" s="135"/>
      <c r="AA498" s="135"/>
      <c r="AB498" s="135"/>
      <c r="AC498" s="135"/>
      <c r="AD498" s="135"/>
      <c r="AE498" s="135"/>
      <c r="AF498" s="135"/>
      <c r="AG498" s="135"/>
      <c r="AH498" s="135"/>
      <c r="AI498" s="135"/>
      <c r="AJ498" s="135"/>
      <c r="AK498" s="135"/>
      <c r="AL498" s="135"/>
      <c r="AM498" s="135"/>
      <c r="AN498" s="135"/>
      <c r="AO498" s="135"/>
      <c r="AP498" s="135"/>
      <c r="AQ498" s="135"/>
      <c r="AR498" s="135"/>
      <c r="AS498" s="135"/>
      <c r="AT498" s="135"/>
      <c r="AU498" s="135"/>
      <c r="AV498" s="135"/>
      <c r="AW498" s="135"/>
      <c r="AX498" s="135"/>
      <c r="AY498" s="135"/>
      <c r="AZ498" s="135"/>
      <c r="BA498" s="135"/>
      <c r="BB498" s="135"/>
      <c r="BC498" s="135"/>
      <c r="BD498" s="135"/>
      <c r="BE498" s="135"/>
      <c r="BF498" s="135"/>
      <c r="BG498" s="135"/>
      <c r="BH498" s="135"/>
      <c r="BI498" s="135"/>
      <c r="BJ498" s="135"/>
      <c r="BK498" s="135"/>
      <c r="BL498" s="135"/>
      <c r="BM498" s="135"/>
      <c r="BN498" s="135"/>
      <c r="BO498" s="135"/>
      <c r="BP498" s="135"/>
      <c r="BQ498" s="135"/>
      <c r="BR498" s="135"/>
      <c r="BS498" s="135"/>
      <c r="BT498" s="135"/>
    </row>
    <row r="499" spans="1:72" s="196" customFormat="1">
      <c r="A499" s="135"/>
      <c r="B499" s="135"/>
      <c r="C499" s="135"/>
      <c r="D499" s="135"/>
      <c r="E499" s="135"/>
      <c r="F499" s="135"/>
      <c r="G499" s="135"/>
      <c r="H499" s="135"/>
      <c r="I499" s="135"/>
      <c r="J499" s="135"/>
      <c r="K499" s="135"/>
      <c r="L499" s="135"/>
      <c r="M499" s="135"/>
      <c r="N499" s="135"/>
      <c r="O499" s="135"/>
      <c r="P499" s="135"/>
      <c r="Q499" s="135"/>
      <c r="R499" s="135"/>
      <c r="S499" s="135"/>
      <c r="T499" s="135"/>
      <c r="U499" s="135"/>
      <c r="V499" s="135"/>
      <c r="W499" s="135"/>
      <c r="X499" s="135"/>
      <c r="Y499" s="135"/>
      <c r="Z499" s="135"/>
      <c r="AA499" s="135"/>
      <c r="AB499" s="135"/>
      <c r="AC499" s="135"/>
      <c r="AD499" s="135"/>
      <c r="AE499" s="135"/>
      <c r="AF499" s="135"/>
      <c r="AG499" s="135"/>
      <c r="AH499" s="135"/>
      <c r="AI499" s="135"/>
      <c r="AJ499" s="135"/>
      <c r="AK499" s="135"/>
      <c r="AL499" s="135"/>
      <c r="AM499" s="135"/>
      <c r="AN499" s="135"/>
      <c r="AO499" s="135"/>
      <c r="AP499" s="135"/>
      <c r="AQ499" s="135"/>
      <c r="AR499" s="135"/>
      <c r="AS499" s="135"/>
      <c r="AT499" s="135"/>
      <c r="AU499" s="135"/>
      <c r="AV499" s="135"/>
      <c r="AW499" s="135"/>
      <c r="AX499" s="135"/>
      <c r="AY499" s="135"/>
      <c r="AZ499" s="135"/>
      <c r="BA499" s="135"/>
      <c r="BB499" s="135"/>
      <c r="BC499" s="135"/>
      <c r="BD499" s="135"/>
      <c r="BE499" s="135"/>
      <c r="BF499" s="135"/>
      <c r="BG499" s="135"/>
      <c r="BH499" s="135"/>
      <c r="BI499" s="135"/>
      <c r="BJ499" s="135"/>
      <c r="BK499" s="135"/>
      <c r="BL499" s="135"/>
      <c r="BM499" s="135"/>
      <c r="BN499" s="135"/>
      <c r="BO499" s="135"/>
      <c r="BP499" s="135"/>
      <c r="BQ499" s="135"/>
      <c r="BR499" s="135"/>
      <c r="BS499" s="135"/>
      <c r="BT499" s="135"/>
    </row>
    <row r="500" spans="1:72" s="196" customFormat="1">
      <c r="A500" s="135"/>
      <c r="B500" s="135"/>
      <c r="C500" s="135"/>
      <c r="D500" s="135"/>
      <c r="E500" s="135"/>
      <c r="F500" s="135"/>
      <c r="G500" s="135"/>
      <c r="H500" s="135"/>
      <c r="I500" s="135"/>
      <c r="J500" s="135"/>
      <c r="K500" s="135"/>
      <c r="L500" s="135"/>
      <c r="M500" s="135"/>
      <c r="N500" s="135"/>
      <c r="O500" s="135"/>
      <c r="P500" s="135"/>
      <c r="Q500" s="135"/>
      <c r="R500" s="135"/>
      <c r="S500" s="135"/>
      <c r="T500" s="135"/>
      <c r="U500" s="135"/>
      <c r="V500" s="135"/>
      <c r="W500" s="135"/>
      <c r="X500" s="135"/>
      <c r="Y500" s="135"/>
      <c r="Z500" s="135"/>
      <c r="AA500" s="135"/>
      <c r="AB500" s="135"/>
      <c r="AC500" s="135"/>
      <c r="AD500" s="135"/>
      <c r="AE500" s="135"/>
      <c r="AF500" s="135"/>
      <c r="AG500" s="135"/>
      <c r="AH500" s="135"/>
      <c r="AI500" s="135"/>
      <c r="AJ500" s="135"/>
      <c r="AK500" s="135"/>
      <c r="AL500" s="135"/>
      <c r="AM500" s="135"/>
      <c r="AN500" s="135"/>
      <c r="AO500" s="135"/>
      <c r="AP500" s="135"/>
      <c r="AQ500" s="135"/>
      <c r="AR500" s="135"/>
      <c r="AS500" s="135"/>
      <c r="AT500" s="135"/>
      <c r="AU500" s="135"/>
      <c r="AV500" s="135"/>
      <c r="AW500" s="135"/>
      <c r="AX500" s="135"/>
      <c r="AY500" s="135"/>
      <c r="AZ500" s="135"/>
      <c r="BA500" s="135"/>
      <c r="BB500" s="135"/>
      <c r="BC500" s="135"/>
      <c r="BD500" s="135"/>
      <c r="BE500" s="135"/>
      <c r="BF500" s="135"/>
      <c r="BG500" s="135"/>
      <c r="BH500" s="135"/>
      <c r="BI500" s="135"/>
      <c r="BJ500" s="135"/>
      <c r="BK500" s="135"/>
      <c r="BL500" s="135"/>
      <c r="BM500" s="135"/>
      <c r="BN500" s="135"/>
      <c r="BO500" s="135"/>
      <c r="BP500" s="135"/>
      <c r="BQ500" s="135"/>
      <c r="BR500" s="135"/>
      <c r="BS500" s="135"/>
      <c r="BT500" s="135"/>
    </row>
    <row r="501" spans="1:72" s="196" customFormat="1">
      <c r="A501" s="135"/>
      <c r="B501" s="135"/>
      <c r="C501" s="135"/>
      <c r="D501" s="135"/>
      <c r="E501" s="135"/>
      <c r="F501" s="135"/>
      <c r="G501" s="135"/>
      <c r="H501" s="135"/>
      <c r="I501" s="135"/>
      <c r="J501" s="135"/>
      <c r="K501" s="135"/>
      <c r="L501" s="135"/>
      <c r="M501" s="135"/>
      <c r="N501" s="135"/>
      <c r="O501" s="135"/>
      <c r="P501" s="135"/>
      <c r="Q501" s="135"/>
      <c r="R501" s="135"/>
      <c r="S501" s="135"/>
      <c r="T501" s="135"/>
      <c r="U501" s="135"/>
      <c r="V501" s="135"/>
      <c r="W501" s="135"/>
      <c r="X501" s="135"/>
      <c r="Y501" s="135"/>
      <c r="Z501" s="135"/>
      <c r="AA501" s="135"/>
      <c r="AB501" s="135"/>
      <c r="AC501" s="135"/>
      <c r="AD501" s="135"/>
      <c r="AE501" s="135"/>
      <c r="AF501" s="135"/>
      <c r="AG501" s="135"/>
      <c r="AH501" s="135"/>
      <c r="AI501" s="135"/>
      <c r="AJ501" s="135"/>
      <c r="AK501" s="135"/>
      <c r="AL501" s="135"/>
      <c r="AM501" s="135"/>
      <c r="AN501" s="135"/>
      <c r="AO501" s="135"/>
      <c r="AP501" s="135"/>
      <c r="AQ501" s="135"/>
      <c r="AR501" s="135"/>
      <c r="AS501" s="135"/>
      <c r="AT501" s="135"/>
      <c r="AU501" s="135"/>
      <c r="AV501" s="135"/>
      <c r="AW501" s="135"/>
      <c r="AX501" s="135"/>
      <c r="AY501" s="135"/>
      <c r="AZ501" s="135"/>
      <c r="BA501" s="135"/>
      <c r="BB501" s="135"/>
      <c r="BC501" s="135"/>
      <c r="BD501" s="135"/>
      <c r="BE501" s="135"/>
      <c r="BF501" s="135"/>
      <c r="BG501" s="135"/>
      <c r="BH501" s="135"/>
      <c r="BI501" s="135"/>
      <c r="BJ501" s="135"/>
      <c r="BK501" s="135"/>
      <c r="BL501" s="135"/>
      <c r="BM501" s="135"/>
      <c r="BN501" s="135"/>
      <c r="BO501" s="135"/>
      <c r="BP501" s="135"/>
      <c r="BQ501" s="135"/>
      <c r="BR501" s="135"/>
      <c r="BS501" s="135"/>
      <c r="BT501" s="135"/>
    </row>
    <row r="502" spans="1:72" s="196" customFormat="1">
      <c r="A502" s="135"/>
      <c r="B502" s="135"/>
      <c r="C502" s="135"/>
      <c r="D502" s="135"/>
      <c r="E502" s="135"/>
      <c r="F502" s="135"/>
      <c r="G502" s="135"/>
      <c r="H502" s="135"/>
      <c r="I502" s="135"/>
      <c r="J502" s="135"/>
      <c r="K502" s="135"/>
      <c r="L502" s="135"/>
      <c r="M502" s="135"/>
      <c r="N502" s="135"/>
      <c r="O502" s="135"/>
      <c r="P502" s="135"/>
      <c r="Q502" s="135"/>
      <c r="R502" s="135"/>
      <c r="S502" s="135"/>
      <c r="T502" s="135"/>
      <c r="U502" s="135"/>
      <c r="V502" s="135"/>
      <c r="W502" s="135"/>
      <c r="X502" s="135"/>
      <c r="Y502" s="135"/>
      <c r="Z502" s="135"/>
      <c r="AA502" s="135"/>
      <c r="AB502" s="135"/>
      <c r="AC502" s="135"/>
      <c r="AD502" s="135"/>
      <c r="AE502" s="135"/>
      <c r="AF502" s="135"/>
      <c r="AG502" s="135"/>
      <c r="AH502" s="135"/>
      <c r="AI502" s="135"/>
      <c r="AJ502" s="135"/>
      <c r="AK502" s="135"/>
      <c r="AL502" s="135"/>
      <c r="AM502" s="135"/>
      <c r="AN502" s="135"/>
      <c r="AO502" s="135"/>
      <c r="AP502" s="135"/>
      <c r="AQ502" s="135"/>
      <c r="AR502" s="135"/>
      <c r="AS502" s="135"/>
      <c r="AT502" s="135"/>
      <c r="AU502" s="135"/>
      <c r="AV502" s="135"/>
      <c r="AW502" s="135"/>
      <c r="AX502" s="135"/>
      <c r="AY502" s="135"/>
      <c r="AZ502" s="135"/>
      <c r="BA502" s="135"/>
      <c r="BB502" s="135"/>
      <c r="BC502" s="135"/>
      <c r="BD502" s="135"/>
      <c r="BE502" s="135"/>
      <c r="BF502" s="135"/>
      <c r="BG502" s="135"/>
      <c r="BH502" s="135"/>
      <c r="BI502" s="135"/>
      <c r="BJ502" s="135"/>
      <c r="BK502" s="135"/>
      <c r="BL502" s="135"/>
      <c r="BM502" s="135"/>
      <c r="BN502" s="135"/>
      <c r="BO502" s="135"/>
      <c r="BP502" s="135"/>
      <c r="BQ502" s="135"/>
      <c r="BR502" s="135"/>
      <c r="BS502" s="135"/>
      <c r="BT502" s="135"/>
    </row>
    <row r="503" spans="1:72" s="196" customFormat="1">
      <c r="A503" s="135"/>
      <c r="B503" s="135"/>
      <c r="C503" s="135"/>
      <c r="D503" s="135"/>
      <c r="E503" s="135"/>
      <c r="F503" s="135"/>
      <c r="G503" s="135"/>
      <c r="H503" s="135"/>
      <c r="I503" s="135"/>
      <c r="J503" s="135"/>
      <c r="K503" s="135"/>
      <c r="L503" s="135"/>
      <c r="M503" s="135"/>
      <c r="N503" s="135"/>
      <c r="O503" s="135"/>
      <c r="P503" s="135"/>
      <c r="Q503" s="135"/>
      <c r="R503" s="135"/>
      <c r="S503" s="135"/>
      <c r="T503" s="135"/>
      <c r="U503" s="135"/>
      <c r="V503" s="135"/>
      <c r="W503" s="135"/>
      <c r="X503" s="135"/>
      <c r="Y503" s="135"/>
      <c r="Z503" s="135"/>
      <c r="AA503" s="135"/>
      <c r="AB503" s="135"/>
      <c r="AC503" s="135"/>
      <c r="AD503" s="135"/>
      <c r="AE503" s="135"/>
      <c r="AF503" s="135"/>
      <c r="AG503" s="135"/>
      <c r="AH503" s="135"/>
      <c r="AI503" s="135"/>
      <c r="AJ503" s="135"/>
      <c r="AK503" s="135"/>
      <c r="AL503" s="135"/>
      <c r="AM503" s="135"/>
      <c r="AN503" s="135"/>
      <c r="AO503" s="135"/>
      <c r="AP503" s="135"/>
      <c r="AQ503" s="135"/>
      <c r="AR503" s="135"/>
      <c r="AS503" s="135"/>
      <c r="AT503" s="135"/>
      <c r="AU503" s="135"/>
      <c r="AV503" s="135"/>
      <c r="AW503" s="135"/>
      <c r="AX503" s="135"/>
      <c r="AY503" s="135"/>
      <c r="AZ503" s="135"/>
      <c r="BA503" s="135"/>
      <c r="BB503" s="135"/>
      <c r="BC503" s="135"/>
      <c r="BD503" s="135"/>
      <c r="BE503" s="135"/>
      <c r="BF503" s="135"/>
      <c r="BG503" s="135"/>
      <c r="BH503" s="135"/>
      <c r="BI503" s="135"/>
      <c r="BJ503" s="135"/>
      <c r="BK503" s="135"/>
      <c r="BL503" s="135"/>
      <c r="BM503" s="135"/>
      <c r="BN503" s="135"/>
      <c r="BO503" s="135"/>
      <c r="BP503" s="135"/>
      <c r="BQ503" s="135"/>
      <c r="BR503" s="135"/>
      <c r="BS503" s="135"/>
      <c r="BT503" s="135"/>
    </row>
    <row r="504" spans="1:72" s="196" customFormat="1">
      <c r="A504" s="135"/>
      <c r="B504" s="135"/>
      <c r="C504" s="135"/>
      <c r="D504" s="135"/>
      <c r="E504" s="135"/>
      <c r="F504" s="135"/>
      <c r="G504" s="135"/>
      <c r="H504" s="135"/>
      <c r="I504" s="135"/>
      <c r="J504" s="135"/>
      <c r="K504" s="135"/>
      <c r="L504" s="135"/>
      <c r="M504" s="135"/>
      <c r="N504" s="135"/>
      <c r="O504" s="135"/>
      <c r="P504" s="135"/>
      <c r="Q504" s="135"/>
      <c r="R504" s="135"/>
      <c r="S504" s="135"/>
      <c r="T504" s="135"/>
      <c r="U504" s="135"/>
      <c r="V504" s="135"/>
      <c r="W504" s="135"/>
      <c r="X504" s="135"/>
      <c r="Y504" s="135"/>
      <c r="Z504" s="135"/>
      <c r="AA504" s="135"/>
      <c r="AB504" s="135"/>
      <c r="AC504" s="135"/>
      <c r="AD504" s="135"/>
      <c r="AE504" s="135"/>
      <c r="AF504" s="135"/>
      <c r="AG504" s="135"/>
      <c r="AH504" s="135"/>
      <c r="AI504" s="135"/>
      <c r="AJ504" s="135"/>
      <c r="AK504" s="135"/>
      <c r="AL504" s="135"/>
      <c r="AM504" s="135"/>
      <c r="AN504" s="135"/>
      <c r="AO504" s="135"/>
      <c r="AP504" s="135"/>
      <c r="AQ504" s="135"/>
      <c r="AR504" s="135"/>
      <c r="AS504" s="135"/>
      <c r="AT504" s="135"/>
      <c r="AU504" s="135"/>
      <c r="AV504" s="135"/>
      <c r="AW504" s="135"/>
      <c r="AX504" s="135"/>
      <c r="AY504" s="135"/>
      <c r="AZ504" s="135"/>
      <c r="BA504" s="135"/>
      <c r="BB504" s="135"/>
      <c r="BC504" s="135"/>
      <c r="BD504" s="135"/>
      <c r="BE504" s="135"/>
      <c r="BF504" s="135"/>
      <c r="BG504" s="135"/>
      <c r="BH504" s="135"/>
      <c r="BI504" s="135"/>
      <c r="BJ504" s="135"/>
      <c r="BK504" s="135"/>
      <c r="BL504" s="135"/>
      <c r="BM504" s="135"/>
      <c r="BN504" s="135"/>
      <c r="BO504" s="135"/>
      <c r="BP504" s="135"/>
      <c r="BQ504" s="135"/>
      <c r="BR504" s="135"/>
      <c r="BS504" s="135"/>
      <c r="BT504" s="135"/>
    </row>
    <row r="505" spans="1:72" s="196" customFormat="1">
      <c r="A505" s="135"/>
      <c r="B505" s="135"/>
      <c r="C505" s="135"/>
      <c r="D505" s="135"/>
      <c r="E505" s="135"/>
      <c r="F505" s="135"/>
      <c r="G505" s="135"/>
      <c r="H505" s="135"/>
      <c r="I505" s="135"/>
      <c r="J505" s="135"/>
      <c r="K505" s="135"/>
      <c r="L505" s="135"/>
      <c r="M505" s="135"/>
      <c r="N505" s="135"/>
      <c r="O505" s="135"/>
      <c r="P505" s="135"/>
      <c r="Q505" s="135"/>
      <c r="R505" s="135"/>
      <c r="S505" s="135"/>
      <c r="T505" s="135"/>
      <c r="U505" s="135"/>
      <c r="V505" s="135"/>
      <c r="W505" s="135"/>
      <c r="X505" s="135"/>
      <c r="Y505" s="135"/>
      <c r="Z505" s="135"/>
      <c r="AA505" s="135"/>
      <c r="AB505" s="135"/>
      <c r="AC505" s="135"/>
      <c r="AD505" s="135"/>
      <c r="AE505" s="135"/>
      <c r="AF505" s="135"/>
      <c r="AG505" s="135"/>
      <c r="AH505" s="135"/>
      <c r="AI505" s="135"/>
      <c r="AJ505" s="135"/>
      <c r="AK505" s="135"/>
      <c r="AL505" s="135"/>
      <c r="AM505" s="135"/>
      <c r="AN505" s="135"/>
      <c r="AO505" s="135"/>
      <c r="AP505" s="135"/>
      <c r="AQ505" s="135"/>
      <c r="AR505" s="135"/>
      <c r="AS505" s="135"/>
      <c r="AT505" s="135"/>
      <c r="AU505" s="135"/>
      <c r="AV505" s="135"/>
      <c r="AW505" s="135"/>
      <c r="AX505" s="135"/>
      <c r="AY505" s="135"/>
      <c r="AZ505" s="135"/>
      <c r="BA505" s="135"/>
      <c r="BB505" s="135"/>
      <c r="BC505" s="135"/>
      <c r="BD505" s="135"/>
      <c r="BE505" s="135"/>
      <c r="BF505" s="135"/>
      <c r="BG505" s="135"/>
      <c r="BH505" s="135"/>
      <c r="BI505" s="135"/>
      <c r="BJ505" s="135"/>
      <c r="BK505" s="135"/>
      <c r="BL505" s="135"/>
      <c r="BM505" s="135"/>
      <c r="BN505" s="135"/>
      <c r="BO505" s="135"/>
      <c r="BP505" s="135"/>
      <c r="BQ505" s="135"/>
      <c r="BR505" s="135"/>
      <c r="BS505" s="135"/>
      <c r="BT505" s="135"/>
    </row>
    <row r="506" spans="1:72" s="196" customFormat="1">
      <c r="A506" s="135"/>
      <c r="B506" s="135"/>
      <c r="C506" s="135"/>
      <c r="D506" s="135"/>
      <c r="E506" s="135"/>
      <c r="F506" s="135"/>
      <c r="G506" s="135"/>
      <c r="H506" s="135"/>
      <c r="I506" s="135"/>
      <c r="J506" s="135"/>
      <c r="K506" s="135"/>
      <c r="L506" s="135"/>
      <c r="M506" s="135"/>
      <c r="N506" s="135"/>
      <c r="O506" s="135"/>
      <c r="P506" s="135"/>
      <c r="Q506" s="135"/>
      <c r="R506" s="135"/>
      <c r="S506" s="135"/>
      <c r="T506" s="135"/>
      <c r="U506" s="135"/>
      <c r="V506" s="135"/>
      <c r="W506" s="135"/>
      <c r="X506" s="135"/>
      <c r="Y506" s="135"/>
      <c r="Z506" s="135"/>
      <c r="AA506" s="135"/>
      <c r="AB506" s="135"/>
      <c r="AC506" s="135"/>
      <c r="AD506" s="135"/>
      <c r="AE506" s="135"/>
      <c r="AF506" s="135"/>
      <c r="AG506" s="135"/>
      <c r="AH506" s="135"/>
      <c r="AI506" s="135"/>
      <c r="AJ506" s="135"/>
      <c r="AK506" s="135"/>
      <c r="AL506" s="135"/>
      <c r="AM506" s="135"/>
      <c r="AN506" s="135"/>
      <c r="AO506" s="135"/>
      <c r="AP506" s="135"/>
      <c r="AQ506" s="135"/>
      <c r="AR506" s="135"/>
      <c r="AS506" s="135"/>
      <c r="AT506" s="135"/>
      <c r="AU506" s="135"/>
      <c r="AV506" s="135"/>
      <c r="AW506" s="135"/>
      <c r="AX506" s="135"/>
      <c r="AY506" s="135"/>
      <c r="AZ506" s="135"/>
      <c r="BA506" s="135"/>
      <c r="BB506" s="135"/>
      <c r="BC506" s="135"/>
      <c r="BD506" s="135"/>
      <c r="BE506" s="135"/>
      <c r="BF506" s="135"/>
      <c r="BG506" s="135"/>
      <c r="BH506" s="135"/>
      <c r="BI506" s="135"/>
      <c r="BJ506" s="135"/>
      <c r="BK506" s="135"/>
      <c r="BL506" s="135"/>
      <c r="BM506" s="135"/>
      <c r="BN506" s="135"/>
      <c r="BO506" s="135"/>
      <c r="BP506" s="135"/>
      <c r="BQ506" s="135"/>
      <c r="BR506" s="135"/>
      <c r="BS506" s="135"/>
      <c r="BT506" s="135"/>
    </row>
    <row r="507" spans="1:72" s="196" customFormat="1">
      <c r="A507" s="135"/>
      <c r="B507" s="135"/>
      <c r="C507" s="135"/>
      <c r="D507" s="135"/>
      <c r="E507" s="135"/>
      <c r="F507" s="135"/>
      <c r="G507" s="135"/>
      <c r="H507" s="135"/>
      <c r="I507" s="135"/>
      <c r="J507" s="135"/>
      <c r="K507" s="135"/>
      <c r="L507" s="135"/>
      <c r="M507" s="135"/>
      <c r="N507" s="135"/>
      <c r="O507" s="135"/>
      <c r="P507" s="135"/>
      <c r="Q507" s="135"/>
      <c r="R507" s="135"/>
      <c r="S507" s="135"/>
      <c r="T507" s="135"/>
      <c r="U507" s="135"/>
      <c r="V507" s="135"/>
      <c r="W507" s="135"/>
      <c r="X507" s="135"/>
      <c r="Y507" s="135"/>
      <c r="Z507" s="135"/>
      <c r="AA507" s="135"/>
      <c r="AB507" s="135"/>
      <c r="AC507" s="135"/>
      <c r="AD507" s="135"/>
      <c r="AE507" s="135"/>
      <c r="AF507" s="135"/>
      <c r="AG507" s="135"/>
      <c r="AH507" s="135"/>
      <c r="AI507" s="135"/>
      <c r="AJ507" s="135"/>
      <c r="AK507" s="135"/>
      <c r="AL507" s="135"/>
      <c r="AM507" s="135"/>
      <c r="AN507" s="135"/>
      <c r="AO507" s="135"/>
      <c r="AP507" s="135"/>
      <c r="AQ507" s="135"/>
      <c r="AR507" s="135"/>
      <c r="AS507" s="135"/>
      <c r="AT507" s="135"/>
      <c r="AU507" s="135"/>
      <c r="AV507" s="135"/>
      <c r="AW507" s="135"/>
      <c r="AX507" s="135"/>
      <c r="AY507" s="135"/>
      <c r="AZ507" s="135"/>
      <c r="BA507" s="135"/>
      <c r="BB507" s="135"/>
      <c r="BC507" s="135"/>
      <c r="BD507" s="135"/>
      <c r="BE507" s="135"/>
      <c r="BF507" s="135"/>
      <c r="BG507" s="135"/>
      <c r="BH507" s="135"/>
      <c r="BI507" s="135"/>
      <c r="BJ507" s="135"/>
      <c r="BK507" s="135"/>
      <c r="BL507" s="135"/>
      <c r="BM507" s="135"/>
      <c r="BN507" s="135"/>
      <c r="BO507" s="135"/>
      <c r="BP507" s="135"/>
      <c r="BQ507" s="135"/>
      <c r="BR507" s="135"/>
      <c r="BS507" s="135"/>
      <c r="BT507" s="135"/>
    </row>
    <row r="508" spans="1:72" s="196" customFormat="1">
      <c r="A508" s="135"/>
      <c r="B508" s="135"/>
      <c r="C508" s="135"/>
      <c r="D508" s="135"/>
      <c r="E508" s="135"/>
      <c r="F508" s="135"/>
      <c r="G508" s="135"/>
      <c r="H508" s="135"/>
      <c r="I508" s="135"/>
      <c r="J508" s="135"/>
      <c r="K508" s="135"/>
      <c r="L508" s="135"/>
      <c r="M508" s="135"/>
      <c r="N508" s="135"/>
      <c r="O508" s="135"/>
      <c r="P508" s="135"/>
      <c r="Q508" s="135"/>
      <c r="R508" s="135"/>
      <c r="S508" s="135"/>
      <c r="T508" s="135"/>
      <c r="U508" s="135"/>
      <c r="V508" s="135"/>
      <c r="W508" s="135"/>
      <c r="X508" s="135"/>
      <c r="Y508" s="135"/>
      <c r="Z508" s="135"/>
      <c r="AA508" s="135"/>
      <c r="AB508" s="135"/>
      <c r="AC508" s="135"/>
      <c r="AD508" s="135"/>
      <c r="AE508" s="135"/>
      <c r="AF508" s="135"/>
      <c r="AG508" s="135"/>
      <c r="AH508" s="135"/>
      <c r="AI508" s="135"/>
      <c r="AJ508" s="135"/>
      <c r="AK508" s="135"/>
      <c r="AL508" s="135"/>
      <c r="AM508" s="135"/>
      <c r="AN508" s="135"/>
      <c r="AO508" s="135"/>
      <c r="AP508" s="135"/>
      <c r="AQ508" s="135"/>
      <c r="AR508" s="135"/>
      <c r="AS508" s="135"/>
      <c r="AT508" s="135"/>
      <c r="AU508" s="135"/>
      <c r="AV508" s="135"/>
      <c r="AW508" s="135"/>
      <c r="AX508" s="135"/>
      <c r="AY508" s="135"/>
      <c r="AZ508" s="135"/>
      <c r="BA508" s="135"/>
      <c r="BB508" s="135"/>
      <c r="BC508" s="135"/>
      <c r="BD508" s="135"/>
      <c r="BE508" s="135"/>
      <c r="BF508" s="135"/>
      <c r="BG508" s="135"/>
      <c r="BH508" s="135"/>
      <c r="BI508" s="135"/>
      <c r="BJ508" s="135"/>
      <c r="BK508" s="135"/>
      <c r="BL508" s="135"/>
      <c r="BM508" s="135"/>
      <c r="BN508" s="135"/>
      <c r="BO508" s="135"/>
      <c r="BP508" s="135"/>
      <c r="BQ508" s="135"/>
      <c r="BR508" s="135"/>
      <c r="BS508" s="135"/>
      <c r="BT508" s="135"/>
    </row>
    <row r="509" spans="1:72" s="196" customFormat="1">
      <c r="A509" s="135"/>
      <c r="B509" s="135"/>
      <c r="C509" s="135"/>
      <c r="D509" s="135"/>
      <c r="E509" s="135"/>
      <c r="F509" s="135"/>
      <c r="G509" s="135"/>
      <c r="H509" s="135"/>
      <c r="I509" s="135"/>
      <c r="J509" s="135"/>
      <c r="K509" s="135"/>
      <c r="L509" s="135"/>
      <c r="M509" s="135"/>
      <c r="N509" s="135"/>
      <c r="O509" s="135"/>
      <c r="P509" s="135"/>
      <c r="Q509" s="135"/>
      <c r="R509" s="135"/>
      <c r="S509" s="135"/>
      <c r="T509" s="135"/>
      <c r="U509" s="135"/>
      <c r="V509" s="135"/>
      <c r="W509" s="135"/>
      <c r="X509" s="135"/>
      <c r="Y509" s="135"/>
      <c r="Z509" s="135"/>
      <c r="AA509" s="135"/>
      <c r="AB509" s="135"/>
      <c r="AC509" s="135"/>
      <c r="AD509" s="135"/>
      <c r="AE509" s="135"/>
      <c r="AF509" s="135"/>
      <c r="AG509" s="135"/>
      <c r="AH509" s="135"/>
      <c r="AI509" s="135"/>
      <c r="AJ509" s="135"/>
      <c r="AK509" s="135"/>
      <c r="AL509" s="135"/>
      <c r="AM509" s="135"/>
      <c r="AN509" s="135"/>
      <c r="AO509" s="135"/>
      <c r="AP509" s="135"/>
      <c r="AQ509" s="135"/>
      <c r="AR509" s="135"/>
      <c r="AS509" s="135"/>
      <c r="AT509" s="135"/>
      <c r="AU509" s="135"/>
      <c r="AV509" s="135"/>
      <c r="AW509" s="135"/>
      <c r="AX509" s="135"/>
      <c r="AY509" s="135"/>
      <c r="AZ509" s="135"/>
      <c r="BA509" s="135"/>
      <c r="BB509" s="135"/>
      <c r="BC509" s="135"/>
      <c r="BD509" s="135"/>
      <c r="BE509" s="135"/>
      <c r="BF509" s="135"/>
      <c r="BG509" s="135"/>
      <c r="BH509" s="135"/>
      <c r="BI509" s="135"/>
      <c r="BJ509" s="135"/>
      <c r="BK509" s="135"/>
      <c r="BL509" s="135"/>
      <c r="BM509" s="135"/>
      <c r="BN509" s="135"/>
      <c r="BO509" s="135"/>
      <c r="BP509" s="135"/>
      <c r="BQ509" s="135"/>
      <c r="BR509" s="135"/>
      <c r="BS509" s="135"/>
      <c r="BT509" s="135"/>
    </row>
    <row r="510" spans="1:72" s="196" customFormat="1">
      <c r="A510" s="135"/>
      <c r="B510" s="135"/>
      <c r="C510" s="135"/>
      <c r="D510" s="135"/>
      <c r="E510" s="135"/>
      <c r="F510" s="135"/>
      <c r="G510" s="135"/>
      <c r="H510" s="135"/>
      <c r="I510" s="135"/>
      <c r="J510" s="135"/>
      <c r="K510" s="135"/>
      <c r="L510" s="135"/>
      <c r="M510" s="135"/>
      <c r="N510" s="135"/>
      <c r="O510" s="135"/>
      <c r="P510" s="135"/>
      <c r="Q510" s="135"/>
      <c r="R510" s="135"/>
      <c r="S510" s="135"/>
      <c r="T510" s="135"/>
      <c r="U510" s="135"/>
      <c r="V510" s="135"/>
      <c r="W510" s="135"/>
      <c r="X510" s="135"/>
      <c r="Y510" s="135"/>
      <c r="Z510" s="135"/>
      <c r="AA510" s="135"/>
      <c r="AB510" s="135"/>
      <c r="AC510" s="135"/>
      <c r="AD510" s="135"/>
      <c r="AE510" s="135"/>
      <c r="AF510" s="135"/>
      <c r="AG510" s="135"/>
      <c r="AH510" s="135"/>
      <c r="AI510" s="135"/>
      <c r="AJ510" s="135"/>
      <c r="AK510" s="135"/>
      <c r="AL510" s="135"/>
      <c r="AM510" s="135"/>
      <c r="AN510" s="135"/>
      <c r="AO510" s="135"/>
      <c r="AP510" s="135"/>
      <c r="AQ510" s="135"/>
      <c r="AR510" s="135"/>
      <c r="AS510" s="135"/>
      <c r="AT510" s="135"/>
      <c r="AU510" s="135"/>
      <c r="AV510" s="135"/>
      <c r="AW510" s="135"/>
      <c r="AX510" s="135"/>
      <c r="AY510" s="135"/>
      <c r="AZ510" s="135"/>
      <c r="BA510" s="135"/>
      <c r="BB510" s="135"/>
      <c r="BC510" s="135"/>
      <c r="BD510" s="135"/>
      <c r="BE510" s="135"/>
      <c r="BF510" s="135"/>
      <c r="BG510" s="135"/>
      <c r="BH510" s="135"/>
      <c r="BI510" s="135"/>
      <c r="BJ510" s="135"/>
      <c r="BK510" s="135"/>
      <c r="BL510" s="135"/>
      <c r="BM510" s="135"/>
      <c r="BN510" s="135"/>
      <c r="BO510" s="135"/>
      <c r="BP510" s="135"/>
      <c r="BQ510" s="135"/>
      <c r="BR510" s="135"/>
      <c r="BS510" s="135"/>
      <c r="BT510" s="135"/>
    </row>
    <row r="511" spans="1:72" s="196" customFormat="1">
      <c r="A511" s="135"/>
      <c r="B511" s="135"/>
      <c r="C511" s="135"/>
      <c r="D511" s="135"/>
      <c r="E511" s="135"/>
      <c r="F511" s="135"/>
      <c r="G511" s="135"/>
      <c r="H511" s="135"/>
      <c r="I511" s="135"/>
      <c r="J511" s="135"/>
      <c r="K511" s="135"/>
      <c r="L511" s="135"/>
      <c r="M511" s="135"/>
      <c r="N511" s="135"/>
      <c r="O511" s="135"/>
      <c r="P511" s="135"/>
      <c r="Q511" s="135"/>
      <c r="R511" s="135"/>
      <c r="S511" s="135"/>
      <c r="T511" s="135"/>
      <c r="U511" s="135"/>
      <c r="V511" s="135"/>
      <c r="W511" s="135"/>
      <c r="X511" s="135"/>
      <c r="Y511" s="135"/>
      <c r="Z511" s="135"/>
      <c r="AA511" s="135"/>
      <c r="AB511" s="135"/>
      <c r="AC511" s="135"/>
      <c r="AD511" s="135"/>
      <c r="AE511" s="135"/>
      <c r="AF511" s="135"/>
      <c r="AG511" s="135"/>
      <c r="AH511" s="135"/>
      <c r="AI511" s="135"/>
      <c r="AJ511" s="135"/>
      <c r="AK511" s="135"/>
      <c r="AL511" s="135"/>
      <c r="AM511" s="135"/>
      <c r="AN511" s="135"/>
      <c r="AO511" s="135"/>
      <c r="AP511" s="135"/>
      <c r="AQ511" s="135"/>
      <c r="AR511" s="135"/>
      <c r="AS511" s="135"/>
      <c r="AT511" s="135"/>
      <c r="AU511" s="135"/>
      <c r="AV511" s="135"/>
      <c r="AW511" s="135"/>
      <c r="AX511" s="135"/>
      <c r="AY511" s="135"/>
      <c r="AZ511" s="135"/>
      <c r="BA511" s="135"/>
      <c r="BB511" s="135"/>
      <c r="BC511" s="135"/>
      <c r="BD511" s="135"/>
      <c r="BE511" s="135"/>
      <c r="BF511" s="135"/>
      <c r="BG511" s="135"/>
      <c r="BH511" s="135"/>
      <c r="BI511" s="135"/>
      <c r="BJ511" s="135"/>
      <c r="BK511" s="135"/>
      <c r="BL511" s="135"/>
      <c r="BM511" s="135"/>
      <c r="BN511" s="135"/>
      <c r="BO511" s="135"/>
      <c r="BP511" s="135"/>
      <c r="BQ511" s="135"/>
      <c r="BR511" s="135"/>
      <c r="BS511" s="135"/>
      <c r="BT511" s="135"/>
    </row>
    <row r="512" spans="1:72" s="196" customFormat="1">
      <c r="A512" s="135"/>
      <c r="B512" s="135"/>
      <c r="C512" s="135"/>
      <c r="D512" s="135"/>
      <c r="E512" s="135"/>
      <c r="F512" s="135"/>
      <c r="G512" s="135"/>
      <c r="H512" s="135"/>
      <c r="I512" s="135"/>
      <c r="J512" s="135"/>
      <c r="K512" s="135"/>
      <c r="L512" s="135"/>
      <c r="M512" s="135"/>
      <c r="N512" s="135"/>
      <c r="O512" s="135"/>
      <c r="P512" s="135"/>
      <c r="Q512" s="135"/>
      <c r="R512" s="135"/>
      <c r="S512" s="135"/>
      <c r="T512" s="135"/>
      <c r="U512" s="135"/>
      <c r="V512" s="135"/>
      <c r="W512" s="135"/>
      <c r="X512" s="135"/>
      <c r="Y512" s="135"/>
      <c r="Z512" s="135"/>
      <c r="AA512" s="135"/>
      <c r="AB512" s="135"/>
      <c r="AC512" s="135"/>
      <c r="AD512" s="135"/>
      <c r="AE512" s="135"/>
      <c r="AF512" s="135"/>
      <c r="AG512" s="135"/>
      <c r="AH512" s="135"/>
      <c r="AI512" s="135"/>
      <c r="AJ512" s="135"/>
      <c r="AK512" s="135"/>
      <c r="AL512" s="135"/>
      <c r="AM512" s="135"/>
      <c r="AN512" s="135"/>
      <c r="AO512" s="135"/>
      <c r="AP512" s="135"/>
      <c r="AQ512" s="135"/>
      <c r="AR512" s="135"/>
      <c r="AS512" s="135"/>
      <c r="AT512" s="135"/>
      <c r="AU512" s="135"/>
      <c r="AV512" s="135"/>
      <c r="AW512" s="135"/>
      <c r="AX512" s="135"/>
      <c r="AY512" s="135"/>
      <c r="AZ512" s="135"/>
      <c r="BA512" s="135"/>
      <c r="BB512" s="135"/>
      <c r="BC512" s="135"/>
      <c r="BD512" s="135"/>
      <c r="BE512" s="135"/>
      <c r="BF512" s="135"/>
      <c r="BG512" s="135"/>
      <c r="BH512" s="135"/>
      <c r="BI512" s="135"/>
      <c r="BJ512" s="135"/>
      <c r="BK512" s="135"/>
      <c r="BL512" s="135"/>
      <c r="BM512" s="135"/>
      <c r="BN512" s="135"/>
      <c r="BO512" s="135"/>
      <c r="BP512" s="135"/>
      <c r="BQ512" s="135"/>
      <c r="BR512" s="135"/>
      <c r="BS512" s="135"/>
      <c r="BT512" s="135"/>
    </row>
    <row r="513" spans="1:72" s="196" customFormat="1">
      <c r="A513" s="135"/>
      <c r="B513" s="135"/>
      <c r="C513" s="135"/>
      <c r="D513" s="135"/>
      <c r="E513" s="135"/>
      <c r="F513" s="135"/>
      <c r="G513" s="135"/>
      <c r="H513" s="135"/>
      <c r="I513" s="135"/>
      <c r="J513" s="135"/>
      <c r="K513" s="135"/>
      <c r="L513" s="135"/>
      <c r="M513" s="135"/>
      <c r="N513" s="135"/>
      <c r="O513" s="135"/>
      <c r="P513" s="135"/>
      <c r="Q513" s="135"/>
      <c r="R513" s="135"/>
      <c r="S513" s="135"/>
      <c r="T513" s="135"/>
      <c r="U513" s="135"/>
      <c r="V513" s="135"/>
      <c r="W513" s="135"/>
      <c r="X513" s="135"/>
      <c r="Y513" s="135"/>
      <c r="Z513" s="135"/>
      <c r="AA513" s="135"/>
      <c r="AB513" s="135"/>
      <c r="AC513" s="135"/>
      <c r="AD513" s="135"/>
      <c r="AE513" s="135"/>
      <c r="AF513" s="135"/>
      <c r="AG513" s="135"/>
      <c r="AH513" s="135"/>
      <c r="AI513" s="135"/>
      <c r="AJ513" s="135"/>
      <c r="AK513" s="135"/>
      <c r="AL513" s="135"/>
      <c r="AM513" s="135"/>
      <c r="AN513" s="135"/>
      <c r="AO513" s="135"/>
      <c r="AP513" s="135"/>
      <c r="AQ513" s="135"/>
      <c r="AR513" s="135"/>
      <c r="AS513" s="135"/>
      <c r="AT513" s="135"/>
      <c r="AU513" s="135"/>
      <c r="AV513" s="135"/>
      <c r="AW513" s="135"/>
      <c r="AX513" s="135"/>
      <c r="AY513" s="135"/>
      <c r="AZ513" s="135"/>
      <c r="BA513" s="135"/>
      <c r="BB513" s="135"/>
      <c r="BC513" s="135"/>
      <c r="BD513" s="135"/>
      <c r="BE513" s="135"/>
      <c r="BF513" s="135"/>
      <c r="BG513" s="135"/>
      <c r="BH513" s="135"/>
      <c r="BI513" s="135"/>
      <c r="BJ513" s="135"/>
      <c r="BK513" s="135"/>
      <c r="BL513" s="135"/>
      <c r="BM513" s="135"/>
      <c r="BN513" s="135"/>
      <c r="BO513" s="135"/>
      <c r="BP513" s="135"/>
      <c r="BQ513" s="135"/>
      <c r="BR513" s="135"/>
      <c r="BS513" s="135"/>
      <c r="BT513" s="135"/>
    </row>
    <row r="514" spans="1:72" s="196" customFormat="1">
      <c r="A514" s="135"/>
      <c r="B514" s="135"/>
      <c r="C514" s="135"/>
      <c r="D514" s="135"/>
      <c r="E514" s="135"/>
      <c r="F514" s="135"/>
      <c r="G514" s="135"/>
      <c r="H514" s="135"/>
      <c r="I514" s="135"/>
      <c r="J514" s="135"/>
      <c r="K514" s="135"/>
      <c r="L514" s="135"/>
      <c r="M514" s="135"/>
      <c r="N514" s="135"/>
      <c r="O514" s="135"/>
      <c r="P514" s="135"/>
      <c r="Q514" s="135"/>
      <c r="R514" s="135"/>
      <c r="S514" s="135"/>
      <c r="T514" s="135"/>
      <c r="U514" s="135"/>
      <c r="V514" s="135"/>
      <c r="W514" s="135"/>
      <c r="X514" s="135"/>
      <c r="Y514" s="135"/>
      <c r="Z514" s="135"/>
      <c r="AA514" s="135"/>
      <c r="AB514" s="135"/>
      <c r="AC514" s="135"/>
      <c r="AD514" s="135"/>
      <c r="AE514" s="135"/>
      <c r="AF514" s="135"/>
      <c r="AG514" s="135"/>
      <c r="AH514" s="135"/>
      <c r="AI514" s="135"/>
      <c r="AJ514" s="135"/>
      <c r="AK514" s="135"/>
      <c r="AL514" s="135"/>
      <c r="AM514" s="135"/>
      <c r="AN514" s="135"/>
      <c r="AO514" s="135"/>
      <c r="AP514" s="135"/>
      <c r="AQ514" s="135"/>
      <c r="AR514" s="135"/>
      <c r="AS514" s="135"/>
      <c r="AT514" s="135"/>
      <c r="AU514" s="135"/>
      <c r="AV514" s="135"/>
      <c r="AW514" s="135"/>
      <c r="AX514" s="135"/>
      <c r="AY514" s="135"/>
      <c r="AZ514" s="135"/>
      <c r="BA514" s="135"/>
      <c r="BB514" s="135"/>
      <c r="BC514" s="135"/>
      <c r="BD514" s="135"/>
      <c r="BE514" s="135"/>
      <c r="BF514" s="135"/>
      <c r="BG514" s="135"/>
      <c r="BH514" s="135"/>
      <c r="BI514" s="135"/>
      <c r="BJ514" s="135"/>
      <c r="BK514" s="135"/>
      <c r="BL514" s="135"/>
      <c r="BM514" s="135"/>
      <c r="BN514" s="135"/>
      <c r="BO514" s="135"/>
      <c r="BP514" s="135"/>
      <c r="BQ514" s="135"/>
      <c r="BR514" s="135"/>
      <c r="BS514" s="135"/>
      <c r="BT514" s="135"/>
    </row>
    <row r="515" spans="1:72" s="196" customFormat="1">
      <c r="A515" s="135"/>
      <c r="B515" s="135"/>
      <c r="C515" s="135"/>
      <c r="D515" s="135"/>
      <c r="E515" s="135"/>
      <c r="F515" s="135"/>
      <c r="G515" s="135"/>
      <c r="H515" s="135"/>
      <c r="I515" s="135"/>
      <c r="J515" s="135"/>
      <c r="K515" s="135"/>
      <c r="L515" s="135"/>
      <c r="M515" s="135"/>
      <c r="N515" s="135"/>
      <c r="O515" s="135"/>
      <c r="P515" s="135"/>
      <c r="Q515" s="135"/>
      <c r="R515" s="135"/>
      <c r="S515" s="135"/>
      <c r="T515" s="135"/>
      <c r="U515" s="135"/>
      <c r="V515" s="135"/>
      <c r="W515" s="135"/>
      <c r="X515" s="135"/>
      <c r="Y515" s="135"/>
      <c r="Z515" s="135"/>
      <c r="AA515" s="135"/>
      <c r="AB515" s="135"/>
      <c r="AC515" s="135"/>
      <c r="AD515" s="135"/>
      <c r="AE515" s="135"/>
      <c r="AF515" s="135"/>
      <c r="AG515" s="135"/>
      <c r="AH515" s="135"/>
      <c r="AI515" s="135"/>
      <c r="AJ515" s="135"/>
      <c r="AK515" s="135"/>
      <c r="AL515" s="135"/>
      <c r="AM515" s="135"/>
      <c r="AN515" s="135"/>
      <c r="AO515" s="135"/>
      <c r="AP515" s="135"/>
      <c r="AQ515" s="135"/>
      <c r="AR515" s="135"/>
      <c r="AS515" s="135"/>
      <c r="AT515" s="135"/>
      <c r="AU515" s="135"/>
      <c r="AV515" s="135"/>
      <c r="AW515" s="135"/>
      <c r="AX515" s="135"/>
      <c r="AY515" s="135"/>
      <c r="AZ515" s="135"/>
      <c r="BA515" s="135"/>
      <c r="BB515" s="135"/>
      <c r="BC515" s="135"/>
      <c r="BD515" s="135"/>
      <c r="BE515" s="135"/>
      <c r="BF515" s="135"/>
      <c r="BG515" s="135"/>
      <c r="BH515" s="135"/>
      <c r="BI515" s="135"/>
      <c r="BJ515" s="135"/>
      <c r="BK515" s="135"/>
      <c r="BL515" s="135"/>
      <c r="BM515" s="135"/>
      <c r="BN515" s="135"/>
      <c r="BO515" s="135"/>
      <c r="BP515" s="135"/>
      <c r="BQ515" s="135"/>
      <c r="BR515" s="135"/>
      <c r="BS515" s="135"/>
      <c r="BT515" s="135"/>
    </row>
    <row r="516" spans="1:72" s="196" customFormat="1">
      <c r="A516" s="135"/>
      <c r="B516" s="135"/>
      <c r="C516" s="135"/>
      <c r="D516" s="135"/>
      <c r="E516" s="135"/>
      <c r="F516" s="135"/>
      <c r="G516" s="135"/>
      <c r="H516" s="135"/>
      <c r="I516" s="135"/>
      <c r="J516" s="135"/>
      <c r="K516" s="135"/>
      <c r="L516" s="135"/>
      <c r="M516" s="135"/>
      <c r="N516" s="135"/>
      <c r="O516" s="135"/>
      <c r="P516" s="135"/>
      <c r="Q516" s="135"/>
      <c r="R516" s="135"/>
      <c r="S516" s="135"/>
      <c r="T516" s="135"/>
      <c r="U516" s="135"/>
      <c r="V516" s="135"/>
      <c r="W516" s="135"/>
      <c r="X516" s="135"/>
      <c r="Y516" s="135"/>
      <c r="Z516" s="135"/>
      <c r="AA516" s="135"/>
      <c r="AB516" s="135"/>
      <c r="AC516" s="135"/>
      <c r="AD516" s="135"/>
      <c r="AE516" s="135"/>
      <c r="AF516" s="135"/>
      <c r="AG516" s="135"/>
      <c r="AH516" s="135"/>
      <c r="AI516" s="135"/>
      <c r="AJ516" s="135"/>
      <c r="AK516" s="135"/>
      <c r="AL516" s="135"/>
      <c r="AM516" s="135"/>
      <c r="AN516" s="135"/>
      <c r="AO516" s="135"/>
      <c r="AP516" s="135"/>
      <c r="AQ516" s="135"/>
      <c r="AR516" s="135"/>
      <c r="AS516" s="135"/>
      <c r="AT516" s="135"/>
      <c r="AU516" s="135"/>
      <c r="AV516" s="135"/>
      <c r="AW516" s="135"/>
      <c r="AX516" s="135"/>
      <c r="AY516" s="135"/>
      <c r="AZ516" s="135"/>
      <c r="BA516" s="135"/>
      <c r="BB516" s="135"/>
      <c r="BC516" s="135"/>
      <c r="BD516" s="135"/>
      <c r="BE516" s="135"/>
      <c r="BF516" s="135"/>
      <c r="BG516" s="135"/>
      <c r="BH516" s="135"/>
      <c r="BI516" s="135"/>
      <c r="BJ516" s="135"/>
      <c r="BK516" s="135"/>
      <c r="BL516" s="135"/>
      <c r="BM516" s="135"/>
      <c r="BN516" s="135"/>
      <c r="BO516" s="135"/>
      <c r="BP516" s="135"/>
      <c r="BQ516" s="135"/>
      <c r="BR516" s="135"/>
      <c r="BS516" s="135"/>
      <c r="BT516" s="135"/>
    </row>
    <row r="517" spans="1:72" s="196" customFormat="1">
      <c r="A517" s="135"/>
      <c r="B517" s="135"/>
      <c r="C517" s="135"/>
      <c r="D517" s="135"/>
      <c r="E517" s="135"/>
      <c r="F517" s="135"/>
      <c r="G517" s="135"/>
      <c r="H517" s="135"/>
      <c r="I517" s="135"/>
      <c r="J517" s="135"/>
      <c r="K517" s="135"/>
      <c r="L517" s="135"/>
      <c r="M517" s="135"/>
      <c r="N517" s="135"/>
      <c r="O517" s="135"/>
      <c r="P517" s="135"/>
      <c r="Q517" s="135"/>
      <c r="R517" s="135"/>
      <c r="S517" s="135"/>
      <c r="T517" s="135"/>
      <c r="U517" s="135"/>
      <c r="V517" s="135"/>
      <c r="W517" s="135"/>
      <c r="X517" s="135"/>
      <c r="Y517" s="135"/>
      <c r="Z517" s="135"/>
      <c r="AA517" s="135"/>
      <c r="AB517" s="135"/>
      <c r="AC517" s="135"/>
      <c r="AD517" s="135"/>
      <c r="AE517" s="135"/>
      <c r="AF517" s="135"/>
      <c r="AG517" s="135"/>
      <c r="AH517" s="135"/>
      <c r="AI517" s="135"/>
      <c r="AJ517" s="135"/>
      <c r="AK517" s="135"/>
      <c r="AL517" s="135"/>
      <c r="AM517" s="135"/>
      <c r="AN517" s="135"/>
      <c r="AO517" s="135"/>
      <c r="AP517" s="135"/>
      <c r="AQ517" s="135"/>
      <c r="AR517" s="135"/>
      <c r="AS517" s="135"/>
      <c r="AT517" s="135"/>
      <c r="AU517" s="135"/>
      <c r="AV517" s="135"/>
      <c r="AW517" s="135"/>
      <c r="AX517" s="135"/>
      <c r="AY517" s="135"/>
      <c r="AZ517" s="135"/>
      <c r="BA517" s="135"/>
      <c r="BB517" s="135"/>
      <c r="BC517" s="135"/>
      <c r="BD517" s="135"/>
      <c r="BE517" s="135"/>
      <c r="BF517" s="135"/>
      <c r="BG517" s="135"/>
      <c r="BH517" s="135"/>
      <c r="BI517" s="135"/>
      <c r="BJ517" s="135"/>
      <c r="BK517" s="135"/>
      <c r="BL517" s="135"/>
      <c r="BM517" s="135"/>
      <c r="BN517" s="135"/>
      <c r="BO517" s="135"/>
      <c r="BP517" s="135"/>
      <c r="BQ517" s="135"/>
      <c r="BR517" s="135"/>
      <c r="BS517" s="135"/>
      <c r="BT517" s="135"/>
    </row>
    <row r="518" spans="1:72" s="196" customFormat="1">
      <c r="A518" s="135"/>
      <c r="B518" s="135"/>
      <c r="C518" s="135"/>
      <c r="D518" s="135"/>
      <c r="E518" s="135"/>
      <c r="F518" s="135"/>
      <c r="G518" s="135"/>
      <c r="H518" s="135"/>
      <c r="I518" s="135"/>
      <c r="J518" s="135"/>
      <c r="K518" s="135"/>
      <c r="L518" s="135"/>
      <c r="M518" s="135"/>
      <c r="N518" s="135"/>
      <c r="O518" s="135"/>
      <c r="P518" s="135"/>
      <c r="Q518" s="135"/>
      <c r="R518" s="135"/>
      <c r="S518" s="135"/>
      <c r="T518" s="135"/>
      <c r="U518" s="135"/>
      <c r="V518" s="135"/>
      <c r="W518" s="135"/>
      <c r="X518" s="135"/>
      <c r="Y518" s="135"/>
      <c r="Z518" s="135"/>
      <c r="AA518" s="135"/>
      <c r="AB518" s="135"/>
      <c r="AC518" s="135"/>
      <c r="AD518" s="135"/>
      <c r="AE518" s="135"/>
      <c r="AF518" s="135"/>
      <c r="AG518" s="135"/>
      <c r="AH518" s="135"/>
      <c r="AI518" s="135"/>
      <c r="AJ518" s="135"/>
      <c r="AK518" s="135"/>
      <c r="AL518" s="135"/>
      <c r="AM518" s="135"/>
      <c r="AN518" s="135"/>
      <c r="AO518" s="135"/>
      <c r="AP518" s="135"/>
      <c r="AQ518" s="135"/>
      <c r="AR518" s="135"/>
      <c r="AS518" s="135"/>
      <c r="AT518" s="135"/>
      <c r="AU518" s="135"/>
      <c r="AV518" s="135"/>
      <c r="AW518" s="135"/>
      <c r="AX518" s="135"/>
      <c r="AY518" s="135"/>
      <c r="AZ518" s="135"/>
      <c r="BA518" s="135"/>
      <c r="BB518" s="135"/>
      <c r="BC518" s="135"/>
      <c r="BD518" s="135"/>
      <c r="BE518" s="135"/>
      <c r="BF518" s="135"/>
      <c r="BG518" s="135"/>
      <c r="BH518" s="135"/>
      <c r="BI518" s="135"/>
      <c r="BJ518" s="135"/>
      <c r="BK518" s="135"/>
      <c r="BL518" s="135"/>
      <c r="BM518" s="135"/>
      <c r="BN518" s="135"/>
      <c r="BO518" s="135"/>
      <c r="BP518" s="135"/>
      <c r="BQ518" s="135"/>
      <c r="BR518" s="135"/>
      <c r="BS518" s="135"/>
      <c r="BT518" s="135"/>
    </row>
    <row r="519" spans="1:72" s="196" customFormat="1">
      <c r="A519" s="135"/>
      <c r="B519" s="135"/>
      <c r="C519" s="135"/>
      <c r="D519" s="135"/>
      <c r="E519" s="135"/>
      <c r="F519" s="135"/>
      <c r="G519" s="135"/>
      <c r="H519" s="135"/>
      <c r="I519" s="135"/>
      <c r="J519" s="135"/>
      <c r="K519" s="135"/>
      <c r="L519" s="135"/>
      <c r="M519" s="135"/>
      <c r="N519" s="135"/>
      <c r="O519" s="135"/>
      <c r="P519" s="135"/>
      <c r="Q519" s="135"/>
      <c r="R519" s="135"/>
      <c r="S519" s="135"/>
      <c r="T519" s="135"/>
      <c r="U519" s="135"/>
      <c r="V519" s="135"/>
      <c r="W519" s="135"/>
      <c r="X519" s="135"/>
      <c r="Y519" s="135"/>
      <c r="Z519" s="135"/>
      <c r="AA519" s="135"/>
      <c r="AB519" s="135"/>
      <c r="AC519" s="135"/>
      <c r="AD519" s="135"/>
      <c r="AE519" s="135"/>
      <c r="AF519" s="135"/>
      <c r="AG519" s="135"/>
      <c r="AH519" s="135"/>
      <c r="AI519" s="135"/>
      <c r="AJ519" s="135"/>
      <c r="AK519" s="135"/>
      <c r="AL519" s="135"/>
      <c r="AM519" s="135"/>
      <c r="AN519" s="135"/>
      <c r="AO519" s="135"/>
      <c r="AP519" s="135"/>
      <c r="AQ519" s="135"/>
      <c r="AR519" s="135"/>
      <c r="AS519" s="135"/>
      <c r="AT519" s="135"/>
      <c r="AU519" s="135"/>
      <c r="AV519" s="135"/>
      <c r="AW519" s="135"/>
      <c r="AX519" s="135"/>
      <c r="AY519" s="135"/>
      <c r="AZ519" s="135"/>
      <c r="BA519" s="135"/>
      <c r="BB519" s="135"/>
      <c r="BC519" s="135"/>
      <c r="BD519" s="135"/>
      <c r="BE519" s="135"/>
      <c r="BF519" s="135"/>
      <c r="BG519" s="135"/>
      <c r="BH519" s="135"/>
      <c r="BI519" s="135"/>
      <c r="BJ519" s="135"/>
      <c r="BK519" s="135"/>
      <c r="BL519" s="135"/>
      <c r="BM519" s="135"/>
      <c r="BN519" s="135"/>
      <c r="BO519" s="135"/>
      <c r="BP519" s="135"/>
      <c r="BQ519" s="135"/>
      <c r="BR519" s="135"/>
      <c r="BS519" s="135"/>
      <c r="BT519" s="135"/>
    </row>
    <row r="520" spans="1:72" s="196" customFormat="1">
      <c r="A520" s="135"/>
      <c r="B520" s="135"/>
      <c r="C520" s="135"/>
      <c r="D520" s="135"/>
      <c r="E520" s="135"/>
      <c r="F520" s="135"/>
      <c r="G520" s="135"/>
      <c r="H520" s="135"/>
      <c r="I520" s="135"/>
      <c r="J520" s="135"/>
      <c r="K520" s="135"/>
      <c r="L520" s="135"/>
      <c r="M520" s="135"/>
      <c r="N520" s="135"/>
      <c r="O520" s="135"/>
      <c r="P520" s="135"/>
      <c r="Q520" s="135"/>
      <c r="R520" s="135"/>
      <c r="S520" s="135"/>
      <c r="T520" s="135"/>
      <c r="U520" s="135"/>
      <c r="V520" s="135"/>
      <c r="W520" s="135"/>
      <c r="X520" s="135"/>
      <c r="Y520" s="135"/>
      <c r="Z520" s="135"/>
      <c r="AA520" s="135"/>
      <c r="AB520" s="135"/>
      <c r="AC520" s="135"/>
      <c r="AD520" s="135"/>
      <c r="AE520" s="135"/>
      <c r="AF520" s="135"/>
      <c r="AG520" s="135"/>
      <c r="AH520" s="135"/>
      <c r="AI520" s="135"/>
      <c r="AJ520" s="135"/>
      <c r="AK520" s="135"/>
      <c r="AL520" s="135"/>
      <c r="AM520" s="135"/>
      <c r="AN520" s="135"/>
      <c r="AO520" s="135"/>
      <c r="AP520" s="135"/>
      <c r="AQ520" s="135"/>
      <c r="AR520" s="135"/>
      <c r="AS520" s="135"/>
      <c r="AT520" s="135"/>
      <c r="AU520" s="135"/>
      <c r="AV520" s="135"/>
      <c r="AW520" s="135"/>
      <c r="AX520" s="135"/>
      <c r="AY520" s="135"/>
      <c r="AZ520" s="135"/>
      <c r="BA520" s="135"/>
      <c r="BB520" s="135"/>
      <c r="BC520" s="135"/>
      <c r="BD520" s="135"/>
      <c r="BE520" s="135"/>
      <c r="BF520" s="135"/>
      <c r="BG520" s="135"/>
      <c r="BH520" s="135"/>
      <c r="BI520" s="135"/>
      <c r="BJ520" s="135"/>
      <c r="BK520" s="135"/>
      <c r="BL520" s="135"/>
      <c r="BM520" s="135"/>
      <c r="BN520" s="135"/>
      <c r="BO520" s="135"/>
      <c r="BP520" s="135"/>
      <c r="BQ520" s="135"/>
      <c r="BR520" s="135"/>
      <c r="BS520" s="135"/>
      <c r="BT520" s="135"/>
    </row>
    <row r="521" spans="1:72" s="196" customFormat="1">
      <c r="A521" s="135"/>
      <c r="B521" s="135"/>
      <c r="C521" s="135"/>
      <c r="D521" s="135"/>
      <c r="E521" s="135"/>
      <c r="F521" s="135"/>
      <c r="G521" s="135"/>
      <c r="H521" s="135"/>
      <c r="I521" s="135"/>
      <c r="J521" s="135"/>
      <c r="K521" s="135"/>
      <c r="L521" s="135"/>
      <c r="M521" s="135"/>
      <c r="N521" s="135"/>
      <c r="O521" s="135"/>
      <c r="P521" s="135"/>
      <c r="Q521" s="135"/>
      <c r="R521" s="135"/>
      <c r="S521" s="135"/>
      <c r="T521" s="135"/>
      <c r="U521" s="135"/>
      <c r="V521" s="135"/>
      <c r="W521" s="135"/>
      <c r="X521" s="135"/>
      <c r="Y521" s="135"/>
      <c r="Z521" s="135"/>
      <c r="AA521" s="135"/>
      <c r="AB521" s="135"/>
      <c r="AC521" s="135"/>
      <c r="AD521" s="135"/>
      <c r="AE521" s="135"/>
      <c r="AF521" s="135"/>
      <c r="AG521" s="135"/>
      <c r="AH521" s="135"/>
      <c r="AI521" s="135"/>
      <c r="AJ521" s="135"/>
      <c r="AK521" s="135"/>
      <c r="AL521" s="135"/>
      <c r="AM521" s="135"/>
      <c r="AN521" s="135"/>
      <c r="AO521" s="135"/>
      <c r="AP521" s="135"/>
      <c r="AQ521" s="135"/>
      <c r="AR521" s="135"/>
      <c r="AS521" s="135"/>
      <c r="AT521" s="135"/>
      <c r="AU521" s="135"/>
      <c r="AV521" s="135"/>
      <c r="AW521" s="135"/>
      <c r="AX521" s="135"/>
      <c r="AY521" s="135"/>
      <c r="AZ521" s="135"/>
      <c r="BA521" s="135"/>
      <c r="BB521" s="135"/>
      <c r="BC521" s="135"/>
      <c r="BD521" s="135"/>
      <c r="BE521" s="135"/>
      <c r="BF521" s="135"/>
      <c r="BG521" s="135"/>
      <c r="BH521" s="135"/>
      <c r="BI521" s="135"/>
      <c r="BJ521" s="135"/>
      <c r="BK521" s="135"/>
      <c r="BL521" s="135"/>
      <c r="BM521" s="135"/>
      <c r="BN521" s="135"/>
      <c r="BO521" s="135"/>
      <c r="BP521" s="135"/>
      <c r="BQ521" s="135"/>
      <c r="BR521" s="135"/>
      <c r="BS521" s="135"/>
      <c r="BT521" s="135"/>
    </row>
    <row r="522" spans="1:72" s="196" customFormat="1">
      <c r="A522" s="135"/>
      <c r="B522" s="135"/>
      <c r="C522" s="135"/>
      <c r="D522" s="135"/>
      <c r="E522" s="135"/>
      <c r="F522" s="135"/>
      <c r="G522" s="135"/>
      <c r="H522" s="135"/>
      <c r="I522" s="135"/>
      <c r="J522" s="135"/>
      <c r="K522" s="135"/>
      <c r="L522" s="135"/>
      <c r="M522" s="135"/>
      <c r="N522" s="135"/>
      <c r="O522" s="135"/>
      <c r="P522" s="135"/>
      <c r="Q522" s="135"/>
      <c r="R522" s="135"/>
      <c r="S522" s="135"/>
      <c r="T522" s="135"/>
      <c r="U522" s="135"/>
      <c r="V522" s="135"/>
      <c r="W522" s="135"/>
      <c r="X522" s="135"/>
      <c r="Y522" s="135"/>
      <c r="Z522" s="135"/>
      <c r="AA522" s="135"/>
      <c r="AB522" s="135"/>
      <c r="AC522" s="135"/>
      <c r="AD522" s="135"/>
      <c r="AE522" s="135"/>
      <c r="AF522" s="135"/>
      <c r="AG522" s="135"/>
      <c r="AH522" s="135"/>
      <c r="AI522" s="135"/>
      <c r="AJ522" s="135"/>
      <c r="AK522" s="135"/>
      <c r="AL522" s="135"/>
      <c r="AM522" s="135"/>
      <c r="AN522" s="135"/>
      <c r="AO522" s="135"/>
      <c r="AP522" s="135"/>
      <c r="AQ522" s="135"/>
      <c r="AR522" s="135"/>
      <c r="AS522" s="135"/>
      <c r="AT522" s="135"/>
      <c r="AU522" s="135"/>
      <c r="AV522" s="135"/>
      <c r="AW522" s="135"/>
      <c r="AX522" s="135"/>
      <c r="AY522" s="135"/>
      <c r="AZ522" s="135"/>
      <c r="BA522" s="135"/>
      <c r="BB522" s="135"/>
      <c r="BC522" s="135"/>
      <c r="BD522" s="135"/>
      <c r="BE522" s="135"/>
      <c r="BF522" s="135"/>
      <c r="BG522" s="135"/>
      <c r="BH522" s="135"/>
      <c r="BI522" s="135"/>
      <c r="BJ522" s="135"/>
      <c r="BK522" s="135"/>
      <c r="BL522" s="135"/>
      <c r="BM522" s="135"/>
      <c r="BN522" s="135"/>
      <c r="BO522" s="135"/>
      <c r="BP522" s="135"/>
      <c r="BQ522" s="135"/>
      <c r="BR522" s="135"/>
      <c r="BS522" s="135"/>
      <c r="BT522" s="135"/>
    </row>
    <row r="523" spans="1:72" s="196" customFormat="1">
      <c r="A523" s="135"/>
      <c r="B523" s="135"/>
      <c r="C523" s="135"/>
      <c r="D523" s="135"/>
      <c r="E523" s="135"/>
      <c r="F523" s="135"/>
      <c r="G523" s="135"/>
      <c r="H523" s="135"/>
      <c r="I523" s="135"/>
      <c r="J523" s="135"/>
      <c r="K523" s="135"/>
      <c r="L523" s="135"/>
      <c r="M523" s="135"/>
      <c r="N523" s="135"/>
      <c r="O523" s="135"/>
      <c r="P523" s="135"/>
      <c r="Q523" s="135"/>
      <c r="R523" s="135"/>
      <c r="S523" s="135"/>
      <c r="T523" s="135"/>
      <c r="U523" s="135"/>
      <c r="V523" s="135"/>
      <c r="W523" s="135"/>
      <c r="X523" s="135"/>
      <c r="Y523" s="135"/>
      <c r="Z523" s="135"/>
      <c r="AA523" s="135"/>
      <c r="AB523" s="135"/>
      <c r="AC523" s="135"/>
      <c r="AD523" s="135"/>
      <c r="AE523" s="135"/>
      <c r="AF523" s="135"/>
      <c r="AG523" s="135"/>
      <c r="AH523" s="135"/>
      <c r="AI523" s="135"/>
      <c r="AJ523" s="135"/>
      <c r="AK523" s="135"/>
      <c r="AL523" s="135"/>
      <c r="AM523" s="135"/>
      <c r="AN523" s="135"/>
      <c r="AO523" s="135"/>
      <c r="AP523" s="135"/>
      <c r="AQ523" s="135"/>
      <c r="AR523" s="135"/>
      <c r="AS523" s="135"/>
      <c r="AT523" s="135"/>
      <c r="AU523" s="135"/>
      <c r="AV523" s="135"/>
      <c r="AW523" s="135"/>
      <c r="AX523" s="135"/>
      <c r="AY523" s="135"/>
      <c r="AZ523" s="135"/>
      <c r="BA523" s="135"/>
      <c r="BB523" s="135"/>
      <c r="BC523" s="135"/>
      <c r="BD523" s="135"/>
      <c r="BE523" s="135"/>
      <c r="BF523" s="135"/>
      <c r="BG523" s="135"/>
      <c r="BH523" s="135"/>
      <c r="BI523" s="135"/>
      <c r="BJ523" s="135"/>
      <c r="BK523" s="135"/>
      <c r="BL523" s="135"/>
      <c r="BM523" s="135"/>
      <c r="BN523" s="135"/>
      <c r="BO523" s="135"/>
      <c r="BP523" s="135"/>
      <c r="BQ523" s="135"/>
      <c r="BR523" s="135"/>
      <c r="BS523" s="135"/>
      <c r="BT523" s="135"/>
    </row>
    <row r="524" spans="1:72" s="196" customFormat="1">
      <c r="A524" s="135"/>
      <c r="B524" s="135"/>
      <c r="C524" s="135"/>
      <c r="D524" s="135"/>
      <c r="E524" s="135"/>
      <c r="F524" s="135"/>
      <c r="G524" s="135"/>
      <c r="H524" s="135"/>
      <c r="I524" s="135"/>
      <c r="J524" s="135"/>
      <c r="K524" s="135"/>
      <c r="L524" s="135"/>
      <c r="M524" s="135"/>
      <c r="N524" s="135"/>
      <c r="O524" s="135"/>
      <c r="P524" s="135"/>
      <c r="Q524" s="135"/>
      <c r="R524" s="135"/>
      <c r="S524" s="135"/>
      <c r="T524" s="135"/>
      <c r="U524" s="135"/>
      <c r="V524" s="135"/>
      <c r="W524" s="135"/>
      <c r="X524" s="135"/>
      <c r="Y524" s="135"/>
      <c r="Z524" s="135"/>
      <c r="AA524" s="135"/>
      <c r="AB524" s="135"/>
      <c r="AC524" s="135"/>
      <c r="AD524" s="135"/>
      <c r="AE524" s="135"/>
      <c r="AF524" s="135"/>
      <c r="AG524" s="135"/>
      <c r="AH524" s="135"/>
      <c r="AI524" s="135"/>
      <c r="AJ524" s="135"/>
      <c r="AK524" s="135"/>
      <c r="AL524" s="135"/>
      <c r="AM524" s="135"/>
      <c r="AN524" s="135"/>
      <c r="AO524" s="135"/>
      <c r="AP524" s="135"/>
      <c r="AQ524" s="135"/>
      <c r="AR524" s="135"/>
      <c r="AS524" s="135"/>
      <c r="AT524" s="135"/>
      <c r="AU524" s="135"/>
      <c r="AV524" s="135"/>
      <c r="AW524" s="135"/>
      <c r="AX524" s="135"/>
      <c r="AY524" s="135"/>
      <c r="AZ524" s="135"/>
      <c r="BA524" s="135"/>
      <c r="BB524" s="135"/>
      <c r="BC524" s="135"/>
      <c r="BD524" s="135"/>
      <c r="BE524" s="135"/>
      <c r="BF524" s="135"/>
      <c r="BG524" s="135"/>
      <c r="BH524" s="135"/>
      <c r="BI524" s="135"/>
      <c r="BJ524" s="135"/>
      <c r="BK524" s="135"/>
      <c r="BL524" s="135"/>
      <c r="BM524" s="135"/>
      <c r="BN524" s="135"/>
      <c r="BO524" s="135"/>
      <c r="BP524" s="135"/>
      <c r="BQ524" s="135"/>
      <c r="BR524" s="135"/>
      <c r="BS524" s="135"/>
      <c r="BT524" s="135"/>
    </row>
    <row r="525" spans="1:72" s="196" customFormat="1">
      <c r="A525" s="135"/>
      <c r="B525" s="135"/>
      <c r="C525" s="135"/>
      <c r="D525" s="135"/>
      <c r="E525" s="135"/>
      <c r="F525" s="135"/>
      <c r="G525" s="135"/>
      <c r="H525" s="135"/>
      <c r="I525" s="135"/>
      <c r="J525" s="135"/>
      <c r="K525" s="135"/>
      <c r="L525" s="135"/>
      <c r="M525" s="135"/>
      <c r="N525" s="135"/>
      <c r="O525" s="135"/>
      <c r="P525" s="135"/>
      <c r="Q525" s="135"/>
      <c r="R525" s="135"/>
      <c r="S525" s="135"/>
      <c r="T525" s="135"/>
      <c r="U525" s="135"/>
      <c r="V525" s="135"/>
      <c r="W525" s="135"/>
      <c r="X525" s="135"/>
      <c r="Y525" s="135"/>
      <c r="Z525" s="135"/>
      <c r="AA525" s="135"/>
      <c r="AB525" s="135"/>
      <c r="AC525" s="135"/>
      <c r="AD525" s="135"/>
      <c r="AE525" s="135"/>
      <c r="AF525" s="135"/>
      <c r="AG525" s="135"/>
      <c r="AH525" s="135"/>
      <c r="AI525" s="135"/>
      <c r="AJ525" s="135"/>
      <c r="AK525" s="135"/>
      <c r="AL525" s="135"/>
      <c r="AM525" s="135"/>
      <c r="AN525" s="135"/>
      <c r="AO525" s="135"/>
      <c r="AP525" s="135"/>
      <c r="AQ525" s="135"/>
      <c r="AR525" s="135"/>
      <c r="AS525" s="135"/>
      <c r="AT525" s="135"/>
      <c r="AU525" s="135"/>
      <c r="AV525" s="135"/>
      <c r="AW525" s="135"/>
      <c r="AX525" s="135"/>
      <c r="AY525" s="135"/>
      <c r="AZ525" s="135"/>
      <c r="BA525" s="135"/>
      <c r="BB525" s="135"/>
      <c r="BC525" s="135"/>
      <c r="BD525" s="135"/>
      <c r="BE525" s="135"/>
      <c r="BF525" s="135"/>
      <c r="BG525" s="135"/>
      <c r="BH525" s="135"/>
      <c r="BI525" s="135"/>
      <c r="BJ525" s="135"/>
      <c r="BK525" s="135"/>
      <c r="BL525" s="135"/>
      <c r="BM525" s="135"/>
      <c r="BN525" s="135"/>
      <c r="BO525" s="135"/>
      <c r="BP525" s="135"/>
      <c r="BQ525" s="135"/>
      <c r="BR525" s="135"/>
      <c r="BS525" s="135"/>
      <c r="BT525" s="135"/>
    </row>
    <row r="526" spans="1:72" s="196" customFormat="1">
      <c r="A526" s="135"/>
      <c r="B526" s="135"/>
      <c r="C526" s="135"/>
      <c r="D526" s="135"/>
      <c r="E526" s="135"/>
      <c r="F526" s="135"/>
      <c r="G526" s="135"/>
      <c r="H526" s="135"/>
      <c r="I526" s="135"/>
      <c r="J526" s="135"/>
      <c r="K526" s="135"/>
      <c r="L526" s="135"/>
      <c r="M526" s="135"/>
      <c r="N526" s="135"/>
      <c r="O526" s="135"/>
      <c r="P526" s="135"/>
      <c r="Q526" s="135"/>
      <c r="R526" s="135"/>
      <c r="S526" s="135"/>
      <c r="T526" s="135"/>
      <c r="U526" s="135"/>
      <c r="V526" s="135"/>
      <c r="W526" s="135"/>
      <c r="X526" s="135"/>
      <c r="Y526" s="135"/>
      <c r="Z526" s="135"/>
      <c r="AA526" s="135"/>
      <c r="AB526" s="135"/>
      <c r="AC526" s="135"/>
      <c r="AD526" s="135"/>
      <c r="AE526" s="135"/>
      <c r="AF526" s="135"/>
      <c r="AG526" s="135"/>
      <c r="AH526" s="135"/>
      <c r="AI526" s="135"/>
      <c r="AJ526" s="135"/>
      <c r="AK526" s="135"/>
      <c r="AL526" s="135"/>
      <c r="AM526" s="135"/>
      <c r="AN526" s="135"/>
      <c r="AO526" s="135"/>
      <c r="AP526" s="135"/>
      <c r="AQ526" s="135"/>
      <c r="AR526" s="135"/>
      <c r="AS526" s="135"/>
      <c r="AT526" s="135"/>
      <c r="AU526" s="135"/>
      <c r="AV526" s="135"/>
      <c r="AW526" s="135"/>
      <c r="AX526" s="135"/>
      <c r="AY526" s="135"/>
      <c r="AZ526" s="135"/>
      <c r="BA526" s="135"/>
      <c r="BB526" s="135"/>
      <c r="BC526" s="135"/>
      <c r="BD526" s="135"/>
      <c r="BE526" s="135"/>
      <c r="BF526" s="135"/>
      <c r="BG526" s="135"/>
      <c r="BH526" s="135"/>
      <c r="BI526" s="135"/>
      <c r="BJ526" s="135"/>
      <c r="BK526" s="135"/>
      <c r="BL526" s="135"/>
      <c r="BM526" s="135"/>
      <c r="BN526" s="135"/>
      <c r="BO526" s="135"/>
      <c r="BP526" s="135"/>
      <c r="BQ526" s="135"/>
      <c r="BR526" s="135"/>
      <c r="BS526" s="135"/>
      <c r="BT526" s="135"/>
    </row>
    <row r="527" spans="1:72" s="196" customFormat="1">
      <c r="A527" s="135"/>
      <c r="B527" s="135"/>
      <c r="C527" s="135"/>
      <c r="D527" s="135"/>
      <c r="E527" s="135"/>
      <c r="F527" s="135"/>
      <c r="G527" s="135"/>
      <c r="H527" s="135"/>
      <c r="I527" s="135"/>
      <c r="J527" s="135"/>
      <c r="K527" s="135"/>
      <c r="L527" s="135"/>
      <c r="M527" s="135"/>
      <c r="N527" s="135"/>
      <c r="O527" s="135"/>
      <c r="P527" s="135"/>
      <c r="Q527" s="135"/>
      <c r="R527" s="135"/>
      <c r="S527" s="135"/>
      <c r="T527" s="135"/>
      <c r="U527" s="135"/>
      <c r="V527" s="135"/>
      <c r="W527" s="135"/>
      <c r="X527" s="135"/>
      <c r="Y527" s="135"/>
      <c r="Z527" s="135"/>
      <c r="AA527" s="135"/>
      <c r="AB527" s="135"/>
      <c r="AC527" s="135"/>
      <c r="AD527" s="135"/>
      <c r="AE527" s="135"/>
      <c r="AF527" s="135"/>
      <c r="AG527" s="135"/>
      <c r="AH527" s="135"/>
      <c r="AI527" s="135"/>
      <c r="AJ527" s="135"/>
      <c r="AK527" s="135"/>
      <c r="AL527" s="135"/>
      <c r="AM527" s="135"/>
      <c r="AN527" s="135"/>
      <c r="AO527" s="135"/>
      <c r="AP527" s="135"/>
      <c r="AQ527" s="135"/>
      <c r="AR527" s="135"/>
      <c r="AS527" s="135"/>
      <c r="AT527" s="135"/>
      <c r="AU527" s="135"/>
      <c r="AV527" s="135"/>
      <c r="AW527" s="135"/>
      <c r="AX527" s="135"/>
      <c r="AY527" s="135"/>
      <c r="AZ527" s="135"/>
      <c r="BA527" s="135"/>
      <c r="BB527" s="135"/>
      <c r="BC527" s="135"/>
      <c r="BD527" s="135"/>
      <c r="BE527" s="135"/>
      <c r="BF527" s="135"/>
      <c r="BG527" s="135"/>
      <c r="BH527" s="135"/>
      <c r="BI527" s="135"/>
      <c r="BJ527" s="135"/>
      <c r="BK527" s="135"/>
      <c r="BL527" s="135"/>
      <c r="BM527" s="135"/>
      <c r="BN527" s="135"/>
      <c r="BO527" s="135"/>
      <c r="BP527" s="135"/>
      <c r="BQ527" s="135"/>
      <c r="BR527" s="135"/>
      <c r="BS527" s="135"/>
      <c r="BT527" s="135"/>
    </row>
    <row r="528" spans="1:72" s="196" customFormat="1">
      <c r="A528" s="135"/>
      <c r="B528" s="135"/>
      <c r="C528" s="135"/>
      <c r="D528" s="135"/>
      <c r="E528" s="135"/>
      <c r="F528" s="135"/>
      <c r="G528" s="135"/>
      <c r="H528" s="135"/>
      <c r="I528" s="135"/>
      <c r="J528" s="135"/>
      <c r="K528" s="135"/>
      <c r="L528" s="135"/>
      <c r="M528" s="135"/>
      <c r="N528" s="135"/>
      <c r="O528" s="135"/>
      <c r="P528" s="135"/>
      <c r="Q528" s="135"/>
      <c r="R528" s="135"/>
      <c r="S528" s="135"/>
      <c r="T528" s="135"/>
      <c r="U528" s="135"/>
      <c r="V528" s="135"/>
      <c r="W528" s="135"/>
      <c r="X528" s="135"/>
      <c r="Y528" s="135"/>
      <c r="Z528" s="135"/>
      <c r="AA528" s="135"/>
      <c r="AB528" s="135"/>
      <c r="AC528" s="135"/>
      <c r="AD528" s="135"/>
      <c r="AE528" s="135"/>
      <c r="AF528" s="135"/>
      <c r="AG528" s="135"/>
      <c r="AH528" s="135"/>
      <c r="AI528" s="135"/>
      <c r="AJ528" s="135"/>
      <c r="AK528" s="135"/>
      <c r="AL528" s="135"/>
      <c r="AM528" s="135"/>
      <c r="AN528" s="135"/>
      <c r="AO528" s="135"/>
      <c r="AP528" s="135"/>
      <c r="AQ528" s="135"/>
      <c r="AR528" s="135"/>
      <c r="AS528" s="135"/>
      <c r="AT528" s="135"/>
      <c r="AU528" s="135"/>
      <c r="AV528" s="135"/>
      <c r="AW528" s="135"/>
      <c r="AX528" s="135"/>
      <c r="AY528" s="135"/>
      <c r="AZ528" s="135"/>
      <c r="BA528" s="135"/>
      <c r="BB528" s="135"/>
      <c r="BC528" s="135"/>
      <c r="BD528" s="135"/>
      <c r="BE528" s="135"/>
      <c r="BF528" s="135"/>
      <c r="BG528" s="135"/>
      <c r="BH528" s="135"/>
      <c r="BI528" s="135"/>
      <c r="BJ528" s="135"/>
      <c r="BK528" s="135"/>
      <c r="BL528" s="135"/>
      <c r="BM528" s="135"/>
      <c r="BN528" s="135"/>
      <c r="BO528" s="135"/>
      <c r="BP528" s="135"/>
      <c r="BQ528" s="135"/>
      <c r="BR528" s="135"/>
      <c r="BS528" s="135"/>
      <c r="BT528" s="135"/>
    </row>
    <row r="529" spans="1:72" s="196" customFormat="1">
      <c r="A529" s="135"/>
      <c r="B529" s="135"/>
      <c r="C529" s="135"/>
      <c r="D529" s="135"/>
      <c r="E529" s="135"/>
      <c r="F529" s="135"/>
      <c r="G529" s="135"/>
      <c r="H529" s="135"/>
      <c r="I529" s="135"/>
      <c r="J529" s="135"/>
      <c r="K529" s="135"/>
      <c r="L529" s="135"/>
      <c r="M529" s="135"/>
      <c r="N529" s="135"/>
      <c r="O529" s="135"/>
      <c r="P529" s="135"/>
      <c r="Q529" s="135"/>
      <c r="R529" s="135"/>
      <c r="S529" s="135"/>
      <c r="T529" s="135"/>
      <c r="U529" s="135"/>
      <c r="V529" s="135"/>
      <c r="W529" s="135"/>
      <c r="X529" s="135"/>
      <c r="Y529" s="135"/>
      <c r="Z529" s="135"/>
      <c r="AA529" s="135"/>
      <c r="AB529" s="135"/>
      <c r="AC529" s="135"/>
      <c r="AD529" s="135"/>
      <c r="AE529" s="135"/>
      <c r="AF529" s="135"/>
      <c r="AG529" s="135"/>
      <c r="AH529" s="135"/>
      <c r="AI529" s="135"/>
      <c r="AJ529" s="135"/>
      <c r="AK529" s="135"/>
      <c r="AL529" s="135"/>
      <c r="AM529" s="135"/>
      <c r="AN529" s="135"/>
      <c r="AO529" s="135"/>
      <c r="AP529" s="135"/>
      <c r="AQ529" s="135"/>
      <c r="AR529" s="135"/>
      <c r="AS529" s="135"/>
      <c r="AT529" s="135"/>
      <c r="AU529" s="135"/>
      <c r="AV529" s="135"/>
      <c r="AW529" s="135"/>
      <c r="AX529" s="135"/>
      <c r="AY529" s="135"/>
      <c r="AZ529" s="135"/>
      <c r="BA529" s="135"/>
      <c r="BB529" s="135"/>
      <c r="BC529" s="135"/>
      <c r="BD529" s="135"/>
      <c r="BE529" s="135"/>
      <c r="BF529" s="135"/>
      <c r="BG529" s="135"/>
      <c r="BH529" s="135"/>
      <c r="BI529" s="135"/>
      <c r="BJ529" s="135"/>
      <c r="BK529" s="135"/>
      <c r="BL529" s="135"/>
      <c r="BM529" s="135"/>
      <c r="BN529" s="135"/>
      <c r="BO529" s="135"/>
      <c r="BP529" s="135"/>
      <c r="BQ529" s="135"/>
      <c r="BR529" s="135"/>
      <c r="BS529" s="135"/>
      <c r="BT529" s="135"/>
    </row>
    <row r="530" spans="1:72" s="196" customFormat="1">
      <c r="A530" s="135"/>
      <c r="B530" s="135"/>
      <c r="C530" s="135"/>
      <c r="D530" s="135"/>
      <c r="E530" s="135"/>
      <c r="F530" s="135"/>
      <c r="G530" s="135"/>
      <c r="H530" s="135"/>
      <c r="I530" s="135"/>
      <c r="J530" s="135"/>
      <c r="K530" s="135"/>
      <c r="L530" s="135"/>
      <c r="M530" s="135"/>
      <c r="N530" s="135"/>
      <c r="O530" s="135"/>
      <c r="P530" s="135"/>
      <c r="Q530" s="135"/>
      <c r="R530" s="135"/>
      <c r="S530" s="135"/>
      <c r="T530" s="135"/>
      <c r="U530" s="135"/>
      <c r="V530" s="135"/>
      <c r="W530" s="135"/>
      <c r="X530" s="135"/>
      <c r="Y530" s="135"/>
      <c r="Z530" s="135"/>
      <c r="AA530" s="135"/>
      <c r="AB530" s="135"/>
      <c r="AC530" s="135"/>
      <c r="AD530" s="135"/>
      <c r="AE530" s="135"/>
      <c r="AF530" s="135"/>
      <c r="AG530" s="135"/>
      <c r="AH530" s="135"/>
      <c r="AI530" s="135"/>
      <c r="AJ530" s="135"/>
      <c r="AK530" s="135"/>
      <c r="AL530" s="135"/>
      <c r="AM530" s="135"/>
      <c r="AN530" s="135"/>
      <c r="AO530" s="135"/>
      <c r="AP530" s="135"/>
      <c r="AQ530" s="135"/>
      <c r="AR530" s="135"/>
      <c r="AS530" s="135"/>
      <c r="AT530" s="135"/>
      <c r="AU530" s="135"/>
      <c r="AV530" s="135"/>
      <c r="AW530" s="135"/>
      <c r="AX530" s="135"/>
      <c r="AY530" s="135"/>
      <c r="AZ530" s="135"/>
      <c r="BA530" s="135"/>
      <c r="BB530" s="135"/>
      <c r="BC530" s="135"/>
      <c r="BD530" s="135"/>
      <c r="BE530" s="135"/>
      <c r="BF530" s="135"/>
      <c r="BG530" s="135"/>
      <c r="BH530" s="135"/>
      <c r="BI530" s="135"/>
      <c r="BJ530" s="135"/>
      <c r="BK530" s="135"/>
      <c r="BL530" s="135"/>
      <c r="BM530" s="135"/>
      <c r="BN530" s="135"/>
      <c r="BO530" s="135"/>
      <c r="BP530" s="135"/>
      <c r="BQ530" s="135"/>
      <c r="BR530" s="135"/>
      <c r="BS530" s="135"/>
      <c r="BT530" s="135"/>
    </row>
    <row r="531" spans="1:72" s="196" customFormat="1">
      <c r="A531" s="135"/>
      <c r="B531" s="135"/>
      <c r="C531" s="135"/>
      <c r="D531" s="135"/>
      <c r="E531" s="135"/>
      <c r="F531" s="135"/>
      <c r="G531" s="135"/>
      <c r="H531" s="135"/>
      <c r="I531" s="135"/>
      <c r="J531" s="135"/>
      <c r="K531" s="135"/>
      <c r="L531" s="135"/>
      <c r="M531" s="135"/>
      <c r="N531" s="135"/>
      <c r="O531" s="135"/>
      <c r="P531" s="135"/>
      <c r="Q531" s="135"/>
      <c r="R531" s="135"/>
      <c r="S531" s="135"/>
      <c r="T531" s="135"/>
      <c r="U531" s="135"/>
      <c r="V531" s="135"/>
      <c r="W531" s="135"/>
      <c r="X531" s="135"/>
      <c r="Y531" s="135"/>
      <c r="Z531" s="135"/>
      <c r="AA531" s="135"/>
      <c r="AB531" s="135"/>
      <c r="AC531" s="135"/>
      <c r="AD531" s="135"/>
      <c r="AE531" s="135"/>
      <c r="AF531" s="135"/>
      <c r="AG531" s="135"/>
      <c r="AH531" s="135"/>
      <c r="AI531" s="135"/>
      <c r="AJ531" s="135"/>
      <c r="AK531" s="135"/>
      <c r="AL531" s="135"/>
      <c r="AM531" s="135"/>
      <c r="AN531" s="135"/>
      <c r="AO531" s="135"/>
      <c r="AP531" s="135"/>
      <c r="AQ531" s="135"/>
      <c r="AR531" s="135"/>
      <c r="AS531" s="135"/>
      <c r="AT531" s="135"/>
      <c r="AU531" s="135"/>
      <c r="AV531" s="135"/>
      <c r="AW531" s="135"/>
      <c r="AX531" s="135"/>
      <c r="AY531" s="135"/>
      <c r="AZ531" s="135"/>
      <c r="BA531" s="135"/>
      <c r="BB531" s="135"/>
      <c r="BC531" s="135"/>
      <c r="BD531" s="135"/>
      <c r="BE531" s="135"/>
      <c r="BF531" s="135"/>
      <c r="BG531" s="135"/>
      <c r="BH531" s="135"/>
      <c r="BI531" s="135"/>
      <c r="BJ531" s="135"/>
      <c r="BK531" s="135"/>
      <c r="BL531" s="135"/>
      <c r="BM531" s="135"/>
      <c r="BN531" s="135"/>
      <c r="BO531" s="135"/>
      <c r="BP531" s="135"/>
      <c r="BQ531" s="135"/>
      <c r="BR531" s="135"/>
      <c r="BS531" s="135"/>
      <c r="BT531" s="135"/>
    </row>
    <row r="532" spans="1:72" s="196" customFormat="1">
      <c r="A532" s="135"/>
      <c r="B532" s="135"/>
      <c r="C532" s="135"/>
      <c r="D532" s="135"/>
      <c r="E532" s="135"/>
      <c r="F532" s="135"/>
      <c r="G532" s="135"/>
      <c r="H532" s="135"/>
      <c r="I532" s="135"/>
      <c r="J532" s="135"/>
      <c r="K532" s="135"/>
      <c r="L532" s="135"/>
      <c r="M532" s="135"/>
      <c r="N532" s="135"/>
      <c r="O532" s="135"/>
      <c r="P532" s="135"/>
      <c r="Q532" s="135"/>
      <c r="R532" s="135"/>
      <c r="S532" s="135"/>
      <c r="T532" s="135"/>
      <c r="U532" s="135"/>
      <c r="V532" s="135"/>
      <c r="W532" s="135"/>
      <c r="X532" s="135"/>
      <c r="Y532" s="135"/>
      <c r="Z532" s="135"/>
      <c r="AA532" s="135"/>
      <c r="AB532" s="135"/>
      <c r="AC532" s="135"/>
      <c r="AD532" s="135"/>
      <c r="AE532" s="135"/>
      <c r="AF532" s="135"/>
      <c r="AG532" s="135"/>
      <c r="AH532" s="135"/>
      <c r="AI532" s="135"/>
      <c r="AJ532" s="135"/>
      <c r="AK532" s="135"/>
      <c r="AL532" s="135"/>
      <c r="AM532" s="135"/>
      <c r="AN532" s="135"/>
      <c r="AO532" s="135"/>
      <c r="AP532" s="135"/>
      <c r="AQ532" s="135"/>
      <c r="AR532" s="135"/>
      <c r="AS532" s="135"/>
      <c r="AT532" s="135"/>
      <c r="AU532" s="135"/>
      <c r="AV532" s="135"/>
      <c r="AW532" s="135"/>
      <c r="AX532" s="135"/>
      <c r="AY532" s="135"/>
      <c r="AZ532" s="135"/>
      <c r="BA532" s="135"/>
      <c r="BB532" s="135"/>
      <c r="BC532" s="135"/>
      <c r="BD532" s="135"/>
      <c r="BE532" s="135"/>
      <c r="BF532" s="135"/>
      <c r="BG532" s="135"/>
      <c r="BH532" s="135"/>
      <c r="BI532" s="135"/>
      <c r="BJ532" s="135"/>
      <c r="BK532" s="135"/>
      <c r="BL532" s="135"/>
      <c r="BM532" s="135"/>
      <c r="BN532" s="135"/>
      <c r="BO532" s="135"/>
      <c r="BP532" s="135"/>
      <c r="BQ532" s="135"/>
      <c r="BR532" s="135"/>
      <c r="BS532" s="135"/>
      <c r="BT532" s="135"/>
    </row>
    <row r="533" spans="1:72" s="196" customFormat="1">
      <c r="A533" s="135"/>
      <c r="B533" s="135"/>
      <c r="C533" s="135"/>
      <c r="D533" s="135"/>
      <c r="E533" s="135"/>
      <c r="F533" s="135"/>
      <c r="G533" s="135"/>
      <c r="H533" s="135"/>
      <c r="I533" s="135"/>
      <c r="J533" s="135"/>
      <c r="K533" s="135"/>
      <c r="L533" s="135"/>
      <c r="M533" s="135"/>
      <c r="N533" s="135"/>
      <c r="O533" s="135"/>
      <c r="P533" s="135"/>
      <c r="Q533" s="135"/>
      <c r="R533" s="135"/>
      <c r="S533" s="135"/>
      <c r="T533" s="135"/>
      <c r="U533" s="135"/>
      <c r="V533" s="135"/>
      <c r="W533" s="135"/>
      <c r="X533" s="135"/>
      <c r="Y533" s="135"/>
      <c r="Z533" s="135"/>
      <c r="AA533" s="135"/>
      <c r="AB533" s="135"/>
      <c r="AC533" s="135"/>
      <c r="AD533" s="135"/>
      <c r="AE533" s="135"/>
      <c r="AF533" s="135"/>
      <c r="AG533" s="135"/>
      <c r="AH533" s="135"/>
      <c r="AI533" s="135"/>
      <c r="AJ533" s="135"/>
      <c r="AK533" s="135"/>
      <c r="AL533" s="135"/>
      <c r="AM533" s="135"/>
      <c r="AN533" s="135"/>
      <c r="AO533" s="135"/>
      <c r="AP533" s="135"/>
      <c r="AQ533" s="135"/>
      <c r="AR533" s="135"/>
      <c r="AS533" s="135"/>
      <c r="AT533" s="135"/>
      <c r="AU533" s="135"/>
      <c r="AV533" s="135"/>
      <c r="AW533" s="135"/>
      <c r="AX533" s="135"/>
      <c r="AY533" s="135"/>
      <c r="AZ533" s="135"/>
      <c r="BA533" s="135"/>
      <c r="BB533" s="135"/>
      <c r="BC533" s="135"/>
      <c r="BD533" s="135"/>
      <c r="BE533" s="135"/>
      <c r="BF533" s="135"/>
      <c r="BG533" s="135"/>
      <c r="BH533" s="135"/>
      <c r="BI533" s="135"/>
      <c r="BJ533" s="135"/>
      <c r="BK533" s="135"/>
      <c r="BL533" s="135"/>
      <c r="BM533" s="135"/>
      <c r="BN533" s="135"/>
      <c r="BO533" s="135"/>
      <c r="BP533" s="135"/>
      <c r="BQ533" s="135"/>
      <c r="BR533" s="135"/>
      <c r="BS533" s="135"/>
      <c r="BT533" s="135"/>
    </row>
    <row r="534" spans="1:72" s="196" customFormat="1">
      <c r="A534" s="135"/>
      <c r="B534" s="135"/>
      <c r="C534" s="135"/>
      <c r="D534" s="135"/>
      <c r="E534" s="135"/>
      <c r="F534" s="135"/>
      <c r="G534" s="135"/>
      <c r="H534" s="135"/>
      <c r="I534" s="135"/>
      <c r="J534" s="135"/>
      <c r="K534" s="135"/>
      <c r="L534" s="135"/>
      <c r="M534" s="135"/>
      <c r="N534" s="135"/>
      <c r="O534" s="135"/>
      <c r="P534" s="135"/>
      <c r="Q534" s="135"/>
      <c r="R534" s="135"/>
      <c r="S534" s="135"/>
      <c r="T534" s="135"/>
      <c r="U534" s="135"/>
      <c r="V534" s="135"/>
      <c r="W534" s="135"/>
      <c r="X534" s="135"/>
      <c r="Y534" s="135"/>
      <c r="Z534" s="135"/>
      <c r="AA534" s="135"/>
      <c r="AB534" s="135"/>
      <c r="AC534" s="135"/>
      <c r="AD534" s="135"/>
      <c r="AE534" s="135"/>
      <c r="AF534" s="135"/>
      <c r="AG534" s="135"/>
      <c r="AH534" s="135"/>
      <c r="AI534" s="135"/>
      <c r="AJ534" s="135"/>
      <c r="AK534" s="135"/>
      <c r="AL534" s="135"/>
      <c r="AM534" s="135"/>
      <c r="AN534" s="135"/>
      <c r="AO534" s="135"/>
      <c r="AP534" s="135"/>
      <c r="AQ534" s="135"/>
      <c r="AR534" s="135"/>
      <c r="AS534" s="135"/>
      <c r="AT534" s="135"/>
      <c r="AU534" s="135"/>
      <c r="AV534" s="135"/>
      <c r="AW534" s="135"/>
      <c r="AX534" s="135"/>
      <c r="AY534" s="135"/>
      <c r="AZ534" s="135"/>
      <c r="BA534" s="135"/>
      <c r="BB534" s="135"/>
      <c r="BC534" s="135"/>
      <c r="BD534" s="135"/>
      <c r="BE534" s="135"/>
      <c r="BF534" s="135"/>
      <c r="BG534" s="135"/>
      <c r="BH534" s="135"/>
      <c r="BI534" s="135"/>
      <c r="BJ534" s="135"/>
      <c r="BK534" s="135"/>
      <c r="BL534" s="135"/>
      <c r="BM534" s="135"/>
      <c r="BN534" s="135"/>
      <c r="BO534" s="135"/>
      <c r="BP534" s="135"/>
      <c r="BQ534" s="135"/>
      <c r="BR534" s="135"/>
      <c r="BS534" s="135"/>
      <c r="BT534" s="135"/>
    </row>
    <row r="535" spans="1:72" s="196" customFormat="1">
      <c r="A535" s="135"/>
      <c r="B535" s="135"/>
      <c r="C535" s="135"/>
      <c r="D535" s="135"/>
      <c r="E535" s="135"/>
      <c r="F535" s="135"/>
      <c r="G535" s="135"/>
      <c r="H535" s="135"/>
      <c r="I535" s="135"/>
      <c r="J535" s="135"/>
      <c r="K535" s="135"/>
      <c r="L535" s="135"/>
      <c r="M535" s="135"/>
      <c r="N535" s="135"/>
      <c r="O535" s="135"/>
      <c r="P535" s="135"/>
      <c r="Q535" s="135"/>
      <c r="R535" s="135"/>
      <c r="S535" s="135"/>
      <c r="T535" s="135"/>
      <c r="U535" s="135"/>
      <c r="V535" s="135"/>
      <c r="W535" s="135"/>
      <c r="X535" s="135"/>
      <c r="Y535" s="135"/>
      <c r="Z535" s="135"/>
      <c r="AA535" s="135"/>
      <c r="AB535" s="135"/>
      <c r="AC535" s="135"/>
      <c r="AD535" s="135"/>
      <c r="AE535" s="135"/>
      <c r="AF535" s="135"/>
      <c r="AG535" s="135"/>
      <c r="AH535" s="135"/>
      <c r="AI535" s="135"/>
      <c r="AJ535" s="135"/>
      <c r="AK535" s="135"/>
      <c r="AL535" s="135"/>
      <c r="AM535" s="135"/>
      <c r="AN535" s="135"/>
      <c r="AO535" s="135"/>
      <c r="AP535" s="135"/>
      <c r="AQ535" s="135"/>
      <c r="AR535" s="135"/>
      <c r="AS535" s="135"/>
      <c r="AT535" s="135"/>
      <c r="AU535" s="135"/>
      <c r="AV535" s="135"/>
      <c r="AW535" s="135"/>
      <c r="AX535" s="135"/>
      <c r="AY535" s="135"/>
      <c r="AZ535" s="135"/>
      <c r="BA535" s="135"/>
      <c r="BB535" s="135"/>
      <c r="BC535" s="135"/>
      <c r="BD535" s="135"/>
      <c r="BE535" s="135"/>
      <c r="BF535" s="135"/>
      <c r="BG535" s="135"/>
      <c r="BH535" s="135"/>
      <c r="BI535" s="135"/>
      <c r="BJ535" s="135"/>
      <c r="BK535" s="135"/>
      <c r="BL535" s="135"/>
      <c r="BM535" s="135"/>
      <c r="BN535" s="135"/>
      <c r="BO535" s="135"/>
      <c r="BP535" s="135"/>
      <c r="BQ535" s="135"/>
      <c r="BR535" s="135"/>
      <c r="BS535" s="135"/>
      <c r="BT535" s="135"/>
    </row>
    <row r="536" spans="1:72" s="196" customFormat="1">
      <c r="A536" s="135"/>
      <c r="B536" s="135"/>
      <c r="C536" s="135"/>
      <c r="D536" s="135"/>
      <c r="E536" s="135"/>
      <c r="F536" s="135"/>
      <c r="G536" s="135"/>
      <c r="H536" s="135"/>
      <c r="I536" s="135"/>
      <c r="J536" s="135"/>
      <c r="K536" s="135"/>
      <c r="L536" s="135"/>
      <c r="M536" s="135"/>
      <c r="N536" s="135"/>
      <c r="O536" s="135"/>
      <c r="P536" s="135"/>
      <c r="Q536" s="135"/>
      <c r="R536" s="135"/>
      <c r="S536" s="135"/>
      <c r="T536" s="135"/>
      <c r="U536" s="135"/>
      <c r="V536" s="135"/>
      <c r="W536" s="135"/>
      <c r="X536" s="135"/>
      <c r="Y536" s="135"/>
      <c r="Z536" s="135"/>
      <c r="AA536" s="135"/>
      <c r="AB536" s="135"/>
      <c r="AC536" s="135"/>
      <c r="AD536" s="135"/>
      <c r="AE536" s="135"/>
      <c r="AF536" s="135"/>
      <c r="AG536" s="135"/>
      <c r="AH536" s="135"/>
      <c r="AI536" s="135"/>
      <c r="AJ536" s="135"/>
      <c r="AK536" s="135"/>
      <c r="AL536" s="135"/>
      <c r="AM536" s="135"/>
      <c r="AN536" s="135"/>
      <c r="AO536" s="135"/>
      <c r="AP536" s="135"/>
      <c r="AQ536" s="135"/>
      <c r="AR536" s="135"/>
      <c r="AS536" s="135"/>
      <c r="AT536" s="135"/>
      <c r="AU536" s="135"/>
      <c r="AV536" s="135"/>
      <c r="AW536" s="135"/>
      <c r="AX536" s="135"/>
      <c r="AY536" s="135"/>
      <c r="AZ536" s="135"/>
      <c r="BA536" s="135"/>
      <c r="BB536" s="135"/>
      <c r="BC536" s="135"/>
      <c r="BD536" s="135"/>
      <c r="BE536" s="135"/>
      <c r="BF536" s="135"/>
      <c r="BG536" s="135"/>
      <c r="BH536" s="135"/>
      <c r="BI536" s="135"/>
      <c r="BJ536" s="135"/>
      <c r="BK536" s="135"/>
      <c r="BL536" s="135"/>
      <c r="BM536" s="135"/>
      <c r="BN536" s="135"/>
      <c r="BO536" s="135"/>
      <c r="BP536" s="135"/>
      <c r="BQ536" s="135"/>
      <c r="BR536" s="135"/>
      <c r="BS536" s="135"/>
      <c r="BT536" s="135"/>
    </row>
    <row r="537" spans="1:72" s="196" customFormat="1">
      <c r="A537" s="135"/>
      <c r="B537" s="135"/>
      <c r="C537" s="135"/>
      <c r="D537" s="135"/>
      <c r="E537" s="135"/>
      <c r="F537" s="135"/>
      <c r="G537" s="135"/>
      <c r="H537" s="135"/>
      <c r="I537" s="135"/>
      <c r="J537" s="135"/>
      <c r="K537" s="135"/>
      <c r="L537" s="135"/>
      <c r="M537" s="135"/>
      <c r="N537" s="135"/>
      <c r="O537" s="135"/>
      <c r="P537" s="135"/>
      <c r="Q537" s="135"/>
      <c r="R537" s="135"/>
      <c r="S537" s="135"/>
      <c r="T537" s="135"/>
      <c r="U537" s="135"/>
      <c r="V537" s="135"/>
      <c r="W537" s="135"/>
      <c r="X537" s="135"/>
      <c r="Y537" s="135"/>
      <c r="Z537" s="135"/>
      <c r="AA537" s="135"/>
      <c r="AB537" s="135"/>
      <c r="AC537" s="135"/>
      <c r="AD537" s="135"/>
      <c r="AE537" s="135"/>
      <c r="AF537" s="135"/>
      <c r="AG537" s="135"/>
      <c r="AH537" s="135"/>
      <c r="AI537" s="135"/>
      <c r="AJ537" s="135"/>
      <c r="AK537" s="135"/>
      <c r="AL537" s="135"/>
      <c r="AM537" s="135"/>
      <c r="AN537" s="135"/>
      <c r="AO537" s="135"/>
      <c r="AP537" s="135"/>
      <c r="AQ537" s="135"/>
      <c r="AR537" s="135"/>
      <c r="AS537" s="135"/>
      <c r="AT537" s="135"/>
      <c r="AU537" s="135"/>
      <c r="AV537" s="135"/>
      <c r="AW537" s="135"/>
      <c r="AX537" s="135"/>
      <c r="AY537" s="135"/>
      <c r="AZ537" s="135"/>
      <c r="BA537" s="135"/>
      <c r="BB537" s="135"/>
      <c r="BC537" s="135"/>
      <c r="BD537" s="135"/>
      <c r="BE537" s="135"/>
      <c r="BF537" s="135"/>
      <c r="BG537" s="135"/>
      <c r="BH537" s="135"/>
      <c r="BI537" s="135"/>
      <c r="BJ537" s="135"/>
      <c r="BK537" s="135"/>
      <c r="BL537" s="135"/>
      <c r="BM537" s="135"/>
      <c r="BN537" s="135"/>
      <c r="BO537" s="135"/>
      <c r="BP537" s="135"/>
      <c r="BQ537" s="135"/>
      <c r="BR537" s="135"/>
      <c r="BS537" s="135"/>
      <c r="BT537" s="135"/>
    </row>
    <row r="538" spans="1:72" s="196" customFormat="1">
      <c r="A538" s="135"/>
      <c r="B538" s="135"/>
      <c r="C538" s="135"/>
      <c r="D538" s="135"/>
      <c r="E538" s="135"/>
      <c r="F538" s="135"/>
      <c r="G538" s="135"/>
      <c r="H538" s="135"/>
      <c r="I538" s="135"/>
      <c r="J538" s="135"/>
      <c r="K538" s="135"/>
      <c r="L538" s="135"/>
      <c r="M538" s="135"/>
      <c r="N538" s="135"/>
      <c r="O538" s="135"/>
      <c r="P538" s="135"/>
      <c r="Q538" s="135"/>
      <c r="R538" s="135"/>
      <c r="S538" s="135"/>
      <c r="T538" s="135"/>
      <c r="U538" s="135"/>
      <c r="V538" s="135"/>
      <c r="W538" s="135"/>
      <c r="X538" s="135"/>
      <c r="Y538" s="135"/>
      <c r="Z538" s="135"/>
      <c r="AA538" s="135"/>
      <c r="AB538" s="135"/>
      <c r="AC538" s="135"/>
      <c r="AD538" s="135"/>
      <c r="AE538" s="135"/>
      <c r="AF538" s="135"/>
      <c r="AG538" s="135"/>
      <c r="AH538" s="135"/>
      <c r="AI538" s="135"/>
      <c r="AJ538" s="135"/>
      <c r="AK538" s="135"/>
      <c r="AL538" s="135"/>
      <c r="AM538" s="135"/>
      <c r="AN538" s="135"/>
      <c r="AO538" s="135"/>
      <c r="AP538" s="135"/>
      <c r="AQ538" s="135"/>
      <c r="AR538" s="135"/>
      <c r="AS538" s="135"/>
      <c r="AT538" s="135"/>
      <c r="AU538" s="135"/>
      <c r="AV538" s="135"/>
      <c r="AW538" s="135"/>
      <c r="AX538" s="135"/>
      <c r="AY538" s="135"/>
      <c r="AZ538" s="135"/>
      <c r="BA538" s="135"/>
      <c r="BB538" s="135"/>
      <c r="BC538" s="135"/>
      <c r="BD538" s="135"/>
      <c r="BE538" s="135"/>
      <c r="BF538" s="135"/>
      <c r="BG538" s="135"/>
      <c r="BH538" s="135"/>
      <c r="BI538" s="135"/>
      <c r="BJ538" s="135"/>
      <c r="BK538" s="135"/>
      <c r="BL538" s="135"/>
      <c r="BM538" s="135"/>
      <c r="BN538" s="135"/>
      <c r="BO538" s="135"/>
      <c r="BP538" s="135"/>
      <c r="BQ538" s="135"/>
      <c r="BR538" s="135"/>
      <c r="BS538" s="135"/>
      <c r="BT538" s="135"/>
    </row>
    <row r="539" spans="1:72" s="196" customFormat="1">
      <c r="A539" s="135"/>
      <c r="B539" s="135"/>
      <c r="C539" s="135"/>
      <c r="D539" s="135"/>
      <c r="E539" s="135"/>
      <c r="F539" s="135"/>
      <c r="G539" s="135"/>
      <c r="H539" s="135"/>
      <c r="I539" s="135"/>
      <c r="J539" s="135"/>
      <c r="K539" s="135"/>
      <c r="L539" s="135"/>
      <c r="M539" s="135"/>
      <c r="N539" s="135"/>
      <c r="O539" s="135"/>
      <c r="P539" s="135"/>
      <c r="Q539" s="135"/>
      <c r="R539" s="135"/>
      <c r="S539" s="135"/>
      <c r="T539" s="135"/>
      <c r="U539" s="135"/>
      <c r="V539" s="135"/>
      <c r="W539" s="135"/>
      <c r="X539" s="135"/>
      <c r="Y539" s="135"/>
      <c r="Z539" s="135"/>
      <c r="AA539" s="135"/>
      <c r="AB539" s="135"/>
      <c r="AC539" s="135"/>
      <c r="AD539" s="135"/>
      <c r="AE539" s="135"/>
      <c r="AF539" s="135"/>
      <c r="AG539" s="135"/>
      <c r="AH539" s="135"/>
      <c r="AI539" s="135"/>
      <c r="AJ539" s="135"/>
      <c r="AK539" s="135"/>
      <c r="AL539" s="135"/>
      <c r="AM539" s="135"/>
      <c r="AN539" s="135"/>
      <c r="AO539" s="135"/>
      <c r="AP539" s="135"/>
      <c r="AQ539" s="135"/>
      <c r="AR539" s="135"/>
      <c r="AS539" s="135"/>
      <c r="AT539" s="135"/>
      <c r="AU539" s="135"/>
      <c r="AV539" s="135"/>
      <c r="AW539" s="135"/>
      <c r="AX539" s="135"/>
      <c r="AY539" s="135"/>
      <c r="AZ539" s="135"/>
      <c r="BA539" s="135"/>
      <c r="BB539" s="135"/>
      <c r="BC539" s="135"/>
      <c r="BD539" s="135"/>
      <c r="BE539" s="135"/>
      <c r="BF539" s="135"/>
      <c r="BG539" s="135"/>
      <c r="BH539" s="135"/>
      <c r="BI539" s="135"/>
      <c r="BJ539" s="135"/>
      <c r="BK539" s="135"/>
      <c r="BL539" s="135"/>
      <c r="BM539" s="135"/>
      <c r="BN539" s="135"/>
      <c r="BO539" s="135"/>
      <c r="BP539" s="135"/>
      <c r="BQ539" s="135"/>
      <c r="BR539" s="135"/>
      <c r="BS539" s="135"/>
      <c r="BT539" s="135"/>
    </row>
    <row r="540" spans="1:72" s="196" customFormat="1">
      <c r="A540" s="135"/>
      <c r="B540" s="135"/>
      <c r="C540" s="135"/>
      <c r="D540" s="135"/>
      <c r="E540" s="135"/>
      <c r="F540" s="135"/>
      <c r="G540" s="135"/>
      <c r="H540" s="135"/>
      <c r="I540" s="135"/>
      <c r="J540" s="135"/>
      <c r="K540" s="135"/>
      <c r="L540" s="135"/>
      <c r="M540" s="135"/>
      <c r="N540" s="135"/>
      <c r="O540" s="135"/>
      <c r="P540" s="135"/>
      <c r="Q540" s="135"/>
      <c r="R540" s="135"/>
      <c r="S540" s="135"/>
      <c r="T540" s="135"/>
      <c r="U540" s="135"/>
      <c r="V540" s="135"/>
      <c r="W540" s="135"/>
      <c r="X540" s="135"/>
      <c r="Y540" s="135"/>
      <c r="Z540" s="135"/>
      <c r="AA540" s="135"/>
      <c r="AB540" s="135"/>
      <c r="AC540" s="135"/>
      <c r="AD540" s="135"/>
      <c r="AE540" s="135"/>
      <c r="AF540" s="135"/>
      <c r="AG540" s="135"/>
      <c r="AH540" s="135"/>
      <c r="AI540" s="135"/>
      <c r="AJ540" s="135"/>
      <c r="AK540" s="135"/>
      <c r="AL540" s="135"/>
      <c r="AM540" s="135"/>
      <c r="AN540" s="135"/>
      <c r="AO540" s="135"/>
      <c r="AP540" s="135"/>
      <c r="AQ540" s="135"/>
      <c r="AR540" s="135"/>
      <c r="AS540" s="135"/>
      <c r="AT540" s="135"/>
      <c r="AU540" s="135"/>
      <c r="AV540" s="135"/>
      <c r="AW540" s="135"/>
      <c r="AX540" s="135"/>
      <c r="AY540" s="135"/>
      <c r="AZ540" s="135"/>
      <c r="BA540" s="135"/>
      <c r="BB540" s="135"/>
      <c r="BC540" s="135"/>
      <c r="BD540" s="135"/>
      <c r="BE540" s="135"/>
      <c r="BF540" s="135"/>
      <c r="BG540" s="135"/>
      <c r="BH540" s="135"/>
      <c r="BI540" s="135"/>
      <c r="BJ540" s="135"/>
      <c r="BK540" s="135"/>
      <c r="BL540" s="135"/>
      <c r="BM540" s="135"/>
      <c r="BN540" s="135"/>
      <c r="BO540" s="135"/>
      <c r="BP540" s="135"/>
      <c r="BQ540" s="135"/>
      <c r="BR540" s="135"/>
      <c r="BS540" s="135"/>
      <c r="BT540" s="135"/>
    </row>
    <row r="541" spans="1:72" s="196" customFormat="1">
      <c r="A541" s="135"/>
      <c r="B541" s="135"/>
      <c r="C541" s="135"/>
      <c r="D541" s="135"/>
      <c r="E541" s="135"/>
      <c r="F541" s="135"/>
      <c r="G541" s="135"/>
      <c r="H541" s="135"/>
      <c r="I541" s="135"/>
      <c r="J541" s="135"/>
      <c r="K541" s="135"/>
      <c r="L541" s="135"/>
      <c r="M541" s="135"/>
      <c r="N541" s="135"/>
      <c r="O541" s="135"/>
      <c r="P541" s="135"/>
      <c r="Q541" s="135"/>
      <c r="R541" s="135"/>
      <c r="S541" s="135"/>
      <c r="T541" s="135"/>
      <c r="U541" s="135"/>
      <c r="V541" s="135"/>
      <c r="W541" s="135"/>
      <c r="X541" s="135"/>
      <c r="Y541" s="135"/>
      <c r="Z541" s="135"/>
      <c r="AA541" s="135"/>
      <c r="AB541" s="135"/>
      <c r="AC541" s="135"/>
      <c r="AD541" s="135"/>
      <c r="AE541" s="135"/>
      <c r="AF541" s="135"/>
      <c r="AG541" s="135"/>
      <c r="AH541" s="135"/>
      <c r="AI541" s="135"/>
      <c r="AJ541" s="135"/>
      <c r="AK541" s="135"/>
      <c r="AL541" s="135"/>
      <c r="AM541" s="135"/>
      <c r="AN541" s="135"/>
      <c r="AO541" s="135"/>
      <c r="AP541" s="135"/>
      <c r="AQ541" s="135"/>
      <c r="AR541" s="135"/>
      <c r="AS541" s="135"/>
      <c r="AT541" s="135"/>
      <c r="AU541" s="135"/>
      <c r="AV541" s="135"/>
      <c r="AW541" s="135"/>
      <c r="AX541" s="135"/>
      <c r="AY541" s="135"/>
      <c r="AZ541" s="135"/>
      <c r="BA541" s="135"/>
      <c r="BB541" s="135"/>
      <c r="BC541" s="135"/>
      <c r="BD541" s="135"/>
      <c r="BE541" s="135"/>
      <c r="BF541" s="135"/>
      <c r="BG541" s="135"/>
      <c r="BH541" s="135"/>
      <c r="BI541" s="135"/>
      <c r="BJ541" s="135"/>
      <c r="BK541" s="135"/>
      <c r="BL541" s="135"/>
      <c r="BM541" s="135"/>
      <c r="BN541" s="135"/>
      <c r="BO541" s="135"/>
      <c r="BP541" s="135"/>
      <c r="BQ541" s="135"/>
      <c r="BR541" s="135"/>
      <c r="BS541" s="135"/>
      <c r="BT541" s="135"/>
    </row>
    <row r="542" spans="1:72" s="196" customFormat="1">
      <c r="A542" s="135"/>
      <c r="B542" s="135"/>
      <c r="C542" s="135"/>
      <c r="D542" s="135"/>
      <c r="E542" s="135"/>
      <c r="F542" s="135"/>
      <c r="G542" s="135"/>
      <c r="H542" s="135"/>
      <c r="I542" s="135"/>
      <c r="J542" s="135"/>
      <c r="K542" s="135"/>
      <c r="L542" s="135"/>
      <c r="M542" s="135"/>
      <c r="N542" s="135"/>
      <c r="O542" s="135"/>
      <c r="P542" s="135"/>
      <c r="Q542" s="135"/>
      <c r="R542" s="135"/>
      <c r="S542" s="135"/>
      <c r="T542" s="135"/>
      <c r="U542" s="135"/>
      <c r="V542" s="135"/>
      <c r="W542" s="135"/>
      <c r="X542" s="135"/>
      <c r="Y542" s="135"/>
      <c r="Z542" s="135"/>
      <c r="AA542" s="135"/>
      <c r="AB542" s="135"/>
      <c r="AC542" s="135"/>
      <c r="AD542" s="135"/>
      <c r="AE542" s="135"/>
      <c r="AF542" s="135"/>
      <c r="AG542" s="135"/>
      <c r="AH542" s="135"/>
      <c r="AI542" s="135"/>
      <c r="AJ542" s="135"/>
      <c r="AK542" s="135"/>
      <c r="AL542" s="135"/>
      <c r="AM542" s="135"/>
      <c r="AN542" s="135"/>
      <c r="AO542" s="135"/>
      <c r="AP542" s="135"/>
      <c r="AQ542" s="135"/>
      <c r="AR542" s="135"/>
      <c r="AS542" s="135"/>
      <c r="AT542" s="135"/>
      <c r="AU542" s="135"/>
      <c r="AV542" s="135"/>
      <c r="AW542" s="135"/>
      <c r="AX542" s="135"/>
      <c r="AY542" s="135"/>
      <c r="AZ542" s="135"/>
      <c r="BA542" s="135"/>
      <c r="BB542" s="135"/>
      <c r="BC542" s="135"/>
      <c r="BD542" s="135"/>
      <c r="BE542" s="135"/>
      <c r="BF542" s="135"/>
      <c r="BG542" s="135"/>
      <c r="BH542" s="135"/>
      <c r="BI542" s="135"/>
      <c r="BJ542" s="135"/>
      <c r="BK542" s="135"/>
      <c r="BL542" s="135"/>
      <c r="BM542" s="135"/>
      <c r="BN542" s="135"/>
      <c r="BO542" s="135"/>
      <c r="BP542" s="135"/>
      <c r="BQ542" s="135"/>
      <c r="BR542" s="135"/>
      <c r="BS542" s="135"/>
      <c r="BT542" s="135"/>
    </row>
    <row r="543" spans="1:72" s="196" customFormat="1">
      <c r="A543" s="135"/>
      <c r="B543" s="135"/>
      <c r="C543" s="135"/>
      <c r="D543" s="135"/>
      <c r="E543" s="135"/>
      <c r="F543" s="135"/>
      <c r="G543" s="135"/>
      <c r="H543" s="135"/>
      <c r="I543" s="135"/>
      <c r="J543" s="135"/>
      <c r="K543" s="135"/>
      <c r="L543" s="135"/>
      <c r="M543" s="135"/>
      <c r="N543" s="135"/>
      <c r="O543" s="135"/>
      <c r="P543" s="135"/>
      <c r="Q543" s="135"/>
      <c r="R543" s="135"/>
      <c r="S543" s="135"/>
      <c r="T543" s="135"/>
      <c r="U543" s="135"/>
      <c r="V543" s="135"/>
      <c r="W543" s="135"/>
      <c r="X543" s="135"/>
      <c r="Y543" s="135"/>
      <c r="Z543" s="135"/>
      <c r="AA543" s="135"/>
      <c r="AB543" s="135"/>
      <c r="AC543" s="135"/>
      <c r="AD543" s="135"/>
      <c r="AE543" s="135"/>
      <c r="AF543" s="135"/>
      <c r="AG543" s="135"/>
      <c r="AH543" s="135"/>
      <c r="AI543" s="135"/>
      <c r="AJ543" s="135"/>
      <c r="AK543" s="135"/>
      <c r="AL543" s="135"/>
      <c r="AM543" s="135"/>
      <c r="AN543" s="135"/>
      <c r="AO543" s="135"/>
      <c r="AP543" s="135"/>
      <c r="AQ543" s="135"/>
      <c r="AR543" s="135"/>
      <c r="AS543" s="135"/>
      <c r="AT543" s="135"/>
      <c r="AU543" s="135"/>
      <c r="AV543" s="135"/>
      <c r="AW543" s="135"/>
      <c r="AX543" s="135"/>
      <c r="AY543" s="135"/>
      <c r="AZ543" s="135"/>
      <c r="BA543" s="135"/>
      <c r="BB543" s="135"/>
      <c r="BC543" s="135"/>
      <c r="BD543" s="135"/>
      <c r="BE543" s="135"/>
      <c r="BF543" s="135"/>
      <c r="BG543" s="135"/>
      <c r="BH543" s="135"/>
      <c r="BI543" s="135"/>
      <c r="BJ543" s="135"/>
      <c r="BK543" s="135"/>
      <c r="BL543" s="135"/>
      <c r="BM543" s="135"/>
      <c r="BN543" s="135"/>
      <c r="BO543" s="135"/>
      <c r="BP543" s="135"/>
      <c r="BQ543" s="135"/>
      <c r="BR543" s="135"/>
      <c r="BS543" s="135"/>
      <c r="BT543" s="135"/>
    </row>
    <row r="544" spans="1:72" s="196" customFormat="1">
      <c r="A544" s="135"/>
      <c r="B544" s="135"/>
      <c r="C544" s="135"/>
      <c r="D544" s="135"/>
      <c r="E544" s="135"/>
      <c r="F544" s="135"/>
      <c r="G544" s="135"/>
      <c r="H544" s="135"/>
      <c r="I544" s="135"/>
      <c r="J544" s="135"/>
      <c r="K544" s="135"/>
      <c r="L544" s="135"/>
      <c r="M544" s="135"/>
      <c r="N544" s="135"/>
      <c r="O544" s="135"/>
      <c r="P544" s="135"/>
      <c r="Q544" s="135"/>
      <c r="R544" s="135"/>
      <c r="S544" s="135"/>
      <c r="T544" s="135"/>
      <c r="U544" s="135"/>
      <c r="V544" s="135"/>
      <c r="W544" s="135"/>
      <c r="X544" s="135"/>
      <c r="Y544" s="135"/>
      <c r="Z544" s="135"/>
      <c r="AA544" s="135"/>
      <c r="AB544" s="135"/>
      <c r="AC544" s="135"/>
      <c r="AD544" s="135"/>
      <c r="AE544" s="135"/>
      <c r="AF544" s="135"/>
      <c r="AG544" s="135"/>
      <c r="AH544" s="135"/>
      <c r="AI544" s="135"/>
      <c r="AJ544" s="135"/>
      <c r="AK544" s="135"/>
      <c r="AL544" s="135"/>
      <c r="AM544" s="135"/>
      <c r="AN544" s="135"/>
      <c r="AO544" s="135"/>
      <c r="AP544" s="135"/>
      <c r="AQ544" s="135"/>
      <c r="AR544" s="135"/>
      <c r="AS544" s="135"/>
      <c r="AT544" s="135"/>
      <c r="AU544" s="135"/>
      <c r="AV544" s="135"/>
      <c r="AW544" s="135"/>
      <c r="AX544" s="135"/>
      <c r="AY544" s="135"/>
      <c r="AZ544" s="135"/>
      <c r="BA544" s="135"/>
      <c r="BB544" s="135"/>
      <c r="BC544" s="135"/>
      <c r="BD544" s="135"/>
      <c r="BE544" s="135"/>
      <c r="BF544" s="135"/>
      <c r="BG544" s="135"/>
      <c r="BH544" s="135"/>
      <c r="BI544" s="135"/>
      <c r="BJ544" s="135"/>
      <c r="BK544" s="135"/>
      <c r="BL544" s="135"/>
      <c r="BM544" s="135"/>
      <c r="BN544" s="135"/>
      <c r="BO544" s="135"/>
      <c r="BP544" s="135"/>
      <c r="BQ544" s="135"/>
      <c r="BR544" s="135"/>
      <c r="BS544" s="135"/>
      <c r="BT544" s="135"/>
    </row>
    <row r="545" spans="1:72" s="196" customFormat="1">
      <c r="A545" s="135"/>
      <c r="B545" s="135"/>
      <c r="C545" s="135"/>
      <c r="D545" s="135"/>
      <c r="E545" s="135"/>
      <c r="F545" s="135"/>
      <c r="G545" s="135"/>
      <c r="H545" s="135"/>
      <c r="I545" s="135"/>
      <c r="J545" s="135"/>
      <c r="K545" s="135"/>
      <c r="L545" s="135"/>
      <c r="M545" s="135"/>
      <c r="N545" s="135"/>
      <c r="O545" s="135"/>
      <c r="P545" s="135"/>
      <c r="Q545" s="135"/>
      <c r="R545" s="135"/>
      <c r="S545" s="135"/>
      <c r="T545" s="135"/>
      <c r="U545" s="135"/>
      <c r="V545" s="135"/>
      <c r="W545" s="135"/>
      <c r="X545" s="135"/>
      <c r="Y545" s="135"/>
      <c r="Z545" s="135"/>
      <c r="AA545" s="135"/>
      <c r="AB545" s="135"/>
      <c r="AC545" s="135"/>
      <c r="AD545" s="135"/>
      <c r="AE545" s="135"/>
      <c r="AF545" s="135"/>
      <c r="AG545" s="135"/>
      <c r="AH545" s="135"/>
      <c r="AI545" s="135"/>
      <c r="AJ545" s="135"/>
      <c r="AK545" s="135"/>
      <c r="AL545" s="135"/>
      <c r="AM545" s="135"/>
      <c r="AN545" s="135"/>
      <c r="AO545" s="135"/>
      <c r="AP545" s="135"/>
      <c r="AQ545" s="135"/>
      <c r="AR545" s="135"/>
      <c r="AS545" s="135"/>
      <c r="AT545" s="135"/>
      <c r="AU545" s="135"/>
      <c r="AV545" s="135"/>
      <c r="AW545" s="135"/>
      <c r="AX545" s="135"/>
      <c r="AY545" s="135"/>
      <c r="AZ545" s="135"/>
      <c r="BA545" s="135"/>
      <c r="BB545" s="135"/>
      <c r="BC545" s="135"/>
      <c r="BD545" s="135"/>
      <c r="BE545" s="135"/>
      <c r="BF545" s="135"/>
      <c r="BG545" s="135"/>
      <c r="BH545" s="135"/>
      <c r="BI545" s="135"/>
      <c r="BJ545" s="135"/>
      <c r="BK545" s="135"/>
      <c r="BL545" s="135"/>
      <c r="BM545" s="135"/>
      <c r="BN545" s="135"/>
      <c r="BO545" s="135"/>
      <c r="BP545" s="135"/>
      <c r="BQ545" s="135"/>
      <c r="BR545" s="135"/>
      <c r="BS545" s="135"/>
      <c r="BT545" s="135"/>
    </row>
    <row r="546" spans="1:72" s="196" customFormat="1">
      <c r="A546" s="135"/>
      <c r="B546" s="135"/>
      <c r="C546" s="135"/>
      <c r="D546" s="135"/>
      <c r="E546" s="135"/>
      <c r="F546" s="135"/>
      <c r="G546" s="135"/>
      <c r="H546" s="135"/>
      <c r="I546" s="135"/>
      <c r="J546" s="135"/>
      <c r="K546" s="135"/>
      <c r="L546" s="135"/>
      <c r="M546" s="135"/>
      <c r="N546" s="135"/>
      <c r="O546" s="135"/>
      <c r="P546" s="135"/>
      <c r="Q546" s="135"/>
      <c r="R546" s="135"/>
      <c r="S546" s="135"/>
      <c r="T546" s="135"/>
      <c r="U546" s="135"/>
      <c r="V546" s="135"/>
      <c r="W546" s="135"/>
      <c r="X546" s="135"/>
      <c r="Y546" s="135"/>
      <c r="Z546" s="135"/>
      <c r="AA546" s="135"/>
      <c r="AB546" s="135"/>
      <c r="AC546" s="135"/>
      <c r="AD546" s="135"/>
      <c r="AE546" s="135"/>
      <c r="AF546" s="135"/>
      <c r="AG546" s="135"/>
      <c r="AH546" s="135"/>
      <c r="AI546" s="135"/>
      <c r="AJ546" s="135"/>
      <c r="AK546" s="135"/>
      <c r="AL546" s="135"/>
      <c r="AM546" s="135"/>
      <c r="AN546" s="135"/>
      <c r="AO546" s="135"/>
      <c r="AP546" s="135"/>
      <c r="AQ546" s="135"/>
      <c r="AR546" s="135"/>
      <c r="AS546" s="135"/>
      <c r="AT546" s="135"/>
      <c r="AU546" s="135"/>
      <c r="AV546" s="135"/>
      <c r="AW546" s="135"/>
      <c r="AX546" s="135"/>
      <c r="AY546" s="135"/>
      <c r="AZ546" s="135"/>
      <c r="BA546" s="135"/>
      <c r="BB546" s="135"/>
      <c r="BC546" s="135"/>
      <c r="BD546" s="135"/>
      <c r="BE546" s="135"/>
      <c r="BF546" s="135"/>
      <c r="BG546" s="135"/>
      <c r="BH546" s="135"/>
      <c r="BI546" s="135"/>
      <c r="BJ546" s="135"/>
      <c r="BK546" s="135"/>
      <c r="BL546" s="135"/>
      <c r="BM546" s="135"/>
      <c r="BN546" s="135"/>
      <c r="BO546" s="135"/>
      <c r="BP546" s="135"/>
      <c r="BQ546" s="135"/>
      <c r="BR546" s="135"/>
      <c r="BS546" s="135"/>
      <c r="BT546" s="135"/>
    </row>
    <row r="547" spans="1:72" s="196" customFormat="1">
      <c r="A547" s="135"/>
      <c r="B547" s="135"/>
      <c r="C547" s="135"/>
      <c r="D547" s="135"/>
      <c r="E547" s="135"/>
      <c r="F547" s="135"/>
      <c r="G547" s="135"/>
      <c r="H547" s="135"/>
      <c r="I547" s="135"/>
      <c r="J547" s="135"/>
      <c r="K547" s="135"/>
      <c r="L547" s="135"/>
      <c r="M547" s="135"/>
      <c r="N547" s="135"/>
      <c r="O547" s="135"/>
      <c r="P547" s="135"/>
      <c r="Q547" s="135"/>
      <c r="R547" s="135"/>
      <c r="S547" s="135"/>
      <c r="T547" s="135"/>
      <c r="U547" s="135"/>
      <c r="V547" s="135"/>
      <c r="W547" s="135"/>
      <c r="X547" s="135"/>
      <c r="Y547" s="135"/>
      <c r="Z547" s="135"/>
      <c r="AA547" s="135"/>
      <c r="AB547" s="135"/>
      <c r="AC547" s="135"/>
      <c r="AD547" s="135"/>
      <c r="AE547" s="135"/>
      <c r="AF547" s="135"/>
      <c r="AG547" s="135"/>
      <c r="AH547" s="135"/>
      <c r="AI547" s="135"/>
      <c r="AJ547" s="135"/>
      <c r="AK547" s="135"/>
      <c r="AL547" s="135"/>
      <c r="AM547" s="135"/>
      <c r="AN547" s="135"/>
      <c r="AO547" s="135"/>
      <c r="AP547" s="135"/>
      <c r="AQ547" s="135"/>
      <c r="AR547" s="135"/>
      <c r="AS547" s="135"/>
      <c r="AT547" s="135"/>
      <c r="AU547" s="135"/>
      <c r="AV547" s="135"/>
      <c r="AW547" s="135"/>
      <c r="AX547" s="135"/>
      <c r="AY547" s="135"/>
      <c r="AZ547" s="135"/>
      <c r="BA547" s="135"/>
      <c r="BB547" s="135"/>
      <c r="BC547" s="135"/>
      <c r="BD547" s="135"/>
      <c r="BE547" s="135"/>
      <c r="BF547" s="135"/>
      <c r="BG547" s="135"/>
      <c r="BH547" s="135"/>
      <c r="BI547" s="135"/>
      <c r="BJ547" s="135"/>
      <c r="BK547" s="135"/>
      <c r="BL547" s="135"/>
      <c r="BM547" s="135"/>
      <c r="BN547" s="135"/>
      <c r="BO547" s="135"/>
      <c r="BP547" s="135"/>
      <c r="BQ547" s="135"/>
      <c r="BR547" s="135"/>
      <c r="BS547" s="135"/>
      <c r="BT547" s="135"/>
    </row>
    <row r="548" spans="1:72" s="196" customFormat="1">
      <c r="A548" s="135"/>
      <c r="B548" s="135"/>
      <c r="C548" s="135"/>
      <c r="D548" s="135"/>
      <c r="E548" s="135"/>
      <c r="F548" s="135"/>
      <c r="G548" s="135"/>
      <c r="H548" s="135"/>
      <c r="I548" s="135"/>
      <c r="J548" s="135"/>
      <c r="K548" s="135"/>
      <c r="L548" s="135"/>
      <c r="M548" s="135"/>
      <c r="N548" s="135"/>
      <c r="O548" s="135"/>
      <c r="P548" s="135"/>
      <c r="Q548" s="135"/>
      <c r="R548" s="135"/>
      <c r="S548" s="135"/>
      <c r="T548" s="135"/>
      <c r="U548" s="135"/>
      <c r="V548" s="135"/>
      <c r="W548" s="135"/>
      <c r="X548" s="135"/>
      <c r="Y548" s="135"/>
      <c r="Z548" s="135"/>
      <c r="AA548" s="135"/>
      <c r="AB548" s="135"/>
      <c r="AC548" s="135"/>
      <c r="AD548" s="135"/>
      <c r="AE548" s="135"/>
      <c r="AF548" s="135"/>
      <c r="AG548" s="135"/>
      <c r="AH548" s="135"/>
      <c r="AI548" s="135"/>
      <c r="AJ548" s="135"/>
      <c r="AK548" s="135"/>
      <c r="AL548" s="135"/>
      <c r="AM548" s="135"/>
      <c r="AN548" s="135"/>
      <c r="AO548" s="135"/>
      <c r="AP548" s="135"/>
      <c r="AQ548" s="135"/>
      <c r="AR548" s="135"/>
      <c r="AS548" s="135"/>
      <c r="AT548" s="135"/>
      <c r="AU548" s="135"/>
      <c r="AV548" s="135"/>
      <c r="AW548" s="135"/>
      <c r="AX548" s="135"/>
      <c r="AY548" s="135"/>
      <c r="AZ548" s="135"/>
      <c r="BA548" s="135"/>
      <c r="BB548" s="135"/>
      <c r="BC548" s="135"/>
      <c r="BD548" s="135"/>
      <c r="BE548" s="135"/>
      <c r="BF548" s="135"/>
      <c r="BG548" s="135"/>
      <c r="BH548" s="135"/>
      <c r="BI548" s="135"/>
      <c r="BJ548" s="135"/>
      <c r="BK548" s="135"/>
      <c r="BL548" s="135"/>
      <c r="BM548" s="135"/>
      <c r="BN548" s="135"/>
      <c r="BO548" s="135"/>
      <c r="BP548" s="135"/>
      <c r="BQ548" s="135"/>
      <c r="BR548" s="135"/>
      <c r="BS548" s="135"/>
      <c r="BT548" s="135"/>
    </row>
    <row r="549" spans="1:72" s="196" customFormat="1">
      <c r="A549" s="135"/>
      <c r="B549" s="135"/>
      <c r="C549" s="135"/>
      <c r="D549" s="135"/>
      <c r="E549" s="135"/>
      <c r="F549" s="135"/>
      <c r="G549" s="135"/>
      <c r="H549" s="135"/>
      <c r="I549" s="135"/>
      <c r="J549" s="135"/>
      <c r="K549" s="135"/>
      <c r="L549" s="135"/>
      <c r="M549" s="135"/>
      <c r="N549" s="135"/>
      <c r="O549" s="135"/>
      <c r="P549" s="135"/>
      <c r="Q549" s="135"/>
      <c r="R549" s="135"/>
      <c r="S549" s="135"/>
      <c r="T549" s="135"/>
      <c r="U549" s="135"/>
      <c r="V549" s="135"/>
      <c r="W549" s="135"/>
      <c r="X549" s="135"/>
      <c r="Y549" s="135"/>
      <c r="Z549" s="135"/>
      <c r="AA549" s="135"/>
      <c r="AB549" s="135"/>
      <c r="AC549" s="135"/>
      <c r="AD549" s="135"/>
      <c r="AE549" s="135"/>
      <c r="AF549" s="135"/>
      <c r="AG549" s="135"/>
      <c r="AH549" s="135"/>
      <c r="AI549" s="135"/>
      <c r="AJ549" s="135"/>
      <c r="AK549" s="135"/>
      <c r="AL549" s="135"/>
      <c r="AM549" s="135"/>
      <c r="AN549" s="135"/>
      <c r="AO549" s="135"/>
      <c r="AP549" s="135"/>
      <c r="AQ549" s="135"/>
      <c r="AR549" s="135"/>
      <c r="AS549" s="135"/>
      <c r="AT549" s="135"/>
      <c r="AU549" s="135"/>
      <c r="AV549" s="135"/>
      <c r="AW549" s="135"/>
      <c r="AX549" s="135"/>
      <c r="AY549" s="135"/>
      <c r="AZ549" s="135"/>
      <c r="BA549" s="135"/>
      <c r="BB549" s="135"/>
      <c r="BC549" s="135"/>
      <c r="BD549" s="135"/>
      <c r="BE549" s="135"/>
      <c r="BF549" s="135"/>
      <c r="BG549" s="135"/>
      <c r="BH549" s="135"/>
      <c r="BI549" s="135"/>
      <c r="BJ549" s="135"/>
      <c r="BK549" s="135"/>
      <c r="BL549" s="135"/>
      <c r="BM549" s="135"/>
      <c r="BN549" s="135"/>
      <c r="BO549" s="135"/>
      <c r="BP549" s="135"/>
      <c r="BQ549" s="135"/>
      <c r="BR549" s="135"/>
      <c r="BS549" s="135"/>
      <c r="BT549" s="135"/>
    </row>
    <row r="550" spans="1:72" s="196" customFormat="1">
      <c r="A550" s="135"/>
      <c r="B550" s="135"/>
      <c r="C550" s="135"/>
      <c r="D550" s="135"/>
      <c r="E550" s="135"/>
      <c r="F550" s="135"/>
      <c r="G550" s="135"/>
      <c r="H550" s="135"/>
      <c r="I550" s="135"/>
      <c r="J550" s="135"/>
      <c r="K550" s="135"/>
      <c r="L550" s="135"/>
      <c r="M550" s="135"/>
      <c r="N550" s="135"/>
      <c r="O550" s="135"/>
      <c r="P550" s="135"/>
      <c r="Q550" s="135"/>
      <c r="R550" s="135"/>
      <c r="S550" s="135"/>
      <c r="T550" s="135"/>
      <c r="U550" s="135"/>
      <c r="V550" s="135"/>
      <c r="W550" s="135"/>
      <c r="X550" s="135"/>
      <c r="Y550" s="135"/>
      <c r="Z550" s="135"/>
      <c r="AA550" s="135"/>
      <c r="AB550" s="135"/>
      <c r="AC550" s="135"/>
      <c r="AD550" s="135"/>
      <c r="AE550" s="135"/>
      <c r="AF550" s="135"/>
      <c r="AG550" s="135"/>
      <c r="AH550" s="135"/>
      <c r="AI550" s="135"/>
      <c r="AJ550" s="135"/>
      <c r="AK550" s="135"/>
      <c r="AL550" s="135"/>
      <c r="AM550" s="135"/>
      <c r="AN550" s="135"/>
      <c r="AO550" s="135"/>
      <c r="AP550" s="135"/>
      <c r="AQ550" s="135"/>
      <c r="AR550" s="135"/>
      <c r="AS550" s="135"/>
      <c r="AT550" s="135"/>
      <c r="AU550" s="135"/>
      <c r="AV550" s="135"/>
      <c r="AW550" s="135"/>
      <c r="AX550" s="135"/>
      <c r="AY550" s="135"/>
      <c r="AZ550" s="135"/>
      <c r="BA550" s="135"/>
      <c r="BB550" s="135"/>
      <c r="BC550" s="135"/>
      <c r="BD550" s="135"/>
      <c r="BE550" s="135"/>
      <c r="BF550" s="135"/>
      <c r="BG550" s="135"/>
      <c r="BH550" s="135"/>
      <c r="BI550" s="135"/>
      <c r="BJ550" s="135"/>
      <c r="BK550" s="135"/>
      <c r="BL550" s="135"/>
      <c r="BM550" s="135"/>
      <c r="BN550" s="135"/>
      <c r="BO550" s="135"/>
      <c r="BP550" s="135"/>
      <c r="BQ550" s="135"/>
      <c r="BR550" s="135"/>
      <c r="BS550" s="135"/>
      <c r="BT550" s="135"/>
    </row>
    <row r="551" spans="1:72" s="196" customFormat="1">
      <c r="A551" s="135"/>
      <c r="B551" s="135"/>
      <c r="C551" s="135"/>
      <c r="D551" s="135"/>
      <c r="E551" s="135"/>
      <c r="F551" s="135"/>
      <c r="G551" s="135"/>
      <c r="H551" s="135"/>
      <c r="I551" s="135"/>
      <c r="J551" s="135"/>
      <c r="K551" s="135"/>
      <c r="L551" s="135"/>
      <c r="M551" s="135"/>
      <c r="N551" s="135"/>
      <c r="O551" s="135"/>
      <c r="P551" s="135"/>
      <c r="Q551" s="135"/>
      <c r="R551" s="135"/>
      <c r="S551" s="135"/>
      <c r="T551" s="135"/>
      <c r="U551" s="135"/>
      <c r="V551" s="135"/>
      <c r="W551" s="135"/>
      <c r="X551" s="135"/>
      <c r="Y551" s="135"/>
      <c r="Z551" s="135"/>
      <c r="AA551" s="135"/>
      <c r="AB551" s="135"/>
      <c r="AC551" s="135"/>
      <c r="AD551" s="135"/>
      <c r="AE551" s="135"/>
      <c r="AF551" s="135"/>
      <c r="AG551" s="135"/>
      <c r="AH551" s="135"/>
      <c r="AI551" s="135"/>
      <c r="AJ551" s="135"/>
      <c r="AK551" s="135"/>
      <c r="AL551" s="135"/>
      <c r="AM551" s="135"/>
      <c r="AN551" s="135"/>
      <c r="AO551" s="135"/>
      <c r="AP551" s="135"/>
      <c r="AQ551" s="135"/>
      <c r="AR551" s="135"/>
      <c r="AS551" s="135"/>
      <c r="AT551" s="135"/>
      <c r="AU551" s="135"/>
      <c r="AV551" s="135"/>
      <c r="AW551" s="135"/>
      <c r="AX551" s="135"/>
      <c r="AY551" s="135"/>
      <c r="AZ551" s="135"/>
      <c r="BA551" s="135"/>
      <c r="BB551" s="135"/>
      <c r="BC551" s="135"/>
      <c r="BD551" s="135"/>
      <c r="BE551" s="135"/>
      <c r="BF551" s="135"/>
      <c r="BG551" s="135"/>
      <c r="BH551" s="135"/>
      <c r="BI551" s="135"/>
      <c r="BJ551" s="135"/>
      <c r="BK551" s="135"/>
      <c r="BL551" s="135"/>
      <c r="BM551" s="135"/>
      <c r="BN551" s="135"/>
      <c r="BO551" s="135"/>
      <c r="BP551" s="135"/>
      <c r="BQ551" s="135"/>
      <c r="BR551" s="135"/>
      <c r="BS551" s="135"/>
      <c r="BT551" s="135"/>
    </row>
    <row r="552" spans="1:72" s="196" customFormat="1">
      <c r="A552" s="135"/>
      <c r="B552" s="135"/>
      <c r="C552" s="135"/>
      <c r="D552" s="135"/>
      <c r="E552" s="135"/>
      <c r="F552" s="135"/>
      <c r="G552" s="135"/>
      <c r="H552" s="135"/>
      <c r="I552" s="135"/>
      <c r="J552" s="135"/>
      <c r="K552" s="135"/>
      <c r="L552" s="135"/>
      <c r="M552" s="135"/>
      <c r="N552" s="135"/>
      <c r="O552" s="135"/>
      <c r="P552" s="135"/>
      <c r="Q552" s="135"/>
      <c r="R552" s="135"/>
      <c r="S552" s="135"/>
      <c r="T552" s="135"/>
      <c r="U552" s="135"/>
      <c r="V552" s="135"/>
      <c r="W552" s="135"/>
      <c r="X552" s="135"/>
      <c r="Y552" s="135"/>
      <c r="Z552" s="135"/>
      <c r="AA552" s="135"/>
      <c r="AB552" s="135"/>
      <c r="AC552" s="135"/>
      <c r="AD552" s="135"/>
      <c r="AE552" s="135"/>
      <c r="AF552" s="135"/>
      <c r="AG552" s="135"/>
      <c r="AH552" s="135"/>
      <c r="AI552" s="135"/>
      <c r="AJ552" s="135"/>
      <c r="AK552" s="135"/>
      <c r="AL552" s="135"/>
      <c r="AM552" s="135"/>
      <c r="AN552" s="135"/>
      <c r="AO552" s="135"/>
      <c r="AP552" s="135"/>
      <c r="AQ552" s="135"/>
      <c r="AR552" s="135"/>
      <c r="AS552" s="135"/>
      <c r="AT552" s="135"/>
      <c r="AU552" s="135"/>
      <c r="AV552" s="135"/>
      <c r="AW552" s="135"/>
      <c r="AX552" s="135"/>
      <c r="AY552" s="135"/>
      <c r="AZ552" s="135"/>
      <c r="BA552" s="135"/>
      <c r="BB552" s="135"/>
      <c r="BC552" s="135"/>
      <c r="BD552" s="135"/>
      <c r="BE552" s="135"/>
      <c r="BF552" s="135"/>
      <c r="BG552" s="135"/>
      <c r="BH552" s="135"/>
      <c r="BI552" s="135"/>
      <c r="BJ552" s="135"/>
      <c r="BK552" s="135"/>
      <c r="BL552" s="135"/>
      <c r="BM552" s="135"/>
      <c r="BN552" s="135"/>
      <c r="BO552" s="135"/>
      <c r="BP552" s="135"/>
      <c r="BQ552" s="135"/>
      <c r="BR552" s="135"/>
      <c r="BS552" s="135"/>
      <c r="BT552" s="135"/>
    </row>
    <row r="553" spans="1:72" s="196" customFormat="1">
      <c r="A553" s="135"/>
      <c r="B553" s="135"/>
      <c r="C553" s="135"/>
      <c r="D553" s="135"/>
      <c r="E553" s="135"/>
      <c r="F553" s="135"/>
      <c r="G553" s="135"/>
      <c r="H553" s="135"/>
      <c r="I553" s="135"/>
      <c r="J553" s="135"/>
      <c r="K553" s="135"/>
      <c r="L553" s="135"/>
      <c r="M553" s="135"/>
      <c r="N553" s="135"/>
      <c r="O553" s="135"/>
      <c r="P553" s="135"/>
      <c r="Q553" s="135"/>
      <c r="R553" s="135"/>
      <c r="S553" s="135"/>
      <c r="T553" s="135"/>
      <c r="U553" s="135"/>
      <c r="V553" s="135"/>
      <c r="W553" s="135"/>
      <c r="X553" s="135"/>
      <c r="Y553" s="135"/>
      <c r="Z553" s="135"/>
      <c r="AA553" s="135"/>
      <c r="AB553" s="135"/>
      <c r="AC553" s="135"/>
      <c r="AD553" s="135"/>
      <c r="AE553" s="135"/>
      <c r="AF553" s="135"/>
      <c r="AG553" s="135"/>
      <c r="AH553" s="135"/>
      <c r="AI553" s="135"/>
      <c r="AJ553" s="135"/>
      <c r="AK553" s="135"/>
      <c r="AL553" s="135"/>
      <c r="AM553" s="135"/>
      <c r="AN553" s="135"/>
      <c r="AO553" s="135"/>
      <c r="AP553" s="135"/>
      <c r="AQ553" s="135"/>
      <c r="AR553" s="135"/>
      <c r="AS553" s="135"/>
      <c r="AT553" s="135"/>
      <c r="AU553" s="135"/>
      <c r="AV553" s="135"/>
      <c r="AW553" s="135"/>
      <c r="AX553" s="135"/>
      <c r="AY553" s="135"/>
      <c r="AZ553" s="135"/>
      <c r="BA553" s="135"/>
      <c r="BB553" s="135"/>
      <c r="BC553" s="135"/>
      <c r="BD553" s="135"/>
      <c r="BE553" s="135"/>
      <c r="BF553" s="135"/>
      <c r="BG553" s="135"/>
      <c r="BH553" s="135"/>
      <c r="BI553" s="135"/>
      <c r="BJ553" s="135"/>
      <c r="BK553" s="135"/>
      <c r="BL553" s="135"/>
      <c r="BM553" s="135"/>
      <c r="BN553" s="135"/>
      <c r="BO553" s="135"/>
      <c r="BP553" s="135"/>
      <c r="BQ553" s="135"/>
      <c r="BR553" s="135"/>
      <c r="BS553" s="135"/>
      <c r="BT553" s="135"/>
    </row>
    <row r="554" spans="1:72" s="196" customFormat="1">
      <c r="A554" s="135"/>
      <c r="B554" s="135"/>
      <c r="C554" s="135"/>
      <c r="D554" s="135"/>
      <c r="E554" s="135"/>
      <c r="F554" s="135"/>
      <c r="G554" s="135"/>
      <c r="H554" s="135"/>
      <c r="I554" s="135"/>
      <c r="J554" s="135"/>
      <c r="K554" s="135"/>
      <c r="L554" s="135"/>
      <c r="M554" s="135"/>
      <c r="N554" s="135"/>
      <c r="O554" s="135"/>
      <c r="P554" s="135"/>
      <c r="Q554" s="135"/>
      <c r="R554" s="135"/>
      <c r="S554" s="135"/>
      <c r="T554" s="135"/>
      <c r="U554" s="135"/>
      <c r="V554" s="135"/>
      <c r="W554" s="135"/>
      <c r="X554" s="135"/>
      <c r="Y554" s="135"/>
      <c r="Z554" s="135"/>
      <c r="AA554" s="135"/>
      <c r="AB554" s="135"/>
      <c r="AC554" s="135"/>
      <c r="AD554" s="135"/>
      <c r="AE554" s="135"/>
      <c r="AF554" s="135"/>
      <c r="AG554" s="135"/>
      <c r="AH554" s="135"/>
      <c r="AI554" s="135"/>
      <c r="AJ554" s="135"/>
      <c r="AK554" s="135"/>
      <c r="AL554" s="135"/>
      <c r="AM554" s="135"/>
      <c r="AN554" s="135"/>
      <c r="AO554" s="135"/>
      <c r="AP554" s="135"/>
      <c r="AQ554" s="135"/>
      <c r="AR554" s="135"/>
      <c r="AS554" s="135"/>
      <c r="AT554" s="135"/>
      <c r="AU554" s="135"/>
      <c r="AV554" s="135"/>
      <c r="AW554" s="135"/>
      <c r="AX554" s="135"/>
      <c r="AY554" s="135"/>
      <c r="AZ554" s="135"/>
      <c r="BA554" s="135"/>
      <c r="BB554" s="135"/>
      <c r="BC554" s="135"/>
      <c r="BD554" s="135"/>
      <c r="BE554" s="135"/>
      <c r="BF554" s="135"/>
      <c r="BG554" s="135"/>
      <c r="BH554" s="135"/>
      <c r="BI554" s="135"/>
      <c r="BJ554" s="135"/>
      <c r="BK554" s="135"/>
      <c r="BL554" s="135"/>
      <c r="BM554" s="135"/>
      <c r="BN554" s="135"/>
      <c r="BO554" s="135"/>
      <c r="BP554" s="135"/>
      <c r="BQ554" s="135"/>
      <c r="BR554" s="135"/>
      <c r="BS554" s="135"/>
      <c r="BT554" s="135"/>
    </row>
    <row r="555" spans="1:72" s="196" customFormat="1">
      <c r="A555" s="135"/>
      <c r="B555" s="135"/>
      <c r="C555" s="135"/>
      <c r="D555" s="135"/>
      <c r="E555" s="135"/>
      <c r="F555" s="135"/>
      <c r="G555" s="135"/>
      <c r="H555" s="135"/>
      <c r="I555" s="135"/>
      <c r="J555" s="135"/>
      <c r="K555" s="135"/>
      <c r="L555" s="135"/>
      <c r="M555" s="135"/>
      <c r="N555" s="135"/>
      <c r="O555" s="135"/>
      <c r="P555" s="135"/>
      <c r="Q555" s="135"/>
      <c r="R555" s="135"/>
      <c r="S555" s="135"/>
      <c r="T555" s="135"/>
      <c r="U555" s="135"/>
      <c r="V555" s="135"/>
      <c r="W555" s="135"/>
      <c r="X555" s="135"/>
      <c r="Y555" s="135"/>
      <c r="Z555" s="135"/>
      <c r="AA555" s="135"/>
      <c r="AB555" s="135"/>
      <c r="AC555" s="135"/>
      <c r="AD555" s="135"/>
      <c r="AE555" s="135"/>
      <c r="AF555" s="135"/>
      <c r="AG555" s="135"/>
      <c r="AH555" s="135"/>
      <c r="AI555" s="135"/>
      <c r="AJ555" s="135"/>
      <c r="AK555" s="135"/>
      <c r="AL555" s="135"/>
      <c r="AM555" s="135"/>
      <c r="AN555" s="135"/>
      <c r="AO555" s="135"/>
      <c r="AP555" s="135"/>
      <c r="AQ555" s="135"/>
      <c r="AR555" s="135"/>
      <c r="AS555" s="135"/>
      <c r="AT555" s="135"/>
      <c r="AU555" s="135"/>
      <c r="AV555" s="135"/>
      <c r="AW555" s="135"/>
      <c r="AX555" s="135"/>
      <c r="AY555" s="135"/>
      <c r="AZ555" s="135"/>
      <c r="BA555" s="135"/>
      <c r="BB555" s="135"/>
      <c r="BC555" s="135"/>
      <c r="BD555" s="135"/>
      <c r="BE555" s="135"/>
      <c r="BF555" s="135"/>
      <c r="BG555" s="135"/>
      <c r="BH555" s="135"/>
      <c r="BI555" s="135"/>
      <c r="BJ555" s="135"/>
      <c r="BK555" s="135"/>
      <c r="BL555" s="135"/>
      <c r="BM555" s="135"/>
      <c r="BN555" s="135"/>
      <c r="BO555" s="135"/>
      <c r="BP555" s="135"/>
      <c r="BQ555" s="135"/>
      <c r="BR555" s="135"/>
      <c r="BS555" s="135"/>
      <c r="BT555" s="135"/>
    </row>
    <row r="556" spans="1:72" s="196" customFormat="1">
      <c r="A556" s="135"/>
      <c r="B556" s="135"/>
      <c r="C556" s="135"/>
      <c r="D556" s="135"/>
      <c r="E556" s="135"/>
      <c r="F556" s="135"/>
      <c r="G556" s="135"/>
      <c r="H556" s="135"/>
      <c r="I556" s="135"/>
      <c r="J556" s="135"/>
      <c r="K556" s="135"/>
      <c r="L556" s="135"/>
      <c r="M556" s="135"/>
      <c r="N556" s="135"/>
      <c r="O556" s="135"/>
      <c r="P556" s="135"/>
      <c r="Q556" s="135"/>
      <c r="R556" s="135"/>
      <c r="S556" s="135"/>
      <c r="T556" s="135"/>
      <c r="U556" s="135"/>
      <c r="V556" s="135"/>
      <c r="W556" s="135"/>
      <c r="X556" s="135"/>
      <c r="Y556" s="135"/>
      <c r="Z556" s="135"/>
      <c r="AA556" s="135"/>
      <c r="AB556" s="135"/>
      <c r="AC556" s="135"/>
      <c r="AD556" s="135"/>
      <c r="AE556" s="135"/>
      <c r="AF556" s="135"/>
      <c r="AG556" s="135"/>
      <c r="AH556" s="135"/>
      <c r="AI556" s="135"/>
      <c r="AJ556" s="135"/>
      <c r="AK556" s="135"/>
      <c r="AL556" s="135"/>
      <c r="AM556" s="135"/>
      <c r="AN556" s="135"/>
      <c r="AO556" s="135"/>
      <c r="AP556" s="135"/>
      <c r="AQ556" s="135"/>
      <c r="AR556" s="135"/>
      <c r="AS556" s="135"/>
      <c r="AT556" s="135"/>
      <c r="AU556" s="135"/>
      <c r="AV556" s="135"/>
      <c r="AW556" s="135"/>
      <c r="AX556" s="135"/>
      <c r="AY556" s="135"/>
      <c r="AZ556" s="135"/>
      <c r="BA556" s="135"/>
      <c r="BB556" s="135"/>
      <c r="BC556" s="135"/>
      <c r="BD556" s="135"/>
      <c r="BE556" s="135"/>
      <c r="BF556" s="135"/>
      <c r="BG556" s="135"/>
      <c r="BH556" s="135"/>
      <c r="BI556" s="135"/>
      <c r="BJ556" s="135"/>
      <c r="BK556" s="135"/>
      <c r="BL556" s="135"/>
      <c r="BM556" s="135"/>
      <c r="BN556" s="135"/>
      <c r="BO556" s="135"/>
      <c r="BP556" s="135"/>
      <c r="BQ556" s="135"/>
      <c r="BR556" s="135"/>
      <c r="BS556" s="135"/>
      <c r="BT556" s="135"/>
    </row>
    <row r="557" spans="1:72" s="196" customFormat="1">
      <c r="A557" s="135"/>
      <c r="B557" s="135"/>
      <c r="C557" s="135"/>
      <c r="D557" s="135"/>
      <c r="E557" s="135"/>
      <c r="F557" s="135"/>
      <c r="G557" s="135"/>
      <c r="H557" s="135"/>
      <c r="I557" s="135"/>
      <c r="J557" s="135"/>
      <c r="K557" s="135"/>
      <c r="L557" s="135"/>
      <c r="M557" s="135"/>
      <c r="N557" s="135"/>
      <c r="O557" s="135"/>
      <c r="P557" s="135"/>
      <c r="Q557" s="135"/>
      <c r="R557" s="135"/>
      <c r="S557" s="135"/>
      <c r="T557" s="135"/>
      <c r="U557" s="135"/>
      <c r="V557" s="135"/>
      <c r="W557" s="135"/>
      <c r="X557" s="135"/>
      <c r="Y557" s="135"/>
      <c r="Z557" s="135"/>
      <c r="AA557" s="135"/>
      <c r="AB557" s="135"/>
      <c r="AC557" s="135"/>
      <c r="AD557" s="135"/>
      <c r="AE557" s="135"/>
      <c r="AF557" s="135"/>
      <c r="AG557" s="135"/>
      <c r="AH557" s="135"/>
      <c r="AI557" s="135"/>
      <c r="AJ557" s="135"/>
      <c r="AK557" s="135"/>
      <c r="AL557" s="135"/>
      <c r="AM557" s="135"/>
      <c r="AN557" s="135"/>
      <c r="AO557" s="135"/>
      <c r="AP557" s="135"/>
      <c r="AQ557" s="135"/>
      <c r="AR557" s="135"/>
      <c r="AS557" s="135"/>
      <c r="AT557" s="135"/>
      <c r="AU557" s="135"/>
      <c r="AV557" s="135"/>
      <c r="AW557" s="135"/>
      <c r="AX557" s="135"/>
      <c r="AY557" s="135"/>
      <c r="AZ557" s="135"/>
      <c r="BA557" s="135"/>
      <c r="BB557" s="135"/>
      <c r="BC557" s="135"/>
      <c r="BD557" s="135"/>
      <c r="BE557" s="135"/>
      <c r="BF557" s="135"/>
      <c r="BG557" s="135"/>
      <c r="BH557" s="135"/>
      <c r="BI557" s="135"/>
      <c r="BJ557" s="135"/>
      <c r="BK557" s="135"/>
      <c r="BL557" s="135"/>
      <c r="BM557" s="135"/>
      <c r="BN557" s="135"/>
      <c r="BO557" s="135"/>
      <c r="BP557" s="135"/>
      <c r="BQ557" s="135"/>
      <c r="BR557" s="135"/>
      <c r="BS557" s="135"/>
      <c r="BT557" s="135"/>
    </row>
    <row r="558" spans="1:72" s="196" customFormat="1">
      <c r="A558" s="135"/>
      <c r="B558" s="135"/>
      <c r="C558" s="135"/>
      <c r="D558" s="135"/>
      <c r="E558" s="135"/>
      <c r="F558" s="135"/>
      <c r="G558" s="135"/>
      <c r="H558" s="135"/>
      <c r="I558" s="135"/>
      <c r="J558" s="135"/>
      <c r="K558" s="135"/>
      <c r="L558" s="135"/>
      <c r="M558" s="135"/>
      <c r="N558" s="135"/>
      <c r="O558" s="135"/>
      <c r="P558" s="135"/>
      <c r="Q558" s="135"/>
      <c r="R558" s="135"/>
      <c r="S558" s="135"/>
      <c r="T558" s="135"/>
      <c r="U558" s="135"/>
      <c r="V558" s="135"/>
      <c r="W558" s="135"/>
      <c r="X558" s="135"/>
      <c r="Y558" s="135"/>
      <c r="Z558" s="135"/>
      <c r="AA558" s="135"/>
      <c r="AB558" s="135"/>
      <c r="AC558" s="135"/>
      <c r="AD558" s="135"/>
      <c r="AE558" s="135"/>
      <c r="AF558" s="135"/>
      <c r="AG558" s="135"/>
      <c r="AH558" s="135"/>
      <c r="AI558" s="135"/>
      <c r="AJ558" s="135"/>
      <c r="AK558" s="135"/>
      <c r="AL558" s="135"/>
      <c r="AM558" s="135"/>
      <c r="AN558" s="135"/>
      <c r="AO558" s="135"/>
      <c r="AP558" s="135"/>
      <c r="AQ558" s="135"/>
      <c r="AR558" s="135"/>
      <c r="AS558" s="135"/>
      <c r="AT558" s="135"/>
      <c r="AU558" s="135"/>
      <c r="AV558" s="135"/>
      <c r="AW558" s="135"/>
      <c r="AX558" s="135"/>
      <c r="AY558" s="135"/>
      <c r="AZ558" s="135"/>
      <c r="BA558" s="135"/>
      <c r="BB558" s="135"/>
      <c r="BC558" s="135"/>
      <c r="BD558" s="135"/>
      <c r="BE558" s="135"/>
      <c r="BF558" s="135"/>
      <c r="BG558" s="135"/>
      <c r="BH558" s="135"/>
      <c r="BI558" s="135"/>
      <c r="BJ558" s="135"/>
      <c r="BK558" s="135"/>
      <c r="BL558" s="135"/>
      <c r="BM558" s="135"/>
      <c r="BN558" s="135"/>
      <c r="BO558" s="135"/>
      <c r="BP558" s="135"/>
      <c r="BQ558" s="135"/>
      <c r="BR558" s="135"/>
      <c r="BS558" s="135"/>
      <c r="BT558" s="135"/>
    </row>
    <row r="559" spans="1:72" s="196" customFormat="1">
      <c r="A559" s="135"/>
      <c r="B559" s="135"/>
      <c r="C559" s="135"/>
      <c r="D559" s="135"/>
      <c r="E559" s="135"/>
      <c r="F559" s="135"/>
      <c r="G559" s="135"/>
      <c r="H559" s="135"/>
      <c r="I559" s="135"/>
      <c r="J559" s="135"/>
      <c r="K559" s="135"/>
      <c r="L559" s="135"/>
      <c r="M559" s="135"/>
      <c r="N559" s="135"/>
      <c r="O559" s="135"/>
      <c r="P559" s="135"/>
      <c r="Q559" s="135"/>
      <c r="R559" s="135"/>
      <c r="S559" s="135"/>
      <c r="T559" s="135"/>
      <c r="U559" s="135"/>
      <c r="V559" s="135"/>
      <c r="W559" s="135"/>
      <c r="X559" s="135"/>
      <c r="Y559" s="135"/>
      <c r="Z559" s="135"/>
      <c r="AA559" s="135"/>
      <c r="AB559" s="135"/>
      <c r="AC559" s="135"/>
      <c r="AD559" s="135"/>
      <c r="AE559" s="135"/>
      <c r="AF559" s="135"/>
      <c r="AG559" s="135"/>
      <c r="AH559" s="135"/>
      <c r="AI559" s="135"/>
      <c r="AJ559" s="135"/>
      <c r="AK559" s="135"/>
      <c r="AL559" s="135"/>
      <c r="AM559" s="135"/>
      <c r="AN559" s="135"/>
      <c r="AO559" s="135"/>
      <c r="AP559" s="135"/>
      <c r="AQ559" s="135"/>
      <c r="AR559" s="135"/>
      <c r="AS559" s="135"/>
      <c r="AT559" s="135"/>
      <c r="AU559" s="135"/>
      <c r="AV559" s="135"/>
      <c r="AW559" s="135"/>
      <c r="AX559" s="135"/>
      <c r="AY559" s="135"/>
      <c r="AZ559" s="135"/>
      <c r="BA559" s="135"/>
      <c r="BB559" s="135"/>
      <c r="BC559" s="135"/>
      <c r="BD559" s="135"/>
      <c r="BE559" s="135"/>
      <c r="BF559" s="135"/>
      <c r="BG559" s="135"/>
      <c r="BH559" s="135"/>
      <c r="BI559" s="135"/>
      <c r="BJ559" s="135"/>
      <c r="BK559" s="135"/>
      <c r="BL559" s="135"/>
      <c r="BM559" s="135"/>
      <c r="BN559" s="135"/>
      <c r="BO559" s="135"/>
      <c r="BP559" s="135"/>
      <c r="BQ559" s="135"/>
      <c r="BR559" s="135"/>
      <c r="BS559" s="135"/>
      <c r="BT559" s="135"/>
    </row>
    <row r="560" spans="1:72" s="196" customFormat="1">
      <c r="A560" s="135"/>
      <c r="B560" s="135"/>
      <c r="C560" s="135"/>
      <c r="D560" s="135"/>
      <c r="E560" s="135"/>
      <c r="F560" s="135"/>
      <c r="G560" s="135"/>
      <c r="H560" s="135"/>
      <c r="I560" s="135"/>
      <c r="J560" s="135"/>
      <c r="K560" s="135"/>
      <c r="L560" s="135"/>
      <c r="M560" s="135"/>
      <c r="N560" s="135"/>
      <c r="O560" s="135"/>
      <c r="P560" s="135"/>
      <c r="Q560" s="135"/>
      <c r="R560" s="135"/>
      <c r="S560" s="135"/>
      <c r="T560" s="135"/>
      <c r="U560" s="135"/>
      <c r="V560" s="135"/>
      <c r="W560" s="135"/>
      <c r="X560" s="135"/>
      <c r="Y560" s="135"/>
      <c r="Z560" s="135"/>
      <c r="AA560" s="135"/>
      <c r="AB560" s="135"/>
      <c r="AC560" s="135"/>
      <c r="AD560" s="135"/>
      <c r="AE560" s="135"/>
      <c r="AF560" s="135"/>
      <c r="AG560" s="135"/>
      <c r="AH560" s="135"/>
      <c r="AI560" s="135"/>
      <c r="AJ560" s="135"/>
      <c r="AK560" s="135"/>
      <c r="AL560" s="135"/>
      <c r="AM560" s="135"/>
      <c r="AN560" s="135"/>
      <c r="AO560" s="135"/>
      <c r="AP560" s="135"/>
      <c r="AQ560" s="135"/>
      <c r="AR560" s="135"/>
      <c r="AS560" s="135"/>
      <c r="AT560" s="135"/>
      <c r="AU560" s="135"/>
      <c r="AV560" s="135"/>
      <c r="AW560" s="135"/>
      <c r="AX560" s="135"/>
      <c r="AY560" s="135"/>
      <c r="AZ560" s="135"/>
      <c r="BA560" s="135"/>
      <c r="BB560" s="135"/>
      <c r="BC560" s="135"/>
      <c r="BD560" s="135"/>
      <c r="BE560" s="135"/>
      <c r="BF560" s="135"/>
      <c r="BG560" s="135"/>
      <c r="BH560" s="135"/>
      <c r="BI560" s="135"/>
      <c r="BJ560" s="135"/>
      <c r="BK560" s="135"/>
      <c r="BL560" s="135"/>
      <c r="BM560" s="135"/>
      <c r="BN560" s="135"/>
      <c r="BO560" s="135"/>
      <c r="BP560" s="135"/>
      <c r="BQ560" s="135"/>
      <c r="BR560" s="135"/>
      <c r="BS560" s="135"/>
      <c r="BT560" s="135"/>
    </row>
    <row r="561" spans="1:72" s="196" customFormat="1">
      <c r="A561" s="135"/>
      <c r="B561" s="135"/>
      <c r="C561" s="135"/>
      <c r="D561" s="135"/>
      <c r="E561" s="135"/>
      <c r="F561" s="135"/>
      <c r="G561" s="135"/>
      <c r="H561" s="135"/>
      <c r="I561" s="135"/>
      <c r="J561" s="135"/>
      <c r="K561" s="135"/>
      <c r="L561" s="135"/>
      <c r="M561" s="135"/>
      <c r="N561" s="135"/>
      <c r="O561" s="135"/>
      <c r="P561" s="135"/>
      <c r="Q561" s="135"/>
      <c r="R561" s="135"/>
      <c r="S561" s="135"/>
      <c r="T561" s="135"/>
      <c r="U561" s="135"/>
      <c r="V561" s="135"/>
      <c r="W561" s="135"/>
      <c r="X561" s="135"/>
      <c r="Y561" s="135"/>
      <c r="Z561" s="135"/>
      <c r="AA561" s="135"/>
      <c r="AB561" s="135"/>
      <c r="AC561" s="135"/>
      <c r="AD561" s="135"/>
      <c r="AE561" s="135"/>
      <c r="AF561" s="135"/>
      <c r="AG561" s="135"/>
      <c r="AH561" s="135"/>
      <c r="AI561" s="135"/>
      <c r="AJ561" s="135"/>
      <c r="AK561" s="135"/>
      <c r="AL561" s="135"/>
      <c r="AM561" s="135"/>
      <c r="AN561" s="135"/>
      <c r="AO561" s="135"/>
      <c r="AP561" s="135"/>
      <c r="AQ561" s="135"/>
      <c r="AR561" s="135"/>
      <c r="AS561" s="135"/>
      <c r="AT561" s="135"/>
      <c r="AU561" s="135"/>
      <c r="AV561" s="135"/>
      <c r="AW561" s="135"/>
      <c r="AX561" s="135"/>
      <c r="AY561" s="135"/>
      <c r="AZ561" s="135"/>
      <c r="BA561" s="135"/>
      <c r="BB561" s="135"/>
      <c r="BC561" s="135"/>
      <c r="BD561" s="135"/>
      <c r="BE561" s="135"/>
      <c r="BF561" s="135"/>
      <c r="BG561" s="135"/>
      <c r="BH561" s="135"/>
      <c r="BI561" s="135"/>
      <c r="BJ561" s="135"/>
      <c r="BK561" s="135"/>
      <c r="BL561" s="135"/>
      <c r="BM561" s="135"/>
      <c r="BN561" s="135"/>
      <c r="BO561" s="135"/>
      <c r="BP561" s="135"/>
      <c r="BQ561" s="135"/>
      <c r="BR561" s="135"/>
      <c r="BS561" s="135"/>
      <c r="BT561" s="135"/>
    </row>
    <row r="562" spans="1:72" s="196" customFormat="1">
      <c r="A562" s="135"/>
      <c r="B562" s="135"/>
      <c r="C562" s="135"/>
      <c r="D562" s="135"/>
      <c r="E562" s="135"/>
      <c r="F562" s="135"/>
      <c r="G562" s="135"/>
      <c r="H562" s="135"/>
      <c r="I562" s="135"/>
      <c r="J562" s="135"/>
      <c r="K562" s="135"/>
      <c r="L562" s="135"/>
      <c r="M562" s="135"/>
      <c r="N562" s="135"/>
      <c r="O562" s="135"/>
      <c r="P562" s="135"/>
      <c r="Q562" s="135"/>
      <c r="R562" s="135"/>
      <c r="S562" s="135"/>
      <c r="T562" s="135"/>
      <c r="U562" s="135"/>
      <c r="V562" s="135"/>
      <c r="W562" s="135"/>
      <c r="X562" s="135"/>
      <c r="Y562" s="135"/>
      <c r="Z562" s="135"/>
      <c r="AA562" s="135"/>
      <c r="AB562" s="135"/>
      <c r="AC562" s="135"/>
      <c r="AD562" s="135"/>
      <c r="AE562" s="135"/>
      <c r="AF562" s="135"/>
      <c r="AG562" s="135"/>
      <c r="AH562" s="135"/>
      <c r="AI562" s="135"/>
      <c r="AJ562" s="135"/>
      <c r="AK562" s="135"/>
      <c r="AL562" s="135"/>
      <c r="AM562" s="135"/>
      <c r="AN562" s="135"/>
      <c r="AO562" s="135"/>
      <c r="AP562" s="135"/>
      <c r="AQ562" s="135"/>
      <c r="AR562" s="135"/>
      <c r="AS562" s="135"/>
      <c r="AT562" s="135"/>
      <c r="AU562" s="135"/>
      <c r="AV562" s="135"/>
      <c r="AW562" s="135"/>
      <c r="AX562" s="135"/>
      <c r="AY562" s="135"/>
      <c r="AZ562" s="135"/>
      <c r="BA562" s="135"/>
      <c r="BB562" s="135"/>
      <c r="BC562" s="135"/>
      <c r="BD562" s="135"/>
      <c r="BE562" s="135"/>
      <c r="BF562" s="135"/>
      <c r="BG562" s="135"/>
      <c r="BH562" s="135"/>
      <c r="BI562" s="135"/>
      <c r="BJ562" s="135"/>
      <c r="BK562" s="135"/>
      <c r="BL562" s="135"/>
      <c r="BM562" s="135"/>
      <c r="BN562" s="135"/>
      <c r="BO562" s="135"/>
      <c r="BP562" s="135"/>
      <c r="BQ562" s="135"/>
      <c r="BR562" s="135"/>
      <c r="BS562" s="135"/>
      <c r="BT562" s="135"/>
    </row>
    <row r="563" spans="1:72" s="196" customFormat="1">
      <c r="A563" s="135"/>
      <c r="B563" s="135"/>
      <c r="C563" s="135"/>
      <c r="D563" s="135"/>
      <c r="E563" s="135"/>
      <c r="F563" s="135"/>
      <c r="G563" s="135"/>
      <c r="H563" s="135"/>
      <c r="I563" s="135"/>
      <c r="J563" s="135"/>
      <c r="K563" s="135"/>
      <c r="L563" s="135"/>
      <c r="M563" s="135"/>
      <c r="N563" s="135"/>
      <c r="O563" s="135"/>
      <c r="P563" s="135"/>
      <c r="Q563" s="135"/>
      <c r="R563" s="135"/>
      <c r="S563" s="135"/>
      <c r="T563" s="135"/>
      <c r="U563" s="135"/>
      <c r="V563" s="135"/>
      <c r="W563" s="135"/>
      <c r="X563" s="135"/>
      <c r="Y563" s="135"/>
      <c r="Z563" s="135"/>
      <c r="AA563" s="135"/>
      <c r="AB563" s="135"/>
      <c r="AC563" s="135"/>
      <c r="AD563" s="135"/>
      <c r="AE563" s="135"/>
      <c r="AF563" s="135"/>
      <c r="AG563" s="135"/>
      <c r="AH563" s="135"/>
      <c r="AI563" s="135"/>
      <c r="AJ563" s="135"/>
      <c r="AK563" s="135"/>
      <c r="AL563" s="135"/>
      <c r="AM563" s="135"/>
      <c r="AN563" s="135"/>
      <c r="AO563" s="135"/>
      <c r="AP563" s="135"/>
      <c r="AQ563" s="135"/>
      <c r="AR563" s="135"/>
      <c r="AS563" s="135"/>
      <c r="AT563" s="135"/>
      <c r="AU563" s="135"/>
      <c r="AV563" s="135"/>
      <c r="AW563" s="135"/>
      <c r="AX563" s="135"/>
      <c r="AY563" s="135"/>
      <c r="AZ563" s="135"/>
      <c r="BA563" s="135"/>
      <c r="BB563" s="135"/>
      <c r="BC563" s="135"/>
      <c r="BD563" s="135"/>
      <c r="BE563" s="135"/>
      <c r="BF563" s="135"/>
      <c r="BG563" s="135"/>
      <c r="BH563" s="135"/>
      <c r="BI563" s="135"/>
      <c r="BJ563" s="135"/>
      <c r="BK563" s="135"/>
      <c r="BL563" s="135"/>
      <c r="BM563" s="135"/>
      <c r="BN563" s="135"/>
      <c r="BO563" s="135"/>
      <c r="BP563" s="135"/>
      <c r="BQ563" s="135"/>
      <c r="BR563" s="135"/>
      <c r="BS563" s="135"/>
      <c r="BT563" s="135"/>
    </row>
    <row r="564" spans="1:72" s="196" customFormat="1">
      <c r="A564" s="135"/>
      <c r="B564" s="135"/>
      <c r="C564" s="135"/>
      <c r="D564" s="135"/>
      <c r="E564" s="135"/>
      <c r="F564" s="135"/>
      <c r="G564" s="135"/>
      <c r="H564" s="135"/>
      <c r="I564" s="135"/>
      <c r="J564" s="135"/>
      <c r="K564" s="135"/>
      <c r="L564" s="135"/>
      <c r="M564" s="135"/>
      <c r="N564" s="135"/>
      <c r="O564" s="135"/>
      <c r="P564" s="135"/>
      <c r="Q564" s="135"/>
      <c r="R564" s="135"/>
      <c r="S564" s="135"/>
      <c r="T564" s="135"/>
      <c r="U564" s="135"/>
      <c r="V564" s="135"/>
      <c r="W564" s="135"/>
      <c r="X564" s="135"/>
      <c r="Y564" s="135"/>
      <c r="Z564" s="135"/>
      <c r="AA564" s="135"/>
      <c r="AB564" s="135"/>
      <c r="AC564" s="135"/>
      <c r="AD564" s="135"/>
      <c r="AE564" s="135"/>
      <c r="AF564" s="135"/>
      <c r="AG564" s="135"/>
      <c r="AH564" s="135"/>
      <c r="AI564" s="135"/>
      <c r="AJ564" s="135"/>
      <c r="AK564" s="135"/>
      <c r="AL564" s="135"/>
      <c r="AM564" s="135"/>
      <c r="AN564" s="135"/>
      <c r="AO564" s="135"/>
      <c r="AP564" s="135"/>
      <c r="AQ564" s="135"/>
      <c r="AR564" s="135"/>
      <c r="AS564" s="135"/>
      <c r="AT564" s="135"/>
      <c r="AU564" s="135"/>
      <c r="AV564" s="135"/>
      <c r="AW564" s="135"/>
      <c r="AX564" s="135"/>
      <c r="AY564" s="135"/>
      <c r="AZ564" s="135"/>
      <c r="BA564" s="135"/>
      <c r="BB564" s="135"/>
      <c r="BC564" s="135"/>
      <c r="BD564" s="135"/>
      <c r="BE564" s="135"/>
      <c r="BF564" s="135"/>
      <c r="BG564" s="135"/>
      <c r="BH564" s="135"/>
      <c r="BI564" s="135"/>
      <c r="BJ564" s="135"/>
      <c r="BK564" s="135"/>
      <c r="BL564" s="135"/>
      <c r="BM564" s="135"/>
      <c r="BN564" s="135"/>
      <c r="BO564" s="135"/>
      <c r="BP564" s="135"/>
      <c r="BQ564" s="135"/>
      <c r="BR564" s="135"/>
      <c r="BS564" s="135"/>
      <c r="BT564" s="135"/>
    </row>
    <row r="565" spans="1:72" s="196" customFormat="1">
      <c r="A565" s="135"/>
      <c r="B565" s="135"/>
      <c r="C565" s="135"/>
      <c r="D565" s="135"/>
      <c r="E565" s="135"/>
      <c r="F565" s="135"/>
      <c r="G565" s="135"/>
      <c r="H565" s="135"/>
      <c r="I565" s="135"/>
      <c r="J565" s="135"/>
      <c r="K565" s="135"/>
      <c r="L565" s="135"/>
      <c r="M565" s="135"/>
      <c r="N565" s="135"/>
      <c r="O565" s="135"/>
      <c r="P565" s="135"/>
      <c r="Q565" s="135"/>
      <c r="R565" s="135"/>
      <c r="S565" s="135"/>
      <c r="T565" s="135"/>
      <c r="U565" s="135"/>
      <c r="V565" s="135"/>
      <c r="W565" s="135"/>
      <c r="X565" s="135"/>
      <c r="Y565" s="135"/>
      <c r="Z565" s="135"/>
      <c r="AA565" s="135"/>
      <c r="AB565" s="135"/>
      <c r="AC565" s="135"/>
      <c r="AD565" s="135"/>
      <c r="AE565" s="135"/>
      <c r="AF565" s="135"/>
      <c r="AG565" s="135"/>
      <c r="AH565" s="135"/>
      <c r="AI565" s="135"/>
      <c r="AJ565" s="135"/>
      <c r="AK565" s="135"/>
      <c r="AL565" s="135"/>
      <c r="AM565" s="135"/>
      <c r="AN565" s="135"/>
      <c r="AO565" s="135"/>
      <c r="AP565" s="135"/>
      <c r="AQ565" s="135"/>
      <c r="AR565" s="135"/>
      <c r="AS565" s="135"/>
      <c r="AT565" s="135"/>
      <c r="AU565" s="135"/>
      <c r="AV565" s="135"/>
      <c r="AW565" s="135"/>
      <c r="AX565" s="135"/>
      <c r="AY565" s="135"/>
      <c r="AZ565" s="135"/>
      <c r="BA565" s="135"/>
      <c r="BB565" s="135"/>
      <c r="BC565" s="135"/>
      <c r="BD565" s="135"/>
      <c r="BE565" s="135"/>
      <c r="BF565" s="135"/>
      <c r="BG565" s="135"/>
      <c r="BH565" s="135"/>
      <c r="BI565" s="135"/>
      <c r="BJ565" s="135"/>
      <c r="BK565" s="135"/>
      <c r="BL565" s="135"/>
      <c r="BM565" s="135"/>
      <c r="BN565" s="135"/>
      <c r="BO565" s="135"/>
      <c r="BP565" s="135"/>
      <c r="BQ565" s="135"/>
      <c r="BR565" s="135"/>
      <c r="BS565" s="135"/>
      <c r="BT565" s="135"/>
    </row>
    <row r="566" spans="1:72" s="196" customFormat="1">
      <c r="A566" s="135"/>
      <c r="B566" s="135"/>
      <c r="C566" s="135"/>
      <c r="D566" s="135"/>
      <c r="E566" s="135"/>
      <c r="F566" s="135"/>
      <c r="G566" s="135"/>
      <c r="H566" s="135"/>
      <c r="I566" s="135"/>
      <c r="J566" s="135"/>
      <c r="K566" s="135"/>
      <c r="L566" s="135"/>
      <c r="M566" s="135"/>
      <c r="N566" s="135"/>
      <c r="O566" s="135"/>
      <c r="P566" s="135"/>
      <c r="Q566" s="135"/>
      <c r="R566" s="135"/>
      <c r="S566" s="135"/>
      <c r="T566" s="135"/>
      <c r="U566" s="135"/>
      <c r="V566" s="135"/>
      <c r="W566" s="135"/>
      <c r="X566" s="135"/>
      <c r="Y566" s="135"/>
      <c r="Z566" s="135"/>
      <c r="AA566" s="135"/>
      <c r="AB566" s="135"/>
      <c r="AC566" s="135"/>
      <c r="AD566" s="135"/>
      <c r="AE566" s="135"/>
      <c r="AF566" s="135"/>
      <c r="AG566" s="135"/>
      <c r="AH566" s="135"/>
      <c r="AI566" s="135"/>
      <c r="AJ566" s="135"/>
      <c r="AK566" s="135"/>
      <c r="AL566" s="135"/>
      <c r="AM566" s="135"/>
      <c r="AN566" s="135"/>
      <c r="AO566" s="135"/>
      <c r="AP566" s="135"/>
      <c r="AQ566" s="135"/>
      <c r="AR566" s="135"/>
      <c r="AS566" s="135"/>
      <c r="AT566" s="135"/>
      <c r="AU566" s="135"/>
      <c r="AV566" s="135"/>
      <c r="AW566" s="135"/>
      <c r="AX566" s="135"/>
      <c r="AY566" s="135"/>
      <c r="AZ566" s="135"/>
      <c r="BA566" s="135"/>
      <c r="BB566" s="135"/>
      <c r="BC566" s="135"/>
      <c r="BD566" s="135"/>
      <c r="BE566" s="135"/>
      <c r="BF566" s="135"/>
      <c r="BG566" s="135"/>
      <c r="BH566" s="135"/>
      <c r="BI566" s="135"/>
      <c r="BJ566" s="135"/>
      <c r="BK566" s="135"/>
      <c r="BL566" s="135"/>
      <c r="BM566" s="135"/>
      <c r="BN566" s="135"/>
      <c r="BO566" s="135"/>
      <c r="BP566" s="135"/>
      <c r="BQ566" s="135"/>
      <c r="BR566" s="135"/>
      <c r="BS566" s="135"/>
      <c r="BT566" s="135"/>
    </row>
    <row r="567" spans="1:72" s="196" customFormat="1">
      <c r="A567" s="135"/>
      <c r="B567" s="135"/>
      <c r="C567" s="135"/>
      <c r="D567" s="135"/>
      <c r="E567" s="135"/>
      <c r="F567" s="135"/>
      <c r="G567" s="135"/>
      <c r="H567" s="135"/>
      <c r="I567" s="135"/>
      <c r="J567" s="135"/>
      <c r="K567" s="135"/>
      <c r="L567" s="135"/>
      <c r="M567" s="135"/>
      <c r="N567" s="135"/>
      <c r="O567" s="135"/>
      <c r="P567" s="135"/>
      <c r="Q567" s="135"/>
      <c r="R567" s="135"/>
      <c r="S567" s="135"/>
      <c r="T567" s="135"/>
      <c r="U567" s="135"/>
      <c r="V567" s="135"/>
      <c r="W567" s="135"/>
      <c r="X567" s="135"/>
      <c r="Y567" s="135"/>
      <c r="Z567" s="135"/>
      <c r="AA567" s="135"/>
      <c r="AB567" s="135"/>
      <c r="AC567" s="135"/>
      <c r="AD567" s="135"/>
      <c r="AE567" s="135"/>
      <c r="AF567" s="135"/>
      <c r="AG567" s="135"/>
      <c r="AH567" s="135"/>
      <c r="AI567" s="135"/>
      <c r="AJ567" s="135"/>
      <c r="AK567" s="135"/>
      <c r="AL567" s="135"/>
      <c r="AM567" s="135"/>
      <c r="AN567" s="135"/>
      <c r="AO567" s="135"/>
      <c r="AP567" s="135"/>
      <c r="AQ567" s="135"/>
      <c r="AR567" s="135"/>
      <c r="AS567" s="135"/>
      <c r="AT567" s="135"/>
      <c r="AU567" s="135"/>
      <c r="AV567" s="135"/>
      <c r="AW567" s="135"/>
      <c r="AX567" s="135"/>
      <c r="AY567" s="135"/>
      <c r="AZ567" s="135"/>
      <c r="BA567" s="135"/>
      <c r="BB567" s="135"/>
      <c r="BC567" s="135"/>
      <c r="BD567" s="135"/>
      <c r="BE567" s="135"/>
      <c r="BF567" s="135"/>
      <c r="BG567" s="135"/>
      <c r="BH567" s="135"/>
      <c r="BI567" s="135"/>
      <c r="BJ567" s="135"/>
      <c r="BK567" s="135"/>
      <c r="BL567" s="135"/>
      <c r="BM567" s="135"/>
      <c r="BN567" s="135"/>
      <c r="BO567" s="135"/>
      <c r="BP567" s="135"/>
      <c r="BQ567" s="135"/>
      <c r="BR567" s="135"/>
      <c r="BS567" s="135"/>
      <c r="BT567" s="135"/>
    </row>
    <row r="568" spans="1:72" s="196" customFormat="1">
      <c r="A568" s="135"/>
      <c r="B568" s="135"/>
      <c r="C568" s="135"/>
      <c r="D568" s="135"/>
      <c r="E568" s="135"/>
      <c r="F568" s="135"/>
      <c r="G568" s="135"/>
      <c r="H568" s="135"/>
      <c r="I568" s="135"/>
      <c r="J568" s="135"/>
      <c r="K568" s="135"/>
      <c r="L568" s="135"/>
      <c r="M568" s="135"/>
      <c r="N568" s="135"/>
      <c r="O568" s="135"/>
      <c r="P568" s="135"/>
      <c r="Q568" s="135"/>
      <c r="R568" s="135"/>
      <c r="S568" s="135"/>
      <c r="T568" s="135"/>
      <c r="U568" s="135"/>
      <c r="V568" s="135"/>
      <c r="W568" s="135"/>
      <c r="X568" s="135"/>
      <c r="Y568" s="135"/>
      <c r="Z568" s="135"/>
      <c r="AA568" s="135"/>
      <c r="AB568" s="135"/>
      <c r="AC568" s="135"/>
      <c r="AD568" s="135"/>
      <c r="AE568" s="135"/>
      <c r="AF568" s="135"/>
      <c r="AG568" s="135"/>
      <c r="AH568" s="135"/>
      <c r="AI568" s="135"/>
      <c r="AJ568" s="135"/>
      <c r="AK568" s="135"/>
      <c r="AL568" s="135"/>
      <c r="AM568" s="135"/>
      <c r="AN568" s="135"/>
      <c r="AO568" s="135"/>
      <c r="AP568" s="135"/>
      <c r="AQ568" s="135"/>
      <c r="AR568" s="135"/>
      <c r="AS568" s="135"/>
      <c r="AT568" s="135"/>
      <c r="AU568" s="135"/>
      <c r="AV568" s="135"/>
      <c r="AW568" s="135"/>
      <c r="AX568" s="135"/>
      <c r="AY568" s="135"/>
      <c r="AZ568" s="135"/>
      <c r="BA568" s="135"/>
      <c r="BB568" s="135"/>
      <c r="BC568" s="135"/>
      <c r="BD568" s="135"/>
      <c r="BE568" s="135"/>
      <c r="BF568" s="135"/>
      <c r="BG568" s="135"/>
      <c r="BH568" s="135"/>
      <c r="BI568" s="135"/>
      <c r="BJ568" s="135"/>
      <c r="BK568" s="135"/>
      <c r="BL568" s="135"/>
      <c r="BM568" s="135"/>
      <c r="BN568" s="135"/>
      <c r="BO568" s="135"/>
      <c r="BP568" s="135"/>
      <c r="BQ568" s="135"/>
      <c r="BR568" s="135"/>
      <c r="BS568" s="135"/>
      <c r="BT568" s="135"/>
    </row>
    <row r="569" spans="1:72" s="196" customFormat="1">
      <c r="A569" s="135"/>
      <c r="B569" s="135"/>
      <c r="C569" s="135"/>
      <c r="D569" s="135"/>
      <c r="E569" s="135"/>
      <c r="F569" s="135"/>
      <c r="G569" s="135"/>
      <c r="H569" s="135"/>
      <c r="I569" s="135"/>
      <c r="J569" s="135"/>
      <c r="K569" s="135"/>
      <c r="L569" s="135"/>
      <c r="M569" s="135"/>
      <c r="N569" s="135"/>
      <c r="O569" s="135"/>
      <c r="P569" s="135"/>
      <c r="Q569" s="135"/>
      <c r="R569" s="135"/>
      <c r="S569" s="135"/>
      <c r="T569" s="135"/>
      <c r="U569" s="135"/>
      <c r="V569" s="135"/>
      <c r="W569" s="135"/>
      <c r="X569" s="135"/>
      <c r="Y569" s="135"/>
      <c r="Z569" s="135"/>
      <c r="AA569" s="135"/>
      <c r="AB569" s="135"/>
      <c r="AC569" s="135"/>
      <c r="AD569" s="135"/>
      <c r="AE569" s="135"/>
      <c r="AF569" s="135"/>
      <c r="AG569" s="135"/>
      <c r="AH569" s="135"/>
      <c r="AI569" s="135"/>
      <c r="AJ569" s="135"/>
      <c r="AK569" s="135"/>
      <c r="AL569" s="135"/>
      <c r="AM569" s="135"/>
      <c r="AN569" s="135"/>
      <c r="AO569" s="135"/>
      <c r="AP569" s="135"/>
      <c r="AQ569" s="135"/>
      <c r="AR569" s="135"/>
      <c r="AS569" s="135"/>
      <c r="AT569" s="135"/>
      <c r="AU569" s="135"/>
      <c r="AV569" s="135"/>
      <c r="AW569" s="135"/>
      <c r="AX569" s="135"/>
      <c r="AY569" s="135"/>
      <c r="AZ569" s="135"/>
      <c r="BA569" s="135"/>
      <c r="BB569" s="135"/>
      <c r="BC569" s="135"/>
      <c r="BD569" s="135"/>
      <c r="BE569" s="135"/>
      <c r="BF569" s="135"/>
      <c r="BG569" s="135"/>
      <c r="BH569" s="135"/>
      <c r="BI569" s="135"/>
      <c r="BJ569" s="135"/>
      <c r="BK569" s="135"/>
      <c r="BL569" s="135"/>
      <c r="BM569" s="135"/>
      <c r="BN569" s="135"/>
      <c r="BO569" s="135"/>
      <c r="BP569" s="135"/>
      <c r="BQ569" s="135"/>
      <c r="BR569" s="135"/>
      <c r="BS569" s="135"/>
      <c r="BT569" s="135"/>
    </row>
    <row r="570" spans="1:72" s="196" customFormat="1">
      <c r="A570" s="135"/>
      <c r="B570" s="135"/>
      <c r="C570" s="135"/>
      <c r="D570" s="135"/>
      <c r="E570" s="135"/>
      <c r="F570" s="135"/>
      <c r="G570" s="135"/>
      <c r="H570" s="135"/>
      <c r="I570" s="135"/>
      <c r="J570" s="135"/>
      <c r="K570" s="135"/>
      <c r="L570" s="135"/>
      <c r="M570" s="135"/>
      <c r="N570" s="135"/>
      <c r="O570" s="135"/>
      <c r="P570" s="135"/>
      <c r="Q570" s="135"/>
      <c r="R570" s="135"/>
      <c r="S570" s="135"/>
      <c r="T570" s="135"/>
      <c r="U570" s="135"/>
      <c r="V570" s="135"/>
      <c r="W570" s="135"/>
      <c r="X570" s="135"/>
      <c r="Y570" s="135"/>
      <c r="Z570" s="135"/>
      <c r="AA570" s="135"/>
      <c r="AB570" s="135"/>
      <c r="AC570" s="135"/>
      <c r="AD570" s="135"/>
      <c r="AE570" s="135"/>
      <c r="AF570" s="135"/>
      <c r="AG570" s="135"/>
      <c r="AH570" s="135"/>
      <c r="AI570" s="135"/>
      <c r="AJ570" s="135"/>
      <c r="AK570" s="135"/>
      <c r="AL570" s="135"/>
      <c r="AM570" s="135"/>
      <c r="AN570" s="135"/>
      <c r="AO570" s="135"/>
      <c r="AP570" s="135"/>
      <c r="AQ570" s="135"/>
      <c r="AR570" s="135"/>
      <c r="AS570" s="135"/>
      <c r="AT570" s="135"/>
      <c r="AU570" s="135"/>
      <c r="AV570" s="135"/>
      <c r="AW570" s="135"/>
      <c r="AX570" s="135"/>
      <c r="AY570" s="135"/>
      <c r="AZ570" s="135"/>
      <c r="BA570" s="135"/>
      <c r="BB570" s="135"/>
      <c r="BC570" s="135"/>
      <c r="BD570" s="135"/>
      <c r="BE570" s="135"/>
      <c r="BF570" s="135"/>
      <c r="BG570" s="135"/>
      <c r="BH570" s="135"/>
      <c r="BI570" s="135"/>
      <c r="BJ570" s="135"/>
      <c r="BK570" s="135"/>
      <c r="BL570" s="135"/>
      <c r="BM570" s="135"/>
      <c r="BN570" s="135"/>
      <c r="BO570" s="135"/>
      <c r="BP570" s="135"/>
      <c r="BQ570" s="135"/>
      <c r="BR570" s="135"/>
      <c r="BS570" s="135"/>
      <c r="BT570" s="135"/>
    </row>
    <row r="571" spans="1:72" s="196" customFormat="1">
      <c r="A571" s="135"/>
      <c r="B571" s="135"/>
      <c r="C571" s="135"/>
      <c r="D571" s="135"/>
      <c r="E571" s="135"/>
      <c r="F571" s="135"/>
      <c r="G571" s="135"/>
      <c r="H571" s="135"/>
      <c r="I571" s="135"/>
      <c r="J571" s="135"/>
      <c r="K571" s="135"/>
      <c r="L571" s="135"/>
      <c r="M571" s="135"/>
      <c r="N571" s="135"/>
      <c r="O571" s="135"/>
      <c r="P571" s="135"/>
      <c r="Q571" s="135"/>
      <c r="R571" s="135"/>
      <c r="S571" s="135"/>
      <c r="T571" s="135"/>
      <c r="U571" s="135"/>
      <c r="V571" s="135"/>
      <c r="W571" s="135"/>
      <c r="X571" s="135"/>
      <c r="Y571" s="135"/>
      <c r="Z571" s="135"/>
      <c r="AA571" s="135"/>
      <c r="AB571" s="135"/>
      <c r="AC571" s="135"/>
      <c r="AD571" s="135"/>
      <c r="AE571" s="135"/>
      <c r="AF571" s="135"/>
      <c r="AG571" s="135"/>
      <c r="AH571" s="135"/>
      <c r="AI571" s="135"/>
      <c r="AJ571" s="135"/>
      <c r="AK571" s="135"/>
      <c r="AL571" s="135"/>
      <c r="AM571" s="135"/>
      <c r="AN571" s="135"/>
      <c r="AO571" s="135"/>
      <c r="AP571" s="135"/>
      <c r="AQ571" s="135"/>
      <c r="AR571" s="135"/>
      <c r="AS571" s="135"/>
      <c r="AT571" s="135"/>
      <c r="AU571" s="135"/>
      <c r="AV571" s="135"/>
      <c r="AW571" s="135"/>
      <c r="AX571" s="135"/>
      <c r="AY571" s="135"/>
      <c r="AZ571" s="135"/>
      <c r="BA571" s="135"/>
      <c r="BB571" s="135"/>
      <c r="BC571" s="135"/>
      <c r="BD571" s="135"/>
      <c r="BE571" s="135"/>
      <c r="BF571" s="135"/>
      <c r="BG571" s="135"/>
      <c r="BH571" s="135"/>
      <c r="BI571" s="135"/>
      <c r="BJ571" s="135"/>
      <c r="BK571" s="135"/>
      <c r="BL571" s="135"/>
      <c r="BM571" s="135"/>
      <c r="BN571" s="135"/>
      <c r="BO571" s="135"/>
      <c r="BP571" s="135"/>
      <c r="BQ571" s="135"/>
      <c r="BR571" s="135"/>
      <c r="BS571" s="135"/>
      <c r="BT571" s="135"/>
    </row>
    <row r="572" spans="1:72" s="196" customFormat="1">
      <c r="A572" s="135"/>
      <c r="B572" s="135"/>
      <c r="C572" s="135"/>
      <c r="D572" s="135"/>
      <c r="E572" s="135"/>
      <c r="F572" s="135"/>
      <c r="G572" s="135"/>
      <c r="H572" s="135"/>
      <c r="I572" s="135"/>
      <c r="J572" s="135"/>
      <c r="K572" s="135"/>
      <c r="L572" s="135"/>
      <c r="M572" s="135"/>
      <c r="N572" s="135"/>
      <c r="O572" s="135"/>
      <c r="P572" s="135"/>
      <c r="Q572" s="135"/>
      <c r="R572" s="135"/>
      <c r="S572" s="135"/>
      <c r="T572" s="135"/>
      <c r="U572" s="135"/>
      <c r="V572" s="135"/>
      <c r="W572" s="135"/>
      <c r="X572" s="135"/>
      <c r="Y572" s="135"/>
      <c r="Z572" s="135"/>
      <c r="AA572" s="135"/>
      <c r="AB572" s="135"/>
      <c r="AC572" s="135"/>
      <c r="AD572" s="135"/>
      <c r="AE572" s="135"/>
      <c r="AF572" s="135"/>
      <c r="AG572" s="135"/>
      <c r="AH572" s="135"/>
      <c r="AI572" s="135"/>
      <c r="AJ572" s="135"/>
      <c r="AK572" s="135"/>
      <c r="AL572" s="135"/>
      <c r="AM572" s="135"/>
      <c r="AN572" s="135"/>
      <c r="AO572" s="135"/>
      <c r="AP572" s="135"/>
      <c r="AQ572" s="135"/>
      <c r="AR572" s="135"/>
      <c r="AS572" s="135"/>
      <c r="AT572" s="135"/>
      <c r="AU572" s="135"/>
      <c r="AV572" s="135"/>
      <c r="AW572" s="135"/>
      <c r="AX572" s="135"/>
      <c r="AY572" s="135"/>
      <c r="AZ572" s="135"/>
      <c r="BA572" s="135"/>
      <c r="BB572" s="135"/>
      <c r="BC572" s="135"/>
      <c r="BD572" s="135"/>
      <c r="BE572" s="135"/>
      <c r="BF572" s="135"/>
      <c r="BG572" s="135"/>
      <c r="BH572" s="135"/>
      <c r="BI572" s="135"/>
      <c r="BJ572" s="135"/>
      <c r="BK572" s="135"/>
      <c r="BL572" s="135"/>
      <c r="BM572" s="135"/>
      <c r="BN572" s="135"/>
      <c r="BO572" s="135"/>
      <c r="BP572" s="135"/>
      <c r="BQ572" s="135"/>
      <c r="BR572" s="135"/>
      <c r="BS572" s="135"/>
      <c r="BT572" s="135"/>
    </row>
    <row r="573" spans="1:72" s="196" customFormat="1">
      <c r="A573" s="135"/>
      <c r="B573" s="135"/>
      <c r="C573" s="135"/>
      <c r="D573" s="135"/>
      <c r="E573" s="135"/>
      <c r="F573" s="135"/>
      <c r="G573" s="135"/>
      <c r="H573" s="135"/>
      <c r="I573" s="135"/>
      <c r="J573" s="135"/>
      <c r="K573" s="135"/>
      <c r="L573" s="135"/>
      <c r="M573" s="135"/>
      <c r="N573" s="135"/>
      <c r="O573" s="135"/>
      <c r="P573" s="135"/>
      <c r="Q573" s="135"/>
      <c r="R573" s="135"/>
      <c r="S573" s="135"/>
      <c r="T573" s="135"/>
      <c r="U573" s="135"/>
      <c r="V573" s="135"/>
      <c r="W573" s="135"/>
      <c r="X573" s="135"/>
      <c r="Y573" s="135"/>
      <c r="Z573" s="135"/>
      <c r="AA573" s="135"/>
      <c r="AB573" s="135"/>
      <c r="AC573" s="135"/>
      <c r="AD573" s="135"/>
      <c r="AE573" s="135"/>
      <c r="AF573" s="135"/>
      <c r="AG573" s="135"/>
      <c r="AH573" s="135"/>
      <c r="AI573" s="135"/>
      <c r="AJ573" s="135"/>
      <c r="AK573" s="135"/>
      <c r="AL573" s="135"/>
      <c r="AM573" s="135"/>
      <c r="AN573" s="135"/>
      <c r="AO573" s="135"/>
      <c r="AP573" s="135"/>
      <c r="AQ573" s="135"/>
      <c r="AR573" s="135"/>
      <c r="AS573" s="135"/>
      <c r="AT573" s="135"/>
      <c r="AU573" s="135"/>
      <c r="AV573" s="135"/>
      <c r="AW573" s="135"/>
      <c r="AX573" s="135"/>
      <c r="AY573" s="135"/>
      <c r="AZ573" s="135"/>
      <c r="BA573" s="135"/>
      <c r="BB573" s="135"/>
      <c r="BC573" s="135"/>
      <c r="BD573" s="135"/>
      <c r="BE573" s="135"/>
      <c r="BF573" s="135"/>
      <c r="BG573" s="135"/>
      <c r="BH573" s="135"/>
      <c r="BI573" s="135"/>
      <c r="BJ573" s="135"/>
      <c r="BK573" s="135"/>
      <c r="BL573" s="135"/>
      <c r="BM573" s="135"/>
      <c r="BN573" s="135"/>
      <c r="BO573" s="135"/>
      <c r="BP573" s="135"/>
      <c r="BQ573" s="135"/>
      <c r="BR573" s="135"/>
      <c r="BS573" s="135"/>
      <c r="BT573" s="135"/>
    </row>
    <row r="574" spans="1:72" s="196" customFormat="1">
      <c r="A574" s="135"/>
      <c r="B574" s="135"/>
      <c r="C574" s="135"/>
      <c r="D574" s="135"/>
      <c r="E574" s="135"/>
      <c r="F574" s="135"/>
      <c r="G574" s="135"/>
      <c r="H574" s="135"/>
      <c r="I574" s="135"/>
      <c r="J574" s="135"/>
      <c r="K574" s="135"/>
      <c r="L574" s="135"/>
      <c r="M574" s="135"/>
      <c r="N574" s="135"/>
      <c r="O574" s="135"/>
      <c r="P574" s="135"/>
      <c r="Q574" s="135"/>
      <c r="R574" s="135"/>
      <c r="S574" s="135"/>
      <c r="T574" s="135"/>
      <c r="U574" s="135"/>
      <c r="V574" s="135"/>
      <c r="W574" s="135"/>
      <c r="X574" s="135"/>
      <c r="Y574" s="135"/>
      <c r="Z574" s="135"/>
      <c r="AA574" s="135"/>
      <c r="AB574" s="135"/>
      <c r="AC574" s="135"/>
      <c r="AD574" s="135"/>
      <c r="AE574" s="135"/>
      <c r="AF574" s="135"/>
      <c r="AG574" s="135"/>
      <c r="AH574" s="135"/>
      <c r="AI574" s="135"/>
      <c r="AJ574" s="135"/>
      <c r="AK574" s="135"/>
      <c r="AL574" s="135"/>
      <c r="AM574" s="135"/>
      <c r="AN574" s="135"/>
      <c r="AO574" s="135"/>
      <c r="AP574" s="135"/>
      <c r="AQ574" s="135"/>
      <c r="AR574" s="135"/>
      <c r="AS574" s="135"/>
      <c r="AT574" s="135"/>
      <c r="AU574" s="135"/>
      <c r="AV574" s="135"/>
      <c r="AW574" s="135"/>
      <c r="AX574" s="135"/>
      <c r="AY574" s="135"/>
      <c r="AZ574" s="135"/>
      <c r="BA574" s="135"/>
      <c r="BB574" s="135"/>
      <c r="BC574" s="135"/>
      <c r="BD574" s="135"/>
      <c r="BE574" s="135"/>
      <c r="BF574" s="135"/>
      <c r="BG574" s="135"/>
      <c r="BH574" s="135"/>
      <c r="BI574" s="135"/>
      <c r="BJ574" s="135"/>
      <c r="BK574" s="135"/>
      <c r="BL574" s="135"/>
      <c r="BM574" s="135"/>
      <c r="BN574" s="135"/>
      <c r="BO574" s="135"/>
      <c r="BP574" s="135"/>
      <c r="BQ574" s="135"/>
      <c r="BR574" s="135"/>
      <c r="BS574" s="135"/>
      <c r="BT574" s="135"/>
    </row>
    <row r="575" spans="1:72" s="196" customFormat="1">
      <c r="A575" s="135"/>
      <c r="B575" s="135"/>
      <c r="C575" s="135"/>
      <c r="D575" s="135"/>
      <c r="E575" s="135"/>
      <c r="F575" s="135"/>
      <c r="G575" s="135"/>
      <c r="H575" s="135"/>
      <c r="I575" s="135"/>
      <c r="J575" s="135"/>
      <c r="K575" s="135"/>
      <c r="L575" s="135"/>
      <c r="M575" s="135"/>
      <c r="N575" s="135"/>
      <c r="O575" s="135"/>
      <c r="P575" s="135"/>
      <c r="Q575" s="135"/>
      <c r="R575" s="135"/>
      <c r="S575" s="135"/>
      <c r="T575" s="135"/>
      <c r="U575" s="135"/>
      <c r="V575" s="135"/>
      <c r="W575" s="135"/>
      <c r="X575" s="135"/>
      <c r="Y575" s="135"/>
      <c r="Z575" s="135"/>
      <c r="AA575" s="135"/>
      <c r="AB575" s="135"/>
      <c r="AC575" s="135"/>
      <c r="AD575" s="135"/>
      <c r="AE575" s="135"/>
      <c r="AF575" s="135"/>
      <c r="AG575" s="135"/>
      <c r="AH575" s="135"/>
      <c r="AI575" s="135"/>
      <c r="AJ575" s="135"/>
      <c r="AK575" s="135"/>
      <c r="AL575" s="135"/>
      <c r="AM575" s="135"/>
      <c r="AN575" s="135"/>
      <c r="AO575" s="135"/>
      <c r="AP575" s="135"/>
      <c r="AQ575" s="135"/>
      <c r="AR575" s="135"/>
      <c r="AS575" s="135"/>
      <c r="AT575" s="135"/>
      <c r="AU575" s="135"/>
      <c r="AV575" s="135"/>
      <c r="AW575" s="135"/>
      <c r="AX575" s="135"/>
      <c r="AY575" s="135"/>
      <c r="AZ575" s="135"/>
      <c r="BA575" s="135"/>
      <c r="BB575" s="135"/>
      <c r="BC575" s="135"/>
      <c r="BD575" s="135"/>
      <c r="BE575" s="135"/>
      <c r="BF575" s="135"/>
      <c r="BG575" s="135"/>
      <c r="BH575" s="135"/>
      <c r="BI575" s="135"/>
      <c r="BJ575" s="135"/>
      <c r="BK575" s="135"/>
      <c r="BL575" s="135"/>
      <c r="BM575" s="135"/>
      <c r="BN575" s="135"/>
      <c r="BO575" s="135"/>
      <c r="BP575" s="135"/>
      <c r="BQ575" s="135"/>
      <c r="BR575" s="135"/>
      <c r="BS575" s="135"/>
      <c r="BT575" s="135"/>
    </row>
    <row r="576" spans="1:72" s="196" customFormat="1">
      <c r="A576" s="135"/>
      <c r="B576" s="135"/>
      <c r="C576" s="135"/>
      <c r="D576" s="135"/>
      <c r="E576" s="135"/>
      <c r="F576" s="135"/>
      <c r="G576" s="135"/>
      <c r="H576" s="135"/>
      <c r="I576" s="135"/>
      <c r="J576" s="135"/>
      <c r="K576" s="135"/>
      <c r="L576" s="135"/>
      <c r="M576" s="135"/>
      <c r="N576" s="135"/>
      <c r="O576" s="135"/>
      <c r="P576" s="135"/>
      <c r="Q576" s="135"/>
      <c r="R576" s="135"/>
      <c r="S576" s="135"/>
      <c r="T576" s="135"/>
      <c r="U576" s="135"/>
      <c r="V576" s="135"/>
      <c r="W576" s="135"/>
      <c r="X576" s="135"/>
      <c r="Y576" s="135"/>
      <c r="Z576" s="135"/>
      <c r="AA576" s="135"/>
      <c r="AB576" s="135"/>
      <c r="AC576" s="135"/>
      <c r="AD576" s="135"/>
      <c r="AE576" s="135"/>
      <c r="AF576" s="135"/>
      <c r="AG576" s="135"/>
      <c r="AH576" s="135"/>
      <c r="AI576" s="135"/>
      <c r="AJ576" s="135"/>
      <c r="AK576" s="135"/>
      <c r="AL576" s="135"/>
      <c r="AM576" s="135"/>
      <c r="AN576" s="135"/>
      <c r="AO576" s="135"/>
      <c r="AP576" s="135"/>
      <c r="AQ576" s="135"/>
      <c r="AR576" s="135"/>
      <c r="AS576" s="135"/>
      <c r="AT576" s="135"/>
      <c r="AU576" s="135"/>
      <c r="AV576" s="135"/>
      <c r="AW576" s="135"/>
      <c r="AX576" s="135"/>
      <c r="AY576" s="135"/>
      <c r="AZ576" s="135"/>
      <c r="BA576" s="135"/>
      <c r="BB576" s="135"/>
      <c r="BC576" s="135"/>
      <c r="BD576" s="135"/>
      <c r="BE576" s="135"/>
      <c r="BF576" s="135"/>
      <c r="BG576" s="135"/>
      <c r="BH576" s="135"/>
      <c r="BI576" s="135"/>
      <c r="BJ576" s="135"/>
      <c r="BK576" s="135"/>
      <c r="BL576" s="135"/>
      <c r="BM576" s="135"/>
      <c r="BN576" s="135"/>
      <c r="BO576" s="135"/>
      <c r="BP576" s="135"/>
      <c r="BQ576" s="135"/>
      <c r="BR576" s="135"/>
      <c r="BS576" s="135"/>
      <c r="BT576" s="135"/>
    </row>
    <row r="577" spans="1:72" s="196" customFormat="1">
      <c r="A577" s="135"/>
      <c r="B577" s="135"/>
      <c r="C577" s="135"/>
      <c r="D577" s="135"/>
      <c r="E577" s="135"/>
      <c r="F577" s="135"/>
      <c r="G577" s="135"/>
      <c r="H577" s="135"/>
      <c r="I577" s="135"/>
      <c r="J577" s="135"/>
      <c r="K577" s="135"/>
      <c r="L577" s="135"/>
      <c r="M577" s="135"/>
      <c r="N577" s="135"/>
      <c r="O577" s="135"/>
      <c r="P577" s="135"/>
      <c r="Q577" s="135"/>
      <c r="R577" s="135"/>
      <c r="S577" s="135"/>
      <c r="T577" s="135"/>
      <c r="U577" s="135"/>
      <c r="V577" s="135"/>
      <c r="W577" s="135"/>
      <c r="X577" s="135"/>
      <c r="Y577" s="135"/>
      <c r="Z577" s="135"/>
      <c r="AA577" s="135"/>
      <c r="AB577" s="135"/>
      <c r="AC577" s="135"/>
      <c r="AD577" s="135"/>
      <c r="AE577" s="135"/>
      <c r="AF577" s="135"/>
      <c r="AG577" s="135"/>
      <c r="AH577" s="135"/>
      <c r="AI577" s="135"/>
      <c r="AJ577" s="135"/>
      <c r="AK577" s="135"/>
      <c r="AL577" s="135"/>
      <c r="AM577" s="135"/>
      <c r="AN577" s="135"/>
      <c r="AO577" s="135"/>
      <c r="AP577" s="135"/>
      <c r="AQ577" s="135"/>
      <c r="AR577" s="135"/>
      <c r="AS577" s="135"/>
      <c r="AT577" s="135"/>
      <c r="AU577" s="135"/>
      <c r="AV577" s="135"/>
      <c r="AW577" s="135"/>
      <c r="AX577" s="135"/>
      <c r="AY577" s="135"/>
      <c r="AZ577" s="135"/>
      <c r="BA577" s="135"/>
      <c r="BB577" s="135"/>
      <c r="BC577" s="135"/>
      <c r="BD577" s="135"/>
      <c r="BE577" s="135"/>
      <c r="BF577" s="135"/>
      <c r="BG577" s="135"/>
      <c r="BH577" s="135"/>
      <c r="BI577" s="135"/>
      <c r="BJ577" s="135"/>
      <c r="BK577" s="135"/>
      <c r="BL577" s="135"/>
      <c r="BM577" s="135"/>
      <c r="BN577" s="135"/>
      <c r="BO577" s="135"/>
      <c r="BP577" s="135"/>
      <c r="BQ577" s="135"/>
      <c r="BR577" s="135"/>
      <c r="BS577" s="135"/>
      <c r="BT577" s="135"/>
    </row>
    <row r="578" spans="1:72" s="196" customFormat="1">
      <c r="A578" s="135"/>
      <c r="B578" s="135"/>
      <c r="C578" s="135"/>
      <c r="D578" s="135"/>
      <c r="E578" s="135"/>
      <c r="F578" s="135"/>
      <c r="G578" s="135"/>
      <c r="H578" s="135"/>
      <c r="I578" s="135"/>
      <c r="J578" s="135"/>
      <c r="K578" s="135"/>
      <c r="L578" s="135"/>
      <c r="M578" s="135"/>
      <c r="N578" s="135"/>
      <c r="O578" s="135"/>
      <c r="P578" s="135"/>
      <c r="Q578" s="135"/>
      <c r="R578" s="135"/>
      <c r="S578" s="135"/>
      <c r="T578" s="135"/>
      <c r="U578" s="135"/>
      <c r="V578" s="135"/>
      <c r="W578" s="135"/>
      <c r="X578" s="135"/>
      <c r="Y578" s="135"/>
      <c r="Z578" s="135"/>
      <c r="AA578" s="135"/>
      <c r="AB578" s="135"/>
      <c r="AC578" s="135"/>
      <c r="AD578" s="135"/>
      <c r="AE578" s="135"/>
      <c r="AF578" s="135"/>
      <c r="AG578" s="135"/>
      <c r="AH578" s="135"/>
      <c r="AI578" s="135"/>
      <c r="AJ578" s="135"/>
      <c r="AK578" s="135"/>
      <c r="AL578" s="135"/>
      <c r="AM578" s="135"/>
      <c r="AN578" s="135"/>
      <c r="AO578" s="135"/>
      <c r="AP578" s="135"/>
      <c r="AQ578" s="135"/>
      <c r="AR578" s="135"/>
      <c r="AS578" s="135"/>
      <c r="AT578" s="135"/>
      <c r="AU578" s="135"/>
      <c r="AV578" s="135"/>
      <c r="AW578" s="135"/>
      <c r="AX578" s="135"/>
      <c r="AY578" s="135"/>
      <c r="AZ578" s="135"/>
      <c r="BA578" s="135"/>
      <c r="BB578" s="135"/>
      <c r="BC578" s="135"/>
      <c r="BD578" s="135"/>
      <c r="BE578" s="135"/>
      <c r="BF578" s="135"/>
      <c r="BG578" s="135"/>
      <c r="BH578" s="135"/>
      <c r="BI578" s="135"/>
      <c r="BJ578" s="135"/>
      <c r="BK578" s="135"/>
      <c r="BL578" s="135"/>
      <c r="BM578" s="135"/>
      <c r="BN578" s="135"/>
      <c r="BO578" s="135"/>
      <c r="BP578" s="135"/>
      <c r="BQ578" s="135"/>
      <c r="BR578" s="135"/>
      <c r="BS578" s="135"/>
      <c r="BT578" s="135"/>
    </row>
    <row r="579" spans="1:72" s="196" customFormat="1">
      <c r="A579" s="135"/>
      <c r="B579" s="135"/>
      <c r="C579" s="135"/>
      <c r="D579" s="135"/>
      <c r="E579" s="135"/>
      <c r="F579" s="135"/>
      <c r="G579" s="135"/>
      <c r="H579" s="135"/>
      <c r="I579" s="135"/>
      <c r="J579" s="135"/>
      <c r="K579" s="135"/>
      <c r="L579" s="135"/>
      <c r="M579" s="135"/>
      <c r="N579" s="135"/>
      <c r="O579" s="135"/>
      <c r="P579" s="135"/>
      <c r="Q579" s="135"/>
      <c r="R579" s="135"/>
      <c r="S579" s="135"/>
      <c r="T579" s="135"/>
      <c r="U579" s="135"/>
      <c r="V579" s="135"/>
      <c r="W579" s="135"/>
      <c r="X579" s="135"/>
      <c r="Y579" s="135"/>
      <c r="Z579" s="135"/>
      <c r="AA579" s="135"/>
      <c r="AB579" s="135"/>
      <c r="AC579" s="135"/>
      <c r="AD579" s="135"/>
      <c r="AE579" s="135"/>
      <c r="AF579" s="135"/>
      <c r="AG579" s="135"/>
      <c r="AH579" s="135"/>
      <c r="AI579" s="135"/>
      <c r="AJ579" s="135"/>
      <c r="AK579" s="135"/>
      <c r="AL579" s="135"/>
      <c r="AM579" s="135"/>
      <c r="AN579" s="135"/>
      <c r="AO579" s="135"/>
      <c r="AP579" s="135"/>
      <c r="AQ579" s="135"/>
      <c r="AR579" s="135"/>
      <c r="AS579" s="135"/>
      <c r="AT579" s="135"/>
      <c r="AU579" s="135"/>
      <c r="AV579" s="135"/>
      <c r="AW579" s="135"/>
      <c r="AX579" s="135"/>
      <c r="AY579" s="135"/>
      <c r="AZ579" s="135"/>
      <c r="BA579" s="135"/>
      <c r="BB579" s="135"/>
      <c r="BC579" s="135"/>
      <c r="BD579" s="135"/>
      <c r="BE579" s="135"/>
      <c r="BF579" s="135"/>
      <c r="BG579" s="135"/>
      <c r="BH579" s="135"/>
      <c r="BI579" s="135"/>
      <c r="BJ579" s="135"/>
      <c r="BK579" s="135"/>
      <c r="BL579" s="135"/>
      <c r="BM579" s="135"/>
      <c r="BN579" s="135"/>
      <c r="BO579" s="135"/>
      <c r="BP579" s="135"/>
      <c r="BQ579" s="135"/>
      <c r="BR579" s="135"/>
      <c r="BS579" s="135"/>
      <c r="BT579" s="135"/>
    </row>
    <row r="580" spans="1:72" s="196" customFormat="1">
      <c r="A580" s="135"/>
      <c r="B580" s="135"/>
      <c r="C580" s="135"/>
      <c r="D580" s="135"/>
      <c r="E580" s="135"/>
      <c r="F580" s="135"/>
      <c r="G580" s="135"/>
      <c r="H580" s="135"/>
      <c r="I580" s="135"/>
      <c r="J580" s="135"/>
      <c r="K580" s="135"/>
      <c r="L580" s="135"/>
      <c r="M580" s="135"/>
      <c r="N580" s="135"/>
      <c r="O580" s="135"/>
      <c r="P580" s="135"/>
      <c r="Q580" s="135"/>
      <c r="R580" s="135"/>
      <c r="S580" s="135"/>
      <c r="T580" s="135"/>
      <c r="U580" s="135"/>
      <c r="V580" s="135"/>
      <c r="W580" s="135"/>
      <c r="X580" s="135"/>
      <c r="Y580" s="135"/>
      <c r="Z580" s="135"/>
      <c r="AA580" s="135"/>
      <c r="AB580" s="135"/>
      <c r="AC580" s="135"/>
      <c r="AD580" s="135"/>
      <c r="AE580" s="135"/>
      <c r="AF580" s="135"/>
      <c r="AG580" s="135"/>
      <c r="AH580" s="135"/>
      <c r="AI580" s="135"/>
      <c r="AJ580" s="135"/>
      <c r="AK580" s="135"/>
      <c r="AL580" s="135"/>
      <c r="AM580" s="135"/>
      <c r="AN580" s="135"/>
      <c r="AO580" s="135"/>
      <c r="AP580" s="135"/>
      <c r="AQ580" s="135"/>
      <c r="AR580" s="135"/>
      <c r="AS580" s="135"/>
      <c r="AT580" s="135"/>
      <c r="AU580" s="135"/>
      <c r="AV580" s="135"/>
      <c r="AW580" s="135"/>
      <c r="AX580" s="135"/>
      <c r="AY580" s="135"/>
      <c r="AZ580" s="135"/>
      <c r="BA580" s="135"/>
      <c r="BB580" s="135"/>
      <c r="BC580" s="135"/>
      <c r="BD580" s="135"/>
      <c r="BE580" s="135"/>
      <c r="BF580" s="135"/>
      <c r="BG580" s="135"/>
      <c r="BH580" s="135"/>
      <c r="BI580" s="135"/>
      <c r="BJ580" s="135"/>
      <c r="BK580" s="135"/>
      <c r="BL580" s="135"/>
      <c r="BM580" s="135"/>
      <c r="BN580" s="135"/>
      <c r="BO580" s="135"/>
      <c r="BP580" s="135"/>
      <c r="BQ580" s="135"/>
      <c r="BR580" s="135"/>
      <c r="BS580" s="135"/>
      <c r="BT580" s="135"/>
    </row>
    <row r="581" spans="1:72" s="196" customFormat="1">
      <c r="A581" s="135"/>
      <c r="B581" s="135"/>
      <c r="C581" s="135"/>
      <c r="D581" s="135"/>
      <c r="E581" s="135"/>
      <c r="F581" s="135"/>
      <c r="G581" s="135"/>
      <c r="H581" s="135"/>
      <c r="I581" s="135"/>
      <c r="J581" s="135"/>
      <c r="K581" s="135"/>
      <c r="L581" s="135"/>
      <c r="M581" s="135"/>
      <c r="N581" s="135"/>
      <c r="O581" s="135"/>
      <c r="P581" s="135"/>
      <c r="Q581" s="135"/>
      <c r="R581" s="135"/>
      <c r="S581" s="135"/>
      <c r="T581" s="135"/>
      <c r="U581" s="135"/>
      <c r="V581" s="135"/>
      <c r="W581" s="135"/>
      <c r="X581" s="135"/>
      <c r="Y581" s="135"/>
      <c r="Z581" s="135"/>
      <c r="AA581" s="135"/>
      <c r="AB581" s="135"/>
      <c r="AC581" s="135"/>
      <c r="AD581" s="135"/>
      <c r="AE581" s="135"/>
      <c r="AF581" s="135"/>
      <c r="AG581" s="135"/>
      <c r="AH581" s="135"/>
      <c r="AI581" s="135"/>
      <c r="AJ581" s="135"/>
      <c r="AK581" s="135"/>
      <c r="AL581" s="135"/>
      <c r="AM581" s="135"/>
      <c r="AN581" s="135"/>
      <c r="AO581" s="135"/>
      <c r="AP581" s="135"/>
      <c r="AQ581" s="135"/>
      <c r="AR581" s="135"/>
      <c r="AS581" s="135"/>
      <c r="AT581" s="135"/>
      <c r="AU581" s="135"/>
      <c r="AV581" s="135"/>
      <c r="AW581" s="135"/>
      <c r="AX581" s="135"/>
      <c r="AY581" s="135"/>
      <c r="AZ581" s="135"/>
      <c r="BA581" s="135"/>
      <c r="BB581" s="135"/>
      <c r="BC581" s="135"/>
      <c r="BD581" s="135"/>
      <c r="BE581" s="135"/>
      <c r="BF581" s="135"/>
      <c r="BG581" s="135"/>
      <c r="BH581" s="135"/>
      <c r="BI581" s="135"/>
      <c r="BJ581" s="135"/>
      <c r="BK581" s="135"/>
      <c r="BL581" s="135"/>
      <c r="BM581" s="135"/>
      <c r="BN581" s="135"/>
      <c r="BO581" s="135"/>
      <c r="BP581" s="135"/>
      <c r="BQ581" s="135"/>
      <c r="BR581" s="135"/>
      <c r="BS581" s="135"/>
      <c r="BT581" s="135"/>
    </row>
    <row r="582" spans="1:72" s="196" customFormat="1">
      <c r="A582" s="135"/>
      <c r="B582" s="135"/>
      <c r="C582" s="135"/>
      <c r="D582" s="135"/>
      <c r="E582" s="135"/>
      <c r="F582" s="135"/>
      <c r="G582" s="135"/>
      <c r="H582" s="135"/>
      <c r="I582" s="135"/>
      <c r="J582" s="135"/>
      <c r="K582" s="135"/>
      <c r="L582" s="135"/>
      <c r="M582" s="135"/>
      <c r="N582" s="135"/>
      <c r="O582" s="135"/>
      <c r="P582" s="135"/>
      <c r="Q582" s="135"/>
      <c r="R582" s="135"/>
      <c r="S582" s="135"/>
      <c r="T582" s="135"/>
      <c r="U582" s="135"/>
      <c r="V582" s="135"/>
      <c r="W582" s="135"/>
      <c r="X582" s="135"/>
      <c r="Y582" s="135"/>
      <c r="Z582" s="135"/>
      <c r="AA582" s="135"/>
      <c r="AB582" s="135"/>
      <c r="AC582" s="135"/>
      <c r="AD582" s="135"/>
      <c r="AE582" s="135"/>
      <c r="AF582" s="135"/>
      <c r="AG582" s="135"/>
      <c r="AH582" s="135"/>
      <c r="AI582" s="135"/>
      <c r="AJ582" s="135"/>
      <c r="AK582" s="135"/>
      <c r="AL582" s="135"/>
      <c r="AM582" s="135"/>
      <c r="AN582" s="135"/>
      <c r="AO582" s="135"/>
      <c r="AP582" s="135"/>
      <c r="AQ582" s="135"/>
      <c r="AR582" s="135"/>
      <c r="AS582" s="135"/>
      <c r="AT582" s="135"/>
      <c r="AU582" s="135"/>
      <c r="AV582" s="135"/>
      <c r="AW582" s="135"/>
      <c r="AX582" s="135"/>
      <c r="AY582" s="135"/>
      <c r="AZ582" s="135"/>
      <c r="BA582" s="135"/>
      <c r="BB582" s="135"/>
      <c r="BC582" s="135"/>
      <c r="BD582" s="135"/>
      <c r="BE582" s="135"/>
      <c r="BF582" s="135"/>
      <c r="BG582" s="135"/>
      <c r="BH582" s="135"/>
      <c r="BI582" s="135"/>
      <c r="BJ582" s="135"/>
      <c r="BK582" s="135"/>
      <c r="BL582" s="135"/>
      <c r="BM582" s="135"/>
      <c r="BN582" s="135"/>
      <c r="BO582" s="135"/>
      <c r="BP582" s="135"/>
      <c r="BQ582" s="135"/>
      <c r="BR582" s="135"/>
      <c r="BS582" s="135"/>
      <c r="BT582" s="135"/>
    </row>
    <row r="583" spans="1:72" s="196" customFormat="1">
      <c r="A583" s="135"/>
      <c r="B583" s="135"/>
      <c r="C583" s="135"/>
      <c r="D583" s="135"/>
      <c r="E583" s="135"/>
      <c r="F583" s="135"/>
      <c r="G583" s="135"/>
      <c r="H583" s="135"/>
      <c r="I583" s="135"/>
      <c r="J583" s="135"/>
      <c r="K583" s="135"/>
      <c r="L583" s="135"/>
      <c r="M583" s="135"/>
      <c r="N583" s="135"/>
      <c r="O583" s="135"/>
      <c r="P583" s="135"/>
      <c r="Q583" s="135"/>
      <c r="R583" s="135"/>
      <c r="S583" s="135"/>
      <c r="T583" s="135"/>
      <c r="U583" s="135"/>
      <c r="V583" s="135"/>
      <c r="W583" s="135"/>
      <c r="X583" s="135"/>
      <c r="Y583" s="135"/>
      <c r="Z583" s="135"/>
      <c r="AA583" s="135"/>
      <c r="AB583" s="135"/>
      <c r="AC583" s="135"/>
      <c r="AD583" s="135"/>
      <c r="AE583" s="135"/>
      <c r="AF583" s="135"/>
      <c r="AG583" s="135"/>
      <c r="AH583" s="135"/>
      <c r="AI583" s="135"/>
      <c r="AJ583" s="135"/>
      <c r="AK583" s="135"/>
      <c r="AL583" s="135"/>
      <c r="AM583" s="135"/>
      <c r="AN583" s="135"/>
      <c r="AO583" s="135"/>
      <c r="AP583" s="135"/>
      <c r="AQ583" s="135"/>
      <c r="AR583" s="135"/>
      <c r="AS583" s="135"/>
      <c r="AT583" s="135"/>
      <c r="AU583" s="135"/>
      <c r="AV583" s="135"/>
      <c r="AW583" s="135"/>
      <c r="AX583" s="135"/>
      <c r="AY583" s="135"/>
      <c r="AZ583" s="135"/>
      <c r="BA583" s="135"/>
      <c r="BB583" s="135"/>
      <c r="BC583" s="135"/>
      <c r="BD583" s="135"/>
      <c r="BE583" s="135"/>
      <c r="BF583" s="135"/>
      <c r="BG583" s="135"/>
      <c r="BH583" s="135"/>
      <c r="BI583" s="135"/>
      <c r="BJ583" s="135"/>
      <c r="BK583" s="135"/>
      <c r="BL583" s="135"/>
      <c r="BM583" s="135"/>
      <c r="BN583" s="135"/>
      <c r="BO583" s="135"/>
      <c r="BP583" s="135"/>
      <c r="BQ583" s="135"/>
      <c r="BR583" s="135"/>
      <c r="BS583" s="135"/>
      <c r="BT583" s="135"/>
    </row>
    <row r="584" spans="1:72" s="196" customFormat="1">
      <c r="A584" s="135"/>
      <c r="B584" s="135"/>
      <c r="C584" s="135"/>
      <c r="D584" s="135"/>
      <c r="E584" s="135"/>
      <c r="F584" s="135"/>
      <c r="G584" s="135"/>
      <c r="H584" s="135"/>
      <c r="I584" s="135"/>
      <c r="J584" s="135"/>
      <c r="K584" s="135"/>
      <c r="L584" s="135"/>
      <c r="M584" s="135"/>
      <c r="N584" s="135"/>
      <c r="O584" s="135"/>
      <c r="P584" s="135"/>
      <c r="Q584" s="135"/>
      <c r="R584" s="135"/>
      <c r="S584" s="135"/>
      <c r="T584" s="135"/>
      <c r="U584" s="135"/>
      <c r="V584" s="135"/>
      <c r="W584" s="135"/>
      <c r="X584" s="135"/>
      <c r="Y584" s="135"/>
      <c r="Z584" s="135"/>
      <c r="AA584" s="135"/>
      <c r="AB584" s="135"/>
      <c r="AC584" s="135"/>
      <c r="AD584" s="135"/>
      <c r="AE584" s="135"/>
      <c r="AF584" s="135"/>
      <c r="AG584" s="135"/>
      <c r="AH584" s="135"/>
      <c r="AI584" s="135"/>
      <c r="AJ584" s="135"/>
      <c r="AK584" s="135"/>
      <c r="AL584" s="135"/>
      <c r="AM584" s="135"/>
      <c r="AN584" s="135"/>
      <c r="AO584" s="135"/>
      <c r="AP584" s="135"/>
      <c r="AQ584" s="135"/>
      <c r="AR584" s="135"/>
      <c r="AS584" s="135"/>
      <c r="AT584" s="135"/>
      <c r="AU584" s="135"/>
      <c r="AV584" s="135"/>
      <c r="AW584" s="135"/>
      <c r="AX584" s="135"/>
      <c r="AY584" s="135"/>
      <c r="AZ584" s="135"/>
      <c r="BA584" s="135"/>
      <c r="BB584" s="135"/>
      <c r="BC584" s="135"/>
      <c r="BD584" s="135"/>
      <c r="BE584" s="135"/>
      <c r="BF584" s="135"/>
      <c r="BG584" s="135"/>
      <c r="BH584" s="135"/>
      <c r="BI584" s="135"/>
      <c r="BJ584" s="135"/>
      <c r="BK584" s="135"/>
      <c r="BL584" s="135"/>
      <c r="BM584" s="135"/>
      <c r="BN584" s="135"/>
      <c r="BO584" s="135"/>
      <c r="BP584" s="135"/>
      <c r="BQ584" s="135"/>
      <c r="BR584" s="135"/>
      <c r="BS584" s="135"/>
      <c r="BT584" s="135"/>
    </row>
    <row r="585" spans="1:72" s="196" customFormat="1">
      <c r="A585" s="135"/>
      <c r="B585" s="135"/>
      <c r="C585" s="135"/>
      <c r="D585" s="135"/>
      <c r="E585" s="135"/>
      <c r="F585" s="135"/>
      <c r="G585" s="135"/>
      <c r="H585" s="135"/>
      <c r="I585" s="135"/>
      <c r="J585" s="135"/>
      <c r="K585" s="135"/>
      <c r="L585" s="135"/>
      <c r="M585" s="135"/>
      <c r="N585" s="135"/>
      <c r="O585" s="135"/>
      <c r="P585" s="135"/>
      <c r="Q585" s="135"/>
      <c r="R585" s="135"/>
      <c r="S585" s="135"/>
      <c r="T585" s="135"/>
      <c r="U585" s="135"/>
      <c r="V585" s="135"/>
      <c r="W585" s="135"/>
      <c r="X585" s="135"/>
      <c r="Y585" s="135"/>
      <c r="Z585" s="135"/>
      <c r="AA585" s="135"/>
      <c r="AB585" s="135"/>
      <c r="AC585" s="135"/>
      <c r="AD585" s="135"/>
      <c r="AE585" s="135"/>
      <c r="AF585" s="135"/>
      <c r="AG585" s="135"/>
      <c r="AH585" s="135"/>
      <c r="AI585" s="135"/>
      <c r="AJ585" s="135"/>
      <c r="AK585" s="135"/>
      <c r="AL585" s="135"/>
      <c r="AM585" s="135"/>
      <c r="AN585" s="135"/>
      <c r="AO585" s="135"/>
      <c r="AP585" s="135"/>
      <c r="AQ585" s="135"/>
      <c r="AR585" s="135"/>
      <c r="AS585" s="135"/>
      <c r="AT585" s="135"/>
      <c r="AU585" s="135"/>
      <c r="AV585" s="135"/>
      <c r="AW585" s="135"/>
      <c r="AX585" s="135"/>
      <c r="AY585" s="135"/>
      <c r="AZ585" s="135"/>
      <c r="BA585" s="135"/>
      <c r="BB585" s="135"/>
      <c r="BC585" s="135"/>
      <c r="BD585" s="135"/>
      <c r="BE585" s="135"/>
      <c r="BF585" s="135"/>
      <c r="BG585" s="135"/>
      <c r="BH585" s="135"/>
      <c r="BI585" s="135"/>
      <c r="BJ585" s="135"/>
      <c r="BK585" s="135"/>
      <c r="BL585" s="135"/>
      <c r="BM585" s="135"/>
      <c r="BN585" s="135"/>
      <c r="BO585" s="135"/>
      <c r="BP585" s="135"/>
      <c r="BQ585" s="135"/>
      <c r="BR585" s="135"/>
      <c r="BS585" s="135"/>
      <c r="BT585" s="135"/>
    </row>
    <row r="586" spans="1:72" s="196" customFormat="1">
      <c r="A586" s="135"/>
      <c r="B586" s="135"/>
      <c r="C586" s="135"/>
      <c r="D586" s="135"/>
      <c r="E586" s="135"/>
      <c r="F586" s="135"/>
      <c r="G586" s="135"/>
      <c r="H586" s="135"/>
      <c r="I586" s="135"/>
      <c r="J586" s="135"/>
      <c r="K586" s="135"/>
      <c r="L586" s="135"/>
      <c r="M586" s="135"/>
      <c r="N586" s="135"/>
      <c r="O586" s="135"/>
      <c r="P586" s="135"/>
      <c r="Q586" s="135"/>
      <c r="R586" s="135"/>
      <c r="S586" s="135"/>
      <c r="T586" s="135"/>
      <c r="U586" s="135"/>
      <c r="V586" s="135"/>
      <c r="W586" s="135"/>
      <c r="X586" s="135"/>
      <c r="Y586" s="135"/>
      <c r="Z586" s="135"/>
      <c r="AA586" s="135"/>
      <c r="AB586" s="135"/>
      <c r="AC586" s="135"/>
      <c r="AD586" s="135"/>
      <c r="AE586" s="135"/>
      <c r="AF586" s="135"/>
      <c r="AG586" s="135"/>
      <c r="AH586" s="135"/>
      <c r="AI586" s="135"/>
      <c r="AJ586" s="135"/>
      <c r="AK586" s="135"/>
      <c r="AL586" s="135"/>
      <c r="AM586" s="135"/>
      <c r="AN586" s="135"/>
      <c r="AO586" s="135"/>
      <c r="AP586" s="135"/>
      <c r="AQ586" s="135"/>
      <c r="AR586" s="135"/>
      <c r="AS586" s="135"/>
      <c r="AT586" s="135"/>
      <c r="AU586" s="135"/>
      <c r="AV586" s="135"/>
      <c r="AW586" s="135"/>
      <c r="AX586" s="135"/>
      <c r="AY586" s="135"/>
      <c r="AZ586" s="135"/>
      <c r="BA586" s="135"/>
      <c r="BB586" s="135"/>
      <c r="BC586" s="135"/>
      <c r="BD586" s="135"/>
      <c r="BE586" s="135"/>
      <c r="BF586" s="135"/>
      <c r="BG586" s="135"/>
      <c r="BH586" s="135"/>
      <c r="BI586" s="135"/>
      <c r="BJ586" s="135"/>
      <c r="BK586" s="135"/>
      <c r="BL586" s="135"/>
      <c r="BM586" s="135"/>
      <c r="BN586" s="135"/>
      <c r="BO586" s="135"/>
      <c r="BP586" s="135"/>
      <c r="BQ586" s="135"/>
      <c r="BR586" s="135"/>
      <c r="BS586" s="135"/>
      <c r="BT586" s="135"/>
    </row>
    <row r="587" spans="1:72" s="196" customFormat="1">
      <c r="A587" s="135"/>
      <c r="B587" s="135"/>
      <c r="C587" s="135"/>
      <c r="D587" s="135"/>
      <c r="E587" s="135"/>
      <c r="F587" s="135"/>
      <c r="G587" s="135"/>
      <c r="H587" s="135"/>
      <c r="I587" s="135"/>
      <c r="J587" s="135"/>
      <c r="K587" s="135"/>
      <c r="L587" s="135"/>
      <c r="M587" s="135"/>
      <c r="N587" s="135"/>
      <c r="O587" s="135"/>
      <c r="P587" s="135"/>
      <c r="Q587" s="135"/>
      <c r="R587" s="135"/>
      <c r="S587" s="135"/>
      <c r="T587" s="135"/>
      <c r="U587" s="135"/>
      <c r="V587" s="135"/>
      <c r="W587" s="135"/>
      <c r="X587" s="135"/>
      <c r="Y587" s="135"/>
      <c r="Z587" s="135"/>
      <c r="AA587" s="135"/>
      <c r="AB587" s="135"/>
      <c r="AC587" s="135"/>
      <c r="AD587" s="135"/>
      <c r="AE587" s="135"/>
      <c r="AF587" s="135"/>
      <c r="AG587" s="135"/>
      <c r="AH587" s="135"/>
      <c r="AI587" s="135"/>
      <c r="AJ587" s="135"/>
      <c r="AK587" s="135"/>
      <c r="AL587" s="135"/>
      <c r="AM587" s="135"/>
      <c r="AN587" s="135"/>
      <c r="AO587" s="135"/>
      <c r="AP587" s="135"/>
      <c r="AQ587" s="135"/>
      <c r="AR587" s="135"/>
      <c r="AS587" s="135"/>
      <c r="AT587" s="135"/>
      <c r="AU587" s="135"/>
      <c r="AV587" s="135"/>
      <c r="AW587" s="135"/>
      <c r="AX587" s="135"/>
      <c r="AY587" s="135"/>
      <c r="AZ587" s="135"/>
      <c r="BA587" s="135"/>
      <c r="BB587" s="135"/>
      <c r="BC587" s="135"/>
      <c r="BD587" s="135"/>
      <c r="BE587" s="135"/>
      <c r="BF587" s="135"/>
      <c r="BG587" s="135"/>
      <c r="BH587" s="135"/>
      <c r="BI587" s="135"/>
      <c r="BJ587" s="135"/>
      <c r="BK587" s="135"/>
      <c r="BL587" s="135"/>
      <c r="BM587" s="135"/>
      <c r="BN587" s="135"/>
      <c r="BO587" s="135"/>
      <c r="BP587" s="135"/>
      <c r="BQ587" s="135"/>
      <c r="BR587" s="135"/>
      <c r="BS587" s="135"/>
      <c r="BT587" s="135"/>
    </row>
    <row r="588" spans="1:72" s="196" customFormat="1">
      <c r="A588" s="135"/>
      <c r="B588" s="135"/>
      <c r="C588" s="135"/>
      <c r="D588" s="135"/>
      <c r="E588" s="135"/>
      <c r="F588" s="135"/>
      <c r="G588" s="135"/>
      <c r="H588" s="135"/>
      <c r="I588" s="135"/>
      <c r="J588" s="135"/>
      <c r="K588" s="135"/>
      <c r="L588" s="135"/>
      <c r="M588" s="135"/>
      <c r="N588" s="135"/>
      <c r="O588" s="135"/>
      <c r="P588" s="135"/>
      <c r="Q588" s="135"/>
      <c r="R588" s="135"/>
      <c r="S588" s="135"/>
      <c r="T588" s="135"/>
      <c r="U588" s="135"/>
      <c r="V588" s="135"/>
      <c r="W588" s="135"/>
      <c r="X588" s="135"/>
      <c r="Y588" s="135"/>
      <c r="Z588" s="135"/>
      <c r="AA588" s="135"/>
      <c r="AB588" s="135"/>
      <c r="AC588" s="135"/>
      <c r="AD588" s="135"/>
      <c r="AE588" s="135"/>
      <c r="AF588" s="135"/>
      <c r="AG588" s="135"/>
      <c r="AH588" s="135"/>
      <c r="AI588" s="135"/>
      <c r="AJ588" s="135"/>
      <c r="AK588" s="135"/>
      <c r="AL588" s="135"/>
      <c r="AM588" s="135"/>
      <c r="AN588" s="135"/>
      <c r="AO588" s="135"/>
      <c r="AP588" s="135"/>
      <c r="AQ588" s="135"/>
      <c r="AR588" s="135"/>
      <c r="AS588" s="135"/>
      <c r="AT588" s="135"/>
      <c r="AU588" s="135"/>
      <c r="AV588" s="135"/>
      <c r="AW588" s="135"/>
      <c r="AX588" s="135"/>
      <c r="AY588" s="135"/>
      <c r="AZ588" s="135"/>
      <c r="BA588" s="135"/>
      <c r="BB588" s="135"/>
      <c r="BC588" s="135"/>
      <c r="BD588" s="135"/>
      <c r="BE588" s="135"/>
      <c r="BF588" s="135"/>
      <c r="BG588" s="135"/>
      <c r="BH588" s="135"/>
      <c r="BI588" s="135"/>
      <c r="BJ588" s="135"/>
      <c r="BK588" s="135"/>
      <c r="BL588" s="135"/>
      <c r="BM588" s="135"/>
      <c r="BN588" s="135"/>
      <c r="BO588" s="135"/>
      <c r="BP588" s="135"/>
      <c r="BQ588" s="135"/>
      <c r="BR588" s="135"/>
      <c r="BS588" s="135"/>
      <c r="BT588" s="135"/>
    </row>
    <row r="589" spans="1:72" s="196" customFormat="1">
      <c r="A589" s="135"/>
      <c r="B589" s="135"/>
      <c r="C589" s="135"/>
      <c r="D589" s="135"/>
      <c r="E589" s="135"/>
      <c r="F589" s="135"/>
      <c r="G589" s="135"/>
      <c r="H589" s="135"/>
      <c r="I589" s="135"/>
      <c r="J589" s="135"/>
      <c r="K589" s="135"/>
      <c r="L589" s="135"/>
      <c r="M589" s="135"/>
      <c r="N589" s="135"/>
      <c r="O589" s="135"/>
      <c r="P589" s="135"/>
      <c r="Q589" s="135"/>
      <c r="R589" s="135"/>
      <c r="S589" s="135"/>
      <c r="T589" s="135"/>
      <c r="U589" s="135"/>
      <c r="V589" s="135"/>
      <c r="W589" s="135"/>
      <c r="X589" s="135"/>
      <c r="Y589" s="135"/>
      <c r="Z589" s="135"/>
      <c r="AA589" s="135"/>
      <c r="AB589" s="135"/>
      <c r="AC589" s="135"/>
      <c r="AD589" s="135"/>
      <c r="AE589" s="135"/>
      <c r="AF589" s="135"/>
      <c r="AG589" s="135"/>
      <c r="AH589" s="135"/>
      <c r="AI589" s="135"/>
      <c r="AJ589" s="135"/>
      <c r="AK589" s="135"/>
      <c r="AL589" s="135"/>
      <c r="AM589" s="135"/>
      <c r="AN589" s="135"/>
      <c r="AO589" s="135"/>
      <c r="AP589" s="135"/>
      <c r="AQ589" s="135"/>
      <c r="AR589" s="135"/>
      <c r="AS589" s="135"/>
      <c r="AT589" s="135"/>
      <c r="AU589" s="135"/>
      <c r="AV589" s="135"/>
      <c r="AW589" s="135"/>
      <c r="AX589" s="135"/>
      <c r="AY589" s="135"/>
      <c r="AZ589" s="135"/>
      <c r="BA589" s="135"/>
      <c r="BB589" s="135"/>
      <c r="BC589" s="135"/>
      <c r="BD589" s="135"/>
      <c r="BE589" s="135"/>
      <c r="BF589" s="135"/>
      <c r="BG589" s="135"/>
      <c r="BH589" s="135"/>
      <c r="BI589" s="135"/>
      <c r="BJ589" s="135"/>
      <c r="BK589" s="135"/>
      <c r="BL589" s="135"/>
      <c r="BM589" s="135"/>
      <c r="BN589" s="135"/>
      <c r="BO589" s="135"/>
      <c r="BP589" s="135"/>
      <c r="BQ589" s="135"/>
      <c r="BR589" s="135"/>
      <c r="BS589" s="135"/>
      <c r="BT589" s="135"/>
    </row>
    <row r="590" spans="1:72" s="196" customFormat="1">
      <c r="A590" s="135"/>
      <c r="B590" s="135"/>
      <c r="C590" s="135"/>
      <c r="D590" s="135"/>
      <c r="E590" s="135"/>
      <c r="F590" s="135"/>
      <c r="G590" s="135"/>
      <c r="H590" s="135"/>
      <c r="I590" s="135"/>
      <c r="J590" s="135"/>
      <c r="K590" s="135"/>
      <c r="L590" s="135"/>
      <c r="M590" s="135"/>
      <c r="N590" s="135"/>
      <c r="O590" s="135"/>
      <c r="P590" s="135"/>
      <c r="Q590" s="135"/>
      <c r="R590" s="135"/>
      <c r="S590" s="135"/>
      <c r="T590" s="135"/>
      <c r="U590" s="135"/>
      <c r="V590" s="135"/>
      <c r="W590" s="135"/>
      <c r="X590" s="135"/>
      <c r="Y590" s="135"/>
      <c r="Z590" s="135"/>
      <c r="AA590" s="135"/>
      <c r="AB590" s="135"/>
      <c r="AC590" s="135"/>
      <c r="AD590" s="135"/>
      <c r="AE590" s="135"/>
      <c r="AF590" s="135"/>
      <c r="AG590" s="135"/>
      <c r="AH590" s="135"/>
      <c r="AI590" s="135"/>
      <c r="AJ590" s="135"/>
      <c r="AK590" s="135"/>
      <c r="AL590" s="135"/>
      <c r="AM590" s="135"/>
      <c r="AN590" s="135"/>
      <c r="AO590" s="135"/>
      <c r="AP590" s="135"/>
      <c r="AQ590" s="135"/>
      <c r="AR590" s="135"/>
      <c r="AS590" s="135"/>
      <c r="AT590" s="135"/>
      <c r="AU590" s="135"/>
      <c r="AV590" s="135"/>
      <c r="AW590" s="135"/>
      <c r="AX590" s="135"/>
      <c r="AY590" s="135"/>
      <c r="AZ590" s="135"/>
      <c r="BA590" s="135"/>
      <c r="BB590" s="135"/>
      <c r="BC590" s="135"/>
      <c r="BD590" s="135"/>
      <c r="BE590" s="135"/>
      <c r="BF590" s="135"/>
      <c r="BG590" s="135"/>
      <c r="BH590" s="135"/>
      <c r="BI590" s="135"/>
      <c r="BJ590" s="135"/>
      <c r="BK590" s="135"/>
      <c r="BL590" s="135"/>
      <c r="BM590" s="135"/>
      <c r="BN590" s="135"/>
      <c r="BO590" s="135"/>
      <c r="BP590" s="135"/>
      <c r="BQ590" s="135"/>
      <c r="BR590" s="135"/>
      <c r="BS590" s="135"/>
      <c r="BT590" s="135"/>
    </row>
    <row r="591" spans="1:72" s="196" customFormat="1">
      <c r="A591" s="135"/>
      <c r="B591" s="135"/>
      <c r="C591" s="135"/>
      <c r="D591" s="135"/>
      <c r="E591" s="135"/>
      <c r="F591" s="135"/>
      <c r="G591" s="135"/>
      <c r="H591" s="135"/>
      <c r="I591" s="135"/>
      <c r="J591" s="135"/>
      <c r="K591" s="135"/>
      <c r="L591" s="135"/>
      <c r="M591" s="135"/>
      <c r="N591" s="135"/>
      <c r="O591" s="135"/>
      <c r="P591" s="135"/>
      <c r="Q591" s="135"/>
      <c r="R591" s="135"/>
      <c r="S591" s="135"/>
      <c r="T591" s="135"/>
      <c r="U591" s="135"/>
      <c r="V591" s="135"/>
      <c r="W591" s="135"/>
      <c r="X591" s="135"/>
      <c r="Y591" s="135"/>
      <c r="Z591" s="135"/>
      <c r="AA591" s="135"/>
      <c r="AB591" s="135"/>
      <c r="AC591" s="135"/>
      <c r="AD591" s="135"/>
      <c r="AE591" s="135"/>
      <c r="AF591" s="135"/>
      <c r="AG591" s="135"/>
      <c r="AH591" s="135"/>
      <c r="AI591" s="135"/>
      <c r="AJ591" s="135"/>
      <c r="AK591" s="135"/>
      <c r="AL591" s="135"/>
      <c r="AM591" s="135"/>
      <c r="AN591" s="135"/>
      <c r="AO591" s="135"/>
      <c r="AP591" s="135"/>
      <c r="AQ591" s="135"/>
      <c r="AR591" s="135"/>
      <c r="AS591" s="135"/>
      <c r="AT591" s="135"/>
      <c r="AU591" s="135"/>
      <c r="AV591" s="135"/>
      <c r="AW591" s="135"/>
      <c r="AX591" s="135"/>
      <c r="AY591" s="135"/>
      <c r="AZ591" s="135"/>
      <c r="BA591" s="135"/>
      <c r="BB591" s="135"/>
      <c r="BC591" s="135"/>
      <c r="BD591" s="135"/>
      <c r="BE591" s="135"/>
      <c r="BF591" s="135"/>
      <c r="BG591" s="135"/>
      <c r="BH591" s="135"/>
      <c r="BI591" s="135"/>
      <c r="BJ591" s="135"/>
      <c r="BK591" s="135"/>
      <c r="BL591" s="135"/>
      <c r="BM591" s="135"/>
      <c r="BN591" s="135"/>
      <c r="BO591" s="135"/>
      <c r="BP591" s="135"/>
      <c r="BQ591" s="135"/>
      <c r="BR591" s="135"/>
      <c r="BS591" s="135"/>
      <c r="BT591" s="135"/>
    </row>
    <row r="592" spans="1:72" s="196" customFormat="1">
      <c r="A592" s="135"/>
      <c r="B592" s="135"/>
      <c r="C592" s="135"/>
      <c r="D592" s="135"/>
      <c r="E592" s="135"/>
      <c r="F592" s="135"/>
      <c r="G592" s="135"/>
      <c r="H592" s="135"/>
      <c r="I592" s="135"/>
      <c r="J592" s="135"/>
      <c r="K592" s="135"/>
      <c r="L592" s="135"/>
      <c r="M592" s="135"/>
      <c r="N592" s="135"/>
      <c r="O592" s="135"/>
      <c r="P592" s="135"/>
      <c r="Q592" s="135"/>
      <c r="R592" s="135"/>
      <c r="S592" s="135"/>
      <c r="T592" s="135"/>
      <c r="U592" s="135"/>
      <c r="V592" s="135"/>
      <c r="W592" s="135"/>
      <c r="X592" s="135"/>
      <c r="Y592" s="135"/>
      <c r="Z592" s="135"/>
      <c r="AA592" s="135"/>
      <c r="AB592" s="135"/>
      <c r="AC592" s="135"/>
      <c r="AD592" s="135"/>
      <c r="AE592" s="135"/>
      <c r="AF592" s="135"/>
      <c r="AG592" s="135"/>
      <c r="AH592" s="135"/>
      <c r="AI592" s="135"/>
      <c r="AJ592" s="135"/>
      <c r="AK592" s="135"/>
      <c r="AL592" s="135"/>
      <c r="AM592" s="135"/>
      <c r="AN592" s="135"/>
      <c r="AO592" s="135"/>
      <c r="AP592" s="135"/>
      <c r="AQ592" s="135"/>
      <c r="AR592" s="135"/>
      <c r="AS592" s="135"/>
      <c r="AT592" s="135"/>
      <c r="AU592" s="135"/>
      <c r="AV592" s="135"/>
      <c r="AW592" s="135"/>
      <c r="AX592" s="135"/>
      <c r="AY592" s="135"/>
      <c r="AZ592" s="135"/>
      <c r="BA592" s="135"/>
      <c r="BB592" s="135"/>
      <c r="BC592" s="135"/>
      <c r="BD592" s="135"/>
      <c r="BE592" s="135"/>
      <c r="BF592" s="135"/>
      <c r="BG592" s="135"/>
      <c r="BH592" s="135"/>
      <c r="BI592" s="135"/>
      <c r="BJ592" s="135"/>
      <c r="BK592" s="135"/>
      <c r="BL592" s="135"/>
      <c r="BM592" s="135"/>
      <c r="BN592" s="135"/>
      <c r="BO592" s="135"/>
      <c r="BP592" s="135"/>
      <c r="BQ592" s="135"/>
      <c r="BR592" s="135"/>
      <c r="BS592" s="135"/>
      <c r="BT592" s="135"/>
    </row>
    <row r="593" spans="1:72" s="196" customFormat="1">
      <c r="A593" s="135"/>
      <c r="B593" s="135"/>
      <c r="C593" s="135"/>
      <c r="D593" s="135"/>
      <c r="E593" s="135"/>
      <c r="F593" s="135"/>
      <c r="G593" s="135"/>
      <c r="H593" s="135"/>
      <c r="I593" s="135"/>
      <c r="J593" s="135"/>
      <c r="K593" s="135"/>
      <c r="L593" s="135"/>
      <c r="M593" s="135"/>
      <c r="N593" s="135"/>
      <c r="O593" s="135"/>
      <c r="P593" s="135"/>
      <c r="Q593" s="135"/>
      <c r="R593" s="135"/>
      <c r="S593" s="135"/>
      <c r="T593" s="135"/>
      <c r="U593" s="135"/>
      <c r="V593" s="135"/>
      <c r="W593" s="135"/>
      <c r="X593" s="135"/>
      <c r="Y593" s="135"/>
      <c r="Z593" s="135"/>
      <c r="AA593" s="135"/>
      <c r="AB593" s="135"/>
      <c r="AC593" s="135"/>
      <c r="AD593" s="135"/>
      <c r="AE593" s="135"/>
      <c r="AF593" s="135"/>
      <c r="AG593" s="135"/>
      <c r="AH593" s="135"/>
      <c r="AI593" s="135"/>
      <c r="AJ593" s="135"/>
      <c r="AK593" s="135"/>
      <c r="AL593" s="135"/>
      <c r="AM593" s="135"/>
      <c r="AN593" s="135"/>
      <c r="AO593" s="135"/>
      <c r="AP593" s="135"/>
      <c r="AQ593" s="135"/>
      <c r="AR593" s="135"/>
      <c r="AS593" s="135"/>
      <c r="AT593" s="135"/>
      <c r="AU593" s="135"/>
      <c r="AV593" s="135"/>
      <c r="AW593" s="135"/>
      <c r="AX593" s="135"/>
      <c r="AY593" s="135"/>
      <c r="AZ593" s="135"/>
      <c r="BA593" s="135"/>
      <c r="BB593" s="135"/>
      <c r="BC593" s="135"/>
      <c r="BD593" s="135"/>
      <c r="BE593" s="135"/>
      <c r="BF593" s="135"/>
      <c r="BG593" s="135"/>
      <c r="BH593" s="135"/>
      <c r="BI593" s="135"/>
      <c r="BJ593" s="135"/>
      <c r="BK593" s="135"/>
      <c r="BL593" s="135"/>
      <c r="BM593" s="135"/>
      <c r="BN593" s="135"/>
      <c r="BO593" s="135"/>
      <c r="BP593" s="135"/>
      <c r="BQ593" s="135"/>
      <c r="BR593" s="135"/>
      <c r="BS593" s="135"/>
      <c r="BT593" s="135"/>
    </row>
    <row r="594" spans="1:72" s="196" customFormat="1">
      <c r="A594" s="135"/>
      <c r="B594" s="135"/>
      <c r="C594" s="135"/>
      <c r="D594" s="135"/>
      <c r="E594" s="135"/>
      <c r="F594" s="135"/>
      <c r="G594" s="135"/>
      <c r="H594" s="135"/>
      <c r="I594" s="135"/>
      <c r="J594" s="135"/>
      <c r="K594" s="135"/>
      <c r="L594" s="135"/>
      <c r="M594" s="135"/>
      <c r="N594" s="135"/>
      <c r="O594" s="135"/>
      <c r="P594" s="135"/>
      <c r="Q594" s="135"/>
      <c r="R594" s="135"/>
      <c r="S594" s="135"/>
      <c r="T594" s="135"/>
      <c r="U594" s="135"/>
      <c r="V594" s="135"/>
      <c r="W594" s="135"/>
      <c r="X594" s="135"/>
      <c r="Y594" s="135"/>
      <c r="Z594" s="135"/>
      <c r="AA594" s="135"/>
      <c r="AB594" s="135"/>
      <c r="AC594" s="135"/>
      <c r="AD594" s="135"/>
      <c r="AE594" s="135"/>
      <c r="AF594" s="135"/>
      <c r="AG594" s="135"/>
      <c r="AH594" s="135"/>
      <c r="AI594" s="135"/>
      <c r="AJ594" s="135"/>
      <c r="AK594" s="135"/>
      <c r="AL594" s="135"/>
      <c r="AM594" s="135"/>
      <c r="AN594" s="135"/>
      <c r="AO594" s="135"/>
      <c r="AP594" s="135"/>
      <c r="AQ594" s="135"/>
      <c r="AR594" s="135"/>
      <c r="AS594" s="135"/>
      <c r="AT594" s="135"/>
      <c r="AU594" s="135"/>
      <c r="AV594" s="135"/>
      <c r="AW594" s="135"/>
      <c r="AX594" s="135"/>
      <c r="AY594" s="135"/>
      <c r="AZ594" s="135"/>
      <c r="BA594" s="135"/>
      <c r="BB594" s="135"/>
      <c r="BC594" s="135"/>
      <c r="BD594" s="135"/>
      <c r="BE594" s="135"/>
      <c r="BF594" s="135"/>
      <c r="BG594" s="135"/>
      <c r="BH594" s="135"/>
      <c r="BI594" s="135"/>
      <c r="BJ594" s="135"/>
      <c r="BK594" s="135"/>
      <c r="BL594" s="135"/>
      <c r="BM594" s="135"/>
      <c r="BN594" s="135"/>
      <c r="BO594" s="135"/>
      <c r="BP594" s="135"/>
      <c r="BQ594" s="135"/>
      <c r="BR594" s="135"/>
      <c r="BS594" s="135"/>
      <c r="BT594" s="135"/>
    </row>
    <row r="595" spans="1:72" s="196" customFormat="1">
      <c r="A595" s="135"/>
      <c r="B595" s="135"/>
      <c r="C595" s="135"/>
      <c r="D595" s="135"/>
      <c r="E595" s="135"/>
      <c r="F595" s="135"/>
      <c r="G595" s="135"/>
      <c r="H595" s="135"/>
      <c r="I595" s="135"/>
      <c r="J595" s="135"/>
      <c r="K595" s="135"/>
      <c r="L595" s="135"/>
      <c r="M595" s="135"/>
      <c r="N595" s="135"/>
      <c r="O595" s="135"/>
      <c r="P595" s="135"/>
      <c r="Q595" s="135"/>
      <c r="R595" s="135"/>
      <c r="S595" s="135"/>
      <c r="T595" s="135"/>
      <c r="U595" s="135"/>
      <c r="V595" s="135"/>
      <c r="W595" s="135"/>
      <c r="X595" s="135"/>
      <c r="Y595" s="135"/>
      <c r="Z595" s="135"/>
      <c r="AA595" s="135"/>
      <c r="AB595" s="135"/>
      <c r="AC595" s="135"/>
      <c r="AD595" s="135"/>
      <c r="AE595" s="135"/>
      <c r="AF595" s="135"/>
      <c r="AG595" s="135"/>
      <c r="AH595" s="135"/>
      <c r="AI595" s="135"/>
      <c r="AJ595" s="135"/>
      <c r="AK595" s="135"/>
      <c r="AL595" s="135"/>
      <c r="AM595" s="135"/>
      <c r="AN595" s="135"/>
      <c r="AO595" s="135"/>
      <c r="AP595" s="135"/>
      <c r="AQ595" s="135"/>
      <c r="AR595" s="135"/>
      <c r="AS595" s="135"/>
      <c r="AT595" s="135"/>
      <c r="AU595" s="135"/>
      <c r="AV595" s="135"/>
      <c r="AW595" s="135"/>
      <c r="AX595" s="135"/>
      <c r="AY595" s="135"/>
      <c r="AZ595" s="135"/>
      <c r="BA595" s="135"/>
      <c r="BB595" s="135"/>
      <c r="BC595" s="135"/>
      <c r="BD595" s="135"/>
      <c r="BE595" s="135"/>
      <c r="BF595" s="135"/>
      <c r="BG595" s="135"/>
      <c r="BH595" s="135"/>
      <c r="BI595" s="135"/>
      <c r="BJ595" s="135"/>
      <c r="BK595" s="135"/>
      <c r="BL595" s="135"/>
      <c r="BM595" s="135"/>
      <c r="BN595" s="135"/>
      <c r="BO595" s="135"/>
      <c r="BP595" s="135"/>
      <c r="BQ595" s="135"/>
      <c r="BR595" s="135"/>
      <c r="BS595" s="135"/>
      <c r="BT595" s="135"/>
    </row>
    <row r="596" spans="1:72" s="196" customFormat="1">
      <c r="A596" s="135"/>
      <c r="B596" s="135"/>
      <c r="C596" s="135"/>
      <c r="D596" s="135"/>
      <c r="E596" s="135"/>
      <c r="F596" s="135"/>
      <c r="G596" s="135"/>
      <c r="H596" s="135"/>
      <c r="I596" s="135"/>
      <c r="J596" s="135"/>
      <c r="K596" s="135"/>
      <c r="L596" s="135"/>
      <c r="M596" s="135"/>
      <c r="N596" s="135"/>
      <c r="O596" s="135"/>
      <c r="P596" s="135"/>
      <c r="Q596" s="135"/>
      <c r="R596" s="135"/>
      <c r="S596" s="135"/>
      <c r="T596" s="135"/>
      <c r="U596" s="135"/>
      <c r="V596" s="135"/>
      <c r="W596" s="135"/>
      <c r="X596" s="135"/>
      <c r="Y596" s="135"/>
      <c r="Z596" s="135"/>
      <c r="AA596" s="135"/>
      <c r="AB596" s="135"/>
      <c r="AC596" s="135"/>
      <c r="AD596" s="135"/>
      <c r="AE596" s="135"/>
      <c r="AF596" s="135"/>
      <c r="AG596" s="135"/>
      <c r="AH596" s="135"/>
      <c r="AI596" s="135"/>
      <c r="AJ596" s="135"/>
      <c r="AK596" s="135"/>
      <c r="AL596" s="135"/>
      <c r="AM596" s="135"/>
      <c r="AN596" s="135"/>
      <c r="AO596" s="135"/>
      <c r="AP596" s="135"/>
      <c r="AQ596" s="135"/>
      <c r="AR596" s="135"/>
      <c r="AS596" s="135"/>
      <c r="AT596" s="135"/>
      <c r="AU596" s="135"/>
      <c r="AV596" s="135"/>
      <c r="AW596" s="135"/>
      <c r="AX596" s="135"/>
      <c r="AY596" s="135"/>
      <c r="AZ596" s="135"/>
      <c r="BA596" s="135"/>
      <c r="BB596" s="135"/>
      <c r="BC596" s="135"/>
      <c r="BD596" s="135"/>
      <c r="BE596" s="135"/>
      <c r="BF596" s="135"/>
      <c r="BG596" s="135"/>
      <c r="BH596" s="135"/>
      <c r="BI596" s="135"/>
      <c r="BJ596" s="135"/>
      <c r="BK596" s="135"/>
      <c r="BL596" s="135"/>
      <c r="BM596" s="135"/>
      <c r="BN596" s="135"/>
      <c r="BO596" s="135"/>
      <c r="BP596" s="135"/>
      <c r="BQ596" s="135"/>
      <c r="BR596" s="135"/>
      <c r="BS596" s="135"/>
      <c r="BT596" s="135"/>
    </row>
    <row r="597" spans="1:72" s="196" customFormat="1">
      <c r="A597" s="135"/>
      <c r="B597" s="135"/>
      <c r="C597" s="135"/>
      <c r="D597" s="135"/>
      <c r="E597" s="135"/>
      <c r="F597" s="135"/>
      <c r="G597" s="135"/>
      <c r="H597" s="135"/>
      <c r="I597" s="135"/>
      <c r="J597" s="135"/>
      <c r="K597" s="135"/>
      <c r="L597" s="135"/>
      <c r="M597" s="135"/>
      <c r="N597" s="135"/>
      <c r="O597" s="135"/>
      <c r="P597" s="135"/>
      <c r="Q597" s="135"/>
      <c r="R597" s="135"/>
      <c r="S597" s="135"/>
      <c r="T597" s="135"/>
      <c r="U597" s="135"/>
      <c r="V597" s="135"/>
      <c r="W597" s="135"/>
      <c r="X597" s="135"/>
      <c r="Y597" s="135"/>
      <c r="Z597" s="135"/>
      <c r="AA597" s="135"/>
      <c r="AB597" s="135"/>
      <c r="AC597" s="135"/>
      <c r="AD597" s="135"/>
      <c r="AE597" s="135"/>
      <c r="AF597" s="135"/>
      <c r="AG597" s="135"/>
      <c r="AH597" s="135"/>
      <c r="AI597" s="135"/>
      <c r="AJ597" s="135"/>
      <c r="AK597" s="135"/>
      <c r="AL597" s="135"/>
      <c r="AM597" s="135"/>
      <c r="AN597" s="135"/>
      <c r="AO597" s="135"/>
      <c r="AP597" s="135"/>
      <c r="AQ597" s="135"/>
      <c r="AR597" s="135"/>
      <c r="AS597" s="135"/>
      <c r="AT597" s="135"/>
      <c r="AU597" s="135"/>
      <c r="AV597" s="135"/>
      <c r="AW597" s="135"/>
      <c r="AX597" s="135"/>
      <c r="AY597" s="135"/>
      <c r="AZ597" s="135"/>
      <c r="BA597" s="135"/>
      <c r="BB597" s="135"/>
      <c r="BC597" s="135"/>
      <c r="BD597" s="135"/>
      <c r="BE597" s="135"/>
      <c r="BF597" s="135"/>
      <c r="BG597" s="135"/>
      <c r="BH597" s="135"/>
      <c r="BI597" s="135"/>
      <c r="BJ597" s="135"/>
      <c r="BK597" s="135"/>
      <c r="BL597" s="135"/>
      <c r="BM597" s="135"/>
      <c r="BN597" s="135"/>
      <c r="BO597" s="135"/>
      <c r="BP597" s="135"/>
      <c r="BQ597" s="135"/>
      <c r="BR597" s="135"/>
      <c r="BS597" s="135"/>
      <c r="BT597" s="135"/>
    </row>
    <row r="598" spans="1:72" s="196" customFormat="1">
      <c r="A598" s="135"/>
      <c r="B598" s="135"/>
      <c r="C598" s="135"/>
      <c r="D598" s="135"/>
      <c r="E598" s="135"/>
      <c r="F598" s="135"/>
      <c r="G598" s="135"/>
      <c r="H598" s="135"/>
      <c r="I598" s="135"/>
      <c r="J598" s="135"/>
      <c r="K598" s="135"/>
      <c r="L598" s="135"/>
      <c r="M598" s="135"/>
      <c r="N598" s="135"/>
      <c r="O598" s="135"/>
      <c r="P598" s="135"/>
      <c r="Q598" s="135"/>
      <c r="R598" s="135"/>
      <c r="S598" s="135"/>
      <c r="T598" s="135"/>
      <c r="U598" s="135"/>
      <c r="V598" s="135"/>
      <c r="W598" s="135"/>
      <c r="X598" s="135"/>
      <c r="Y598" s="135"/>
      <c r="Z598" s="135"/>
      <c r="AA598" s="135"/>
      <c r="AB598" s="135"/>
      <c r="AC598" s="135"/>
      <c r="AD598" s="135"/>
      <c r="AE598" s="135"/>
      <c r="AF598" s="135"/>
      <c r="AG598" s="135"/>
      <c r="AH598" s="135"/>
      <c r="AI598" s="135"/>
      <c r="AJ598" s="135"/>
      <c r="AK598" s="135"/>
      <c r="AL598" s="135"/>
      <c r="AM598" s="135"/>
      <c r="AN598" s="135"/>
      <c r="AO598" s="135"/>
      <c r="AP598" s="135"/>
      <c r="AQ598" s="135"/>
      <c r="AR598" s="135"/>
      <c r="AS598" s="135"/>
      <c r="AT598" s="135"/>
      <c r="AU598" s="135"/>
      <c r="AV598" s="135"/>
      <c r="AW598" s="135"/>
      <c r="AX598" s="135"/>
      <c r="AY598" s="135"/>
      <c r="AZ598" s="135"/>
      <c r="BA598" s="135"/>
      <c r="BB598" s="135"/>
      <c r="BC598" s="135"/>
      <c r="BD598" s="135"/>
      <c r="BE598" s="135"/>
      <c r="BF598" s="135"/>
      <c r="BG598" s="135"/>
      <c r="BH598" s="135"/>
      <c r="BI598" s="135"/>
      <c r="BJ598" s="135"/>
      <c r="BK598" s="135"/>
      <c r="BL598" s="135"/>
      <c r="BM598" s="135"/>
      <c r="BN598" s="135"/>
      <c r="BO598" s="135"/>
      <c r="BP598" s="135"/>
      <c r="BQ598" s="135"/>
      <c r="BR598" s="135"/>
      <c r="BS598" s="135"/>
      <c r="BT598" s="135"/>
    </row>
    <row r="599" spans="1:72" s="196" customFormat="1">
      <c r="A599" s="135"/>
      <c r="B599" s="135"/>
      <c r="C599" s="135"/>
      <c r="D599" s="135"/>
      <c r="E599" s="135"/>
      <c r="F599" s="135"/>
      <c r="G599" s="135"/>
      <c r="H599" s="135"/>
      <c r="I599" s="135"/>
      <c r="J599" s="135"/>
      <c r="K599" s="135"/>
      <c r="L599" s="135"/>
      <c r="M599" s="135"/>
      <c r="N599" s="135"/>
      <c r="O599" s="135"/>
      <c r="P599" s="135"/>
      <c r="Q599" s="135"/>
      <c r="R599" s="135"/>
      <c r="S599" s="135"/>
      <c r="T599" s="135"/>
      <c r="U599" s="135"/>
      <c r="V599" s="135"/>
      <c r="W599" s="135"/>
      <c r="X599" s="135"/>
      <c r="Y599" s="135"/>
      <c r="Z599" s="135"/>
      <c r="AA599" s="135"/>
      <c r="AB599" s="135"/>
      <c r="AC599" s="135"/>
      <c r="AD599" s="135"/>
      <c r="AE599" s="135"/>
      <c r="AF599" s="135"/>
      <c r="AG599" s="135"/>
      <c r="AH599" s="135"/>
      <c r="AI599" s="135"/>
      <c r="AJ599" s="135"/>
      <c r="AK599" s="135"/>
      <c r="AL599" s="135"/>
      <c r="AM599" s="135"/>
      <c r="AN599" s="135"/>
      <c r="AO599" s="135"/>
      <c r="AP599" s="135"/>
      <c r="AQ599" s="135"/>
      <c r="AR599" s="135"/>
      <c r="AS599" s="135"/>
      <c r="AT599" s="135"/>
      <c r="AU599" s="135"/>
      <c r="AV599" s="135"/>
      <c r="AW599" s="135"/>
      <c r="AX599" s="135"/>
      <c r="AY599" s="135"/>
      <c r="AZ599" s="135"/>
      <c r="BA599" s="135"/>
      <c r="BB599" s="135"/>
      <c r="BC599" s="135"/>
      <c r="BD599" s="135"/>
      <c r="BE599" s="135"/>
      <c r="BF599" s="135"/>
      <c r="BG599" s="135"/>
      <c r="BH599" s="135"/>
      <c r="BI599" s="135"/>
      <c r="BJ599" s="135"/>
      <c r="BK599" s="135"/>
      <c r="BL599" s="135"/>
      <c r="BM599" s="135"/>
      <c r="BN599" s="135"/>
      <c r="BO599" s="135"/>
      <c r="BP599" s="135"/>
      <c r="BQ599" s="135"/>
      <c r="BR599" s="135"/>
      <c r="BS599" s="135"/>
      <c r="BT599" s="135"/>
    </row>
    <row r="600" spans="1:72" s="196" customFormat="1">
      <c r="A600" s="135"/>
      <c r="B600" s="135"/>
      <c r="C600" s="135"/>
      <c r="D600" s="135"/>
      <c r="E600" s="135"/>
      <c r="F600" s="135"/>
      <c r="G600" s="135"/>
      <c r="H600" s="135"/>
      <c r="I600" s="135"/>
      <c r="J600" s="135"/>
      <c r="K600" s="135"/>
      <c r="L600" s="135"/>
      <c r="M600" s="135"/>
      <c r="N600" s="135"/>
      <c r="O600" s="135"/>
      <c r="P600" s="135"/>
      <c r="Q600" s="135"/>
      <c r="R600" s="135"/>
      <c r="S600" s="135"/>
      <c r="T600" s="135"/>
      <c r="U600" s="135"/>
      <c r="V600" s="135"/>
      <c r="W600" s="135"/>
      <c r="X600" s="135"/>
      <c r="Y600" s="135"/>
      <c r="Z600" s="135"/>
      <c r="AA600" s="135"/>
      <c r="AB600" s="135"/>
      <c r="AC600" s="135"/>
      <c r="AD600" s="135"/>
      <c r="AE600" s="135"/>
      <c r="AF600" s="135"/>
      <c r="AG600" s="135"/>
      <c r="AH600" s="135"/>
      <c r="AI600" s="135"/>
      <c r="AJ600" s="135"/>
      <c r="AK600" s="135"/>
      <c r="AL600" s="135"/>
      <c r="AM600" s="135"/>
      <c r="AN600" s="135"/>
      <c r="AO600" s="135"/>
      <c r="AP600" s="135"/>
      <c r="AQ600" s="135"/>
      <c r="AR600" s="135"/>
      <c r="AS600" s="135"/>
      <c r="AT600" s="135"/>
      <c r="AU600" s="135"/>
      <c r="AV600" s="135"/>
      <c r="AW600" s="135"/>
      <c r="AX600" s="135"/>
      <c r="AY600" s="135"/>
      <c r="AZ600" s="135"/>
      <c r="BA600" s="135"/>
      <c r="BB600" s="135"/>
      <c r="BC600" s="135"/>
      <c r="BD600" s="135"/>
      <c r="BE600" s="135"/>
      <c r="BF600" s="135"/>
      <c r="BG600" s="135"/>
      <c r="BH600" s="135"/>
      <c r="BI600" s="135"/>
      <c r="BJ600" s="135"/>
      <c r="BK600" s="135"/>
      <c r="BL600" s="135"/>
      <c r="BM600" s="135"/>
      <c r="BN600" s="135"/>
      <c r="BO600" s="135"/>
      <c r="BP600" s="135"/>
      <c r="BQ600" s="135"/>
      <c r="BR600" s="135"/>
      <c r="BS600" s="135"/>
      <c r="BT600" s="135"/>
    </row>
    <row r="601" spans="1:72" s="196" customFormat="1">
      <c r="A601" s="135"/>
      <c r="B601" s="135"/>
      <c r="C601" s="135"/>
      <c r="D601" s="135"/>
      <c r="E601" s="135"/>
      <c r="F601" s="135"/>
      <c r="G601" s="135"/>
      <c r="H601" s="135"/>
      <c r="I601" s="135"/>
      <c r="J601" s="135"/>
      <c r="K601" s="135"/>
      <c r="L601" s="135"/>
      <c r="M601" s="135"/>
      <c r="N601" s="135"/>
      <c r="O601" s="135"/>
      <c r="P601" s="135"/>
      <c r="Q601" s="135"/>
      <c r="R601" s="135"/>
      <c r="S601" s="135"/>
      <c r="T601" s="135"/>
      <c r="U601" s="135"/>
      <c r="V601" s="135"/>
      <c r="W601" s="135"/>
      <c r="X601" s="135"/>
      <c r="Y601" s="135"/>
      <c r="Z601" s="135"/>
      <c r="AA601" s="135"/>
      <c r="AB601" s="135"/>
      <c r="AC601" s="135"/>
      <c r="AD601" s="135"/>
      <c r="AE601" s="135"/>
      <c r="AF601" s="135"/>
      <c r="AG601" s="135"/>
      <c r="AH601" s="135"/>
      <c r="AI601" s="135"/>
      <c r="AJ601" s="135"/>
      <c r="AK601" s="135"/>
      <c r="AL601" s="135"/>
      <c r="AM601" s="135"/>
      <c r="AN601" s="135"/>
      <c r="AO601" s="135"/>
      <c r="AP601" s="135"/>
      <c r="AQ601" s="135"/>
      <c r="AR601" s="135"/>
      <c r="AS601" s="135"/>
      <c r="AT601" s="135"/>
      <c r="AU601" s="135"/>
      <c r="AV601" s="135"/>
      <c r="AW601" s="135"/>
      <c r="AX601" s="135"/>
      <c r="AY601" s="135"/>
      <c r="AZ601" s="135"/>
      <c r="BA601" s="135"/>
      <c r="BB601" s="135"/>
      <c r="BC601" s="135"/>
      <c r="BD601" s="135"/>
      <c r="BE601" s="135"/>
      <c r="BF601" s="135"/>
      <c r="BG601" s="135"/>
      <c r="BH601" s="135"/>
      <c r="BI601" s="135"/>
      <c r="BJ601" s="135"/>
      <c r="BK601" s="135"/>
      <c r="BL601" s="135"/>
      <c r="BM601" s="135"/>
      <c r="BN601" s="135"/>
      <c r="BO601" s="135"/>
      <c r="BP601" s="135"/>
      <c r="BQ601" s="135"/>
      <c r="BR601" s="135"/>
      <c r="BS601" s="135"/>
      <c r="BT601" s="135"/>
    </row>
    <row r="602" spans="1:72" s="196" customFormat="1">
      <c r="A602" s="135"/>
      <c r="B602" s="135"/>
      <c r="C602" s="135"/>
      <c r="D602" s="135"/>
      <c r="E602" s="135"/>
      <c r="F602" s="135"/>
      <c r="G602" s="135"/>
      <c r="H602" s="135"/>
      <c r="I602" s="135"/>
      <c r="J602" s="135"/>
      <c r="K602" s="135"/>
      <c r="L602" s="135"/>
      <c r="M602" s="135"/>
      <c r="N602" s="135"/>
      <c r="O602" s="135"/>
      <c r="P602" s="135"/>
      <c r="Q602" s="135"/>
      <c r="R602" s="135"/>
      <c r="S602" s="135"/>
      <c r="T602" s="135"/>
      <c r="U602" s="135"/>
      <c r="V602" s="135"/>
      <c r="W602" s="135"/>
      <c r="X602" s="135"/>
      <c r="Y602" s="135"/>
      <c r="Z602" s="135"/>
      <c r="AA602" s="135"/>
      <c r="AB602" s="135"/>
      <c r="AC602" s="135"/>
      <c r="AD602" s="135"/>
      <c r="AE602" s="135"/>
      <c r="AF602" s="135"/>
      <c r="AG602" s="135"/>
      <c r="AH602" s="135"/>
      <c r="AI602" s="135"/>
      <c r="AJ602" s="135"/>
      <c r="AK602" s="135"/>
      <c r="AL602" s="135"/>
      <c r="AM602" s="135"/>
      <c r="AN602" s="135"/>
      <c r="AO602" s="135"/>
      <c r="AP602" s="135"/>
      <c r="AQ602" s="135"/>
      <c r="AR602" s="135"/>
      <c r="AS602" s="135"/>
      <c r="AT602" s="135"/>
      <c r="AU602" s="135"/>
      <c r="AV602" s="135"/>
      <c r="AW602" s="135"/>
      <c r="AX602" s="135"/>
      <c r="AY602" s="135"/>
      <c r="AZ602" s="135"/>
      <c r="BA602" s="135"/>
      <c r="BB602" s="135"/>
      <c r="BC602" s="135"/>
      <c r="BD602" s="135"/>
      <c r="BE602" s="135"/>
      <c r="BF602" s="135"/>
      <c r="BG602" s="135"/>
      <c r="BH602" s="135"/>
      <c r="BI602" s="135"/>
      <c r="BJ602" s="135"/>
      <c r="BK602" s="135"/>
      <c r="BL602" s="135"/>
      <c r="BM602" s="135"/>
      <c r="BN602" s="135"/>
      <c r="BO602" s="135"/>
      <c r="BP602" s="135"/>
      <c r="BQ602" s="135"/>
      <c r="BR602" s="135"/>
      <c r="BS602" s="135"/>
      <c r="BT602" s="135"/>
    </row>
    <row r="603" spans="1:72" s="196" customFormat="1">
      <c r="A603" s="135"/>
      <c r="B603" s="135"/>
      <c r="C603" s="135"/>
      <c r="D603" s="135"/>
      <c r="E603" s="135"/>
      <c r="F603" s="135"/>
      <c r="G603" s="135"/>
      <c r="H603" s="135"/>
      <c r="I603" s="135"/>
      <c r="J603" s="135"/>
      <c r="K603" s="135"/>
      <c r="L603" s="135"/>
      <c r="M603" s="135"/>
      <c r="N603" s="135"/>
      <c r="O603" s="135"/>
      <c r="P603" s="135"/>
      <c r="Q603" s="135"/>
      <c r="R603" s="135"/>
      <c r="S603" s="135"/>
      <c r="T603" s="135"/>
      <c r="U603" s="135"/>
      <c r="V603" s="135"/>
      <c r="W603" s="135"/>
      <c r="X603" s="135"/>
      <c r="Y603" s="135"/>
      <c r="Z603" s="135"/>
      <c r="AA603" s="135"/>
      <c r="AB603" s="135"/>
      <c r="AC603" s="135"/>
      <c r="AD603" s="135"/>
      <c r="AE603" s="135"/>
      <c r="AF603" s="135"/>
      <c r="AG603" s="135"/>
      <c r="AH603" s="135"/>
      <c r="AI603" s="135"/>
      <c r="AJ603" s="135"/>
      <c r="AK603" s="135"/>
      <c r="AL603" s="135"/>
      <c r="AM603" s="135"/>
      <c r="AN603" s="135"/>
      <c r="AO603" s="135"/>
      <c r="AP603" s="135"/>
      <c r="AQ603" s="135"/>
      <c r="AR603" s="135"/>
      <c r="AS603" s="135"/>
      <c r="AT603" s="135"/>
      <c r="AU603" s="135"/>
      <c r="AV603" s="135"/>
      <c r="AW603" s="135"/>
      <c r="AX603" s="135"/>
      <c r="AY603" s="135"/>
      <c r="AZ603" s="135"/>
      <c r="BA603" s="135"/>
      <c r="BB603" s="135"/>
      <c r="BC603" s="135"/>
      <c r="BD603" s="135"/>
      <c r="BE603" s="135"/>
      <c r="BF603" s="135"/>
      <c r="BG603" s="135"/>
      <c r="BH603" s="135"/>
      <c r="BI603" s="135"/>
      <c r="BJ603" s="135"/>
      <c r="BK603" s="135"/>
      <c r="BL603" s="135"/>
      <c r="BM603" s="135"/>
      <c r="BN603" s="135"/>
      <c r="BO603" s="135"/>
      <c r="BP603" s="135"/>
      <c r="BQ603" s="135"/>
      <c r="BR603" s="135"/>
      <c r="BS603" s="135"/>
      <c r="BT603" s="135"/>
    </row>
    <row r="604" spans="1:72" s="196" customFormat="1">
      <c r="A604" s="135"/>
      <c r="B604" s="135"/>
      <c r="C604" s="135"/>
      <c r="D604" s="135"/>
      <c r="E604" s="135"/>
      <c r="F604" s="135"/>
      <c r="G604" s="135"/>
      <c r="H604" s="135"/>
      <c r="I604" s="135"/>
      <c r="J604" s="135"/>
      <c r="K604" s="135"/>
      <c r="L604" s="135"/>
      <c r="M604" s="135"/>
      <c r="N604" s="135"/>
      <c r="O604" s="135"/>
      <c r="P604" s="135"/>
      <c r="Q604" s="135"/>
      <c r="R604" s="135"/>
      <c r="S604" s="135"/>
      <c r="T604" s="135"/>
      <c r="U604" s="135"/>
      <c r="V604" s="135"/>
      <c r="W604" s="135"/>
      <c r="X604" s="135"/>
      <c r="Y604" s="135"/>
      <c r="Z604" s="135"/>
      <c r="AA604" s="135"/>
      <c r="AB604" s="135"/>
      <c r="AC604" s="135"/>
      <c r="AD604" s="135"/>
      <c r="AE604" s="135"/>
      <c r="AF604" s="135"/>
      <c r="AG604" s="135"/>
      <c r="AH604" s="135"/>
      <c r="AI604" s="135"/>
      <c r="AJ604" s="135"/>
      <c r="AK604" s="135"/>
      <c r="AL604" s="135"/>
      <c r="AM604" s="135"/>
      <c r="AN604" s="135"/>
      <c r="AO604" s="135"/>
      <c r="AP604" s="135"/>
      <c r="AQ604" s="135"/>
      <c r="AR604" s="135"/>
      <c r="AS604" s="135"/>
      <c r="AT604" s="135"/>
      <c r="AU604" s="135"/>
      <c r="AV604" s="135"/>
      <c r="AW604" s="135"/>
      <c r="AX604" s="135"/>
      <c r="AY604" s="135"/>
      <c r="AZ604" s="135"/>
      <c r="BA604" s="135"/>
      <c r="BB604" s="135"/>
      <c r="BC604" s="135"/>
      <c r="BD604" s="135"/>
      <c r="BE604" s="135"/>
      <c r="BF604" s="135"/>
      <c r="BG604" s="135"/>
      <c r="BH604" s="135"/>
      <c r="BI604" s="135"/>
      <c r="BJ604" s="135"/>
      <c r="BK604" s="135"/>
      <c r="BL604" s="135"/>
      <c r="BM604" s="135"/>
      <c r="BN604" s="135"/>
      <c r="BO604" s="135"/>
      <c r="BP604" s="135"/>
      <c r="BQ604" s="135"/>
      <c r="BR604" s="135"/>
      <c r="BS604" s="135"/>
      <c r="BT604" s="135"/>
    </row>
    <row r="605" spans="1:72" s="196" customFormat="1">
      <c r="A605" s="135"/>
      <c r="B605" s="135"/>
      <c r="C605" s="135"/>
      <c r="D605" s="135"/>
      <c r="E605" s="135"/>
      <c r="F605" s="135"/>
      <c r="G605" s="135"/>
      <c r="H605" s="135"/>
      <c r="I605" s="135"/>
      <c r="J605" s="135"/>
      <c r="K605" s="135"/>
      <c r="L605" s="135"/>
      <c r="M605" s="135"/>
      <c r="N605" s="135"/>
      <c r="O605" s="135"/>
      <c r="P605" s="135"/>
      <c r="Q605" s="135"/>
      <c r="R605" s="135"/>
      <c r="S605" s="135"/>
      <c r="T605" s="135"/>
      <c r="U605" s="135"/>
      <c r="V605" s="135"/>
      <c r="W605" s="135"/>
      <c r="X605" s="135"/>
      <c r="Y605" s="135"/>
      <c r="Z605" s="135"/>
      <c r="AA605" s="135"/>
      <c r="AB605" s="135"/>
      <c r="AC605" s="135"/>
      <c r="AD605" s="135"/>
      <c r="AE605" s="135"/>
      <c r="AF605" s="135"/>
      <c r="AG605" s="135"/>
      <c r="AH605" s="135"/>
      <c r="AI605" s="135"/>
      <c r="AJ605" s="135"/>
      <c r="AK605" s="135"/>
      <c r="AL605" s="135"/>
      <c r="AM605" s="135"/>
      <c r="AN605" s="135"/>
      <c r="AO605" s="135"/>
      <c r="AP605" s="135"/>
      <c r="AQ605" s="135"/>
      <c r="AR605" s="135"/>
      <c r="AS605" s="135"/>
      <c r="AT605" s="135"/>
      <c r="AU605" s="135"/>
      <c r="AV605" s="135"/>
      <c r="AW605" s="135"/>
      <c r="AX605" s="135"/>
      <c r="AY605" s="135"/>
      <c r="AZ605" s="135"/>
      <c r="BA605" s="135"/>
      <c r="BB605" s="135"/>
      <c r="BC605" s="135"/>
      <c r="BD605" s="135"/>
      <c r="BE605" s="135"/>
      <c r="BF605" s="135"/>
      <c r="BG605" s="135"/>
      <c r="BH605" s="135"/>
      <c r="BI605" s="135"/>
      <c r="BJ605" s="135"/>
      <c r="BK605" s="135"/>
      <c r="BL605" s="135"/>
      <c r="BM605" s="135"/>
      <c r="BN605" s="135"/>
      <c r="BO605" s="135"/>
      <c r="BP605" s="135"/>
      <c r="BQ605" s="135"/>
      <c r="BR605" s="135"/>
      <c r="BS605" s="135"/>
      <c r="BT605" s="135"/>
    </row>
    <row r="606" spans="1:72" s="196" customFormat="1">
      <c r="A606" s="135"/>
      <c r="B606" s="135"/>
      <c r="C606" s="135"/>
      <c r="D606" s="135"/>
      <c r="E606" s="135"/>
      <c r="F606" s="135"/>
      <c r="G606" s="135"/>
      <c r="H606" s="135"/>
      <c r="I606" s="135"/>
      <c r="J606" s="135"/>
      <c r="K606" s="135"/>
      <c r="L606" s="135"/>
      <c r="M606" s="135"/>
      <c r="N606" s="135"/>
      <c r="O606" s="135"/>
      <c r="P606" s="135"/>
      <c r="Q606" s="135"/>
      <c r="R606" s="135"/>
      <c r="S606" s="135"/>
      <c r="T606" s="135"/>
      <c r="U606" s="135"/>
      <c r="V606" s="135"/>
      <c r="W606" s="135"/>
      <c r="X606" s="135"/>
      <c r="Y606" s="135"/>
      <c r="Z606" s="135"/>
      <c r="AA606" s="135"/>
      <c r="AB606" s="135"/>
      <c r="AC606" s="135"/>
      <c r="AD606" s="135"/>
      <c r="AE606" s="135"/>
      <c r="AF606" s="135"/>
      <c r="AG606" s="135"/>
      <c r="AH606" s="135"/>
      <c r="AI606" s="135"/>
      <c r="AJ606" s="135"/>
      <c r="AK606" s="135"/>
      <c r="AL606" s="135"/>
      <c r="AM606" s="135"/>
      <c r="AN606" s="135"/>
      <c r="AO606" s="135"/>
      <c r="AP606" s="135"/>
      <c r="AQ606" s="135"/>
      <c r="AR606" s="135"/>
      <c r="AS606" s="135"/>
      <c r="AT606" s="135"/>
      <c r="AU606" s="135"/>
      <c r="AV606" s="135"/>
      <c r="AW606" s="135"/>
      <c r="AX606" s="135"/>
      <c r="AY606" s="135"/>
      <c r="AZ606" s="135"/>
      <c r="BA606" s="135"/>
      <c r="BB606" s="135"/>
      <c r="BC606" s="135"/>
      <c r="BD606" s="135"/>
      <c r="BE606" s="135"/>
      <c r="BF606" s="135"/>
      <c r="BG606" s="135"/>
      <c r="BH606" s="135"/>
      <c r="BI606" s="135"/>
      <c r="BJ606" s="135"/>
      <c r="BK606" s="135"/>
      <c r="BL606" s="135"/>
      <c r="BM606" s="135"/>
      <c r="BN606" s="135"/>
      <c r="BO606" s="135"/>
      <c r="BP606" s="135"/>
      <c r="BQ606" s="135"/>
      <c r="BR606" s="135"/>
      <c r="BS606" s="135"/>
      <c r="BT606" s="135"/>
    </row>
    <row r="607" spans="1:72" s="196" customFormat="1">
      <c r="A607" s="135"/>
      <c r="B607" s="135"/>
      <c r="C607" s="135"/>
      <c r="D607" s="135"/>
      <c r="E607" s="135"/>
      <c r="F607" s="135"/>
      <c r="G607" s="135"/>
      <c r="H607" s="135"/>
      <c r="I607" s="135"/>
      <c r="J607" s="135"/>
      <c r="K607" s="135"/>
      <c r="L607" s="135"/>
      <c r="M607" s="135"/>
      <c r="N607" s="135"/>
      <c r="O607" s="135"/>
      <c r="P607" s="135"/>
      <c r="Q607" s="135"/>
      <c r="R607" s="135"/>
      <c r="S607" s="135"/>
      <c r="T607" s="135"/>
      <c r="U607" s="135"/>
      <c r="V607" s="135"/>
      <c r="W607" s="135"/>
      <c r="X607" s="135"/>
      <c r="Y607" s="135"/>
      <c r="Z607" s="135"/>
      <c r="AA607" s="135"/>
      <c r="AB607" s="135"/>
      <c r="AC607" s="135"/>
      <c r="AD607" s="135"/>
      <c r="AE607" s="135"/>
      <c r="AF607" s="135"/>
      <c r="AG607" s="135"/>
      <c r="AH607" s="135"/>
      <c r="AI607" s="135"/>
      <c r="AJ607" s="135"/>
      <c r="AK607" s="135"/>
      <c r="AL607" s="135"/>
      <c r="AM607" s="135"/>
      <c r="AN607" s="135"/>
      <c r="AO607" s="135"/>
      <c r="AP607" s="135"/>
      <c r="AQ607" s="135"/>
      <c r="AR607" s="135"/>
      <c r="AS607" s="135"/>
      <c r="AT607" s="135"/>
      <c r="AU607" s="135"/>
      <c r="AV607" s="135"/>
      <c r="AW607" s="135"/>
      <c r="AX607" s="135"/>
      <c r="AY607" s="135"/>
      <c r="AZ607" s="135"/>
      <c r="BA607" s="135"/>
      <c r="BB607" s="135"/>
      <c r="BC607" s="135"/>
      <c r="BD607" s="135"/>
      <c r="BE607" s="135"/>
      <c r="BF607" s="135"/>
      <c r="BG607" s="135"/>
      <c r="BH607" s="135"/>
      <c r="BI607" s="135"/>
      <c r="BJ607" s="135"/>
      <c r="BK607" s="135"/>
      <c r="BL607" s="135"/>
      <c r="BM607" s="135"/>
      <c r="BN607" s="135"/>
      <c r="BO607" s="135"/>
      <c r="BP607" s="135"/>
      <c r="BQ607" s="135"/>
      <c r="BR607" s="135"/>
      <c r="BS607" s="135"/>
      <c r="BT607" s="135"/>
    </row>
    <row r="608" spans="1:72" s="196" customFormat="1">
      <c r="A608" s="135"/>
      <c r="B608" s="135"/>
      <c r="C608" s="135"/>
      <c r="D608" s="135"/>
      <c r="E608" s="135"/>
      <c r="F608" s="135"/>
      <c r="G608" s="135"/>
      <c r="H608" s="135"/>
      <c r="I608" s="135"/>
      <c r="J608" s="135"/>
      <c r="K608" s="135"/>
      <c r="L608" s="135"/>
      <c r="M608" s="135"/>
      <c r="N608" s="135"/>
      <c r="O608" s="135"/>
      <c r="P608" s="135"/>
      <c r="Q608" s="135"/>
      <c r="R608" s="135"/>
      <c r="S608" s="135"/>
      <c r="T608" s="135"/>
      <c r="U608" s="135"/>
      <c r="V608" s="135"/>
      <c r="W608" s="135"/>
      <c r="X608" s="135"/>
      <c r="Y608" s="135"/>
      <c r="Z608" s="135"/>
      <c r="AA608" s="135"/>
      <c r="AB608" s="135"/>
      <c r="AC608" s="135"/>
      <c r="AD608" s="135"/>
      <c r="AE608" s="135"/>
      <c r="AF608" s="135"/>
      <c r="AG608" s="135"/>
      <c r="AH608" s="135"/>
      <c r="AI608" s="135"/>
      <c r="AJ608" s="135"/>
      <c r="AK608" s="135"/>
      <c r="AL608" s="135"/>
      <c r="AM608" s="135"/>
      <c r="AN608" s="135"/>
      <c r="AO608" s="135"/>
      <c r="AP608" s="135"/>
      <c r="AQ608" s="135"/>
      <c r="AR608" s="135"/>
      <c r="AS608" s="135"/>
      <c r="AT608" s="135"/>
      <c r="AU608" s="135"/>
      <c r="AV608" s="135"/>
      <c r="AW608" s="135"/>
      <c r="AX608" s="135"/>
      <c r="AY608" s="135"/>
      <c r="AZ608" s="135"/>
      <c r="BA608" s="135"/>
      <c r="BB608" s="135"/>
      <c r="BC608" s="135"/>
      <c r="BD608" s="135"/>
      <c r="BE608" s="135"/>
      <c r="BF608" s="135"/>
      <c r="BG608" s="135"/>
      <c r="BH608" s="135"/>
      <c r="BI608" s="135"/>
      <c r="BJ608" s="135"/>
      <c r="BK608" s="135"/>
      <c r="BL608" s="135"/>
      <c r="BM608" s="135"/>
      <c r="BN608" s="135"/>
      <c r="BO608" s="135"/>
      <c r="BP608" s="135"/>
      <c r="BQ608" s="135"/>
      <c r="BR608" s="135"/>
      <c r="BS608" s="135"/>
      <c r="BT608" s="135"/>
    </row>
    <row r="609" spans="1:72" s="196" customFormat="1">
      <c r="A609" s="135"/>
      <c r="B609" s="135"/>
      <c r="C609" s="135"/>
      <c r="D609" s="135"/>
      <c r="E609" s="135"/>
      <c r="F609" s="135"/>
      <c r="G609" s="135"/>
      <c r="H609" s="135"/>
      <c r="I609" s="135"/>
      <c r="J609" s="135"/>
      <c r="K609" s="135"/>
      <c r="L609" s="135"/>
      <c r="M609" s="135"/>
      <c r="N609" s="135"/>
      <c r="O609" s="135"/>
      <c r="P609" s="135"/>
      <c r="Q609" s="135"/>
      <c r="R609" s="135"/>
      <c r="S609" s="135"/>
      <c r="T609" s="135"/>
      <c r="U609" s="135"/>
      <c r="V609" s="135"/>
      <c r="W609" s="135"/>
      <c r="X609" s="135"/>
      <c r="Y609" s="135"/>
      <c r="Z609" s="135"/>
      <c r="AA609" s="135"/>
      <c r="AB609" s="135"/>
      <c r="AC609" s="135"/>
      <c r="AD609" s="135"/>
      <c r="AE609" s="135"/>
      <c r="AF609" s="135"/>
      <c r="AG609" s="135"/>
      <c r="AH609" s="135"/>
      <c r="AI609" s="135"/>
      <c r="AJ609" s="135"/>
      <c r="AK609" s="135"/>
      <c r="AL609" s="135"/>
      <c r="AM609" s="135"/>
      <c r="AN609" s="135"/>
      <c r="AO609" s="135"/>
      <c r="AP609" s="135"/>
      <c r="AQ609" s="135"/>
      <c r="AR609" s="135"/>
      <c r="AS609" s="135"/>
      <c r="AT609" s="135"/>
      <c r="AU609" s="135"/>
      <c r="AV609" s="135"/>
      <c r="AW609" s="135"/>
      <c r="AX609" s="135"/>
      <c r="AY609" s="135"/>
      <c r="AZ609" s="135"/>
      <c r="BA609" s="135"/>
      <c r="BB609" s="135"/>
      <c r="BC609" s="135"/>
      <c r="BD609" s="135"/>
      <c r="BE609" s="135"/>
      <c r="BF609" s="135"/>
      <c r="BG609" s="135"/>
      <c r="BH609" s="135"/>
      <c r="BI609" s="135"/>
      <c r="BJ609" s="135"/>
      <c r="BK609" s="135"/>
      <c r="BL609" s="135"/>
      <c r="BM609" s="135"/>
      <c r="BN609" s="135"/>
      <c r="BO609" s="135"/>
      <c r="BP609" s="135"/>
      <c r="BQ609" s="135"/>
      <c r="BR609" s="135"/>
      <c r="BS609" s="135"/>
      <c r="BT609" s="135"/>
    </row>
    <row r="610" spans="1:72" s="196" customFormat="1">
      <c r="A610" s="135"/>
      <c r="B610" s="135"/>
      <c r="C610" s="135"/>
      <c r="D610" s="135"/>
      <c r="E610" s="135"/>
      <c r="F610" s="135"/>
      <c r="G610" s="135"/>
      <c r="H610" s="135"/>
      <c r="I610" s="135"/>
      <c r="J610" s="135"/>
      <c r="K610" s="135"/>
      <c r="L610" s="135"/>
      <c r="M610" s="135"/>
      <c r="N610" s="135"/>
      <c r="O610" s="135"/>
      <c r="P610" s="135"/>
      <c r="Q610" s="135"/>
      <c r="R610" s="135"/>
      <c r="S610" s="135"/>
      <c r="T610" s="135"/>
      <c r="U610" s="135"/>
      <c r="V610" s="135"/>
      <c r="W610" s="135"/>
      <c r="X610" s="135"/>
      <c r="Y610" s="135"/>
      <c r="Z610" s="135"/>
      <c r="AA610" s="135"/>
      <c r="AB610" s="135"/>
      <c r="AC610" s="135"/>
      <c r="AD610" s="135"/>
      <c r="AE610" s="135"/>
      <c r="AF610" s="135"/>
      <c r="AG610" s="135"/>
      <c r="AH610" s="135"/>
      <c r="AI610" s="135"/>
      <c r="AJ610" s="135"/>
      <c r="AK610" s="135"/>
      <c r="AL610" s="135"/>
      <c r="AM610" s="135"/>
      <c r="AN610" s="135"/>
      <c r="AO610" s="135"/>
      <c r="AP610" s="135"/>
      <c r="AQ610" s="135"/>
      <c r="AR610" s="135"/>
      <c r="AS610" s="135"/>
      <c r="AT610" s="135"/>
      <c r="AU610" s="135"/>
      <c r="AV610" s="135"/>
      <c r="AW610" s="135"/>
      <c r="AX610" s="135"/>
      <c r="AY610" s="135"/>
      <c r="AZ610" s="135"/>
      <c r="BA610" s="135"/>
      <c r="BB610" s="135"/>
      <c r="BC610" s="135"/>
      <c r="BD610" s="135"/>
      <c r="BE610" s="135"/>
      <c r="BF610" s="135"/>
      <c r="BG610" s="135"/>
      <c r="BH610" s="135"/>
      <c r="BI610" s="135"/>
      <c r="BJ610" s="135"/>
      <c r="BK610" s="135"/>
      <c r="BL610" s="135"/>
      <c r="BM610" s="135"/>
      <c r="BN610" s="135"/>
      <c r="BO610" s="135"/>
      <c r="BP610" s="135"/>
      <c r="BQ610" s="135"/>
      <c r="BR610" s="135"/>
      <c r="BS610" s="135"/>
      <c r="BT610" s="135"/>
    </row>
    <row r="611" spans="1:72" s="196" customFormat="1">
      <c r="A611" s="135"/>
      <c r="B611" s="135"/>
      <c r="C611" s="135"/>
      <c r="D611" s="135"/>
      <c r="E611" s="135"/>
      <c r="F611" s="135"/>
      <c r="G611" s="135"/>
      <c r="H611" s="135"/>
      <c r="I611" s="135"/>
      <c r="J611" s="135"/>
      <c r="K611" s="135"/>
      <c r="L611" s="135"/>
      <c r="M611" s="135"/>
      <c r="N611" s="135"/>
      <c r="O611" s="135"/>
      <c r="P611" s="135"/>
      <c r="Q611" s="135"/>
      <c r="R611" s="135"/>
      <c r="S611" s="135"/>
      <c r="T611" s="135"/>
      <c r="U611" s="135"/>
      <c r="V611" s="135"/>
      <c r="W611" s="135"/>
      <c r="X611" s="135"/>
      <c r="Y611" s="135"/>
      <c r="Z611" s="135"/>
      <c r="AA611" s="135"/>
      <c r="AB611" s="135"/>
      <c r="AC611" s="135"/>
      <c r="AD611" s="135"/>
      <c r="AE611" s="135"/>
      <c r="AF611" s="135"/>
      <c r="AG611" s="135"/>
      <c r="AH611" s="135"/>
      <c r="AI611" s="135"/>
      <c r="AJ611" s="135"/>
      <c r="AK611" s="135"/>
      <c r="AL611" s="135"/>
      <c r="AM611" s="135"/>
      <c r="AN611" s="135"/>
      <c r="AO611" s="135"/>
      <c r="AP611" s="135"/>
      <c r="AQ611" s="135"/>
      <c r="AR611" s="135"/>
      <c r="AS611" s="135"/>
      <c r="AT611" s="135"/>
      <c r="AU611" s="135"/>
      <c r="AV611" s="135"/>
      <c r="AW611" s="135"/>
      <c r="AX611" s="135"/>
      <c r="AY611" s="135"/>
      <c r="AZ611" s="135"/>
      <c r="BA611" s="135"/>
      <c r="BB611" s="135"/>
      <c r="BC611" s="135"/>
      <c r="BD611" s="135"/>
      <c r="BE611" s="135"/>
      <c r="BF611" s="135"/>
      <c r="BG611" s="135"/>
      <c r="BH611" s="135"/>
      <c r="BI611" s="135"/>
      <c r="BJ611" s="135"/>
      <c r="BK611" s="135"/>
      <c r="BL611" s="135"/>
      <c r="BM611" s="135"/>
      <c r="BN611" s="135"/>
      <c r="BO611" s="135"/>
      <c r="BP611" s="135"/>
      <c r="BQ611" s="135"/>
      <c r="BR611" s="135"/>
      <c r="BS611" s="135"/>
      <c r="BT611" s="135"/>
    </row>
    <row r="612" spans="1:72" s="196" customFormat="1">
      <c r="A612" s="135"/>
      <c r="B612" s="135"/>
      <c r="C612" s="135"/>
      <c r="D612" s="135"/>
      <c r="E612" s="135"/>
      <c r="F612" s="135"/>
      <c r="G612" s="135"/>
      <c r="H612" s="135"/>
      <c r="I612" s="135"/>
      <c r="J612" s="135"/>
      <c r="K612" s="135"/>
      <c r="L612" s="135"/>
      <c r="M612" s="135"/>
      <c r="N612" s="135"/>
      <c r="O612" s="135"/>
      <c r="P612" s="135"/>
      <c r="Q612" s="135"/>
      <c r="R612" s="135"/>
      <c r="S612" s="135"/>
      <c r="T612" s="135"/>
      <c r="U612" s="135"/>
      <c r="V612" s="135"/>
      <c r="W612" s="135"/>
      <c r="X612" s="135"/>
      <c r="Y612" s="135"/>
      <c r="Z612" s="135"/>
      <c r="AA612" s="135"/>
      <c r="AB612" s="135"/>
      <c r="AC612" s="135"/>
      <c r="AD612" s="135"/>
      <c r="AE612" s="135"/>
      <c r="AF612" s="135"/>
      <c r="AG612" s="135"/>
      <c r="AH612" s="135"/>
      <c r="AI612" s="135"/>
      <c r="AJ612" s="135"/>
      <c r="AK612" s="135"/>
      <c r="AL612" s="135"/>
      <c r="AM612" s="135"/>
      <c r="AN612" s="135"/>
      <c r="AO612" s="135"/>
      <c r="AP612" s="135"/>
      <c r="AQ612" s="135"/>
      <c r="AR612" s="135"/>
      <c r="AS612" s="135"/>
      <c r="AT612" s="135"/>
      <c r="AU612" s="135"/>
      <c r="AV612" s="135"/>
      <c r="AW612" s="135"/>
      <c r="AX612" s="135"/>
      <c r="AY612" s="135"/>
      <c r="AZ612" s="135"/>
      <c r="BA612" s="135"/>
      <c r="BB612" s="135"/>
      <c r="BC612" s="135"/>
      <c r="BD612" s="135"/>
      <c r="BE612" s="135"/>
      <c r="BF612" s="135"/>
      <c r="BG612" s="135"/>
      <c r="BH612" s="135"/>
      <c r="BI612" s="135"/>
      <c r="BJ612" s="135"/>
      <c r="BK612" s="135"/>
      <c r="BL612" s="135"/>
      <c r="BM612" s="135"/>
      <c r="BN612" s="135"/>
      <c r="BO612" s="135"/>
      <c r="BP612" s="135"/>
      <c r="BQ612" s="135"/>
      <c r="BR612" s="135"/>
      <c r="BS612" s="135"/>
      <c r="BT612" s="135"/>
    </row>
    <row r="613" spans="1:72" s="196" customFormat="1">
      <c r="A613" s="135"/>
      <c r="B613" s="135"/>
      <c r="C613" s="135"/>
      <c r="D613" s="135"/>
      <c r="E613" s="135"/>
      <c r="F613" s="135"/>
      <c r="G613" s="135"/>
      <c r="H613" s="135"/>
      <c r="I613" s="135"/>
      <c r="J613" s="135"/>
      <c r="K613" s="135"/>
      <c r="L613" s="135"/>
      <c r="M613" s="135"/>
      <c r="N613" s="135"/>
      <c r="O613" s="135"/>
      <c r="P613" s="135"/>
      <c r="Q613" s="135"/>
      <c r="R613" s="135"/>
      <c r="S613" s="135"/>
      <c r="T613" s="135"/>
      <c r="U613" s="135"/>
      <c r="V613" s="135"/>
      <c r="W613" s="135"/>
      <c r="X613" s="135"/>
      <c r="Y613" s="135"/>
      <c r="Z613" s="135"/>
      <c r="AA613" s="135"/>
      <c r="AB613" s="135"/>
      <c r="AC613" s="135"/>
      <c r="AD613" s="135"/>
      <c r="AE613" s="135"/>
      <c r="AF613" s="135"/>
      <c r="AG613" s="135"/>
      <c r="AH613" s="135"/>
      <c r="AI613" s="135"/>
      <c r="AJ613" s="135"/>
      <c r="AK613" s="135"/>
      <c r="AL613" s="135"/>
      <c r="AM613" s="135"/>
      <c r="AN613" s="135"/>
      <c r="AO613" s="135"/>
      <c r="AP613" s="135"/>
      <c r="AQ613" s="135"/>
      <c r="AR613" s="135"/>
      <c r="AS613" s="135"/>
      <c r="AT613" s="135"/>
      <c r="AU613" s="135"/>
      <c r="AV613" s="135"/>
      <c r="AW613" s="135"/>
      <c r="AX613" s="135"/>
      <c r="AY613" s="135"/>
      <c r="AZ613" s="135"/>
      <c r="BA613" s="135"/>
      <c r="BB613" s="135"/>
      <c r="BC613" s="135"/>
      <c r="BD613" s="135"/>
      <c r="BE613" s="135"/>
      <c r="BF613" s="135"/>
      <c r="BG613" s="135"/>
      <c r="BH613" s="135"/>
      <c r="BI613" s="135"/>
      <c r="BJ613" s="135"/>
      <c r="BK613" s="135"/>
      <c r="BL613" s="135"/>
      <c r="BM613" s="135"/>
      <c r="BN613" s="135"/>
      <c r="BO613" s="135"/>
      <c r="BP613" s="135"/>
      <c r="BQ613" s="135"/>
      <c r="BR613" s="135"/>
      <c r="BS613" s="135"/>
      <c r="BT613" s="135"/>
    </row>
    <row r="614" spans="1:72" s="196" customFormat="1">
      <c r="A614" s="135"/>
      <c r="B614" s="135"/>
      <c r="C614" s="135"/>
      <c r="D614" s="135"/>
      <c r="E614" s="135"/>
      <c r="F614" s="135"/>
      <c r="G614" s="135"/>
      <c r="H614" s="135"/>
      <c r="I614" s="135"/>
      <c r="J614" s="135"/>
      <c r="K614" s="135"/>
      <c r="L614" s="135"/>
      <c r="M614" s="135"/>
      <c r="N614" s="135"/>
      <c r="O614" s="135"/>
      <c r="P614" s="135"/>
      <c r="Q614" s="135"/>
      <c r="R614" s="135"/>
      <c r="S614" s="135"/>
      <c r="T614" s="135"/>
      <c r="U614" s="135"/>
      <c r="V614" s="135"/>
      <c r="W614" s="135"/>
      <c r="X614" s="135"/>
      <c r="Y614" s="135"/>
      <c r="Z614" s="135"/>
      <c r="AA614" s="135"/>
      <c r="AB614" s="135"/>
      <c r="AC614" s="135"/>
      <c r="AD614" s="135"/>
      <c r="AE614" s="135"/>
      <c r="AF614" s="135"/>
      <c r="AG614" s="135"/>
      <c r="AH614" s="135"/>
      <c r="AI614" s="135"/>
      <c r="AJ614" s="135"/>
      <c r="AK614" s="135"/>
      <c r="AL614" s="135"/>
      <c r="AM614" s="135"/>
      <c r="AN614" s="135"/>
      <c r="AO614" s="135"/>
      <c r="AP614" s="135"/>
      <c r="AQ614" s="135"/>
      <c r="AR614" s="135"/>
      <c r="AS614" s="135"/>
      <c r="AT614" s="135"/>
      <c r="AU614" s="135"/>
      <c r="AV614" s="135"/>
      <c r="AW614" s="135"/>
      <c r="AX614" s="135"/>
      <c r="AY614" s="135"/>
      <c r="AZ614" s="135"/>
      <c r="BA614" s="135"/>
      <c r="BB614" s="135"/>
      <c r="BC614" s="135"/>
      <c r="BD614" s="135"/>
      <c r="BE614" s="135"/>
      <c r="BF614" s="135"/>
      <c r="BG614" s="135"/>
      <c r="BH614" s="135"/>
      <c r="BI614" s="135"/>
      <c r="BJ614" s="135"/>
      <c r="BK614" s="135"/>
      <c r="BL614" s="135"/>
      <c r="BM614" s="135"/>
      <c r="BN614" s="135"/>
      <c r="BO614" s="135"/>
      <c r="BP614" s="135"/>
      <c r="BQ614" s="135"/>
      <c r="BR614" s="135"/>
      <c r="BS614" s="135"/>
      <c r="BT614" s="135"/>
    </row>
    <row r="615" spans="1:72" s="196" customFormat="1">
      <c r="A615" s="135"/>
      <c r="B615" s="135"/>
      <c r="C615" s="135"/>
      <c r="D615" s="135"/>
      <c r="E615" s="135"/>
      <c r="F615" s="135"/>
      <c r="G615" s="135"/>
      <c r="H615" s="135"/>
      <c r="I615" s="135"/>
      <c r="J615" s="135"/>
      <c r="K615" s="135"/>
      <c r="L615" s="135"/>
      <c r="M615" s="135"/>
      <c r="N615" s="135"/>
      <c r="O615" s="135"/>
      <c r="P615" s="135"/>
      <c r="Q615" s="135"/>
      <c r="R615" s="135"/>
      <c r="S615" s="135"/>
      <c r="T615" s="135"/>
      <c r="U615" s="135"/>
      <c r="V615" s="135"/>
      <c r="W615" s="135"/>
      <c r="X615" s="135"/>
      <c r="Y615" s="135"/>
      <c r="Z615" s="135"/>
      <c r="AA615" s="135"/>
      <c r="AB615" s="135"/>
      <c r="AC615" s="135"/>
      <c r="AD615" s="135"/>
      <c r="AE615" s="135"/>
      <c r="AF615" s="135"/>
      <c r="AG615" s="135"/>
      <c r="AH615" s="135"/>
      <c r="AI615" s="135"/>
      <c r="AJ615" s="135"/>
      <c r="AK615" s="135"/>
      <c r="AL615" s="135"/>
      <c r="AM615" s="135"/>
      <c r="AN615" s="135"/>
      <c r="AO615" s="135"/>
      <c r="AP615" s="135"/>
      <c r="AQ615" s="135"/>
      <c r="AR615" s="135"/>
      <c r="AS615" s="135"/>
      <c r="AT615" s="135"/>
      <c r="AU615" s="135"/>
      <c r="AV615" s="135"/>
      <c r="AW615" s="135"/>
      <c r="AX615" s="135"/>
      <c r="AY615" s="135"/>
      <c r="AZ615" s="135"/>
      <c r="BA615" s="135"/>
      <c r="BB615" s="135"/>
      <c r="BC615" s="135"/>
      <c r="BD615" s="135"/>
      <c r="BE615" s="135"/>
      <c r="BF615" s="135"/>
      <c r="BG615" s="135"/>
      <c r="BH615" s="135"/>
      <c r="BI615" s="135"/>
      <c r="BJ615" s="135"/>
      <c r="BK615" s="135"/>
      <c r="BL615" s="135"/>
      <c r="BM615" s="135"/>
      <c r="BN615" s="135"/>
      <c r="BO615" s="135"/>
      <c r="BP615" s="135"/>
      <c r="BQ615" s="135"/>
      <c r="BR615" s="135"/>
      <c r="BS615" s="135"/>
      <c r="BT615" s="135"/>
    </row>
    <row r="616" spans="1:72" s="196" customFormat="1">
      <c r="A616" s="135"/>
      <c r="B616" s="135"/>
      <c r="C616" s="135"/>
      <c r="D616" s="135"/>
      <c r="E616" s="135"/>
      <c r="F616" s="135"/>
      <c r="G616" s="135"/>
      <c r="H616" s="135"/>
      <c r="I616" s="135"/>
      <c r="J616" s="135"/>
      <c r="K616" s="135"/>
      <c r="L616" s="135"/>
      <c r="M616" s="135"/>
      <c r="N616" s="135"/>
      <c r="O616" s="135"/>
      <c r="P616" s="135"/>
      <c r="Q616" s="135"/>
      <c r="R616" s="135"/>
      <c r="S616" s="135"/>
      <c r="T616" s="135"/>
      <c r="U616" s="135"/>
      <c r="V616" s="135"/>
      <c r="W616" s="135"/>
      <c r="X616" s="135"/>
      <c r="Y616" s="135"/>
      <c r="Z616" s="135"/>
      <c r="AA616" s="135"/>
      <c r="AB616" s="135"/>
      <c r="AC616" s="135"/>
      <c r="AD616" s="135"/>
      <c r="AE616" s="135"/>
      <c r="AF616" s="135"/>
      <c r="AG616" s="135"/>
      <c r="AH616" s="135"/>
      <c r="AI616" s="135"/>
      <c r="AJ616" s="135"/>
      <c r="AK616" s="135"/>
      <c r="AL616" s="135"/>
      <c r="AM616" s="135"/>
      <c r="AN616" s="135"/>
      <c r="AO616" s="135"/>
      <c r="AP616" s="135"/>
      <c r="AQ616" s="135"/>
      <c r="AR616" s="135"/>
      <c r="AS616" s="135"/>
      <c r="AT616" s="135"/>
      <c r="AU616" s="135"/>
      <c r="AV616" s="135"/>
      <c r="AW616" s="135"/>
      <c r="AX616" s="135"/>
      <c r="AY616" s="135"/>
      <c r="AZ616" s="135"/>
      <c r="BA616" s="135"/>
      <c r="BB616" s="135"/>
      <c r="BC616" s="135"/>
      <c r="BD616" s="135"/>
      <c r="BE616" s="135"/>
      <c r="BF616" s="135"/>
      <c r="BG616" s="135"/>
      <c r="BH616" s="135"/>
      <c r="BI616" s="135"/>
      <c r="BJ616" s="135"/>
      <c r="BK616" s="135"/>
      <c r="BL616" s="135"/>
      <c r="BM616" s="135"/>
      <c r="BN616" s="135"/>
      <c r="BO616" s="135"/>
      <c r="BP616" s="135"/>
      <c r="BQ616" s="135"/>
      <c r="BR616" s="135"/>
      <c r="BS616" s="135"/>
      <c r="BT616" s="135"/>
    </row>
    <row r="617" spans="1:72" s="196" customFormat="1">
      <c r="A617" s="135"/>
      <c r="B617" s="135"/>
      <c r="C617" s="135"/>
      <c r="D617" s="135"/>
      <c r="E617" s="135"/>
      <c r="F617" s="135"/>
      <c r="G617" s="135"/>
      <c r="H617" s="135"/>
      <c r="I617" s="135"/>
      <c r="J617" s="135"/>
      <c r="K617" s="135"/>
      <c r="L617" s="135"/>
      <c r="M617" s="135"/>
      <c r="N617" s="135"/>
      <c r="O617" s="135"/>
      <c r="P617" s="135"/>
      <c r="Q617" s="135"/>
      <c r="R617" s="135"/>
      <c r="S617" s="135"/>
      <c r="T617" s="135"/>
      <c r="U617" s="135"/>
      <c r="V617" s="135"/>
      <c r="W617" s="135"/>
      <c r="X617" s="135"/>
      <c r="Y617" s="135"/>
      <c r="Z617" s="135"/>
      <c r="AA617" s="135"/>
      <c r="AB617" s="135"/>
      <c r="AC617" s="135"/>
      <c r="AD617" s="135"/>
      <c r="AE617" s="135"/>
      <c r="AF617" s="135"/>
      <c r="AG617" s="135"/>
      <c r="AH617" s="135"/>
      <c r="AI617" s="135"/>
      <c r="AJ617" s="135"/>
      <c r="AK617" s="135"/>
      <c r="AL617" s="135"/>
      <c r="AM617" s="135"/>
      <c r="AN617" s="135"/>
      <c r="AO617" s="135"/>
      <c r="AP617" s="135"/>
      <c r="AQ617" s="135"/>
      <c r="AR617" s="135"/>
      <c r="AS617" s="135"/>
      <c r="AT617" s="135"/>
      <c r="AU617" s="135"/>
      <c r="AV617" s="135"/>
      <c r="AW617" s="135"/>
      <c r="AX617" s="135"/>
      <c r="AY617" s="135"/>
      <c r="AZ617" s="135"/>
      <c r="BA617" s="135"/>
      <c r="BB617" s="135"/>
      <c r="BC617" s="135"/>
      <c r="BD617" s="135"/>
      <c r="BE617" s="135"/>
      <c r="BF617" s="135"/>
      <c r="BG617" s="135"/>
      <c r="BH617" s="135"/>
      <c r="BI617" s="135"/>
      <c r="BJ617" s="135"/>
      <c r="BK617" s="135"/>
      <c r="BL617" s="135"/>
      <c r="BM617" s="135"/>
      <c r="BN617" s="135"/>
      <c r="BO617" s="135"/>
      <c r="BP617" s="135"/>
      <c r="BQ617" s="135"/>
      <c r="BR617" s="135"/>
      <c r="BS617" s="135"/>
      <c r="BT617" s="135"/>
    </row>
    <row r="618" spans="1:72" s="196" customFormat="1">
      <c r="A618" s="135"/>
      <c r="B618" s="135"/>
      <c r="C618" s="135"/>
      <c r="D618" s="135"/>
      <c r="E618" s="135"/>
      <c r="F618" s="135"/>
      <c r="G618" s="135"/>
      <c r="H618" s="135"/>
      <c r="I618" s="135"/>
      <c r="J618" s="135"/>
      <c r="K618" s="135"/>
      <c r="L618" s="135"/>
      <c r="M618" s="135"/>
      <c r="N618" s="135"/>
      <c r="O618" s="135"/>
      <c r="P618" s="135"/>
      <c r="Q618" s="135"/>
      <c r="R618" s="135"/>
      <c r="S618" s="135"/>
      <c r="T618" s="135"/>
      <c r="U618" s="135"/>
      <c r="V618" s="135"/>
      <c r="W618" s="135"/>
      <c r="X618" s="135"/>
      <c r="Y618" s="135"/>
      <c r="Z618" s="135"/>
      <c r="AA618" s="135"/>
      <c r="AB618" s="135"/>
      <c r="AC618" s="135"/>
      <c r="AD618" s="135"/>
      <c r="AE618" s="135"/>
      <c r="AF618" s="135"/>
      <c r="AG618" s="135"/>
      <c r="AH618" s="135"/>
      <c r="AI618" s="135"/>
      <c r="AJ618" s="135"/>
      <c r="AK618" s="135"/>
      <c r="AL618" s="135"/>
      <c r="AM618" s="135"/>
      <c r="AN618" s="135"/>
      <c r="AO618" s="135"/>
      <c r="AP618" s="135"/>
      <c r="AQ618" s="135"/>
      <c r="AR618" s="135"/>
      <c r="AS618" s="135"/>
      <c r="AT618" s="135"/>
      <c r="AU618" s="135"/>
      <c r="AV618" s="135"/>
      <c r="AW618" s="135"/>
      <c r="AX618" s="135"/>
      <c r="AY618" s="135"/>
      <c r="AZ618" s="135"/>
      <c r="BA618" s="135"/>
      <c r="BB618" s="135"/>
      <c r="BC618" s="135"/>
      <c r="BD618" s="135"/>
      <c r="BE618" s="135"/>
      <c r="BF618" s="135"/>
      <c r="BG618" s="135"/>
      <c r="BH618" s="135"/>
      <c r="BI618" s="135"/>
      <c r="BJ618" s="135"/>
      <c r="BK618" s="135"/>
      <c r="BL618" s="135"/>
      <c r="BM618" s="135"/>
      <c r="BN618" s="135"/>
      <c r="BO618" s="135"/>
      <c r="BP618" s="135"/>
      <c r="BQ618" s="135"/>
      <c r="BR618" s="135"/>
      <c r="BS618" s="135"/>
      <c r="BT618" s="135"/>
    </row>
    <row r="619" spans="1:72" s="196" customFormat="1">
      <c r="A619" s="135"/>
      <c r="B619" s="135"/>
      <c r="C619" s="135"/>
      <c r="D619" s="135"/>
      <c r="E619" s="135"/>
      <c r="F619" s="135"/>
      <c r="G619" s="135"/>
      <c r="H619" s="135"/>
      <c r="I619" s="135"/>
      <c r="J619" s="135"/>
      <c r="K619" s="135"/>
      <c r="L619" s="135"/>
      <c r="M619" s="135"/>
      <c r="N619" s="135"/>
      <c r="O619" s="135"/>
      <c r="P619" s="135"/>
      <c r="Q619" s="135"/>
      <c r="R619" s="135"/>
      <c r="S619" s="135"/>
      <c r="T619" s="135"/>
      <c r="U619" s="135"/>
      <c r="V619" s="135"/>
      <c r="W619" s="135"/>
      <c r="X619" s="135"/>
      <c r="Y619" s="135"/>
      <c r="Z619" s="135"/>
      <c r="AA619" s="135"/>
      <c r="AB619" s="135"/>
      <c r="AC619" s="135"/>
      <c r="AD619" s="135"/>
      <c r="AE619" s="135"/>
      <c r="AF619" s="135"/>
      <c r="AG619" s="135"/>
      <c r="AH619" s="135"/>
      <c r="AI619" s="135"/>
      <c r="AJ619" s="135"/>
      <c r="AK619" s="135"/>
      <c r="AL619" s="135"/>
      <c r="AM619" s="135"/>
      <c r="AN619" s="135"/>
      <c r="AO619" s="135"/>
      <c r="AP619" s="135"/>
      <c r="AQ619" s="135"/>
      <c r="AR619" s="135"/>
      <c r="AS619" s="135"/>
      <c r="AT619" s="135"/>
      <c r="AU619" s="135"/>
      <c r="AV619" s="135"/>
      <c r="AW619" s="135"/>
      <c r="AX619" s="135"/>
      <c r="AY619" s="135"/>
      <c r="AZ619" s="135"/>
      <c r="BA619" s="135"/>
      <c r="BB619" s="135"/>
      <c r="BC619" s="135"/>
      <c r="BD619" s="135"/>
      <c r="BE619" s="135"/>
      <c r="BF619" s="135"/>
      <c r="BG619" s="135"/>
      <c r="BH619" s="135"/>
      <c r="BI619" s="135"/>
      <c r="BJ619" s="135"/>
      <c r="BK619" s="135"/>
      <c r="BL619" s="135"/>
      <c r="BM619" s="135"/>
      <c r="BN619" s="135"/>
      <c r="BO619" s="135"/>
      <c r="BP619" s="135"/>
      <c r="BQ619" s="135"/>
      <c r="BR619" s="135"/>
      <c r="BS619" s="135"/>
      <c r="BT619" s="135"/>
    </row>
    <row r="620" spans="1:72" s="196" customFormat="1">
      <c r="A620" s="135"/>
      <c r="B620" s="135"/>
      <c r="C620" s="135"/>
      <c r="D620" s="135"/>
      <c r="E620" s="135"/>
      <c r="F620" s="135"/>
      <c r="G620" s="135"/>
      <c r="H620" s="135"/>
      <c r="I620" s="135"/>
      <c r="J620" s="135"/>
      <c r="K620" s="135"/>
      <c r="L620" s="135"/>
      <c r="M620" s="135"/>
      <c r="N620" s="135"/>
      <c r="O620" s="135"/>
      <c r="P620" s="135"/>
      <c r="Q620" s="135"/>
      <c r="R620" s="135"/>
      <c r="S620" s="135"/>
      <c r="T620" s="135"/>
      <c r="U620" s="135"/>
      <c r="V620" s="135"/>
      <c r="W620" s="135"/>
      <c r="X620" s="135"/>
      <c r="Y620" s="135"/>
      <c r="Z620" s="135"/>
      <c r="AA620" s="135"/>
      <c r="AB620" s="135"/>
      <c r="AC620" s="135"/>
      <c r="AD620" s="135"/>
      <c r="AE620" s="135"/>
      <c r="AF620" s="135"/>
      <c r="AG620" s="135"/>
      <c r="AH620" s="135"/>
      <c r="AI620" s="135"/>
      <c r="AJ620" s="135"/>
      <c r="AK620" s="135"/>
      <c r="AL620" s="135"/>
      <c r="AM620" s="135"/>
      <c r="AN620" s="135"/>
      <c r="AO620" s="135"/>
      <c r="AP620" s="135"/>
      <c r="AQ620" s="135"/>
      <c r="AR620" s="135"/>
      <c r="AS620" s="135"/>
      <c r="AT620" s="135"/>
      <c r="AU620" s="135"/>
      <c r="AV620" s="135"/>
      <c r="AW620" s="135"/>
      <c r="AX620" s="135"/>
      <c r="AY620" s="135"/>
      <c r="AZ620" s="135"/>
      <c r="BA620" s="135"/>
      <c r="BB620" s="135"/>
      <c r="BC620" s="135"/>
      <c r="BD620" s="135"/>
      <c r="BE620" s="135"/>
      <c r="BF620" s="135"/>
      <c r="BG620" s="135"/>
      <c r="BH620" s="135"/>
      <c r="BI620" s="135"/>
      <c r="BJ620" s="135"/>
      <c r="BK620" s="135"/>
      <c r="BL620" s="135"/>
      <c r="BM620" s="135"/>
      <c r="BN620" s="135"/>
      <c r="BO620" s="135"/>
      <c r="BP620" s="135"/>
      <c r="BQ620" s="135"/>
      <c r="BR620" s="135"/>
      <c r="BS620" s="135"/>
      <c r="BT620" s="135"/>
    </row>
    <row r="621" spans="1:72" s="196" customFormat="1">
      <c r="A621" s="135"/>
      <c r="B621" s="135"/>
      <c r="C621" s="135"/>
      <c r="D621" s="135"/>
      <c r="E621" s="135"/>
      <c r="F621" s="135"/>
      <c r="G621" s="135"/>
      <c r="H621" s="135"/>
      <c r="I621" s="135"/>
      <c r="J621" s="135"/>
      <c r="K621" s="135"/>
      <c r="L621" s="135"/>
      <c r="M621" s="135"/>
      <c r="N621" s="135"/>
      <c r="O621" s="135"/>
      <c r="P621" s="135"/>
      <c r="Q621" s="135"/>
      <c r="R621" s="135"/>
      <c r="S621" s="135"/>
      <c r="T621" s="135"/>
      <c r="U621" s="135"/>
      <c r="V621" s="135"/>
      <c r="W621" s="135"/>
      <c r="X621" s="135"/>
      <c r="Y621" s="135"/>
      <c r="Z621" s="135"/>
      <c r="AA621" s="135"/>
      <c r="AB621" s="135"/>
      <c r="AC621" s="135"/>
      <c r="AD621" s="135"/>
      <c r="AE621" s="135"/>
      <c r="AF621" s="135"/>
      <c r="AG621" s="135"/>
      <c r="AH621" s="135"/>
      <c r="AI621" s="135"/>
      <c r="AJ621" s="135"/>
      <c r="AK621" s="135"/>
      <c r="AL621" s="135"/>
      <c r="AM621" s="135"/>
      <c r="AN621" s="135"/>
      <c r="AO621" s="135"/>
      <c r="AP621" s="135"/>
      <c r="AQ621" s="135"/>
      <c r="AR621" s="135"/>
      <c r="AS621" s="135"/>
      <c r="AT621" s="135"/>
      <c r="AU621" s="135"/>
      <c r="AV621" s="135"/>
      <c r="AW621" s="135"/>
      <c r="AX621" s="135"/>
      <c r="AY621" s="135"/>
      <c r="AZ621" s="135"/>
      <c r="BA621" s="135"/>
      <c r="BB621" s="135"/>
      <c r="BC621" s="135"/>
      <c r="BD621" s="135"/>
      <c r="BE621" s="135"/>
      <c r="BF621" s="135"/>
      <c r="BG621" s="135"/>
      <c r="BH621" s="135"/>
      <c r="BI621" s="135"/>
      <c r="BJ621" s="135"/>
      <c r="BK621" s="135"/>
      <c r="BL621" s="135"/>
      <c r="BM621" s="135"/>
      <c r="BN621" s="135"/>
      <c r="BO621" s="135"/>
      <c r="BP621" s="135"/>
      <c r="BQ621" s="135"/>
      <c r="BR621" s="135"/>
      <c r="BS621" s="135"/>
      <c r="BT621" s="135"/>
    </row>
    <row r="622" spans="1:72" s="196" customFormat="1">
      <c r="A622" s="135"/>
      <c r="B622" s="135"/>
      <c r="C622" s="135"/>
      <c r="D622" s="135"/>
      <c r="E622" s="135"/>
      <c r="F622" s="135"/>
      <c r="G622" s="135"/>
      <c r="H622" s="135"/>
      <c r="I622" s="135"/>
      <c r="J622" s="135"/>
      <c r="K622" s="135"/>
      <c r="L622" s="135"/>
      <c r="M622" s="135"/>
      <c r="N622" s="135"/>
      <c r="O622" s="135"/>
      <c r="P622" s="135"/>
      <c r="Q622" s="135"/>
      <c r="R622" s="135"/>
      <c r="S622" s="135"/>
      <c r="T622" s="135"/>
      <c r="U622" s="135"/>
      <c r="V622" s="135"/>
      <c r="W622" s="135"/>
      <c r="X622" s="135"/>
      <c r="Y622" s="135"/>
      <c r="Z622" s="135"/>
      <c r="AA622" s="135"/>
      <c r="AB622" s="135"/>
      <c r="AC622" s="135"/>
      <c r="AD622" s="135"/>
      <c r="AE622" s="135"/>
      <c r="AF622" s="135"/>
      <c r="AG622" s="135"/>
      <c r="AH622" s="135"/>
      <c r="AI622" s="135"/>
      <c r="AJ622" s="135"/>
      <c r="AK622" s="135"/>
      <c r="AL622" s="135"/>
      <c r="AM622" s="135"/>
      <c r="AN622" s="135"/>
      <c r="AO622" s="135"/>
      <c r="AP622" s="135"/>
      <c r="AQ622" s="135"/>
      <c r="AR622" s="135"/>
      <c r="AS622" s="135"/>
      <c r="AT622" s="135"/>
      <c r="AU622" s="135"/>
      <c r="AV622" s="135"/>
      <c r="AW622" s="135"/>
      <c r="AX622" s="135"/>
      <c r="AY622" s="135"/>
      <c r="AZ622" s="135"/>
      <c r="BA622" s="135"/>
      <c r="BB622" s="135"/>
      <c r="BC622" s="135"/>
      <c r="BD622" s="135"/>
      <c r="BE622" s="135"/>
      <c r="BF622" s="135"/>
      <c r="BG622" s="135"/>
      <c r="BH622" s="135"/>
      <c r="BI622" s="135"/>
      <c r="BJ622" s="135"/>
      <c r="BK622" s="135"/>
      <c r="BL622" s="135"/>
      <c r="BM622" s="135"/>
      <c r="BN622" s="135"/>
      <c r="BO622" s="135"/>
      <c r="BP622" s="135"/>
      <c r="BQ622" s="135"/>
      <c r="BR622" s="135"/>
      <c r="BS622" s="135"/>
      <c r="BT622" s="135"/>
    </row>
    <row r="623" spans="1:72" s="196" customFormat="1">
      <c r="A623" s="135"/>
      <c r="B623" s="135"/>
      <c r="C623" s="135"/>
      <c r="D623" s="135"/>
      <c r="E623" s="135"/>
      <c r="F623" s="135"/>
      <c r="G623" s="135"/>
      <c r="H623" s="135"/>
      <c r="I623" s="135"/>
      <c r="J623" s="135"/>
      <c r="K623" s="135"/>
      <c r="L623" s="135"/>
      <c r="M623" s="135"/>
      <c r="N623" s="135"/>
      <c r="O623" s="135"/>
      <c r="P623" s="135"/>
      <c r="Q623" s="135"/>
      <c r="R623" s="135"/>
      <c r="S623" s="135"/>
      <c r="T623" s="135"/>
      <c r="U623" s="135"/>
      <c r="V623" s="135"/>
      <c r="W623" s="135"/>
      <c r="X623" s="135"/>
      <c r="Y623" s="135"/>
      <c r="Z623" s="135"/>
      <c r="AA623" s="135"/>
      <c r="AB623" s="135"/>
      <c r="AC623" s="135"/>
      <c r="AD623" s="135"/>
      <c r="AE623" s="135"/>
      <c r="AF623" s="135"/>
      <c r="AG623" s="135"/>
      <c r="AH623" s="135"/>
      <c r="AI623" s="135"/>
      <c r="AJ623" s="135"/>
      <c r="AK623" s="135"/>
      <c r="AL623" s="135"/>
      <c r="AM623" s="135"/>
      <c r="AN623" s="135"/>
      <c r="AO623" s="135"/>
      <c r="AP623" s="135"/>
      <c r="AQ623" s="135"/>
      <c r="AR623" s="135"/>
      <c r="AS623" s="135"/>
      <c r="AT623" s="135"/>
      <c r="AU623" s="135"/>
      <c r="AV623" s="135"/>
      <c r="AW623" s="135"/>
      <c r="AX623" s="135"/>
      <c r="AY623" s="135"/>
      <c r="AZ623" s="135"/>
      <c r="BA623" s="135"/>
      <c r="BB623" s="135"/>
      <c r="BC623" s="135"/>
      <c r="BD623" s="135"/>
      <c r="BE623" s="135"/>
      <c r="BF623" s="135"/>
      <c r="BG623" s="135"/>
      <c r="BH623" s="135"/>
      <c r="BI623" s="135"/>
      <c r="BJ623" s="135"/>
      <c r="BK623" s="135"/>
      <c r="BL623" s="135"/>
      <c r="BM623" s="135"/>
      <c r="BN623" s="135"/>
      <c r="BO623" s="135"/>
      <c r="BP623" s="135"/>
      <c r="BQ623" s="135"/>
      <c r="BR623" s="135"/>
      <c r="BS623" s="135"/>
      <c r="BT623" s="135"/>
    </row>
    <row r="624" spans="1:72" s="196" customFormat="1">
      <c r="A624" s="135"/>
      <c r="B624" s="135"/>
      <c r="C624" s="135"/>
      <c r="D624" s="135"/>
      <c r="E624" s="135"/>
      <c r="F624" s="135"/>
      <c r="G624" s="135"/>
      <c r="H624" s="135"/>
      <c r="I624" s="135"/>
      <c r="J624" s="135"/>
      <c r="K624" s="135"/>
      <c r="L624" s="135"/>
      <c r="M624" s="135"/>
      <c r="N624" s="135"/>
      <c r="O624" s="135"/>
      <c r="P624" s="135"/>
      <c r="Q624" s="135"/>
      <c r="R624" s="135"/>
      <c r="S624" s="135"/>
      <c r="T624" s="135"/>
      <c r="U624" s="135"/>
      <c r="V624" s="135"/>
      <c r="W624" s="135"/>
      <c r="X624" s="135"/>
      <c r="Y624" s="135"/>
      <c r="Z624" s="135"/>
      <c r="AA624" s="135"/>
      <c r="AB624" s="135"/>
      <c r="AC624" s="135"/>
      <c r="AD624" s="135"/>
      <c r="AE624" s="135"/>
      <c r="AF624" s="135"/>
      <c r="AG624" s="135"/>
      <c r="AH624" s="135"/>
      <c r="AI624" s="135"/>
      <c r="AJ624" s="135"/>
      <c r="AK624" s="135"/>
      <c r="AL624" s="135"/>
      <c r="AM624" s="135"/>
      <c r="AN624" s="135"/>
      <c r="AO624" s="135"/>
      <c r="AP624" s="135"/>
      <c r="AQ624" s="135"/>
      <c r="AR624" s="135"/>
      <c r="AS624" s="135"/>
      <c r="AT624" s="135"/>
      <c r="AU624" s="135"/>
      <c r="AV624" s="135"/>
      <c r="AW624" s="135"/>
      <c r="AX624" s="135"/>
      <c r="AY624" s="135"/>
      <c r="AZ624" s="135"/>
      <c r="BA624" s="135"/>
      <c r="BB624" s="135"/>
      <c r="BC624" s="135"/>
      <c r="BD624" s="135"/>
      <c r="BE624" s="135"/>
      <c r="BF624" s="135"/>
      <c r="BG624" s="135"/>
      <c r="BH624" s="135"/>
      <c r="BI624" s="135"/>
      <c r="BJ624" s="135"/>
      <c r="BK624" s="135"/>
      <c r="BL624" s="135"/>
      <c r="BM624" s="135"/>
      <c r="BN624" s="135"/>
      <c r="BO624" s="135"/>
      <c r="BP624" s="135"/>
      <c r="BQ624" s="135"/>
      <c r="BR624" s="135"/>
      <c r="BS624" s="135"/>
      <c r="BT624" s="135"/>
    </row>
    <row r="625" spans="1:72" s="196" customFormat="1">
      <c r="A625" s="135"/>
      <c r="B625" s="135"/>
      <c r="C625" s="135"/>
      <c r="D625" s="135"/>
      <c r="E625" s="135"/>
      <c r="F625" s="135"/>
      <c r="G625" s="135"/>
      <c r="H625" s="135"/>
      <c r="I625" s="135"/>
      <c r="J625" s="135"/>
      <c r="K625" s="135"/>
      <c r="L625" s="135"/>
      <c r="M625" s="135"/>
      <c r="N625" s="135"/>
      <c r="O625" s="135"/>
      <c r="P625" s="135"/>
      <c r="Q625" s="135"/>
      <c r="R625" s="135"/>
      <c r="S625" s="135"/>
      <c r="T625" s="135"/>
      <c r="U625" s="135"/>
      <c r="V625" s="135"/>
      <c r="W625" s="135"/>
      <c r="X625" s="135"/>
      <c r="Y625" s="135"/>
      <c r="Z625" s="135"/>
      <c r="AA625" s="135"/>
      <c r="AB625" s="135"/>
      <c r="AC625" s="135"/>
      <c r="AD625" s="135"/>
      <c r="AE625" s="135"/>
      <c r="AF625" s="135"/>
      <c r="AG625" s="135"/>
      <c r="AH625" s="135"/>
      <c r="AI625" s="135"/>
      <c r="AJ625" s="135"/>
      <c r="AK625" s="135"/>
      <c r="AL625" s="135"/>
      <c r="AM625" s="135"/>
      <c r="AN625" s="135"/>
      <c r="AO625" s="135"/>
      <c r="AP625" s="135"/>
      <c r="AQ625" s="135"/>
      <c r="AR625" s="135"/>
      <c r="AS625" s="135"/>
      <c r="AT625" s="135"/>
      <c r="AU625" s="135"/>
      <c r="AV625" s="135"/>
      <c r="AW625" s="135"/>
      <c r="AX625" s="135"/>
      <c r="AY625" s="135"/>
      <c r="AZ625" s="135"/>
      <c r="BA625" s="135"/>
      <c r="BB625" s="135"/>
      <c r="BC625" s="135"/>
      <c r="BD625" s="135"/>
      <c r="BE625" s="135"/>
      <c r="BF625" s="135"/>
      <c r="BG625" s="135"/>
      <c r="BH625" s="135"/>
      <c r="BI625" s="135"/>
      <c r="BJ625" s="135"/>
      <c r="BK625" s="135"/>
      <c r="BL625" s="135"/>
      <c r="BM625" s="135"/>
      <c r="BN625" s="135"/>
      <c r="BO625" s="135"/>
      <c r="BP625" s="135"/>
      <c r="BQ625" s="135"/>
      <c r="BR625" s="135"/>
      <c r="BS625" s="135"/>
      <c r="BT625" s="135"/>
    </row>
    <row r="626" spans="1:72" s="196" customFormat="1">
      <c r="A626" s="135"/>
      <c r="B626" s="135"/>
      <c r="C626" s="135"/>
      <c r="D626" s="135"/>
      <c r="E626" s="135"/>
      <c r="F626" s="135"/>
      <c r="G626" s="135"/>
      <c r="H626" s="135"/>
      <c r="I626" s="135"/>
      <c r="J626" s="135"/>
      <c r="K626" s="135"/>
      <c r="L626" s="135"/>
      <c r="M626" s="135"/>
      <c r="N626" s="135"/>
      <c r="O626" s="135"/>
      <c r="P626" s="135"/>
      <c r="Q626" s="135"/>
      <c r="R626" s="135"/>
      <c r="S626" s="135"/>
      <c r="T626" s="135"/>
      <c r="U626" s="135"/>
      <c r="V626" s="135"/>
      <c r="W626" s="135"/>
      <c r="X626" s="135"/>
      <c r="Y626" s="135"/>
      <c r="Z626" s="135"/>
      <c r="AA626" s="135"/>
      <c r="AB626" s="135"/>
      <c r="AC626" s="135"/>
      <c r="AD626" s="135"/>
      <c r="AE626" s="135"/>
      <c r="AF626" s="135"/>
      <c r="AG626" s="135"/>
      <c r="AH626" s="135"/>
      <c r="AI626" s="135"/>
      <c r="AJ626" s="135"/>
      <c r="AK626" s="135"/>
      <c r="AL626" s="135"/>
      <c r="AM626" s="135"/>
      <c r="AN626" s="135"/>
      <c r="AO626" s="135"/>
      <c r="AP626" s="135"/>
      <c r="AQ626" s="135"/>
      <c r="AR626" s="135"/>
      <c r="AS626" s="135"/>
      <c r="AT626" s="135"/>
      <c r="AU626" s="135"/>
      <c r="AV626" s="135"/>
      <c r="AW626" s="135"/>
      <c r="AX626" s="135"/>
      <c r="AY626" s="135"/>
      <c r="AZ626" s="135"/>
      <c r="BA626" s="135"/>
      <c r="BB626" s="135"/>
      <c r="BC626" s="135"/>
      <c r="BD626" s="135"/>
      <c r="BE626" s="135"/>
      <c r="BF626" s="135"/>
      <c r="BG626" s="135"/>
      <c r="BH626" s="135"/>
      <c r="BI626" s="135"/>
      <c r="BJ626" s="135"/>
      <c r="BK626" s="135"/>
      <c r="BL626" s="135"/>
      <c r="BM626" s="135"/>
      <c r="BN626" s="135"/>
      <c r="BO626" s="135"/>
      <c r="BP626" s="135"/>
      <c r="BQ626" s="135"/>
      <c r="BR626" s="135"/>
      <c r="BS626" s="135"/>
      <c r="BT626" s="135"/>
    </row>
    <row r="627" spans="1:72" s="196" customFormat="1">
      <c r="A627" s="135"/>
      <c r="B627" s="135"/>
      <c r="C627" s="135"/>
      <c r="D627" s="135"/>
      <c r="E627" s="135"/>
      <c r="F627" s="135"/>
      <c r="G627" s="135"/>
      <c r="H627" s="135"/>
      <c r="I627" s="135"/>
      <c r="J627" s="135"/>
      <c r="K627" s="135"/>
      <c r="L627" s="135"/>
      <c r="M627" s="135"/>
      <c r="N627" s="135"/>
      <c r="O627" s="135"/>
      <c r="P627" s="135"/>
      <c r="Q627" s="135"/>
      <c r="R627" s="135"/>
      <c r="S627" s="135"/>
      <c r="T627" s="135"/>
      <c r="U627" s="135"/>
      <c r="V627" s="135"/>
      <c r="W627" s="135"/>
      <c r="X627" s="135"/>
      <c r="Y627" s="135"/>
      <c r="Z627" s="135"/>
      <c r="AA627" s="135"/>
      <c r="AB627" s="135"/>
      <c r="AC627" s="135"/>
      <c r="AD627" s="135"/>
      <c r="AE627" s="135"/>
      <c r="AF627" s="135"/>
      <c r="AG627" s="135"/>
      <c r="AH627" s="135"/>
      <c r="AI627" s="135"/>
      <c r="AJ627" s="135"/>
      <c r="AK627" s="135"/>
      <c r="AL627" s="135"/>
      <c r="AM627" s="135"/>
      <c r="AN627" s="135"/>
      <c r="AO627" s="135"/>
      <c r="AP627" s="135"/>
      <c r="AQ627" s="135"/>
      <c r="AR627" s="135"/>
      <c r="AS627" s="135"/>
      <c r="AT627" s="135"/>
      <c r="AU627" s="135"/>
      <c r="AV627" s="135"/>
      <c r="AW627" s="135"/>
      <c r="AX627" s="135"/>
      <c r="AY627" s="135"/>
      <c r="AZ627" s="135"/>
      <c r="BA627" s="135"/>
      <c r="BB627" s="135"/>
      <c r="BC627" s="135"/>
      <c r="BD627" s="135"/>
      <c r="BE627" s="135"/>
      <c r="BF627" s="135"/>
      <c r="BG627" s="135"/>
      <c r="BH627" s="135"/>
      <c r="BI627" s="135"/>
      <c r="BJ627" s="135"/>
      <c r="BK627" s="135"/>
      <c r="BL627" s="135"/>
      <c r="BM627" s="135"/>
      <c r="BN627" s="135"/>
      <c r="BO627" s="135"/>
      <c r="BP627" s="135"/>
      <c r="BQ627" s="135"/>
      <c r="BR627" s="135"/>
      <c r="BS627" s="135"/>
      <c r="BT627" s="135"/>
    </row>
    <row r="628" spans="1:72" s="196" customFormat="1">
      <c r="A628" s="135"/>
      <c r="B628" s="135"/>
      <c r="C628" s="135"/>
      <c r="D628" s="135"/>
      <c r="E628" s="135"/>
      <c r="F628" s="135"/>
      <c r="G628" s="135"/>
      <c r="H628" s="135"/>
      <c r="I628" s="135"/>
      <c r="J628" s="135"/>
      <c r="K628" s="135"/>
      <c r="L628" s="135"/>
      <c r="M628" s="135"/>
      <c r="N628" s="135"/>
      <c r="O628" s="135"/>
      <c r="P628" s="135"/>
      <c r="Q628" s="135"/>
      <c r="R628" s="135"/>
      <c r="S628" s="135"/>
      <c r="T628" s="135"/>
      <c r="U628" s="135"/>
      <c r="V628" s="135"/>
      <c r="W628" s="135"/>
      <c r="X628" s="135"/>
      <c r="Y628" s="135"/>
      <c r="Z628" s="135"/>
      <c r="AA628" s="135"/>
      <c r="AB628" s="135"/>
      <c r="AC628" s="135"/>
      <c r="AD628" s="135"/>
      <c r="AE628" s="135"/>
      <c r="AF628" s="135"/>
      <c r="AG628" s="135"/>
      <c r="AH628" s="135"/>
      <c r="AI628" s="135"/>
      <c r="AJ628" s="135"/>
      <c r="AK628" s="135"/>
      <c r="AL628" s="135"/>
      <c r="AM628" s="135"/>
      <c r="AN628" s="135"/>
      <c r="AO628" s="135"/>
      <c r="AP628" s="135"/>
      <c r="AQ628" s="135"/>
      <c r="AR628" s="135"/>
      <c r="AS628" s="135"/>
      <c r="AT628" s="135"/>
      <c r="AU628" s="135"/>
      <c r="AV628" s="135"/>
      <c r="AW628" s="135"/>
      <c r="AX628" s="135"/>
      <c r="AY628" s="135"/>
      <c r="AZ628" s="135"/>
      <c r="BA628" s="135"/>
      <c r="BB628" s="135"/>
      <c r="BC628" s="135"/>
      <c r="BD628" s="135"/>
      <c r="BE628" s="135"/>
      <c r="BF628" s="135"/>
      <c r="BG628" s="135"/>
      <c r="BH628" s="135"/>
      <c r="BI628" s="135"/>
      <c r="BJ628" s="135"/>
      <c r="BK628" s="135"/>
      <c r="BL628" s="135"/>
      <c r="BM628" s="135"/>
      <c r="BN628" s="135"/>
      <c r="BO628" s="135"/>
      <c r="BP628" s="135"/>
      <c r="BQ628" s="135"/>
      <c r="BR628" s="135"/>
      <c r="BS628" s="135"/>
      <c r="BT628" s="135"/>
    </row>
    <row r="629" spans="1:72" s="196" customFormat="1">
      <c r="A629" s="135"/>
      <c r="B629" s="135"/>
      <c r="C629" s="135"/>
      <c r="D629" s="135"/>
      <c r="E629" s="135"/>
      <c r="F629" s="135"/>
      <c r="G629" s="135"/>
      <c r="H629" s="135"/>
      <c r="I629" s="135"/>
      <c r="J629" s="135"/>
      <c r="K629" s="135"/>
      <c r="L629" s="135"/>
      <c r="M629" s="135"/>
      <c r="N629" s="135"/>
      <c r="O629" s="135"/>
      <c r="P629" s="135"/>
      <c r="Q629" s="135"/>
      <c r="R629" s="135"/>
      <c r="S629" s="135"/>
      <c r="T629" s="135"/>
      <c r="U629" s="135"/>
      <c r="V629" s="135"/>
      <c r="W629" s="135"/>
      <c r="X629" s="135"/>
      <c r="Y629" s="135"/>
      <c r="Z629" s="135"/>
      <c r="AA629" s="135"/>
      <c r="AB629" s="135"/>
      <c r="AC629" s="135"/>
      <c r="AD629" s="135"/>
      <c r="AE629" s="135"/>
      <c r="AF629" s="135"/>
      <c r="AG629" s="135"/>
      <c r="AH629" s="135"/>
      <c r="AI629" s="135"/>
      <c r="AJ629" s="135"/>
      <c r="AK629" s="135"/>
      <c r="AL629" s="135"/>
      <c r="AM629" s="135"/>
      <c r="AN629" s="135"/>
      <c r="AO629" s="135"/>
      <c r="AP629" s="135"/>
      <c r="AQ629" s="135"/>
      <c r="AR629" s="135"/>
      <c r="AS629" s="135"/>
      <c r="AT629" s="135"/>
      <c r="AU629" s="135"/>
      <c r="AV629" s="135"/>
      <c r="AW629" s="135"/>
      <c r="AX629" s="135"/>
      <c r="AY629" s="135"/>
      <c r="AZ629" s="135"/>
      <c r="BA629" s="135"/>
      <c r="BB629" s="135"/>
      <c r="BC629" s="135"/>
      <c r="BD629" s="135"/>
      <c r="BE629" s="135"/>
      <c r="BF629" s="135"/>
      <c r="BG629" s="135"/>
      <c r="BH629" s="135"/>
      <c r="BI629" s="135"/>
      <c r="BJ629" s="135"/>
      <c r="BK629" s="135"/>
      <c r="BL629" s="135"/>
      <c r="BM629" s="135"/>
      <c r="BN629" s="135"/>
      <c r="BO629" s="135"/>
      <c r="BP629" s="135"/>
      <c r="BQ629" s="135"/>
      <c r="BR629" s="135"/>
      <c r="BS629" s="135"/>
      <c r="BT629" s="135"/>
    </row>
    <row r="630" spans="1:72" s="196" customFormat="1">
      <c r="A630" s="135"/>
      <c r="B630" s="135"/>
      <c r="C630" s="135"/>
      <c r="D630" s="135"/>
      <c r="E630" s="135"/>
      <c r="F630" s="135"/>
      <c r="G630" s="135"/>
      <c r="H630" s="135"/>
      <c r="I630" s="135"/>
      <c r="J630" s="135"/>
      <c r="K630" s="135"/>
      <c r="L630" s="135"/>
      <c r="M630" s="135"/>
      <c r="N630" s="135"/>
      <c r="O630" s="135"/>
      <c r="P630" s="135"/>
      <c r="Q630" s="135"/>
      <c r="R630" s="135"/>
      <c r="S630" s="135"/>
      <c r="T630" s="135"/>
      <c r="U630" s="135"/>
      <c r="V630" s="135"/>
      <c r="W630" s="135"/>
      <c r="X630" s="135"/>
      <c r="Y630" s="135"/>
      <c r="Z630" s="135"/>
      <c r="AA630" s="135"/>
      <c r="AB630" s="135"/>
      <c r="AC630" s="135"/>
      <c r="AD630" s="135"/>
      <c r="AE630" s="135"/>
      <c r="AF630" s="135"/>
      <c r="AG630" s="135"/>
      <c r="AH630" s="135"/>
      <c r="AI630" s="135"/>
      <c r="AJ630" s="135"/>
      <c r="AK630" s="135"/>
      <c r="AL630" s="135"/>
      <c r="AM630" s="135"/>
      <c r="AN630" s="135"/>
      <c r="AO630" s="135"/>
      <c r="AP630" s="135"/>
      <c r="AQ630" s="135"/>
      <c r="AR630" s="135"/>
      <c r="AS630" s="135"/>
      <c r="AT630" s="135"/>
      <c r="AU630" s="135"/>
      <c r="AV630" s="135"/>
      <c r="AW630" s="135"/>
      <c r="AX630" s="135"/>
      <c r="AY630" s="135"/>
      <c r="AZ630" s="135"/>
      <c r="BA630" s="135"/>
      <c r="BB630" s="135"/>
      <c r="BC630" s="135"/>
      <c r="BD630" s="135"/>
      <c r="BE630" s="135"/>
      <c r="BF630" s="135"/>
      <c r="BG630" s="135"/>
      <c r="BH630" s="135"/>
      <c r="BI630" s="135"/>
      <c r="BJ630" s="135"/>
      <c r="BK630" s="135"/>
      <c r="BL630" s="135"/>
      <c r="BM630" s="135"/>
      <c r="BN630" s="135"/>
      <c r="BO630" s="135"/>
      <c r="BP630" s="135"/>
      <c r="BQ630" s="135"/>
      <c r="BR630" s="135"/>
      <c r="BS630" s="135"/>
      <c r="BT630" s="135"/>
    </row>
    <row r="631" spans="1:72" s="196" customFormat="1">
      <c r="A631" s="135"/>
      <c r="B631" s="135"/>
      <c r="C631" s="135"/>
      <c r="D631" s="135"/>
      <c r="E631" s="135"/>
      <c r="F631" s="135"/>
      <c r="G631" s="135"/>
      <c r="H631" s="135"/>
      <c r="I631" s="135"/>
      <c r="J631" s="135"/>
      <c r="K631" s="135"/>
      <c r="L631" s="135"/>
      <c r="M631" s="135"/>
      <c r="N631" s="135"/>
      <c r="O631" s="135"/>
      <c r="P631" s="135"/>
      <c r="Q631" s="135"/>
      <c r="R631" s="135"/>
      <c r="S631" s="135"/>
      <c r="T631" s="135"/>
      <c r="U631" s="135"/>
      <c r="V631" s="135"/>
      <c r="W631" s="135"/>
      <c r="X631" s="135"/>
      <c r="Y631" s="135"/>
      <c r="Z631" s="135"/>
      <c r="AA631" s="135"/>
      <c r="AB631" s="135"/>
      <c r="AC631" s="135"/>
      <c r="AD631" s="135"/>
      <c r="AE631" s="135"/>
      <c r="AF631" s="135"/>
      <c r="AG631" s="135"/>
      <c r="AH631" s="135"/>
      <c r="AI631" s="135"/>
      <c r="AJ631" s="135"/>
      <c r="AK631" s="135"/>
      <c r="AL631" s="135"/>
      <c r="AM631" s="135"/>
      <c r="AN631" s="135"/>
      <c r="AO631" s="135"/>
      <c r="AP631" s="135"/>
      <c r="AQ631" s="135"/>
      <c r="AR631" s="135"/>
      <c r="AS631" s="135"/>
      <c r="AT631" s="135"/>
      <c r="AU631" s="135"/>
      <c r="AV631" s="135"/>
      <c r="AW631" s="135"/>
      <c r="AX631" s="135"/>
      <c r="AY631" s="135"/>
      <c r="AZ631" s="135"/>
      <c r="BA631" s="135"/>
      <c r="BB631" s="135"/>
      <c r="BC631" s="135"/>
      <c r="BD631" s="135"/>
      <c r="BE631" s="135"/>
      <c r="BF631" s="135"/>
      <c r="BG631" s="135"/>
      <c r="BH631" s="135"/>
      <c r="BI631" s="135"/>
      <c r="BJ631" s="135"/>
      <c r="BK631" s="135"/>
      <c r="BL631" s="135"/>
      <c r="BM631" s="135"/>
      <c r="BN631" s="135"/>
      <c r="BO631" s="135"/>
      <c r="BP631" s="135"/>
      <c r="BQ631" s="135"/>
      <c r="BR631" s="135"/>
      <c r="BS631" s="135"/>
      <c r="BT631" s="135"/>
    </row>
    <row r="632" spans="1:72" s="196" customFormat="1">
      <c r="A632" s="135"/>
      <c r="B632" s="135"/>
      <c r="C632" s="135"/>
      <c r="D632" s="135"/>
      <c r="E632" s="135"/>
      <c r="F632" s="135"/>
      <c r="G632" s="135"/>
      <c r="H632" s="135"/>
      <c r="I632" s="135"/>
      <c r="J632" s="135"/>
      <c r="K632" s="135"/>
      <c r="L632" s="135"/>
      <c r="M632" s="135"/>
      <c r="N632" s="135"/>
      <c r="O632" s="135"/>
      <c r="P632" s="135"/>
      <c r="Q632" s="135"/>
      <c r="R632" s="135"/>
      <c r="S632" s="135"/>
      <c r="T632" s="135"/>
      <c r="U632" s="135"/>
      <c r="V632" s="135"/>
      <c r="W632" s="135"/>
      <c r="X632" s="135"/>
      <c r="Y632" s="135"/>
      <c r="Z632" s="135"/>
      <c r="AA632" s="135"/>
      <c r="AB632" s="135"/>
      <c r="AC632" s="135"/>
      <c r="AD632" s="135"/>
      <c r="AE632" s="135"/>
      <c r="AF632" s="135"/>
      <c r="AG632" s="135"/>
      <c r="AH632" s="135"/>
      <c r="AI632" s="135"/>
      <c r="AJ632" s="135"/>
      <c r="AK632" s="135"/>
      <c r="AL632" s="135"/>
      <c r="AM632" s="135"/>
      <c r="AN632" s="135"/>
      <c r="AO632" s="135"/>
      <c r="AP632" s="135"/>
      <c r="AQ632" s="135"/>
      <c r="AR632" s="135"/>
      <c r="AS632" s="135"/>
      <c r="AT632" s="135"/>
      <c r="AU632" s="135"/>
      <c r="AV632" s="135"/>
      <c r="AW632" s="135"/>
      <c r="AX632" s="135"/>
      <c r="AY632" s="135"/>
      <c r="AZ632" s="135"/>
      <c r="BA632" s="135"/>
      <c r="BB632" s="135"/>
      <c r="BC632" s="135"/>
      <c r="BD632" s="135"/>
      <c r="BE632" s="135"/>
      <c r="BF632" s="135"/>
      <c r="BG632" s="135"/>
      <c r="BH632" s="135"/>
      <c r="BI632" s="135"/>
      <c r="BJ632" s="135"/>
      <c r="BK632" s="135"/>
      <c r="BL632" s="135"/>
      <c r="BM632" s="135"/>
      <c r="BN632" s="135"/>
      <c r="BO632" s="135"/>
      <c r="BP632" s="135"/>
      <c r="BQ632" s="135"/>
      <c r="BR632" s="135"/>
      <c r="BS632" s="135"/>
      <c r="BT632" s="135"/>
    </row>
    <row r="633" spans="1:72" s="196" customFormat="1">
      <c r="A633" s="135"/>
      <c r="B633" s="135"/>
      <c r="C633" s="135"/>
      <c r="D633" s="135"/>
      <c r="E633" s="135"/>
      <c r="F633" s="135"/>
      <c r="G633" s="135"/>
      <c r="H633" s="135"/>
      <c r="I633" s="135"/>
      <c r="J633" s="135"/>
      <c r="K633" s="135"/>
      <c r="L633" s="135"/>
      <c r="M633" s="135"/>
      <c r="N633" s="135"/>
      <c r="O633" s="135"/>
      <c r="P633" s="135"/>
      <c r="Q633" s="135"/>
      <c r="R633" s="135"/>
      <c r="S633" s="135"/>
      <c r="T633" s="135"/>
      <c r="U633" s="135"/>
      <c r="V633" s="135"/>
      <c r="W633" s="135"/>
      <c r="X633" s="135"/>
      <c r="Y633" s="135"/>
      <c r="Z633" s="135"/>
      <c r="AA633" s="135"/>
      <c r="AB633" s="135"/>
      <c r="AC633" s="135"/>
      <c r="AD633" s="135"/>
      <c r="AE633" s="135"/>
      <c r="AF633" s="135"/>
      <c r="AG633" s="135"/>
      <c r="AH633" s="135"/>
      <c r="AI633" s="135"/>
      <c r="AJ633" s="135"/>
      <c r="AK633" s="135"/>
      <c r="AL633" s="135"/>
      <c r="AM633" s="135"/>
      <c r="AN633" s="135"/>
      <c r="AO633" s="135"/>
      <c r="AP633" s="135"/>
      <c r="AQ633" s="135"/>
      <c r="AR633" s="135"/>
      <c r="AS633" s="135"/>
      <c r="AT633" s="135"/>
      <c r="AU633" s="135"/>
      <c r="AV633" s="135"/>
      <c r="AW633" s="135"/>
      <c r="AX633" s="135"/>
      <c r="AY633" s="135"/>
      <c r="AZ633" s="135"/>
      <c r="BA633" s="135"/>
      <c r="BB633" s="135"/>
      <c r="BC633" s="135"/>
      <c r="BD633" s="135"/>
      <c r="BE633" s="135"/>
      <c r="BF633" s="135"/>
      <c r="BG633" s="135"/>
      <c r="BH633" s="135"/>
      <c r="BI633" s="135"/>
      <c r="BJ633" s="135"/>
      <c r="BK633" s="135"/>
      <c r="BL633" s="135"/>
      <c r="BM633" s="135"/>
      <c r="BN633" s="135"/>
      <c r="BO633" s="135"/>
      <c r="BP633" s="135"/>
      <c r="BQ633" s="135"/>
      <c r="BR633" s="135"/>
      <c r="BS633" s="135"/>
      <c r="BT633" s="135"/>
    </row>
    <row r="634" spans="1:72" s="196" customFormat="1">
      <c r="A634" s="135"/>
      <c r="B634" s="135"/>
      <c r="C634" s="135"/>
      <c r="D634" s="135"/>
      <c r="E634" s="135"/>
      <c r="F634" s="135"/>
      <c r="G634" s="135"/>
      <c r="H634" s="135"/>
      <c r="I634" s="135"/>
      <c r="J634" s="135"/>
      <c r="K634" s="135"/>
      <c r="L634" s="135"/>
      <c r="M634" s="135"/>
      <c r="N634" s="135"/>
      <c r="O634" s="135"/>
      <c r="P634" s="135"/>
      <c r="Q634" s="135"/>
      <c r="R634" s="135"/>
      <c r="S634" s="135"/>
      <c r="T634" s="135"/>
      <c r="U634" s="135"/>
      <c r="V634" s="135"/>
      <c r="W634" s="135"/>
      <c r="X634" s="135"/>
      <c r="Y634" s="135"/>
      <c r="Z634" s="135"/>
      <c r="AA634" s="135"/>
      <c r="AB634" s="135"/>
      <c r="AC634" s="135"/>
      <c r="AD634" s="135"/>
      <c r="AE634" s="135"/>
      <c r="AF634" s="135"/>
      <c r="AG634" s="135"/>
      <c r="AH634" s="135"/>
      <c r="AI634" s="135"/>
      <c r="AJ634" s="135"/>
      <c r="AK634" s="135"/>
      <c r="AL634" s="135"/>
      <c r="AM634" s="135"/>
      <c r="AN634" s="135"/>
      <c r="AO634" s="135"/>
      <c r="AP634" s="135"/>
      <c r="AQ634" s="135"/>
      <c r="AR634" s="135"/>
      <c r="AS634" s="135"/>
      <c r="AT634" s="135"/>
      <c r="AU634" s="135"/>
      <c r="AV634" s="135"/>
      <c r="AW634" s="135"/>
      <c r="AX634" s="135"/>
      <c r="AY634" s="135"/>
      <c r="AZ634" s="135"/>
      <c r="BA634" s="135"/>
      <c r="BB634" s="135"/>
      <c r="BC634" s="135"/>
      <c r="BD634" s="135"/>
      <c r="BE634" s="135"/>
      <c r="BF634" s="135"/>
      <c r="BG634" s="135"/>
      <c r="BH634" s="135"/>
      <c r="BI634" s="135"/>
      <c r="BJ634" s="135"/>
      <c r="BK634" s="135"/>
      <c r="BL634" s="135"/>
      <c r="BM634" s="135"/>
      <c r="BN634" s="135"/>
      <c r="BO634" s="135"/>
      <c r="BP634" s="135"/>
      <c r="BQ634" s="135"/>
      <c r="BR634" s="135"/>
      <c r="BS634" s="135"/>
      <c r="BT634" s="135"/>
    </row>
    <row r="635" spans="1:72" s="196" customFormat="1">
      <c r="A635" s="135"/>
      <c r="B635" s="135"/>
      <c r="C635" s="135"/>
      <c r="D635" s="135"/>
      <c r="E635" s="135"/>
      <c r="F635" s="135"/>
      <c r="G635" s="135"/>
      <c r="H635" s="135"/>
      <c r="I635" s="135"/>
      <c r="J635" s="135"/>
      <c r="K635" s="135"/>
      <c r="L635" s="135"/>
      <c r="M635" s="135"/>
      <c r="N635" s="135"/>
      <c r="O635" s="135"/>
      <c r="P635" s="135"/>
      <c r="Q635" s="135"/>
      <c r="R635" s="135"/>
      <c r="S635" s="135"/>
      <c r="T635" s="135"/>
      <c r="U635" s="135"/>
      <c r="V635" s="135"/>
      <c r="W635" s="135"/>
      <c r="X635" s="135"/>
      <c r="Y635" s="135"/>
      <c r="Z635" s="135"/>
      <c r="AA635" s="135"/>
      <c r="AB635" s="135"/>
      <c r="AC635" s="135"/>
      <c r="AD635" s="135"/>
      <c r="AE635" s="135"/>
      <c r="AF635" s="135"/>
      <c r="AG635" s="135"/>
      <c r="AH635" s="135"/>
      <c r="AI635" s="135"/>
      <c r="AJ635" s="135"/>
      <c r="AK635" s="135"/>
      <c r="AL635" s="135"/>
      <c r="AM635" s="135"/>
      <c r="AN635" s="135"/>
      <c r="AO635" s="135"/>
      <c r="AP635" s="135"/>
      <c r="AQ635" s="135"/>
      <c r="AR635" s="135"/>
      <c r="AS635" s="135"/>
      <c r="AT635" s="135"/>
      <c r="AU635" s="135"/>
      <c r="AV635" s="135"/>
      <c r="AW635" s="135"/>
      <c r="AX635" s="135"/>
      <c r="AY635" s="135"/>
      <c r="AZ635" s="135"/>
      <c r="BA635" s="135"/>
      <c r="BB635" s="135"/>
      <c r="BC635" s="135"/>
      <c r="BD635" s="135"/>
      <c r="BE635" s="135"/>
      <c r="BF635" s="135"/>
      <c r="BG635" s="135"/>
      <c r="BH635" s="135"/>
      <c r="BI635" s="135"/>
      <c r="BJ635" s="135"/>
      <c r="BK635" s="135"/>
      <c r="BL635" s="135"/>
      <c r="BM635" s="135"/>
      <c r="BN635" s="135"/>
      <c r="BO635" s="135"/>
      <c r="BP635" s="135"/>
      <c r="BQ635" s="135"/>
      <c r="BR635" s="135"/>
      <c r="BS635" s="135"/>
      <c r="BT635" s="135"/>
    </row>
    <row r="636" spans="1:72" s="196" customFormat="1">
      <c r="A636" s="135"/>
      <c r="B636" s="135"/>
      <c r="C636" s="135"/>
      <c r="D636" s="135"/>
      <c r="E636" s="135"/>
      <c r="F636" s="135"/>
      <c r="G636" s="135"/>
      <c r="H636" s="135"/>
      <c r="I636" s="135"/>
      <c r="J636" s="135"/>
      <c r="K636" s="135"/>
      <c r="L636" s="135"/>
      <c r="M636" s="135"/>
      <c r="N636" s="135"/>
      <c r="O636" s="135"/>
      <c r="P636" s="135"/>
      <c r="Q636" s="135"/>
      <c r="R636" s="135"/>
      <c r="S636" s="135"/>
      <c r="T636" s="135"/>
      <c r="U636" s="135"/>
      <c r="V636" s="135"/>
      <c r="W636" s="135"/>
      <c r="X636" s="135"/>
      <c r="Y636" s="135"/>
      <c r="Z636" s="135"/>
      <c r="AA636" s="135"/>
      <c r="AB636" s="135"/>
      <c r="AC636" s="135"/>
      <c r="AD636" s="135"/>
      <c r="AE636" s="135"/>
      <c r="AF636" s="135"/>
      <c r="AG636" s="135"/>
      <c r="AH636" s="135"/>
      <c r="AI636" s="135"/>
      <c r="AJ636" s="135"/>
      <c r="AK636" s="135"/>
      <c r="AL636" s="135"/>
      <c r="AM636" s="135"/>
      <c r="AN636" s="135"/>
      <c r="AO636" s="135"/>
      <c r="AP636" s="135"/>
      <c r="AQ636" s="135"/>
      <c r="AR636" s="135"/>
      <c r="AS636" s="135"/>
      <c r="AT636" s="135"/>
      <c r="AU636" s="135"/>
      <c r="AV636" s="135"/>
      <c r="AW636" s="135"/>
      <c r="AX636" s="135"/>
      <c r="AY636" s="135"/>
      <c r="AZ636" s="135"/>
      <c r="BA636" s="135"/>
      <c r="BB636" s="135"/>
      <c r="BC636" s="135"/>
      <c r="BD636" s="135"/>
      <c r="BE636" s="135"/>
      <c r="BF636" s="135"/>
      <c r="BG636" s="135"/>
      <c r="BH636" s="135"/>
      <c r="BI636" s="135"/>
      <c r="BJ636" s="135"/>
      <c r="BK636" s="135"/>
      <c r="BL636" s="135"/>
      <c r="BM636" s="135"/>
      <c r="BN636" s="135"/>
      <c r="BO636" s="135"/>
      <c r="BP636" s="135"/>
      <c r="BQ636" s="135"/>
      <c r="BR636" s="135"/>
      <c r="BS636" s="135"/>
      <c r="BT636" s="135"/>
    </row>
    <row r="637" spans="1:72" s="196" customFormat="1">
      <c r="A637" s="135"/>
      <c r="B637" s="135"/>
      <c r="C637" s="135"/>
      <c r="D637" s="135"/>
      <c r="E637" s="135"/>
      <c r="F637" s="135"/>
      <c r="G637" s="135"/>
      <c r="H637" s="135"/>
      <c r="I637" s="135"/>
      <c r="J637" s="135"/>
      <c r="K637" s="135"/>
      <c r="L637" s="135"/>
      <c r="M637" s="135"/>
      <c r="N637" s="135"/>
      <c r="O637" s="135"/>
      <c r="P637" s="135"/>
      <c r="Q637" s="135"/>
      <c r="R637" s="135"/>
      <c r="S637" s="135"/>
      <c r="T637" s="135"/>
      <c r="U637" s="135"/>
      <c r="V637" s="135"/>
      <c r="W637" s="135"/>
      <c r="X637" s="135"/>
      <c r="Y637" s="135"/>
      <c r="Z637" s="135"/>
      <c r="AA637" s="135"/>
      <c r="AB637" s="135"/>
      <c r="AC637" s="135"/>
      <c r="AD637" s="135"/>
      <c r="AE637" s="135"/>
      <c r="AF637" s="135"/>
      <c r="AG637" s="135"/>
      <c r="AH637" s="135"/>
      <c r="AI637" s="135"/>
      <c r="AJ637" s="135"/>
      <c r="AK637" s="135"/>
      <c r="AL637" s="135"/>
      <c r="AM637" s="135"/>
      <c r="AN637" s="135"/>
      <c r="AO637" s="135"/>
      <c r="AP637" s="135"/>
      <c r="AQ637" s="135"/>
      <c r="AR637" s="135"/>
      <c r="AS637" s="135"/>
      <c r="AT637" s="135"/>
      <c r="AU637" s="135"/>
      <c r="AV637" s="135"/>
      <c r="AW637" s="135"/>
      <c r="AX637" s="135"/>
      <c r="AY637" s="135"/>
      <c r="AZ637" s="135"/>
      <c r="BA637" s="135"/>
      <c r="BB637" s="135"/>
      <c r="BC637" s="135"/>
      <c r="BD637" s="135"/>
      <c r="BE637" s="135"/>
      <c r="BF637" s="135"/>
      <c r="BG637" s="135"/>
      <c r="BH637" s="135"/>
      <c r="BI637" s="135"/>
      <c r="BJ637" s="135"/>
      <c r="BK637" s="135"/>
      <c r="BL637" s="135"/>
      <c r="BM637" s="135"/>
      <c r="BN637" s="135"/>
      <c r="BO637" s="135"/>
      <c r="BP637" s="135"/>
      <c r="BQ637" s="135"/>
      <c r="BR637" s="135"/>
      <c r="BS637" s="135"/>
      <c r="BT637" s="135"/>
    </row>
    <row r="638" spans="1:72" s="196" customFormat="1">
      <c r="A638" s="135"/>
      <c r="B638" s="135"/>
      <c r="C638" s="135"/>
      <c r="D638" s="135"/>
      <c r="E638" s="135"/>
      <c r="F638" s="135"/>
      <c r="G638" s="135"/>
      <c r="H638" s="135"/>
      <c r="I638" s="135"/>
      <c r="J638" s="135"/>
      <c r="K638" s="135"/>
      <c r="L638" s="135"/>
      <c r="M638" s="135"/>
      <c r="N638" s="135"/>
      <c r="O638" s="135"/>
      <c r="P638" s="135"/>
      <c r="Q638" s="135"/>
      <c r="R638" s="135"/>
      <c r="S638" s="135"/>
      <c r="T638" s="135"/>
      <c r="U638" s="135"/>
      <c r="V638" s="135"/>
      <c r="W638" s="135"/>
      <c r="X638" s="135"/>
      <c r="Y638" s="135"/>
      <c r="Z638" s="135"/>
      <c r="AA638" s="135"/>
      <c r="AB638" s="135"/>
      <c r="AC638" s="135"/>
      <c r="AD638" s="135"/>
      <c r="AE638" s="135"/>
      <c r="AF638" s="135"/>
      <c r="AG638" s="135"/>
      <c r="AH638" s="135"/>
      <c r="AI638" s="135"/>
      <c r="AJ638" s="135"/>
      <c r="AK638" s="135"/>
      <c r="AL638" s="135"/>
      <c r="AM638" s="135"/>
      <c r="AN638" s="135"/>
      <c r="AO638" s="135"/>
      <c r="AP638" s="135"/>
      <c r="AQ638" s="135"/>
      <c r="AR638" s="135"/>
      <c r="AS638" s="135"/>
      <c r="AT638" s="135"/>
      <c r="AU638" s="135"/>
      <c r="AV638" s="135"/>
      <c r="AW638" s="135"/>
      <c r="AX638" s="135"/>
      <c r="AY638" s="135"/>
      <c r="AZ638" s="135"/>
      <c r="BA638" s="135"/>
      <c r="BB638" s="135"/>
      <c r="BC638" s="135"/>
      <c r="BD638" s="135"/>
      <c r="BE638" s="135"/>
      <c r="BF638" s="135"/>
      <c r="BG638" s="135"/>
      <c r="BH638" s="135"/>
      <c r="BI638" s="135"/>
      <c r="BJ638" s="135"/>
      <c r="BK638" s="135"/>
      <c r="BL638" s="135"/>
      <c r="BM638" s="135"/>
      <c r="BN638" s="135"/>
      <c r="BO638" s="135"/>
      <c r="BP638" s="135"/>
      <c r="BQ638" s="135"/>
      <c r="BR638" s="135"/>
      <c r="BS638" s="135"/>
      <c r="BT638" s="135"/>
    </row>
    <row r="639" spans="1:72" s="196" customFormat="1">
      <c r="A639" s="135"/>
      <c r="B639" s="135"/>
      <c r="C639" s="135"/>
      <c r="D639" s="135"/>
      <c r="E639" s="135"/>
      <c r="F639" s="135"/>
      <c r="G639" s="135"/>
      <c r="H639" s="135"/>
      <c r="I639" s="135"/>
      <c r="J639" s="135"/>
      <c r="K639" s="135"/>
      <c r="L639" s="135"/>
      <c r="M639" s="135"/>
      <c r="N639" s="135"/>
      <c r="O639" s="135"/>
      <c r="P639" s="135"/>
      <c r="Q639" s="135"/>
      <c r="R639" s="135"/>
      <c r="S639" s="135"/>
      <c r="T639" s="135"/>
      <c r="U639" s="135"/>
      <c r="V639" s="135"/>
      <c r="W639" s="135"/>
      <c r="X639" s="135"/>
      <c r="Y639" s="135"/>
      <c r="Z639" s="135"/>
      <c r="AA639" s="135"/>
      <c r="AB639" s="135"/>
      <c r="AC639" s="135"/>
      <c r="AD639" s="135"/>
      <c r="AE639" s="135"/>
      <c r="AF639" s="135"/>
      <c r="AG639" s="135"/>
      <c r="AH639" s="135"/>
      <c r="AI639" s="135"/>
      <c r="AJ639" s="135"/>
      <c r="AK639" s="135"/>
      <c r="AL639" s="135"/>
      <c r="AM639" s="135"/>
      <c r="AN639" s="135"/>
      <c r="AO639" s="135"/>
      <c r="AP639" s="135"/>
      <c r="AQ639" s="135"/>
      <c r="AR639" s="135"/>
      <c r="AS639" s="135"/>
      <c r="AT639" s="135"/>
      <c r="AU639" s="135"/>
      <c r="AV639" s="135"/>
      <c r="AW639" s="135"/>
      <c r="AX639" s="135"/>
      <c r="AY639" s="135"/>
      <c r="AZ639" s="135"/>
      <c r="BA639" s="135"/>
      <c r="BB639" s="135"/>
      <c r="BC639" s="135"/>
      <c r="BD639" s="135"/>
      <c r="BE639" s="135"/>
      <c r="BF639" s="135"/>
      <c r="BG639" s="135"/>
      <c r="BH639" s="135"/>
      <c r="BI639" s="135"/>
      <c r="BJ639" s="135"/>
      <c r="BK639" s="135"/>
      <c r="BL639" s="135"/>
      <c r="BM639" s="135"/>
      <c r="BN639" s="135"/>
      <c r="BO639" s="135"/>
      <c r="BP639" s="135"/>
      <c r="BQ639" s="135"/>
      <c r="BR639" s="135"/>
      <c r="BS639" s="135"/>
      <c r="BT639" s="135"/>
    </row>
    <row r="640" spans="1:72" s="196" customFormat="1">
      <c r="A640" s="135"/>
      <c r="B640" s="135"/>
      <c r="C640" s="135"/>
      <c r="D640" s="135"/>
      <c r="E640" s="135"/>
      <c r="F640" s="135"/>
      <c r="G640" s="135"/>
      <c r="H640" s="135"/>
      <c r="I640" s="135"/>
      <c r="J640" s="135"/>
      <c r="K640" s="135"/>
      <c r="L640" s="135"/>
      <c r="M640" s="135"/>
      <c r="N640" s="135"/>
      <c r="O640" s="135"/>
      <c r="P640" s="135"/>
      <c r="Q640" s="135"/>
      <c r="R640" s="135"/>
      <c r="S640" s="135"/>
      <c r="T640" s="135"/>
      <c r="U640" s="135"/>
      <c r="V640" s="135"/>
      <c r="W640" s="135"/>
      <c r="X640" s="135"/>
      <c r="Y640" s="135"/>
      <c r="Z640" s="135"/>
      <c r="AA640" s="135"/>
      <c r="AB640" s="135"/>
      <c r="AC640" s="135"/>
      <c r="AD640" s="135"/>
      <c r="AE640" s="135"/>
      <c r="AF640" s="135"/>
      <c r="AG640" s="135"/>
      <c r="AH640" s="135"/>
      <c r="AI640" s="135"/>
      <c r="AJ640" s="135"/>
      <c r="AK640" s="135"/>
      <c r="AL640" s="135"/>
      <c r="AM640" s="135"/>
      <c r="AN640" s="135"/>
      <c r="AO640" s="135"/>
      <c r="AP640" s="135"/>
      <c r="AQ640" s="135"/>
      <c r="AR640" s="135"/>
      <c r="AS640" s="135"/>
      <c r="AT640" s="135"/>
      <c r="AU640" s="135"/>
      <c r="AV640" s="135"/>
      <c r="AW640" s="135"/>
      <c r="AX640" s="135"/>
      <c r="AY640" s="135"/>
      <c r="AZ640" s="135"/>
      <c r="BA640" s="135"/>
      <c r="BB640" s="135"/>
      <c r="BC640" s="135"/>
      <c r="BD640" s="135"/>
      <c r="BE640" s="135"/>
      <c r="BF640" s="135"/>
      <c r="BG640" s="135"/>
      <c r="BH640" s="135"/>
      <c r="BI640" s="135"/>
      <c r="BJ640" s="135"/>
      <c r="BK640" s="135"/>
      <c r="BL640" s="135"/>
      <c r="BM640" s="135"/>
      <c r="BN640" s="135"/>
      <c r="BO640" s="135"/>
      <c r="BP640" s="135"/>
      <c r="BQ640" s="135"/>
      <c r="BR640" s="135"/>
      <c r="BS640" s="135"/>
      <c r="BT640" s="135"/>
    </row>
    <row r="641" spans="1:72" s="196" customFormat="1">
      <c r="A641" s="135"/>
      <c r="B641" s="135"/>
      <c r="C641" s="135"/>
      <c r="D641" s="135"/>
      <c r="E641" s="135"/>
      <c r="F641" s="135"/>
      <c r="G641" s="135"/>
      <c r="H641" s="135"/>
      <c r="I641" s="135"/>
      <c r="J641" s="135"/>
      <c r="K641" s="135"/>
      <c r="L641" s="135"/>
      <c r="M641" s="135"/>
      <c r="N641" s="135"/>
      <c r="O641" s="135"/>
      <c r="P641" s="135"/>
      <c r="Q641" s="135"/>
      <c r="R641" s="135"/>
      <c r="S641" s="135"/>
      <c r="T641" s="135"/>
      <c r="U641" s="135"/>
      <c r="V641" s="135"/>
      <c r="W641" s="135"/>
      <c r="X641" s="135"/>
      <c r="Y641" s="135"/>
      <c r="Z641" s="135"/>
      <c r="AA641" s="135"/>
      <c r="AB641" s="135"/>
      <c r="AC641" s="135"/>
      <c r="AD641" s="135"/>
      <c r="AE641" s="135"/>
      <c r="AF641" s="135"/>
      <c r="AG641" s="135"/>
      <c r="AH641" s="135"/>
      <c r="AI641" s="135"/>
      <c r="AJ641" s="135"/>
      <c r="AK641" s="135"/>
      <c r="AL641" s="135"/>
      <c r="AM641" s="135"/>
      <c r="AN641" s="135"/>
      <c r="AO641" s="135"/>
      <c r="AP641" s="135"/>
      <c r="AQ641" s="135"/>
      <c r="AR641" s="135"/>
      <c r="AS641" s="135"/>
      <c r="AT641" s="135"/>
      <c r="AU641" s="135"/>
      <c r="AV641" s="135"/>
      <c r="AW641" s="135"/>
      <c r="AX641" s="135"/>
      <c r="AY641" s="135"/>
      <c r="AZ641" s="135"/>
      <c r="BA641" s="135"/>
      <c r="BB641" s="135"/>
      <c r="BC641" s="135"/>
      <c r="BD641" s="135"/>
      <c r="BE641" s="135"/>
      <c r="BF641" s="135"/>
      <c r="BG641" s="135"/>
      <c r="BH641" s="135"/>
      <c r="BI641" s="135"/>
      <c r="BJ641" s="135"/>
      <c r="BK641" s="135"/>
      <c r="BL641" s="135"/>
      <c r="BM641" s="135"/>
      <c r="BN641" s="135"/>
      <c r="BO641" s="135"/>
      <c r="BP641" s="135"/>
      <c r="BQ641" s="135"/>
      <c r="BR641" s="135"/>
      <c r="BS641" s="135"/>
      <c r="BT641" s="135"/>
    </row>
    <row r="642" spans="1:72" s="196" customFormat="1">
      <c r="A642" s="135"/>
      <c r="B642" s="135"/>
      <c r="C642" s="135"/>
      <c r="D642" s="135"/>
      <c r="E642" s="135"/>
      <c r="F642" s="135"/>
      <c r="G642" s="135"/>
      <c r="H642" s="135"/>
      <c r="I642" s="135"/>
      <c r="J642" s="135"/>
      <c r="K642" s="135"/>
      <c r="L642" s="135"/>
      <c r="M642" s="135"/>
      <c r="N642" s="135"/>
      <c r="O642" s="135"/>
      <c r="P642" s="135"/>
      <c r="Q642" s="135"/>
      <c r="R642" s="135"/>
      <c r="S642" s="135"/>
      <c r="T642" s="135"/>
      <c r="U642" s="135"/>
      <c r="V642" s="135"/>
      <c r="W642" s="135"/>
      <c r="X642" s="135"/>
      <c r="Y642" s="135"/>
      <c r="Z642" s="135"/>
      <c r="AA642" s="135"/>
      <c r="AB642" s="135"/>
      <c r="AC642" s="135"/>
      <c r="AD642" s="135"/>
      <c r="AE642" s="135"/>
      <c r="AF642" s="135"/>
      <c r="AG642" s="135"/>
      <c r="AH642" s="135"/>
      <c r="AI642" s="135"/>
      <c r="AJ642" s="135"/>
      <c r="AK642" s="135"/>
      <c r="AL642" s="135"/>
      <c r="AM642" s="135"/>
      <c r="AN642" s="135"/>
      <c r="AO642" s="135"/>
      <c r="AP642" s="135"/>
      <c r="AQ642" s="135"/>
      <c r="AR642" s="135"/>
      <c r="AS642" s="135"/>
      <c r="AT642" s="135"/>
      <c r="AU642" s="135"/>
      <c r="AV642" s="135"/>
      <c r="AW642" s="135"/>
      <c r="AX642" s="135"/>
      <c r="AY642" s="135"/>
      <c r="AZ642" s="135"/>
      <c r="BA642" s="135"/>
      <c r="BB642" s="135"/>
      <c r="BC642" s="135"/>
      <c r="BD642" s="135"/>
      <c r="BE642" s="135"/>
      <c r="BF642" s="135"/>
      <c r="BG642" s="135"/>
      <c r="BH642" s="135"/>
      <c r="BI642" s="135"/>
      <c r="BJ642" s="135"/>
      <c r="BK642" s="135"/>
      <c r="BL642" s="135"/>
      <c r="BM642" s="135"/>
      <c r="BN642" s="135"/>
      <c r="BO642" s="135"/>
      <c r="BP642" s="135"/>
      <c r="BQ642" s="135"/>
      <c r="BR642" s="135"/>
      <c r="BS642" s="135"/>
      <c r="BT642" s="135"/>
    </row>
    <row r="643" spans="1:72" s="196" customFormat="1">
      <c r="A643" s="135"/>
      <c r="B643" s="135"/>
      <c r="C643" s="135"/>
      <c r="D643" s="135"/>
      <c r="E643" s="135"/>
      <c r="F643" s="135"/>
      <c r="G643" s="135"/>
      <c r="H643" s="135"/>
      <c r="I643" s="135"/>
      <c r="J643" s="135"/>
      <c r="K643" s="135"/>
      <c r="L643" s="135"/>
      <c r="M643" s="135"/>
      <c r="N643" s="135"/>
      <c r="O643" s="135"/>
      <c r="P643" s="135"/>
      <c r="Q643" s="135"/>
      <c r="R643" s="135"/>
      <c r="S643" s="135"/>
      <c r="T643" s="135"/>
      <c r="U643" s="135"/>
      <c r="V643" s="135"/>
      <c r="W643" s="135"/>
      <c r="X643" s="135"/>
      <c r="Y643" s="135"/>
      <c r="Z643" s="135"/>
      <c r="AA643" s="135"/>
      <c r="AB643" s="135"/>
      <c r="AC643" s="135"/>
      <c r="AD643" s="135"/>
      <c r="AE643" s="135"/>
      <c r="AF643" s="135"/>
      <c r="AG643" s="135"/>
      <c r="AH643" s="135"/>
      <c r="AI643" s="135"/>
      <c r="AJ643" s="135"/>
      <c r="AK643" s="135"/>
      <c r="AL643" s="135"/>
      <c r="AM643" s="135"/>
      <c r="AN643" s="135"/>
      <c r="AO643" s="135"/>
      <c r="AP643" s="135"/>
      <c r="AQ643" s="135"/>
      <c r="AR643" s="135"/>
      <c r="AS643" s="135"/>
      <c r="AT643" s="135"/>
      <c r="AU643" s="135"/>
      <c r="AV643" s="135"/>
      <c r="AW643" s="135"/>
      <c r="AX643" s="135"/>
      <c r="AY643" s="135"/>
      <c r="AZ643" s="135"/>
      <c r="BA643" s="135"/>
      <c r="BB643" s="135"/>
      <c r="BC643" s="135"/>
      <c r="BD643" s="135"/>
      <c r="BE643" s="135"/>
      <c r="BF643" s="135"/>
      <c r="BG643" s="135"/>
      <c r="BH643" s="135"/>
      <c r="BI643" s="135"/>
      <c r="BJ643" s="135"/>
      <c r="BK643" s="135"/>
      <c r="BL643" s="135"/>
      <c r="BM643" s="135"/>
      <c r="BN643" s="135"/>
      <c r="BO643" s="135"/>
      <c r="BP643" s="135"/>
      <c r="BQ643" s="135"/>
      <c r="BR643" s="135"/>
      <c r="BS643" s="135"/>
      <c r="BT643" s="135"/>
    </row>
    <row r="644" spans="1:72" s="196" customFormat="1">
      <c r="A644" s="135"/>
      <c r="B644" s="135"/>
      <c r="C644" s="135"/>
      <c r="D644" s="135"/>
      <c r="E644" s="135"/>
      <c r="F644" s="135"/>
      <c r="G644" s="135"/>
      <c r="H644" s="135"/>
      <c r="I644" s="135"/>
      <c r="J644" s="135"/>
      <c r="K644" s="135"/>
      <c r="L644" s="135"/>
      <c r="M644" s="135"/>
      <c r="N644" s="135"/>
      <c r="O644" s="135"/>
      <c r="P644" s="135"/>
      <c r="Q644" s="135"/>
      <c r="R644" s="135"/>
      <c r="S644" s="135"/>
      <c r="T644" s="135"/>
      <c r="U644" s="135"/>
      <c r="V644" s="135"/>
      <c r="W644" s="135"/>
      <c r="X644" s="135"/>
      <c r="Y644" s="135"/>
      <c r="Z644" s="135"/>
      <c r="AA644" s="135"/>
      <c r="AB644" s="135"/>
      <c r="AC644" s="135"/>
      <c r="AD644" s="135"/>
      <c r="AE644" s="135"/>
      <c r="AF644" s="135"/>
      <c r="AG644" s="135"/>
      <c r="AH644" s="135"/>
      <c r="AI644" s="135"/>
      <c r="AJ644" s="135"/>
      <c r="AK644" s="135"/>
      <c r="AL644" s="135"/>
      <c r="AM644" s="135"/>
      <c r="AN644" s="135"/>
      <c r="AO644" s="135"/>
      <c r="AP644" s="135"/>
      <c r="AQ644" s="135"/>
      <c r="AR644" s="135"/>
      <c r="AS644" s="135"/>
      <c r="AT644" s="135"/>
      <c r="AU644" s="135"/>
      <c r="AV644" s="135"/>
      <c r="AW644" s="135"/>
      <c r="AX644" s="135"/>
      <c r="AY644" s="135"/>
      <c r="AZ644" s="135"/>
      <c r="BA644" s="135"/>
      <c r="BB644" s="135"/>
      <c r="BC644" s="135"/>
      <c r="BD644" s="135"/>
      <c r="BE644" s="135"/>
      <c r="BF644" s="135"/>
      <c r="BG644" s="135"/>
      <c r="BH644" s="135"/>
      <c r="BI644" s="135"/>
      <c r="BJ644" s="135"/>
      <c r="BK644" s="135"/>
      <c r="BL644" s="135"/>
      <c r="BM644" s="135"/>
      <c r="BN644" s="135"/>
      <c r="BO644" s="135"/>
      <c r="BP644" s="135"/>
      <c r="BQ644" s="135"/>
      <c r="BR644" s="135"/>
      <c r="BS644" s="135"/>
      <c r="BT644" s="135"/>
    </row>
    <row r="645" spans="1:72" s="196" customFormat="1">
      <c r="A645" s="135"/>
      <c r="B645" s="135"/>
      <c r="C645" s="135"/>
      <c r="D645" s="135"/>
      <c r="E645" s="135"/>
      <c r="F645" s="135"/>
      <c r="G645" s="135"/>
      <c r="H645" s="135"/>
      <c r="I645" s="135"/>
      <c r="J645" s="135"/>
      <c r="K645" s="135"/>
      <c r="L645" s="135"/>
      <c r="M645" s="135"/>
      <c r="N645" s="135"/>
      <c r="O645" s="135"/>
      <c r="P645" s="135"/>
      <c r="Q645" s="135"/>
      <c r="R645" s="135"/>
      <c r="S645" s="135"/>
      <c r="T645" s="135"/>
      <c r="U645" s="135"/>
      <c r="V645" s="135"/>
      <c r="W645" s="135"/>
      <c r="X645" s="135"/>
      <c r="Y645" s="135"/>
      <c r="Z645" s="135"/>
      <c r="AA645" s="135"/>
      <c r="AB645" s="135"/>
      <c r="AC645" s="135"/>
      <c r="AD645" s="135"/>
      <c r="AE645" s="135"/>
      <c r="AF645" s="135"/>
      <c r="AG645" s="135"/>
      <c r="AH645" s="135"/>
      <c r="AI645" s="135"/>
      <c r="AJ645" s="135"/>
      <c r="AK645" s="135"/>
      <c r="AL645" s="135"/>
      <c r="AM645" s="135"/>
      <c r="AN645" s="135"/>
      <c r="AO645" s="135"/>
      <c r="AP645" s="135"/>
      <c r="AQ645" s="135"/>
      <c r="AR645" s="135"/>
      <c r="AS645" s="135"/>
      <c r="AT645" s="135"/>
      <c r="AU645" s="135"/>
      <c r="AV645" s="135"/>
      <c r="AW645" s="135"/>
      <c r="AX645" s="135"/>
      <c r="AY645" s="135"/>
      <c r="AZ645" s="135"/>
      <c r="BA645" s="135"/>
      <c r="BB645" s="135"/>
      <c r="BC645" s="135"/>
      <c r="BD645" s="135"/>
      <c r="BE645" s="135"/>
      <c r="BF645" s="135"/>
      <c r="BG645" s="135"/>
      <c r="BH645" s="135"/>
      <c r="BI645" s="135"/>
      <c r="BJ645" s="135"/>
      <c r="BK645" s="135"/>
      <c r="BL645" s="135"/>
      <c r="BM645" s="135"/>
      <c r="BN645" s="135"/>
      <c r="BO645" s="135"/>
      <c r="BP645" s="135"/>
      <c r="BQ645" s="135"/>
      <c r="BR645" s="135"/>
      <c r="BS645" s="135"/>
      <c r="BT645" s="135"/>
    </row>
    <row r="646" spans="1:72" s="196" customFormat="1">
      <c r="A646" s="135"/>
      <c r="B646" s="135"/>
      <c r="C646" s="135"/>
      <c r="D646" s="135"/>
      <c r="E646" s="135"/>
      <c r="F646" s="135"/>
      <c r="G646" s="135"/>
      <c r="H646" s="135"/>
      <c r="I646" s="135"/>
      <c r="J646" s="135"/>
      <c r="K646" s="135"/>
      <c r="L646" s="135"/>
      <c r="M646" s="135"/>
      <c r="N646" s="135"/>
      <c r="O646" s="135"/>
      <c r="P646" s="135"/>
      <c r="Q646" s="135"/>
      <c r="R646" s="135"/>
      <c r="S646" s="135"/>
      <c r="T646" s="135"/>
      <c r="U646" s="135"/>
      <c r="V646" s="135"/>
      <c r="W646" s="135"/>
      <c r="X646" s="135"/>
      <c r="Y646" s="135"/>
      <c r="Z646" s="135"/>
      <c r="AA646" s="135"/>
      <c r="AB646" s="135"/>
      <c r="AC646" s="135"/>
      <c r="AD646" s="135"/>
      <c r="AE646" s="135"/>
      <c r="AF646" s="135"/>
      <c r="AG646" s="135"/>
      <c r="AH646" s="135"/>
      <c r="AI646" s="135"/>
      <c r="AJ646" s="135"/>
      <c r="AK646" s="135"/>
      <c r="AL646" s="135"/>
      <c r="AM646" s="135"/>
      <c r="AN646" s="135"/>
      <c r="AO646" s="135"/>
      <c r="AP646" s="135"/>
      <c r="AQ646" s="135"/>
      <c r="AR646" s="135"/>
      <c r="AS646" s="135"/>
      <c r="AT646" s="135"/>
      <c r="AU646" s="135"/>
      <c r="AV646" s="135"/>
      <c r="AW646" s="135"/>
      <c r="AX646" s="135"/>
      <c r="AY646" s="135"/>
      <c r="AZ646" s="135"/>
      <c r="BA646" s="135"/>
      <c r="BB646" s="135"/>
      <c r="BC646" s="135"/>
      <c r="BD646" s="135"/>
      <c r="BE646" s="135"/>
      <c r="BF646" s="135"/>
      <c r="BG646" s="135"/>
      <c r="BH646" s="135"/>
      <c r="BI646" s="135"/>
      <c r="BJ646" s="135"/>
      <c r="BK646" s="135"/>
      <c r="BL646" s="135"/>
      <c r="BM646" s="135"/>
      <c r="BN646" s="135"/>
      <c r="BO646" s="135"/>
      <c r="BP646" s="135"/>
      <c r="BQ646" s="135"/>
      <c r="BR646" s="135"/>
      <c r="BS646" s="135"/>
      <c r="BT646" s="135"/>
    </row>
    <row r="647" spans="1:72" s="196" customFormat="1">
      <c r="A647" s="135"/>
      <c r="B647" s="135"/>
      <c r="C647" s="135"/>
      <c r="D647" s="135"/>
      <c r="E647" s="135"/>
      <c r="F647" s="135"/>
      <c r="G647" s="135"/>
      <c r="H647" s="135"/>
      <c r="I647" s="135"/>
      <c r="J647" s="135"/>
      <c r="K647" s="135"/>
      <c r="L647" s="135"/>
      <c r="M647" s="135"/>
      <c r="N647" s="135"/>
      <c r="O647" s="135"/>
      <c r="P647" s="135"/>
      <c r="Q647" s="135"/>
      <c r="R647" s="135"/>
      <c r="S647" s="135"/>
      <c r="T647" s="135"/>
      <c r="U647" s="135"/>
      <c r="V647" s="135"/>
      <c r="W647" s="135"/>
      <c r="X647" s="135"/>
      <c r="Y647" s="135"/>
      <c r="Z647" s="135"/>
      <c r="AA647" s="135"/>
      <c r="AB647" s="135"/>
      <c r="AC647" s="135"/>
      <c r="AD647" s="135"/>
      <c r="AE647" s="135"/>
      <c r="AF647" s="135"/>
      <c r="AG647" s="135"/>
      <c r="AH647" s="135"/>
      <c r="AI647" s="135"/>
      <c r="AJ647" s="135"/>
      <c r="AK647" s="135"/>
      <c r="AL647" s="135"/>
      <c r="AM647" s="135"/>
      <c r="AN647" s="135"/>
      <c r="AO647" s="135"/>
      <c r="AP647" s="135"/>
      <c r="AQ647" s="135"/>
      <c r="AR647" s="135"/>
      <c r="AS647" s="135"/>
      <c r="AT647" s="135"/>
      <c r="AU647" s="135"/>
      <c r="AV647" s="135"/>
      <c r="AW647" s="135"/>
      <c r="AX647" s="135"/>
      <c r="AY647" s="135"/>
      <c r="AZ647" s="135"/>
      <c r="BA647" s="135"/>
      <c r="BB647" s="135"/>
      <c r="BC647" s="135"/>
      <c r="BD647" s="135"/>
      <c r="BE647" s="135"/>
      <c r="BF647" s="135"/>
      <c r="BG647" s="135"/>
      <c r="BH647" s="135"/>
      <c r="BI647" s="135"/>
      <c r="BJ647" s="135"/>
      <c r="BK647" s="135"/>
      <c r="BL647" s="135"/>
      <c r="BM647" s="135"/>
      <c r="BN647" s="135"/>
      <c r="BO647" s="135"/>
      <c r="BP647" s="135"/>
      <c r="BQ647" s="135"/>
      <c r="BR647" s="135"/>
      <c r="BS647" s="135"/>
      <c r="BT647" s="135"/>
    </row>
    <row r="648" spans="1:72" s="196" customFormat="1">
      <c r="A648" s="135"/>
      <c r="B648" s="135"/>
      <c r="C648" s="135"/>
      <c r="D648" s="135"/>
      <c r="E648" s="135"/>
      <c r="F648" s="135"/>
      <c r="G648" s="135"/>
      <c r="H648" s="135"/>
      <c r="I648" s="135"/>
      <c r="J648" s="135"/>
      <c r="K648" s="135"/>
      <c r="L648" s="135"/>
      <c r="M648" s="135"/>
      <c r="N648" s="135"/>
      <c r="O648" s="135"/>
      <c r="P648" s="135"/>
      <c r="Q648" s="135"/>
      <c r="R648" s="135"/>
      <c r="S648" s="135"/>
      <c r="T648" s="135"/>
      <c r="U648" s="135"/>
      <c r="V648" s="135"/>
      <c r="W648" s="135"/>
      <c r="X648" s="135"/>
      <c r="Y648" s="135"/>
      <c r="Z648" s="135"/>
      <c r="AA648" s="135"/>
      <c r="AB648" s="135"/>
      <c r="AC648" s="135"/>
      <c r="AD648" s="135"/>
      <c r="AE648" s="135"/>
      <c r="AF648" s="135"/>
      <c r="AG648" s="135"/>
      <c r="AH648" s="135"/>
      <c r="AI648" s="135"/>
      <c r="AJ648" s="135"/>
      <c r="AK648" s="135"/>
      <c r="AL648" s="135"/>
      <c r="AM648" s="135"/>
      <c r="AN648" s="135"/>
      <c r="AO648" s="135"/>
      <c r="AP648" s="135"/>
      <c r="AQ648" s="135"/>
      <c r="AR648" s="135"/>
      <c r="AS648" s="135"/>
      <c r="AT648" s="135"/>
      <c r="AU648" s="135"/>
      <c r="AV648" s="135"/>
      <c r="AW648" s="135"/>
      <c r="AX648" s="135"/>
      <c r="AY648" s="135"/>
      <c r="AZ648" s="135"/>
      <c r="BA648" s="135"/>
      <c r="BB648" s="135"/>
      <c r="BC648" s="135"/>
      <c r="BD648" s="135"/>
      <c r="BE648" s="135"/>
      <c r="BF648" s="135"/>
      <c r="BG648" s="135"/>
      <c r="BH648" s="135"/>
      <c r="BI648" s="135"/>
      <c r="BJ648" s="135"/>
      <c r="BK648" s="135"/>
      <c r="BL648" s="135"/>
      <c r="BM648" s="135"/>
      <c r="BN648" s="135"/>
      <c r="BO648" s="135"/>
      <c r="BP648" s="135"/>
      <c r="BQ648" s="135"/>
      <c r="BR648" s="135"/>
      <c r="BS648" s="135"/>
      <c r="BT648" s="135"/>
    </row>
    <row r="649" spans="1:72" s="196" customFormat="1">
      <c r="A649" s="135"/>
      <c r="B649" s="135"/>
      <c r="C649" s="135"/>
      <c r="D649" s="135"/>
      <c r="E649" s="135"/>
      <c r="F649" s="135"/>
      <c r="G649" s="135"/>
      <c r="H649" s="135"/>
      <c r="I649" s="135"/>
      <c r="J649" s="135"/>
      <c r="K649" s="135"/>
      <c r="L649" s="135"/>
      <c r="M649" s="135"/>
      <c r="N649" s="135"/>
      <c r="O649" s="135"/>
      <c r="P649" s="135"/>
      <c r="Q649" s="135"/>
      <c r="R649" s="135"/>
      <c r="S649" s="135"/>
      <c r="T649" s="135"/>
      <c r="U649" s="135"/>
      <c r="V649" s="135"/>
      <c r="W649" s="135"/>
      <c r="X649" s="135"/>
      <c r="Y649" s="135"/>
      <c r="Z649" s="135"/>
      <c r="AA649" s="135"/>
      <c r="AB649" s="135"/>
      <c r="AC649" s="135"/>
      <c r="AD649" s="135"/>
      <c r="AE649" s="135"/>
      <c r="AF649" s="135"/>
      <c r="AG649" s="135"/>
      <c r="AH649" s="135"/>
      <c r="AI649" s="135"/>
      <c r="AJ649" s="135"/>
      <c r="AK649" s="135"/>
      <c r="AL649" s="135"/>
      <c r="AM649" s="135"/>
      <c r="AN649" s="135"/>
      <c r="AO649" s="135"/>
      <c r="AP649" s="135"/>
      <c r="AQ649" s="135"/>
      <c r="AR649" s="135"/>
      <c r="AS649" s="135"/>
      <c r="AT649" s="135"/>
      <c r="AU649" s="135"/>
      <c r="AV649" s="135"/>
      <c r="AW649" s="135"/>
      <c r="AX649" s="135"/>
      <c r="AY649" s="135"/>
      <c r="AZ649" s="135"/>
      <c r="BA649" s="135"/>
      <c r="BB649" s="135"/>
      <c r="BC649" s="135"/>
      <c r="BD649" s="135"/>
      <c r="BE649" s="135"/>
      <c r="BF649" s="135"/>
      <c r="BG649" s="135"/>
      <c r="BH649" s="135"/>
      <c r="BI649" s="135"/>
      <c r="BJ649" s="135"/>
      <c r="BK649" s="135"/>
      <c r="BL649" s="135"/>
      <c r="BM649" s="135"/>
      <c r="BN649" s="135"/>
      <c r="BO649" s="135"/>
      <c r="BP649" s="135"/>
      <c r="BQ649" s="135"/>
      <c r="BR649" s="135"/>
      <c r="BS649" s="135"/>
      <c r="BT649" s="135"/>
    </row>
    <row r="650" spans="1:72" s="196" customFormat="1">
      <c r="A650" s="135"/>
      <c r="B650" s="135"/>
      <c r="C650" s="135"/>
      <c r="D650" s="135"/>
      <c r="E650" s="135"/>
      <c r="F650" s="135"/>
      <c r="G650" s="135"/>
      <c r="H650" s="135"/>
      <c r="I650" s="135"/>
      <c r="J650" s="135"/>
      <c r="K650" s="135"/>
      <c r="L650" s="135"/>
      <c r="M650" s="135"/>
      <c r="N650" s="135"/>
      <c r="O650" s="135"/>
      <c r="P650" s="135"/>
      <c r="Q650" s="135"/>
      <c r="R650" s="135"/>
      <c r="S650" s="135"/>
      <c r="T650" s="135"/>
      <c r="U650" s="135"/>
      <c r="V650" s="135"/>
      <c r="W650" s="135"/>
      <c r="X650" s="135"/>
      <c r="Y650" s="135"/>
      <c r="Z650" s="135"/>
      <c r="AA650" s="135"/>
      <c r="AB650" s="135"/>
      <c r="AC650" s="135"/>
      <c r="AD650" s="135"/>
      <c r="AE650" s="135"/>
      <c r="AF650" s="135"/>
      <c r="AG650" s="135"/>
      <c r="AH650" s="135"/>
      <c r="AI650" s="135"/>
      <c r="AJ650" s="135"/>
      <c r="AK650" s="135"/>
      <c r="AL650" s="135"/>
      <c r="AM650" s="135"/>
      <c r="AN650" s="135"/>
      <c r="AO650" s="135"/>
      <c r="AP650" s="135"/>
      <c r="AQ650" s="135"/>
      <c r="AR650" s="135"/>
      <c r="AS650" s="135"/>
      <c r="AT650" s="135"/>
      <c r="AU650" s="135"/>
      <c r="AV650" s="135"/>
      <c r="AW650" s="135"/>
      <c r="AX650" s="135"/>
      <c r="AY650" s="135"/>
      <c r="AZ650" s="135"/>
      <c r="BA650" s="135"/>
      <c r="BB650" s="135"/>
      <c r="BC650" s="135"/>
      <c r="BD650" s="135"/>
      <c r="BE650" s="135"/>
      <c r="BF650" s="135"/>
      <c r="BG650" s="135"/>
      <c r="BH650" s="135"/>
      <c r="BI650" s="135"/>
      <c r="BJ650" s="135"/>
      <c r="BK650" s="135"/>
      <c r="BL650" s="135"/>
      <c r="BM650" s="135"/>
      <c r="BN650" s="135"/>
      <c r="BO650" s="135"/>
      <c r="BP650" s="135"/>
      <c r="BQ650" s="135"/>
      <c r="BR650" s="135"/>
      <c r="BS650" s="135"/>
      <c r="BT650" s="135"/>
    </row>
    <row r="651" spans="1:72" s="196" customFormat="1">
      <c r="A651" s="135"/>
      <c r="B651" s="135"/>
      <c r="C651" s="135"/>
      <c r="D651" s="135"/>
      <c r="E651" s="135"/>
      <c r="F651" s="135"/>
      <c r="G651" s="135"/>
      <c r="H651" s="135"/>
      <c r="I651" s="135"/>
      <c r="J651" s="135"/>
      <c r="K651" s="135"/>
      <c r="L651" s="135"/>
      <c r="M651" s="135"/>
      <c r="N651" s="135"/>
      <c r="O651" s="135"/>
      <c r="P651" s="135"/>
      <c r="Q651" s="135"/>
      <c r="R651" s="135"/>
      <c r="S651" s="135"/>
      <c r="T651" s="135"/>
      <c r="U651" s="135"/>
      <c r="V651" s="135"/>
      <c r="W651" s="135"/>
      <c r="X651" s="135"/>
      <c r="Y651" s="135"/>
      <c r="Z651" s="135"/>
      <c r="AA651" s="135"/>
      <c r="AB651" s="135"/>
      <c r="AC651" s="135"/>
      <c r="AD651" s="135"/>
      <c r="AE651" s="135"/>
      <c r="AF651" s="135"/>
      <c r="AG651" s="135"/>
      <c r="AH651" s="135"/>
      <c r="AI651" s="135"/>
      <c r="AJ651" s="135"/>
      <c r="AK651" s="135"/>
      <c r="AL651" s="135"/>
      <c r="AM651" s="135"/>
      <c r="AN651" s="135"/>
      <c r="AO651" s="135"/>
      <c r="AP651" s="135"/>
      <c r="AQ651" s="135"/>
      <c r="AR651" s="135"/>
      <c r="AS651" s="135"/>
      <c r="AT651" s="135"/>
      <c r="AU651" s="135"/>
      <c r="AV651" s="135"/>
      <c r="AW651" s="135"/>
      <c r="AX651" s="135"/>
      <c r="AY651" s="135"/>
      <c r="AZ651" s="135"/>
      <c r="BA651" s="135"/>
      <c r="BB651" s="135"/>
      <c r="BC651" s="135"/>
      <c r="BD651" s="135"/>
      <c r="BE651" s="135"/>
      <c r="BF651" s="135"/>
      <c r="BG651" s="135"/>
      <c r="BH651" s="135"/>
      <c r="BI651" s="135"/>
      <c r="BJ651" s="135"/>
      <c r="BK651" s="135"/>
      <c r="BL651" s="135"/>
      <c r="BM651" s="135"/>
      <c r="BN651" s="135"/>
      <c r="BO651" s="135"/>
      <c r="BP651" s="135"/>
      <c r="BQ651" s="135"/>
      <c r="BR651" s="135"/>
      <c r="BS651" s="135"/>
      <c r="BT651" s="135"/>
    </row>
    <row r="652" spans="1:72" s="196" customFormat="1">
      <c r="A652" s="135"/>
      <c r="B652" s="135"/>
      <c r="C652" s="135"/>
      <c r="D652" s="135"/>
      <c r="E652" s="135"/>
      <c r="F652" s="135"/>
      <c r="G652" s="135"/>
      <c r="H652" s="135"/>
      <c r="I652" s="135"/>
      <c r="J652" s="135"/>
      <c r="K652" s="135"/>
      <c r="L652" s="135"/>
      <c r="M652" s="135"/>
      <c r="N652" s="135"/>
      <c r="O652" s="135"/>
      <c r="P652" s="135"/>
      <c r="Q652" s="135"/>
      <c r="R652" s="135"/>
      <c r="S652" s="135"/>
      <c r="T652" s="135"/>
      <c r="U652" s="135"/>
      <c r="V652" s="135"/>
      <c r="W652" s="135"/>
      <c r="X652" s="135"/>
      <c r="Y652" s="135"/>
      <c r="Z652" s="135"/>
      <c r="AA652" s="135"/>
      <c r="AB652" s="135"/>
      <c r="AC652" s="135"/>
      <c r="AD652" s="135"/>
      <c r="AE652" s="135"/>
      <c r="AF652" s="135"/>
      <c r="AG652" s="135"/>
      <c r="AH652" s="135"/>
      <c r="AI652" s="135"/>
      <c r="AJ652" s="135"/>
      <c r="AK652" s="135"/>
      <c r="AL652" s="135"/>
      <c r="AM652" s="135"/>
      <c r="AN652" s="135"/>
      <c r="AO652" s="135"/>
      <c r="AP652" s="135"/>
      <c r="AQ652" s="135"/>
      <c r="AR652" s="135"/>
      <c r="AS652" s="135"/>
      <c r="AT652" s="135"/>
      <c r="AU652" s="135"/>
      <c r="AV652" s="135"/>
      <c r="AW652" s="135"/>
      <c r="AX652" s="135"/>
      <c r="AY652" s="135"/>
      <c r="AZ652" s="135"/>
      <c r="BA652" s="135"/>
      <c r="BB652" s="135"/>
      <c r="BC652" s="135"/>
      <c r="BD652" s="135"/>
      <c r="BE652" s="135"/>
      <c r="BF652" s="135"/>
      <c r="BG652" s="135"/>
      <c r="BH652" s="135"/>
      <c r="BI652" s="135"/>
      <c r="BJ652" s="135"/>
      <c r="BK652" s="135"/>
      <c r="BL652" s="135"/>
      <c r="BM652" s="135"/>
      <c r="BN652" s="135"/>
      <c r="BO652" s="135"/>
      <c r="BP652" s="135"/>
      <c r="BQ652" s="135"/>
      <c r="BR652" s="135"/>
      <c r="BS652" s="135"/>
      <c r="BT652" s="135"/>
    </row>
    <row r="653" spans="1:72" s="196" customFormat="1">
      <c r="A653" s="135"/>
      <c r="B653" s="135"/>
      <c r="C653" s="135"/>
      <c r="D653" s="135"/>
      <c r="E653" s="135"/>
      <c r="F653" s="135"/>
      <c r="G653" s="135"/>
      <c r="H653" s="135"/>
      <c r="I653" s="135"/>
      <c r="J653" s="135"/>
      <c r="K653" s="135"/>
      <c r="L653" s="135"/>
      <c r="M653" s="135"/>
      <c r="N653" s="135"/>
      <c r="O653" s="135"/>
      <c r="P653" s="135"/>
      <c r="Q653" s="135"/>
      <c r="R653" s="135"/>
      <c r="S653" s="135"/>
      <c r="T653" s="135"/>
      <c r="U653" s="135"/>
      <c r="V653" s="135"/>
      <c r="W653" s="135"/>
      <c r="X653" s="135"/>
      <c r="Y653" s="135"/>
      <c r="Z653" s="135"/>
      <c r="AA653" s="135"/>
      <c r="AB653" s="135"/>
      <c r="AC653" s="135"/>
      <c r="AD653" s="135"/>
      <c r="AE653" s="135"/>
      <c r="AF653" s="135"/>
      <c r="AG653" s="135"/>
      <c r="AH653" s="135"/>
      <c r="AI653" s="135"/>
      <c r="AJ653" s="135"/>
      <c r="AK653" s="135"/>
      <c r="AL653" s="135"/>
      <c r="AM653" s="135"/>
      <c r="AN653" s="135"/>
      <c r="AO653" s="135"/>
      <c r="AP653" s="135"/>
      <c r="AQ653" s="135"/>
      <c r="AR653" s="135"/>
      <c r="AS653" s="135"/>
      <c r="AT653" s="135"/>
      <c r="AU653" s="135"/>
      <c r="AV653" s="135"/>
      <c r="AW653" s="135"/>
      <c r="AX653" s="135"/>
      <c r="AY653" s="135"/>
      <c r="AZ653" s="135"/>
      <c r="BA653" s="135"/>
      <c r="BB653" s="135"/>
      <c r="BC653" s="135"/>
      <c r="BD653" s="135"/>
      <c r="BE653" s="135"/>
      <c r="BF653" s="135"/>
      <c r="BG653" s="135"/>
      <c r="BH653" s="135"/>
      <c r="BI653" s="135"/>
      <c r="BJ653" s="135"/>
      <c r="BK653" s="135"/>
      <c r="BL653" s="135"/>
      <c r="BM653" s="135"/>
      <c r="BN653" s="135"/>
      <c r="BO653" s="135"/>
      <c r="BP653" s="135"/>
      <c r="BQ653" s="135"/>
      <c r="BR653" s="135"/>
      <c r="BS653" s="135"/>
      <c r="BT653" s="135"/>
    </row>
    <row r="654" spans="1:72" s="196" customFormat="1">
      <c r="A654" s="135"/>
      <c r="B654" s="135"/>
      <c r="C654" s="135"/>
      <c r="D654" s="135"/>
      <c r="E654" s="135"/>
      <c r="F654" s="135"/>
      <c r="G654" s="135"/>
      <c r="H654" s="135"/>
      <c r="I654" s="135"/>
      <c r="J654" s="135"/>
      <c r="K654" s="135"/>
      <c r="L654" s="135"/>
      <c r="M654" s="135"/>
      <c r="N654" s="135"/>
      <c r="O654" s="135"/>
      <c r="P654" s="135"/>
      <c r="Q654" s="135"/>
      <c r="R654" s="135"/>
      <c r="S654" s="135"/>
      <c r="T654" s="135"/>
      <c r="U654" s="135"/>
      <c r="V654" s="135"/>
      <c r="W654" s="135"/>
      <c r="X654" s="135"/>
      <c r="Y654" s="135"/>
      <c r="Z654" s="135"/>
      <c r="AA654" s="135"/>
      <c r="AB654" s="135"/>
      <c r="AC654" s="135"/>
      <c r="AD654" s="135"/>
      <c r="AE654" s="135"/>
      <c r="AF654" s="135"/>
      <c r="AG654" s="135"/>
      <c r="AH654" s="135"/>
      <c r="AI654" s="135"/>
      <c r="AJ654" s="135"/>
      <c r="AK654" s="135"/>
      <c r="AL654" s="135"/>
      <c r="AM654" s="135"/>
      <c r="AN654" s="135"/>
      <c r="AO654" s="135"/>
      <c r="AP654" s="135"/>
      <c r="AQ654" s="135"/>
      <c r="AR654" s="135"/>
      <c r="AS654" s="135"/>
      <c r="AT654" s="135"/>
      <c r="AU654" s="135"/>
      <c r="AV654" s="135"/>
      <c r="AW654" s="135"/>
      <c r="AX654" s="135"/>
      <c r="AY654" s="135"/>
      <c r="AZ654" s="135"/>
      <c r="BA654" s="135"/>
      <c r="BB654" s="135"/>
      <c r="BC654" s="135"/>
      <c r="BD654" s="135"/>
      <c r="BE654" s="135"/>
      <c r="BF654" s="135"/>
      <c r="BG654" s="135"/>
      <c r="BH654" s="135"/>
      <c r="BI654" s="135"/>
      <c r="BJ654" s="135"/>
      <c r="BK654" s="135"/>
      <c r="BL654" s="135"/>
      <c r="BM654" s="135"/>
      <c r="BN654" s="135"/>
      <c r="BO654" s="135"/>
      <c r="BP654" s="135"/>
      <c r="BQ654" s="135"/>
      <c r="BR654" s="135"/>
      <c r="BS654" s="135"/>
      <c r="BT654" s="135"/>
    </row>
    <row r="655" spans="1:72" s="196" customFormat="1">
      <c r="A655" s="135"/>
      <c r="B655" s="135"/>
      <c r="C655" s="135"/>
      <c r="D655" s="135"/>
      <c r="E655" s="135"/>
      <c r="F655" s="135"/>
      <c r="G655" s="135"/>
      <c r="H655" s="135"/>
      <c r="I655" s="135"/>
      <c r="J655" s="135"/>
      <c r="K655" s="135"/>
      <c r="L655" s="135"/>
      <c r="M655" s="135"/>
      <c r="N655" s="135"/>
      <c r="O655" s="135"/>
      <c r="P655" s="135"/>
      <c r="Q655" s="135"/>
      <c r="R655" s="135"/>
      <c r="S655" s="135"/>
      <c r="T655" s="135"/>
      <c r="U655" s="135"/>
      <c r="V655" s="135"/>
      <c r="W655" s="135"/>
      <c r="X655" s="135"/>
      <c r="Y655" s="135"/>
      <c r="Z655" s="135"/>
      <c r="AA655" s="135"/>
      <c r="AB655" s="135"/>
      <c r="AC655" s="135"/>
      <c r="AD655" s="135"/>
      <c r="AE655" s="135"/>
      <c r="AF655" s="135"/>
      <c r="AG655" s="135"/>
      <c r="AH655" s="135"/>
      <c r="AI655" s="135"/>
      <c r="AJ655" s="135"/>
      <c r="AK655" s="135"/>
      <c r="AL655" s="135"/>
      <c r="AM655" s="135"/>
      <c r="AN655" s="135"/>
      <c r="AO655" s="135"/>
      <c r="AP655" s="135"/>
      <c r="AQ655" s="135"/>
      <c r="AR655" s="135"/>
      <c r="AS655" s="135"/>
      <c r="AT655" s="135"/>
      <c r="AU655" s="135"/>
      <c r="AV655" s="135"/>
      <c r="AW655" s="135"/>
      <c r="AX655" s="135"/>
      <c r="AY655" s="135"/>
      <c r="AZ655" s="135"/>
      <c r="BA655" s="135"/>
      <c r="BB655" s="135"/>
      <c r="BC655" s="135"/>
      <c r="BD655" s="135"/>
      <c r="BE655" s="135"/>
      <c r="BF655" s="135"/>
      <c r="BG655" s="135"/>
      <c r="BH655" s="135"/>
      <c r="BI655" s="135"/>
      <c r="BJ655" s="135"/>
      <c r="BK655" s="135"/>
      <c r="BL655" s="135"/>
      <c r="BM655" s="135"/>
      <c r="BN655" s="135"/>
      <c r="BO655" s="135"/>
      <c r="BP655" s="135"/>
      <c r="BQ655" s="135"/>
      <c r="BR655" s="135"/>
      <c r="BS655" s="135"/>
      <c r="BT655" s="135"/>
    </row>
    <row r="656" spans="1:72" s="196" customFormat="1">
      <c r="A656" s="135"/>
      <c r="B656" s="135"/>
      <c r="C656" s="135"/>
      <c r="D656" s="135"/>
      <c r="E656" s="135"/>
      <c r="F656" s="135"/>
      <c r="G656" s="135"/>
      <c r="H656" s="135"/>
      <c r="I656" s="135"/>
      <c r="J656" s="135"/>
      <c r="K656" s="135"/>
      <c r="L656" s="135"/>
      <c r="M656" s="135"/>
      <c r="N656" s="135"/>
      <c r="O656" s="135"/>
      <c r="P656" s="135"/>
      <c r="Q656" s="135"/>
      <c r="R656" s="135"/>
      <c r="S656" s="135"/>
      <c r="T656" s="135"/>
      <c r="U656" s="135"/>
      <c r="V656" s="135"/>
      <c r="W656" s="135"/>
      <c r="X656" s="135"/>
      <c r="Y656" s="135"/>
      <c r="Z656" s="135"/>
      <c r="AA656" s="135"/>
      <c r="AB656" s="135"/>
      <c r="AC656" s="135"/>
      <c r="AD656" s="135"/>
      <c r="AE656" s="135"/>
      <c r="AF656" s="135"/>
      <c r="AG656" s="135"/>
      <c r="AH656" s="135"/>
      <c r="AI656" s="135"/>
      <c r="AJ656" s="135"/>
      <c r="AK656" s="135"/>
      <c r="AL656" s="135"/>
      <c r="AM656" s="135"/>
      <c r="AN656" s="135"/>
      <c r="AO656" s="135"/>
      <c r="AP656" s="135"/>
      <c r="AQ656" s="135"/>
      <c r="AR656" s="135"/>
      <c r="AS656" s="135"/>
      <c r="AT656" s="135"/>
      <c r="AU656" s="135"/>
      <c r="AV656" s="135"/>
      <c r="AW656" s="135"/>
      <c r="AX656" s="135"/>
      <c r="AY656" s="135"/>
      <c r="AZ656" s="135"/>
      <c r="BA656" s="135"/>
      <c r="BB656" s="135"/>
      <c r="BC656" s="135"/>
      <c r="BD656" s="135"/>
      <c r="BE656" s="135"/>
      <c r="BF656" s="135"/>
      <c r="BG656" s="135"/>
      <c r="BH656" s="135"/>
      <c r="BI656" s="135"/>
      <c r="BJ656" s="135"/>
      <c r="BK656" s="135"/>
      <c r="BL656" s="135"/>
      <c r="BM656" s="135"/>
      <c r="BN656" s="135"/>
      <c r="BO656" s="135"/>
      <c r="BP656" s="135"/>
      <c r="BQ656" s="135"/>
      <c r="BR656" s="135"/>
      <c r="BS656" s="135"/>
      <c r="BT656" s="135"/>
    </row>
    <row r="657" spans="1:72" s="196" customFormat="1">
      <c r="A657" s="135"/>
      <c r="B657" s="135"/>
      <c r="C657" s="135"/>
      <c r="D657" s="135"/>
      <c r="E657" s="135"/>
      <c r="F657" s="135"/>
      <c r="G657" s="135"/>
      <c r="H657" s="135"/>
      <c r="I657" s="135"/>
      <c r="J657" s="135"/>
      <c r="K657" s="135"/>
      <c r="L657" s="135"/>
      <c r="M657" s="135"/>
      <c r="N657" s="135"/>
      <c r="O657" s="135"/>
      <c r="P657" s="135"/>
      <c r="Q657" s="135"/>
      <c r="R657" s="135"/>
      <c r="S657" s="135"/>
      <c r="T657" s="135"/>
      <c r="U657" s="135"/>
      <c r="V657" s="135"/>
      <c r="W657" s="135"/>
      <c r="X657" s="135"/>
      <c r="Y657" s="135"/>
      <c r="Z657" s="135"/>
      <c r="AA657" s="135"/>
      <c r="AB657" s="135"/>
      <c r="AC657" s="135"/>
      <c r="AD657" s="135"/>
      <c r="AE657" s="135"/>
      <c r="AF657" s="135"/>
      <c r="AG657" s="135"/>
      <c r="AH657" s="135"/>
      <c r="AI657" s="135"/>
      <c r="AJ657" s="135"/>
      <c r="AK657" s="135"/>
      <c r="AL657" s="135"/>
      <c r="AM657" s="135"/>
      <c r="AN657" s="135"/>
      <c r="AO657" s="135"/>
      <c r="AP657" s="135"/>
      <c r="AQ657" s="135"/>
      <c r="AR657" s="135"/>
      <c r="AS657" s="135"/>
      <c r="AT657" s="135"/>
      <c r="AU657" s="135"/>
      <c r="AV657" s="135"/>
      <c r="AW657" s="135"/>
      <c r="AX657" s="135"/>
      <c r="AY657" s="135"/>
      <c r="AZ657" s="135"/>
      <c r="BA657" s="135"/>
      <c r="BB657" s="135"/>
      <c r="BC657" s="135"/>
      <c r="BD657" s="135"/>
      <c r="BE657" s="135"/>
      <c r="BF657" s="135"/>
      <c r="BG657" s="135"/>
      <c r="BH657" s="135"/>
      <c r="BI657" s="135"/>
      <c r="BJ657" s="135"/>
      <c r="BK657" s="135"/>
      <c r="BL657" s="135"/>
      <c r="BM657" s="135"/>
      <c r="BN657" s="135"/>
      <c r="BO657" s="135"/>
      <c r="BP657" s="135"/>
      <c r="BQ657" s="135"/>
      <c r="BR657" s="135"/>
      <c r="BS657" s="135"/>
      <c r="BT657" s="135"/>
    </row>
    <row r="658" spans="1:72" s="196" customFormat="1">
      <c r="A658" s="135"/>
      <c r="B658" s="135"/>
      <c r="C658" s="135"/>
      <c r="D658" s="135"/>
      <c r="E658" s="135"/>
      <c r="F658" s="135"/>
      <c r="G658" s="135"/>
      <c r="H658" s="135"/>
      <c r="I658" s="135"/>
      <c r="J658" s="135"/>
      <c r="K658" s="135"/>
      <c r="L658" s="135"/>
      <c r="M658" s="135"/>
      <c r="N658" s="135"/>
      <c r="O658" s="135"/>
      <c r="P658" s="135"/>
      <c r="Q658" s="135"/>
      <c r="R658" s="135"/>
      <c r="S658" s="135"/>
      <c r="T658" s="135"/>
      <c r="U658" s="135"/>
      <c r="V658" s="135"/>
      <c r="W658" s="135"/>
      <c r="X658" s="135"/>
      <c r="Y658" s="135"/>
      <c r="Z658" s="135"/>
      <c r="AA658" s="135"/>
      <c r="AB658" s="135"/>
      <c r="AC658" s="135"/>
      <c r="AD658" s="135"/>
      <c r="AE658" s="135"/>
      <c r="AF658" s="135"/>
      <c r="AG658" s="135"/>
      <c r="AH658" s="135"/>
      <c r="AI658" s="135"/>
      <c r="AJ658" s="135"/>
      <c r="AK658" s="135"/>
      <c r="AL658" s="135"/>
      <c r="AM658" s="135"/>
      <c r="AN658" s="135"/>
      <c r="AO658" s="135"/>
      <c r="AP658" s="135"/>
      <c r="AQ658" s="135"/>
      <c r="AR658" s="135"/>
      <c r="AS658" s="135"/>
      <c r="AT658" s="135"/>
      <c r="AU658" s="135"/>
      <c r="AV658" s="135"/>
      <c r="AW658" s="135"/>
      <c r="AX658" s="135"/>
      <c r="AY658" s="135"/>
      <c r="AZ658" s="135"/>
      <c r="BA658" s="135"/>
      <c r="BB658" s="135"/>
      <c r="BC658" s="135"/>
      <c r="BD658" s="135"/>
      <c r="BE658" s="135"/>
      <c r="BF658" s="135"/>
      <c r="BG658" s="135"/>
      <c r="BH658" s="135"/>
      <c r="BI658" s="135"/>
      <c r="BJ658" s="135"/>
      <c r="BK658" s="135"/>
      <c r="BL658" s="135"/>
      <c r="BM658" s="135"/>
      <c r="BN658" s="135"/>
      <c r="BO658" s="135"/>
      <c r="BP658" s="135"/>
      <c r="BQ658" s="135"/>
      <c r="BR658" s="135"/>
      <c r="BS658" s="135"/>
      <c r="BT658" s="135"/>
    </row>
    <row r="659" spans="1:72" s="196" customFormat="1">
      <c r="A659" s="135"/>
      <c r="B659" s="135"/>
      <c r="C659" s="135"/>
      <c r="D659" s="135"/>
      <c r="E659" s="135"/>
      <c r="F659" s="135"/>
      <c r="G659" s="135"/>
      <c r="H659" s="135"/>
      <c r="I659" s="135"/>
      <c r="J659" s="135"/>
      <c r="K659" s="135"/>
      <c r="L659" s="135"/>
      <c r="M659" s="135"/>
      <c r="N659" s="135"/>
      <c r="O659" s="135"/>
      <c r="P659" s="135"/>
      <c r="Q659" s="135"/>
      <c r="R659" s="135"/>
      <c r="S659" s="135"/>
      <c r="T659" s="135"/>
      <c r="U659" s="135"/>
      <c r="V659" s="135"/>
      <c r="W659" s="135"/>
      <c r="X659" s="135"/>
      <c r="Y659" s="135"/>
      <c r="Z659" s="135"/>
      <c r="AA659" s="135"/>
      <c r="AB659" s="135"/>
      <c r="AC659" s="135"/>
      <c r="AD659" s="135"/>
      <c r="AE659" s="135"/>
      <c r="AF659" s="135"/>
      <c r="AG659" s="135"/>
      <c r="AH659" s="135"/>
      <c r="AI659" s="135"/>
      <c r="AJ659" s="135"/>
      <c r="AK659" s="135"/>
      <c r="AL659" s="135"/>
      <c r="AM659" s="135"/>
      <c r="AN659" s="135"/>
      <c r="AO659" s="135"/>
      <c r="AP659" s="135"/>
      <c r="AQ659" s="135"/>
      <c r="AR659" s="135"/>
      <c r="AS659" s="135"/>
      <c r="AT659" s="135"/>
      <c r="AU659" s="135"/>
      <c r="AV659" s="135"/>
      <c r="AW659" s="135"/>
      <c r="AX659" s="135"/>
      <c r="AY659" s="135"/>
      <c r="AZ659" s="135"/>
      <c r="BA659" s="135"/>
      <c r="BB659" s="135"/>
      <c r="BC659" s="135"/>
      <c r="BD659" s="135"/>
      <c r="BE659" s="135"/>
      <c r="BF659" s="135"/>
      <c r="BG659" s="135"/>
      <c r="BH659" s="135"/>
      <c r="BI659" s="135"/>
      <c r="BJ659" s="135"/>
      <c r="BK659" s="135"/>
      <c r="BL659" s="135"/>
      <c r="BM659" s="135"/>
      <c r="BN659" s="135"/>
      <c r="BO659" s="135"/>
      <c r="BP659" s="135"/>
      <c r="BQ659" s="135"/>
      <c r="BR659" s="135"/>
      <c r="BS659" s="135"/>
      <c r="BT659" s="135"/>
    </row>
    <row r="660" spans="1:72" s="196" customFormat="1">
      <c r="A660" s="135"/>
      <c r="B660" s="135"/>
      <c r="C660" s="135"/>
      <c r="D660" s="135"/>
      <c r="E660" s="135"/>
      <c r="F660" s="135"/>
      <c r="G660" s="135"/>
      <c r="H660" s="135"/>
      <c r="I660" s="135"/>
      <c r="J660" s="135"/>
      <c r="K660" s="135"/>
      <c r="L660" s="135"/>
      <c r="M660" s="135"/>
      <c r="N660" s="135"/>
      <c r="O660" s="135"/>
      <c r="P660" s="135"/>
      <c r="Q660" s="135"/>
      <c r="R660" s="135"/>
      <c r="S660" s="135"/>
      <c r="T660" s="135"/>
      <c r="U660" s="135"/>
      <c r="V660" s="135"/>
      <c r="W660" s="135"/>
      <c r="X660" s="135"/>
      <c r="Y660" s="135"/>
      <c r="Z660" s="135"/>
      <c r="AA660" s="135"/>
      <c r="AB660" s="135"/>
      <c r="AC660" s="135"/>
      <c r="AD660" s="135"/>
      <c r="AE660" s="135"/>
      <c r="AF660" s="135"/>
      <c r="AG660" s="135"/>
      <c r="AH660" s="135"/>
      <c r="AI660" s="135"/>
      <c r="AJ660" s="135"/>
      <c r="AK660" s="135"/>
      <c r="AL660" s="135"/>
      <c r="AM660" s="135"/>
      <c r="AN660" s="135"/>
      <c r="AO660" s="135"/>
      <c r="AP660" s="135"/>
      <c r="AQ660" s="135"/>
      <c r="AR660" s="135"/>
      <c r="AS660" s="135"/>
      <c r="AT660" s="135"/>
      <c r="AU660" s="135"/>
      <c r="AV660" s="135"/>
      <c r="AW660" s="135"/>
      <c r="AX660" s="135"/>
      <c r="AY660" s="135"/>
      <c r="AZ660" s="135"/>
      <c r="BA660" s="135"/>
      <c r="BB660" s="135"/>
      <c r="BC660" s="135"/>
      <c r="BD660" s="135"/>
      <c r="BE660" s="135"/>
      <c r="BF660" s="135"/>
      <c r="BG660" s="135"/>
      <c r="BH660" s="135"/>
      <c r="BI660" s="135"/>
      <c r="BJ660" s="135"/>
      <c r="BK660" s="135"/>
      <c r="BL660" s="135"/>
      <c r="BM660" s="135"/>
      <c r="BN660" s="135"/>
      <c r="BO660" s="135"/>
      <c r="BP660" s="135"/>
      <c r="BQ660" s="135"/>
      <c r="BR660" s="135"/>
      <c r="BS660" s="135"/>
      <c r="BT660" s="135"/>
    </row>
    <row r="661" spans="1:72" s="196" customFormat="1">
      <c r="A661" s="135"/>
      <c r="B661" s="135"/>
      <c r="C661" s="135"/>
      <c r="D661" s="135"/>
      <c r="E661" s="135"/>
      <c r="F661" s="135"/>
      <c r="G661" s="135"/>
      <c r="H661" s="135"/>
      <c r="I661" s="135"/>
      <c r="J661" s="135"/>
      <c r="K661" s="135"/>
      <c r="L661" s="135"/>
      <c r="M661" s="135"/>
      <c r="N661" s="135"/>
      <c r="O661" s="135"/>
      <c r="P661" s="135"/>
      <c r="Q661" s="135"/>
      <c r="R661" s="135"/>
      <c r="S661" s="135"/>
      <c r="T661" s="135"/>
      <c r="U661" s="135"/>
      <c r="V661" s="135"/>
      <c r="W661" s="135"/>
      <c r="X661" s="135"/>
      <c r="Y661" s="135"/>
      <c r="Z661" s="135"/>
      <c r="AA661" s="135"/>
      <c r="AB661" s="135"/>
      <c r="AC661" s="135"/>
      <c r="AD661" s="135"/>
      <c r="AE661" s="135"/>
      <c r="AF661" s="135"/>
      <c r="AG661" s="135"/>
      <c r="AH661" s="135"/>
      <c r="AI661" s="135"/>
      <c r="AJ661" s="135"/>
      <c r="AK661" s="135"/>
      <c r="AL661" s="135"/>
      <c r="AM661" s="135"/>
      <c r="AN661" s="135"/>
      <c r="AO661" s="135"/>
      <c r="AP661" s="135"/>
      <c r="AQ661" s="135"/>
      <c r="AR661" s="135"/>
      <c r="AS661" s="135"/>
      <c r="AT661" s="135"/>
      <c r="AU661" s="135"/>
      <c r="AV661" s="135"/>
      <c r="AW661" s="135"/>
      <c r="AX661" s="135"/>
      <c r="AY661" s="135"/>
      <c r="AZ661" s="135"/>
      <c r="BA661" s="135"/>
      <c r="BB661" s="135"/>
      <c r="BC661" s="135"/>
      <c r="BD661" s="135"/>
      <c r="BE661" s="135"/>
      <c r="BF661" s="135"/>
      <c r="BG661" s="135"/>
      <c r="BH661" s="135"/>
      <c r="BI661" s="135"/>
      <c r="BJ661" s="135"/>
      <c r="BK661" s="135"/>
      <c r="BL661" s="135"/>
      <c r="BM661" s="135"/>
      <c r="BN661" s="135"/>
      <c r="BO661" s="135"/>
      <c r="BP661" s="135"/>
      <c r="BQ661" s="135"/>
      <c r="BR661" s="135"/>
      <c r="BS661" s="135"/>
      <c r="BT661" s="135"/>
    </row>
    <row r="662" spans="1:72" s="196" customFormat="1">
      <c r="A662" s="135"/>
      <c r="B662" s="135"/>
      <c r="C662" s="135"/>
      <c r="D662" s="135"/>
      <c r="E662" s="135"/>
      <c r="F662" s="135"/>
      <c r="G662" s="135"/>
      <c r="H662" s="135"/>
      <c r="I662" s="135"/>
      <c r="J662" s="135"/>
      <c r="K662" s="135"/>
      <c r="L662" s="135"/>
      <c r="M662" s="135"/>
      <c r="N662" s="135"/>
      <c r="O662" s="135"/>
      <c r="P662" s="135"/>
      <c r="Q662" s="135"/>
      <c r="R662" s="135"/>
      <c r="S662" s="135"/>
      <c r="T662" s="135"/>
      <c r="U662" s="135"/>
      <c r="V662" s="135"/>
      <c r="W662" s="135"/>
      <c r="X662" s="135"/>
      <c r="Y662" s="135"/>
      <c r="Z662" s="135"/>
      <c r="AA662" s="135"/>
      <c r="AB662" s="135"/>
      <c r="AC662" s="135"/>
      <c r="AD662" s="135"/>
      <c r="AE662" s="135"/>
      <c r="AF662" s="135"/>
      <c r="AG662" s="135"/>
      <c r="AH662" s="135"/>
      <c r="AI662" s="135"/>
      <c r="AJ662" s="135"/>
      <c r="AK662" s="135"/>
      <c r="AL662" s="135"/>
      <c r="AM662" s="135"/>
      <c r="AN662" s="135"/>
      <c r="AO662" s="135"/>
      <c r="AP662" s="135"/>
      <c r="AQ662" s="135"/>
      <c r="AR662" s="135"/>
      <c r="AS662" s="135"/>
      <c r="AT662" s="135"/>
      <c r="AU662" s="135"/>
      <c r="AV662" s="135"/>
      <c r="AW662" s="135"/>
      <c r="AX662" s="135"/>
      <c r="AY662" s="135"/>
      <c r="AZ662" s="135"/>
      <c r="BA662" s="135"/>
      <c r="BB662" s="135"/>
      <c r="BC662" s="135"/>
      <c r="BD662" s="135"/>
      <c r="BE662" s="135"/>
      <c r="BF662" s="135"/>
      <c r="BG662" s="135"/>
      <c r="BH662" s="135"/>
      <c r="BI662" s="135"/>
      <c r="BJ662" s="135"/>
      <c r="BK662" s="135"/>
      <c r="BL662" s="135"/>
      <c r="BM662" s="135"/>
      <c r="BN662" s="135"/>
      <c r="BO662" s="135"/>
      <c r="BP662" s="135"/>
      <c r="BQ662" s="135"/>
      <c r="BR662" s="135"/>
      <c r="BS662" s="135"/>
      <c r="BT662" s="135"/>
    </row>
    <row r="663" spans="1:72" s="196" customFormat="1">
      <c r="A663" s="135"/>
      <c r="B663" s="135"/>
      <c r="C663" s="135"/>
      <c r="D663" s="135"/>
      <c r="E663" s="135"/>
      <c r="F663" s="135"/>
      <c r="G663" s="135"/>
      <c r="H663" s="135"/>
      <c r="I663" s="135"/>
      <c r="J663" s="135"/>
      <c r="K663" s="135"/>
      <c r="L663" s="135"/>
      <c r="M663" s="135"/>
      <c r="N663" s="135"/>
      <c r="O663" s="135"/>
      <c r="P663" s="135"/>
      <c r="Q663" s="135"/>
      <c r="R663" s="135"/>
      <c r="S663" s="135"/>
      <c r="T663" s="135"/>
      <c r="U663" s="135"/>
      <c r="V663" s="135"/>
      <c r="W663" s="135"/>
      <c r="X663" s="135"/>
      <c r="Y663" s="135"/>
      <c r="Z663" s="135"/>
      <c r="AA663" s="135"/>
      <c r="AB663" s="135"/>
      <c r="AC663" s="135"/>
      <c r="AD663" s="135"/>
      <c r="AE663" s="135"/>
      <c r="AF663" s="135"/>
      <c r="AG663" s="135"/>
      <c r="AH663" s="135"/>
      <c r="AI663" s="135"/>
      <c r="AJ663" s="135"/>
      <c r="AK663" s="135"/>
      <c r="AL663" s="135"/>
      <c r="AM663" s="135"/>
      <c r="AN663" s="135"/>
      <c r="AO663" s="135"/>
      <c r="AP663" s="135"/>
      <c r="AQ663" s="135"/>
      <c r="AR663" s="135"/>
      <c r="AS663" s="135"/>
      <c r="AT663" s="135"/>
      <c r="AU663" s="135"/>
      <c r="AV663" s="135"/>
      <c r="AW663" s="135"/>
      <c r="AX663" s="135"/>
      <c r="AY663" s="135"/>
      <c r="AZ663" s="135"/>
      <c r="BA663" s="135"/>
      <c r="BB663" s="135"/>
      <c r="BC663" s="135"/>
      <c r="BD663" s="135"/>
      <c r="BE663" s="135"/>
      <c r="BF663" s="135"/>
      <c r="BG663" s="135"/>
      <c r="BH663" s="135"/>
      <c r="BI663" s="135"/>
      <c r="BJ663" s="135"/>
      <c r="BK663" s="135"/>
      <c r="BL663" s="135"/>
      <c r="BM663" s="135"/>
      <c r="BN663" s="135"/>
      <c r="BO663" s="135"/>
      <c r="BP663" s="135"/>
      <c r="BQ663" s="135"/>
      <c r="BR663" s="135"/>
      <c r="BS663" s="135"/>
      <c r="BT663" s="135"/>
    </row>
    <row r="664" spans="1:72" s="196" customFormat="1">
      <c r="A664" s="135"/>
      <c r="B664" s="135"/>
      <c r="C664" s="135"/>
      <c r="D664" s="135"/>
      <c r="E664" s="135"/>
      <c r="F664" s="135"/>
      <c r="G664" s="135"/>
      <c r="H664" s="135"/>
      <c r="I664" s="135"/>
      <c r="J664" s="135"/>
      <c r="K664" s="135"/>
      <c r="L664" s="135"/>
      <c r="M664" s="135"/>
      <c r="N664" s="135"/>
      <c r="O664" s="135"/>
      <c r="P664" s="135"/>
      <c r="Q664" s="135"/>
      <c r="R664" s="135"/>
      <c r="S664" s="135"/>
      <c r="T664" s="135"/>
      <c r="U664" s="135"/>
      <c r="V664" s="135"/>
      <c r="W664" s="135"/>
      <c r="X664" s="135"/>
      <c r="Y664" s="135"/>
      <c r="Z664" s="135"/>
      <c r="AA664" s="135"/>
      <c r="AB664" s="135"/>
      <c r="AC664" s="135"/>
      <c r="AD664" s="135"/>
      <c r="AE664" s="135"/>
      <c r="AF664" s="135"/>
      <c r="AG664" s="135"/>
      <c r="AH664" s="135"/>
      <c r="AI664" s="135"/>
      <c r="AJ664" s="135"/>
      <c r="AK664" s="135"/>
      <c r="AL664" s="135"/>
      <c r="AM664" s="135"/>
      <c r="AN664" s="135"/>
      <c r="AO664" s="135"/>
      <c r="AP664" s="135"/>
      <c r="AQ664" s="135"/>
      <c r="AR664" s="135"/>
      <c r="AS664" s="135"/>
      <c r="AT664" s="135"/>
      <c r="AU664" s="135"/>
      <c r="AV664" s="135"/>
      <c r="AW664" s="135"/>
      <c r="AX664" s="135"/>
      <c r="AY664" s="135"/>
      <c r="AZ664" s="135"/>
      <c r="BA664" s="135"/>
      <c r="BB664" s="135"/>
      <c r="BC664" s="135"/>
      <c r="BD664" s="135"/>
      <c r="BE664" s="135"/>
      <c r="BF664" s="135"/>
      <c r="BG664" s="135"/>
      <c r="BH664" s="135"/>
      <c r="BI664" s="135"/>
      <c r="BJ664" s="135"/>
      <c r="BK664" s="135"/>
      <c r="BL664" s="135"/>
      <c r="BM664" s="135"/>
      <c r="BN664" s="135"/>
      <c r="BO664" s="135"/>
      <c r="BP664" s="135"/>
      <c r="BQ664" s="135"/>
      <c r="BR664" s="135"/>
      <c r="BS664" s="135"/>
      <c r="BT664" s="135"/>
    </row>
    <row r="665" spans="1:72" s="196" customFormat="1">
      <c r="A665" s="135"/>
      <c r="B665" s="135"/>
      <c r="C665" s="135"/>
      <c r="D665" s="135"/>
      <c r="E665" s="135"/>
      <c r="F665" s="135"/>
      <c r="G665" s="135"/>
      <c r="H665" s="135"/>
      <c r="I665" s="135"/>
      <c r="J665" s="135"/>
      <c r="K665" s="135"/>
      <c r="L665" s="135"/>
      <c r="M665" s="135"/>
      <c r="N665" s="135"/>
      <c r="O665" s="135"/>
      <c r="P665" s="135"/>
      <c r="Q665" s="135"/>
      <c r="R665" s="135"/>
      <c r="S665" s="135"/>
      <c r="T665" s="135"/>
      <c r="U665" s="135"/>
      <c r="V665" s="135"/>
      <c r="W665" s="135"/>
      <c r="X665" s="135"/>
      <c r="Y665" s="135"/>
      <c r="Z665" s="135"/>
      <c r="AA665" s="135"/>
      <c r="AB665" s="135"/>
      <c r="AC665" s="135"/>
      <c r="AD665" s="135"/>
      <c r="AE665" s="135"/>
      <c r="AF665" s="135"/>
      <c r="AG665" s="135"/>
      <c r="AH665" s="135"/>
      <c r="AI665" s="135"/>
      <c r="AJ665" s="135"/>
      <c r="AK665" s="135"/>
      <c r="AL665" s="135"/>
      <c r="AM665" s="135"/>
      <c r="AN665" s="135"/>
      <c r="AO665" s="135"/>
      <c r="AP665" s="135"/>
      <c r="AQ665" s="135"/>
      <c r="AR665" s="135"/>
      <c r="AS665" s="135"/>
      <c r="AT665" s="135"/>
      <c r="AU665" s="135"/>
      <c r="AV665" s="135"/>
      <c r="AW665" s="135"/>
      <c r="AX665" s="135"/>
      <c r="AY665" s="135"/>
      <c r="AZ665" s="135"/>
      <c r="BA665" s="135"/>
      <c r="BB665" s="135"/>
      <c r="BC665" s="135"/>
      <c r="BD665" s="135"/>
      <c r="BE665" s="135"/>
      <c r="BF665" s="135"/>
      <c r="BG665" s="135"/>
      <c r="BH665" s="135"/>
      <c r="BI665" s="135"/>
      <c r="BJ665" s="135"/>
      <c r="BK665" s="135"/>
      <c r="BL665" s="135"/>
      <c r="BM665" s="135"/>
      <c r="BN665" s="135"/>
      <c r="BO665" s="135"/>
      <c r="BP665" s="135"/>
      <c r="BQ665" s="135"/>
      <c r="BR665" s="135"/>
      <c r="BS665" s="135"/>
      <c r="BT665" s="135"/>
    </row>
    <row r="666" spans="1:72" s="196" customFormat="1">
      <c r="A666" s="135"/>
      <c r="B666" s="135"/>
      <c r="C666" s="135"/>
      <c r="D666" s="135"/>
      <c r="E666" s="135"/>
      <c r="F666" s="135"/>
      <c r="G666" s="135"/>
      <c r="H666" s="135"/>
      <c r="I666" s="135"/>
      <c r="J666" s="135"/>
      <c r="K666" s="135"/>
      <c r="L666" s="135"/>
      <c r="M666" s="135"/>
      <c r="N666" s="135"/>
      <c r="O666" s="135"/>
      <c r="P666" s="135"/>
      <c r="Q666" s="135"/>
      <c r="R666" s="135"/>
      <c r="S666" s="135"/>
      <c r="T666" s="135"/>
      <c r="U666" s="135"/>
      <c r="V666" s="135"/>
      <c r="W666" s="135"/>
      <c r="X666" s="135"/>
      <c r="Y666" s="135"/>
      <c r="Z666" s="135"/>
      <c r="AA666" s="135"/>
      <c r="AB666" s="135"/>
      <c r="AC666" s="135"/>
      <c r="AD666" s="135"/>
      <c r="AE666" s="135"/>
      <c r="AF666" s="135"/>
      <c r="AG666" s="135"/>
      <c r="AH666" s="135"/>
      <c r="AI666" s="135"/>
      <c r="AJ666" s="135"/>
      <c r="AK666" s="135"/>
      <c r="AL666" s="135"/>
      <c r="AM666" s="135"/>
      <c r="AN666" s="135"/>
      <c r="AO666" s="135"/>
      <c r="AP666" s="135"/>
      <c r="AQ666" s="135"/>
      <c r="AR666" s="135"/>
      <c r="AS666" s="135"/>
      <c r="AT666" s="135"/>
      <c r="AU666" s="135"/>
      <c r="AV666" s="135"/>
      <c r="AW666" s="135"/>
      <c r="AX666" s="135"/>
      <c r="AY666" s="135"/>
      <c r="AZ666" s="135"/>
      <c r="BA666" s="135"/>
      <c r="BB666" s="135"/>
      <c r="BC666" s="135"/>
      <c r="BD666" s="135"/>
      <c r="BE666" s="135"/>
      <c r="BF666" s="135"/>
      <c r="BG666" s="135"/>
      <c r="BH666" s="135"/>
      <c r="BI666" s="135"/>
      <c r="BJ666" s="135"/>
      <c r="BK666" s="135"/>
      <c r="BL666" s="135"/>
      <c r="BM666" s="135"/>
      <c r="BN666" s="135"/>
      <c r="BO666" s="135"/>
      <c r="BP666" s="135"/>
      <c r="BQ666" s="135"/>
      <c r="BR666" s="135"/>
      <c r="BS666" s="135"/>
      <c r="BT666" s="135"/>
    </row>
    <row r="667" spans="1:72" s="196" customFormat="1">
      <c r="A667" s="135"/>
      <c r="B667" s="135"/>
      <c r="C667" s="135"/>
      <c r="D667" s="135"/>
      <c r="E667" s="135"/>
      <c r="F667" s="135"/>
      <c r="G667" s="135"/>
      <c r="H667" s="135"/>
      <c r="I667" s="135"/>
      <c r="J667" s="135"/>
      <c r="K667" s="135"/>
      <c r="L667" s="135"/>
      <c r="M667" s="135"/>
      <c r="N667" s="135"/>
      <c r="O667" s="135"/>
      <c r="P667" s="135"/>
      <c r="Q667" s="135"/>
      <c r="R667" s="135"/>
      <c r="S667" s="135"/>
      <c r="T667" s="135"/>
      <c r="U667" s="135"/>
      <c r="V667" s="135"/>
      <c r="W667" s="135"/>
      <c r="X667" s="135"/>
      <c r="Y667" s="135"/>
      <c r="Z667" s="135"/>
      <c r="AA667" s="135"/>
      <c r="AB667" s="135"/>
      <c r="AC667" s="135"/>
      <c r="AD667" s="135"/>
      <c r="AE667" s="135"/>
      <c r="AF667" s="135"/>
      <c r="AG667" s="135"/>
      <c r="AH667" s="135"/>
      <c r="AI667" s="135"/>
      <c r="AJ667" s="135"/>
      <c r="AK667" s="135"/>
      <c r="AL667" s="135"/>
      <c r="AM667" s="135"/>
      <c r="AN667" s="135"/>
      <c r="AO667" s="135"/>
      <c r="AP667" s="135"/>
      <c r="AQ667" s="135"/>
      <c r="AR667" s="135"/>
      <c r="AS667" s="135"/>
      <c r="AT667" s="135"/>
      <c r="AU667" s="135"/>
      <c r="AV667" s="135"/>
      <c r="AW667" s="135"/>
      <c r="AX667" s="135"/>
      <c r="AY667" s="135"/>
      <c r="AZ667" s="135"/>
      <c r="BA667" s="135"/>
      <c r="BB667" s="135"/>
      <c r="BC667" s="135"/>
      <c r="BD667" s="135"/>
      <c r="BE667" s="135"/>
      <c r="BF667" s="135"/>
      <c r="BG667" s="135"/>
      <c r="BH667" s="135"/>
      <c r="BI667" s="135"/>
      <c r="BJ667" s="135"/>
      <c r="BK667" s="135"/>
      <c r="BL667" s="135"/>
      <c r="BM667" s="135"/>
      <c r="BN667" s="135"/>
      <c r="BO667" s="135"/>
      <c r="BP667" s="135"/>
      <c r="BQ667" s="135"/>
      <c r="BR667" s="135"/>
      <c r="BS667" s="135"/>
      <c r="BT667" s="135"/>
    </row>
    <row r="668" spans="1:72" s="196" customFormat="1">
      <c r="A668" s="135"/>
      <c r="B668" s="135"/>
      <c r="C668" s="135"/>
      <c r="D668" s="135"/>
      <c r="E668" s="135"/>
      <c r="F668" s="135"/>
      <c r="G668" s="135"/>
      <c r="H668" s="135"/>
      <c r="I668" s="135"/>
      <c r="J668" s="135"/>
      <c r="K668" s="135"/>
      <c r="L668" s="135"/>
      <c r="M668" s="135"/>
      <c r="N668" s="135"/>
      <c r="O668" s="135"/>
      <c r="P668" s="135"/>
      <c r="Q668" s="135"/>
      <c r="R668" s="135"/>
      <c r="S668" s="135"/>
      <c r="T668" s="135"/>
      <c r="U668" s="135"/>
      <c r="V668" s="135"/>
      <c r="W668" s="135"/>
      <c r="X668" s="135"/>
      <c r="Y668" s="135"/>
      <c r="Z668" s="135"/>
      <c r="AA668" s="135"/>
      <c r="AB668" s="135"/>
      <c r="AC668" s="135"/>
      <c r="AD668" s="135"/>
      <c r="AE668" s="135"/>
      <c r="AF668" s="135"/>
      <c r="AG668" s="135"/>
      <c r="AH668" s="135"/>
      <c r="AI668" s="135"/>
      <c r="AJ668" s="135"/>
      <c r="AK668" s="135"/>
      <c r="AL668" s="135"/>
      <c r="AM668" s="135"/>
      <c r="AN668" s="135"/>
      <c r="AO668" s="135"/>
      <c r="AP668" s="135"/>
      <c r="AQ668" s="135"/>
      <c r="AR668" s="135"/>
      <c r="AS668" s="135"/>
      <c r="AT668" s="135"/>
      <c r="AU668" s="135"/>
      <c r="AV668" s="135"/>
      <c r="AW668" s="135"/>
      <c r="AX668" s="135"/>
      <c r="AY668" s="135"/>
      <c r="AZ668" s="135"/>
      <c r="BA668" s="135"/>
      <c r="BB668" s="135"/>
      <c r="BC668" s="135"/>
      <c r="BD668" s="135"/>
      <c r="BE668" s="135"/>
      <c r="BF668" s="135"/>
      <c r="BG668" s="135"/>
      <c r="BH668" s="135"/>
      <c r="BI668" s="135"/>
      <c r="BJ668" s="135"/>
      <c r="BK668" s="135"/>
      <c r="BL668" s="135"/>
      <c r="BM668" s="135"/>
      <c r="BN668" s="135"/>
      <c r="BO668" s="135"/>
      <c r="BP668" s="135"/>
      <c r="BQ668" s="135"/>
      <c r="BR668" s="135"/>
      <c r="BS668" s="135"/>
      <c r="BT668" s="135"/>
    </row>
    <row r="669" spans="1:72" s="196" customFormat="1">
      <c r="A669" s="135"/>
      <c r="B669" s="135"/>
      <c r="C669" s="135"/>
      <c r="D669" s="135"/>
      <c r="E669" s="135"/>
      <c r="F669" s="135"/>
      <c r="G669" s="135"/>
      <c r="H669" s="135"/>
      <c r="I669" s="135"/>
      <c r="J669" s="135"/>
      <c r="K669" s="135"/>
      <c r="L669" s="135"/>
      <c r="M669" s="135"/>
      <c r="N669" s="135"/>
      <c r="O669" s="135"/>
      <c r="P669" s="135"/>
      <c r="Q669" s="135"/>
      <c r="R669" s="135"/>
      <c r="S669" s="135"/>
      <c r="T669" s="135"/>
      <c r="U669" s="135"/>
      <c r="V669" s="135"/>
      <c r="W669" s="135"/>
      <c r="X669" s="135"/>
      <c r="Y669" s="135"/>
      <c r="Z669" s="135"/>
      <c r="AA669" s="135"/>
      <c r="AB669" s="135"/>
      <c r="AC669" s="135"/>
      <c r="AD669" s="135"/>
      <c r="AE669" s="135"/>
      <c r="AF669" s="135"/>
      <c r="AG669" s="135"/>
      <c r="AH669" s="135"/>
      <c r="AI669" s="135"/>
      <c r="AJ669" s="135"/>
      <c r="AK669" s="135"/>
      <c r="AL669" s="135"/>
      <c r="AM669" s="135"/>
      <c r="AN669" s="135"/>
      <c r="AO669" s="135"/>
      <c r="AP669" s="135"/>
      <c r="AQ669" s="135"/>
      <c r="AR669" s="135"/>
      <c r="AS669" s="135"/>
      <c r="AT669" s="135"/>
      <c r="AU669" s="135"/>
      <c r="AV669" s="135"/>
      <c r="AW669" s="135"/>
      <c r="AX669" s="135"/>
      <c r="AY669" s="135"/>
      <c r="AZ669" s="135"/>
      <c r="BA669" s="135"/>
      <c r="BB669" s="135"/>
      <c r="BC669" s="135"/>
      <c r="BD669" s="135"/>
      <c r="BE669" s="135"/>
      <c r="BF669" s="135"/>
      <c r="BG669" s="135"/>
      <c r="BH669" s="135"/>
      <c r="BI669" s="135"/>
      <c r="BJ669" s="135"/>
      <c r="BK669" s="135"/>
      <c r="BL669" s="135"/>
      <c r="BM669" s="135"/>
      <c r="BN669" s="135"/>
      <c r="BO669" s="135"/>
      <c r="BP669" s="135"/>
      <c r="BQ669" s="135"/>
      <c r="BR669" s="135"/>
      <c r="BS669" s="135"/>
      <c r="BT669" s="135"/>
    </row>
    <row r="670" spans="1:72" s="196" customFormat="1">
      <c r="A670" s="135"/>
      <c r="B670" s="135"/>
      <c r="C670" s="135"/>
      <c r="D670" s="135"/>
      <c r="E670" s="135"/>
      <c r="F670" s="135"/>
      <c r="G670" s="135"/>
      <c r="H670" s="135"/>
      <c r="I670" s="135"/>
      <c r="J670" s="135"/>
      <c r="K670" s="135"/>
      <c r="L670" s="135"/>
      <c r="M670" s="135"/>
      <c r="N670" s="135"/>
      <c r="O670" s="135"/>
      <c r="P670" s="135"/>
      <c r="Q670" s="135"/>
      <c r="R670" s="135"/>
      <c r="S670" s="135"/>
      <c r="T670" s="135"/>
      <c r="U670" s="135"/>
      <c r="V670" s="135"/>
      <c r="W670" s="135"/>
      <c r="X670" s="135"/>
      <c r="Y670" s="135"/>
      <c r="Z670" s="135"/>
      <c r="AA670" s="135"/>
      <c r="AB670" s="135"/>
      <c r="AC670" s="135"/>
      <c r="AD670" s="135"/>
      <c r="AE670" s="135"/>
      <c r="AF670" s="135"/>
      <c r="AG670" s="135"/>
      <c r="AH670" s="135"/>
      <c r="AI670" s="135"/>
      <c r="AJ670" s="135"/>
      <c r="AK670" s="135"/>
      <c r="AL670" s="135"/>
      <c r="AM670" s="135"/>
      <c r="AN670" s="135"/>
      <c r="AO670" s="135"/>
      <c r="AP670" s="135"/>
      <c r="AQ670" s="135"/>
      <c r="AR670" s="135"/>
      <c r="AS670" s="135"/>
      <c r="AT670" s="135"/>
      <c r="AU670" s="135"/>
      <c r="AV670" s="135"/>
      <c r="AW670" s="135"/>
      <c r="AX670" s="135"/>
      <c r="AY670" s="135"/>
      <c r="AZ670" s="135"/>
      <c r="BA670" s="135"/>
      <c r="BB670" s="135"/>
      <c r="BC670" s="135"/>
      <c r="BD670" s="135"/>
      <c r="BE670" s="135"/>
      <c r="BF670" s="135"/>
      <c r="BG670" s="135"/>
      <c r="BH670" s="135"/>
      <c r="BI670" s="135"/>
      <c r="BJ670" s="135"/>
      <c r="BK670" s="135"/>
      <c r="BL670" s="135"/>
      <c r="BM670" s="135"/>
      <c r="BN670" s="135"/>
      <c r="BO670" s="135"/>
      <c r="BP670" s="135"/>
      <c r="BQ670" s="135"/>
      <c r="BR670" s="135"/>
      <c r="BS670" s="135"/>
      <c r="BT670" s="135"/>
    </row>
    <row r="671" spans="1:72" s="196" customFormat="1">
      <c r="A671" s="135"/>
      <c r="B671" s="135"/>
      <c r="C671" s="135"/>
      <c r="D671" s="135"/>
      <c r="E671" s="135"/>
      <c r="F671" s="135"/>
      <c r="G671" s="135"/>
      <c r="H671" s="135"/>
      <c r="I671" s="135"/>
      <c r="J671" s="135"/>
      <c r="K671" s="135"/>
      <c r="L671" s="135"/>
      <c r="M671" s="135"/>
      <c r="N671" s="135"/>
      <c r="O671" s="135"/>
      <c r="P671" s="135"/>
      <c r="Q671" s="135"/>
      <c r="R671" s="135"/>
      <c r="S671" s="135"/>
      <c r="T671" s="135"/>
      <c r="U671" s="135"/>
      <c r="V671" s="135"/>
      <c r="W671" s="135"/>
      <c r="X671" s="135"/>
      <c r="Y671" s="135"/>
      <c r="Z671" s="135"/>
      <c r="AA671" s="135"/>
      <c r="AB671" s="135"/>
      <c r="AC671" s="135"/>
      <c r="AD671" s="135"/>
      <c r="AE671" s="135"/>
      <c r="AF671" s="135"/>
      <c r="AG671" s="135"/>
      <c r="AH671" s="135"/>
      <c r="AI671" s="135"/>
      <c r="AJ671" s="135"/>
      <c r="AK671" s="135"/>
      <c r="AL671" s="135"/>
      <c r="AM671" s="135"/>
      <c r="AN671" s="135"/>
      <c r="AO671" s="135"/>
      <c r="AP671" s="135"/>
      <c r="AQ671" s="135"/>
      <c r="AR671" s="135"/>
      <c r="AS671" s="135"/>
      <c r="AT671" s="135"/>
      <c r="AU671" s="135"/>
      <c r="AV671" s="135"/>
      <c r="AW671" s="135"/>
      <c r="AX671" s="135"/>
      <c r="AY671" s="135"/>
      <c r="AZ671" s="135"/>
      <c r="BA671" s="135"/>
      <c r="BB671" s="135"/>
      <c r="BC671" s="135"/>
      <c r="BD671" s="135"/>
      <c r="BE671" s="135"/>
      <c r="BF671" s="135"/>
      <c r="BG671" s="135"/>
      <c r="BH671" s="135"/>
      <c r="BI671" s="135"/>
      <c r="BJ671" s="135"/>
      <c r="BK671" s="135"/>
      <c r="BL671" s="135"/>
      <c r="BM671" s="135"/>
      <c r="BN671" s="135"/>
      <c r="BO671" s="135"/>
      <c r="BP671" s="135"/>
      <c r="BQ671" s="135"/>
      <c r="BR671" s="135"/>
      <c r="BS671" s="135"/>
      <c r="BT671" s="135"/>
    </row>
    <row r="672" spans="1:72" s="196" customFormat="1">
      <c r="A672" s="135"/>
      <c r="B672" s="135"/>
      <c r="C672" s="135"/>
      <c r="D672" s="135"/>
      <c r="E672" s="135"/>
      <c r="F672" s="135"/>
      <c r="G672" s="135"/>
      <c r="H672" s="135"/>
      <c r="I672" s="135"/>
      <c r="J672" s="135"/>
      <c r="K672" s="135"/>
      <c r="L672" s="135"/>
      <c r="M672" s="135"/>
      <c r="N672" s="135"/>
      <c r="O672" s="135"/>
      <c r="P672" s="135"/>
      <c r="Q672" s="135"/>
      <c r="R672" s="135"/>
      <c r="S672" s="135"/>
      <c r="T672" s="135"/>
      <c r="U672" s="135"/>
      <c r="V672" s="135"/>
      <c r="W672" s="135"/>
      <c r="X672" s="135"/>
      <c r="Y672" s="135"/>
      <c r="Z672" s="135"/>
      <c r="AA672" s="135"/>
      <c r="AB672" s="135"/>
      <c r="AC672" s="135"/>
      <c r="AD672" s="135"/>
      <c r="AE672" s="135"/>
      <c r="AF672" s="135"/>
      <c r="AG672" s="135"/>
      <c r="AH672" s="135"/>
      <c r="AI672" s="135"/>
      <c r="AJ672" s="135"/>
      <c r="AK672" s="135"/>
      <c r="AL672" s="135"/>
      <c r="AM672" s="135"/>
      <c r="AN672" s="135"/>
      <c r="AO672" s="135"/>
      <c r="AP672" s="135"/>
      <c r="AQ672" s="135"/>
      <c r="AR672" s="135"/>
      <c r="AS672" s="135"/>
      <c r="AT672" s="135"/>
      <c r="AU672" s="135"/>
      <c r="AV672" s="135"/>
      <c r="AW672" s="135"/>
      <c r="AX672" s="135"/>
      <c r="AY672" s="135"/>
      <c r="AZ672" s="135"/>
      <c r="BA672" s="135"/>
      <c r="BB672" s="135"/>
      <c r="BC672" s="135"/>
      <c r="BD672" s="135"/>
      <c r="BE672" s="135"/>
      <c r="BF672" s="135"/>
      <c r="BG672" s="135"/>
      <c r="BH672" s="135"/>
      <c r="BI672" s="135"/>
      <c r="BJ672" s="135"/>
      <c r="BK672" s="135"/>
      <c r="BL672" s="135"/>
      <c r="BM672" s="135"/>
      <c r="BN672" s="135"/>
      <c r="BO672" s="135"/>
      <c r="BP672" s="135"/>
      <c r="BQ672" s="135"/>
      <c r="BR672" s="135"/>
      <c r="BS672" s="135"/>
      <c r="BT672" s="135"/>
    </row>
    <row r="673" spans="1:72" s="196" customFormat="1">
      <c r="A673" s="135"/>
      <c r="B673" s="135"/>
      <c r="C673" s="135"/>
      <c r="D673" s="135"/>
      <c r="E673" s="135"/>
      <c r="F673" s="135"/>
      <c r="G673" s="135"/>
      <c r="H673" s="135"/>
      <c r="I673" s="135"/>
      <c r="J673" s="135"/>
      <c r="K673" s="135"/>
      <c r="L673" s="135"/>
      <c r="M673" s="135"/>
      <c r="N673" s="135"/>
      <c r="O673" s="135"/>
      <c r="P673" s="135"/>
      <c r="Q673" s="135"/>
      <c r="R673" s="135"/>
      <c r="S673" s="135"/>
      <c r="T673" s="135"/>
      <c r="U673" s="135"/>
      <c r="V673" s="135"/>
      <c r="W673" s="135"/>
      <c r="X673" s="135"/>
      <c r="Y673" s="135"/>
      <c r="Z673" s="135"/>
      <c r="AA673" s="135"/>
      <c r="AB673" s="135"/>
      <c r="AC673" s="135"/>
      <c r="AD673" s="135"/>
      <c r="AE673" s="135"/>
      <c r="AF673" s="135"/>
      <c r="AG673" s="135"/>
      <c r="AH673" s="135"/>
      <c r="AI673" s="135"/>
      <c r="AJ673" s="135"/>
      <c r="AK673" s="135"/>
      <c r="AL673" s="135"/>
      <c r="AM673" s="135"/>
      <c r="AN673" s="135"/>
      <c r="AO673" s="135"/>
      <c r="AP673" s="135"/>
      <c r="AQ673" s="135"/>
      <c r="AR673" s="135"/>
      <c r="AS673" s="135"/>
      <c r="AT673" s="135"/>
      <c r="AU673" s="135"/>
      <c r="AV673" s="135"/>
      <c r="AW673" s="135"/>
      <c r="AX673" s="135"/>
      <c r="AY673" s="135"/>
      <c r="AZ673" s="135"/>
      <c r="BA673" s="135"/>
      <c r="BB673" s="135"/>
      <c r="BC673" s="135"/>
      <c r="BD673" s="135"/>
      <c r="BE673" s="135"/>
      <c r="BF673" s="135"/>
      <c r="BG673" s="135"/>
      <c r="BH673" s="135"/>
      <c r="BI673" s="135"/>
      <c r="BJ673" s="135"/>
      <c r="BK673" s="135"/>
      <c r="BL673" s="135"/>
      <c r="BM673" s="135"/>
      <c r="BN673" s="135"/>
      <c r="BO673" s="135"/>
      <c r="BP673" s="135"/>
      <c r="BQ673" s="135"/>
      <c r="BR673" s="135"/>
      <c r="BS673" s="135"/>
      <c r="BT673" s="135"/>
    </row>
    <row r="674" spans="1:72" s="196" customFormat="1">
      <c r="A674" s="135"/>
      <c r="B674" s="135"/>
      <c r="C674" s="135"/>
      <c r="D674" s="135"/>
      <c r="E674" s="135"/>
      <c r="F674" s="135"/>
      <c r="G674" s="135"/>
      <c r="H674" s="135"/>
      <c r="I674" s="135"/>
      <c r="J674" s="135"/>
      <c r="K674" s="135"/>
      <c r="L674" s="135"/>
      <c r="M674" s="135"/>
      <c r="N674" s="135"/>
      <c r="O674" s="135"/>
      <c r="P674" s="135"/>
      <c r="Q674" s="135"/>
      <c r="R674" s="135"/>
      <c r="S674" s="135"/>
      <c r="T674" s="135"/>
      <c r="U674" s="135"/>
      <c r="V674" s="135"/>
      <c r="W674" s="135"/>
      <c r="X674" s="135"/>
      <c r="Y674" s="135"/>
      <c r="Z674" s="135"/>
      <c r="AA674" s="135"/>
      <c r="AB674" s="135"/>
      <c r="AC674" s="135"/>
      <c r="AD674" s="135"/>
      <c r="AE674" s="135"/>
      <c r="AF674" s="135"/>
      <c r="AG674" s="135"/>
      <c r="AH674" s="135"/>
      <c r="AI674" s="135"/>
      <c r="AJ674" s="135"/>
      <c r="AK674" s="135"/>
      <c r="AL674" s="135"/>
      <c r="AM674" s="135"/>
      <c r="AN674" s="135"/>
      <c r="AO674" s="135"/>
      <c r="AP674" s="135"/>
      <c r="AQ674" s="135"/>
      <c r="AR674" s="135"/>
      <c r="AS674" s="135"/>
      <c r="AT674" s="135"/>
      <c r="AU674" s="135"/>
      <c r="AV674" s="135"/>
      <c r="AW674" s="135"/>
      <c r="AX674" s="135"/>
      <c r="AY674" s="135"/>
      <c r="AZ674" s="135"/>
      <c r="BA674" s="135"/>
      <c r="BB674" s="135"/>
      <c r="BC674" s="135"/>
      <c r="BD674" s="135"/>
      <c r="BE674" s="135"/>
      <c r="BF674" s="135"/>
      <c r="BG674" s="135"/>
      <c r="BH674" s="135"/>
      <c r="BI674" s="135"/>
      <c r="BJ674" s="135"/>
      <c r="BK674" s="135"/>
      <c r="BL674" s="135"/>
      <c r="BM674" s="135"/>
      <c r="BN674" s="135"/>
      <c r="BO674" s="135"/>
      <c r="BP674" s="135"/>
      <c r="BQ674" s="135"/>
      <c r="BR674" s="135"/>
      <c r="BS674" s="135"/>
      <c r="BT674" s="135"/>
    </row>
    <row r="675" spans="1:72" s="196" customFormat="1">
      <c r="A675" s="135"/>
      <c r="B675" s="135"/>
      <c r="C675" s="135"/>
      <c r="D675" s="135"/>
      <c r="E675" s="135"/>
      <c r="F675" s="135"/>
      <c r="G675" s="135"/>
      <c r="H675" s="135"/>
      <c r="I675" s="135"/>
      <c r="J675" s="135"/>
      <c r="K675" s="135"/>
      <c r="L675" s="135"/>
      <c r="M675" s="135"/>
      <c r="N675" s="135"/>
      <c r="O675" s="135"/>
      <c r="P675" s="135"/>
      <c r="Q675" s="135"/>
      <c r="R675" s="135"/>
      <c r="S675" s="135"/>
      <c r="T675" s="135"/>
      <c r="U675" s="135"/>
      <c r="V675" s="135"/>
      <c r="W675" s="135"/>
      <c r="X675" s="135"/>
      <c r="Y675" s="135"/>
      <c r="Z675" s="135"/>
      <c r="AA675" s="135"/>
      <c r="AB675" s="135"/>
      <c r="AC675" s="135"/>
      <c r="AD675" s="135"/>
      <c r="AE675" s="135"/>
      <c r="AF675" s="135"/>
      <c r="AG675" s="135"/>
      <c r="AH675" s="135"/>
      <c r="AI675" s="135"/>
      <c r="AJ675" s="135"/>
      <c r="AK675" s="135"/>
      <c r="AL675" s="135"/>
      <c r="AM675" s="135"/>
      <c r="AN675" s="135"/>
      <c r="AO675" s="135"/>
      <c r="AP675" s="135"/>
      <c r="AQ675" s="135"/>
      <c r="AR675" s="135"/>
      <c r="AS675" s="135"/>
      <c r="AT675" s="135"/>
      <c r="AU675" s="135"/>
      <c r="AV675" s="135"/>
      <c r="AW675" s="135"/>
      <c r="AX675" s="135"/>
      <c r="AY675" s="135"/>
      <c r="AZ675" s="135"/>
      <c r="BA675" s="135"/>
      <c r="BB675" s="135"/>
      <c r="BC675" s="135"/>
      <c r="BD675" s="135"/>
      <c r="BE675" s="135"/>
      <c r="BF675" s="135"/>
      <c r="BG675" s="135"/>
      <c r="BH675" s="135"/>
      <c r="BI675" s="135"/>
      <c r="BJ675" s="135"/>
      <c r="BK675" s="135"/>
      <c r="BL675" s="135"/>
      <c r="BM675" s="135"/>
      <c r="BN675" s="135"/>
      <c r="BO675" s="135"/>
      <c r="BP675" s="135"/>
      <c r="BQ675" s="135"/>
      <c r="BR675" s="135"/>
      <c r="BS675" s="135"/>
      <c r="BT675" s="135"/>
    </row>
    <row r="676" spans="1:72" s="196" customFormat="1">
      <c r="A676" s="135"/>
      <c r="B676" s="135"/>
      <c r="C676" s="135"/>
      <c r="D676" s="135"/>
      <c r="E676" s="135"/>
      <c r="F676" s="135"/>
      <c r="G676" s="135"/>
      <c r="H676" s="135"/>
      <c r="I676" s="135"/>
      <c r="J676" s="135"/>
      <c r="K676" s="135"/>
      <c r="L676" s="135"/>
      <c r="M676" s="135"/>
      <c r="N676" s="135"/>
      <c r="O676" s="135"/>
      <c r="P676" s="135"/>
      <c r="Q676" s="135"/>
      <c r="R676" s="135"/>
      <c r="S676" s="135"/>
      <c r="T676" s="135"/>
      <c r="U676" s="135"/>
      <c r="V676" s="135"/>
      <c r="W676" s="135"/>
      <c r="X676" s="135"/>
      <c r="Y676" s="135"/>
      <c r="Z676" s="135"/>
      <c r="AA676" s="135"/>
      <c r="AB676" s="135"/>
      <c r="AC676" s="135"/>
      <c r="AD676" s="135"/>
      <c r="AE676" s="135"/>
      <c r="AF676" s="135"/>
      <c r="AG676" s="135"/>
      <c r="AH676" s="135"/>
      <c r="AI676" s="135"/>
      <c r="AJ676" s="135"/>
      <c r="AK676" s="135"/>
      <c r="AL676" s="135"/>
      <c r="AM676" s="135"/>
      <c r="AN676" s="135"/>
      <c r="AO676" s="135"/>
      <c r="AP676" s="135"/>
      <c r="AQ676" s="135"/>
      <c r="AR676" s="135"/>
      <c r="AS676" s="135"/>
      <c r="AT676" s="135"/>
      <c r="AU676" s="135"/>
      <c r="AV676" s="135"/>
      <c r="AW676" s="135"/>
      <c r="AX676" s="135"/>
      <c r="AY676" s="135"/>
      <c r="AZ676" s="135"/>
      <c r="BA676" s="135"/>
      <c r="BB676" s="135"/>
      <c r="BC676" s="135"/>
      <c r="BD676" s="135"/>
      <c r="BE676" s="135"/>
      <c r="BF676" s="135"/>
      <c r="BG676" s="135"/>
      <c r="BH676" s="135"/>
      <c r="BI676" s="135"/>
      <c r="BJ676" s="135"/>
      <c r="BK676" s="135"/>
      <c r="BL676" s="135"/>
      <c r="BM676" s="135"/>
      <c r="BN676" s="135"/>
      <c r="BO676" s="135"/>
      <c r="BP676" s="135"/>
      <c r="BQ676" s="135"/>
      <c r="BR676" s="135"/>
      <c r="BS676" s="135"/>
      <c r="BT676" s="135"/>
    </row>
    <row r="677" spans="1:72" s="196" customFormat="1">
      <c r="A677" s="135"/>
      <c r="B677" s="135"/>
      <c r="C677" s="135"/>
      <c r="D677" s="135"/>
      <c r="E677" s="135"/>
      <c r="F677" s="135"/>
      <c r="G677" s="135"/>
      <c r="H677" s="135"/>
      <c r="I677" s="135"/>
      <c r="J677" s="135"/>
      <c r="K677" s="135"/>
      <c r="L677" s="135"/>
      <c r="M677" s="135"/>
      <c r="N677" s="135"/>
      <c r="O677" s="135"/>
      <c r="P677" s="135"/>
      <c r="Q677" s="135"/>
      <c r="R677" s="135"/>
      <c r="S677" s="135"/>
      <c r="T677" s="135"/>
      <c r="U677" s="135"/>
      <c r="V677" s="135"/>
      <c r="W677" s="135"/>
      <c r="X677" s="135"/>
      <c r="Y677" s="135"/>
      <c r="Z677" s="135"/>
      <c r="AA677" s="135"/>
      <c r="AB677" s="135"/>
      <c r="AC677" s="135"/>
      <c r="AD677" s="135"/>
      <c r="AE677" s="135"/>
      <c r="AF677" s="135"/>
      <c r="AG677" s="135"/>
      <c r="AH677" s="135"/>
      <c r="AI677" s="135"/>
      <c r="AJ677" s="135"/>
      <c r="AK677" s="135"/>
      <c r="AL677" s="135"/>
      <c r="AM677" s="135"/>
      <c r="AN677" s="135"/>
      <c r="AO677" s="135"/>
      <c r="AP677" s="135"/>
      <c r="AQ677" s="135"/>
      <c r="AR677" s="135"/>
      <c r="AS677" s="135"/>
      <c r="AT677" s="135"/>
      <c r="AU677" s="135"/>
      <c r="AV677" s="135"/>
      <c r="AW677" s="135"/>
      <c r="AX677" s="135"/>
      <c r="AY677" s="135"/>
      <c r="AZ677" s="135"/>
      <c r="BA677" s="135"/>
      <c r="BB677" s="135"/>
      <c r="BC677" s="135"/>
      <c r="BD677" s="135"/>
      <c r="BE677" s="135"/>
      <c r="BF677" s="135"/>
      <c r="BG677" s="135"/>
      <c r="BH677" s="135"/>
      <c r="BI677" s="135"/>
      <c r="BJ677" s="135"/>
      <c r="BK677" s="135"/>
      <c r="BL677" s="135"/>
      <c r="BM677" s="135"/>
      <c r="BN677" s="135"/>
      <c r="BO677" s="135"/>
      <c r="BP677" s="135"/>
      <c r="BQ677" s="135"/>
      <c r="BR677" s="135"/>
      <c r="BS677" s="135"/>
      <c r="BT677" s="135"/>
    </row>
    <row r="678" spans="1:72" s="196" customFormat="1">
      <c r="A678" s="135"/>
      <c r="B678" s="135"/>
      <c r="C678" s="135"/>
      <c r="D678" s="135"/>
      <c r="E678" s="135"/>
      <c r="F678" s="135"/>
      <c r="G678" s="135"/>
      <c r="H678" s="135"/>
      <c r="I678" s="135"/>
      <c r="J678" s="135"/>
      <c r="K678" s="135"/>
      <c r="L678" s="135"/>
      <c r="M678" s="135"/>
      <c r="N678" s="135"/>
      <c r="O678" s="135"/>
      <c r="P678" s="135"/>
      <c r="Q678" s="135"/>
      <c r="R678" s="135"/>
      <c r="S678" s="135"/>
      <c r="T678" s="135"/>
      <c r="U678" s="135"/>
      <c r="V678" s="135"/>
      <c r="W678" s="135"/>
      <c r="X678" s="135"/>
      <c r="Y678" s="135"/>
      <c r="Z678" s="135"/>
      <c r="AA678" s="135"/>
      <c r="AB678" s="135"/>
      <c r="AC678" s="135"/>
      <c r="AD678" s="135"/>
      <c r="AE678" s="135"/>
      <c r="AF678" s="135"/>
      <c r="AG678" s="135"/>
      <c r="AH678" s="135"/>
      <c r="AI678" s="135"/>
      <c r="AJ678" s="135"/>
      <c r="AK678" s="135"/>
      <c r="AL678" s="135"/>
      <c r="AM678" s="135"/>
      <c r="AN678" s="135"/>
      <c r="AO678" s="135"/>
      <c r="AP678" s="135"/>
      <c r="AQ678" s="135"/>
      <c r="AR678" s="135"/>
      <c r="AS678" s="135"/>
      <c r="AT678" s="135"/>
      <c r="AU678" s="135"/>
      <c r="AV678" s="135"/>
      <c r="AW678" s="135"/>
      <c r="AX678" s="135"/>
      <c r="AY678" s="135"/>
      <c r="AZ678" s="135"/>
      <c r="BA678" s="135"/>
      <c r="BB678" s="135"/>
      <c r="BC678" s="135"/>
      <c r="BD678" s="135"/>
      <c r="BE678" s="135"/>
      <c r="BF678" s="135"/>
      <c r="BG678" s="135"/>
      <c r="BH678" s="135"/>
      <c r="BI678" s="135"/>
      <c r="BJ678" s="135"/>
      <c r="BK678" s="135"/>
      <c r="BL678" s="135"/>
      <c r="BM678" s="135"/>
      <c r="BN678" s="135"/>
      <c r="BO678" s="135"/>
      <c r="BP678" s="135"/>
      <c r="BQ678" s="135"/>
      <c r="BR678" s="135"/>
      <c r="BS678" s="135"/>
      <c r="BT678" s="135"/>
    </row>
    <row r="679" spans="1:72" s="196" customFormat="1">
      <c r="A679" s="135"/>
      <c r="B679" s="135"/>
      <c r="C679" s="135"/>
      <c r="D679" s="135"/>
      <c r="E679" s="135"/>
      <c r="F679" s="135"/>
      <c r="G679" s="135"/>
      <c r="H679" s="135"/>
      <c r="I679" s="135"/>
      <c r="J679" s="135"/>
      <c r="K679" s="135"/>
      <c r="L679" s="135"/>
      <c r="M679" s="135"/>
      <c r="N679" s="135"/>
      <c r="O679" s="135"/>
      <c r="P679" s="135"/>
      <c r="Q679" s="135"/>
      <c r="R679" s="135"/>
      <c r="S679" s="135"/>
      <c r="T679" s="135"/>
      <c r="U679" s="135"/>
      <c r="V679" s="135"/>
      <c r="W679" s="135"/>
      <c r="X679" s="135"/>
      <c r="Y679" s="135"/>
      <c r="Z679" s="135"/>
      <c r="AA679" s="135"/>
      <c r="AB679" s="135"/>
      <c r="AC679" s="135"/>
      <c r="AD679" s="135"/>
      <c r="AE679" s="135"/>
      <c r="AF679" s="135"/>
      <c r="AG679" s="135"/>
      <c r="AH679" s="135"/>
      <c r="AI679" s="135"/>
      <c r="AJ679" s="135"/>
      <c r="AK679" s="135"/>
      <c r="AL679" s="135"/>
      <c r="AM679" s="135"/>
      <c r="AN679" s="135"/>
      <c r="AO679" s="135"/>
      <c r="AP679" s="135"/>
      <c r="AQ679" s="135"/>
      <c r="AR679" s="135"/>
      <c r="AS679" s="135"/>
      <c r="AT679" s="135"/>
      <c r="AU679" s="135"/>
      <c r="AV679" s="135"/>
      <c r="AW679" s="135"/>
      <c r="AX679" s="135"/>
      <c r="AY679" s="135"/>
      <c r="AZ679" s="135"/>
      <c r="BA679" s="135"/>
      <c r="BB679" s="135"/>
      <c r="BC679" s="135"/>
      <c r="BD679" s="135"/>
      <c r="BE679" s="135"/>
      <c r="BF679" s="135"/>
      <c r="BG679" s="135"/>
      <c r="BH679" s="135"/>
      <c r="BI679" s="135"/>
      <c r="BJ679" s="135"/>
      <c r="BK679" s="135"/>
      <c r="BL679" s="135"/>
      <c r="BM679" s="135"/>
      <c r="BN679" s="135"/>
      <c r="BO679" s="135"/>
      <c r="BP679" s="135"/>
      <c r="BQ679" s="135"/>
      <c r="BR679" s="135"/>
      <c r="BS679" s="135"/>
      <c r="BT679" s="135"/>
    </row>
    <row r="680" spans="1:72" s="196" customFormat="1">
      <c r="A680" s="135"/>
      <c r="B680" s="135"/>
      <c r="C680" s="135"/>
      <c r="D680" s="135"/>
      <c r="E680" s="135"/>
      <c r="F680" s="135"/>
      <c r="G680" s="135"/>
      <c r="H680" s="135"/>
      <c r="I680" s="135"/>
      <c r="J680" s="135"/>
      <c r="K680" s="135"/>
      <c r="L680" s="135"/>
      <c r="M680" s="135"/>
      <c r="N680" s="135"/>
      <c r="O680" s="135"/>
      <c r="P680" s="135"/>
      <c r="Q680" s="135"/>
      <c r="R680" s="135"/>
      <c r="S680" s="135"/>
      <c r="T680" s="135"/>
      <c r="U680" s="135"/>
      <c r="V680" s="135"/>
      <c r="W680" s="135"/>
      <c r="X680" s="135"/>
      <c r="Y680" s="135"/>
      <c r="Z680" s="135"/>
      <c r="AA680" s="135"/>
      <c r="AB680" s="135"/>
      <c r="AC680" s="135"/>
      <c r="AD680" s="135"/>
      <c r="AE680" s="135"/>
      <c r="AF680" s="135"/>
      <c r="AG680" s="135"/>
      <c r="AH680" s="135"/>
      <c r="AI680" s="135"/>
      <c r="AJ680" s="135"/>
      <c r="AK680" s="135"/>
      <c r="AL680" s="135"/>
      <c r="AM680" s="135"/>
      <c r="AN680" s="135"/>
      <c r="AO680" s="135"/>
      <c r="AP680" s="135"/>
      <c r="AQ680" s="135"/>
      <c r="AR680" s="135"/>
      <c r="AS680" s="135"/>
      <c r="AT680" s="135"/>
      <c r="AU680" s="135"/>
      <c r="AV680" s="135"/>
      <c r="AW680" s="135"/>
      <c r="AX680" s="135"/>
      <c r="AY680" s="135"/>
      <c r="AZ680" s="135"/>
      <c r="BA680" s="135"/>
      <c r="BB680" s="135"/>
      <c r="BC680" s="135"/>
      <c r="BD680" s="135"/>
      <c r="BE680" s="135"/>
      <c r="BF680" s="135"/>
      <c r="BG680" s="135"/>
      <c r="BH680" s="135"/>
      <c r="BI680" s="135"/>
      <c r="BJ680" s="135"/>
      <c r="BK680" s="135"/>
      <c r="BL680" s="135"/>
      <c r="BM680" s="135"/>
      <c r="BN680" s="135"/>
      <c r="BO680" s="135"/>
      <c r="BP680" s="135"/>
      <c r="BQ680" s="135"/>
      <c r="BR680" s="135"/>
      <c r="BS680" s="135"/>
      <c r="BT680" s="135"/>
    </row>
    <row r="681" spans="1:72" s="196" customFormat="1">
      <c r="A681" s="135"/>
      <c r="B681" s="135"/>
      <c r="C681" s="135"/>
      <c r="D681" s="135"/>
      <c r="E681" s="135"/>
      <c r="F681" s="135"/>
      <c r="G681" s="135"/>
      <c r="H681" s="135"/>
      <c r="I681" s="135"/>
      <c r="J681" s="135"/>
      <c r="K681" s="135"/>
      <c r="L681" s="135"/>
      <c r="M681" s="135"/>
      <c r="N681" s="135"/>
      <c r="O681" s="135"/>
      <c r="P681" s="135"/>
      <c r="Q681" s="135"/>
      <c r="R681" s="135"/>
      <c r="S681" s="135"/>
      <c r="T681" s="135"/>
      <c r="U681" s="135"/>
      <c r="V681" s="135"/>
      <c r="W681" s="135"/>
      <c r="X681" s="135"/>
      <c r="Y681" s="135"/>
      <c r="Z681" s="135"/>
      <c r="AA681" s="135"/>
      <c r="AB681" s="135"/>
      <c r="AC681" s="135"/>
      <c r="AD681" s="135"/>
      <c r="AE681" s="135"/>
      <c r="AF681" s="135"/>
      <c r="AG681" s="135"/>
      <c r="AH681" s="135"/>
      <c r="AI681" s="135"/>
      <c r="AJ681" s="135"/>
      <c r="AK681" s="135"/>
      <c r="AL681" s="135"/>
      <c r="AM681" s="135"/>
      <c r="AN681" s="135"/>
      <c r="AO681" s="135"/>
      <c r="AP681" s="135"/>
      <c r="AQ681" s="135"/>
      <c r="AR681" s="135"/>
      <c r="AS681" s="135"/>
      <c r="AT681" s="135"/>
      <c r="AU681" s="135"/>
      <c r="AV681" s="135"/>
      <c r="AW681" s="135"/>
      <c r="AX681" s="135"/>
      <c r="AY681" s="135"/>
      <c r="AZ681" s="135"/>
      <c r="BA681" s="135"/>
      <c r="BB681" s="135"/>
      <c r="BC681" s="135"/>
      <c r="BD681" s="135"/>
      <c r="BE681" s="135"/>
      <c r="BF681" s="135"/>
      <c r="BG681" s="135"/>
      <c r="BH681" s="135"/>
      <c r="BI681" s="135"/>
      <c r="BJ681" s="135"/>
      <c r="BK681" s="135"/>
      <c r="BL681" s="135"/>
      <c r="BM681" s="135"/>
      <c r="BN681" s="135"/>
      <c r="BO681" s="135"/>
      <c r="BP681" s="135"/>
      <c r="BQ681" s="135"/>
      <c r="BR681" s="135"/>
      <c r="BS681" s="135"/>
      <c r="BT681" s="135"/>
    </row>
    <row r="682" spans="1:72" s="196" customFormat="1">
      <c r="A682" s="135"/>
      <c r="B682" s="135"/>
      <c r="C682" s="135"/>
      <c r="D682" s="135"/>
      <c r="E682" s="135"/>
      <c r="F682" s="135"/>
      <c r="G682" s="135"/>
      <c r="H682" s="135"/>
      <c r="I682" s="135"/>
      <c r="J682" s="135"/>
      <c r="K682" s="135"/>
      <c r="L682" s="135"/>
      <c r="M682" s="135"/>
      <c r="N682" s="135"/>
      <c r="O682" s="135"/>
      <c r="P682" s="135"/>
      <c r="Q682" s="135"/>
      <c r="R682" s="135"/>
      <c r="S682" s="135"/>
      <c r="T682" s="135"/>
      <c r="U682" s="135"/>
      <c r="V682" s="135"/>
      <c r="W682" s="135"/>
      <c r="X682" s="135"/>
      <c r="Y682" s="135"/>
      <c r="Z682" s="135"/>
      <c r="AA682" s="135"/>
      <c r="AB682" s="135"/>
      <c r="AC682" s="135"/>
      <c r="AD682" s="135"/>
      <c r="AE682" s="135"/>
      <c r="AF682" s="135"/>
      <c r="AG682" s="135"/>
      <c r="AH682" s="135"/>
      <c r="AI682" s="135"/>
      <c r="AJ682" s="135"/>
      <c r="AK682" s="135"/>
      <c r="AL682" s="135"/>
      <c r="AM682" s="135"/>
      <c r="AN682" s="135"/>
      <c r="AO682" s="135"/>
      <c r="AP682" s="135"/>
      <c r="AQ682" s="135"/>
      <c r="AR682" s="135"/>
      <c r="AS682" s="135"/>
      <c r="AT682" s="135"/>
      <c r="AU682" s="135"/>
      <c r="AV682" s="135"/>
      <c r="AW682" s="135"/>
      <c r="AX682" s="135"/>
      <c r="AY682" s="135"/>
      <c r="AZ682" s="135"/>
      <c r="BA682" s="135"/>
      <c r="BB682" s="135"/>
      <c r="BC682" s="135"/>
      <c r="BD682" s="135"/>
      <c r="BE682" s="135"/>
      <c r="BF682" s="135"/>
      <c r="BG682" s="135"/>
      <c r="BH682" s="135"/>
      <c r="BI682" s="135"/>
      <c r="BJ682" s="135"/>
      <c r="BK682" s="135"/>
      <c r="BL682" s="135"/>
      <c r="BM682" s="135"/>
      <c r="BN682" s="135"/>
      <c r="BO682" s="135"/>
      <c r="BP682" s="135"/>
      <c r="BQ682" s="135"/>
      <c r="BR682" s="135"/>
      <c r="BS682" s="135"/>
      <c r="BT682" s="135"/>
    </row>
    <row r="683" spans="1:72" s="196" customFormat="1">
      <c r="A683" s="135"/>
      <c r="B683" s="135"/>
      <c r="C683" s="135"/>
      <c r="D683" s="135"/>
      <c r="E683" s="135"/>
      <c r="F683" s="135"/>
      <c r="G683" s="135"/>
      <c r="H683" s="135"/>
      <c r="I683" s="135"/>
      <c r="J683" s="135"/>
      <c r="K683" s="135"/>
      <c r="L683" s="135"/>
      <c r="M683" s="135"/>
      <c r="N683" s="135"/>
      <c r="O683" s="135"/>
      <c r="P683" s="135"/>
      <c r="Q683" s="135"/>
      <c r="R683" s="135"/>
      <c r="S683" s="135"/>
      <c r="T683" s="135"/>
      <c r="U683" s="135"/>
      <c r="V683" s="135"/>
      <c r="W683" s="135"/>
      <c r="X683" s="135"/>
      <c r="Y683" s="135"/>
      <c r="Z683" s="135"/>
      <c r="AA683" s="135"/>
      <c r="AB683" s="135"/>
      <c r="AC683" s="135"/>
      <c r="AD683" s="135"/>
      <c r="AE683" s="135"/>
      <c r="AF683" s="135"/>
      <c r="AG683" s="135"/>
      <c r="AH683" s="135"/>
      <c r="AI683" s="135"/>
      <c r="AJ683" s="135"/>
      <c r="AK683" s="135"/>
      <c r="AL683" s="135"/>
      <c r="AM683" s="135"/>
      <c r="AN683" s="135"/>
      <c r="AO683" s="135"/>
      <c r="AP683" s="135"/>
      <c r="AQ683" s="135"/>
      <c r="AR683" s="135"/>
      <c r="AS683" s="135"/>
      <c r="AT683" s="135"/>
      <c r="AU683" s="135"/>
      <c r="AV683" s="135"/>
      <c r="AW683" s="135"/>
      <c r="AX683" s="135"/>
      <c r="AY683" s="135"/>
      <c r="AZ683" s="135"/>
      <c r="BA683" s="135"/>
      <c r="BB683" s="135"/>
      <c r="BC683" s="135"/>
      <c r="BD683" s="135"/>
      <c r="BE683" s="135"/>
      <c r="BF683" s="135"/>
      <c r="BG683" s="135"/>
      <c r="BH683" s="135"/>
      <c r="BI683" s="135"/>
      <c r="BJ683" s="135"/>
      <c r="BK683" s="135"/>
      <c r="BL683" s="135"/>
      <c r="BM683" s="135"/>
      <c r="BN683" s="135"/>
      <c r="BO683" s="135"/>
      <c r="BP683" s="135"/>
      <c r="BQ683" s="135"/>
      <c r="BR683" s="135"/>
      <c r="BS683" s="135"/>
      <c r="BT683" s="135"/>
    </row>
    <row r="684" spans="1:72" s="196" customFormat="1">
      <c r="A684" s="135"/>
      <c r="B684" s="135"/>
      <c r="C684" s="135"/>
      <c r="D684" s="135"/>
      <c r="E684" s="135"/>
      <c r="F684" s="135"/>
      <c r="G684" s="135"/>
      <c r="H684" s="135"/>
      <c r="I684" s="135"/>
      <c r="J684" s="135"/>
      <c r="K684" s="135"/>
      <c r="L684" s="135"/>
      <c r="M684" s="135"/>
      <c r="N684" s="135"/>
      <c r="O684" s="135"/>
      <c r="P684" s="135"/>
      <c r="Q684" s="135"/>
      <c r="R684" s="135"/>
      <c r="S684" s="135"/>
      <c r="T684" s="135"/>
      <c r="U684" s="135"/>
      <c r="V684" s="135"/>
      <c r="W684" s="135"/>
      <c r="X684" s="135"/>
      <c r="Y684" s="135"/>
      <c r="Z684" s="135"/>
      <c r="AA684" s="135"/>
      <c r="AB684" s="135"/>
      <c r="AC684" s="135"/>
      <c r="AD684" s="135"/>
      <c r="AE684" s="135"/>
      <c r="AF684" s="135"/>
      <c r="AG684" s="135"/>
      <c r="AH684" s="135"/>
      <c r="AI684" s="135"/>
      <c r="AJ684" s="135"/>
      <c r="AK684" s="135"/>
      <c r="AL684" s="135"/>
      <c r="AM684" s="135"/>
      <c r="AN684" s="135"/>
      <c r="AO684" s="135"/>
      <c r="AP684" s="135"/>
      <c r="AQ684" s="135"/>
      <c r="AR684" s="135"/>
      <c r="AS684" s="135"/>
      <c r="AT684" s="135"/>
      <c r="AU684" s="135"/>
      <c r="AV684" s="135"/>
      <c r="AW684" s="135"/>
      <c r="AX684" s="135"/>
      <c r="AY684" s="135"/>
      <c r="AZ684" s="135"/>
      <c r="BA684" s="135"/>
      <c r="BB684" s="135"/>
      <c r="BC684" s="135"/>
      <c r="BD684" s="135"/>
      <c r="BE684" s="135"/>
      <c r="BF684" s="135"/>
      <c r="BG684" s="135"/>
      <c r="BH684" s="135"/>
      <c r="BI684" s="135"/>
      <c r="BJ684" s="135"/>
      <c r="BK684" s="135"/>
      <c r="BL684" s="135"/>
      <c r="BM684" s="135"/>
      <c r="BN684" s="135"/>
      <c r="BO684" s="135"/>
      <c r="BP684" s="135"/>
      <c r="BQ684" s="135"/>
      <c r="BR684" s="135"/>
      <c r="BS684" s="135"/>
      <c r="BT684" s="135"/>
    </row>
    <row r="685" spans="1:72" s="196" customFormat="1">
      <c r="A685" s="135"/>
      <c r="B685" s="135"/>
      <c r="C685" s="135"/>
      <c r="D685" s="135"/>
      <c r="E685" s="135"/>
      <c r="F685" s="135"/>
      <c r="G685" s="135"/>
      <c r="H685" s="135"/>
      <c r="I685" s="135"/>
      <c r="J685" s="135"/>
      <c r="K685" s="135"/>
      <c r="L685" s="135"/>
      <c r="M685" s="135"/>
      <c r="N685" s="135"/>
      <c r="O685" s="135"/>
      <c r="P685" s="135"/>
      <c r="Q685" s="135"/>
      <c r="R685" s="135"/>
      <c r="S685" s="135"/>
      <c r="T685" s="135"/>
      <c r="U685" s="135"/>
      <c r="V685" s="135"/>
      <c r="W685" s="135"/>
      <c r="X685" s="135"/>
      <c r="Y685" s="135"/>
      <c r="Z685" s="135"/>
      <c r="AA685" s="135"/>
      <c r="AB685" s="135"/>
      <c r="AC685" s="135"/>
      <c r="AD685" s="135"/>
      <c r="AE685" s="135"/>
      <c r="AF685" s="135"/>
      <c r="AG685" s="135"/>
      <c r="AH685" s="135"/>
      <c r="AI685" s="135"/>
      <c r="AJ685" s="135"/>
      <c r="AK685" s="135"/>
      <c r="AL685" s="135"/>
      <c r="AM685" s="135"/>
      <c r="AN685" s="135"/>
      <c r="AO685" s="135"/>
      <c r="AP685" s="135"/>
      <c r="AQ685" s="135"/>
      <c r="AR685" s="135"/>
      <c r="AS685" s="135"/>
      <c r="AT685" s="135"/>
      <c r="AU685" s="135"/>
      <c r="AV685" s="135"/>
      <c r="AW685" s="135"/>
      <c r="AX685" s="135"/>
      <c r="AY685" s="135"/>
      <c r="AZ685" s="135"/>
      <c r="BA685" s="135"/>
      <c r="BB685" s="135"/>
      <c r="BC685" s="135"/>
      <c r="BD685" s="135"/>
      <c r="BE685" s="135"/>
      <c r="BF685" s="135"/>
      <c r="BG685" s="135"/>
      <c r="BH685" s="135"/>
      <c r="BI685" s="135"/>
      <c r="BJ685" s="135"/>
      <c r="BK685" s="135"/>
      <c r="BL685" s="135"/>
      <c r="BM685" s="135"/>
      <c r="BN685" s="135"/>
      <c r="BO685" s="135"/>
      <c r="BP685" s="135"/>
      <c r="BQ685" s="135"/>
      <c r="BR685" s="135"/>
      <c r="BS685" s="135"/>
      <c r="BT685" s="135"/>
    </row>
    <row r="686" spans="1:72" s="196" customFormat="1">
      <c r="A686" s="135"/>
      <c r="B686" s="135"/>
      <c r="C686" s="135"/>
      <c r="D686" s="135"/>
      <c r="E686" s="135"/>
      <c r="F686" s="135"/>
      <c r="G686" s="135"/>
      <c r="H686" s="135"/>
      <c r="I686" s="135"/>
      <c r="J686" s="135"/>
      <c r="K686" s="135"/>
      <c r="L686" s="135"/>
      <c r="M686" s="135"/>
      <c r="N686" s="135"/>
      <c r="O686" s="135"/>
      <c r="P686" s="135"/>
      <c r="Q686" s="135"/>
      <c r="R686" s="135"/>
      <c r="S686" s="135"/>
      <c r="T686" s="135"/>
      <c r="U686" s="135"/>
      <c r="V686" s="135"/>
      <c r="W686" s="135"/>
      <c r="X686" s="135"/>
      <c r="Y686" s="135"/>
      <c r="Z686" s="135"/>
      <c r="AA686" s="135"/>
      <c r="AB686" s="135"/>
      <c r="AC686" s="135"/>
      <c r="AD686" s="135"/>
      <c r="AE686" s="135"/>
      <c r="AF686" s="135"/>
      <c r="AG686" s="135"/>
      <c r="AH686" s="135"/>
      <c r="AI686" s="135"/>
      <c r="AJ686" s="135"/>
      <c r="AK686" s="135"/>
      <c r="AL686" s="135"/>
      <c r="AM686" s="135"/>
      <c r="AN686" s="135"/>
      <c r="AO686" s="135"/>
      <c r="AP686" s="135"/>
      <c r="AQ686" s="135"/>
      <c r="AR686" s="135"/>
      <c r="AS686" s="135"/>
      <c r="AT686" s="135"/>
      <c r="AU686" s="135"/>
      <c r="AV686" s="135"/>
      <c r="AW686" s="135"/>
      <c r="AX686" s="135"/>
      <c r="AY686" s="135"/>
      <c r="AZ686" s="135"/>
      <c r="BA686" s="135"/>
      <c r="BB686" s="135"/>
      <c r="BC686" s="135"/>
      <c r="BD686" s="135"/>
      <c r="BE686" s="135"/>
      <c r="BF686" s="135"/>
      <c r="BG686" s="135"/>
      <c r="BH686" s="135"/>
      <c r="BI686" s="135"/>
      <c r="BJ686" s="135"/>
      <c r="BK686" s="135"/>
      <c r="BL686" s="135"/>
      <c r="BM686" s="135"/>
      <c r="BN686" s="135"/>
      <c r="BO686" s="135"/>
      <c r="BP686" s="135"/>
      <c r="BQ686" s="135"/>
      <c r="BR686" s="135"/>
      <c r="BS686" s="135"/>
      <c r="BT686" s="135"/>
    </row>
    <row r="687" spans="1:72" s="196" customFormat="1">
      <c r="A687" s="135"/>
      <c r="B687" s="135"/>
      <c r="C687" s="135"/>
      <c r="D687" s="135"/>
      <c r="E687" s="135"/>
      <c r="F687" s="135"/>
      <c r="G687" s="135"/>
      <c r="H687" s="135"/>
      <c r="I687" s="135"/>
      <c r="J687" s="135"/>
      <c r="K687" s="135"/>
      <c r="L687" s="135"/>
      <c r="M687" s="135"/>
      <c r="N687" s="135"/>
      <c r="O687" s="135"/>
      <c r="P687" s="135"/>
      <c r="Q687" s="135"/>
      <c r="R687" s="135"/>
      <c r="S687" s="135"/>
      <c r="T687" s="135"/>
      <c r="U687" s="135"/>
      <c r="V687" s="135"/>
      <c r="W687" s="135"/>
      <c r="X687" s="135"/>
      <c r="Y687" s="135"/>
      <c r="Z687" s="135"/>
      <c r="AA687" s="135"/>
      <c r="AB687" s="135"/>
      <c r="AC687" s="135"/>
      <c r="AD687" s="135"/>
      <c r="AE687" s="135"/>
      <c r="AF687" s="135"/>
      <c r="AG687" s="135"/>
      <c r="AH687" s="135"/>
      <c r="AI687" s="135"/>
      <c r="AJ687" s="135"/>
      <c r="AK687" s="135"/>
      <c r="AL687" s="135"/>
      <c r="AM687" s="135"/>
      <c r="AN687" s="135"/>
      <c r="AO687" s="135"/>
      <c r="AP687" s="135"/>
      <c r="AQ687" s="135"/>
      <c r="AR687" s="135"/>
      <c r="AS687" s="135"/>
      <c r="AT687" s="135"/>
      <c r="AU687" s="135"/>
      <c r="AV687" s="135"/>
      <c r="AW687" s="135"/>
      <c r="AX687" s="135"/>
      <c r="AY687" s="135"/>
      <c r="AZ687" s="135"/>
      <c r="BA687" s="135"/>
      <c r="BB687" s="135"/>
      <c r="BC687" s="135"/>
      <c r="BD687" s="135"/>
      <c r="BE687" s="135"/>
      <c r="BF687" s="135"/>
      <c r="BG687" s="135"/>
      <c r="BH687" s="135"/>
      <c r="BI687" s="135"/>
      <c r="BJ687" s="135"/>
      <c r="BK687" s="135"/>
      <c r="BL687" s="135"/>
      <c r="BM687" s="135"/>
      <c r="BN687" s="135"/>
      <c r="BO687" s="135"/>
      <c r="BP687" s="135"/>
      <c r="BQ687" s="135"/>
      <c r="BR687" s="135"/>
      <c r="BS687" s="135"/>
      <c r="BT687" s="135"/>
    </row>
    <row r="688" spans="1:72" s="196" customFormat="1">
      <c r="A688" s="135"/>
      <c r="B688" s="135"/>
      <c r="C688" s="135"/>
      <c r="D688" s="135"/>
      <c r="E688" s="135"/>
      <c r="F688" s="135"/>
      <c r="G688" s="135"/>
      <c r="H688" s="135"/>
      <c r="I688" s="135"/>
      <c r="J688" s="135"/>
      <c r="K688" s="135"/>
      <c r="L688" s="135"/>
      <c r="M688" s="135"/>
      <c r="N688" s="135"/>
      <c r="O688" s="135"/>
      <c r="P688" s="135"/>
      <c r="Q688" s="135"/>
      <c r="R688" s="135"/>
      <c r="S688" s="135"/>
      <c r="T688" s="135"/>
      <c r="U688" s="135"/>
      <c r="V688" s="135"/>
      <c r="W688" s="135"/>
      <c r="X688" s="135"/>
      <c r="Y688" s="135"/>
      <c r="Z688" s="135"/>
      <c r="AA688" s="135"/>
      <c r="AB688" s="135"/>
      <c r="AC688" s="135"/>
      <c r="AD688" s="135"/>
      <c r="AE688" s="135"/>
      <c r="AF688" s="135"/>
      <c r="AG688" s="135"/>
      <c r="AH688" s="135"/>
      <c r="AI688" s="135"/>
      <c r="AJ688" s="135"/>
      <c r="AK688" s="135"/>
      <c r="AL688" s="135"/>
      <c r="AM688" s="135"/>
      <c r="AN688" s="135"/>
      <c r="AO688" s="135"/>
      <c r="AP688" s="135"/>
      <c r="AQ688" s="135"/>
      <c r="AR688" s="135"/>
      <c r="AS688" s="135"/>
      <c r="AT688" s="135"/>
      <c r="AU688" s="135"/>
      <c r="AV688" s="135"/>
      <c r="AW688" s="135"/>
      <c r="AX688" s="135"/>
      <c r="AY688" s="135"/>
      <c r="AZ688" s="135"/>
      <c r="BA688" s="135"/>
      <c r="BB688" s="135"/>
      <c r="BC688" s="135"/>
      <c r="BD688" s="135"/>
      <c r="BE688" s="135"/>
      <c r="BF688" s="135"/>
      <c r="BG688" s="135"/>
      <c r="BH688" s="135"/>
      <c r="BI688" s="135"/>
      <c r="BJ688" s="135"/>
      <c r="BK688" s="135"/>
      <c r="BL688" s="135"/>
      <c r="BM688" s="135"/>
      <c r="BN688" s="135"/>
      <c r="BO688" s="135"/>
      <c r="BP688" s="135"/>
      <c r="BQ688" s="135"/>
      <c r="BR688" s="135"/>
      <c r="BS688" s="135"/>
      <c r="BT688" s="135"/>
    </row>
    <row r="689" spans="1:72" s="196" customFormat="1">
      <c r="A689" s="135"/>
      <c r="B689" s="135"/>
      <c r="C689" s="135"/>
      <c r="D689" s="135"/>
      <c r="E689" s="135"/>
      <c r="F689" s="135"/>
      <c r="G689" s="135"/>
      <c r="H689" s="135"/>
      <c r="I689" s="135"/>
      <c r="J689" s="135"/>
      <c r="K689" s="135"/>
      <c r="L689" s="135"/>
      <c r="M689" s="135"/>
      <c r="N689" s="135"/>
      <c r="O689" s="135"/>
      <c r="P689" s="135"/>
      <c r="Q689" s="135"/>
      <c r="R689" s="135"/>
      <c r="S689" s="135"/>
      <c r="T689" s="135"/>
      <c r="U689" s="135"/>
      <c r="V689" s="135"/>
      <c r="W689" s="135"/>
      <c r="X689" s="135"/>
      <c r="Y689" s="135"/>
      <c r="Z689" s="135"/>
      <c r="AA689" s="135"/>
      <c r="AB689" s="135"/>
      <c r="AC689" s="135"/>
      <c r="AD689" s="135"/>
      <c r="AE689" s="135"/>
      <c r="AF689" s="135"/>
      <c r="AG689" s="135"/>
      <c r="AH689" s="135"/>
      <c r="AI689" s="135"/>
      <c r="AJ689" s="135"/>
      <c r="AK689" s="135"/>
      <c r="AL689" s="135"/>
      <c r="AM689" s="135"/>
      <c r="AN689" s="135"/>
      <c r="AO689" s="135"/>
      <c r="AP689" s="135"/>
      <c r="AQ689" s="135"/>
      <c r="AR689" s="135"/>
      <c r="AS689" s="135"/>
      <c r="AT689" s="135"/>
      <c r="AU689" s="135"/>
      <c r="AV689" s="135"/>
      <c r="AW689" s="135"/>
      <c r="AX689" s="135"/>
      <c r="AY689" s="135"/>
      <c r="AZ689" s="135"/>
      <c r="BA689" s="135"/>
      <c r="BB689" s="135"/>
      <c r="BC689" s="135"/>
      <c r="BD689" s="135"/>
      <c r="BE689" s="135"/>
      <c r="BF689" s="135"/>
      <c r="BG689" s="135"/>
      <c r="BH689" s="135"/>
      <c r="BI689" s="135"/>
      <c r="BJ689" s="135"/>
      <c r="BK689" s="135"/>
      <c r="BL689" s="135"/>
      <c r="BM689" s="135"/>
      <c r="BN689" s="135"/>
      <c r="BO689" s="135"/>
      <c r="BP689" s="135"/>
      <c r="BQ689" s="135"/>
      <c r="BR689" s="135"/>
      <c r="BS689" s="135"/>
      <c r="BT689" s="135"/>
    </row>
    <row r="690" spans="1:72" s="196" customFormat="1">
      <c r="A690" s="135"/>
      <c r="B690" s="135"/>
      <c r="C690" s="135"/>
      <c r="D690" s="135"/>
      <c r="E690" s="135"/>
      <c r="F690" s="135"/>
      <c r="G690" s="135"/>
      <c r="H690" s="135"/>
      <c r="I690" s="135"/>
      <c r="J690" s="135"/>
      <c r="K690" s="135"/>
      <c r="L690" s="135"/>
      <c r="M690" s="135"/>
      <c r="N690" s="135"/>
      <c r="O690" s="135"/>
      <c r="P690" s="135"/>
      <c r="Q690" s="135"/>
      <c r="R690" s="135"/>
      <c r="S690" s="135"/>
      <c r="T690" s="135"/>
      <c r="U690" s="135"/>
      <c r="V690" s="135"/>
      <c r="W690" s="135"/>
      <c r="X690" s="135"/>
      <c r="Y690" s="135"/>
      <c r="Z690" s="135"/>
      <c r="AA690" s="135"/>
      <c r="AB690" s="135"/>
      <c r="AC690" s="135"/>
      <c r="AD690" s="135"/>
      <c r="AE690" s="135"/>
      <c r="AF690" s="135"/>
      <c r="AG690" s="135"/>
      <c r="AH690" s="135"/>
      <c r="AI690" s="135"/>
      <c r="AJ690" s="135"/>
      <c r="AK690" s="135"/>
      <c r="AL690" s="135"/>
      <c r="AM690" s="135"/>
      <c r="AN690" s="135"/>
      <c r="AO690" s="135"/>
      <c r="AP690" s="135"/>
      <c r="AQ690" s="135"/>
      <c r="AR690" s="135"/>
      <c r="AS690" s="135"/>
      <c r="AT690" s="135"/>
      <c r="AU690" s="135"/>
      <c r="AV690" s="135"/>
      <c r="AW690" s="135"/>
      <c r="AX690" s="135"/>
      <c r="AY690" s="135"/>
      <c r="AZ690" s="135"/>
      <c r="BA690" s="135"/>
      <c r="BB690" s="135"/>
      <c r="BC690" s="135"/>
      <c r="BD690" s="135"/>
      <c r="BE690" s="135"/>
      <c r="BF690" s="135"/>
      <c r="BG690" s="135"/>
      <c r="BH690" s="135"/>
      <c r="BI690" s="135"/>
      <c r="BJ690" s="135"/>
      <c r="BK690" s="135"/>
      <c r="BL690" s="135"/>
      <c r="BM690" s="135"/>
      <c r="BN690" s="135"/>
      <c r="BO690" s="135"/>
      <c r="BP690" s="135"/>
      <c r="BQ690" s="135"/>
      <c r="BR690" s="135"/>
      <c r="BS690" s="135"/>
      <c r="BT690" s="135"/>
    </row>
    <row r="691" spans="1:72" s="196" customFormat="1">
      <c r="A691" s="135"/>
      <c r="B691" s="135"/>
      <c r="C691" s="135"/>
      <c r="D691" s="135"/>
      <c r="E691" s="135"/>
      <c r="F691" s="135"/>
      <c r="G691" s="135"/>
      <c r="H691" s="135"/>
      <c r="I691" s="135"/>
      <c r="J691" s="135"/>
      <c r="K691" s="135"/>
      <c r="L691" s="135"/>
      <c r="M691" s="135"/>
      <c r="N691" s="135"/>
      <c r="O691" s="135"/>
      <c r="P691" s="135"/>
      <c r="Q691" s="135"/>
      <c r="R691" s="135"/>
      <c r="S691" s="135"/>
      <c r="T691" s="135"/>
      <c r="U691" s="135"/>
      <c r="V691" s="135"/>
      <c r="W691" s="135"/>
      <c r="X691" s="135"/>
      <c r="Y691" s="135"/>
      <c r="Z691" s="135"/>
      <c r="AA691" s="135"/>
      <c r="AB691" s="135"/>
      <c r="AC691" s="135"/>
      <c r="AD691" s="135"/>
      <c r="AE691" s="135"/>
      <c r="AF691" s="135"/>
      <c r="AG691" s="135"/>
      <c r="AH691" s="135"/>
      <c r="AI691" s="135"/>
      <c r="AJ691" s="135"/>
      <c r="AK691" s="135"/>
      <c r="AL691" s="135"/>
      <c r="AM691" s="135"/>
      <c r="AN691" s="135"/>
      <c r="AO691" s="135"/>
      <c r="AP691" s="135"/>
      <c r="AQ691" s="135"/>
      <c r="AR691" s="135"/>
      <c r="AS691" s="135"/>
      <c r="AT691" s="135"/>
      <c r="AU691" s="135"/>
      <c r="AV691" s="135"/>
      <c r="AW691" s="135"/>
      <c r="AX691" s="135"/>
      <c r="AY691" s="135"/>
      <c r="AZ691" s="135"/>
      <c r="BA691" s="135"/>
      <c r="BB691" s="135"/>
      <c r="BC691" s="135"/>
      <c r="BD691" s="135"/>
      <c r="BE691" s="135"/>
      <c r="BF691" s="135"/>
      <c r="BG691" s="135"/>
      <c r="BH691" s="135"/>
      <c r="BI691" s="135"/>
      <c r="BJ691" s="135"/>
      <c r="BK691" s="135"/>
      <c r="BL691" s="135"/>
      <c r="BM691" s="135"/>
      <c r="BN691" s="135"/>
      <c r="BO691" s="135"/>
      <c r="BP691" s="135"/>
      <c r="BQ691" s="135"/>
      <c r="BR691" s="135"/>
      <c r="BS691" s="135"/>
      <c r="BT691" s="135"/>
    </row>
    <row r="692" spans="1:72" s="196" customFormat="1">
      <c r="A692" s="135"/>
      <c r="B692" s="135"/>
      <c r="C692" s="135"/>
      <c r="D692" s="135"/>
      <c r="E692" s="135"/>
      <c r="F692" s="135"/>
      <c r="G692" s="135"/>
      <c r="H692" s="135"/>
      <c r="I692" s="135"/>
      <c r="J692" s="135"/>
      <c r="K692" s="135"/>
      <c r="L692" s="135"/>
      <c r="M692" s="135"/>
      <c r="N692" s="135"/>
      <c r="O692" s="135"/>
      <c r="P692" s="135"/>
      <c r="Q692" s="135"/>
      <c r="R692" s="135"/>
      <c r="S692" s="135"/>
      <c r="T692" s="135"/>
      <c r="U692" s="135"/>
      <c r="V692" s="135"/>
      <c r="W692" s="135"/>
      <c r="X692" s="135"/>
      <c r="Y692" s="135"/>
      <c r="Z692" s="135"/>
      <c r="AA692" s="135"/>
      <c r="AB692" s="135"/>
      <c r="AC692" s="135"/>
      <c r="AD692" s="135"/>
      <c r="AE692" s="135"/>
      <c r="AF692" s="135"/>
      <c r="AG692" s="135"/>
      <c r="AH692" s="135"/>
      <c r="AI692" s="135"/>
      <c r="AJ692" s="135"/>
      <c r="AK692" s="135"/>
      <c r="AL692" s="135"/>
      <c r="AM692" s="135"/>
      <c r="AN692" s="135"/>
      <c r="AO692" s="135"/>
      <c r="AP692" s="135"/>
      <c r="AQ692" s="135"/>
      <c r="AR692" s="135"/>
      <c r="AS692" s="135"/>
      <c r="AT692" s="135"/>
      <c r="AU692" s="135"/>
      <c r="AV692" s="135"/>
      <c r="AW692" s="135"/>
      <c r="AX692" s="135"/>
      <c r="AY692" s="135"/>
      <c r="AZ692" s="135"/>
      <c r="BA692" s="135"/>
      <c r="BB692" s="135"/>
      <c r="BC692" s="135"/>
      <c r="BD692" s="135"/>
      <c r="BE692" s="135"/>
      <c r="BF692" s="135"/>
      <c r="BG692" s="135"/>
      <c r="BH692" s="135"/>
      <c r="BI692" s="135"/>
      <c r="BJ692" s="135"/>
      <c r="BK692" s="135"/>
      <c r="BL692" s="135"/>
      <c r="BM692" s="135"/>
      <c r="BN692" s="135"/>
      <c r="BO692" s="135"/>
      <c r="BP692" s="135"/>
      <c r="BQ692" s="135"/>
      <c r="BR692" s="135"/>
      <c r="BS692" s="135"/>
      <c r="BT692" s="135"/>
    </row>
    <row r="693" spans="1:72" s="196" customFormat="1">
      <c r="A693" s="135"/>
      <c r="B693" s="135"/>
      <c r="C693" s="135"/>
      <c r="D693" s="135"/>
      <c r="E693" s="135"/>
      <c r="F693" s="135"/>
      <c r="G693" s="135"/>
      <c r="H693" s="135"/>
      <c r="I693" s="135"/>
      <c r="J693" s="135"/>
      <c r="K693" s="135"/>
      <c r="L693" s="135"/>
      <c r="M693" s="135"/>
      <c r="N693" s="135"/>
      <c r="O693" s="135"/>
      <c r="P693" s="135"/>
      <c r="Q693" s="135"/>
      <c r="R693" s="135"/>
      <c r="S693" s="135"/>
      <c r="T693" s="135"/>
      <c r="U693" s="135"/>
      <c r="V693" s="135"/>
      <c r="W693" s="135"/>
      <c r="X693" s="135"/>
      <c r="Y693" s="135"/>
      <c r="Z693" s="135"/>
      <c r="AA693" s="135"/>
      <c r="AB693" s="135"/>
      <c r="AC693" s="135"/>
      <c r="AD693" s="135"/>
      <c r="AE693" s="135"/>
      <c r="AF693" s="135"/>
      <c r="AG693" s="135"/>
      <c r="AH693" s="135"/>
      <c r="AI693" s="135"/>
      <c r="AJ693" s="135"/>
      <c r="AK693" s="135"/>
      <c r="AL693" s="135"/>
      <c r="AM693" s="135"/>
      <c r="AN693" s="135"/>
      <c r="AO693" s="135"/>
      <c r="AP693" s="135"/>
      <c r="AQ693" s="135"/>
      <c r="AR693" s="135"/>
      <c r="AS693" s="135"/>
      <c r="AT693" s="135"/>
      <c r="AU693" s="135"/>
      <c r="AV693" s="135"/>
      <c r="AW693" s="135"/>
      <c r="AX693" s="135"/>
      <c r="AY693" s="135"/>
      <c r="AZ693" s="135"/>
      <c r="BA693" s="135"/>
      <c r="BB693" s="135"/>
      <c r="BC693" s="135"/>
      <c r="BD693" s="135"/>
      <c r="BE693" s="135"/>
      <c r="BF693" s="135"/>
      <c r="BG693" s="135"/>
      <c r="BH693" s="135"/>
      <c r="BI693" s="135"/>
      <c r="BJ693" s="135"/>
      <c r="BK693" s="135"/>
      <c r="BL693" s="135"/>
      <c r="BM693" s="135"/>
      <c r="BN693" s="135"/>
      <c r="BO693" s="135"/>
      <c r="BP693" s="135"/>
      <c r="BQ693" s="135"/>
      <c r="BR693" s="135"/>
      <c r="BS693" s="135"/>
      <c r="BT693" s="135"/>
    </row>
    <row r="694" spans="1:72" s="196" customFormat="1">
      <c r="A694" s="135"/>
      <c r="B694" s="135"/>
      <c r="C694" s="135"/>
      <c r="D694" s="135"/>
      <c r="E694" s="135"/>
      <c r="F694" s="135"/>
      <c r="G694" s="135"/>
      <c r="H694" s="135"/>
      <c r="I694" s="135"/>
      <c r="J694" s="135"/>
      <c r="K694" s="135"/>
      <c r="L694" s="135"/>
      <c r="M694" s="135"/>
      <c r="N694" s="135"/>
      <c r="O694" s="135"/>
      <c r="P694" s="135"/>
      <c r="Q694" s="135"/>
      <c r="R694" s="135"/>
      <c r="S694" s="135"/>
      <c r="T694" s="135"/>
      <c r="U694" s="135"/>
      <c r="V694" s="135"/>
      <c r="W694" s="135"/>
      <c r="X694" s="135"/>
      <c r="Y694" s="135"/>
      <c r="Z694" s="135"/>
      <c r="AA694" s="135"/>
      <c r="AB694" s="135"/>
      <c r="AC694" s="135"/>
      <c r="AD694" s="135"/>
      <c r="AE694" s="135"/>
      <c r="AF694" s="135"/>
      <c r="AG694" s="135"/>
      <c r="AH694" s="135"/>
      <c r="AI694" s="135"/>
      <c r="AJ694" s="135"/>
      <c r="AK694" s="135"/>
      <c r="AL694" s="135"/>
      <c r="AM694" s="135"/>
      <c r="AN694" s="135"/>
      <c r="AO694" s="135"/>
      <c r="AP694" s="135"/>
      <c r="AQ694" s="135"/>
      <c r="AR694" s="135"/>
      <c r="AS694" s="135"/>
      <c r="AT694" s="135"/>
      <c r="AU694" s="135"/>
      <c r="AV694" s="135"/>
      <c r="AW694" s="135"/>
      <c r="AX694" s="135"/>
      <c r="AY694" s="135"/>
      <c r="AZ694" s="135"/>
      <c r="BA694" s="135"/>
      <c r="BB694" s="135"/>
      <c r="BC694" s="135"/>
      <c r="BD694" s="135"/>
      <c r="BE694" s="135"/>
      <c r="BF694" s="135"/>
      <c r="BG694" s="135"/>
      <c r="BH694" s="135"/>
      <c r="BI694" s="135"/>
      <c r="BJ694" s="135"/>
      <c r="BK694" s="135"/>
      <c r="BL694" s="135"/>
      <c r="BM694" s="135"/>
      <c r="BN694" s="135"/>
      <c r="BO694" s="135"/>
      <c r="BP694" s="135"/>
      <c r="BQ694" s="135"/>
      <c r="BR694" s="135"/>
      <c r="BS694" s="135"/>
      <c r="BT694" s="135"/>
    </row>
    <row r="695" spans="1:72" s="196" customFormat="1">
      <c r="A695" s="135"/>
      <c r="B695" s="135"/>
      <c r="C695" s="135"/>
      <c r="D695" s="135"/>
      <c r="E695" s="135"/>
      <c r="F695" s="135"/>
      <c r="G695" s="135"/>
      <c r="H695" s="135"/>
      <c r="I695" s="135"/>
      <c r="J695" s="135"/>
      <c r="K695" s="135"/>
      <c r="L695" s="135"/>
      <c r="M695" s="135"/>
      <c r="N695" s="135"/>
      <c r="O695" s="135"/>
      <c r="P695" s="135"/>
      <c r="Q695" s="135"/>
      <c r="R695" s="135"/>
      <c r="S695" s="135"/>
      <c r="T695" s="135"/>
      <c r="U695" s="135"/>
      <c r="V695" s="135"/>
      <c r="W695" s="135"/>
      <c r="X695" s="135"/>
      <c r="Y695" s="135"/>
      <c r="Z695" s="135"/>
      <c r="AA695" s="135"/>
      <c r="AB695" s="135"/>
      <c r="AC695" s="135"/>
      <c r="AD695" s="135"/>
      <c r="AE695" s="135"/>
      <c r="AF695" s="135"/>
      <c r="AG695" s="135"/>
      <c r="AH695" s="135"/>
      <c r="AI695" s="135"/>
      <c r="AJ695" s="135"/>
      <c r="AK695" s="135"/>
      <c r="AL695" s="135"/>
      <c r="AM695" s="135"/>
      <c r="AN695" s="135"/>
      <c r="AO695" s="135"/>
      <c r="AP695" s="135"/>
      <c r="AQ695" s="135"/>
      <c r="AR695" s="135"/>
      <c r="AS695" s="135"/>
      <c r="AT695" s="135"/>
      <c r="AU695" s="135"/>
      <c r="AV695" s="135"/>
      <c r="AW695" s="135"/>
      <c r="AX695" s="135"/>
      <c r="AY695" s="135"/>
      <c r="AZ695" s="135"/>
      <c r="BA695" s="135"/>
      <c r="BB695" s="135"/>
      <c r="BC695" s="135"/>
      <c r="BD695" s="135"/>
      <c r="BE695" s="135"/>
      <c r="BF695" s="135"/>
      <c r="BG695" s="135"/>
      <c r="BH695" s="135"/>
      <c r="BI695" s="135"/>
      <c r="BJ695" s="135"/>
      <c r="BK695" s="135"/>
      <c r="BL695" s="135"/>
      <c r="BM695" s="135"/>
      <c r="BN695" s="135"/>
      <c r="BO695" s="135"/>
      <c r="BP695" s="135"/>
      <c r="BQ695" s="135"/>
      <c r="BR695" s="135"/>
      <c r="BS695" s="135"/>
      <c r="BT695" s="135"/>
    </row>
    <row r="696" spans="1:72" s="196" customFormat="1">
      <c r="A696" s="135"/>
      <c r="B696" s="135"/>
      <c r="C696" s="135"/>
      <c r="D696" s="135"/>
      <c r="E696" s="135"/>
      <c r="F696" s="135"/>
      <c r="G696" s="135"/>
      <c r="H696" s="135"/>
      <c r="I696" s="135"/>
      <c r="J696" s="135"/>
      <c r="K696" s="135"/>
      <c r="L696" s="135"/>
      <c r="M696" s="135"/>
      <c r="N696" s="135"/>
      <c r="O696" s="135"/>
      <c r="P696" s="135"/>
      <c r="Q696" s="135"/>
      <c r="R696" s="135"/>
      <c r="S696" s="135"/>
      <c r="T696" s="135"/>
      <c r="U696" s="135"/>
      <c r="V696" s="135"/>
      <c r="W696" s="135"/>
      <c r="X696" s="135"/>
      <c r="Y696" s="135"/>
      <c r="Z696" s="135"/>
      <c r="AA696" s="135"/>
      <c r="AB696" s="135"/>
      <c r="AC696" s="135"/>
      <c r="AD696" s="135"/>
      <c r="AE696" s="135"/>
      <c r="AF696" s="135"/>
      <c r="AG696" s="135"/>
      <c r="AH696" s="135"/>
      <c r="AI696" s="135"/>
      <c r="AJ696" s="135"/>
      <c r="AK696" s="135"/>
      <c r="AL696" s="135"/>
      <c r="AM696" s="135"/>
      <c r="AN696" s="135"/>
      <c r="AO696" s="135"/>
      <c r="AP696" s="135"/>
      <c r="AQ696" s="135"/>
      <c r="AR696" s="135"/>
      <c r="AS696" s="135"/>
      <c r="AT696" s="135"/>
      <c r="AU696" s="135"/>
      <c r="AV696" s="135"/>
      <c r="AW696" s="135"/>
      <c r="AX696" s="135"/>
      <c r="AY696" s="135"/>
      <c r="AZ696" s="135"/>
      <c r="BA696" s="135"/>
      <c r="BB696" s="135"/>
      <c r="BC696" s="135"/>
      <c r="BD696" s="135"/>
      <c r="BE696" s="135"/>
      <c r="BF696" s="135"/>
      <c r="BG696" s="135"/>
      <c r="BH696" s="135"/>
      <c r="BI696" s="135"/>
      <c r="BJ696" s="135"/>
      <c r="BK696" s="135"/>
      <c r="BL696" s="135"/>
      <c r="BM696" s="135"/>
      <c r="BN696" s="135"/>
      <c r="BO696" s="135"/>
      <c r="BP696" s="135"/>
      <c r="BQ696" s="135"/>
      <c r="BR696" s="135"/>
      <c r="BS696" s="135"/>
      <c r="BT696" s="135"/>
    </row>
    <row r="697" spans="1:72" s="196" customFormat="1">
      <c r="A697" s="135"/>
      <c r="B697" s="135"/>
      <c r="C697" s="135"/>
      <c r="D697" s="135"/>
      <c r="E697" s="135"/>
      <c r="F697" s="135"/>
      <c r="G697" s="135"/>
      <c r="H697" s="135"/>
      <c r="I697" s="135"/>
      <c r="J697" s="135"/>
      <c r="K697" s="135"/>
      <c r="L697" s="135"/>
      <c r="M697" s="135"/>
      <c r="N697" s="135"/>
      <c r="O697" s="135"/>
      <c r="P697" s="135"/>
      <c r="Q697" s="135"/>
      <c r="R697" s="135"/>
      <c r="S697" s="135"/>
      <c r="T697" s="135"/>
      <c r="U697" s="135"/>
      <c r="V697" s="135"/>
      <c r="W697" s="135"/>
      <c r="X697" s="135"/>
      <c r="Y697" s="135"/>
      <c r="Z697" s="135"/>
      <c r="AA697" s="135"/>
      <c r="AB697" s="135"/>
      <c r="AC697" s="135"/>
      <c r="AD697" s="135"/>
      <c r="AE697" s="135"/>
      <c r="AF697" s="135"/>
      <c r="AG697" s="135"/>
      <c r="AH697" s="135"/>
      <c r="AI697" s="135"/>
      <c r="AJ697" s="135"/>
      <c r="AK697" s="135"/>
      <c r="AL697" s="135"/>
      <c r="AM697" s="135"/>
      <c r="AN697" s="135"/>
      <c r="AO697" s="135"/>
      <c r="AP697" s="135"/>
      <c r="AQ697" s="135"/>
      <c r="AR697" s="135"/>
      <c r="AS697" s="135"/>
      <c r="AT697" s="135"/>
      <c r="AU697" s="135"/>
      <c r="AV697" s="135"/>
      <c r="AW697" s="135"/>
      <c r="AX697" s="135"/>
      <c r="AY697" s="135"/>
      <c r="AZ697" s="135"/>
      <c r="BA697" s="135"/>
      <c r="BB697" s="135"/>
      <c r="BC697" s="135"/>
      <c r="BD697" s="135"/>
      <c r="BE697" s="135"/>
      <c r="BF697" s="135"/>
      <c r="BG697" s="135"/>
      <c r="BH697" s="135"/>
      <c r="BI697" s="135"/>
      <c r="BJ697" s="135"/>
      <c r="BK697" s="135"/>
      <c r="BL697" s="135"/>
      <c r="BM697" s="135"/>
      <c r="BN697" s="135"/>
      <c r="BO697" s="135"/>
      <c r="BP697" s="135"/>
      <c r="BQ697" s="135"/>
      <c r="BR697" s="135"/>
      <c r="BS697" s="135"/>
      <c r="BT697" s="135"/>
    </row>
    <row r="698" spans="1:72" s="196" customFormat="1">
      <c r="A698" s="135"/>
      <c r="B698" s="135"/>
      <c r="C698" s="135"/>
      <c r="D698" s="135"/>
      <c r="E698" s="135"/>
      <c r="F698" s="135"/>
      <c r="G698" s="135"/>
      <c r="H698" s="135"/>
      <c r="I698" s="135"/>
      <c r="J698" s="135"/>
      <c r="K698" s="135"/>
      <c r="L698" s="135"/>
      <c r="M698" s="135"/>
      <c r="N698" s="135"/>
      <c r="O698" s="135"/>
      <c r="P698" s="135"/>
      <c r="Q698" s="135"/>
      <c r="R698" s="135"/>
      <c r="S698" s="135"/>
      <c r="T698" s="135"/>
      <c r="U698" s="135"/>
      <c r="V698" s="135"/>
      <c r="W698" s="135"/>
      <c r="X698" s="135"/>
      <c r="Y698" s="135"/>
      <c r="Z698" s="135"/>
      <c r="AA698" s="135"/>
      <c r="AB698" s="135"/>
      <c r="AC698" s="135"/>
      <c r="AD698" s="135"/>
      <c r="AE698" s="135"/>
      <c r="AF698" s="135"/>
      <c r="AG698" s="135"/>
      <c r="AH698" s="135"/>
      <c r="AI698" s="135"/>
      <c r="AJ698" s="135"/>
      <c r="AK698" s="135"/>
      <c r="AL698" s="135"/>
      <c r="AM698" s="135"/>
      <c r="AN698" s="135"/>
      <c r="AO698" s="135"/>
      <c r="AP698" s="135"/>
      <c r="AQ698" s="135"/>
      <c r="AR698" s="135"/>
      <c r="AS698" s="135"/>
      <c r="AT698" s="135"/>
      <c r="AU698" s="135"/>
      <c r="AV698" s="135"/>
      <c r="AW698" s="135"/>
      <c r="AX698" s="135"/>
      <c r="AY698" s="135"/>
      <c r="AZ698" s="135"/>
      <c r="BA698" s="135"/>
      <c r="BB698" s="135"/>
      <c r="BC698" s="135"/>
      <c r="BD698" s="135"/>
      <c r="BE698" s="135"/>
      <c r="BF698" s="135"/>
      <c r="BG698" s="135"/>
      <c r="BH698" s="135"/>
      <c r="BI698" s="135"/>
      <c r="BJ698" s="135"/>
      <c r="BK698" s="135"/>
      <c r="BL698" s="135"/>
      <c r="BM698" s="135"/>
      <c r="BN698" s="135"/>
      <c r="BO698" s="135"/>
      <c r="BP698" s="135"/>
      <c r="BQ698" s="135"/>
      <c r="BR698" s="135"/>
      <c r="BS698" s="135"/>
      <c r="BT698" s="135"/>
    </row>
    <row r="699" spans="1:72" s="196" customFormat="1">
      <c r="A699" s="135"/>
      <c r="B699" s="135"/>
      <c r="C699" s="135"/>
      <c r="D699" s="135"/>
      <c r="E699" s="135"/>
      <c r="F699" s="135"/>
      <c r="G699" s="135"/>
      <c r="H699" s="135"/>
      <c r="I699" s="135"/>
      <c r="J699" s="135"/>
      <c r="K699" s="135"/>
      <c r="L699" s="135"/>
      <c r="M699" s="135"/>
      <c r="N699" s="135"/>
      <c r="O699" s="135"/>
      <c r="P699" s="135"/>
      <c r="Q699" s="135"/>
      <c r="R699" s="135"/>
      <c r="S699" s="135"/>
      <c r="T699" s="135"/>
      <c r="U699" s="135"/>
      <c r="V699" s="135"/>
      <c r="W699" s="135"/>
      <c r="X699" s="135"/>
      <c r="Y699" s="135"/>
      <c r="Z699" s="135"/>
      <c r="AA699" s="135"/>
      <c r="AB699" s="135"/>
      <c r="AC699" s="135"/>
      <c r="AD699" s="135"/>
      <c r="AE699" s="135"/>
      <c r="AF699" s="135"/>
      <c r="AG699" s="135"/>
      <c r="AH699" s="135"/>
      <c r="AI699" s="135"/>
      <c r="AJ699" s="135"/>
      <c r="AK699" s="135"/>
      <c r="AL699" s="135"/>
      <c r="AM699" s="135"/>
      <c r="AN699" s="135"/>
      <c r="AO699" s="135"/>
      <c r="AP699" s="135"/>
      <c r="AQ699" s="135"/>
      <c r="AR699" s="135"/>
      <c r="AS699" s="135"/>
      <c r="AT699" s="135"/>
      <c r="AU699" s="135"/>
      <c r="AV699" s="135"/>
      <c r="AW699" s="135"/>
      <c r="AX699" s="135"/>
      <c r="AY699" s="135"/>
      <c r="AZ699" s="135"/>
      <c r="BA699" s="135"/>
      <c r="BB699" s="135"/>
      <c r="BC699" s="135"/>
      <c r="BD699" s="135"/>
      <c r="BE699" s="135"/>
      <c r="BF699" s="135"/>
      <c r="BG699" s="135"/>
      <c r="BH699" s="135"/>
      <c r="BI699" s="135"/>
      <c r="BJ699" s="135"/>
      <c r="BK699" s="135"/>
      <c r="BL699" s="135"/>
      <c r="BM699" s="135"/>
      <c r="BN699" s="135"/>
      <c r="BO699" s="135"/>
      <c r="BP699" s="135"/>
      <c r="BQ699" s="135"/>
      <c r="BR699" s="135"/>
      <c r="BS699" s="135"/>
      <c r="BT699" s="135"/>
    </row>
    <row r="700" spans="1:72" s="196" customFormat="1">
      <c r="A700" s="135"/>
      <c r="B700" s="135"/>
      <c r="C700" s="135"/>
      <c r="D700" s="135"/>
      <c r="E700" s="135"/>
      <c r="F700" s="135"/>
      <c r="G700" s="135"/>
      <c r="H700" s="135"/>
      <c r="I700" s="135"/>
      <c r="J700" s="135"/>
      <c r="K700" s="135"/>
      <c r="L700" s="135"/>
      <c r="M700" s="135"/>
      <c r="N700" s="135"/>
      <c r="O700" s="135"/>
      <c r="P700" s="135"/>
      <c r="Q700" s="135"/>
      <c r="R700" s="135"/>
      <c r="S700" s="135"/>
      <c r="T700" s="135"/>
      <c r="U700" s="135"/>
      <c r="V700" s="135"/>
      <c r="W700" s="135"/>
      <c r="X700" s="135"/>
      <c r="Y700" s="135"/>
      <c r="Z700" s="135"/>
      <c r="AA700" s="135"/>
      <c r="AB700" s="135"/>
      <c r="AC700" s="135"/>
      <c r="AD700" s="135"/>
      <c r="AE700" s="135"/>
      <c r="AF700" s="135"/>
      <c r="AG700" s="135"/>
      <c r="AH700" s="135"/>
      <c r="AI700" s="135"/>
      <c r="AJ700" s="135"/>
      <c r="AK700" s="135"/>
      <c r="AL700" s="135"/>
      <c r="AM700" s="135"/>
      <c r="AN700" s="135"/>
      <c r="AO700" s="135"/>
      <c r="AP700" s="135"/>
      <c r="AQ700" s="135"/>
      <c r="AR700" s="135"/>
      <c r="AS700" s="135"/>
      <c r="AT700" s="135"/>
      <c r="AU700" s="135"/>
      <c r="AV700" s="135"/>
      <c r="AW700" s="135"/>
      <c r="AX700" s="135"/>
      <c r="AY700" s="135"/>
      <c r="AZ700" s="135"/>
      <c r="BA700" s="135"/>
      <c r="BB700" s="135"/>
      <c r="BC700" s="135"/>
      <c r="BD700" s="135"/>
      <c r="BE700" s="135"/>
      <c r="BF700" s="135"/>
      <c r="BG700" s="135"/>
      <c r="BH700" s="135"/>
      <c r="BI700" s="135"/>
      <c r="BJ700" s="135"/>
      <c r="BK700" s="135"/>
      <c r="BL700" s="135"/>
      <c r="BM700" s="135"/>
      <c r="BN700" s="135"/>
      <c r="BO700" s="135"/>
      <c r="BP700" s="135"/>
      <c r="BQ700" s="135"/>
      <c r="BR700" s="135"/>
      <c r="BS700" s="135"/>
      <c r="BT700" s="135"/>
    </row>
    <row r="701" spans="1:72" s="196" customFormat="1">
      <c r="A701" s="135"/>
      <c r="B701" s="135"/>
      <c r="C701" s="135"/>
      <c r="D701" s="135"/>
      <c r="E701" s="135"/>
      <c r="F701" s="135"/>
      <c r="G701" s="135"/>
      <c r="H701" s="135"/>
      <c r="I701" s="135"/>
      <c r="J701" s="135"/>
      <c r="K701" s="135"/>
      <c r="L701" s="135"/>
      <c r="M701" s="135"/>
      <c r="N701" s="135"/>
      <c r="O701" s="135"/>
      <c r="P701" s="135"/>
      <c r="Q701" s="135"/>
      <c r="R701" s="135"/>
      <c r="S701" s="135"/>
      <c r="T701" s="135"/>
      <c r="U701" s="135"/>
      <c r="V701" s="135"/>
      <c r="W701" s="135"/>
      <c r="X701" s="135"/>
      <c r="Y701" s="135"/>
      <c r="Z701" s="135"/>
      <c r="AA701" s="135"/>
      <c r="AB701" s="135"/>
      <c r="AC701" s="135"/>
      <c r="AD701" s="135"/>
      <c r="AE701" s="135"/>
      <c r="AF701" s="135"/>
      <c r="AG701" s="135"/>
      <c r="AH701" s="135"/>
      <c r="AI701" s="135"/>
      <c r="AJ701" s="135"/>
      <c r="AK701" s="135"/>
      <c r="AL701" s="135"/>
      <c r="AM701" s="135"/>
      <c r="AN701" s="135"/>
      <c r="AO701" s="135"/>
      <c r="AP701" s="135"/>
      <c r="AQ701" s="135"/>
      <c r="AR701" s="135"/>
      <c r="AS701" s="135"/>
      <c r="AT701" s="135"/>
      <c r="AU701" s="135"/>
      <c r="AV701" s="135"/>
      <c r="AW701" s="135"/>
      <c r="AX701" s="135"/>
      <c r="AY701" s="135"/>
      <c r="AZ701" s="135"/>
      <c r="BA701" s="135"/>
      <c r="BB701" s="135"/>
      <c r="BC701" s="135"/>
      <c r="BD701" s="135"/>
      <c r="BE701" s="135"/>
      <c r="BF701" s="135"/>
      <c r="BG701" s="135"/>
      <c r="BH701" s="135"/>
      <c r="BI701" s="135"/>
      <c r="BJ701" s="135"/>
      <c r="BK701" s="135"/>
      <c r="BL701" s="135"/>
      <c r="BM701" s="135"/>
      <c r="BN701" s="135"/>
      <c r="BO701" s="135"/>
      <c r="BP701" s="135"/>
      <c r="BQ701" s="135"/>
      <c r="BR701" s="135"/>
      <c r="BS701" s="135"/>
      <c r="BT701" s="135"/>
    </row>
    <row r="702" spans="1:72" s="196" customFormat="1">
      <c r="A702" s="135"/>
      <c r="B702" s="135"/>
      <c r="C702" s="135"/>
      <c r="D702" s="135"/>
      <c r="E702" s="135"/>
      <c r="F702" s="135"/>
      <c r="G702" s="135"/>
      <c r="H702" s="135"/>
      <c r="I702" s="135"/>
      <c r="J702" s="135"/>
      <c r="K702" s="135"/>
      <c r="L702" s="135"/>
      <c r="M702" s="135"/>
      <c r="N702" s="135"/>
      <c r="O702" s="135"/>
      <c r="P702" s="135"/>
      <c r="Q702" s="135"/>
      <c r="R702" s="135"/>
      <c r="S702" s="135"/>
      <c r="T702" s="135"/>
      <c r="U702" s="135"/>
      <c r="V702" s="135"/>
      <c r="W702" s="135"/>
      <c r="X702" s="135"/>
      <c r="Y702" s="135"/>
      <c r="Z702" s="135"/>
      <c r="AA702" s="135"/>
      <c r="AB702" s="135"/>
      <c r="AC702" s="135"/>
      <c r="AD702" s="135"/>
      <c r="AE702" s="135"/>
      <c r="AF702" s="135"/>
      <c r="AG702" s="135"/>
      <c r="AH702" s="135"/>
      <c r="AI702" s="135"/>
      <c r="AJ702" s="135"/>
      <c r="AK702" s="135"/>
      <c r="AL702" s="135"/>
      <c r="AM702" s="135"/>
      <c r="AN702" s="135"/>
      <c r="AO702" s="135"/>
      <c r="AP702" s="135"/>
      <c r="AQ702" s="135"/>
      <c r="AR702" s="135"/>
      <c r="AS702" s="135"/>
      <c r="AT702" s="135"/>
      <c r="AU702" s="135"/>
      <c r="AV702" s="135"/>
      <c r="AW702" s="135"/>
      <c r="AX702" s="135"/>
      <c r="AY702" s="135"/>
      <c r="AZ702" s="135"/>
      <c r="BA702" s="135"/>
      <c r="BB702" s="135"/>
      <c r="BC702" s="135"/>
      <c r="BD702" s="135"/>
      <c r="BE702" s="135"/>
      <c r="BF702" s="135"/>
      <c r="BG702" s="135"/>
      <c r="BH702" s="135"/>
      <c r="BI702" s="135"/>
      <c r="BJ702" s="135"/>
      <c r="BK702" s="135"/>
      <c r="BL702" s="135"/>
      <c r="BM702" s="135"/>
      <c r="BN702" s="135"/>
      <c r="BO702" s="135"/>
      <c r="BP702" s="135"/>
      <c r="BQ702" s="135"/>
      <c r="BR702" s="135"/>
      <c r="BS702" s="135"/>
      <c r="BT702" s="135"/>
    </row>
    <row r="703" spans="1:72" s="196" customFormat="1">
      <c r="A703" s="135"/>
      <c r="B703" s="135"/>
      <c r="C703" s="135"/>
      <c r="D703" s="135"/>
      <c r="E703" s="135"/>
      <c r="F703" s="135"/>
      <c r="G703" s="135"/>
      <c r="H703" s="135"/>
      <c r="I703" s="135"/>
      <c r="J703" s="135"/>
      <c r="K703" s="135"/>
      <c r="L703" s="135"/>
      <c r="M703" s="135"/>
      <c r="N703" s="135"/>
      <c r="O703" s="135"/>
      <c r="P703" s="135"/>
      <c r="Q703" s="135"/>
      <c r="R703" s="135"/>
      <c r="S703" s="135"/>
      <c r="T703" s="135"/>
      <c r="U703" s="135"/>
      <c r="V703" s="135"/>
      <c r="W703" s="135"/>
      <c r="X703" s="135"/>
      <c r="Y703" s="135"/>
      <c r="Z703" s="135"/>
      <c r="AA703" s="135"/>
      <c r="AB703" s="135"/>
      <c r="AC703" s="135"/>
      <c r="AD703" s="135"/>
      <c r="AE703" s="135"/>
      <c r="AF703" s="135"/>
      <c r="AG703" s="135"/>
      <c r="AH703" s="135"/>
      <c r="AI703" s="135"/>
      <c r="AJ703" s="135"/>
      <c r="AK703" s="135"/>
      <c r="AL703" s="135"/>
      <c r="AM703" s="135"/>
      <c r="AN703" s="135"/>
      <c r="AO703" s="135"/>
      <c r="AP703" s="135"/>
      <c r="AQ703" s="135"/>
      <c r="AR703" s="135"/>
      <c r="AS703" s="135"/>
      <c r="AT703" s="135"/>
      <c r="AU703" s="135"/>
      <c r="AV703" s="135"/>
      <c r="AW703" s="135"/>
      <c r="AX703" s="135"/>
      <c r="AY703" s="135"/>
      <c r="AZ703" s="135"/>
      <c r="BA703" s="135"/>
      <c r="BB703" s="135"/>
      <c r="BC703" s="135"/>
      <c r="BD703" s="135"/>
      <c r="BE703" s="135"/>
      <c r="BF703" s="135"/>
      <c r="BG703" s="135"/>
      <c r="BH703" s="135"/>
      <c r="BI703" s="135"/>
      <c r="BJ703" s="135"/>
      <c r="BK703" s="135"/>
      <c r="BL703" s="135"/>
      <c r="BM703" s="135"/>
      <c r="BN703" s="135"/>
      <c r="BO703" s="135"/>
      <c r="BP703" s="135"/>
      <c r="BQ703" s="135"/>
      <c r="BR703" s="135"/>
      <c r="BS703" s="135"/>
      <c r="BT703" s="135"/>
    </row>
    <row r="704" spans="1:72" s="196" customFormat="1">
      <c r="A704" s="135"/>
      <c r="B704" s="135"/>
      <c r="C704" s="135"/>
      <c r="D704" s="135"/>
      <c r="E704" s="135"/>
      <c r="F704" s="135"/>
      <c r="G704" s="135"/>
      <c r="H704" s="135"/>
      <c r="I704" s="135"/>
      <c r="J704" s="135"/>
      <c r="K704" s="135"/>
      <c r="L704" s="135"/>
      <c r="M704" s="135"/>
      <c r="N704" s="135"/>
      <c r="O704" s="135"/>
      <c r="P704" s="135"/>
      <c r="Q704" s="135"/>
      <c r="R704" s="135"/>
      <c r="S704" s="135"/>
      <c r="T704" s="135"/>
      <c r="U704" s="135"/>
      <c r="V704" s="135"/>
      <c r="W704" s="135"/>
      <c r="X704" s="135"/>
      <c r="Y704" s="135"/>
      <c r="Z704" s="135"/>
      <c r="AA704" s="135"/>
      <c r="AB704" s="135"/>
      <c r="AC704" s="135"/>
      <c r="AD704" s="135"/>
      <c r="AE704" s="135"/>
      <c r="AF704" s="135"/>
      <c r="AG704" s="135"/>
      <c r="AH704" s="135"/>
      <c r="AI704" s="135"/>
      <c r="AJ704" s="135"/>
      <c r="AK704" s="135"/>
      <c r="AL704" s="135"/>
      <c r="AM704" s="135"/>
      <c r="AN704" s="135"/>
      <c r="AO704" s="135"/>
      <c r="AP704" s="135"/>
      <c r="AQ704" s="135"/>
      <c r="AR704" s="135"/>
      <c r="AS704" s="135"/>
      <c r="AT704" s="135"/>
      <c r="AU704" s="135"/>
      <c r="AV704" s="135"/>
      <c r="AW704" s="135"/>
      <c r="AX704" s="135"/>
      <c r="AY704" s="135"/>
      <c r="AZ704" s="135"/>
      <c r="BA704" s="135"/>
      <c r="BB704" s="135"/>
      <c r="BC704" s="135"/>
      <c r="BD704" s="135"/>
      <c r="BE704" s="135"/>
      <c r="BF704" s="135"/>
      <c r="BG704" s="135"/>
      <c r="BH704" s="135"/>
      <c r="BI704" s="135"/>
      <c r="BJ704" s="135"/>
      <c r="BK704" s="135"/>
      <c r="BL704" s="135"/>
      <c r="BM704" s="135"/>
      <c r="BN704" s="135"/>
      <c r="BO704" s="135"/>
      <c r="BP704" s="135"/>
      <c r="BQ704" s="135"/>
      <c r="BR704" s="135"/>
      <c r="BS704" s="135"/>
      <c r="BT704" s="135"/>
    </row>
    <row r="705" spans="1:72" s="196" customFormat="1">
      <c r="A705" s="135"/>
      <c r="B705" s="135"/>
      <c r="C705" s="135"/>
      <c r="D705" s="135"/>
      <c r="E705" s="135"/>
      <c r="F705" s="135"/>
      <c r="G705" s="135"/>
      <c r="H705" s="135"/>
      <c r="I705" s="135"/>
      <c r="J705" s="135"/>
      <c r="K705" s="135"/>
      <c r="L705" s="135"/>
      <c r="M705" s="135"/>
      <c r="N705" s="135"/>
      <c r="O705" s="135"/>
      <c r="P705" s="135"/>
      <c r="Q705" s="135"/>
      <c r="R705" s="135"/>
      <c r="S705" s="135"/>
      <c r="T705" s="135"/>
      <c r="U705" s="135"/>
      <c r="V705" s="135"/>
      <c r="W705" s="135"/>
      <c r="X705" s="135"/>
      <c r="Y705" s="135"/>
      <c r="Z705" s="135"/>
      <c r="AA705" s="135"/>
      <c r="AB705" s="135"/>
      <c r="AC705" s="135"/>
      <c r="AD705" s="135"/>
      <c r="AE705" s="135"/>
      <c r="AF705" s="135"/>
      <c r="AG705" s="135"/>
      <c r="AH705" s="135"/>
      <c r="AI705" s="135"/>
      <c r="AJ705" s="135"/>
      <c r="AK705" s="135"/>
      <c r="AL705" s="135"/>
      <c r="AM705" s="135"/>
      <c r="AN705" s="135"/>
      <c r="AO705" s="135"/>
      <c r="AP705" s="135"/>
      <c r="AQ705" s="135"/>
      <c r="AR705" s="135"/>
      <c r="AS705" s="135"/>
      <c r="AT705" s="135"/>
      <c r="AU705" s="135"/>
      <c r="AV705" s="135"/>
      <c r="AW705" s="135"/>
      <c r="AX705" s="135"/>
      <c r="AY705" s="135"/>
      <c r="AZ705" s="135"/>
      <c r="BA705" s="135"/>
      <c r="BB705" s="135"/>
      <c r="BC705" s="135"/>
      <c r="BD705" s="135"/>
      <c r="BE705" s="135"/>
      <c r="BF705" s="135"/>
      <c r="BG705" s="135"/>
      <c r="BH705" s="135"/>
      <c r="BI705" s="135"/>
      <c r="BJ705" s="135"/>
      <c r="BK705" s="135"/>
      <c r="BL705" s="135"/>
      <c r="BM705" s="135"/>
      <c r="BN705" s="135"/>
      <c r="BO705" s="135"/>
      <c r="BP705" s="135"/>
      <c r="BQ705" s="135"/>
      <c r="BR705" s="135"/>
      <c r="BS705" s="135"/>
      <c r="BT705" s="135"/>
    </row>
    <row r="706" spans="1:72" s="196" customFormat="1">
      <c r="A706" s="135"/>
      <c r="B706" s="135"/>
      <c r="C706" s="135"/>
      <c r="D706" s="135"/>
      <c r="E706" s="135"/>
      <c r="F706" s="135"/>
      <c r="G706" s="135"/>
      <c r="H706" s="135"/>
      <c r="I706" s="135"/>
      <c r="J706" s="135"/>
      <c r="K706" s="135"/>
      <c r="L706" s="135"/>
      <c r="M706" s="135"/>
      <c r="N706" s="135"/>
      <c r="O706" s="135"/>
      <c r="P706" s="135"/>
      <c r="Q706" s="135"/>
      <c r="R706" s="135"/>
      <c r="S706" s="135"/>
      <c r="T706" s="135"/>
      <c r="U706" s="135"/>
      <c r="V706" s="135"/>
      <c r="W706" s="135"/>
      <c r="X706" s="135"/>
      <c r="Y706" s="135"/>
      <c r="Z706" s="135"/>
      <c r="AA706" s="135"/>
      <c r="AB706" s="135"/>
      <c r="AC706" s="135"/>
      <c r="AD706" s="135"/>
      <c r="AE706" s="135"/>
      <c r="AF706" s="135"/>
      <c r="AG706" s="135"/>
      <c r="AH706" s="135"/>
      <c r="AI706" s="135"/>
      <c r="AJ706" s="135"/>
      <c r="AK706" s="135"/>
      <c r="AL706" s="135"/>
      <c r="AM706" s="135"/>
      <c r="AN706" s="135"/>
      <c r="AO706" s="135"/>
      <c r="AP706" s="135"/>
      <c r="AQ706" s="135"/>
      <c r="AR706" s="135"/>
      <c r="AS706" s="135"/>
      <c r="AT706" s="135"/>
      <c r="AU706" s="135"/>
      <c r="AV706" s="135"/>
      <c r="AW706" s="135"/>
      <c r="AX706" s="135"/>
      <c r="AY706" s="135"/>
      <c r="AZ706" s="135"/>
      <c r="BA706" s="135"/>
      <c r="BB706" s="135"/>
      <c r="BC706" s="135"/>
      <c r="BD706" s="135"/>
      <c r="BE706" s="135"/>
      <c r="BF706" s="135"/>
      <c r="BG706" s="135"/>
      <c r="BH706" s="135"/>
      <c r="BI706" s="135"/>
      <c r="BJ706" s="135"/>
      <c r="BK706" s="135"/>
      <c r="BL706" s="135"/>
      <c r="BM706" s="135"/>
      <c r="BN706" s="135"/>
      <c r="BO706" s="135"/>
      <c r="BP706" s="135"/>
      <c r="BQ706" s="135"/>
      <c r="BR706" s="135"/>
      <c r="BS706" s="135"/>
      <c r="BT706" s="135"/>
    </row>
    <row r="707" spans="1:72" s="196" customFormat="1">
      <c r="A707" s="135"/>
      <c r="B707" s="135"/>
      <c r="C707" s="135"/>
      <c r="D707" s="135"/>
      <c r="E707" s="135"/>
      <c r="F707" s="135"/>
      <c r="G707" s="135"/>
      <c r="H707" s="135"/>
      <c r="I707" s="135"/>
      <c r="J707" s="135"/>
      <c r="K707" s="135"/>
      <c r="L707" s="135"/>
      <c r="M707" s="135"/>
      <c r="N707" s="135"/>
      <c r="O707" s="135"/>
      <c r="P707" s="135"/>
      <c r="Q707" s="135"/>
      <c r="R707" s="135"/>
      <c r="S707" s="135"/>
      <c r="T707" s="135"/>
      <c r="U707" s="135"/>
      <c r="V707" s="135"/>
      <c r="W707" s="135"/>
      <c r="X707" s="135"/>
      <c r="Y707" s="135"/>
      <c r="Z707" s="135"/>
      <c r="AA707" s="135"/>
      <c r="AB707" s="135"/>
      <c r="AC707" s="135"/>
      <c r="AD707" s="135"/>
      <c r="AE707" s="135"/>
      <c r="AF707" s="135"/>
      <c r="AG707" s="135"/>
      <c r="AH707" s="135"/>
      <c r="AI707" s="135"/>
      <c r="AJ707" s="135"/>
      <c r="AK707" s="135"/>
      <c r="AL707" s="135"/>
      <c r="AM707" s="135"/>
      <c r="AN707" s="135"/>
      <c r="AO707" s="135"/>
      <c r="AP707" s="135"/>
      <c r="AQ707" s="135"/>
      <c r="AR707" s="135"/>
      <c r="AS707" s="135"/>
      <c r="AT707" s="135"/>
      <c r="AU707" s="135"/>
      <c r="AV707" s="135"/>
      <c r="AW707" s="135"/>
      <c r="AX707" s="135"/>
      <c r="AY707" s="135"/>
      <c r="AZ707" s="135"/>
      <c r="BA707" s="135"/>
      <c r="BB707" s="135"/>
      <c r="BC707" s="135"/>
      <c r="BD707" s="135"/>
      <c r="BE707" s="135"/>
      <c r="BF707" s="135"/>
      <c r="BG707" s="135"/>
      <c r="BH707" s="135"/>
      <c r="BI707" s="135"/>
      <c r="BJ707" s="135"/>
      <c r="BK707" s="135"/>
      <c r="BL707" s="135"/>
      <c r="BM707" s="135"/>
      <c r="BN707" s="135"/>
      <c r="BO707" s="135"/>
      <c r="BP707" s="135"/>
      <c r="BQ707" s="135"/>
      <c r="BR707" s="135"/>
      <c r="BS707" s="135"/>
      <c r="BT707" s="135"/>
    </row>
    <row r="708" spans="1:72" s="196" customFormat="1">
      <c r="A708" s="135"/>
      <c r="B708" s="135"/>
      <c r="C708" s="135"/>
      <c r="D708" s="135"/>
      <c r="E708" s="135"/>
      <c r="F708" s="135"/>
      <c r="G708" s="135"/>
      <c r="H708" s="135"/>
      <c r="I708" s="135"/>
      <c r="J708" s="135"/>
      <c r="K708" s="135"/>
      <c r="L708" s="135"/>
      <c r="M708" s="135"/>
      <c r="N708" s="135"/>
      <c r="O708" s="135"/>
      <c r="P708" s="135"/>
      <c r="Q708" s="135"/>
      <c r="R708" s="135"/>
      <c r="S708" s="135"/>
      <c r="T708" s="135"/>
      <c r="U708" s="135"/>
      <c r="V708" s="135"/>
      <c r="W708" s="135"/>
      <c r="X708" s="135"/>
      <c r="Y708" s="135"/>
      <c r="Z708" s="135"/>
      <c r="AA708" s="135"/>
      <c r="AB708" s="135"/>
      <c r="AC708" s="135"/>
      <c r="AD708" s="135"/>
      <c r="AE708" s="135"/>
      <c r="AF708" s="135"/>
      <c r="AG708" s="135"/>
      <c r="AH708" s="135"/>
      <c r="AI708" s="135"/>
      <c r="AJ708" s="135"/>
      <c r="AK708" s="135"/>
      <c r="AL708" s="135"/>
      <c r="AM708" s="135"/>
      <c r="AN708" s="135"/>
      <c r="AO708" s="135"/>
      <c r="AP708" s="135"/>
      <c r="AQ708" s="135"/>
      <c r="AR708" s="135"/>
      <c r="AS708" s="135"/>
      <c r="AT708" s="135"/>
      <c r="AU708" s="135"/>
      <c r="AV708" s="135"/>
      <c r="AW708" s="135"/>
      <c r="AX708" s="135"/>
      <c r="AY708" s="135"/>
      <c r="AZ708" s="135"/>
      <c r="BA708" s="135"/>
      <c r="BB708" s="135"/>
      <c r="BC708" s="135"/>
      <c r="BD708" s="135"/>
      <c r="BE708" s="135"/>
      <c r="BF708" s="135"/>
      <c r="BG708" s="135"/>
      <c r="BH708" s="135"/>
      <c r="BI708" s="135"/>
      <c r="BJ708" s="135"/>
      <c r="BK708" s="135"/>
      <c r="BL708" s="135"/>
      <c r="BM708" s="135"/>
      <c r="BN708" s="135"/>
      <c r="BO708" s="135"/>
      <c r="BP708" s="135"/>
      <c r="BQ708" s="135"/>
      <c r="BR708" s="135"/>
      <c r="BS708" s="135"/>
      <c r="BT708" s="135"/>
    </row>
    <row r="709" spans="1:72" s="196" customFormat="1">
      <c r="A709" s="135"/>
      <c r="B709" s="135"/>
      <c r="C709" s="135"/>
      <c r="D709" s="135"/>
      <c r="E709" s="135"/>
      <c r="F709" s="135"/>
      <c r="G709" s="135"/>
      <c r="H709" s="135"/>
      <c r="I709" s="135"/>
      <c r="J709" s="135"/>
      <c r="K709" s="135"/>
      <c r="L709" s="135"/>
      <c r="M709" s="135"/>
      <c r="N709" s="135"/>
      <c r="O709" s="135"/>
      <c r="P709" s="135"/>
      <c r="Q709" s="135"/>
      <c r="R709" s="135"/>
      <c r="S709" s="135"/>
      <c r="T709" s="135"/>
      <c r="U709" s="135"/>
      <c r="V709" s="135"/>
      <c r="W709" s="135"/>
      <c r="X709" s="135"/>
      <c r="Y709" s="135"/>
      <c r="Z709" s="135"/>
      <c r="AA709" s="135"/>
      <c r="AB709" s="135"/>
      <c r="AC709" s="135"/>
      <c r="AD709" s="135"/>
      <c r="AE709" s="135"/>
      <c r="AF709" s="135"/>
      <c r="AG709" s="135"/>
      <c r="AH709" s="135"/>
      <c r="AI709" s="135"/>
      <c r="AJ709" s="135"/>
      <c r="AK709" s="135"/>
      <c r="AL709" s="135"/>
      <c r="AM709" s="135"/>
      <c r="AN709" s="135"/>
      <c r="AO709" s="135"/>
      <c r="AP709" s="135"/>
      <c r="AQ709" s="135"/>
      <c r="AR709" s="135"/>
      <c r="AS709" s="135"/>
      <c r="AT709" s="135"/>
      <c r="AU709" s="135"/>
      <c r="AV709" s="135"/>
      <c r="AW709" s="135"/>
      <c r="AX709" s="135"/>
      <c r="AY709" s="135"/>
      <c r="AZ709" s="135"/>
      <c r="BA709" s="135"/>
      <c r="BB709" s="135"/>
      <c r="BC709" s="135"/>
      <c r="BD709" s="135"/>
      <c r="BE709" s="135"/>
      <c r="BF709" s="135"/>
      <c r="BG709" s="135"/>
      <c r="BH709" s="135"/>
      <c r="BI709" s="135"/>
      <c r="BJ709" s="135"/>
      <c r="BK709" s="135"/>
      <c r="BL709" s="135"/>
      <c r="BM709" s="135"/>
      <c r="BN709" s="135"/>
      <c r="BO709" s="135"/>
      <c r="BP709" s="135"/>
      <c r="BQ709" s="135"/>
      <c r="BR709" s="135"/>
      <c r="BS709" s="135"/>
      <c r="BT709" s="135"/>
    </row>
    <row r="710" spans="1:72" s="196" customFormat="1">
      <c r="A710" s="135"/>
      <c r="B710" s="135"/>
      <c r="C710" s="135"/>
      <c r="D710" s="135"/>
      <c r="E710" s="135"/>
      <c r="F710" s="135"/>
      <c r="G710" s="135"/>
      <c r="H710" s="135"/>
      <c r="I710" s="135"/>
      <c r="J710" s="135"/>
      <c r="K710" s="135"/>
      <c r="L710" s="135"/>
      <c r="M710" s="135"/>
      <c r="N710" s="135"/>
      <c r="O710" s="135"/>
      <c r="P710" s="135"/>
      <c r="Q710" s="135"/>
      <c r="R710" s="135"/>
      <c r="S710" s="135"/>
      <c r="T710" s="135"/>
      <c r="U710" s="135"/>
      <c r="V710" s="135"/>
      <c r="W710" s="135"/>
      <c r="X710" s="135"/>
      <c r="Y710" s="135"/>
      <c r="Z710" s="135"/>
      <c r="AA710" s="135"/>
      <c r="AB710" s="135"/>
      <c r="AC710" s="135"/>
      <c r="AD710" s="135"/>
      <c r="AE710" s="135"/>
      <c r="AF710" s="135"/>
      <c r="AG710" s="135"/>
      <c r="AH710" s="135"/>
      <c r="AI710" s="135"/>
      <c r="AJ710" s="135"/>
      <c r="AK710" s="135"/>
      <c r="AL710" s="135"/>
      <c r="AM710" s="135"/>
      <c r="AN710" s="135"/>
      <c r="AO710" s="135"/>
      <c r="AP710" s="135"/>
      <c r="AQ710" s="135"/>
      <c r="AR710" s="135"/>
      <c r="AS710" s="135"/>
      <c r="AT710" s="135"/>
      <c r="AU710" s="135"/>
      <c r="AV710" s="135"/>
      <c r="AW710" s="135"/>
      <c r="AX710" s="135"/>
      <c r="AY710" s="135"/>
      <c r="AZ710" s="135"/>
      <c r="BA710" s="135"/>
      <c r="BB710" s="135"/>
      <c r="BC710" s="135"/>
      <c r="BD710" s="135"/>
      <c r="BE710" s="135"/>
      <c r="BF710" s="135"/>
      <c r="BG710" s="135"/>
      <c r="BH710" s="135"/>
      <c r="BI710" s="135"/>
      <c r="BJ710" s="135"/>
      <c r="BK710" s="135"/>
      <c r="BL710" s="135"/>
      <c r="BM710" s="135"/>
      <c r="BN710" s="135"/>
      <c r="BO710" s="135"/>
      <c r="BP710" s="135"/>
      <c r="BQ710" s="135"/>
      <c r="BR710" s="135"/>
      <c r="BS710" s="135"/>
      <c r="BT710" s="135"/>
    </row>
    <row r="711" spans="1:72" s="196" customFormat="1">
      <c r="A711" s="135"/>
      <c r="B711" s="135"/>
      <c r="C711" s="135"/>
      <c r="D711" s="135"/>
      <c r="E711" s="135"/>
      <c r="F711" s="135"/>
      <c r="G711" s="135"/>
      <c r="H711" s="135"/>
      <c r="I711" s="135"/>
      <c r="J711" s="135"/>
      <c r="K711" s="135"/>
      <c r="L711" s="135"/>
      <c r="M711" s="135"/>
      <c r="N711" s="135"/>
      <c r="O711" s="135"/>
      <c r="P711" s="135"/>
      <c r="Q711" s="135"/>
      <c r="R711" s="135"/>
      <c r="S711" s="135"/>
      <c r="T711" s="135"/>
      <c r="U711" s="135"/>
      <c r="V711" s="135"/>
      <c r="W711" s="135"/>
      <c r="X711" s="135"/>
      <c r="Y711" s="135"/>
      <c r="Z711" s="135"/>
      <c r="AA711" s="135"/>
      <c r="AB711" s="135"/>
      <c r="AC711" s="135"/>
      <c r="AD711" s="135"/>
      <c r="AE711" s="135"/>
      <c r="AF711" s="135"/>
      <c r="AG711" s="135"/>
      <c r="AH711" s="135"/>
      <c r="AI711" s="135"/>
      <c r="AJ711" s="135"/>
      <c r="AK711" s="135"/>
      <c r="AL711" s="135"/>
      <c r="AM711" s="135"/>
      <c r="AN711" s="135"/>
      <c r="AO711" s="135"/>
      <c r="AP711" s="135"/>
      <c r="AQ711" s="135"/>
      <c r="AR711" s="135"/>
      <c r="AS711" s="135"/>
      <c r="AT711" s="135"/>
      <c r="AU711" s="135"/>
      <c r="AV711" s="135"/>
      <c r="AW711" s="135"/>
      <c r="AX711" s="135"/>
      <c r="AY711" s="135"/>
      <c r="AZ711" s="135"/>
      <c r="BA711" s="135"/>
      <c r="BB711" s="135"/>
      <c r="BC711" s="135"/>
      <c r="BD711" s="135"/>
      <c r="BE711" s="135"/>
      <c r="BF711" s="135"/>
      <c r="BG711" s="135"/>
      <c r="BH711" s="135"/>
      <c r="BI711" s="135"/>
      <c r="BJ711" s="135"/>
      <c r="BK711" s="135"/>
      <c r="BL711" s="135"/>
      <c r="BM711" s="135"/>
      <c r="BN711" s="135"/>
      <c r="BO711" s="135"/>
      <c r="BP711" s="135"/>
      <c r="BQ711" s="135"/>
      <c r="BR711" s="135"/>
      <c r="BS711" s="135"/>
      <c r="BT711" s="135"/>
    </row>
    <row r="712" spans="1:72" s="196" customFormat="1">
      <c r="A712" s="135"/>
      <c r="B712" s="135"/>
      <c r="C712" s="135"/>
      <c r="D712" s="135"/>
      <c r="E712" s="135"/>
      <c r="F712" s="135"/>
      <c r="G712" s="135"/>
      <c r="H712" s="135"/>
      <c r="I712" s="135"/>
      <c r="J712" s="135"/>
      <c r="K712" s="135"/>
      <c r="L712" s="135"/>
      <c r="M712" s="135"/>
      <c r="N712" s="135"/>
      <c r="O712" s="135"/>
      <c r="P712" s="135"/>
      <c r="Q712" s="135"/>
      <c r="R712" s="135"/>
      <c r="S712" s="135"/>
      <c r="T712" s="135"/>
      <c r="U712" s="135"/>
      <c r="V712" s="135"/>
      <c r="W712" s="135"/>
      <c r="X712" s="135"/>
      <c r="Y712" s="135"/>
      <c r="Z712" s="135"/>
      <c r="AA712" s="135"/>
      <c r="AB712" s="135"/>
      <c r="AC712" s="135"/>
      <c r="AD712" s="135"/>
      <c r="AE712" s="135"/>
      <c r="AF712" s="135"/>
      <c r="AG712" s="135"/>
      <c r="AH712" s="135"/>
      <c r="AI712" s="135"/>
      <c r="AJ712" s="135"/>
      <c r="AK712" s="135"/>
      <c r="AL712" s="135"/>
      <c r="AM712" s="135"/>
      <c r="AN712" s="135"/>
      <c r="AO712" s="135"/>
      <c r="AP712" s="135"/>
      <c r="AQ712" s="135"/>
      <c r="AR712" s="135"/>
      <c r="AS712" s="135"/>
      <c r="AT712" s="135"/>
      <c r="AU712" s="135"/>
      <c r="AV712" s="135"/>
      <c r="AW712" s="135"/>
      <c r="AX712" s="135"/>
      <c r="AY712" s="135"/>
      <c r="AZ712" s="135"/>
      <c r="BA712" s="135"/>
      <c r="BB712" s="135"/>
      <c r="BC712" s="135"/>
      <c r="BD712" s="135"/>
      <c r="BE712" s="135"/>
      <c r="BF712" s="135"/>
      <c r="BG712" s="135"/>
      <c r="BH712" s="135"/>
      <c r="BI712" s="135"/>
      <c r="BJ712" s="135"/>
      <c r="BK712" s="135"/>
      <c r="BL712" s="135"/>
      <c r="BM712" s="135"/>
      <c r="BN712" s="135"/>
      <c r="BO712" s="135"/>
      <c r="BP712" s="135"/>
      <c r="BQ712" s="135"/>
      <c r="BR712" s="135"/>
      <c r="BS712" s="135"/>
      <c r="BT712" s="135"/>
    </row>
    <row r="713" spans="1:72" s="196" customFormat="1">
      <c r="A713" s="135"/>
      <c r="B713" s="135"/>
      <c r="C713" s="135"/>
      <c r="D713" s="135"/>
      <c r="E713" s="135"/>
      <c r="F713" s="135"/>
      <c r="G713" s="135"/>
      <c r="H713" s="135"/>
      <c r="I713" s="135"/>
      <c r="J713" s="135"/>
      <c r="K713" s="135"/>
      <c r="L713" s="135"/>
      <c r="M713" s="135"/>
      <c r="N713" s="135"/>
      <c r="O713" s="135"/>
      <c r="P713" s="135"/>
      <c r="Q713" s="135"/>
      <c r="R713" s="135"/>
      <c r="S713" s="135"/>
      <c r="T713" s="135"/>
      <c r="U713" s="135"/>
      <c r="V713" s="135"/>
      <c r="W713" s="135"/>
      <c r="X713" s="135"/>
      <c r="Y713" s="135"/>
      <c r="Z713" s="135"/>
      <c r="AA713" s="135"/>
      <c r="AB713" s="135"/>
      <c r="AC713" s="135"/>
      <c r="AD713" s="135"/>
      <c r="AE713" s="135"/>
      <c r="AF713" s="135"/>
      <c r="AG713" s="135"/>
      <c r="AH713" s="135"/>
      <c r="AI713" s="135"/>
      <c r="AJ713" s="135"/>
      <c r="AK713" s="135"/>
      <c r="AL713" s="135"/>
      <c r="AM713" s="135"/>
      <c r="AN713" s="135"/>
      <c r="AO713" s="135"/>
      <c r="AP713" s="135"/>
      <c r="AQ713" s="135"/>
      <c r="AR713" s="135"/>
      <c r="AS713" s="135"/>
      <c r="AT713" s="135"/>
      <c r="AU713" s="135"/>
      <c r="AV713" s="135"/>
      <c r="AW713" s="135"/>
      <c r="AX713" s="135"/>
      <c r="AY713" s="135"/>
      <c r="AZ713" s="135"/>
      <c r="BA713" s="135"/>
      <c r="BB713" s="135"/>
      <c r="BC713" s="135"/>
      <c r="BD713" s="135"/>
      <c r="BE713" s="135"/>
      <c r="BF713" s="135"/>
      <c r="BG713" s="135"/>
      <c r="BH713" s="135"/>
      <c r="BI713" s="135"/>
      <c r="BJ713" s="135"/>
      <c r="BK713" s="135"/>
      <c r="BL713" s="135"/>
      <c r="BM713" s="135"/>
      <c r="BN713" s="135"/>
      <c r="BO713" s="135"/>
      <c r="BP713" s="135"/>
      <c r="BQ713" s="135"/>
      <c r="BR713" s="135"/>
      <c r="BS713" s="135"/>
      <c r="BT713" s="135"/>
    </row>
    <row r="714" spans="1:72" s="196" customFormat="1">
      <c r="A714" s="135"/>
      <c r="B714" s="135"/>
      <c r="C714" s="135"/>
      <c r="D714" s="135"/>
      <c r="E714" s="135"/>
      <c r="F714" s="135"/>
      <c r="G714" s="135"/>
      <c r="H714" s="135"/>
      <c r="I714" s="135"/>
      <c r="J714" s="135"/>
      <c r="K714" s="135"/>
      <c r="L714" s="135"/>
      <c r="M714" s="135"/>
      <c r="N714" s="135"/>
      <c r="O714" s="135"/>
      <c r="P714" s="135"/>
      <c r="Q714" s="135"/>
      <c r="R714" s="135"/>
      <c r="S714" s="135"/>
      <c r="T714" s="135"/>
      <c r="U714" s="135"/>
      <c r="V714" s="135"/>
      <c r="W714" s="135"/>
      <c r="X714" s="135"/>
      <c r="Y714" s="135"/>
      <c r="Z714" s="135"/>
      <c r="AA714" s="135"/>
      <c r="AB714" s="135"/>
      <c r="AC714" s="135"/>
      <c r="AD714" s="135"/>
      <c r="AE714" s="135"/>
      <c r="AF714" s="135"/>
      <c r="AG714" s="135"/>
      <c r="AH714" s="135"/>
      <c r="AI714" s="135"/>
      <c r="AJ714" s="135"/>
      <c r="AK714" s="135"/>
      <c r="AL714" s="135"/>
      <c r="AM714" s="135"/>
      <c r="AN714" s="135"/>
      <c r="AO714" s="135"/>
      <c r="AP714" s="135"/>
      <c r="AQ714" s="135"/>
      <c r="AR714" s="135"/>
      <c r="AS714" s="135"/>
      <c r="AT714" s="135"/>
      <c r="AU714" s="135"/>
      <c r="AV714" s="135"/>
      <c r="AW714" s="135"/>
      <c r="AX714" s="135"/>
      <c r="AY714" s="135"/>
      <c r="AZ714" s="135"/>
      <c r="BA714" s="135"/>
      <c r="BB714" s="135"/>
      <c r="BC714" s="135"/>
      <c r="BD714" s="135"/>
      <c r="BE714" s="135"/>
      <c r="BF714" s="135"/>
      <c r="BG714" s="135"/>
      <c r="BH714" s="135"/>
      <c r="BI714" s="135"/>
      <c r="BJ714" s="135"/>
      <c r="BK714" s="135"/>
      <c r="BL714" s="135"/>
      <c r="BM714" s="135"/>
      <c r="BN714" s="135"/>
      <c r="BO714" s="135"/>
      <c r="BP714" s="135"/>
      <c r="BQ714" s="135"/>
      <c r="BR714" s="135"/>
      <c r="BS714" s="135"/>
      <c r="BT714" s="135"/>
    </row>
    <row r="715" spans="1:72" s="196" customFormat="1">
      <c r="A715" s="135"/>
      <c r="B715" s="135"/>
      <c r="C715" s="135"/>
      <c r="D715" s="135"/>
      <c r="E715" s="135"/>
      <c r="F715" s="135"/>
      <c r="G715" s="135"/>
      <c r="H715" s="135"/>
      <c r="I715" s="135"/>
      <c r="J715" s="135"/>
      <c r="K715" s="135"/>
      <c r="L715" s="135"/>
      <c r="M715" s="135"/>
      <c r="N715" s="135"/>
      <c r="O715" s="135"/>
      <c r="P715" s="135"/>
      <c r="Q715" s="135"/>
      <c r="R715" s="135"/>
      <c r="S715" s="135"/>
      <c r="T715" s="135"/>
      <c r="U715" s="135"/>
      <c r="V715" s="135"/>
      <c r="W715" s="135"/>
      <c r="X715" s="135"/>
      <c r="Y715" s="135"/>
      <c r="Z715" s="135"/>
      <c r="AA715" s="135"/>
      <c r="AB715" s="135"/>
      <c r="AC715" s="135"/>
      <c r="AD715" s="135"/>
      <c r="AE715" s="135"/>
      <c r="AF715" s="135"/>
      <c r="AG715" s="135"/>
      <c r="AH715" s="135"/>
      <c r="AI715" s="135"/>
      <c r="AJ715" s="135"/>
      <c r="AK715" s="135"/>
      <c r="AL715" s="135"/>
      <c r="AM715" s="135"/>
      <c r="AN715" s="135"/>
      <c r="AO715" s="135"/>
      <c r="AP715" s="135"/>
      <c r="AQ715" s="135"/>
      <c r="AR715" s="135"/>
      <c r="AS715" s="135"/>
      <c r="AT715" s="135"/>
      <c r="AU715" s="135"/>
      <c r="AV715" s="135"/>
      <c r="AW715" s="135"/>
      <c r="AX715" s="135"/>
      <c r="AY715" s="135"/>
      <c r="AZ715" s="135"/>
      <c r="BA715" s="135"/>
      <c r="BB715" s="135"/>
      <c r="BC715" s="135"/>
      <c r="BD715" s="135"/>
      <c r="BE715" s="135"/>
      <c r="BF715" s="135"/>
      <c r="BG715" s="135"/>
      <c r="BH715" s="135"/>
      <c r="BI715" s="135"/>
      <c r="BJ715" s="135"/>
      <c r="BK715" s="135"/>
      <c r="BL715" s="135"/>
      <c r="BM715" s="135"/>
      <c r="BN715" s="135"/>
      <c r="BO715" s="135"/>
      <c r="BP715" s="135"/>
      <c r="BQ715" s="135"/>
      <c r="BR715" s="135"/>
      <c r="BS715" s="135"/>
      <c r="BT715" s="135"/>
    </row>
    <row r="716" spans="1:72" s="196" customFormat="1">
      <c r="A716" s="135"/>
      <c r="B716" s="135"/>
      <c r="C716" s="135"/>
      <c r="D716" s="135"/>
      <c r="E716" s="135"/>
      <c r="F716" s="135"/>
      <c r="G716" s="135"/>
      <c r="H716" s="135"/>
      <c r="I716" s="135"/>
      <c r="J716" s="135"/>
      <c r="K716" s="135"/>
      <c r="L716" s="135"/>
      <c r="M716" s="135"/>
      <c r="N716" s="135"/>
      <c r="O716" s="135"/>
      <c r="P716" s="135"/>
      <c r="Q716" s="135"/>
      <c r="R716" s="135"/>
      <c r="S716" s="135"/>
      <c r="T716" s="135"/>
      <c r="U716" s="135"/>
      <c r="V716" s="135"/>
      <c r="W716" s="135"/>
      <c r="X716" s="135"/>
      <c r="Y716" s="135"/>
      <c r="Z716" s="135"/>
      <c r="AA716" s="135"/>
      <c r="AB716" s="135"/>
      <c r="AC716" s="135"/>
      <c r="AD716" s="135"/>
      <c r="AE716" s="135"/>
      <c r="AF716" s="135"/>
      <c r="AG716" s="135"/>
      <c r="AH716" s="135"/>
      <c r="AI716" s="135"/>
      <c r="AJ716" s="135"/>
      <c r="AK716" s="135"/>
      <c r="AL716" s="135"/>
      <c r="AM716" s="135"/>
      <c r="AN716" s="135"/>
      <c r="AO716" s="135"/>
      <c r="AP716" s="135"/>
      <c r="AQ716" s="135"/>
      <c r="AR716" s="135"/>
      <c r="AS716" s="135"/>
      <c r="AT716" s="135"/>
      <c r="AU716" s="135"/>
      <c r="AV716" s="135"/>
      <c r="AW716" s="135"/>
      <c r="AX716" s="135"/>
      <c r="AY716" s="135"/>
      <c r="AZ716" s="135"/>
      <c r="BA716" s="135"/>
      <c r="BB716" s="135"/>
      <c r="BC716" s="135"/>
      <c r="BD716" s="135"/>
      <c r="BE716" s="135"/>
      <c r="BF716" s="135"/>
      <c r="BG716" s="135"/>
      <c r="BH716" s="135"/>
      <c r="BI716" s="135"/>
      <c r="BJ716" s="135"/>
      <c r="BK716" s="135"/>
      <c r="BL716" s="135"/>
      <c r="BM716" s="135"/>
      <c r="BN716" s="135"/>
      <c r="BO716" s="135"/>
      <c r="BP716" s="135"/>
      <c r="BQ716" s="135"/>
      <c r="BR716" s="135"/>
      <c r="BS716" s="135"/>
      <c r="BT716" s="135"/>
    </row>
    <row r="717" spans="1:72" s="196" customFormat="1">
      <c r="A717" s="135"/>
      <c r="B717" s="135"/>
      <c r="C717" s="135"/>
      <c r="D717" s="135"/>
      <c r="E717" s="135"/>
      <c r="F717" s="135"/>
      <c r="G717" s="135"/>
      <c r="H717" s="135"/>
      <c r="I717" s="135"/>
      <c r="J717" s="135"/>
      <c r="K717" s="135"/>
      <c r="L717" s="135"/>
      <c r="M717" s="135"/>
      <c r="N717" s="135"/>
      <c r="O717" s="135"/>
      <c r="P717" s="135"/>
      <c r="Q717" s="135"/>
      <c r="R717" s="135"/>
      <c r="S717" s="135"/>
      <c r="T717" s="135"/>
      <c r="U717" s="135"/>
      <c r="V717" s="135"/>
      <c r="W717" s="135"/>
      <c r="X717" s="135"/>
      <c r="Y717" s="135"/>
      <c r="Z717" s="135"/>
      <c r="AA717" s="135"/>
      <c r="AB717" s="135"/>
      <c r="AC717" s="135"/>
      <c r="AD717" s="135"/>
      <c r="AE717" s="135"/>
      <c r="AF717" s="135"/>
      <c r="AG717" s="135"/>
      <c r="AH717" s="135"/>
      <c r="AI717" s="135"/>
      <c r="AJ717" s="135"/>
      <c r="AK717" s="135"/>
      <c r="AL717" s="135"/>
      <c r="AM717" s="135"/>
      <c r="AN717" s="135"/>
      <c r="AO717" s="135"/>
      <c r="AP717" s="135"/>
      <c r="AQ717" s="135"/>
      <c r="AR717" s="135"/>
      <c r="AS717" s="135"/>
      <c r="AT717" s="135"/>
      <c r="AU717" s="135"/>
      <c r="AV717" s="135"/>
      <c r="AW717" s="135"/>
      <c r="AX717" s="135"/>
      <c r="AY717" s="135"/>
      <c r="AZ717" s="135"/>
      <c r="BA717" s="135"/>
      <c r="BB717" s="135"/>
      <c r="BC717" s="135"/>
      <c r="BD717" s="135"/>
      <c r="BE717" s="135"/>
      <c r="BF717" s="135"/>
      <c r="BG717" s="135"/>
      <c r="BH717" s="135"/>
      <c r="BI717" s="135"/>
      <c r="BJ717" s="135"/>
      <c r="BK717" s="135"/>
      <c r="BL717" s="135"/>
      <c r="BM717" s="135"/>
      <c r="BN717" s="135"/>
      <c r="BO717" s="135"/>
      <c r="BP717" s="135"/>
      <c r="BQ717" s="135"/>
      <c r="BR717" s="135"/>
      <c r="BS717" s="135"/>
      <c r="BT717" s="135"/>
    </row>
    <row r="718" spans="1:72" s="196" customFormat="1">
      <c r="A718" s="135"/>
      <c r="B718" s="135"/>
      <c r="C718" s="135"/>
      <c r="D718" s="135"/>
      <c r="E718" s="135"/>
      <c r="F718" s="135"/>
      <c r="G718" s="135"/>
      <c r="H718" s="135"/>
      <c r="I718" s="135"/>
      <c r="J718" s="135"/>
      <c r="K718" s="135"/>
      <c r="L718" s="135"/>
      <c r="M718" s="135"/>
      <c r="N718" s="135"/>
      <c r="O718" s="135"/>
      <c r="P718" s="135"/>
      <c r="Q718" s="135"/>
      <c r="R718" s="135"/>
      <c r="S718" s="135"/>
      <c r="T718" s="135"/>
      <c r="U718" s="135"/>
      <c r="V718" s="135"/>
      <c r="W718" s="135"/>
      <c r="X718" s="135"/>
      <c r="Y718" s="135"/>
      <c r="Z718" s="135"/>
      <c r="AA718" s="135"/>
      <c r="AB718" s="135"/>
      <c r="AC718" s="135"/>
      <c r="AD718" s="135"/>
      <c r="AE718" s="135"/>
      <c r="AF718" s="135"/>
      <c r="AG718" s="135"/>
      <c r="AH718" s="135"/>
      <c r="AI718" s="135"/>
      <c r="AJ718" s="135"/>
      <c r="AK718" s="135"/>
      <c r="AL718" s="135"/>
      <c r="AM718" s="135"/>
      <c r="AN718" s="135"/>
      <c r="AO718" s="135"/>
      <c r="AP718" s="135"/>
      <c r="AQ718" s="135"/>
      <c r="AR718" s="135"/>
      <c r="AS718" s="135"/>
      <c r="AT718" s="135"/>
      <c r="AU718" s="135"/>
      <c r="AV718" s="135"/>
      <c r="AW718" s="135"/>
      <c r="AX718" s="135"/>
      <c r="AY718" s="135"/>
      <c r="AZ718" s="135"/>
      <c r="BA718" s="135"/>
      <c r="BB718" s="135"/>
      <c r="BC718" s="135"/>
      <c r="BD718" s="135"/>
      <c r="BE718" s="135"/>
      <c r="BF718" s="135"/>
      <c r="BG718" s="135"/>
      <c r="BH718" s="135"/>
      <c r="BI718" s="135"/>
      <c r="BJ718" s="135"/>
      <c r="BK718" s="135"/>
      <c r="BL718" s="135"/>
      <c r="BM718" s="135"/>
      <c r="BN718" s="135"/>
      <c r="BO718" s="135"/>
      <c r="BP718" s="135"/>
      <c r="BQ718" s="135"/>
      <c r="BR718" s="135"/>
      <c r="BS718" s="135"/>
      <c r="BT718" s="135"/>
    </row>
    <row r="719" spans="1:72" s="196" customFormat="1">
      <c r="A719" s="135"/>
      <c r="B719" s="135"/>
      <c r="C719" s="135"/>
      <c r="D719" s="135"/>
      <c r="E719" s="135"/>
      <c r="F719" s="135"/>
      <c r="G719" s="135"/>
      <c r="H719" s="135"/>
      <c r="I719" s="135"/>
      <c r="J719" s="135"/>
      <c r="K719" s="135"/>
      <c r="L719" s="135"/>
      <c r="M719" s="135"/>
      <c r="N719" s="135"/>
      <c r="O719" s="135"/>
      <c r="P719" s="135"/>
      <c r="Q719" s="135"/>
      <c r="R719" s="135"/>
      <c r="S719" s="135"/>
      <c r="T719" s="135"/>
      <c r="U719" s="135"/>
      <c r="V719" s="135"/>
      <c r="W719" s="135"/>
      <c r="X719" s="135"/>
      <c r="Y719" s="135"/>
      <c r="Z719" s="135"/>
      <c r="AA719" s="135"/>
      <c r="AB719" s="135"/>
      <c r="AC719" s="135"/>
      <c r="AD719" s="135"/>
      <c r="AE719" s="135"/>
      <c r="AF719" s="135"/>
      <c r="AG719" s="135"/>
      <c r="AH719" s="135"/>
      <c r="AI719" s="135"/>
      <c r="AJ719" s="135"/>
      <c r="AK719" s="135"/>
      <c r="AL719" s="135"/>
      <c r="AM719" s="135"/>
      <c r="AN719" s="135"/>
      <c r="AO719" s="135"/>
      <c r="AP719" s="135"/>
      <c r="AQ719" s="135"/>
      <c r="AR719" s="135"/>
      <c r="AS719" s="135"/>
      <c r="AT719" s="135"/>
      <c r="AU719" s="135"/>
      <c r="AV719" s="135"/>
      <c r="AW719" s="135"/>
      <c r="AX719" s="135"/>
      <c r="AY719" s="135"/>
      <c r="AZ719" s="135"/>
      <c r="BA719" s="135"/>
      <c r="BB719" s="135"/>
      <c r="BC719" s="135"/>
      <c r="BD719" s="135"/>
      <c r="BE719" s="135"/>
      <c r="BF719" s="135"/>
      <c r="BG719" s="135"/>
      <c r="BH719" s="135"/>
      <c r="BI719" s="135"/>
      <c r="BJ719" s="135"/>
      <c r="BK719" s="135"/>
      <c r="BL719" s="135"/>
      <c r="BM719" s="135"/>
      <c r="BN719" s="135"/>
      <c r="BO719" s="135"/>
      <c r="BP719" s="135"/>
      <c r="BQ719" s="135"/>
      <c r="BR719" s="135"/>
      <c r="BS719" s="135"/>
      <c r="BT719" s="135"/>
    </row>
    <row r="720" spans="1:72" s="196" customFormat="1">
      <c r="A720" s="135"/>
      <c r="B720" s="135"/>
      <c r="C720" s="135"/>
      <c r="D720" s="135"/>
      <c r="E720" s="135"/>
      <c r="F720" s="135"/>
      <c r="G720" s="135"/>
      <c r="H720" s="135"/>
      <c r="I720" s="135"/>
      <c r="J720" s="135"/>
      <c r="K720" s="135"/>
      <c r="L720" s="135"/>
      <c r="M720" s="135"/>
      <c r="N720" s="135"/>
      <c r="O720" s="135"/>
      <c r="P720" s="135"/>
      <c r="Q720" s="135"/>
      <c r="R720" s="135"/>
      <c r="S720" s="135"/>
      <c r="T720" s="135"/>
      <c r="U720" s="135"/>
      <c r="V720" s="135"/>
      <c r="W720" s="135"/>
      <c r="X720" s="135"/>
      <c r="Y720" s="135"/>
      <c r="Z720" s="135"/>
      <c r="AA720" s="135"/>
      <c r="AB720" s="135"/>
      <c r="AC720" s="135"/>
      <c r="AD720" s="135"/>
      <c r="AE720" s="135"/>
      <c r="AF720" s="135"/>
      <c r="AG720" s="135"/>
      <c r="AH720" s="135"/>
      <c r="AI720" s="135"/>
      <c r="AJ720" s="135"/>
      <c r="AK720" s="135"/>
      <c r="AL720" s="135"/>
      <c r="AM720" s="135"/>
      <c r="AN720" s="135"/>
      <c r="AO720" s="135"/>
      <c r="AP720" s="135"/>
      <c r="AQ720" s="135"/>
      <c r="AR720" s="135"/>
      <c r="AS720" s="135"/>
      <c r="AT720" s="135"/>
      <c r="AU720" s="135"/>
      <c r="AV720" s="135"/>
      <c r="AW720" s="135"/>
      <c r="AX720" s="135"/>
      <c r="AY720" s="135"/>
      <c r="AZ720" s="135"/>
      <c r="BA720" s="135"/>
      <c r="BB720" s="135"/>
      <c r="BC720" s="135"/>
      <c r="BD720" s="135"/>
      <c r="BE720" s="135"/>
      <c r="BF720" s="135"/>
      <c r="BG720" s="135"/>
      <c r="BH720" s="135"/>
      <c r="BI720" s="135"/>
      <c r="BJ720" s="135"/>
      <c r="BK720" s="135"/>
      <c r="BL720" s="135"/>
      <c r="BM720" s="135"/>
      <c r="BN720" s="135"/>
      <c r="BO720" s="135"/>
      <c r="BP720" s="135"/>
      <c r="BQ720" s="135"/>
      <c r="BR720" s="135"/>
      <c r="BS720" s="135"/>
      <c r="BT720" s="135"/>
    </row>
    <row r="721" spans="1:72" s="196" customFormat="1">
      <c r="A721" s="135"/>
      <c r="B721" s="135"/>
      <c r="C721" s="135"/>
      <c r="D721" s="135"/>
      <c r="E721" s="135"/>
      <c r="F721" s="135"/>
      <c r="G721" s="135"/>
      <c r="H721" s="135"/>
      <c r="I721" s="135"/>
      <c r="J721" s="135"/>
      <c r="K721" s="135"/>
      <c r="L721" s="135"/>
      <c r="M721" s="135"/>
      <c r="N721" s="135"/>
      <c r="O721" s="135"/>
      <c r="P721" s="135"/>
      <c r="Q721" s="135"/>
      <c r="R721" s="135"/>
      <c r="S721" s="135"/>
      <c r="T721" s="135"/>
      <c r="U721" s="135"/>
      <c r="V721" s="135"/>
      <c r="W721" s="135"/>
      <c r="X721" s="135"/>
      <c r="Y721" s="135"/>
      <c r="Z721" s="135"/>
      <c r="AA721" s="135"/>
      <c r="AB721" s="135"/>
      <c r="AC721" s="135"/>
      <c r="AD721" s="135"/>
      <c r="AE721" s="135"/>
      <c r="AF721" s="135"/>
      <c r="AG721" s="135"/>
      <c r="AH721" s="135"/>
      <c r="AI721" s="135"/>
      <c r="AJ721" s="135"/>
      <c r="AK721" s="135"/>
      <c r="AL721" s="135"/>
      <c r="AM721" s="135"/>
      <c r="AN721" s="135"/>
      <c r="AO721" s="135"/>
      <c r="AP721" s="135"/>
      <c r="AQ721" s="135"/>
      <c r="AR721" s="135"/>
      <c r="AS721" s="135"/>
      <c r="AT721" s="135"/>
      <c r="AU721" s="135"/>
      <c r="AV721" s="135"/>
      <c r="AW721" s="135"/>
      <c r="AX721" s="135"/>
      <c r="AY721" s="135"/>
      <c r="AZ721" s="135"/>
      <c r="BA721" s="135"/>
      <c r="BB721" s="135"/>
      <c r="BC721" s="135"/>
      <c r="BD721" s="135"/>
      <c r="BE721" s="135"/>
      <c r="BF721" s="135"/>
      <c r="BG721" s="135"/>
      <c r="BH721" s="135"/>
      <c r="BI721" s="135"/>
      <c r="BJ721" s="135"/>
      <c r="BK721" s="135"/>
      <c r="BL721" s="135"/>
      <c r="BM721" s="135"/>
      <c r="BN721" s="135"/>
      <c r="BO721" s="135"/>
      <c r="BP721" s="135"/>
      <c r="BQ721" s="135"/>
      <c r="BR721" s="135"/>
      <c r="BS721" s="135"/>
      <c r="BT721" s="135"/>
    </row>
    <row r="722" spans="1:72" s="196" customFormat="1">
      <c r="A722" s="135"/>
      <c r="B722" s="135"/>
      <c r="C722" s="135"/>
      <c r="D722" s="135"/>
      <c r="E722" s="135"/>
      <c r="F722" s="135"/>
      <c r="G722" s="135"/>
      <c r="H722" s="135"/>
      <c r="I722" s="135"/>
      <c r="J722" s="135"/>
      <c r="K722" s="135"/>
      <c r="L722" s="135"/>
      <c r="M722" s="135"/>
      <c r="N722" s="135"/>
      <c r="O722" s="135"/>
      <c r="P722" s="135"/>
      <c r="Q722" s="135"/>
      <c r="R722" s="135"/>
      <c r="S722" s="135"/>
      <c r="T722" s="135"/>
      <c r="U722" s="135"/>
      <c r="V722" s="135"/>
      <c r="W722" s="135"/>
      <c r="X722" s="135"/>
      <c r="Y722" s="135"/>
      <c r="Z722" s="135"/>
      <c r="AA722" s="135"/>
      <c r="AB722" s="135"/>
      <c r="AC722" s="135"/>
      <c r="AD722" s="135"/>
      <c r="AE722" s="135"/>
      <c r="AF722" s="135"/>
      <c r="AG722" s="135"/>
      <c r="AH722" s="135"/>
      <c r="AI722" s="135"/>
      <c r="AJ722" s="135"/>
      <c r="AK722" s="135"/>
      <c r="AL722" s="135"/>
      <c r="AM722" s="135"/>
      <c r="AN722" s="135"/>
      <c r="AO722" s="135"/>
      <c r="AP722" s="135"/>
      <c r="AQ722" s="135"/>
      <c r="AR722" s="135"/>
      <c r="AS722" s="135"/>
      <c r="AT722" s="135"/>
      <c r="AU722" s="135"/>
      <c r="AV722" s="135"/>
      <c r="AW722" s="135"/>
      <c r="AX722" s="135"/>
      <c r="AY722" s="135"/>
      <c r="AZ722" s="135"/>
      <c r="BA722" s="135"/>
      <c r="BB722" s="135"/>
      <c r="BC722" s="135"/>
      <c r="BD722" s="135"/>
      <c r="BE722" s="135"/>
      <c r="BF722" s="135"/>
      <c r="BG722" s="135"/>
      <c r="BH722" s="135"/>
      <c r="BI722" s="135"/>
      <c r="BJ722" s="135"/>
      <c r="BK722" s="135"/>
      <c r="BL722" s="135"/>
      <c r="BM722" s="135"/>
      <c r="BN722" s="135"/>
      <c r="BO722" s="135"/>
      <c r="BP722" s="135"/>
      <c r="BQ722" s="135"/>
      <c r="BR722" s="135"/>
      <c r="BS722" s="135"/>
      <c r="BT722" s="135"/>
    </row>
    <row r="723" spans="1:72" s="196" customFormat="1">
      <c r="A723" s="135"/>
      <c r="B723" s="135"/>
      <c r="C723" s="135"/>
      <c r="D723" s="135"/>
      <c r="E723" s="135"/>
      <c r="F723" s="135"/>
      <c r="G723" s="135"/>
      <c r="H723" s="135"/>
      <c r="I723" s="135"/>
      <c r="J723" s="135"/>
      <c r="K723" s="135"/>
      <c r="L723" s="135"/>
      <c r="M723" s="135"/>
      <c r="N723" s="135"/>
      <c r="O723" s="135"/>
      <c r="P723" s="135"/>
      <c r="Q723" s="135"/>
      <c r="R723" s="135"/>
      <c r="S723" s="135"/>
      <c r="T723" s="135"/>
      <c r="U723" s="135"/>
      <c r="V723" s="135"/>
      <c r="W723" s="135"/>
      <c r="X723" s="135"/>
      <c r="Y723" s="135"/>
      <c r="Z723" s="135"/>
      <c r="AA723" s="135"/>
      <c r="AB723" s="135"/>
      <c r="AC723" s="135"/>
      <c r="AD723" s="135"/>
      <c r="AE723" s="135"/>
      <c r="AF723" s="135"/>
      <c r="AG723" s="135"/>
      <c r="AH723" s="135"/>
      <c r="AI723" s="135"/>
      <c r="AJ723" s="135"/>
      <c r="AK723" s="135"/>
      <c r="AL723" s="135"/>
      <c r="AM723" s="135"/>
      <c r="AN723" s="135"/>
      <c r="AO723" s="135"/>
      <c r="AP723" s="135"/>
      <c r="AQ723" s="135"/>
      <c r="AR723" s="135"/>
      <c r="AS723" s="135"/>
      <c r="AT723" s="135"/>
      <c r="AU723" s="135"/>
      <c r="AV723" s="135"/>
      <c r="AW723" s="135"/>
      <c r="AX723" s="135"/>
      <c r="AY723" s="135"/>
      <c r="AZ723" s="135"/>
      <c r="BA723" s="135"/>
      <c r="BB723" s="135"/>
      <c r="BC723" s="135"/>
      <c r="BD723" s="135"/>
      <c r="BE723" s="135"/>
      <c r="BF723" s="135"/>
      <c r="BG723" s="135"/>
      <c r="BH723" s="135"/>
      <c r="BI723" s="135"/>
      <c r="BJ723" s="135"/>
      <c r="BK723" s="135"/>
      <c r="BL723" s="135"/>
      <c r="BM723" s="135"/>
      <c r="BN723" s="135"/>
      <c r="BO723" s="135"/>
      <c r="BP723" s="135"/>
      <c r="BQ723" s="135"/>
      <c r="BR723" s="135"/>
      <c r="BS723" s="135"/>
      <c r="BT723" s="135"/>
    </row>
    <row r="724" spans="1:72" s="196" customFormat="1">
      <c r="A724" s="135"/>
      <c r="B724" s="135"/>
      <c r="C724" s="135"/>
      <c r="D724" s="135"/>
      <c r="E724" s="135"/>
      <c r="F724" s="135"/>
      <c r="G724" s="135"/>
      <c r="H724" s="135"/>
      <c r="I724" s="135"/>
      <c r="J724" s="135"/>
      <c r="K724" s="135"/>
      <c r="L724" s="135"/>
      <c r="M724" s="135"/>
      <c r="N724" s="135"/>
      <c r="O724" s="135"/>
      <c r="P724" s="135"/>
      <c r="Q724" s="135"/>
      <c r="R724" s="135"/>
      <c r="S724" s="135"/>
      <c r="T724" s="135"/>
      <c r="U724" s="135"/>
      <c r="V724" s="135"/>
      <c r="W724" s="135"/>
      <c r="X724" s="135"/>
      <c r="Y724" s="135"/>
      <c r="Z724" s="135"/>
      <c r="AA724" s="135"/>
      <c r="AB724" s="135"/>
      <c r="AC724" s="135"/>
      <c r="AD724" s="135"/>
      <c r="AE724" s="135"/>
      <c r="AF724" s="135"/>
      <c r="AG724" s="135"/>
      <c r="AH724" s="135"/>
      <c r="AI724" s="135"/>
      <c r="AJ724" s="135"/>
      <c r="AK724" s="135"/>
      <c r="AL724" s="135"/>
      <c r="AM724" s="135"/>
      <c r="AN724" s="135"/>
      <c r="AO724" s="135"/>
      <c r="AP724" s="135"/>
      <c r="AQ724" s="135"/>
      <c r="AR724" s="135"/>
      <c r="AS724" s="135"/>
      <c r="AT724" s="135"/>
      <c r="AU724" s="135"/>
      <c r="AV724" s="135"/>
      <c r="AW724" s="135"/>
      <c r="AX724" s="135"/>
      <c r="AY724" s="135"/>
      <c r="AZ724" s="135"/>
      <c r="BA724" s="135"/>
      <c r="BB724" s="135"/>
      <c r="BC724" s="135"/>
      <c r="BD724" s="135"/>
      <c r="BE724" s="135"/>
      <c r="BF724" s="135"/>
      <c r="BG724" s="135"/>
      <c r="BH724" s="135"/>
      <c r="BI724" s="135"/>
      <c r="BJ724" s="135"/>
      <c r="BK724" s="135"/>
      <c r="BL724" s="135"/>
      <c r="BM724" s="135"/>
      <c r="BN724" s="135"/>
      <c r="BO724" s="135"/>
      <c r="BP724" s="135"/>
      <c r="BQ724" s="135"/>
      <c r="BR724" s="135"/>
      <c r="BS724" s="135"/>
      <c r="BT724" s="135"/>
    </row>
    <row r="725" spans="1:72" s="196" customFormat="1">
      <c r="A725" s="135"/>
      <c r="B725" s="135"/>
      <c r="C725" s="135"/>
      <c r="D725" s="135"/>
      <c r="E725" s="135"/>
      <c r="F725" s="135"/>
      <c r="G725" s="135"/>
      <c r="H725" s="135"/>
      <c r="I725" s="135"/>
      <c r="J725" s="135"/>
      <c r="K725" s="135"/>
      <c r="L725" s="135"/>
      <c r="M725" s="135"/>
      <c r="N725" s="135"/>
      <c r="O725" s="135"/>
      <c r="P725" s="135"/>
      <c r="Q725" s="135"/>
      <c r="R725" s="135"/>
      <c r="S725" s="135"/>
      <c r="T725" s="135"/>
      <c r="U725" s="135"/>
      <c r="V725" s="135"/>
      <c r="W725" s="135"/>
      <c r="X725" s="135"/>
      <c r="Y725" s="135"/>
      <c r="Z725" s="135"/>
      <c r="AA725" s="135"/>
      <c r="AB725" s="135"/>
      <c r="AC725" s="135"/>
      <c r="AD725" s="135"/>
      <c r="AE725" s="135"/>
      <c r="AF725" s="135"/>
      <c r="AG725" s="135"/>
      <c r="AH725" s="135"/>
      <c r="AI725" s="135"/>
      <c r="AJ725" s="135"/>
      <c r="AK725" s="135"/>
      <c r="AL725" s="135"/>
      <c r="AM725" s="135"/>
      <c r="AN725" s="135"/>
      <c r="AO725" s="135"/>
      <c r="AP725" s="135"/>
      <c r="AQ725" s="135"/>
      <c r="AR725" s="135"/>
      <c r="AS725" s="135"/>
      <c r="AT725" s="135"/>
      <c r="AU725" s="135"/>
      <c r="AV725" s="135"/>
      <c r="AW725" s="135"/>
      <c r="AX725" s="135"/>
      <c r="AY725" s="135"/>
      <c r="AZ725" s="135"/>
      <c r="BA725" s="135"/>
      <c r="BB725" s="135"/>
      <c r="BC725" s="135"/>
      <c r="BD725" s="135"/>
      <c r="BE725" s="135"/>
      <c r="BF725" s="135"/>
      <c r="BG725" s="135"/>
      <c r="BH725" s="135"/>
      <c r="BI725" s="135"/>
      <c r="BJ725" s="135"/>
      <c r="BK725" s="135"/>
      <c r="BL725" s="135"/>
      <c r="BM725" s="135"/>
      <c r="BN725" s="135"/>
      <c r="BO725" s="135"/>
      <c r="BP725" s="135"/>
      <c r="BQ725" s="135"/>
      <c r="BR725" s="135"/>
      <c r="BS725" s="135"/>
      <c r="BT725" s="135"/>
    </row>
    <row r="726" spans="1:72" s="196" customFormat="1">
      <c r="A726" s="135"/>
      <c r="B726" s="135"/>
      <c r="C726" s="135"/>
      <c r="D726" s="135"/>
      <c r="E726" s="135"/>
      <c r="F726" s="135"/>
      <c r="G726" s="135"/>
      <c r="H726" s="135"/>
      <c r="I726" s="135"/>
      <c r="J726" s="135"/>
      <c r="K726" s="135"/>
      <c r="L726" s="135"/>
      <c r="M726" s="135"/>
      <c r="N726" s="135"/>
      <c r="O726" s="135"/>
      <c r="P726" s="135"/>
      <c r="Q726" s="135"/>
      <c r="R726" s="135"/>
      <c r="S726" s="135"/>
      <c r="T726" s="135"/>
      <c r="U726" s="135"/>
      <c r="V726" s="135"/>
      <c r="W726" s="135"/>
      <c r="X726" s="135"/>
      <c r="Y726" s="135"/>
      <c r="Z726" s="135"/>
      <c r="AA726" s="135"/>
      <c r="AB726" s="135"/>
      <c r="AC726" s="135"/>
      <c r="AD726" s="135"/>
      <c r="AE726" s="135"/>
      <c r="AF726" s="135"/>
      <c r="AG726" s="135"/>
      <c r="AH726" s="135"/>
      <c r="AI726" s="135"/>
      <c r="AJ726" s="135"/>
      <c r="AK726" s="135"/>
      <c r="AL726" s="135"/>
      <c r="AM726" s="135"/>
      <c r="AN726" s="135"/>
      <c r="AO726" s="135"/>
      <c r="AP726" s="135"/>
      <c r="AQ726" s="135"/>
      <c r="AR726" s="135"/>
      <c r="AS726" s="135"/>
      <c r="AT726" s="135"/>
      <c r="AU726" s="135"/>
      <c r="AV726" s="135"/>
      <c r="AW726" s="135"/>
      <c r="AX726" s="135"/>
      <c r="AY726" s="135"/>
      <c r="AZ726" s="135"/>
      <c r="BA726" s="135"/>
      <c r="BB726" s="135"/>
      <c r="BC726" s="135"/>
      <c r="BD726" s="135"/>
      <c r="BE726" s="135"/>
      <c r="BF726" s="135"/>
      <c r="BG726" s="135"/>
      <c r="BH726" s="135"/>
      <c r="BI726" s="135"/>
      <c r="BJ726" s="135"/>
      <c r="BK726" s="135"/>
      <c r="BL726" s="135"/>
      <c r="BM726" s="135"/>
      <c r="BN726" s="135"/>
      <c r="BO726" s="135"/>
      <c r="BP726" s="135"/>
      <c r="BQ726" s="135"/>
      <c r="BR726" s="135"/>
      <c r="BS726" s="135"/>
      <c r="BT726" s="135"/>
    </row>
    <row r="727" spans="1:72" s="196" customFormat="1">
      <c r="A727" s="135"/>
      <c r="B727" s="135"/>
      <c r="C727" s="135"/>
      <c r="D727" s="135"/>
      <c r="E727" s="135"/>
      <c r="F727" s="135"/>
      <c r="G727" s="135"/>
      <c r="H727" s="135"/>
      <c r="I727" s="135"/>
      <c r="J727" s="135"/>
      <c r="K727" s="135"/>
      <c r="L727" s="135"/>
      <c r="M727" s="135"/>
      <c r="N727" s="135"/>
      <c r="O727" s="135"/>
      <c r="P727" s="135"/>
      <c r="Q727" s="135"/>
      <c r="R727" s="135"/>
      <c r="S727" s="135"/>
      <c r="T727" s="135"/>
      <c r="U727" s="135"/>
      <c r="V727" s="135"/>
      <c r="W727" s="135"/>
      <c r="X727" s="135"/>
      <c r="Y727" s="135"/>
      <c r="Z727" s="135"/>
      <c r="AA727" s="135"/>
      <c r="AB727" s="135"/>
      <c r="AC727" s="135"/>
      <c r="AD727" s="135"/>
      <c r="AE727" s="135"/>
      <c r="AF727" s="135"/>
      <c r="AG727" s="135"/>
      <c r="AH727" s="135"/>
      <c r="AI727" s="135"/>
      <c r="AJ727" s="135"/>
      <c r="AK727" s="135"/>
      <c r="AL727" s="135"/>
      <c r="AM727" s="135"/>
      <c r="AN727" s="135"/>
      <c r="AO727" s="135"/>
      <c r="AP727" s="135"/>
      <c r="AQ727" s="135"/>
      <c r="AR727" s="135"/>
      <c r="AS727" s="135"/>
      <c r="AT727" s="135"/>
      <c r="AU727" s="135"/>
      <c r="AV727" s="135"/>
      <c r="AW727" s="135"/>
      <c r="AX727" s="135"/>
      <c r="AY727" s="135"/>
      <c r="AZ727" s="135"/>
      <c r="BA727" s="135"/>
      <c r="BB727" s="135"/>
      <c r="BC727" s="135"/>
      <c r="BD727" s="135"/>
      <c r="BE727" s="135"/>
      <c r="BF727" s="135"/>
      <c r="BG727" s="135"/>
      <c r="BH727" s="135"/>
      <c r="BI727" s="135"/>
      <c r="BJ727" s="135"/>
      <c r="BK727" s="135"/>
      <c r="BL727" s="135"/>
      <c r="BM727" s="135"/>
      <c r="BN727" s="135"/>
      <c r="BO727" s="135"/>
      <c r="BP727" s="135"/>
      <c r="BQ727" s="135"/>
      <c r="BR727" s="135"/>
      <c r="BS727" s="135"/>
      <c r="BT727" s="135"/>
    </row>
    <row r="728" spans="1:72" s="196" customFormat="1">
      <c r="A728" s="135"/>
      <c r="B728" s="135"/>
      <c r="C728" s="135"/>
      <c r="D728" s="135"/>
      <c r="E728" s="135"/>
      <c r="F728" s="135"/>
      <c r="G728" s="135"/>
      <c r="H728" s="135"/>
      <c r="I728" s="135"/>
      <c r="J728" s="135"/>
      <c r="K728" s="135"/>
      <c r="L728" s="135"/>
      <c r="M728" s="135"/>
      <c r="N728" s="135"/>
      <c r="O728" s="135"/>
      <c r="P728" s="135"/>
      <c r="Q728" s="135"/>
      <c r="R728" s="135"/>
      <c r="S728" s="135"/>
      <c r="T728" s="135"/>
      <c r="U728" s="135"/>
      <c r="V728" s="135"/>
      <c r="W728" s="135"/>
      <c r="X728" s="135"/>
      <c r="Y728" s="135"/>
      <c r="Z728" s="135"/>
      <c r="AA728" s="135"/>
      <c r="AB728" s="135"/>
      <c r="AC728" s="135"/>
      <c r="AD728" s="135"/>
      <c r="AE728" s="135"/>
      <c r="AF728" s="135"/>
      <c r="AG728" s="135"/>
      <c r="AH728" s="135"/>
      <c r="AI728" s="135"/>
      <c r="AJ728" s="135"/>
      <c r="AK728" s="135"/>
      <c r="AL728" s="135"/>
      <c r="AM728" s="135"/>
      <c r="AN728" s="135"/>
      <c r="AO728" s="135"/>
      <c r="AP728" s="135"/>
      <c r="AQ728" s="135"/>
      <c r="AR728" s="135"/>
      <c r="AS728" s="135"/>
      <c r="AT728" s="135"/>
      <c r="AU728" s="135"/>
      <c r="AV728" s="135"/>
      <c r="AW728" s="135"/>
      <c r="AX728" s="135"/>
      <c r="AY728" s="135"/>
      <c r="AZ728" s="135"/>
      <c r="BA728" s="135"/>
      <c r="BB728" s="135"/>
      <c r="BC728" s="135"/>
      <c r="BD728" s="135"/>
      <c r="BE728" s="135"/>
      <c r="BF728" s="135"/>
      <c r="BG728" s="135"/>
      <c r="BH728" s="135"/>
      <c r="BI728" s="135"/>
      <c r="BJ728" s="135"/>
      <c r="BK728" s="135"/>
      <c r="BL728" s="135"/>
      <c r="BM728" s="135"/>
      <c r="BN728" s="135"/>
      <c r="BO728" s="135"/>
      <c r="BP728" s="135"/>
      <c r="BQ728" s="135"/>
      <c r="BR728" s="135"/>
      <c r="BS728" s="135"/>
      <c r="BT728" s="135"/>
    </row>
    <row r="729" spans="1:72" s="196" customFormat="1">
      <c r="A729" s="135"/>
      <c r="B729" s="135"/>
      <c r="C729" s="135"/>
      <c r="D729" s="135"/>
      <c r="E729" s="135"/>
      <c r="F729" s="135"/>
      <c r="G729" s="135"/>
      <c r="H729" s="135"/>
      <c r="I729" s="135"/>
      <c r="J729" s="135"/>
      <c r="K729" s="135"/>
      <c r="L729" s="135"/>
      <c r="M729" s="135"/>
      <c r="N729" s="135"/>
      <c r="O729" s="135"/>
      <c r="P729" s="135"/>
      <c r="Q729" s="135"/>
      <c r="R729" s="135"/>
      <c r="S729" s="135"/>
      <c r="T729" s="135"/>
      <c r="U729" s="135"/>
      <c r="V729" s="135"/>
      <c r="W729" s="135"/>
      <c r="X729" s="135"/>
      <c r="Y729" s="135"/>
      <c r="Z729" s="135"/>
      <c r="AA729" s="135"/>
      <c r="AB729" s="135"/>
      <c r="AC729" s="135"/>
      <c r="AD729" s="135"/>
      <c r="AE729" s="135"/>
      <c r="AF729" s="135"/>
      <c r="AG729" s="135"/>
      <c r="AH729" s="135"/>
      <c r="AI729" s="135"/>
      <c r="AJ729" s="135"/>
      <c r="AK729" s="135"/>
      <c r="AL729" s="135"/>
      <c r="AM729" s="135"/>
      <c r="AN729" s="135"/>
      <c r="AO729" s="135"/>
      <c r="AP729" s="135"/>
      <c r="AQ729" s="135"/>
      <c r="AR729" s="135"/>
      <c r="AS729" s="135"/>
      <c r="AT729" s="135"/>
      <c r="AU729" s="135"/>
      <c r="AV729" s="135"/>
      <c r="AW729" s="135"/>
      <c r="AX729" s="135"/>
      <c r="AY729" s="135"/>
      <c r="AZ729" s="135"/>
      <c r="BA729" s="135"/>
      <c r="BB729" s="135"/>
      <c r="BC729" s="135"/>
      <c r="BD729" s="135"/>
      <c r="BE729" s="135"/>
      <c r="BF729" s="135"/>
      <c r="BG729" s="135"/>
      <c r="BH729" s="135"/>
      <c r="BI729" s="135"/>
      <c r="BJ729" s="135"/>
      <c r="BK729" s="135"/>
      <c r="BL729" s="135"/>
      <c r="BM729" s="135"/>
      <c r="BN729" s="135"/>
      <c r="BO729" s="135"/>
      <c r="BP729" s="135"/>
      <c r="BQ729" s="135"/>
      <c r="BR729" s="135"/>
      <c r="BS729" s="135"/>
      <c r="BT729" s="135"/>
    </row>
    <row r="730" spans="1:72" s="196" customFormat="1">
      <c r="A730" s="135"/>
      <c r="B730" s="135"/>
      <c r="C730" s="135"/>
      <c r="D730" s="135"/>
      <c r="E730" s="135"/>
      <c r="F730" s="135"/>
      <c r="G730" s="135"/>
      <c r="H730" s="135"/>
      <c r="I730" s="135"/>
      <c r="J730" s="135"/>
      <c r="K730" s="135"/>
      <c r="L730" s="135"/>
      <c r="M730" s="135"/>
      <c r="N730" s="135"/>
      <c r="O730" s="135"/>
      <c r="P730" s="135"/>
      <c r="Q730" s="135"/>
      <c r="R730" s="135"/>
      <c r="S730" s="135"/>
      <c r="T730" s="135"/>
      <c r="U730" s="135"/>
      <c r="V730" s="135"/>
      <c r="W730" s="135"/>
      <c r="X730" s="135"/>
      <c r="Y730" s="135"/>
      <c r="Z730" s="135"/>
      <c r="AA730" s="135"/>
      <c r="AB730" s="135"/>
      <c r="AC730" s="135"/>
      <c r="AD730" s="135"/>
      <c r="AE730" s="135"/>
      <c r="AF730" s="135"/>
      <c r="AG730" s="135"/>
      <c r="AH730" s="135"/>
      <c r="AI730" s="135"/>
      <c r="AJ730" s="135"/>
      <c r="AK730" s="135"/>
      <c r="AL730" s="135"/>
      <c r="AM730" s="135"/>
      <c r="AN730" s="135"/>
      <c r="AO730" s="135"/>
      <c r="AP730" s="135"/>
      <c r="AQ730" s="135"/>
      <c r="AR730" s="135"/>
      <c r="AS730" s="135"/>
      <c r="AT730" s="135"/>
      <c r="AU730" s="135"/>
      <c r="AV730" s="135"/>
      <c r="AW730" s="135"/>
      <c r="AX730" s="135"/>
      <c r="AY730" s="135"/>
      <c r="AZ730" s="135"/>
      <c r="BA730" s="135"/>
      <c r="BB730" s="135"/>
      <c r="BC730" s="135"/>
      <c r="BD730" s="135"/>
      <c r="BE730" s="135"/>
      <c r="BF730" s="135"/>
      <c r="BG730" s="135"/>
      <c r="BH730" s="135"/>
      <c r="BI730" s="135"/>
      <c r="BJ730" s="135"/>
      <c r="BK730" s="135"/>
      <c r="BL730" s="135"/>
      <c r="BM730" s="135"/>
      <c r="BN730" s="135"/>
      <c r="BO730" s="135"/>
      <c r="BP730" s="135"/>
      <c r="BQ730" s="135"/>
      <c r="BR730" s="135"/>
      <c r="BS730" s="135"/>
      <c r="BT730" s="135"/>
    </row>
    <row r="731" spans="1:72" s="196" customFormat="1">
      <c r="A731" s="135"/>
      <c r="B731" s="135"/>
      <c r="C731" s="135"/>
      <c r="D731" s="135"/>
      <c r="E731" s="135"/>
      <c r="F731" s="135"/>
      <c r="G731" s="135"/>
      <c r="H731" s="135"/>
      <c r="I731" s="135"/>
      <c r="J731" s="135"/>
      <c r="K731" s="135"/>
      <c r="L731" s="135"/>
      <c r="M731" s="135"/>
      <c r="N731" s="135"/>
      <c r="O731" s="135"/>
      <c r="P731" s="135"/>
      <c r="Q731" s="135"/>
      <c r="R731" s="135"/>
      <c r="S731" s="135"/>
      <c r="T731" s="135"/>
      <c r="U731" s="135"/>
      <c r="V731" s="135"/>
      <c r="W731" s="135"/>
      <c r="X731" s="135"/>
      <c r="Y731" s="135"/>
      <c r="Z731" s="135"/>
      <c r="AA731" s="135"/>
      <c r="AB731" s="135"/>
      <c r="AC731" s="135"/>
      <c r="AD731" s="135"/>
      <c r="AE731" s="135"/>
      <c r="AF731" s="135"/>
      <c r="AG731" s="135"/>
      <c r="AH731" s="135"/>
      <c r="AI731" s="135"/>
      <c r="AJ731" s="135"/>
      <c r="AK731" s="135"/>
      <c r="AL731" s="135"/>
      <c r="AM731" s="135"/>
      <c r="AN731" s="135"/>
      <c r="AO731" s="135"/>
      <c r="AP731" s="135"/>
      <c r="AQ731" s="135"/>
      <c r="AR731" s="135"/>
      <c r="AS731" s="135"/>
      <c r="AT731" s="135"/>
      <c r="AU731" s="135"/>
      <c r="AV731" s="135"/>
      <c r="AW731" s="135"/>
      <c r="AX731" s="135"/>
      <c r="AY731" s="135"/>
      <c r="AZ731" s="135"/>
      <c r="BA731" s="135"/>
      <c r="BB731" s="135"/>
      <c r="BC731" s="135"/>
      <c r="BD731" s="135"/>
      <c r="BE731" s="135"/>
      <c r="BF731" s="135"/>
      <c r="BG731" s="135"/>
      <c r="BH731" s="135"/>
      <c r="BI731" s="135"/>
      <c r="BJ731" s="135"/>
      <c r="BK731" s="135"/>
      <c r="BL731" s="135"/>
      <c r="BM731" s="135"/>
      <c r="BN731" s="135"/>
      <c r="BO731" s="135"/>
      <c r="BP731" s="135"/>
      <c r="BQ731" s="135"/>
      <c r="BR731" s="135"/>
      <c r="BS731" s="135"/>
      <c r="BT731" s="135"/>
    </row>
    <row r="732" spans="1:72" s="196" customFormat="1">
      <c r="A732" s="135"/>
      <c r="B732" s="135"/>
      <c r="C732" s="135"/>
      <c r="D732" s="135"/>
      <c r="E732" s="135"/>
      <c r="F732" s="135"/>
      <c r="G732" s="135"/>
      <c r="H732" s="135"/>
      <c r="I732" s="135"/>
      <c r="J732" s="135"/>
      <c r="K732" s="135"/>
      <c r="L732" s="135"/>
      <c r="M732" s="135"/>
      <c r="N732" s="135"/>
      <c r="O732" s="135"/>
      <c r="P732" s="135"/>
      <c r="Q732" s="135"/>
      <c r="R732" s="135"/>
      <c r="S732" s="135"/>
      <c r="T732" s="135"/>
      <c r="U732" s="135"/>
      <c r="V732" s="135"/>
      <c r="W732" s="135"/>
      <c r="X732" s="135"/>
      <c r="Y732" s="135"/>
      <c r="Z732" s="135"/>
      <c r="AA732" s="135"/>
      <c r="AB732" s="135"/>
      <c r="AC732" s="135"/>
      <c r="AD732" s="135"/>
      <c r="AE732" s="135"/>
      <c r="AF732" s="135"/>
      <c r="AG732" s="135"/>
      <c r="AH732" s="135"/>
      <c r="AI732" s="135"/>
      <c r="AJ732" s="135"/>
      <c r="AK732" s="135"/>
      <c r="AL732" s="135"/>
      <c r="AM732" s="135"/>
      <c r="AN732" s="135"/>
      <c r="AO732" s="135"/>
      <c r="AP732" s="135"/>
      <c r="AQ732" s="135"/>
      <c r="AR732" s="135"/>
      <c r="AS732" s="135"/>
      <c r="AT732" s="135"/>
      <c r="AU732" s="135"/>
      <c r="AV732" s="135"/>
      <c r="AW732" s="135"/>
      <c r="AX732" s="135"/>
      <c r="AY732" s="135"/>
      <c r="AZ732" s="135"/>
      <c r="BA732" s="135"/>
      <c r="BB732" s="135"/>
      <c r="BC732" s="135"/>
      <c r="BD732" s="135"/>
      <c r="BE732" s="135"/>
      <c r="BF732" s="135"/>
      <c r="BG732" s="135"/>
      <c r="BH732" s="135"/>
      <c r="BI732" s="135"/>
      <c r="BJ732" s="135"/>
      <c r="BK732" s="135"/>
      <c r="BL732" s="135"/>
      <c r="BM732" s="135"/>
      <c r="BN732" s="135"/>
      <c r="BO732" s="135"/>
      <c r="BP732" s="135"/>
      <c r="BQ732" s="135"/>
      <c r="BR732" s="135"/>
      <c r="BS732" s="135"/>
      <c r="BT732" s="135"/>
    </row>
    <row r="733" spans="1:72" s="196" customFormat="1">
      <c r="A733" s="135"/>
      <c r="B733" s="135"/>
      <c r="C733" s="135"/>
      <c r="D733" s="135"/>
      <c r="E733" s="135"/>
      <c r="F733" s="135"/>
      <c r="G733" s="135"/>
      <c r="H733" s="135"/>
      <c r="I733" s="135"/>
      <c r="J733" s="135"/>
      <c r="K733" s="135"/>
      <c r="L733" s="135"/>
      <c r="M733" s="135"/>
      <c r="N733" s="135"/>
      <c r="O733" s="135"/>
      <c r="P733" s="135"/>
      <c r="Q733" s="135"/>
      <c r="R733" s="135"/>
      <c r="S733" s="135"/>
      <c r="T733" s="135"/>
      <c r="U733" s="135"/>
      <c r="V733" s="135"/>
      <c r="W733" s="135"/>
      <c r="X733" s="135"/>
      <c r="Y733" s="135"/>
      <c r="Z733" s="135"/>
      <c r="AA733" s="135"/>
      <c r="AB733" s="135"/>
      <c r="AC733" s="135"/>
      <c r="AD733" s="135"/>
      <c r="AE733" s="135"/>
      <c r="AF733" s="135"/>
      <c r="AG733" s="135"/>
      <c r="AH733" s="135"/>
      <c r="AI733" s="135"/>
      <c r="AJ733" s="135"/>
      <c r="AK733" s="135"/>
      <c r="AL733" s="135"/>
      <c r="AM733" s="135"/>
      <c r="AN733" s="135"/>
      <c r="AO733" s="135"/>
      <c r="AP733" s="135"/>
      <c r="AQ733" s="135"/>
      <c r="AR733" s="135"/>
      <c r="AS733" s="135"/>
      <c r="AT733" s="135"/>
      <c r="AU733" s="135"/>
      <c r="AV733" s="135"/>
      <c r="AW733" s="135"/>
      <c r="AX733" s="135"/>
      <c r="AY733" s="135"/>
      <c r="AZ733" s="135"/>
      <c r="BA733" s="135"/>
      <c r="BB733" s="135"/>
      <c r="BC733" s="135"/>
      <c r="BD733" s="135"/>
      <c r="BE733" s="135"/>
      <c r="BF733" s="135"/>
      <c r="BG733" s="135"/>
      <c r="BH733" s="135"/>
      <c r="BI733" s="135"/>
      <c r="BJ733" s="135"/>
      <c r="BK733" s="135"/>
      <c r="BL733" s="135"/>
      <c r="BM733" s="135"/>
      <c r="BN733" s="135"/>
      <c r="BO733" s="135"/>
      <c r="BP733" s="135"/>
      <c r="BQ733" s="135"/>
      <c r="BR733" s="135"/>
      <c r="BS733" s="135"/>
      <c r="BT733" s="135"/>
    </row>
    <row r="734" spans="1:72" s="196" customFormat="1">
      <c r="A734" s="135"/>
      <c r="B734" s="135"/>
      <c r="C734" s="135"/>
      <c r="D734" s="135"/>
      <c r="E734" s="135"/>
      <c r="F734" s="135"/>
      <c r="G734" s="135"/>
      <c r="H734" s="135"/>
      <c r="I734" s="135"/>
      <c r="J734" s="135"/>
      <c r="K734" s="135"/>
      <c r="L734" s="135"/>
      <c r="M734" s="135"/>
      <c r="N734" s="135"/>
      <c r="O734" s="135"/>
      <c r="P734" s="135"/>
      <c r="Q734" s="135"/>
      <c r="R734" s="135"/>
      <c r="S734" s="135"/>
      <c r="T734" s="135"/>
      <c r="U734" s="135"/>
      <c r="V734" s="135"/>
      <c r="W734" s="135"/>
      <c r="X734" s="135"/>
      <c r="Y734" s="135"/>
      <c r="Z734" s="135"/>
      <c r="AA734" s="135"/>
      <c r="AB734" s="135"/>
      <c r="AC734" s="135"/>
      <c r="AD734" s="135"/>
      <c r="AE734" s="135"/>
      <c r="AF734" s="135"/>
      <c r="AG734" s="135"/>
      <c r="AH734" s="135"/>
      <c r="AI734" s="135"/>
      <c r="AJ734" s="135"/>
      <c r="AK734" s="135"/>
      <c r="AL734" s="135"/>
      <c r="AM734" s="135"/>
      <c r="AN734" s="135"/>
      <c r="AO734" s="135"/>
      <c r="AP734" s="135"/>
      <c r="AQ734" s="135"/>
      <c r="AR734" s="135"/>
      <c r="AS734" s="135"/>
      <c r="AT734" s="135"/>
      <c r="AU734" s="135"/>
      <c r="AV734" s="135"/>
      <c r="AW734" s="135"/>
      <c r="AX734" s="135"/>
      <c r="AY734" s="135"/>
      <c r="AZ734" s="135"/>
      <c r="BA734" s="135"/>
      <c r="BB734" s="135"/>
      <c r="BC734" s="135"/>
      <c r="BD734" s="135"/>
      <c r="BE734" s="135"/>
      <c r="BF734" s="135"/>
      <c r="BG734" s="135"/>
      <c r="BH734" s="135"/>
      <c r="BI734" s="135"/>
      <c r="BJ734" s="135"/>
      <c r="BK734" s="135"/>
      <c r="BL734" s="135"/>
      <c r="BM734" s="135"/>
      <c r="BN734" s="135"/>
      <c r="BO734" s="135"/>
      <c r="BP734" s="135"/>
      <c r="BQ734" s="135"/>
      <c r="BR734" s="135"/>
      <c r="BS734" s="135"/>
      <c r="BT734" s="135"/>
    </row>
    <row r="735" spans="1:72" s="196" customFormat="1">
      <c r="A735" s="135"/>
      <c r="B735" s="135"/>
      <c r="C735" s="135"/>
      <c r="D735" s="135"/>
      <c r="E735" s="135"/>
      <c r="F735" s="135"/>
      <c r="G735" s="135"/>
      <c r="H735" s="135"/>
      <c r="I735" s="135"/>
      <c r="J735" s="135"/>
      <c r="K735" s="135"/>
      <c r="L735" s="135"/>
      <c r="M735" s="135"/>
      <c r="N735" s="135"/>
      <c r="O735" s="135"/>
      <c r="P735" s="135"/>
      <c r="Q735" s="135"/>
      <c r="R735" s="135"/>
      <c r="S735" s="135"/>
      <c r="T735" s="135"/>
      <c r="U735" s="135"/>
      <c r="V735" s="135"/>
      <c r="W735" s="135"/>
      <c r="X735" s="135"/>
      <c r="Y735" s="135"/>
      <c r="Z735" s="135"/>
      <c r="AA735" s="135"/>
      <c r="AB735" s="135"/>
      <c r="AC735" s="135"/>
      <c r="AD735" s="135"/>
      <c r="AE735" s="135"/>
      <c r="AF735" s="135"/>
      <c r="AG735" s="135"/>
      <c r="AH735" s="135"/>
      <c r="AI735" s="135"/>
      <c r="AJ735" s="135"/>
      <c r="AK735" s="135"/>
      <c r="AL735" s="135"/>
      <c r="AM735" s="135"/>
      <c r="AN735" s="135"/>
      <c r="AO735" s="135"/>
      <c r="AP735" s="135"/>
      <c r="AQ735" s="135"/>
      <c r="AR735" s="135"/>
      <c r="AS735" s="135"/>
      <c r="AT735" s="135"/>
      <c r="AU735" s="135"/>
      <c r="AV735" s="135"/>
      <c r="AW735" s="135"/>
      <c r="AX735" s="135"/>
      <c r="AY735" s="135"/>
      <c r="AZ735" s="135"/>
      <c r="BA735" s="135"/>
      <c r="BB735" s="135"/>
      <c r="BC735" s="135"/>
      <c r="BD735" s="135"/>
      <c r="BE735" s="135"/>
      <c r="BF735" s="135"/>
      <c r="BG735" s="135"/>
      <c r="BH735" s="135"/>
      <c r="BI735" s="135"/>
      <c r="BJ735" s="135"/>
      <c r="BK735" s="135"/>
      <c r="BL735" s="135"/>
      <c r="BM735" s="135"/>
      <c r="BN735" s="135"/>
      <c r="BO735" s="135"/>
      <c r="BP735" s="135"/>
      <c r="BQ735" s="135"/>
      <c r="BR735" s="135"/>
      <c r="BS735" s="135"/>
      <c r="BT735" s="135"/>
    </row>
    <row r="736" spans="1:72" s="196" customFormat="1">
      <c r="A736" s="135"/>
      <c r="B736" s="135"/>
      <c r="C736" s="135"/>
      <c r="D736" s="135"/>
      <c r="E736" s="135"/>
      <c r="F736" s="135"/>
      <c r="G736" s="135"/>
      <c r="H736" s="135"/>
      <c r="I736" s="135"/>
      <c r="J736" s="135"/>
      <c r="K736" s="135"/>
      <c r="L736" s="135"/>
      <c r="M736" s="135"/>
      <c r="N736" s="135"/>
      <c r="O736" s="135"/>
      <c r="P736" s="135"/>
      <c r="Q736" s="135"/>
      <c r="R736" s="135"/>
      <c r="S736" s="135"/>
      <c r="T736" s="135"/>
      <c r="U736" s="135"/>
      <c r="V736" s="135"/>
      <c r="W736" s="135"/>
      <c r="X736" s="135"/>
      <c r="Y736" s="135"/>
      <c r="Z736" s="135"/>
      <c r="AA736" s="135"/>
      <c r="AB736" s="135"/>
      <c r="AC736" s="135"/>
      <c r="AD736" s="135"/>
      <c r="AE736" s="135"/>
      <c r="AF736" s="135"/>
      <c r="AG736" s="135"/>
      <c r="AH736" s="135"/>
      <c r="AI736" s="135"/>
      <c r="AJ736" s="135"/>
      <c r="AK736" s="135"/>
      <c r="AL736" s="135"/>
      <c r="AM736" s="135"/>
      <c r="AN736" s="135"/>
      <c r="AO736" s="135"/>
      <c r="AP736" s="135"/>
      <c r="AQ736" s="135"/>
      <c r="AR736" s="135"/>
      <c r="AS736" s="135"/>
      <c r="AT736" s="135"/>
      <c r="AU736" s="135"/>
      <c r="AV736" s="135"/>
      <c r="AW736" s="135"/>
      <c r="AX736" s="135"/>
      <c r="AY736" s="135"/>
      <c r="AZ736" s="135"/>
      <c r="BA736" s="135"/>
      <c r="BB736" s="135"/>
      <c r="BC736" s="135"/>
      <c r="BD736" s="135"/>
      <c r="BE736" s="135"/>
      <c r="BF736" s="135"/>
      <c r="BG736" s="135"/>
      <c r="BH736" s="135"/>
      <c r="BI736" s="135"/>
      <c r="BJ736" s="135"/>
      <c r="BK736" s="135"/>
      <c r="BL736" s="135"/>
      <c r="BM736" s="135"/>
      <c r="BN736" s="135"/>
      <c r="BO736" s="135"/>
      <c r="BP736" s="135"/>
      <c r="BQ736" s="135"/>
      <c r="BR736" s="135"/>
      <c r="BS736" s="135"/>
      <c r="BT736" s="135"/>
    </row>
    <row r="737" spans="1:72" s="196" customFormat="1">
      <c r="A737" s="135"/>
      <c r="B737" s="135"/>
      <c r="C737" s="135"/>
      <c r="D737" s="135"/>
      <c r="E737" s="135"/>
      <c r="F737" s="135"/>
      <c r="G737" s="135"/>
      <c r="H737" s="135"/>
      <c r="I737" s="135"/>
      <c r="J737" s="135"/>
      <c r="K737" s="135"/>
      <c r="L737" s="135"/>
      <c r="M737" s="135"/>
      <c r="N737" s="135"/>
      <c r="O737" s="135"/>
      <c r="P737" s="135"/>
      <c r="Q737" s="135"/>
      <c r="R737" s="135"/>
      <c r="S737" s="135"/>
      <c r="T737" s="135"/>
      <c r="U737" s="135"/>
      <c r="V737" s="135"/>
      <c r="W737" s="135"/>
      <c r="X737" s="135"/>
      <c r="Y737" s="135"/>
      <c r="Z737" s="135"/>
      <c r="AA737" s="135"/>
      <c r="AB737" s="135"/>
      <c r="AC737" s="135"/>
      <c r="AD737" s="135"/>
      <c r="AE737" s="135"/>
      <c r="AF737" s="135"/>
      <c r="AG737" s="135"/>
      <c r="AH737" s="135"/>
      <c r="AI737" s="135"/>
      <c r="AJ737" s="135"/>
      <c r="AK737" s="135"/>
      <c r="AL737" s="135"/>
      <c r="AM737" s="135"/>
      <c r="AN737" s="135"/>
      <c r="AO737" s="135"/>
      <c r="AP737" s="135"/>
      <c r="AQ737" s="135"/>
      <c r="AR737" s="135"/>
      <c r="AS737" s="135"/>
      <c r="AT737" s="135"/>
      <c r="AU737" s="135"/>
      <c r="AV737" s="135"/>
      <c r="AW737" s="135"/>
      <c r="AX737" s="135"/>
      <c r="AY737" s="135"/>
      <c r="AZ737" s="135"/>
      <c r="BA737" s="135"/>
      <c r="BB737" s="135"/>
      <c r="BC737" s="135"/>
      <c r="BD737" s="135"/>
      <c r="BE737" s="135"/>
      <c r="BF737" s="135"/>
      <c r="BG737" s="135"/>
      <c r="BH737" s="135"/>
      <c r="BI737" s="135"/>
      <c r="BJ737" s="135"/>
      <c r="BK737" s="135"/>
      <c r="BL737" s="135"/>
      <c r="BM737" s="135"/>
      <c r="BN737" s="135"/>
      <c r="BO737" s="135"/>
      <c r="BP737" s="135"/>
      <c r="BQ737" s="135"/>
      <c r="BR737" s="135"/>
      <c r="BS737" s="135"/>
      <c r="BT737" s="135"/>
    </row>
    <row r="738" spans="1:72" s="196" customFormat="1">
      <c r="A738" s="135"/>
      <c r="B738" s="135"/>
      <c r="C738" s="135"/>
      <c r="D738" s="135"/>
      <c r="E738" s="135"/>
      <c r="F738" s="135"/>
      <c r="G738" s="135"/>
      <c r="H738" s="135"/>
      <c r="I738" s="135"/>
      <c r="J738" s="135"/>
      <c r="K738" s="135"/>
      <c r="L738" s="135"/>
      <c r="M738" s="135"/>
      <c r="N738" s="135"/>
      <c r="O738" s="135"/>
      <c r="P738" s="135"/>
      <c r="Q738" s="135"/>
      <c r="R738" s="135"/>
      <c r="S738" s="135"/>
      <c r="T738" s="135"/>
      <c r="U738" s="135"/>
      <c r="V738" s="135"/>
      <c r="W738" s="135"/>
      <c r="X738" s="135"/>
      <c r="Y738" s="135"/>
      <c r="Z738" s="135"/>
      <c r="AA738" s="135"/>
      <c r="AB738" s="135"/>
      <c r="AC738" s="135"/>
      <c r="AD738" s="135"/>
      <c r="AE738" s="135"/>
      <c r="AF738" s="135"/>
      <c r="AG738" s="135"/>
      <c r="AH738" s="135"/>
      <c r="AI738" s="135"/>
      <c r="AJ738" s="135"/>
      <c r="AK738" s="135"/>
      <c r="AL738" s="135"/>
      <c r="AM738" s="135"/>
      <c r="AN738" s="135"/>
      <c r="AO738" s="135"/>
      <c r="AP738" s="135"/>
      <c r="AQ738" s="135"/>
      <c r="AR738" s="135"/>
      <c r="AS738" s="135"/>
      <c r="AT738" s="135"/>
      <c r="AU738" s="135"/>
      <c r="AV738" s="135"/>
      <c r="AW738" s="135"/>
      <c r="AX738" s="135"/>
      <c r="AY738" s="135"/>
      <c r="AZ738" s="135"/>
      <c r="BA738" s="135"/>
      <c r="BB738" s="135"/>
      <c r="BC738" s="135"/>
      <c r="BD738" s="135"/>
      <c r="BE738" s="135"/>
      <c r="BF738" s="135"/>
      <c r="BG738" s="135"/>
      <c r="BH738" s="135"/>
      <c r="BI738" s="135"/>
      <c r="BJ738" s="135"/>
      <c r="BK738" s="135"/>
      <c r="BL738" s="135"/>
      <c r="BM738" s="135"/>
      <c r="BN738" s="135"/>
      <c r="BO738" s="135"/>
      <c r="BP738" s="135"/>
      <c r="BQ738" s="135"/>
      <c r="BR738" s="135"/>
      <c r="BS738" s="135"/>
      <c r="BT738" s="135"/>
    </row>
    <row r="739" spans="1:72" s="196" customFormat="1">
      <c r="A739" s="135"/>
      <c r="B739" s="135"/>
      <c r="C739" s="135"/>
      <c r="D739" s="135"/>
      <c r="E739" s="135"/>
      <c r="F739" s="135"/>
      <c r="G739" s="135"/>
      <c r="H739" s="135"/>
      <c r="I739" s="135"/>
      <c r="J739" s="135"/>
      <c r="K739" s="135"/>
      <c r="L739" s="135"/>
      <c r="M739" s="135"/>
      <c r="N739" s="135"/>
      <c r="O739" s="135"/>
      <c r="P739" s="135"/>
      <c r="Q739" s="135"/>
      <c r="R739" s="135"/>
      <c r="S739" s="135"/>
      <c r="T739" s="135"/>
      <c r="U739" s="135"/>
      <c r="V739" s="135"/>
      <c r="W739" s="135"/>
      <c r="X739" s="135"/>
      <c r="Y739" s="135"/>
      <c r="Z739" s="135"/>
      <c r="AA739" s="135"/>
      <c r="AB739" s="135"/>
      <c r="AC739" s="135"/>
      <c r="AD739" s="135"/>
      <c r="AE739" s="135"/>
      <c r="AF739" s="135"/>
      <c r="AG739" s="135"/>
      <c r="AH739" s="135"/>
      <c r="AI739" s="135"/>
      <c r="AJ739" s="135"/>
      <c r="AK739" s="135"/>
      <c r="AL739" s="135"/>
      <c r="AM739" s="135"/>
      <c r="AN739" s="135"/>
      <c r="AO739" s="135"/>
      <c r="AP739" s="135"/>
      <c r="AQ739" s="135"/>
      <c r="AR739" s="135"/>
      <c r="AS739" s="135"/>
      <c r="AT739" s="135"/>
      <c r="AU739" s="135"/>
      <c r="AV739" s="135"/>
      <c r="AW739" s="135"/>
      <c r="AX739" s="135"/>
      <c r="AY739" s="135"/>
      <c r="AZ739" s="135"/>
      <c r="BA739" s="135"/>
      <c r="BB739" s="135"/>
      <c r="BC739" s="135"/>
      <c r="BD739" s="135"/>
      <c r="BE739" s="135"/>
      <c r="BF739" s="135"/>
      <c r="BG739" s="135"/>
      <c r="BH739" s="135"/>
      <c r="BI739" s="135"/>
      <c r="BJ739" s="135"/>
      <c r="BK739" s="135"/>
      <c r="BL739" s="135"/>
      <c r="BM739" s="135"/>
      <c r="BN739" s="135"/>
      <c r="BO739" s="135"/>
      <c r="BP739" s="135"/>
      <c r="BQ739" s="135"/>
      <c r="BR739" s="135"/>
      <c r="BS739" s="135"/>
      <c r="BT739" s="135"/>
    </row>
    <row r="740" spans="1:72" s="196" customFormat="1">
      <c r="A740" s="135"/>
      <c r="B740" s="135"/>
      <c r="C740" s="135"/>
      <c r="D740" s="135"/>
      <c r="E740" s="135"/>
      <c r="F740" s="135"/>
      <c r="G740" s="135"/>
      <c r="H740" s="135"/>
      <c r="I740" s="135"/>
      <c r="J740" s="135"/>
      <c r="K740" s="135"/>
      <c r="L740" s="135"/>
      <c r="M740" s="135"/>
      <c r="N740" s="135"/>
      <c r="O740" s="135"/>
      <c r="P740" s="135"/>
      <c r="Q740" s="135"/>
      <c r="R740" s="135"/>
      <c r="S740" s="135"/>
      <c r="T740" s="135"/>
      <c r="U740" s="135"/>
      <c r="V740" s="135"/>
      <c r="W740" s="135"/>
      <c r="X740" s="135"/>
      <c r="Y740" s="135"/>
      <c r="Z740" s="135"/>
      <c r="AA740" s="135"/>
      <c r="AB740" s="135"/>
      <c r="AC740" s="135"/>
      <c r="AD740" s="135"/>
      <c r="AE740" s="135"/>
      <c r="AF740" s="135"/>
      <c r="AG740" s="135"/>
      <c r="AH740" s="135"/>
      <c r="AI740" s="135"/>
      <c r="AJ740" s="135"/>
      <c r="AK740" s="135"/>
      <c r="AL740" s="135"/>
      <c r="AM740" s="135"/>
      <c r="AN740" s="135"/>
      <c r="AO740" s="135"/>
      <c r="AP740" s="135"/>
      <c r="AQ740" s="135"/>
      <c r="AR740" s="135"/>
      <c r="AS740" s="135"/>
      <c r="AT740" s="135"/>
      <c r="AU740" s="135"/>
      <c r="AV740" s="135"/>
      <c r="AW740" s="135"/>
      <c r="AX740" s="135"/>
      <c r="AY740" s="135"/>
      <c r="AZ740" s="135"/>
      <c r="BA740" s="135"/>
      <c r="BB740" s="135"/>
      <c r="BC740" s="135"/>
      <c r="BD740" s="135"/>
      <c r="BE740" s="135"/>
      <c r="BF740" s="135"/>
      <c r="BG740" s="135"/>
      <c r="BH740" s="135"/>
      <c r="BI740" s="135"/>
      <c r="BJ740" s="135"/>
      <c r="BK740" s="135"/>
      <c r="BL740" s="135"/>
      <c r="BM740" s="135"/>
      <c r="BN740" s="135"/>
      <c r="BO740" s="135"/>
      <c r="BP740" s="135"/>
      <c r="BQ740" s="135"/>
      <c r="BR740" s="135"/>
      <c r="BS740" s="135"/>
      <c r="BT740" s="135"/>
    </row>
    <row r="741" spans="1:72" s="196" customFormat="1">
      <c r="A741" s="135"/>
      <c r="B741" s="135"/>
      <c r="C741" s="135"/>
      <c r="D741" s="135"/>
      <c r="E741" s="135"/>
      <c r="F741" s="135"/>
      <c r="G741" s="135"/>
      <c r="H741" s="135"/>
      <c r="I741" s="135"/>
      <c r="J741" s="135"/>
      <c r="K741" s="135"/>
      <c r="L741" s="135"/>
      <c r="M741" s="135"/>
      <c r="N741" s="135"/>
      <c r="O741" s="135"/>
      <c r="P741" s="135"/>
      <c r="Q741" s="135"/>
      <c r="R741" s="135"/>
      <c r="S741" s="135"/>
      <c r="T741" s="135"/>
      <c r="U741" s="135"/>
      <c r="V741" s="135"/>
      <c r="W741" s="135"/>
      <c r="X741" s="135"/>
      <c r="Y741" s="135"/>
      <c r="Z741" s="135"/>
      <c r="AA741" s="135"/>
      <c r="AB741" s="135"/>
      <c r="AC741" s="135"/>
      <c r="AD741" s="135"/>
      <c r="AE741" s="135"/>
      <c r="AF741" s="135"/>
      <c r="AG741" s="135"/>
      <c r="AH741" s="135"/>
      <c r="AI741" s="135"/>
      <c r="AJ741" s="135"/>
      <c r="AK741" s="135"/>
      <c r="AL741" s="135"/>
      <c r="AM741" s="135"/>
      <c r="AN741" s="135"/>
      <c r="AO741" s="135"/>
      <c r="AP741" s="135"/>
      <c r="AQ741" s="135"/>
      <c r="AR741" s="135"/>
      <c r="AS741" s="135"/>
      <c r="AT741" s="135"/>
      <c r="AU741" s="135"/>
      <c r="AV741" s="135"/>
      <c r="AW741" s="135"/>
      <c r="AX741" s="135"/>
      <c r="AY741" s="135"/>
      <c r="AZ741" s="135"/>
      <c r="BA741" s="135"/>
      <c r="BB741" s="135"/>
      <c r="BC741" s="135"/>
      <c r="BD741" s="135"/>
      <c r="BE741" s="135"/>
      <c r="BF741" s="135"/>
      <c r="BG741" s="135"/>
      <c r="BH741" s="135"/>
      <c r="BI741" s="135"/>
      <c r="BJ741" s="135"/>
      <c r="BK741" s="135"/>
      <c r="BL741" s="135"/>
      <c r="BM741" s="135"/>
      <c r="BN741" s="135"/>
      <c r="BO741" s="135"/>
      <c r="BP741" s="135"/>
      <c r="BQ741" s="135"/>
      <c r="BR741" s="135"/>
      <c r="BS741" s="135"/>
      <c r="BT741" s="135"/>
    </row>
    <row r="742" spans="1:72" s="196" customFormat="1">
      <c r="A742" s="135"/>
      <c r="B742" s="135"/>
      <c r="C742" s="135"/>
      <c r="D742" s="135"/>
      <c r="E742" s="135"/>
      <c r="F742" s="135"/>
      <c r="G742" s="135"/>
      <c r="H742" s="135"/>
      <c r="I742" s="135"/>
      <c r="J742" s="135"/>
      <c r="K742" s="135"/>
      <c r="L742" s="135"/>
      <c r="M742" s="135"/>
      <c r="N742" s="135"/>
      <c r="O742" s="135"/>
      <c r="P742" s="135"/>
      <c r="Q742" s="135"/>
      <c r="R742" s="135"/>
      <c r="S742" s="135"/>
      <c r="T742" s="135"/>
      <c r="U742" s="135"/>
      <c r="V742" s="135"/>
      <c r="W742" s="135"/>
      <c r="X742" s="135"/>
      <c r="Y742" s="135"/>
      <c r="Z742" s="135"/>
      <c r="AA742" s="135"/>
      <c r="AB742" s="135"/>
      <c r="AC742" s="135"/>
      <c r="AD742" s="135"/>
      <c r="AE742" s="135"/>
      <c r="AF742" s="135"/>
      <c r="AG742" s="135"/>
      <c r="AH742" s="135"/>
      <c r="AI742" s="135"/>
      <c r="AJ742" s="135"/>
      <c r="AK742" s="135"/>
      <c r="AL742" s="135"/>
      <c r="AM742" s="135"/>
      <c r="AN742" s="135"/>
      <c r="AO742" s="135"/>
      <c r="AP742" s="135"/>
      <c r="AQ742" s="135"/>
      <c r="AR742" s="135"/>
      <c r="AS742" s="135"/>
      <c r="AT742" s="135"/>
      <c r="AU742" s="135"/>
      <c r="AV742" s="135"/>
      <c r="AW742" s="135"/>
      <c r="AX742" s="135"/>
      <c r="AY742" s="135"/>
      <c r="AZ742" s="135"/>
      <c r="BA742" s="135"/>
      <c r="BB742" s="135"/>
      <c r="BC742" s="135"/>
      <c r="BD742" s="135"/>
      <c r="BE742" s="135"/>
      <c r="BF742" s="135"/>
      <c r="BG742" s="135"/>
      <c r="BH742" s="135"/>
      <c r="BI742" s="135"/>
      <c r="BJ742" s="135"/>
      <c r="BK742" s="135"/>
      <c r="BL742" s="135"/>
      <c r="BM742" s="135"/>
      <c r="BN742" s="135"/>
      <c r="BO742" s="135"/>
      <c r="BP742" s="135"/>
      <c r="BQ742" s="135"/>
      <c r="BR742" s="135"/>
      <c r="BS742" s="135"/>
      <c r="BT742" s="135"/>
    </row>
    <row r="743" spans="1:72" s="196" customFormat="1">
      <c r="A743" s="135"/>
      <c r="B743" s="135"/>
      <c r="C743" s="135"/>
      <c r="D743" s="135"/>
      <c r="E743" s="135"/>
      <c r="F743" s="135"/>
      <c r="G743" s="135"/>
      <c r="H743" s="135"/>
      <c r="I743" s="135"/>
      <c r="J743" s="135"/>
      <c r="K743" s="135"/>
      <c r="L743" s="135"/>
      <c r="M743" s="135"/>
      <c r="N743" s="135"/>
      <c r="O743" s="135"/>
      <c r="P743" s="135"/>
      <c r="Q743" s="135"/>
      <c r="R743" s="135"/>
      <c r="S743" s="135"/>
      <c r="T743" s="135"/>
      <c r="U743" s="135"/>
      <c r="V743" s="135"/>
      <c r="W743" s="135"/>
      <c r="X743" s="135"/>
      <c r="Y743" s="135"/>
      <c r="Z743" s="135"/>
      <c r="AA743" s="135"/>
      <c r="AB743" s="135"/>
      <c r="AC743" s="135"/>
      <c r="AD743" s="135"/>
      <c r="AE743" s="135"/>
      <c r="AF743" s="135"/>
      <c r="AG743" s="135"/>
      <c r="AH743" s="135"/>
      <c r="AI743" s="135"/>
      <c r="AJ743" s="135"/>
      <c r="AK743" s="135"/>
      <c r="AL743" s="135"/>
      <c r="AM743" s="135"/>
      <c r="AN743" s="135"/>
      <c r="AO743" s="135"/>
      <c r="AP743" s="135"/>
      <c r="AQ743" s="135"/>
      <c r="AR743" s="135"/>
      <c r="AS743" s="135"/>
      <c r="AT743" s="135"/>
      <c r="AU743" s="135"/>
      <c r="AV743" s="135"/>
      <c r="AW743" s="135"/>
      <c r="AX743" s="135"/>
      <c r="AY743" s="135"/>
      <c r="AZ743" s="135"/>
      <c r="BA743" s="135"/>
      <c r="BB743" s="135"/>
      <c r="BC743" s="135"/>
      <c r="BD743" s="135"/>
      <c r="BE743" s="135"/>
      <c r="BF743" s="135"/>
      <c r="BG743" s="135"/>
      <c r="BH743" s="135"/>
      <c r="BI743" s="135"/>
      <c r="BJ743" s="135"/>
      <c r="BK743" s="135"/>
      <c r="BL743" s="135"/>
      <c r="BM743" s="135"/>
      <c r="BN743" s="135"/>
      <c r="BO743" s="135"/>
      <c r="BP743" s="135"/>
      <c r="BQ743" s="135"/>
      <c r="BR743" s="135"/>
      <c r="BS743" s="135"/>
      <c r="BT743" s="135"/>
    </row>
    <row r="744" spans="1:72" s="196" customFormat="1">
      <c r="A744" s="135"/>
      <c r="B744" s="135"/>
      <c r="C744" s="135"/>
      <c r="D744" s="135"/>
      <c r="E744" s="135"/>
      <c r="F744" s="135"/>
      <c r="G744" s="135"/>
      <c r="H744" s="135"/>
      <c r="I744" s="135"/>
      <c r="J744" s="135"/>
      <c r="K744" s="135"/>
      <c r="L744" s="135"/>
      <c r="M744" s="135"/>
      <c r="N744" s="135"/>
      <c r="O744" s="135"/>
      <c r="P744" s="135"/>
      <c r="Q744" s="135"/>
      <c r="R744" s="135"/>
      <c r="S744" s="135"/>
      <c r="T744" s="135"/>
      <c r="U744" s="135"/>
      <c r="V744" s="135"/>
      <c r="W744" s="135"/>
      <c r="X744" s="135"/>
      <c r="Y744" s="135"/>
      <c r="Z744" s="135"/>
      <c r="AA744" s="135"/>
      <c r="AB744" s="135"/>
      <c r="AC744" s="135"/>
      <c r="AD744" s="135"/>
      <c r="AE744" s="135"/>
      <c r="AF744" s="135"/>
      <c r="AG744" s="135"/>
      <c r="AH744" s="135"/>
      <c r="AI744" s="135"/>
      <c r="AJ744" s="135"/>
      <c r="AK744" s="135"/>
      <c r="AL744" s="135"/>
      <c r="AM744" s="135"/>
      <c r="AN744" s="135"/>
      <c r="AO744" s="135"/>
      <c r="AP744" s="135"/>
      <c r="AQ744" s="135"/>
      <c r="AR744" s="135"/>
      <c r="AS744" s="135"/>
      <c r="AT744" s="135"/>
      <c r="AU744" s="135"/>
      <c r="AV744" s="135"/>
      <c r="AW744" s="135"/>
      <c r="AX744" s="135"/>
      <c r="AY744" s="135"/>
      <c r="AZ744" s="135"/>
      <c r="BA744" s="135"/>
      <c r="BB744" s="135"/>
      <c r="BC744" s="135"/>
      <c r="BD744" s="135"/>
      <c r="BE744" s="135"/>
      <c r="BF744" s="135"/>
      <c r="BG744" s="135"/>
      <c r="BH744" s="135"/>
      <c r="BI744" s="135"/>
      <c r="BJ744" s="135"/>
      <c r="BK744" s="135"/>
      <c r="BL744" s="135"/>
      <c r="BM744" s="135"/>
      <c r="BN744" s="135"/>
      <c r="BO744" s="135"/>
      <c r="BP744" s="135"/>
      <c r="BQ744" s="135"/>
      <c r="BR744" s="135"/>
      <c r="BS744" s="135"/>
      <c r="BT744" s="135"/>
    </row>
    <row r="745" spans="1:72" s="196" customFormat="1">
      <c r="A745" s="135"/>
      <c r="B745" s="135"/>
      <c r="C745" s="135"/>
      <c r="D745" s="135"/>
      <c r="E745" s="135"/>
      <c r="F745" s="135"/>
      <c r="G745" s="135"/>
      <c r="H745" s="135"/>
      <c r="I745" s="135"/>
      <c r="J745" s="135"/>
      <c r="K745" s="135"/>
      <c r="L745" s="135"/>
      <c r="M745" s="135"/>
      <c r="N745" s="135"/>
      <c r="O745" s="135"/>
      <c r="P745" s="135"/>
      <c r="Q745" s="135"/>
      <c r="R745" s="135"/>
      <c r="S745" s="135"/>
      <c r="T745" s="135"/>
      <c r="U745" s="135"/>
      <c r="V745" s="135"/>
      <c r="W745" s="135"/>
      <c r="X745" s="135"/>
      <c r="Y745" s="135"/>
      <c r="Z745" s="135"/>
      <c r="AA745" s="135"/>
      <c r="AB745" s="135"/>
      <c r="AC745" s="135"/>
      <c r="AD745" s="135"/>
      <c r="AE745" s="135"/>
      <c r="AF745" s="135"/>
      <c r="AG745" s="135"/>
      <c r="AH745" s="135"/>
      <c r="AI745" s="135"/>
      <c r="AJ745" s="135"/>
      <c r="AK745" s="135"/>
      <c r="AL745" s="135"/>
      <c r="AM745" s="135"/>
      <c r="AN745" s="135"/>
      <c r="AO745" s="135"/>
      <c r="AP745" s="135"/>
      <c r="AQ745" s="135"/>
      <c r="AR745" s="135"/>
      <c r="AS745" s="135"/>
      <c r="AT745" s="135"/>
      <c r="AU745" s="135"/>
      <c r="AV745" s="135"/>
      <c r="AW745" s="135"/>
      <c r="AX745" s="135"/>
      <c r="AY745" s="135"/>
      <c r="AZ745" s="135"/>
      <c r="BA745" s="135"/>
      <c r="BB745" s="135"/>
      <c r="BC745" s="135"/>
      <c r="BD745" s="135"/>
      <c r="BE745" s="135"/>
      <c r="BF745" s="135"/>
      <c r="BG745" s="135"/>
      <c r="BH745" s="135"/>
      <c r="BI745" s="135"/>
      <c r="BJ745" s="135"/>
      <c r="BK745" s="135"/>
      <c r="BL745" s="135"/>
      <c r="BM745" s="135"/>
      <c r="BN745" s="135"/>
      <c r="BO745" s="135"/>
      <c r="BP745" s="135"/>
      <c r="BQ745" s="135"/>
      <c r="BR745" s="135"/>
      <c r="BS745" s="135"/>
      <c r="BT745" s="135"/>
    </row>
    <row r="746" spans="1:72" s="196" customFormat="1">
      <c r="A746" s="135"/>
      <c r="B746" s="135"/>
      <c r="C746" s="135"/>
      <c r="D746" s="135"/>
      <c r="E746" s="135"/>
      <c r="F746" s="135"/>
      <c r="G746" s="135"/>
      <c r="H746" s="135"/>
      <c r="I746" s="135"/>
      <c r="J746" s="135"/>
      <c r="K746" s="135"/>
      <c r="L746" s="135"/>
      <c r="M746" s="135"/>
      <c r="N746" s="135"/>
      <c r="O746" s="135"/>
      <c r="P746" s="135"/>
      <c r="Q746" s="135"/>
      <c r="R746" s="135"/>
      <c r="S746" s="135"/>
      <c r="T746" s="135"/>
      <c r="U746" s="135"/>
      <c r="V746" s="135"/>
      <c r="W746" s="135"/>
      <c r="X746" s="135"/>
      <c r="Y746" s="135"/>
      <c r="Z746" s="135"/>
      <c r="AA746" s="135"/>
      <c r="AB746" s="135"/>
      <c r="AC746" s="135"/>
      <c r="AD746" s="135"/>
      <c r="AE746" s="135"/>
      <c r="AF746" s="135"/>
      <c r="AG746" s="135"/>
      <c r="AH746" s="135"/>
      <c r="AI746" s="135"/>
      <c r="AJ746" s="135"/>
      <c r="AK746" s="135"/>
      <c r="AL746" s="135"/>
      <c r="AM746" s="135"/>
      <c r="AN746" s="135"/>
      <c r="AO746" s="135"/>
      <c r="AP746" s="135"/>
      <c r="AQ746" s="135"/>
      <c r="AR746" s="135"/>
      <c r="AS746" s="135"/>
      <c r="AT746" s="135"/>
      <c r="AU746" s="135"/>
      <c r="AV746" s="135"/>
      <c r="AW746" s="135"/>
      <c r="AX746" s="135"/>
      <c r="AY746" s="135"/>
      <c r="AZ746" s="135"/>
      <c r="BA746" s="135"/>
      <c r="BB746" s="135"/>
      <c r="BC746" s="135"/>
      <c r="BD746" s="135"/>
      <c r="BE746" s="135"/>
      <c r="BF746" s="135"/>
      <c r="BG746" s="135"/>
      <c r="BH746" s="135"/>
      <c r="BI746" s="135"/>
      <c r="BJ746" s="135"/>
      <c r="BK746" s="135"/>
      <c r="BL746" s="135"/>
      <c r="BM746" s="135"/>
      <c r="BN746" s="135"/>
      <c r="BO746" s="135"/>
      <c r="BP746" s="135"/>
      <c r="BQ746" s="135"/>
      <c r="BR746" s="135"/>
      <c r="BS746" s="135"/>
      <c r="BT746" s="135"/>
    </row>
    <row r="747" spans="1:72" s="196" customFormat="1">
      <c r="A747" s="135"/>
      <c r="B747" s="135"/>
      <c r="C747" s="135"/>
      <c r="D747" s="135"/>
      <c r="E747" s="135"/>
      <c r="F747" s="135"/>
      <c r="G747" s="135"/>
      <c r="H747" s="135"/>
      <c r="I747" s="135"/>
      <c r="J747" s="135"/>
      <c r="K747" s="135"/>
      <c r="L747" s="135"/>
      <c r="M747" s="135"/>
      <c r="N747" s="135"/>
      <c r="O747" s="135"/>
      <c r="P747" s="135"/>
      <c r="Q747" s="135"/>
      <c r="R747" s="135"/>
      <c r="S747" s="135"/>
      <c r="T747" s="135"/>
      <c r="U747" s="135"/>
      <c r="V747" s="135"/>
      <c r="W747" s="135"/>
      <c r="X747" s="135"/>
      <c r="Y747" s="135"/>
      <c r="Z747" s="135"/>
      <c r="AA747" s="135"/>
      <c r="AB747" s="135"/>
      <c r="AC747" s="135"/>
      <c r="AD747" s="135"/>
      <c r="AE747" s="135"/>
      <c r="AF747" s="135"/>
      <c r="AG747" s="135"/>
      <c r="AH747" s="135"/>
      <c r="AI747" s="135"/>
      <c r="AJ747" s="135"/>
      <c r="AK747" s="135"/>
      <c r="AL747" s="135"/>
      <c r="AM747" s="135"/>
      <c r="AN747" s="135"/>
      <c r="AO747" s="135"/>
      <c r="AP747" s="135"/>
      <c r="AQ747" s="135"/>
      <c r="AR747" s="135"/>
      <c r="AS747" s="135"/>
      <c r="AT747" s="135"/>
      <c r="AU747" s="135"/>
      <c r="AV747" s="135"/>
      <c r="AW747" s="135"/>
      <c r="AX747" s="135"/>
      <c r="AY747" s="135"/>
      <c r="AZ747" s="135"/>
      <c r="BA747" s="135"/>
      <c r="BB747" s="135"/>
      <c r="BC747" s="135"/>
      <c r="BD747" s="135"/>
      <c r="BE747" s="135"/>
      <c r="BF747" s="135"/>
      <c r="BG747" s="135"/>
      <c r="BH747" s="135"/>
      <c r="BI747" s="135"/>
      <c r="BJ747" s="135"/>
      <c r="BK747" s="135"/>
      <c r="BL747" s="135"/>
      <c r="BM747" s="135"/>
      <c r="BN747" s="135"/>
      <c r="BO747" s="135"/>
      <c r="BP747" s="135"/>
      <c r="BQ747" s="135"/>
      <c r="BR747" s="135"/>
      <c r="BS747" s="135"/>
      <c r="BT747" s="135"/>
    </row>
    <row r="748" spans="1:72" s="196" customFormat="1">
      <c r="A748" s="135"/>
      <c r="B748" s="135"/>
      <c r="C748" s="135"/>
      <c r="D748" s="135"/>
      <c r="E748" s="135"/>
      <c r="F748" s="135"/>
      <c r="G748" s="135"/>
      <c r="H748" s="135"/>
      <c r="I748" s="135"/>
      <c r="J748" s="135"/>
      <c r="K748" s="135"/>
      <c r="L748" s="135"/>
      <c r="M748" s="135"/>
      <c r="N748" s="135"/>
      <c r="O748" s="135"/>
      <c r="P748" s="135"/>
      <c r="Q748" s="135"/>
      <c r="R748" s="135"/>
      <c r="S748" s="135"/>
      <c r="T748" s="135"/>
      <c r="U748" s="135"/>
      <c r="V748" s="135"/>
      <c r="W748" s="135"/>
      <c r="X748" s="135"/>
      <c r="Y748" s="135"/>
      <c r="Z748" s="135"/>
      <c r="AA748" s="135"/>
      <c r="AB748" s="135"/>
      <c r="AC748" s="135"/>
      <c r="AD748" s="135"/>
      <c r="AE748" s="135"/>
      <c r="AF748" s="135"/>
      <c r="AG748" s="135"/>
      <c r="AH748" s="135"/>
      <c r="AI748" s="135"/>
      <c r="AJ748" s="135"/>
      <c r="AK748" s="135"/>
      <c r="AL748" s="135"/>
      <c r="AM748" s="135"/>
      <c r="AN748" s="135"/>
      <c r="AO748" s="135"/>
      <c r="AP748" s="135"/>
      <c r="AQ748" s="135"/>
      <c r="AR748" s="135"/>
      <c r="AS748" s="135"/>
      <c r="AT748" s="135"/>
      <c r="AU748" s="135"/>
      <c r="AV748" s="135"/>
      <c r="AW748" s="135"/>
      <c r="AX748" s="135"/>
      <c r="AY748" s="135"/>
      <c r="AZ748" s="135"/>
      <c r="BA748" s="135"/>
      <c r="BB748" s="135"/>
      <c r="BC748" s="135"/>
      <c r="BD748" s="135"/>
      <c r="BE748" s="135"/>
      <c r="BF748" s="135"/>
      <c r="BG748" s="135"/>
      <c r="BH748" s="135"/>
      <c r="BI748" s="135"/>
      <c r="BJ748" s="135"/>
      <c r="BK748" s="135"/>
      <c r="BL748" s="135"/>
      <c r="BM748" s="135"/>
      <c r="BN748" s="135"/>
      <c r="BO748" s="135"/>
      <c r="BP748" s="135"/>
      <c r="BQ748" s="135"/>
      <c r="BR748" s="135"/>
      <c r="BS748" s="135"/>
      <c r="BT748" s="135"/>
    </row>
    <row r="749" spans="1:72" s="196" customFormat="1">
      <c r="A749" s="135"/>
      <c r="B749" s="135"/>
      <c r="C749" s="135"/>
      <c r="D749" s="135"/>
      <c r="E749" s="135"/>
      <c r="F749" s="135"/>
      <c r="G749" s="135"/>
      <c r="H749" s="135"/>
      <c r="I749" s="135"/>
      <c r="J749" s="135"/>
      <c r="K749" s="135"/>
      <c r="L749" s="135"/>
      <c r="M749" s="135"/>
      <c r="N749" s="135"/>
      <c r="O749" s="135"/>
      <c r="P749" s="135"/>
      <c r="Q749" s="135"/>
      <c r="R749" s="135"/>
      <c r="S749" s="135"/>
      <c r="T749" s="135"/>
      <c r="U749" s="135"/>
      <c r="V749" s="135"/>
      <c r="W749" s="135"/>
      <c r="X749" s="135"/>
      <c r="Y749" s="135"/>
      <c r="Z749" s="135"/>
      <c r="AA749" s="135"/>
      <c r="AB749" s="135"/>
      <c r="AC749" s="135"/>
      <c r="AD749" s="135"/>
      <c r="AE749" s="135"/>
      <c r="AF749" s="135"/>
      <c r="AG749" s="135"/>
      <c r="AH749" s="135"/>
      <c r="AI749" s="135"/>
      <c r="AJ749" s="135"/>
      <c r="AK749" s="135"/>
      <c r="AL749" s="135"/>
      <c r="AM749" s="135"/>
      <c r="AN749" s="135"/>
      <c r="AO749" s="135"/>
      <c r="AP749" s="135"/>
      <c r="AQ749" s="135"/>
      <c r="AR749" s="135"/>
      <c r="AS749" s="135"/>
      <c r="AT749" s="135"/>
      <c r="AU749" s="135"/>
      <c r="AV749" s="135"/>
      <c r="AW749" s="135"/>
      <c r="AX749" s="135"/>
      <c r="AY749" s="135"/>
      <c r="AZ749" s="135"/>
      <c r="BA749" s="135"/>
      <c r="BB749" s="135"/>
      <c r="BC749" s="135"/>
      <c r="BD749" s="135"/>
      <c r="BE749" s="135"/>
      <c r="BF749" s="135"/>
      <c r="BG749" s="135"/>
      <c r="BH749" s="135"/>
      <c r="BI749" s="135"/>
      <c r="BJ749" s="135"/>
      <c r="BK749" s="135"/>
      <c r="BL749" s="135"/>
      <c r="BM749" s="135"/>
      <c r="BN749" s="135"/>
      <c r="BO749" s="135"/>
      <c r="BP749" s="135"/>
      <c r="BQ749" s="135"/>
      <c r="BR749" s="135"/>
      <c r="BS749" s="135"/>
      <c r="BT749" s="135"/>
    </row>
    <row r="750" spans="1:72" s="196" customFormat="1">
      <c r="A750" s="135"/>
      <c r="B750" s="135"/>
      <c r="C750" s="135"/>
      <c r="D750" s="135"/>
      <c r="E750" s="135"/>
      <c r="F750" s="135"/>
      <c r="G750" s="135"/>
      <c r="H750" s="135"/>
      <c r="I750" s="135"/>
      <c r="J750" s="135"/>
      <c r="K750" s="135"/>
      <c r="L750" s="135"/>
      <c r="M750" s="135"/>
      <c r="N750" s="135"/>
      <c r="O750" s="135"/>
      <c r="P750" s="135"/>
      <c r="Q750" s="135"/>
      <c r="R750" s="135"/>
      <c r="S750" s="135"/>
      <c r="T750" s="135"/>
      <c r="U750" s="135"/>
      <c r="V750" s="135"/>
      <c r="W750" s="135"/>
      <c r="X750" s="135"/>
      <c r="Y750" s="135"/>
      <c r="Z750" s="135"/>
      <c r="AA750" s="135"/>
      <c r="AB750" s="135"/>
      <c r="AC750" s="135"/>
      <c r="AD750" s="135"/>
      <c r="AE750" s="135"/>
      <c r="AF750" s="135"/>
      <c r="AG750" s="135"/>
      <c r="AH750" s="135"/>
      <c r="AI750" s="135"/>
      <c r="AJ750" s="135"/>
      <c r="AK750" s="135"/>
      <c r="AL750" s="135"/>
      <c r="AM750" s="135"/>
      <c r="AN750" s="135"/>
      <c r="AO750" s="135"/>
      <c r="AP750" s="135"/>
      <c r="AQ750" s="135"/>
      <c r="AR750" s="135"/>
      <c r="AS750" s="135"/>
      <c r="AT750" s="135"/>
      <c r="AU750" s="135"/>
      <c r="AV750" s="135"/>
      <c r="AW750" s="135"/>
      <c r="AX750" s="135"/>
      <c r="AY750" s="135"/>
      <c r="AZ750" s="135"/>
      <c r="BA750" s="135"/>
      <c r="BB750" s="135"/>
      <c r="BC750" s="135"/>
      <c r="BD750" s="135"/>
      <c r="BE750" s="135"/>
      <c r="BF750" s="135"/>
      <c r="BG750" s="135"/>
      <c r="BH750" s="135"/>
      <c r="BI750" s="135"/>
      <c r="BJ750" s="135"/>
      <c r="BK750" s="135"/>
      <c r="BL750" s="135"/>
      <c r="BM750" s="135"/>
      <c r="BN750" s="135"/>
      <c r="BO750" s="135"/>
      <c r="BP750" s="135"/>
      <c r="BQ750" s="135"/>
      <c r="BR750" s="135"/>
      <c r="BS750" s="135"/>
      <c r="BT750" s="135"/>
    </row>
    <row r="751" spans="1:72" s="196" customFormat="1">
      <c r="A751" s="135"/>
      <c r="B751" s="135"/>
      <c r="C751" s="135"/>
      <c r="D751" s="135"/>
      <c r="E751" s="135"/>
      <c r="F751" s="135"/>
      <c r="G751" s="135"/>
      <c r="H751" s="135"/>
      <c r="I751" s="135"/>
      <c r="J751" s="135"/>
      <c r="K751" s="135"/>
      <c r="L751" s="135"/>
      <c r="M751" s="135"/>
      <c r="N751" s="135"/>
      <c r="O751" s="135"/>
      <c r="P751" s="135"/>
      <c r="Q751" s="135"/>
      <c r="R751" s="135"/>
      <c r="S751" s="135"/>
      <c r="T751" s="135"/>
      <c r="U751" s="135"/>
      <c r="V751" s="135"/>
      <c r="W751" s="135"/>
      <c r="X751" s="135"/>
      <c r="Y751" s="135"/>
      <c r="Z751" s="135"/>
      <c r="AA751" s="135"/>
      <c r="AB751" s="135"/>
      <c r="AC751" s="135"/>
      <c r="AD751" s="135"/>
      <c r="AE751" s="135"/>
      <c r="AF751" s="135"/>
      <c r="AG751" s="135"/>
      <c r="AH751" s="135"/>
      <c r="AI751" s="135"/>
      <c r="AJ751" s="135"/>
      <c r="AK751" s="135"/>
      <c r="AL751" s="135"/>
      <c r="AM751" s="135"/>
      <c r="AN751" s="135"/>
      <c r="AO751" s="135"/>
      <c r="AP751" s="135"/>
      <c r="AQ751" s="135"/>
      <c r="AR751" s="135"/>
      <c r="AS751" s="135"/>
      <c r="AT751" s="135"/>
      <c r="AU751" s="135"/>
      <c r="AV751" s="135"/>
      <c r="AW751" s="135"/>
      <c r="AX751" s="135"/>
      <c r="AY751" s="135"/>
      <c r="AZ751" s="135"/>
      <c r="BA751" s="135"/>
      <c r="BB751" s="135"/>
      <c r="BC751" s="135"/>
      <c r="BD751" s="135"/>
      <c r="BE751" s="135"/>
      <c r="BF751" s="135"/>
      <c r="BG751" s="135"/>
      <c r="BH751" s="135"/>
      <c r="BI751" s="135"/>
      <c r="BJ751" s="135"/>
      <c r="BK751" s="135"/>
      <c r="BL751" s="135"/>
      <c r="BM751" s="135"/>
      <c r="BN751" s="135"/>
      <c r="BO751" s="135"/>
      <c r="BP751" s="135"/>
      <c r="BQ751" s="135"/>
      <c r="BR751" s="135"/>
      <c r="BS751" s="135"/>
      <c r="BT751" s="135"/>
    </row>
    <row r="752" spans="1:72" s="196" customFormat="1">
      <c r="A752" s="135"/>
      <c r="B752" s="135"/>
      <c r="C752" s="135"/>
      <c r="D752" s="135"/>
      <c r="E752" s="135"/>
      <c r="F752" s="135"/>
      <c r="G752" s="135"/>
      <c r="H752" s="135"/>
      <c r="I752" s="135"/>
      <c r="J752" s="135"/>
      <c r="K752" s="135"/>
      <c r="L752" s="135"/>
      <c r="M752" s="135"/>
      <c r="N752" s="135"/>
      <c r="O752" s="135"/>
      <c r="P752" s="135"/>
      <c r="Q752" s="135"/>
      <c r="R752" s="135"/>
      <c r="S752" s="135"/>
      <c r="T752" s="135"/>
      <c r="U752" s="135"/>
      <c r="V752" s="135"/>
      <c r="W752" s="135"/>
      <c r="X752" s="135"/>
      <c r="Y752" s="135"/>
      <c r="Z752" s="135"/>
      <c r="AA752" s="135"/>
      <c r="AB752" s="135"/>
      <c r="AC752" s="135"/>
      <c r="AD752" s="135"/>
      <c r="AE752" s="135"/>
      <c r="AF752" s="135"/>
      <c r="AG752" s="135"/>
      <c r="AH752" s="135"/>
      <c r="AI752" s="135"/>
      <c r="AJ752" s="135"/>
      <c r="AK752" s="135"/>
      <c r="AL752" s="135"/>
      <c r="AM752" s="135"/>
      <c r="AN752" s="135"/>
      <c r="AO752" s="135"/>
      <c r="AP752" s="135"/>
      <c r="AQ752" s="135"/>
      <c r="AR752" s="135"/>
      <c r="AS752" s="135"/>
      <c r="AT752" s="135"/>
      <c r="AU752" s="135"/>
      <c r="AV752" s="135"/>
      <c r="AW752" s="135"/>
      <c r="AX752" s="135"/>
      <c r="AY752" s="135"/>
      <c r="AZ752" s="135"/>
      <c r="BA752" s="135"/>
      <c r="BB752" s="135"/>
      <c r="BC752" s="135"/>
      <c r="BD752" s="135"/>
      <c r="BE752" s="135"/>
      <c r="BF752" s="135"/>
      <c r="BG752" s="135"/>
      <c r="BH752" s="135"/>
      <c r="BI752" s="135"/>
      <c r="BJ752" s="135"/>
      <c r="BK752" s="135"/>
      <c r="BL752" s="135"/>
      <c r="BM752" s="135"/>
      <c r="BN752" s="135"/>
      <c r="BO752" s="135"/>
      <c r="BP752" s="135"/>
      <c r="BQ752" s="135"/>
      <c r="BR752" s="135"/>
      <c r="BS752" s="135"/>
      <c r="BT752" s="135"/>
    </row>
    <row r="753" spans="1:72" s="196" customFormat="1">
      <c r="A753" s="135"/>
      <c r="B753" s="135"/>
      <c r="C753" s="135"/>
      <c r="D753" s="135"/>
      <c r="E753" s="135"/>
      <c r="F753" s="135"/>
      <c r="G753" s="135"/>
      <c r="H753" s="135"/>
      <c r="I753" s="135"/>
      <c r="J753" s="135"/>
      <c r="K753" s="135"/>
      <c r="L753" s="135"/>
      <c r="M753" s="135"/>
      <c r="N753" s="135"/>
      <c r="O753" s="135"/>
      <c r="P753" s="135"/>
      <c r="Q753" s="135"/>
      <c r="R753" s="135"/>
      <c r="S753" s="135"/>
      <c r="T753" s="135"/>
      <c r="U753" s="135"/>
      <c r="V753" s="135"/>
      <c r="W753" s="135"/>
      <c r="X753" s="135"/>
      <c r="Y753" s="135"/>
      <c r="Z753" s="135"/>
      <c r="AA753" s="135"/>
      <c r="AB753" s="135"/>
      <c r="AC753" s="135"/>
      <c r="AD753" s="135"/>
      <c r="AE753" s="135"/>
      <c r="AF753" s="135"/>
      <c r="AG753" s="135"/>
      <c r="AH753" s="135"/>
      <c r="AI753" s="135"/>
      <c r="AJ753" s="135"/>
      <c r="AK753" s="135"/>
      <c r="AL753" s="135"/>
      <c r="AM753" s="135"/>
      <c r="AN753" s="135"/>
      <c r="AO753" s="135"/>
      <c r="AP753" s="135"/>
      <c r="AQ753" s="135"/>
      <c r="AR753" s="135"/>
      <c r="AS753" s="135"/>
      <c r="AT753" s="135"/>
      <c r="AU753" s="135"/>
      <c r="AV753" s="135"/>
      <c r="AW753" s="135"/>
      <c r="AX753" s="135"/>
      <c r="AY753" s="135"/>
      <c r="AZ753" s="135"/>
      <c r="BA753" s="135"/>
      <c r="BB753" s="135"/>
      <c r="BC753" s="135"/>
      <c r="BD753" s="135"/>
      <c r="BE753" s="135"/>
      <c r="BF753" s="135"/>
      <c r="BG753" s="135"/>
      <c r="BH753" s="135"/>
      <c r="BI753" s="135"/>
      <c r="BJ753" s="135"/>
      <c r="BK753" s="135"/>
      <c r="BL753" s="135"/>
      <c r="BM753" s="135"/>
      <c r="BN753" s="135"/>
      <c r="BO753" s="135"/>
      <c r="BP753" s="135"/>
      <c r="BQ753" s="135"/>
      <c r="BR753" s="135"/>
      <c r="BS753" s="135"/>
      <c r="BT753" s="135"/>
    </row>
    <row r="754" spans="1:72" s="196" customFormat="1">
      <c r="A754" s="135"/>
      <c r="B754" s="135"/>
      <c r="C754" s="135"/>
      <c r="D754" s="135"/>
      <c r="E754" s="135"/>
      <c r="F754" s="135"/>
      <c r="G754" s="135"/>
      <c r="H754" s="135"/>
      <c r="I754" s="135"/>
      <c r="J754" s="135"/>
      <c r="K754" s="135"/>
      <c r="L754" s="135"/>
      <c r="M754" s="135"/>
      <c r="N754" s="135"/>
      <c r="O754" s="135"/>
      <c r="P754" s="135"/>
      <c r="Q754" s="135"/>
      <c r="R754" s="135"/>
      <c r="S754" s="135"/>
      <c r="T754" s="135"/>
      <c r="U754" s="135"/>
      <c r="V754" s="135"/>
      <c r="W754" s="135"/>
      <c r="X754" s="135"/>
      <c r="Y754" s="135"/>
      <c r="Z754" s="135"/>
      <c r="AA754" s="135"/>
      <c r="AB754" s="135"/>
      <c r="AC754" s="135"/>
      <c r="AD754" s="135"/>
      <c r="AE754" s="135"/>
      <c r="AF754" s="135"/>
      <c r="AG754" s="135"/>
      <c r="AH754" s="135"/>
      <c r="AI754" s="135"/>
      <c r="AJ754" s="135"/>
      <c r="AK754" s="135"/>
      <c r="AL754" s="135"/>
      <c r="AM754" s="135"/>
      <c r="AN754" s="135"/>
      <c r="AO754" s="135"/>
      <c r="AP754" s="135"/>
      <c r="AQ754" s="135"/>
      <c r="AR754" s="135"/>
      <c r="AS754" s="135"/>
      <c r="AT754" s="135"/>
      <c r="AU754" s="135"/>
      <c r="AV754" s="135"/>
      <c r="AW754" s="135"/>
      <c r="AX754" s="135"/>
      <c r="AY754" s="135"/>
      <c r="AZ754" s="135"/>
      <c r="BA754" s="135"/>
      <c r="BB754" s="135"/>
      <c r="BC754" s="135"/>
      <c r="BD754" s="135"/>
      <c r="BE754" s="135"/>
      <c r="BF754" s="135"/>
      <c r="BG754" s="135"/>
      <c r="BH754" s="135"/>
      <c r="BI754" s="135"/>
      <c r="BJ754" s="135"/>
      <c r="BK754" s="135"/>
      <c r="BL754" s="135"/>
      <c r="BM754" s="135"/>
      <c r="BN754" s="135"/>
      <c r="BO754" s="135"/>
      <c r="BP754" s="135"/>
      <c r="BQ754" s="135"/>
      <c r="BR754" s="135"/>
      <c r="BS754" s="135"/>
      <c r="BT754" s="135"/>
    </row>
    <row r="755" spans="1:72" s="196" customFormat="1">
      <c r="A755" s="135"/>
      <c r="B755" s="135"/>
      <c r="C755" s="135"/>
      <c r="D755" s="135"/>
      <c r="E755" s="135"/>
      <c r="F755" s="135"/>
      <c r="G755" s="135"/>
      <c r="H755" s="135"/>
      <c r="I755" s="135"/>
      <c r="J755" s="135"/>
      <c r="K755" s="135"/>
      <c r="L755" s="135"/>
      <c r="M755" s="135"/>
      <c r="N755" s="135"/>
      <c r="O755" s="135"/>
      <c r="P755" s="135"/>
      <c r="Q755" s="135"/>
      <c r="R755" s="135"/>
      <c r="S755" s="135"/>
      <c r="T755" s="135"/>
      <c r="U755" s="135"/>
      <c r="V755" s="135"/>
      <c r="W755" s="135"/>
      <c r="X755" s="135"/>
      <c r="Y755" s="135"/>
      <c r="Z755" s="135"/>
      <c r="AA755" s="135"/>
      <c r="AB755" s="135"/>
      <c r="AC755" s="135"/>
      <c r="AD755" s="135"/>
      <c r="AE755" s="135"/>
      <c r="AF755" s="135"/>
      <c r="AG755" s="135"/>
      <c r="AH755" s="135"/>
      <c r="AI755" s="135"/>
      <c r="AJ755" s="135"/>
      <c r="AK755" s="135"/>
      <c r="AL755" s="135"/>
      <c r="AM755" s="135"/>
      <c r="AN755" s="135"/>
      <c r="AO755" s="135"/>
      <c r="AP755" s="135"/>
      <c r="AQ755" s="135"/>
      <c r="AR755" s="135"/>
      <c r="AS755" s="135"/>
      <c r="AT755" s="135"/>
      <c r="AU755" s="135"/>
      <c r="AV755" s="135"/>
      <c r="AW755" s="135"/>
      <c r="AX755" s="135"/>
      <c r="AY755" s="135"/>
      <c r="AZ755" s="135"/>
      <c r="BA755" s="135"/>
      <c r="BB755" s="135"/>
      <c r="BC755" s="135"/>
      <c r="BD755" s="135"/>
      <c r="BE755" s="135"/>
      <c r="BF755" s="135"/>
      <c r="BG755" s="135"/>
      <c r="BH755" s="135"/>
      <c r="BI755" s="135"/>
      <c r="BJ755" s="135"/>
      <c r="BK755" s="135"/>
      <c r="BL755" s="135"/>
      <c r="BM755" s="135"/>
      <c r="BN755" s="135"/>
      <c r="BO755" s="135"/>
      <c r="BP755" s="135"/>
      <c r="BQ755" s="135"/>
      <c r="BR755" s="135"/>
      <c r="BS755" s="135"/>
      <c r="BT755" s="135"/>
    </row>
    <row r="756" spans="1:72" s="196" customFormat="1">
      <c r="A756" s="135"/>
      <c r="B756" s="135"/>
      <c r="C756" s="135"/>
      <c r="D756" s="135"/>
      <c r="E756" s="135"/>
      <c r="F756" s="135"/>
      <c r="G756" s="135"/>
      <c r="H756" s="135"/>
      <c r="I756" s="135"/>
      <c r="J756" s="135"/>
      <c r="K756" s="135"/>
      <c r="L756" s="135"/>
      <c r="M756" s="135"/>
      <c r="N756" s="135"/>
      <c r="O756" s="135"/>
      <c r="P756" s="135"/>
      <c r="Q756" s="135"/>
      <c r="R756" s="135"/>
      <c r="S756" s="135"/>
      <c r="T756" s="135"/>
      <c r="U756" s="135"/>
      <c r="V756" s="135"/>
      <c r="W756" s="135"/>
      <c r="X756" s="135"/>
      <c r="Y756" s="135"/>
      <c r="Z756" s="135"/>
      <c r="AA756" s="135"/>
      <c r="AB756" s="135"/>
      <c r="AC756" s="135"/>
      <c r="AD756" s="135"/>
      <c r="AE756" s="135"/>
      <c r="AF756" s="135"/>
      <c r="AG756" s="135"/>
      <c r="AH756" s="135"/>
      <c r="AI756" s="135"/>
      <c r="AJ756" s="135"/>
      <c r="AK756" s="135"/>
      <c r="AL756" s="135"/>
      <c r="AM756" s="135"/>
      <c r="AN756" s="135"/>
      <c r="AO756" s="135"/>
      <c r="AP756" s="135"/>
      <c r="AQ756" s="135"/>
      <c r="AR756" s="135"/>
      <c r="AS756" s="135"/>
      <c r="AT756" s="135"/>
      <c r="AU756" s="135"/>
      <c r="AV756" s="135"/>
      <c r="AW756" s="135"/>
      <c r="AX756" s="135"/>
      <c r="AY756" s="135"/>
      <c r="AZ756" s="135"/>
      <c r="BA756" s="135"/>
      <c r="BB756" s="135"/>
      <c r="BC756" s="135"/>
      <c r="BD756" s="135"/>
      <c r="BE756" s="135"/>
      <c r="BF756" s="135"/>
      <c r="BG756" s="135"/>
      <c r="BH756" s="135"/>
      <c r="BI756" s="135"/>
      <c r="BJ756" s="135"/>
      <c r="BK756" s="135"/>
      <c r="BL756" s="135"/>
      <c r="BM756" s="135"/>
      <c r="BN756" s="135"/>
      <c r="BO756" s="135"/>
      <c r="BP756" s="135"/>
      <c r="BQ756" s="135"/>
      <c r="BR756" s="135"/>
      <c r="BS756" s="135"/>
      <c r="BT756" s="135"/>
    </row>
    <row r="757" spans="1:72" s="196" customFormat="1">
      <c r="A757" s="135"/>
      <c r="B757" s="135"/>
      <c r="C757" s="135"/>
      <c r="D757" s="135"/>
      <c r="E757" s="135"/>
      <c r="F757" s="135"/>
      <c r="G757" s="135"/>
      <c r="H757" s="135"/>
      <c r="I757" s="135"/>
      <c r="J757" s="135"/>
      <c r="K757" s="135"/>
      <c r="L757" s="135"/>
      <c r="M757" s="135"/>
      <c r="N757" s="135"/>
      <c r="O757" s="135"/>
      <c r="P757" s="135"/>
      <c r="Q757" s="135"/>
      <c r="R757" s="135"/>
      <c r="S757" s="135"/>
      <c r="T757" s="135"/>
      <c r="U757" s="135"/>
      <c r="V757" s="135"/>
      <c r="W757" s="135"/>
      <c r="X757" s="135"/>
      <c r="Y757" s="135"/>
      <c r="Z757" s="135"/>
      <c r="AA757" s="135"/>
      <c r="AB757" s="135"/>
      <c r="AC757" s="135"/>
      <c r="AD757" s="135"/>
      <c r="AE757" s="135"/>
      <c r="AF757" s="135"/>
      <c r="AG757" s="135"/>
      <c r="AH757" s="135"/>
      <c r="AI757" s="135"/>
      <c r="AJ757" s="135"/>
      <c r="AK757" s="135"/>
      <c r="AL757" s="135"/>
      <c r="AM757" s="135"/>
      <c r="AN757" s="135"/>
      <c r="AO757" s="135"/>
      <c r="AP757" s="135"/>
      <c r="AQ757" s="135"/>
      <c r="AR757" s="135"/>
      <c r="AS757" s="135"/>
      <c r="AT757" s="135"/>
      <c r="AU757" s="135"/>
      <c r="AV757" s="135"/>
      <c r="AW757" s="135"/>
      <c r="AX757" s="135"/>
      <c r="AY757" s="135"/>
      <c r="AZ757" s="135"/>
      <c r="BA757" s="135"/>
      <c r="BB757" s="135"/>
      <c r="BC757" s="135"/>
      <c r="BD757" s="135"/>
      <c r="BE757" s="135"/>
      <c r="BF757" s="135"/>
      <c r="BG757" s="135"/>
      <c r="BH757" s="135"/>
      <c r="BI757" s="135"/>
      <c r="BJ757" s="135"/>
      <c r="BK757" s="135"/>
      <c r="BL757" s="135"/>
      <c r="BM757" s="135"/>
      <c r="BN757" s="135"/>
      <c r="BO757" s="135"/>
      <c r="BP757" s="135"/>
      <c r="BQ757" s="135"/>
      <c r="BR757" s="135"/>
      <c r="BS757" s="135"/>
      <c r="BT757" s="135"/>
    </row>
    <row r="758" spans="1:72" s="196" customFormat="1">
      <c r="A758" s="135"/>
      <c r="B758" s="135"/>
      <c r="C758" s="135"/>
      <c r="D758" s="135"/>
      <c r="E758" s="135"/>
      <c r="F758" s="135"/>
      <c r="G758" s="135"/>
      <c r="H758" s="135"/>
      <c r="I758" s="135"/>
      <c r="J758" s="135"/>
      <c r="K758" s="135"/>
      <c r="L758" s="135"/>
      <c r="M758" s="135"/>
      <c r="N758" s="135"/>
      <c r="O758" s="135"/>
      <c r="P758" s="135"/>
      <c r="Q758" s="135"/>
      <c r="R758" s="135"/>
      <c r="S758" s="135"/>
      <c r="T758" s="135"/>
      <c r="U758" s="135"/>
      <c r="V758" s="135"/>
      <c r="W758" s="135"/>
      <c r="X758" s="135"/>
      <c r="Y758" s="135"/>
      <c r="Z758" s="135"/>
      <c r="AA758" s="135"/>
      <c r="AB758" s="135"/>
      <c r="AC758" s="135"/>
      <c r="AD758" s="135"/>
      <c r="AE758" s="135"/>
      <c r="AF758" s="135"/>
      <c r="AG758" s="135"/>
      <c r="AH758" s="135"/>
      <c r="AI758" s="135"/>
      <c r="AJ758" s="135"/>
      <c r="AK758" s="135"/>
      <c r="AL758" s="135"/>
      <c r="AM758" s="135"/>
      <c r="AN758" s="135"/>
      <c r="AO758" s="135"/>
      <c r="AP758" s="135"/>
      <c r="AQ758" s="135"/>
      <c r="AR758" s="135"/>
      <c r="AS758" s="135"/>
      <c r="AT758" s="135"/>
      <c r="AU758" s="135"/>
      <c r="AV758" s="135"/>
      <c r="AW758" s="135"/>
      <c r="AX758" s="135"/>
      <c r="AY758" s="135"/>
      <c r="AZ758" s="135"/>
      <c r="BA758" s="135"/>
      <c r="BB758" s="135"/>
      <c r="BC758" s="135"/>
      <c r="BD758" s="135"/>
      <c r="BE758" s="135"/>
      <c r="BF758" s="135"/>
      <c r="BG758" s="135"/>
      <c r="BH758" s="135"/>
      <c r="BI758" s="135"/>
      <c r="BJ758" s="135"/>
      <c r="BK758" s="135"/>
      <c r="BL758" s="135"/>
      <c r="BM758" s="135"/>
      <c r="BN758" s="135"/>
      <c r="BO758" s="135"/>
      <c r="BP758" s="135"/>
      <c r="BQ758" s="135"/>
      <c r="BR758" s="135"/>
      <c r="BS758" s="135"/>
      <c r="BT758" s="135"/>
    </row>
    <row r="759" spans="1:72" s="196" customFormat="1">
      <c r="A759" s="135"/>
      <c r="B759" s="135"/>
      <c r="C759" s="135"/>
      <c r="D759" s="135"/>
      <c r="E759" s="135"/>
      <c r="F759" s="135"/>
      <c r="G759" s="135"/>
      <c r="H759" s="135"/>
      <c r="I759" s="135"/>
      <c r="J759" s="135"/>
      <c r="K759" s="135"/>
      <c r="L759" s="135"/>
      <c r="M759" s="135"/>
      <c r="N759" s="135"/>
      <c r="O759" s="135"/>
      <c r="P759" s="135"/>
      <c r="Q759" s="135"/>
      <c r="R759" s="135"/>
      <c r="S759" s="135"/>
      <c r="T759" s="135"/>
      <c r="U759" s="135"/>
      <c r="V759" s="135"/>
      <c r="W759" s="135"/>
      <c r="X759" s="135"/>
      <c r="Y759" s="135"/>
      <c r="Z759" s="135"/>
      <c r="AA759" s="135"/>
      <c r="AB759" s="135"/>
      <c r="AC759" s="135"/>
      <c r="AD759" s="135"/>
      <c r="AE759" s="135"/>
      <c r="AF759" s="135"/>
      <c r="AG759" s="135"/>
      <c r="AH759" s="135"/>
      <c r="AI759" s="135"/>
      <c r="AJ759" s="135"/>
      <c r="AK759" s="135"/>
      <c r="AL759" s="135"/>
      <c r="AM759" s="135"/>
      <c r="AN759" s="135"/>
      <c r="AO759" s="135"/>
      <c r="AP759" s="135"/>
      <c r="AQ759" s="135"/>
      <c r="AR759" s="135"/>
      <c r="AS759" s="135"/>
      <c r="AT759" s="135"/>
      <c r="AU759" s="135"/>
      <c r="AV759" s="135"/>
      <c r="AW759" s="135"/>
      <c r="AX759" s="135"/>
      <c r="AY759" s="135"/>
      <c r="AZ759" s="135"/>
      <c r="BA759" s="135"/>
      <c r="BB759" s="135"/>
      <c r="BC759" s="135"/>
      <c r="BD759" s="135"/>
      <c r="BE759" s="135"/>
      <c r="BF759" s="135"/>
      <c r="BG759" s="135"/>
      <c r="BH759" s="135"/>
      <c r="BI759" s="135"/>
      <c r="BJ759" s="135"/>
      <c r="BK759" s="135"/>
      <c r="BL759" s="135"/>
      <c r="BM759" s="135"/>
      <c r="BN759" s="135"/>
      <c r="BO759" s="135"/>
      <c r="BP759" s="135"/>
      <c r="BQ759" s="135"/>
      <c r="BR759" s="135"/>
      <c r="BS759" s="135"/>
      <c r="BT759" s="135"/>
    </row>
    <row r="760" spans="1:72" s="196" customFormat="1">
      <c r="A760" s="135"/>
      <c r="B760" s="135"/>
      <c r="C760" s="135"/>
      <c r="D760" s="135"/>
      <c r="E760" s="135"/>
      <c r="F760" s="135"/>
      <c r="G760" s="135"/>
      <c r="H760" s="135"/>
      <c r="I760" s="135"/>
      <c r="J760" s="135"/>
      <c r="K760" s="135"/>
      <c r="L760" s="135"/>
      <c r="M760" s="135"/>
      <c r="N760" s="135"/>
      <c r="O760" s="135"/>
      <c r="P760" s="135"/>
      <c r="Q760" s="135"/>
      <c r="R760" s="135"/>
      <c r="S760" s="135"/>
      <c r="T760" s="135"/>
      <c r="U760" s="135"/>
      <c r="V760" s="135"/>
      <c r="W760" s="135"/>
      <c r="X760" s="135"/>
      <c r="Y760" s="135"/>
      <c r="Z760" s="135"/>
      <c r="AA760" s="135"/>
      <c r="AB760" s="135"/>
      <c r="AC760" s="135"/>
      <c r="AD760" s="135"/>
      <c r="AE760" s="135"/>
      <c r="AF760" s="135"/>
      <c r="AG760" s="135"/>
      <c r="AH760" s="135"/>
      <c r="AI760" s="135"/>
      <c r="AJ760" s="135"/>
      <c r="AK760" s="135"/>
      <c r="AL760" s="135"/>
      <c r="AM760" s="135"/>
      <c r="AN760" s="135"/>
      <c r="AO760" s="135"/>
      <c r="AP760" s="135"/>
      <c r="AQ760" s="135"/>
      <c r="AR760" s="135"/>
      <c r="AS760" s="135"/>
      <c r="AT760" s="135"/>
      <c r="AU760" s="135"/>
      <c r="AV760" s="135"/>
      <c r="AW760" s="135"/>
      <c r="AX760" s="135"/>
      <c r="AY760" s="135"/>
      <c r="AZ760" s="135"/>
      <c r="BA760" s="135"/>
      <c r="BB760" s="135"/>
      <c r="BC760" s="135"/>
      <c r="BD760" s="135"/>
      <c r="BE760" s="135"/>
      <c r="BF760" s="135"/>
      <c r="BG760" s="135"/>
      <c r="BH760" s="135"/>
      <c r="BI760" s="135"/>
      <c r="BJ760" s="135"/>
      <c r="BK760" s="135"/>
      <c r="BL760" s="135"/>
      <c r="BM760" s="135"/>
      <c r="BN760" s="135"/>
      <c r="BO760" s="135"/>
      <c r="BP760" s="135"/>
      <c r="BQ760" s="135"/>
      <c r="BR760" s="135"/>
      <c r="BS760" s="135"/>
      <c r="BT760" s="135"/>
    </row>
    <row r="761" spans="1:72" s="196" customFormat="1">
      <c r="A761" s="135"/>
      <c r="B761" s="135"/>
      <c r="C761" s="135"/>
      <c r="D761" s="135"/>
      <c r="E761" s="135"/>
      <c r="F761" s="135"/>
      <c r="G761" s="135"/>
      <c r="H761" s="135"/>
      <c r="I761" s="135"/>
      <c r="J761" s="135"/>
      <c r="K761" s="135"/>
      <c r="L761" s="135"/>
      <c r="M761" s="135"/>
      <c r="N761" s="135"/>
      <c r="O761" s="135"/>
      <c r="P761" s="135"/>
      <c r="Q761" s="135"/>
      <c r="R761" s="135"/>
      <c r="S761" s="135"/>
      <c r="T761" s="135"/>
      <c r="U761" s="135"/>
      <c r="V761" s="135"/>
      <c r="W761" s="135"/>
      <c r="X761" s="135"/>
      <c r="Y761" s="135"/>
      <c r="Z761" s="135"/>
      <c r="AA761" s="135"/>
      <c r="AB761" s="135"/>
      <c r="AC761" s="135"/>
      <c r="AD761" s="135"/>
      <c r="AE761" s="135"/>
      <c r="AF761" s="135"/>
      <c r="AG761" s="135"/>
      <c r="AH761" s="135"/>
      <c r="AI761" s="135"/>
      <c r="AJ761" s="135"/>
      <c r="AK761" s="135"/>
      <c r="AL761" s="135"/>
      <c r="AM761" s="135"/>
      <c r="AN761" s="135"/>
      <c r="AO761" s="135"/>
      <c r="AP761" s="135"/>
      <c r="AQ761" s="135"/>
      <c r="AR761" s="135"/>
      <c r="AS761" s="135"/>
      <c r="AT761" s="135"/>
      <c r="AU761" s="135"/>
      <c r="AV761" s="135"/>
      <c r="AW761" s="135"/>
      <c r="AX761" s="135"/>
      <c r="AY761" s="135"/>
      <c r="AZ761" s="135"/>
      <c r="BA761" s="135"/>
      <c r="BB761" s="135"/>
      <c r="BC761" s="135"/>
      <c r="BD761" s="135"/>
      <c r="BE761" s="135"/>
      <c r="BF761" s="135"/>
      <c r="BG761" s="135"/>
      <c r="BH761" s="135"/>
      <c r="BI761" s="135"/>
      <c r="BJ761" s="135"/>
      <c r="BK761" s="135"/>
      <c r="BL761" s="135"/>
      <c r="BM761" s="135"/>
      <c r="BN761" s="135"/>
      <c r="BO761" s="135"/>
      <c r="BP761" s="135"/>
      <c r="BQ761" s="135"/>
      <c r="BR761" s="135"/>
      <c r="BS761" s="135"/>
      <c r="BT761" s="135"/>
    </row>
    <row r="762" spans="1:72" s="196" customFormat="1">
      <c r="A762" s="135"/>
      <c r="B762" s="135"/>
      <c r="C762" s="135"/>
      <c r="D762" s="135"/>
      <c r="E762" s="135"/>
      <c r="F762" s="135"/>
      <c r="G762" s="135"/>
      <c r="H762" s="135"/>
      <c r="I762" s="135"/>
      <c r="J762" s="135"/>
      <c r="K762" s="135"/>
      <c r="L762" s="135"/>
      <c r="M762" s="135"/>
      <c r="N762" s="135"/>
      <c r="O762" s="135"/>
      <c r="P762" s="135"/>
      <c r="Q762" s="135"/>
      <c r="R762" s="135"/>
      <c r="S762" s="135"/>
      <c r="T762" s="135"/>
      <c r="U762" s="135"/>
      <c r="V762" s="135"/>
      <c r="W762" s="135"/>
      <c r="X762" s="135"/>
      <c r="Y762" s="135"/>
      <c r="Z762" s="135"/>
      <c r="AA762" s="135"/>
      <c r="AB762" s="135"/>
      <c r="AC762" s="135"/>
      <c r="AD762" s="135"/>
      <c r="AE762" s="135"/>
      <c r="AF762" s="135"/>
      <c r="AG762" s="135"/>
      <c r="AH762" s="135"/>
      <c r="AI762" s="135"/>
      <c r="AJ762" s="135"/>
      <c r="AK762" s="135"/>
      <c r="AL762" s="135"/>
      <c r="AM762" s="135"/>
      <c r="AN762" s="135"/>
      <c r="AO762" s="135"/>
      <c r="AP762" s="135"/>
      <c r="AQ762" s="135"/>
      <c r="AR762" s="135"/>
      <c r="AS762" s="135"/>
      <c r="AT762" s="135"/>
      <c r="AU762" s="135"/>
      <c r="AV762" s="135"/>
      <c r="AW762" s="135"/>
      <c r="AX762" s="135"/>
      <c r="AY762" s="135"/>
      <c r="AZ762" s="135"/>
      <c r="BA762" s="135"/>
      <c r="BB762" s="135"/>
      <c r="BC762" s="135"/>
      <c r="BD762" s="135"/>
      <c r="BE762" s="135"/>
      <c r="BF762" s="135"/>
      <c r="BG762" s="135"/>
      <c r="BH762" s="135"/>
      <c r="BI762" s="135"/>
      <c r="BJ762" s="135"/>
      <c r="BK762" s="135"/>
      <c r="BL762" s="135"/>
      <c r="BM762" s="135"/>
      <c r="BN762" s="135"/>
      <c r="BO762" s="135"/>
      <c r="BP762" s="135"/>
      <c r="BQ762" s="135"/>
      <c r="BR762" s="135"/>
      <c r="BS762" s="135"/>
      <c r="BT762" s="135"/>
    </row>
    <row r="763" spans="1:72" s="196" customFormat="1">
      <c r="A763" s="135"/>
      <c r="B763" s="135"/>
      <c r="C763" s="135"/>
      <c r="D763" s="135"/>
      <c r="E763" s="135"/>
      <c r="F763" s="135"/>
      <c r="G763" s="135"/>
      <c r="H763" s="135"/>
      <c r="I763" s="135"/>
      <c r="J763" s="135"/>
      <c r="K763" s="135"/>
      <c r="L763" s="135"/>
      <c r="M763" s="135"/>
      <c r="N763" s="135"/>
      <c r="O763" s="135"/>
      <c r="P763" s="135"/>
      <c r="Q763" s="135"/>
      <c r="R763" s="135"/>
      <c r="S763" s="135"/>
      <c r="T763" s="135"/>
      <c r="U763" s="135"/>
      <c r="V763" s="135"/>
      <c r="W763" s="135"/>
      <c r="X763" s="135"/>
      <c r="Y763" s="135"/>
      <c r="Z763" s="135"/>
      <c r="AA763" s="135"/>
      <c r="AB763" s="135"/>
      <c r="AC763" s="135"/>
      <c r="AD763" s="135"/>
      <c r="AE763" s="135"/>
      <c r="AF763" s="135"/>
      <c r="AG763" s="135"/>
      <c r="AH763" s="135"/>
      <c r="AI763" s="135"/>
      <c r="AJ763" s="135"/>
      <c r="AK763" s="135"/>
      <c r="AL763" s="135"/>
      <c r="AM763" s="135"/>
      <c r="AN763" s="135"/>
      <c r="AO763" s="135"/>
      <c r="AP763" s="135"/>
      <c r="AQ763" s="135"/>
      <c r="AR763" s="135"/>
      <c r="AS763" s="135"/>
      <c r="AT763" s="135"/>
      <c r="AU763" s="135"/>
      <c r="AV763" s="135"/>
      <c r="AW763" s="135"/>
      <c r="AX763" s="135"/>
      <c r="AY763" s="135"/>
      <c r="AZ763" s="135"/>
      <c r="BA763" s="135"/>
      <c r="BB763" s="135"/>
      <c r="BC763" s="135"/>
      <c r="BD763" s="135"/>
      <c r="BE763" s="135"/>
      <c r="BF763" s="135"/>
      <c r="BG763" s="135"/>
      <c r="BH763" s="135"/>
      <c r="BI763" s="135"/>
      <c r="BJ763" s="135"/>
      <c r="BK763" s="135"/>
      <c r="BL763" s="135"/>
      <c r="BM763" s="135"/>
      <c r="BN763" s="135"/>
      <c r="BO763" s="135"/>
      <c r="BP763" s="135"/>
      <c r="BQ763" s="135"/>
      <c r="BR763" s="135"/>
      <c r="BS763" s="135"/>
      <c r="BT763" s="135"/>
    </row>
    <row r="764" spans="1:72" s="196" customFormat="1">
      <c r="A764" s="135"/>
      <c r="B764" s="135"/>
      <c r="C764" s="135"/>
      <c r="D764" s="135"/>
      <c r="E764" s="135"/>
      <c r="F764" s="135"/>
      <c r="G764" s="135"/>
      <c r="H764" s="135"/>
      <c r="I764" s="135"/>
      <c r="J764" s="135"/>
      <c r="K764" s="135"/>
      <c r="L764" s="135"/>
      <c r="M764" s="135"/>
      <c r="N764" s="135"/>
      <c r="O764" s="135"/>
      <c r="P764" s="135"/>
      <c r="Q764" s="135"/>
      <c r="R764" s="135"/>
      <c r="S764" s="135"/>
      <c r="T764" s="135"/>
      <c r="U764" s="135"/>
      <c r="V764" s="135"/>
      <c r="W764" s="135"/>
      <c r="X764" s="135"/>
      <c r="Y764" s="135"/>
      <c r="Z764" s="135"/>
      <c r="AA764" s="135"/>
      <c r="AB764" s="135"/>
      <c r="AC764" s="135"/>
      <c r="AD764" s="135"/>
      <c r="AE764" s="135"/>
      <c r="AF764" s="135"/>
      <c r="AG764" s="135"/>
      <c r="AH764" s="135"/>
      <c r="AI764" s="135"/>
      <c r="AJ764" s="135"/>
      <c r="AK764" s="135"/>
      <c r="AL764" s="135"/>
      <c r="AM764" s="135"/>
      <c r="AN764" s="135"/>
      <c r="AO764" s="135"/>
      <c r="AP764" s="135"/>
      <c r="AQ764" s="135"/>
      <c r="AR764" s="135"/>
      <c r="AS764" s="135"/>
      <c r="AT764" s="135"/>
      <c r="AU764" s="135"/>
      <c r="AV764" s="135"/>
      <c r="AW764" s="135"/>
      <c r="AX764" s="135"/>
      <c r="AY764" s="135"/>
      <c r="AZ764" s="135"/>
      <c r="BA764" s="135"/>
      <c r="BB764" s="135"/>
      <c r="BC764" s="135"/>
      <c r="BD764" s="135"/>
      <c r="BE764" s="135"/>
      <c r="BF764" s="135"/>
      <c r="BG764" s="135"/>
      <c r="BH764" s="135"/>
      <c r="BI764" s="135"/>
      <c r="BJ764" s="135"/>
      <c r="BK764" s="135"/>
      <c r="BL764" s="135"/>
      <c r="BM764" s="135"/>
      <c r="BN764" s="135"/>
      <c r="BO764" s="135"/>
      <c r="BP764" s="135"/>
      <c r="BQ764" s="135"/>
      <c r="BR764" s="135"/>
      <c r="BS764" s="135"/>
      <c r="BT764" s="135"/>
    </row>
    <row r="765" spans="1:72" s="196" customFormat="1">
      <c r="A765" s="135"/>
      <c r="B765" s="135"/>
      <c r="C765" s="135"/>
      <c r="D765" s="135"/>
      <c r="E765" s="135"/>
      <c r="F765" s="135"/>
      <c r="G765" s="135"/>
      <c r="H765" s="135"/>
      <c r="I765" s="135"/>
      <c r="J765" s="135"/>
      <c r="K765" s="135"/>
      <c r="L765" s="135"/>
      <c r="M765" s="135"/>
      <c r="N765" s="135"/>
      <c r="O765" s="135"/>
      <c r="P765" s="135"/>
      <c r="Q765" s="135"/>
      <c r="R765" s="135"/>
      <c r="S765" s="135"/>
      <c r="T765" s="135"/>
      <c r="U765" s="135"/>
      <c r="V765" s="135"/>
      <c r="W765" s="135"/>
      <c r="X765" s="135"/>
      <c r="Y765" s="135"/>
      <c r="Z765" s="135"/>
      <c r="AA765" s="135"/>
      <c r="AB765" s="135"/>
      <c r="AC765" s="135"/>
      <c r="AD765" s="135"/>
      <c r="AE765" s="135"/>
      <c r="AF765" s="135"/>
      <c r="AG765" s="135"/>
      <c r="AH765" s="135"/>
      <c r="AI765" s="135"/>
      <c r="AJ765" s="135"/>
      <c r="AK765" s="135"/>
      <c r="AL765" s="135"/>
      <c r="AM765" s="135"/>
      <c r="AN765" s="135"/>
      <c r="AO765" s="135"/>
      <c r="AP765" s="135"/>
      <c r="AQ765" s="135"/>
      <c r="AR765" s="135"/>
      <c r="AS765" s="135"/>
      <c r="AT765" s="135"/>
      <c r="AU765" s="135"/>
      <c r="AV765" s="135"/>
      <c r="AW765" s="135"/>
      <c r="AX765" s="135"/>
      <c r="AY765" s="135"/>
      <c r="AZ765" s="135"/>
      <c r="BA765" s="135"/>
      <c r="BB765" s="135"/>
      <c r="BC765" s="135"/>
      <c r="BD765" s="135"/>
      <c r="BE765" s="135"/>
      <c r="BF765" s="135"/>
      <c r="BG765" s="135"/>
      <c r="BH765" s="135"/>
      <c r="BI765" s="135"/>
      <c r="BJ765" s="135"/>
      <c r="BK765" s="135"/>
      <c r="BL765" s="135"/>
      <c r="BM765" s="135"/>
      <c r="BN765" s="135"/>
      <c r="BO765" s="135"/>
      <c r="BP765" s="135"/>
      <c r="BQ765" s="135"/>
      <c r="BR765" s="135"/>
      <c r="BS765" s="135"/>
      <c r="BT765" s="135"/>
    </row>
    <row r="766" spans="1:72" s="196" customFormat="1">
      <c r="A766" s="135"/>
      <c r="B766" s="135"/>
      <c r="C766" s="135"/>
      <c r="D766" s="135"/>
      <c r="E766" s="135"/>
      <c r="F766" s="135"/>
      <c r="G766" s="135"/>
      <c r="H766" s="135"/>
      <c r="I766" s="135"/>
      <c r="J766" s="135"/>
      <c r="K766" s="135"/>
      <c r="L766" s="135"/>
      <c r="M766" s="135"/>
      <c r="N766" s="135"/>
      <c r="O766" s="135"/>
      <c r="P766" s="135"/>
      <c r="Q766" s="135"/>
      <c r="R766" s="135"/>
      <c r="S766" s="135"/>
      <c r="T766" s="135"/>
      <c r="U766" s="135"/>
      <c r="V766" s="135"/>
      <c r="W766" s="135"/>
      <c r="X766" s="135"/>
      <c r="Y766" s="135"/>
      <c r="Z766" s="135"/>
      <c r="AA766" s="135"/>
      <c r="AB766" s="135"/>
      <c r="AC766" s="135"/>
      <c r="AD766" s="135"/>
      <c r="AE766" s="135"/>
      <c r="AF766" s="135"/>
      <c r="AG766" s="135"/>
      <c r="AH766" s="135"/>
      <c r="AI766" s="135"/>
      <c r="AJ766" s="135"/>
      <c r="AK766" s="135"/>
      <c r="AL766" s="135"/>
      <c r="AM766" s="135"/>
      <c r="AN766" s="135"/>
      <c r="AO766" s="135"/>
      <c r="AP766" s="135"/>
      <c r="AQ766" s="135"/>
      <c r="AR766" s="135"/>
      <c r="AS766" s="135"/>
      <c r="AT766" s="135"/>
      <c r="AU766" s="135"/>
      <c r="AV766" s="135"/>
      <c r="AW766" s="135"/>
      <c r="AX766" s="135"/>
      <c r="AY766" s="135"/>
      <c r="AZ766" s="135"/>
      <c r="BA766" s="135"/>
      <c r="BB766" s="135"/>
      <c r="BC766" s="135"/>
      <c r="BD766" s="135"/>
      <c r="BE766" s="135"/>
      <c r="BF766" s="135"/>
      <c r="BG766" s="135"/>
      <c r="BH766" s="135"/>
      <c r="BI766" s="135"/>
      <c r="BJ766" s="135"/>
      <c r="BK766" s="135"/>
      <c r="BL766" s="135"/>
      <c r="BM766" s="135"/>
      <c r="BN766" s="135"/>
      <c r="BO766" s="135"/>
      <c r="BP766" s="135"/>
      <c r="BQ766" s="135"/>
      <c r="BR766" s="135"/>
      <c r="BS766" s="135"/>
      <c r="BT766" s="135"/>
    </row>
    <row r="767" spans="1:72" s="196" customFormat="1">
      <c r="A767" s="135"/>
      <c r="B767" s="135"/>
      <c r="C767" s="135"/>
      <c r="D767" s="135"/>
      <c r="E767" s="135"/>
      <c r="F767" s="135"/>
      <c r="G767" s="135"/>
      <c r="H767" s="135"/>
      <c r="I767" s="135"/>
      <c r="J767" s="135"/>
      <c r="K767" s="135"/>
      <c r="L767" s="135"/>
      <c r="M767" s="135"/>
      <c r="N767" s="135"/>
      <c r="O767" s="135"/>
      <c r="P767" s="135"/>
      <c r="Q767" s="135"/>
      <c r="R767" s="135"/>
      <c r="S767" s="135"/>
      <c r="T767" s="135"/>
      <c r="U767" s="135"/>
      <c r="V767" s="135"/>
      <c r="W767" s="135"/>
      <c r="X767" s="135"/>
      <c r="Y767" s="135"/>
      <c r="Z767" s="135"/>
      <c r="AA767" s="135"/>
      <c r="AB767" s="135"/>
      <c r="AC767" s="135"/>
      <c r="AD767" s="135"/>
      <c r="AE767" s="135"/>
      <c r="AF767" s="135"/>
      <c r="AG767" s="135"/>
      <c r="AH767" s="135"/>
      <c r="AI767" s="135"/>
      <c r="AJ767" s="135"/>
      <c r="AK767" s="135"/>
      <c r="AL767" s="135"/>
      <c r="AM767" s="135"/>
      <c r="AN767" s="135"/>
      <c r="AO767" s="135"/>
      <c r="AP767" s="135"/>
      <c r="AQ767" s="135"/>
      <c r="AR767" s="135"/>
      <c r="AS767" s="135"/>
      <c r="AT767" s="135"/>
      <c r="AU767" s="135"/>
      <c r="AV767" s="135"/>
      <c r="AW767" s="135"/>
      <c r="AX767" s="135"/>
      <c r="AY767" s="135"/>
      <c r="AZ767" s="135"/>
      <c r="BA767" s="135"/>
      <c r="BB767" s="135"/>
      <c r="BC767" s="135"/>
      <c r="BD767" s="135"/>
      <c r="BE767" s="135"/>
      <c r="BF767" s="135"/>
      <c r="BG767" s="135"/>
      <c r="BH767" s="135"/>
      <c r="BI767" s="135"/>
      <c r="BJ767" s="135"/>
      <c r="BK767" s="135"/>
      <c r="BL767" s="135"/>
      <c r="BM767" s="135"/>
      <c r="BN767" s="135"/>
      <c r="BO767" s="135"/>
      <c r="BP767" s="135"/>
      <c r="BQ767" s="135"/>
      <c r="BR767" s="135"/>
      <c r="BS767" s="135"/>
      <c r="BT767" s="135"/>
    </row>
    <row r="768" spans="1:72" s="196" customFormat="1">
      <c r="A768" s="135"/>
      <c r="B768" s="135"/>
      <c r="C768" s="135"/>
      <c r="D768" s="135"/>
      <c r="E768" s="135"/>
      <c r="F768" s="135"/>
      <c r="G768" s="135"/>
      <c r="H768" s="135"/>
      <c r="I768" s="135"/>
      <c r="J768" s="135"/>
      <c r="K768" s="135"/>
      <c r="L768" s="135"/>
      <c r="M768" s="135"/>
      <c r="N768" s="135"/>
      <c r="O768" s="135"/>
      <c r="P768" s="135"/>
      <c r="Q768" s="135"/>
      <c r="R768" s="135"/>
      <c r="S768" s="135"/>
      <c r="T768" s="135"/>
      <c r="U768" s="135"/>
      <c r="V768" s="135"/>
      <c r="W768" s="135"/>
      <c r="X768" s="135"/>
      <c r="Y768" s="135"/>
      <c r="Z768" s="135"/>
      <c r="AA768" s="135"/>
      <c r="AB768" s="135"/>
      <c r="AC768" s="135"/>
      <c r="AD768" s="135"/>
      <c r="AE768" s="135"/>
      <c r="AF768" s="135"/>
      <c r="AG768" s="135"/>
      <c r="AH768" s="135"/>
      <c r="AI768" s="135"/>
      <c r="AJ768" s="135"/>
      <c r="AK768" s="135"/>
      <c r="AL768" s="135"/>
      <c r="AM768" s="135"/>
      <c r="AN768" s="135"/>
      <c r="AO768" s="135"/>
      <c r="AP768" s="135"/>
      <c r="AQ768" s="135"/>
      <c r="AR768" s="135"/>
      <c r="AS768" s="135"/>
      <c r="AT768" s="135"/>
      <c r="AU768" s="135"/>
      <c r="AV768" s="135"/>
      <c r="AW768" s="135"/>
      <c r="AX768" s="135"/>
      <c r="AY768" s="135"/>
      <c r="AZ768" s="135"/>
      <c r="BA768" s="135"/>
      <c r="BB768" s="135"/>
      <c r="BC768" s="135"/>
      <c r="BD768" s="135"/>
      <c r="BE768" s="135"/>
      <c r="BF768" s="135"/>
      <c r="BG768" s="135"/>
      <c r="BH768" s="135"/>
      <c r="BI768" s="135"/>
      <c r="BJ768" s="135"/>
      <c r="BK768" s="135"/>
      <c r="BL768" s="135"/>
      <c r="BM768" s="135"/>
      <c r="BN768" s="135"/>
      <c r="BO768" s="135"/>
      <c r="BP768" s="135"/>
      <c r="BQ768" s="135"/>
      <c r="BR768" s="135"/>
      <c r="BS768" s="135"/>
      <c r="BT768" s="135"/>
    </row>
    <row r="769" spans="1:72" s="196" customFormat="1">
      <c r="A769" s="135"/>
      <c r="B769" s="135"/>
      <c r="C769" s="135"/>
      <c r="D769" s="135"/>
      <c r="E769" s="135"/>
      <c r="F769" s="135"/>
      <c r="G769" s="135"/>
      <c r="H769" s="135"/>
      <c r="I769" s="135"/>
      <c r="J769" s="135"/>
      <c r="K769" s="135"/>
      <c r="L769" s="135"/>
      <c r="M769" s="135"/>
      <c r="N769" s="135"/>
      <c r="O769" s="135"/>
      <c r="P769" s="135"/>
      <c r="Q769" s="135"/>
      <c r="R769" s="135"/>
      <c r="S769" s="135"/>
      <c r="T769" s="135"/>
      <c r="U769" s="135"/>
      <c r="V769" s="135"/>
      <c r="W769" s="135"/>
      <c r="X769" s="135"/>
      <c r="Y769" s="135"/>
      <c r="Z769" s="135"/>
      <c r="AA769" s="135"/>
      <c r="AB769" s="135"/>
      <c r="AC769" s="135"/>
      <c r="AD769" s="135"/>
      <c r="AE769" s="135"/>
      <c r="AF769" s="135"/>
      <c r="AG769" s="135"/>
      <c r="AH769" s="135"/>
      <c r="AI769" s="135"/>
      <c r="AJ769" s="135"/>
      <c r="AK769" s="135"/>
      <c r="AL769" s="135"/>
      <c r="AM769" s="135"/>
      <c r="AN769" s="135"/>
      <c r="AO769" s="135"/>
      <c r="AP769" s="135"/>
      <c r="AQ769" s="135"/>
      <c r="AR769" s="135"/>
      <c r="AS769" s="135"/>
      <c r="AT769" s="135"/>
      <c r="AU769" s="135"/>
      <c r="AV769" s="135"/>
      <c r="AW769" s="135"/>
      <c r="AX769" s="135"/>
      <c r="AY769" s="135"/>
      <c r="AZ769" s="135"/>
      <c r="BA769" s="135"/>
      <c r="BB769" s="135"/>
      <c r="BC769" s="135"/>
      <c r="BD769" s="135"/>
      <c r="BE769" s="135"/>
      <c r="BF769" s="135"/>
      <c r="BG769" s="135"/>
      <c r="BH769" s="135"/>
      <c r="BI769" s="135"/>
      <c r="BJ769" s="135"/>
      <c r="BK769" s="135"/>
      <c r="BL769" s="135"/>
      <c r="BM769" s="135"/>
      <c r="BN769" s="135"/>
      <c r="BO769" s="135"/>
      <c r="BP769" s="135"/>
      <c r="BQ769" s="135"/>
      <c r="BR769" s="135"/>
      <c r="BS769" s="135"/>
      <c r="BT769" s="135"/>
    </row>
    <row r="770" spans="1:72" s="196" customFormat="1">
      <c r="A770" s="135"/>
      <c r="B770" s="135"/>
      <c r="C770" s="135"/>
      <c r="D770" s="135"/>
      <c r="E770" s="135"/>
      <c r="F770" s="135"/>
      <c r="G770" s="135"/>
      <c r="H770" s="135"/>
      <c r="I770" s="135"/>
      <c r="J770" s="135"/>
      <c r="K770" s="135"/>
      <c r="L770" s="135"/>
      <c r="M770" s="135"/>
      <c r="N770" s="135"/>
      <c r="O770" s="135"/>
      <c r="P770" s="135"/>
      <c r="Q770" s="135"/>
      <c r="R770" s="135"/>
      <c r="S770" s="135"/>
      <c r="T770" s="135"/>
      <c r="U770" s="135"/>
      <c r="V770" s="135"/>
      <c r="W770" s="135"/>
      <c r="X770" s="135"/>
      <c r="Y770" s="135"/>
      <c r="Z770" s="135"/>
      <c r="AA770" s="135"/>
      <c r="AB770" s="135"/>
      <c r="AC770" s="135"/>
      <c r="AD770" s="135"/>
      <c r="AE770" s="135"/>
      <c r="AF770" s="135"/>
      <c r="AG770" s="135"/>
      <c r="AH770" s="135"/>
      <c r="AI770" s="135"/>
      <c r="AJ770" s="135"/>
      <c r="AK770" s="135"/>
      <c r="AL770" s="135"/>
      <c r="AM770" s="135"/>
      <c r="AN770" s="135"/>
      <c r="AO770" s="135"/>
      <c r="AP770" s="135"/>
      <c r="AQ770" s="135"/>
      <c r="AR770" s="135"/>
      <c r="AS770" s="135"/>
      <c r="AT770" s="135"/>
      <c r="AU770" s="135"/>
      <c r="AV770" s="135"/>
      <c r="AW770" s="135"/>
      <c r="AX770" s="135"/>
      <c r="AY770" s="135"/>
      <c r="AZ770" s="135"/>
      <c r="BA770" s="135"/>
      <c r="BB770" s="135"/>
      <c r="BC770" s="135"/>
      <c r="BD770" s="135"/>
      <c r="BE770" s="135"/>
      <c r="BF770" s="135"/>
      <c r="BG770" s="135"/>
      <c r="BH770" s="135"/>
      <c r="BI770" s="135"/>
      <c r="BJ770" s="135"/>
      <c r="BK770" s="135"/>
      <c r="BL770" s="135"/>
      <c r="BM770" s="135"/>
      <c r="BN770" s="135"/>
      <c r="BO770" s="135"/>
      <c r="BP770" s="135"/>
      <c r="BQ770" s="135"/>
      <c r="BR770" s="135"/>
      <c r="BS770" s="135"/>
      <c r="BT770" s="135"/>
    </row>
    <row r="771" spans="1:72" s="196" customFormat="1">
      <c r="A771" s="135"/>
      <c r="B771" s="135"/>
      <c r="C771" s="135"/>
      <c r="D771" s="135"/>
      <c r="E771" s="135"/>
      <c r="F771" s="135"/>
      <c r="G771" s="135"/>
      <c r="H771" s="135"/>
      <c r="I771" s="135"/>
      <c r="J771" s="135"/>
      <c r="K771" s="135"/>
      <c r="L771" s="135"/>
      <c r="M771" s="135"/>
      <c r="N771" s="135"/>
      <c r="O771" s="135"/>
      <c r="P771" s="135"/>
      <c r="Q771" s="135"/>
      <c r="R771" s="135"/>
      <c r="S771" s="135"/>
      <c r="T771" s="135"/>
      <c r="U771" s="135"/>
      <c r="V771" s="135"/>
      <c r="W771" s="135"/>
      <c r="X771" s="135"/>
      <c r="Y771" s="135"/>
      <c r="Z771" s="135"/>
      <c r="AA771" s="135"/>
      <c r="AB771" s="135"/>
      <c r="AC771" s="135"/>
      <c r="AD771" s="135"/>
      <c r="AE771" s="135"/>
      <c r="AF771" s="135"/>
      <c r="AG771" s="135"/>
      <c r="AH771" s="135"/>
      <c r="AI771" s="135"/>
      <c r="AJ771" s="135"/>
      <c r="AK771" s="135"/>
      <c r="AL771" s="135"/>
      <c r="AM771" s="135"/>
      <c r="AN771" s="135"/>
      <c r="AO771" s="135"/>
      <c r="AP771" s="135"/>
      <c r="AQ771" s="135"/>
      <c r="AR771" s="135"/>
      <c r="AS771" s="135"/>
      <c r="AT771" s="135"/>
      <c r="AU771" s="135"/>
      <c r="AV771" s="135"/>
      <c r="AW771" s="135"/>
      <c r="AX771" s="135"/>
      <c r="AY771" s="135"/>
      <c r="AZ771" s="135"/>
      <c r="BA771" s="135"/>
      <c r="BB771" s="135"/>
      <c r="BC771" s="135"/>
      <c r="BD771" s="135"/>
      <c r="BE771" s="135"/>
      <c r="BF771" s="135"/>
      <c r="BG771" s="135"/>
      <c r="BH771" s="135"/>
      <c r="BI771" s="135"/>
      <c r="BJ771" s="135"/>
      <c r="BK771" s="135"/>
      <c r="BL771" s="135"/>
      <c r="BM771" s="135"/>
      <c r="BN771" s="135"/>
      <c r="BO771" s="135"/>
      <c r="BP771" s="135"/>
      <c r="BQ771" s="135"/>
      <c r="BR771" s="135"/>
      <c r="BS771" s="135"/>
      <c r="BT771" s="135"/>
    </row>
    <row r="772" spans="1:72" s="196" customFormat="1">
      <c r="A772" s="135"/>
      <c r="B772" s="135"/>
      <c r="C772" s="135"/>
      <c r="D772" s="135"/>
      <c r="E772" s="135"/>
      <c r="F772" s="135"/>
      <c r="G772" s="135"/>
      <c r="H772" s="135"/>
      <c r="I772" s="135"/>
      <c r="J772" s="135"/>
      <c r="K772" s="135"/>
      <c r="L772" s="135"/>
      <c r="M772" s="135"/>
      <c r="N772" s="135"/>
      <c r="O772" s="135"/>
      <c r="P772" s="135"/>
      <c r="Q772" s="135"/>
      <c r="R772" s="135"/>
      <c r="S772" s="135"/>
      <c r="T772" s="135"/>
      <c r="U772" s="135"/>
      <c r="V772" s="135"/>
      <c r="W772" s="135"/>
      <c r="X772" s="135"/>
      <c r="Y772" s="135"/>
      <c r="Z772" s="135"/>
      <c r="AA772" s="135"/>
      <c r="AB772" s="135"/>
      <c r="AC772" s="135"/>
      <c r="AD772" s="135"/>
      <c r="AE772" s="135"/>
      <c r="AF772" s="135"/>
      <c r="AG772" s="135"/>
      <c r="AH772" s="135"/>
      <c r="AI772" s="135"/>
      <c r="AJ772" s="135"/>
      <c r="AK772" s="135"/>
      <c r="AL772" s="135"/>
      <c r="AM772" s="135"/>
      <c r="AN772" s="135"/>
      <c r="AO772" s="135"/>
      <c r="AP772" s="135"/>
      <c r="AQ772" s="135"/>
      <c r="AR772" s="135"/>
      <c r="AS772" s="135"/>
      <c r="AT772" s="135"/>
      <c r="AU772" s="135"/>
      <c r="AV772" s="135"/>
      <c r="AW772" s="135"/>
      <c r="AX772" s="135"/>
      <c r="AY772" s="135"/>
      <c r="AZ772" s="135"/>
      <c r="BA772" s="135"/>
      <c r="BB772" s="135"/>
      <c r="BC772" s="135"/>
      <c r="BD772" s="135"/>
      <c r="BE772" s="135"/>
      <c r="BF772" s="135"/>
      <c r="BG772" s="135"/>
      <c r="BH772" s="135"/>
      <c r="BI772" s="135"/>
      <c r="BJ772" s="135"/>
      <c r="BK772" s="135"/>
      <c r="BL772" s="135"/>
      <c r="BM772" s="135"/>
      <c r="BN772" s="135"/>
      <c r="BO772" s="135"/>
      <c r="BP772" s="135"/>
      <c r="BQ772" s="135"/>
      <c r="BR772" s="135"/>
      <c r="BS772" s="135"/>
      <c r="BT772" s="135"/>
    </row>
    <row r="773" spans="1:72" s="196" customFormat="1">
      <c r="A773" s="135"/>
      <c r="B773" s="135"/>
      <c r="C773" s="135"/>
      <c r="D773" s="135"/>
      <c r="E773" s="135"/>
      <c r="F773" s="135"/>
      <c r="G773" s="135"/>
      <c r="H773" s="135"/>
      <c r="I773" s="135"/>
      <c r="J773" s="135"/>
      <c r="K773" s="135"/>
      <c r="L773" s="135"/>
      <c r="M773" s="135"/>
      <c r="N773" s="135"/>
      <c r="O773" s="135"/>
      <c r="P773" s="135"/>
      <c r="Q773" s="135"/>
      <c r="R773" s="135"/>
      <c r="S773" s="135"/>
      <c r="T773" s="135"/>
      <c r="U773" s="135"/>
      <c r="V773" s="135"/>
      <c r="W773" s="135"/>
      <c r="X773" s="135"/>
      <c r="Y773" s="135"/>
      <c r="Z773" s="135"/>
      <c r="AA773" s="135"/>
      <c r="AB773" s="135"/>
      <c r="AC773" s="135"/>
      <c r="AD773" s="135"/>
      <c r="AE773" s="135"/>
      <c r="AF773" s="135"/>
      <c r="AG773" s="135"/>
      <c r="AH773" s="135"/>
      <c r="AI773" s="135"/>
      <c r="AJ773" s="135"/>
      <c r="AK773" s="135"/>
      <c r="AL773" s="135"/>
      <c r="AM773" s="135"/>
      <c r="AN773" s="135"/>
      <c r="AO773" s="135"/>
      <c r="AP773" s="135"/>
      <c r="AQ773" s="135"/>
      <c r="AR773" s="135"/>
      <c r="AS773" s="135"/>
      <c r="AT773" s="135"/>
      <c r="AU773" s="135"/>
      <c r="AV773" s="135"/>
      <c r="AW773" s="135"/>
      <c r="AX773" s="135"/>
      <c r="AY773" s="135"/>
      <c r="AZ773" s="135"/>
      <c r="BA773" s="135"/>
      <c r="BB773" s="135"/>
      <c r="BC773" s="135"/>
      <c r="BD773" s="135"/>
      <c r="BE773" s="135"/>
      <c r="BF773" s="135"/>
      <c r="BG773" s="135"/>
      <c r="BH773" s="135"/>
      <c r="BI773" s="135"/>
      <c r="BJ773" s="135"/>
      <c r="BK773" s="135"/>
      <c r="BL773" s="135"/>
      <c r="BM773" s="135"/>
      <c r="BN773" s="135"/>
      <c r="BO773" s="135"/>
      <c r="BP773" s="135"/>
      <c r="BQ773" s="135"/>
      <c r="BR773" s="135"/>
      <c r="BS773" s="135"/>
      <c r="BT773" s="135"/>
    </row>
    <row r="774" spans="1:72" s="196" customFormat="1">
      <c r="A774" s="135"/>
      <c r="B774" s="135"/>
      <c r="C774" s="135"/>
      <c r="D774" s="135"/>
      <c r="E774" s="135"/>
      <c r="F774" s="135"/>
      <c r="G774" s="135"/>
      <c r="H774" s="135"/>
      <c r="I774" s="135"/>
      <c r="J774" s="135"/>
      <c r="K774" s="135"/>
      <c r="L774" s="135"/>
      <c r="M774" s="135"/>
      <c r="N774" s="135"/>
      <c r="O774" s="135"/>
      <c r="P774" s="135"/>
      <c r="Q774" s="135"/>
      <c r="R774" s="135"/>
      <c r="S774" s="135"/>
      <c r="T774" s="135"/>
      <c r="U774" s="135"/>
      <c r="V774" s="135"/>
      <c r="W774" s="135"/>
      <c r="X774" s="135"/>
      <c r="Y774" s="135"/>
      <c r="Z774" s="135"/>
      <c r="AA774" s="135"/>
      <c r="AB774" s="135"/>
      <c r="AC774" s="135"/>
      <c r="AD774" s="135"/>
      <c r="AE774" s="135"/>
      <c r="AF774" s="135"/>
      <c r="AG774" s="135"/>
      <c r="AH774" s="135"/>
      <c r="AI774" s="135"/>
      <c r="AJ774" s="135"/>
      <c r="AK774" s="135"/>
      <c r="AL774" s="135"/>
      <c r="AM774" s="135"/>
      <c r="AN774" s="135"/>
      <c r="AO774" s="135"/>
      <c r="AP774" s="135"/>
      <c r="AQ774" s="135"/>
      <c r="AR774" s="135"/>
      <c r="AS774" s="135"/>
      <c r="AT774" s="135"/>
      <c r="AU774" s="135"/>
      <c r="AV774" s="135"/>
      <c r="AW774" s="135"/>
      <c r="AX774" s="135"/>
      <c r="AY774" s="135"/>
      <c r="AZ774" s="135"/>
      <c r="BA774" s="135"/>
      <c r="BB774" s="135"/>
      <c r="BC774" s="135"/>
      <c r="BD774" s="135"/>
      <c r="BE774" s="135"/>
      <c r="BF774" s="135"/>
      <c r="BG774" s="135"/>
      <c r="BH774" s="135"/>
      <c r="BI774" s="135"/>
      <c r="BJ774" s="135"/>
      <c r="BK774" s="135"/>
      <c r="BL774" s="135"/>
      <c r="BM774" s="135"/>
      <c r="BN774" s="135"/>
      <c r="BO774" s="135"/>
      <c r="BP774" s="135"/>
      <c r="BQ774" s="135"/>
      <c r="BR774" s="135"/>
      <c r="BS774" s="135"/>
      <c r="BT774" s="135"/>
    </row>
    <row r="775" spans="1:72" s="196" customFormat="1">
      <c r="A775" s="135"/>
      <c r="B775" s="135"/>
      <c r="C775" s="135"/>
      <c r="D775" s="135"/>
      <c r="E775" s="135"/>
      <c r="F775" s="135"/>
      <c r="G775" s="135"/>
      <c r="H775" s="135"/>
      <c r="I775" s="135"/>
      <c r="J775" s="135"/>
      <c r="K775" s="135"/>
      <c r="L775" s="135"/>
      <c r="M775" s="135"/>
      <c r="N775" s="135"/>
      <c r="O775" s="135"/>
      <c r="P775" s="135"/>
      <c r="Q775" s="135"/>
      <c r="R775" s="135"/>
      <c r="S775" s="135"/>
      <c r="T775" s="135"/>
      <c r="U775" s="135"/>
      <c r="V775" s="135"/>
      <c r="W775" s="135"/>
      <c r="X775" s="135"/>
      <c r="Y775" s="135"/>
      <c r="Z775" s="135"/>
      <c r="AA775" s="135"/>
      <c r="AB775" s="135"/>
      <c r="AC775" s="135"/>
      <c r="AD775" s="135"/>
      <c r="AE775" s="135"/>
      <c r="AF775" s="135"/>
      <c r="AG775" s="135"/>
      <c r="AH775" s="135"/>
      <c r="AI775" s="135"/>
      <c r="AJ775" s="135"/>
      <c r="AK775" s="135"/>
      <c r="AL775" s="135"/>
      <c r="AM775" s="135"/>
      <c r="AN775" s="135"/>
      <c r="AO775" s="135"/>
      <c r="AP775" s="135"/>
      <c r="AQ775" s="135"/>
      <c r="AR775" s="135"/>
      <c r="AS775" s="135"/>
      <c r="AT775" s="135"/>
      <c r="AU775" s="135"/>
      <c r="AV775" s="135"/>
      <c r="AW775" s="135"/>
      <c r="AX775" s="135"/>
      <c r="AY775" s="135"/>
      <c r="AZ775" s="135"/>
      <c r="BA775" s="135"/>
      <c r="BB775" s="135"/>
      <c r="BC775" s="135"/>
      <c r="BD775" s="135"/>
      <c r="BE775" s="135"/>
      <c r="BF775" s="135"/>
      <c r="BG775" s="135"/>
      <c r="BH775" s="135"/>
      <c r="BI775" s="135"/>
      <c r="BJ775" s="135"/>
      <c r="BK775" s="135"/>
      <c r="BL775" s="135"/>
      <c r="BM775" s="135"/>
      <c r="BN775" s="135"/>
      <c r="BO775" s="135"/>
      <c r="BP775" s="135"/>
      <c r="BQ775" s="135"/>
      <c r="BR775" s="135"/>
      <c r="BS775" s="135"/>
      <c r="BT775" s="135"/>
    </row>
    <row r="776" spans="1:72" s="196" customFormat="1">
      <c r="A776" s="135"/>
      <c r="B776" s="135"/>
      <c r="C776" s="135"/>
      <c r="D776" s="135"/>
      <c r="E776" s="135"/>
      <c r="F776" s="135"/>
      <c r="G776" s="135"/>
      <c r="H776" s="135"/>
      <c r="I776" s="135"/>
      <c r="J776" s="135"/>
      <c r="K776" s="135"/>
      <c r="L776" s="135"/>
      <c r="M776" s="135"/>
      <c r="N776" s="135"/>
      <c r="O776" s="135"/>
      <c r="P776" s="135"/>
      <c r="Q776" s="135"/>
      <c r="R776" s="135"/>
      <c r="S776" s="135"/>
      <c r="T776" s="135"/>
      <c r="U776" s="135"/>
      <c r="V776" s="135"/>
      <c r="W776" s="135"/>
      <c r="X776" s="135"/>
      <c r="Y776" s="135"/>
      <c r="Z776" s="135"/>
      <c r="AA776" s="135"/>
      <c r="AB776" s="135"/>
      <c r="AC776" s="135"/>
      <c r="AD776" s="135"/>
      <c r="AE776" s="135"/>
      <c r="AF776" s="135"/>
      <c r="AG776" s="135"/>
      <c r="AH776" s="135"/>
      <c r="AI776" s="135"/>
      <c r="AJ776" s="135"/>
      <c r="AK776" s="135"/>
      <c r="AL776" s="135"/>
      <c r="AM776" s="135"/>
      <c r="AN776" s="135"/>
      <c r="AO776" s="135"/>
      <c r="AP776" s="135"/>
      <c r="AQ776" s="135"/>
      <c r="AR776" s="135"/>
      <c r="AS776" s="135"/>
      <c r="AT776" s="135"/>
      <c r="AU776" s="135"/>
      <c r="AV776" s="135"/>
      <c r="AW776" s="135"/>
      <c r="AX776" s="135"/>
      <c r="AY776" s="135"/>
      <c r="AZ776" s="135"/>
      <c r="BA776" s="135"/>
      <c r="BB776" s="135"/>
      <c r="BC776" s="135"/>
      <c r="BD776" s="135"/>
      <c r="BE776" s="135"/>
      <c r="BF776" s="135"/>
      <c r="BG776" s="135"/>
      <c r="BH776" s="135"/>
      <c r="BI776" s="135"/>
      <c r="BJ776" s="135"/>
      <c r="BK776" s="135"/>
      <c r="BL776" s="135"/>
      <c r="BM776" s="135"/>
      <c r="BN776" s="135"/>
      <c r="BO776" s="135"/>
      <c r="BP776" s="135"/>
      <c r="BQ776" s="135"/>
      <c r="BR776" s="135"/>
      <c r="BS776" s="135"/>
      <c r="BT776" s="135"/>
    </row>
    <row r="777" spans="1:72" s="196" customFormat="1">
      <c r="A777" s="135"/>
      <c r="B777" s="135"/>
      <c r="C777" s="135"/>
      <c r="D777" s="135"/>
      <c r="E777" s="135"/>
      <c r="F777" s="135"/>
      <c r="G777" s="135"/>
      <c r="H777" s="135"/>
      <c r="I777" s="135"/>
      <c r="J777" s="135"/>
      <c r="K777" s="135"/>
      <c r="L777" s="135"/>
      <c r="M777" s="135"/>
      <c r="N777" s="135"/>
      <c r="O777" s="135"/>
      <c r="P777" s="135"/>
      <c r="Q777" s="135"/>
      <c r="R777" s="135"/>
      <c r="S777" s="135"/>
      <c r="T777" s="135"/>
      <c r="U777" s="135"/>
      <c r="V777" s="135"/>
      <c r="W777" s="135"/>
      <c r="X777" s="135"/>
      <c r="Y777" s="135"/>
      <c r="Z777" s="135"/>
      <c r="AA777" s="135"/>
      <c r="AB777" s="135"/>
      <c r="AC777" s="135"/>
      <c r="AD777" s="135"/>
      <c r="AE777" s="135"/>
      <c r="AF777" s="135"/>
      <c r="AG777" s="135"/>
      <c r="AH777" s="135"/>
      <c r="AI777" s="135"/>
      <c r="AJ777" s="135"/>
      <c r="AK777" s="135"/>
      <c r="AL777" s="135"/>
      <c r="AM777" s="135"/>
      <c r="AN777" s="135"/>
      <c r="AO777" s="135"/>
      <c r="AP777" s="135"/>
      <c r="AQ777" s="135"/>
      <c r="AR777" s="135"/>
      <c r="AS777" s="135"/>
      <c r="AT777" s="135"/>
      <c r="AU777" s="135"/>
      <c r="AV777" s="135"/>
      <c r="AW777" s="135"/>
      <c r="AX777" s="135"/>
      <c r="AY777" s="135"/>
      <c r="AZ777" s="135"/>
      <c r="BA777" s="135"/>
      <c r="BB777" s="135"/>
      <c r="BC777" s="135"/>
      <c r="BD777" s="135"/>
      <c r="BE777" s="135"/>
      <c r="BF777" s="135"/>
      <c r="BG777" s="135"/>
      <c r="BH777" s="135"/>
      <c r="BI777" s="135"/>
      <c r="BJ777" s="135"/>
      <c r="BK777" s="135"/>
      <c r="BL777" s="135"/>
      <c r="BM777" s="135"/>
      <c r="BN777" s="135"/>
      <c r="BO777" s="135"/>
      <c r="BP777" s="135"/>
      <c r="BQ777" s="135"/>
      <c r="BR777" s="135"/>
      <c r="BS777" s="135"/>
      <c r="BT777" s="135"/>
    </row>
    <row r="778" spans="1:72" s="196" customFormat="1">
      <c r="A778" s="135"/>
      <c r="B778" s="135"/>
      <c r="C778" s="135"/>
      <c r="D778" s="135"/>
      <c r="E778" s="135"/>
      <c r="F778" s="135"/>
      <c r="G778" s="135"/>
      <c r="H778" s="135"/>
      <c r="I778" s="135"/>
      <c r="J778" s="135"/>
      <c r="K778" s="135"/>
      <c r="L778" s="135"/>
      <c r="M778" s="135"/>
      <c r="N778" s="135"/>
      <c r="O778" s="135"/>
      <c r="P778" s="135"/>
      <c r="Q778" s="135"/>
      <c r="R778" s="135"/>
      <c r="S778" s="135"/>
      <c r="T778" s="135"/>
      <c r="U778" s="135"/>
      <c r="V778" s="135"/>
      <c r="W778" s="135"/>
      <c r="X778" s="135"/>
      <c r="Y778" s="135"/>
      <c r="Z778" s="135"/>
      <c r="AA778" s="135"/>
      <c r="AB778" s="135"/>
      <c r="AC778" s="135"/>
      <c r="AD778" s="135"/>
      <c r="AE778" s="135"/>
      <c r="AF778" s="135"/>
      <c r="AG778" s="135"/>
      <c r="AH778" s="135"/>
      <c r="AI778" s="135"/>
      <c r="AJ778" s="135"/>
      <c r="AK778" s="135"/>
      <c r="AL778" s="135"/>
      <c r="AM778" s="135"/>
      <c r="AN778" s="135"/>
      <c r="AO778" s="135"/>
      <c r="AP778" s="135"/>
      <c r="AQ778" s="135"/>
      <c r="AR778" s="135"/>
      <c r="AS778" s="135"/>
      <c r="AT778" s="135"/>
      <c r="AU778" s="135"/>
      <c r="AV778" s="135"/>
      <c r="AW778" s="135"/>
      <c r="AX778" s="135"/>
      <c r="AY778" s="135"/>
      <c r="AZ778" s="135"/>
      <c r="BA778" s="135"/>
      <c r="BB778" s="135"/>
      <c r="BC778" s="135"/>
      <c r="BD778" s="135"/>
      <c r="BE778" s="135"/>
      <c r="BF778" s="135"/>
      <c r="BG778" s="135"/>
      <c r="BH778" s="135"/>
      <c r="BI778" s="135"/>
      <c r="BJ778" s="135"/>
      <c r="BK778" s="135"/>
      <c r="BL778" s="135"/>
      <c r="BM778" s="135"/>
      <c r="BN778" s="135"/>
      <c r="BO778" s="135"/>
      <c r="BP778" s="135"/>
      <c r="BQ778" s="135"/>
      <c r="BR778" s="135"/>
      <c r="BS778" s="135"/>
      <c r="BT778" s="135"/>
    </row>
    <row r="779" spans="1:72" s="196" customFormat="1">
      <c r="A779" s="135"/>
      <c r="B779" s="135"/>
      <c r="C779" s="135"/>
      <c r="D779" s="135"/>
      <c r="E779" s="135"/>
      <c r="F779" s="135"/>
      <c r="G779" s="135"/>
      <c r="H779" s="135"/>
      <c r="I779" s="135"/>
      <c r="J779" s="135"/>
      <c r="K779" s="135"/>
      <c r="L779" s="135"/>
      <c r="M779" s="135"/>
      <c r="N779" s="135"/>
      <c r="O779" s="135"/>
      <c r="P779" s="135"/>
      <c r="Q779" s="135"/>
      <c r="R779" s="135"/>
      <c r="S779" s="135"/>
      <c r="T779" s="135"/>
      <c r="U779" s="135"/>
      <c r="V779" s="135"/>
      <c r="W779" s="135"/>
      <c r="X779" s="135"/>
      <c r="Y779" s="135"/>
      <c r="Z779" s="135"/>
      <c r="AA779" s="135"/>
      <c r="AB779" s="135"/>
      <c r="AC779" s="135"/>
      <c r="AD779" s="135"/>
      <c r="AE779" s="135"/>
      <c r="AF779" s="135"/>
      <c r="AG779" s="135"/>
      <c r="AH779" s="135"/>
      <c r="AI779" s="135"/>
      <c r="AJ779" s="135"/>
      <c r="AK779" s="135"/>
      <c r="AL779" s="135"/>
      <c r="AM779" s="135"/>
      <c r="AN779" s="135"/>
      <c r="AO779" s="135"/>
      <c r="AP779" s="135"/>
      <c r="AQ779" s="135"/>
      <c r="AR779" s="135"/>
      <c r="AS779" s="135"/>
      <c r="AT779" s="135"/>
      <c r="AU779" s="135"/>
      <c r="AV779" s="135"/>
      <c r="AW779" s="135"/>
      <c r="AX779" s="135"/>
      <c r="AY779" s="135"/>
      <c r="AZ779" s="135"/>
      <c r="BA779" s="135"/>
      <c r="BB779" s="135"/>
      <c r="BC779" s="135"/>
      <c r="BD779" s="135"/>
      <c r="BE779" s="135"/>
      <c r="BF779" s="135"/>
      <c r="BG779" s="135"/>
      <c r="BH779" s="135"/>
      <c r="BI779" s="135"/>
      <c r="BJ779" s="135"/>
      <c r="BK779" s="135"/>
      <c r="BL779" s="135"/>
      <c r="BM779" s="135"/>
      <c r="BN779" s="135"/>
      <c r="BO779" s="135"/>
      <c r="BP779" s="135"/>
      <c r="BQ779" s="135"/>
      <c r="BR779" s="135"/>
      <c r="BS779" s="135"/>
      <c r="BT779" s="135"/>
    </row>
    <row r="780" spans="1:72" s="196" customFormat="1">
      <c r="A780" s="135"/>
      <c r="B780" s="135"/>
      <c r="C780" s="135"/>
      <c r="D780" s="135"/>
      <c r="E780" s="135"/>
      <c r="F780" s="135"/>
      <c r="G780" s="135"/>
      <c r="H780" s="135"/>
      <c r="I780" s="135"/>
      <c r="J780" s="135"/>
      <c r="K780" s="135"/>
      <c r="L780" s="135"/>
      <c r="M780" s="135"/>
      <c r="N780" s="135"/>
      <c r="O780" s="135"/>
      <c r="P780" s="135"/>
      <c r="Q780" s="135"/>
      <c r="R780" s="135"/>
      <c r="S780" s="135"/>
      <c r="T780" s="135"/>
      <c r="U780" s="135"/>
      <c r="V780" s="135"/>
      <c r="W780" s="135"/>
      <c r="X780" s="135"/>
      <c r="Y780" s="135"/>
      <c r="Z780" s="135"/>
      <c r="AA780" s="135"/>
      <c r="AB780" s="135"/>
      <c r="AC780" s="135"/>
      <c r="AD780" s="135"/>
      <c r="AE780" s="135"/>
      <c r="AF780" s="135"/>
      <c r="AG780" s="135"/>
      <c r="AH780" s="135"/>
      <c r="AI780" s="135"/>
      <c r="AJ780" s="135"/>
      <c r="AK780" s="135"/>
      <c r="AL780" s="135"/>
      <c r="AM780" s="135"/>
      <c r="AN780" s="135"/>
      <c r="AO780" s="135"/>
      <c r="AP780" s="135"/>
      <c r="AQ780" s="135"/>
      <c r="AR780" s="135"/>
      <c r="AS780" s="135"/>
      <c r="AT780" s="135"/>
      <c r="AU780" s="135"/>
      <c r="AV780" s="135"/>
      <c r="AW780" s="135"/>
      <c r="AX780" s="135"/>
      <c r="AY780" s="135"/>
      <c r="AZ780" s="135"/>
      <c r="BA780" s="135"/>
      <c r="BB780" s="135"/>
      <c r="BC780" s="135"/>
      <c r="BD780" s="135"/>
      <c r="BE780" s="135"/>
      <c r="BF780" s="135"/>
      <c r="BG780" s="135"/>
      <c r="BH780" s="135"/>
      <c r="BI780" s="135"/>
      <c r="BJ780" s="135"/>
      <c r="BK780" s="135"/>
      <c r="BL780" s="135"/>
      <c r="BM780" s="135"/>
      <c r="BN780" s="135"/>
      <c r="BO780" s="135"/>
      <c r="BP780" s="135"/>
      <c r="BQ780" s="135"/>
      <c r="BR780" s="135"/>
      <c r="BS780" s="135"/>
      <c r="BT780" s="135"/>
    </row>
    <row r="781" spans="1:72" s="196" customFormat="1">
      <c r="A781" s="135"/>
      <c r="B781" s="135"/>
      <c r="C781" s="135"/>
      <c r="D781" s="135"/>
      <c r="E781" s="135"/>
      <c r="F781" s="135"/>
      <c r="G781" s="135"/>
      <c r="H781" s="135"/>
      <c r="I781" s="135"/>
      <c r="J781" s="135"/>
      <c r="K781" s="135"/>
      <c r="L781" s="135"/>
      <c r="M781" s="135"/>
      <c r="N781" s="135"/>
      <c r="O781" s="135"/>
      <c r="P781" s="135"/>
      <c r="Q781" s="135"/>
      <c r="R781" s="135"/>
      <c r="S781" s="135"/>
      <c r="T781" s="135"/>
      <c r="U781" s="135"/>
      <c r="V781" s="135"/>
      <c r="W781" s="135"/>
      <c r="X781" s="135"/>
      <c r="Y781" s="135"/>
      <c r="Z781" s="135"/>
      <c r="AA781" s="135"/>
      <c r="AB781" s="135"/>
      <c r="AC781" s="135"/>
      <c r="AD781" s="135"/>
      <c r="AE781" s="135"/>
      <c r="AF781" s="135"/>
      <c r="AG781" s="135"/>
      <c r="AH781" s="135"/>
      <c r="AI781" s="135"/>
      <c r="AJ781" s="135"/>
      <c r="AK781" s="135"/>
      <c r="AL781" s="135"/>
      <c r="AM781" s="135"/>
      <c r="AN781" s="135"/>
      <c r="AO781" s="135"/>
      <c r="AP781" s="135"/>
      <c r="AQ781" s="135"/>
      <c r="AR781" s="135"/>
      <c r="AS781" s="135"/>
      <c r="AT781" s="135"/>
      <c r="AU781" s="135"/>
      <c r="AV781" s="135"/>
      <c r="AW781" s="135"/>
      <c r="AX781" s="135"/>
      <c r="AY781" s="135"/>
      <c r="AZ781" s="135"/>
      <c r="BA781" s="135"/>
      <c r="BB781" s="135"/>
      <c r="BC781" s="135"/>
      <c r="BD781" s="135"/>
      <c r="BE781" s="135"/>
      <c r="BF781" s="135"/>
      <c r="BG781" s="135"/>
      <c r="BH781" s="135"/>
      <c r="BI781" s="135"/>
      <c r="BJ781" s="135"/>
      <c r="BK781" s="135"/>
      <c r="BL781" s="135"/>
      <c r="BM781" s="135"/>
      <c r="BN781" s="135"/>
      <c r="BO781" s="135"/>
      <c r="BP781" s="135"/>
      <c r="BQ781" s="135"/>
      <c r="BR781" s="135"/>
      <c r="BS781" s="135"/>
      <c r="BT781" s="135"/>
    </row>
    <row r="782" spans="1:72" s="196" customFormat="1">
      <c r="A782" s="135"/>
      <c r="B782" s="135"/>
      <c r="C782" s="135"/>
      <c r="D782" s="135"/>
      <c r="E782" s="135"/>
      <c r="F782" s="135"/>
      <c r="G782" s="135"/>
      <c r="H782" s="135"/>
      <c r="I782" s="135"/>
      <c r="J782" s="135"/>
      <c r="K782" s="135"/>
      <c r="L782" s="135"/>
      <c r="M782" s="135"/>
      <c r="N782" s="135"/>
      <c r="O782" s="135"/>
      <c r="P782" s="135"/>
      <c r="Q782" s="135"/>
      <c r="R782" s="135"/>
      <c r="S782" s="135"/>
      <c r="T782" s="135"/>
      <c r="U782" s="135"/>
      <c r="V782" s="135"/>
      <c r="W782" s="135"/>
      <c r="X782" s="135"/>
      <c r="Y782" s="135"/>
      <c r="Z782" s="135"/>
      <c r="AA782" s="135"/>
      <c r="AB782" s="135"/>
      <c r="AC782" s="135"/>
      <c r="AD782" s="135"/>
      <c r="AE782" s="135"/>
      <c r="AF782" s="135"/>
      <c r="AG782" s="135"/>
      <c r="AH782" s="135"/>
      <c r="AI782" s="135"/>
      <c r="AJ782" s="135"/>
      <c r="AK782" s="135"/>
      <c r="AL782" s="135"/>
      <c r="AM782" s="135"/>
      <c r="AN782" s="135"/>
      <c r="AO782" s="135"/>
      <c r="AP782" s="135"/>
      <c r="AQ782" s="135"/>
      <c r="AR782" s="135"/>
      <c r="AS782" s="135"/>
      <c r="AT782" s="135"/>
      <c r="AU782" s="135"/>
      <c r="AV782" s="135"/>
      <c r="AW782" s="135"/>
      <c r="AX782" s="135"/>
      <c r="AY782" s="135"/>
      <c r="AZ782" s="135"/>
      <c r="BA782" s="135"/>
      <c r="BB782" s="135"/>
      <c r="BC782" s="135"/>
      <c r="BD782" s="135"/>
      <c r="BE782" s="135"/>
      <c r="BF782" s="135"/>
      <c r="BG782" s="135"/>
      <c r="BH782" s="135"/>
      <c r="BI782" s="135"/>
      <c r="BJ782" s="135"/>
      <c r="BK782" s="135"/>
      <c r="BL782" s="135"/>
      <c r="BM782" s="135"/>
      <c r="BN782" s="135"/>
      <c r="BO782" s="135"/>
      <c r="BP782" s="135"/>
      <c r="BQ782" s="135"/>
      <c r="BR782" s="135"/>
      <c r="BS782" s="135"/>
      <c r="BT782" s="135"/>
    </row>
    <row r="783" spans="1:72" s="196" customFormat="1">
      <c r="A783" s="135"/>
      <c r="B783" s="135"/>
      <c r="C783" s="135"/>
      <c r="D783" s="135"/>
      <c r="E783" s="135"/>
      <c r="F783" s="135"/>
      <c r="G783" s="135"/>
      <c r="H783" s="135"/>
      <c r="I783" s="135"/>
      <c r="J783" s="135"/>
      <c r="K783" s="135"/>
      <c r="L783" s="135"/>
      <c r="M783" s="135"/>
      <c r="N783" s="135"/>
      <c r="O783" s="135"/>
      <c r="P783" s="135"/>
      <c r="Q783" s="135"/>
      <c r="R783" s="135"/>
      <c r="S783" s="135"/>
      <c r="T783" s="135"/>
      <c r="U783" s="135"/>
      <c r="V783" s="135"/>
      <c r="W783" s="135"/>
      <c r="X783" s="135"/>
      <c r="Y783" s="135"/>
      <c r="Z783" s="135"/>
      <c r="AA783" s="135"/>
      <c r="AB783" s="135"/>
      <c r="AC783" s="135"/>
      <c r="AD783" s="135"/>
      <c r="AE783" s="135"/>
      <c r="AF783" s="135"/>
      <c r="AG783" s="135"/>
      <c r="AH783" s="135"/>
      <c r="AI783" s="135"/>
      <c r="AJ783" s="135"/>
      <c r="AK783" s="135"/>
      <c r="AL783" s="135"/>
      <c r="AM783" s="135"/>
      <c r="AN783" s="135"/>
      <c r="AO783" s="135"/>
      <c r="AP783" s="135"/>
      <c r="AQ783" s="135"/>
      <c r="AR783" s="135"/>
      <c r="AS783" s="135"/>
      <c r="AT783" s="135"/>
      <c r="AU783" s="135"/>
      <c r="AV783" s="135"/>
      <c r="AW783" s="135"/>
      <c r="AX783" s="135"/>
      <c r="AY783" s="135"/>
      <c r="AZ783" s="135"/>
      <c r="BA783" s="135"/>
      <c r="BB783" s="135"/>
      <c r="BC783" s="135"/>
      <c r="BD783" s="135"/>
      <c r="BE783" s="135"/>
      <c r="BF783" s="135"/>
      <c r="BG783" s="135"/>
      <c r="BH783" s="135"/>
      <c r="BI783" s="135"/>
      <c r="BJ783" s="135"/>
      <c r="BK783" s="135"/>
      <c r="BL783" s="135"/>
      <c r="BM783" s="135"/>
      <c r="BN783" s="135"/>
      <c r="BO783" s="135"/>
      <c r="BP783" s="135"/>
      <c r="BQ783" s="135"/>
      <c r="BR783" s="135"/>
      <c r="BS783" s="135"/>
      <c r="BT783" s="135"/>
    </row>
    <row r="784" spans="1:72" s="196" customFormat="1">
      <c r="A784" s="135"/>
      <c r="B784" s="135"/>
      <c r="C784" s="135"/>
      <c r="D784" s="135"/>
      <c r="E784" s="135"/>
      <c r="F784" s="135"/>
      <c r="G784" s="135"/>
      <c r="H784" s="135"/>
      <c r="I784" s="135"/>
      <c r="J784" s="135"/>
      <c r="K784" s="135"/>
      <c r="L784" s="135"/>
      <c r="M784" s="135"/>
      <c r="N784" s="135"/>
      <c r="O784" s="135"/>
      <c r="P784" s="135"/>
      <c r="Q784" s="135"/>
      <c r="R784" s="135"/>
      <c r="S784" s="135"/>
      <c r="T784" s="135"/>
      <c r="U784" s="135"/>
      <c r="V784" s="135"/>
      <c r="W784" s="135"/>
      <c r="X784" s="135"/>
      <c r="Y784" s="135"/>
      <c r="Z784" s="135"/>
      <c r="AA784" s="135"/>
      <c r="AB784" s="135"/>
      <c r="AC784" s="135"/>
      <c r="AD784" s="135"/>
      <c r="AE784" s="135"/>
      <c r="AF784" s="135"/>
      <c r="AG784" s="135"/>
      <c r="AH784" s="135"/>
      <c r="AI784" s="135"/>
      <c r="AJ784" s="135"/>
      <c r="AK784" s="135"/>
      <c r="AL784" s="135"/>
      <c r="AM784" s="135"/>
      <c r="AN784" s="135"/>
      <c r="AO784" s="135"/>
      <c r="AP784" s="135"/>
      <c r="AQ784" s="135"/>
      <c r="AR784" s="135"/>
      <c r="AS784" s="135"/>
      <c r="AT784" s="135"/>
      <c r="AU784" s="135"/>
      <c r="AV784" s="135"/>
      <c r="AW784" s="135"/>
      <c r="AX784" s="135"/>
      <c r="AY784" s="135"/>
      <c r="AZ784" s="135"/>
      <c r="BA784" s="135"/>
      <c r="BB784" s="135"/>
      <c r="BC784" s="135"/>
      <c r="BD784" s="135"/>
      <c r="BE784" s="135"/>
      <c r="BF784" s="135"/>
      <c r="BG784" s="135"/>
      <c r="BH784" s="135"/>
      <c r="BI784" s="135"/>
      <c r="BJ784" s="135"/>
      <c r="BK784" s="135"/>
      <c r="BL784" s="135"/>
      <c r="BM784" s="135"/>
      <c r="BN784" s="135"/>
      <c r="BO784" s="135"/>
      <c r="BP784" s="135"/>
      <c r="BQ784" s="135"/>
      <c r="BR784" s="135"/>
      <c r="BS784" s="135"/>
      <c r="BT784" s="135"/>
    </row>
    <row r="785" spans="1:72" s="196" customFormat="1">
      <c r="A785" s="135"/>
      <c r="B785" s="135"/>
      <c r="C785" s="135"/>
      <c r="D785" s="135"/>
      <c r="E785" s="135"/>
      <c r="F785" s="135"/>
      <c r="G785" s="135"/>
      <c r="H785" s="135"/>
      <c r="I785" s="135"/>
      <c r="J785" s="135"/>
      <c r="K785" s="135"/>
      <c r="L785" s="135"/>
      <c r="M785" s="135"/>
      <c r="N785" s="135"/>
      <c r="O785" s="135"/>
      <c r="P785" s="135"/>
      <c r="Q785" s="135"/>
      <c r="R785" s="135"/>
      <c r="S785" s="135"/>
      <c r="T785" s="135"/>
      <c r="U785" s="135"/>
      <c r="V785" s="135"/>
      <c r="W785" s="135"/>
      <c r="X785" s="135"/>
      <c r="Y785" s="135"/>
      <c r="Z785" s="135"/>
      <c r="AA785" s="135"/>
      <c r="AB785" s="135"/>
      <c r="AC785" s="135"/>
      <c r="AD785" s="135"/>
      <c r="AE785" s="135"/>
      <c r="AF785" s="135"/>
      <c r="AG785" s="135"/>
      <c r="AH785" s="135"/>
      <c r="AI785" s="135"/>
      <c r="AJ785" s="135"/>
      <c r="AK785" s="135"/>
      <c r="AL785" s="135"/>
      <c r="AM785" s="135"/>
      <c r="AN785" s="135"/>
      <c r="AO785" s="135"/>
      <c r="AP785" s="135"/>
      <c r="AQ785" s="135"/>
      <c r="AR785" s="135"/>
      <c r="AS785" s="135"/>
      <c r="AT785" s="135"/>
      <c r="AU785" s="135"/>
      <c r="AV785" s="135"/>
      <c r="AW785" s="135"/>
      <c r="AX785" s="135"/>
      <c r="AY785" s="135"/>
      <c r="AZ785" s="135"/>
      <c r="BA785" s="135"/>
      <c r="BB785" s="135"/>
      <c r="BC785" s="135"/>
      <c r="BD785" s="135"/>
      <c r="BE785" s="135"/>
      <c r="BF785" s="135"/>
      <c r="BG785" s="135"/>
      <c r="BH785" s="135"/>
      <c r="BI785" s="135"/>
      <c r="BJ785" s="135"/>
      <c r="BK785" s="135"/>
      <c r="BL785" s="135"/>
      <c r="BM785" s="135"/>
      <c r="BN785" s="135"/>
      <c r="BO785" s="135"/>
      <c r="BP785" s="135"/>
      <c r="BQ785" s="135"/>
      <c r="BR785" s="135"/>
      <c r="BS785" s="135"/>
      <c r="BT785" s="135"/>
    </row>
    <row r="786" spans="1:72" s="196" customFormat="1">
      <c r="A786" s="135"/>
      <c r="B786" s="135"/>
      <c r="C786" s="135"/>
      <c r="D786" s="135"/>
      <c r="E786" s="135"/>
      <c r="F786" s="135"/>
      <c r="G786" s="135"/>
      <c r="H786" s="135"/>
      <c r="I786" s="135"/>
      <c r="J786" s="135"/>
      <c r="K786" s="135"/>
      <c r="L786" s="135"/>
      <c r="M786" s="135"/>
      <c r="N786" s="135"/>
      <c r="O786" s="135"/>
      <c r="P786" s="135"/>
      <c r="Q786" s="135"/>
      <c r="R786" s="135"/>
      <c r="S786" s="135"/>
      <c r="T786" s="135"/>
      <c r="U786" s="135"/>
      <c r="V786" s="135"/>
      <c r="W786" s="135"/>
      <c r="X786" s="135"/>
      <c r="Y786" s="135"/>
      <c r="Z786" s="135"/>
      <c r="AA786" s="135"/>
      <c r="AB786" s="135"/>
      <c r="AC786" s="135"/>
      <c r="AD786" s="135"/>
      <c r="AE786" s="135"/>
      <c r="AF786" s="135"/>
      <c r="AG786" s="135"/>
      <c r="AH786" s="135"/>
      <c r="AI786" s="135"/>
      <c r="AJ786" s="135"/>
      <c r="AK786" s="135"/>
      <c r="AL786" s="135"/>
      <c r="AM786" s="135"/>
      <c r="AN786" s="135"/>
      <c r="AO786" s="135"/>
      <c r="AP786" s="135"/>
      <c r="AQ786" s="135"/>
      <c r="AR786" s="135"/>
      <c r="AS786" s="135"/>
      <c r="AT786" s="135"/>
      <c r="AU786" s="135"/>
      <c r="AV786" s="135"/>
      <c r="AW786" s="135"/>
      <c r="AX786" s="135"/>
      <c r="AY786" s="135"/>
      <c r="AZ786" s="135"/>
      <c r="BA786" s="135"/>
      <c r="BB786" s="135"/>
      <c r="BC786" s="135"/>
      <c r="BD786" s="135"/>
      <c r="BE786" s="135"/>
      <c r="BF786" s="135"/>
      <c r="BG786" s="135"/>
      <c r="BH786" s="135"/>
      <c r="BI786" s="135"/>
      <c r="BJ786" s="135"/>
      <c r="BK786" s="135"/>
      <c r="BL786" s="135"/>
      <c r="BM786" s="135"/>
      <c r="BN786" s="135"/>
      <c r="BO786" s="135"/>
      <c r="BP786" s="135"/>
      <c r="BQ786" s="135"/>
      <c r="BR786" s="135"/>
      <c r="BS786" s="135"/>
      <c r="BT786" s="135"/>
    </row>
    <row r="787" spans="1:72" s="196" customFormat="1">
      <c r="A787" s="135"/>
      <c r="B787" s="135"/>
      <c r="C787" s="135"/>
      <c r="D787" s="135"/>
      <c r="E787" s="135"/>
      <c r="F787" s="135"/>
      <c r="G787" s="135"/>
      <c r="H787" s="135"/>
      <c r="I787" s="135"/>
      <c r="J787" s="135"/>
      <c r="K787" s="135"/>
      <c r="L787" s="135"/>
      <c r="M787" s="135"/>
      <c r="N787" s="135"/>
      <c r="O787" s="135"/>
      <c r="P787" s="135"/>
      <c r="Q787" s="135"/>
      <c r="R787" s="135"/>
      <c r="S787" s="135"/>
      <c r="T787" s="135"/>
      <c r="U787" s="135"/>
      <c r="V787" s="135"/>
      <c r="W787" s="135"/>
      <c r="X787" s="135"/>
      <c r="Y787" s="135"/>
      <c r="Z787" s="135"/>
      <c r="AA787" s="135"/>
      <c r="AB787" s="135"/>
      <c r="AC787" s="135"/>
      <c r="AD787" s="135"/>
      <c r="AE787" s="135"/>
      <c r="AF787" s="135"/>
      <c r="AG787" s="135"/>
      <c r="AH787" s="135"/>
      <c r="AI787" s="135"/>
      <c r="AJ787" s="135"/>
      <c r="AK787" s="135"/>
      <c r="AL787" s="135"/>
      <c r="AM787" s="135"/>
      <c r="AN787" s="135"/>
      <c r="AO787" s="135"/>
      <c r="AP787" s="135"/>
      <c r="AQ787" s="135"/>
      <c r="AR787" s="135"/>
      <c r="AS787" s="135"/>
      <c r="AT787" s="135"/>
      <c r="AU787" s="135"/>
      <c r="AV787" s="135"/>
      <c r="AW787" s="135"/>
      <c r="AX787" s="135"/>
      <c r="AY787" s="135"/>
      <c r="AZ787" s="135"/>
      <c r="BA787" s="135"/>
      <c r="BB787" s="135"/>
      <c r="BC787" s="135"/>
      <c r="BD787" s="135"/>
      <c r="BE787" s="135"/>
      <c r="BF787" s="135"/>
      <c r="BG787" s="135"/>
      <c r="BH787" s="135"/>
      <c r="BI787" s="135"/>
      <c r="BJ787" s="135"/>
      <c r="BK787" s="135"/>
      <c r="BL787" s="135"/>
      <c r="BM787" s="135"/>
      <c r="BN787" s="135"/>
      <c r="BO787" s="135"/>
      <c r="BP787" s="135"/>
      <c r="BQ787" s="135"/>
      <c r="BR787" s="135"/>
      <c r="BS787" s="135"/>
      <c r="BT787" s="135"/>
    </row>
    <row r="788" spans="1:72" s="196" customFormat="1">
      <c r="A788" s="135"/>
      <c r="B788" s="135"/>
      <c r="C788" s="135"/>
      <c r="D788" s="135"/>
      <c r="E788" s="135"/>
      <c r="F788" s="135"/>
      <c r="G788" s="135"/>
      <c r="H788" s="135"/>
      <c r="I788" s="135"/>
      <c r="J788" s="135"/>
      <c r="K788" s="135"/>
      <c r="L788" s="135"/>
      <c r="M788" s="135"/>
      <c r="N788" s="135"/>
      <c r="O788" s="135"/>
      <c r="P788" s="135"/>
      <c r="Q788" s="135"/>
      <c r="R788" s="135"/>
      <c r="S788" s="135"/>
      <c r="T788" s="135"/>
      <c r="U788" s="135"/>
      <c r="V788" s="135"/>
      <c r="W788" s="135"/>
      <c r="X788" s="135"/>
      <c r="Y788" s="135"/>
      <c r="Z788" s="135"/>
      <c r="AA788" s="135"/>
      <c r="AB788" s="135"/>
      <c r="AC788" s="135"/>
      <c r="AD788" s="135"/>
      <c r="AE788" s="135"/>
      <c r="AF788" s="135"/>
      <c r="AG788" s="135"/>
      <c r="AH788" s="135"/>
      <c r="AI788" s="135"/>
      <c r="AJ788" s="135"/>
      <c r="AK788" s="135"/>
      <c r="AL788" s="135"/>
      <c r="AM788" s="135"/>
      <c r="AN788" s="135"/>
      <c r="AO788" s="135"/>
      <c r="AP788" s="135"/>
      <c r="AQ788" s="135"/>
      <c r="AR788" s="135"/>
      <c r="AS788" s="135"/>
      <c r="AT788" s="135"/>
      <c r="AU788" s="135"/>
      <c r="AV788" s="135"/>
      <c r="AW788" s="135"/>
      <c r="AX788" s="135"/>
      <c r="AY788" s="135"/>
      <c r="AZ788" s="135"/>
      <c r="BA788" s="135"/>
      <c r="BB788" s="135"/>
      <c r="BC788" s="135"/>
      <c r="BD788" s="135"/>
      <c r="BE788" s="135"/>
      <c r="BF788" s="135"/>
      <c r="BG788" s="135"/>
      <c r="BH788" s="135"/>
      <c r="BI788" s="135"/>
      <c r="BJ788" s="135"/>
      <c r="BK788" s="135"/>
      <c r="BL788" s="135"/>
      <c r="BM788" s="135"/>
      <c r="BN788" s="135"/>
      <c r="BO788" s="135"/>
      <c r="BP788" s="135"/>
      <c r="BQ788" s="135"/>
      <c r="BR788" s="135"/>
      <c r="BS788" s="135"/>
      <c r="BT788" s="135"/>
    </row>
    <row r="789" spans="1:72" s="196" customFormat="1">
      <c r="A789" s="135"/>
      <c r="B789" s="135"/>
      <c r="C789" s="135"/>
      <c r="D789" s="135"/>
      <c r="E789" s="135"/>
      <c r="F789" s="135"/>
      <c r="G789" s="135"/>
      <c r="H789" s="135"/>
      <c r="I789" s="135"/>
      <c r="J789" s="135"/>
      <c r="K789" s="135"/>
      <c r="L789" s="135"/>
      <c r="M789" s="135"/>
      <c r="N789" s="135"/>
      <c r="O789" s="135"/>
      <c r="P789" s="135"/>
      <c r="Q789" s="135"/>
      <c r="R789" s="135"/>
      <c r="S789" s="135"/>
      <c r="T789" s="135"/>
      <c r="U789" s="135"/>
      <c r="V789" s="135"/>
      <c r="W789" s="135"/>
      <c r="X789" s="135"/>
      <c r="Y789" s="135"/>
      <c r="Z789" s="135"/>
      <c r="AA789" s="135"/>
      <c r="AB789" s="135"/>
      <c r="AC789" s="135"/>
      <c r="AD789" s="135"/>
      <c r="AE789" s="135"/>
      <c r="AF789" s="135"/>
      <c r="AG789" s="135"/>
      <c r="AH789" s="135"/>
      <c r="AI789" s="135"/>
      <c r="AJ789" s="135"/>
      <c r="AK789" s="135"/>
      <c r="AL789" s="135"/>
      <c r="AM789" s="135"/>
      <c r="AN789" s="135"/>
      <c r="AO789" s="135"/>
      <c r="AP789" s="135"/>
      <c r="AQ789" s="135"/>
      <c r="AR789" s="135"/>
      <c r="AS789" s="135"/>
      <c r="AT789" s="135"/>
      <c r="AU789" s="135"/>
      <c r="AV789" s="135"/>
      <c r="AW789" s="135"/>
      <c r="AX789" s="135"/>
      <c r="AY789" s="135"/>
      <c r="AZ789" s="135"/>
      <c r="BA789" s="135"/>
      <c r="BB789" s="135"/>
      <c r="BC789" s="135"/>
      <c r="BD789" s="135"/>
      <c r="BE789" s="135"/>
      <c r="BF789" s="135"/>
      <c r="BG789" s="135"/>
      <c r="BH789" s="135"/>
      <c r="BI789" s="135"/>
      <c r="BJ789" s="135"/>
      <c r="BK789" s="135"/>
      <c r="BL789" s="135"/>
      <c r="BM789" s="135"/>
      <c r="BN789" s="135"/>
      <c r="BO789" s="135"/>
      <c r="BP789" s="135"/>
      <c r="BQ789" s="135"/>
      <c r="BR789" s="135"/>
      <c r="BS789" s="135"/>
      <c r="BT789" s="135"/>
    </row>
    <row r="790" spans="1:72" s="196" customFormat="1">
      <c r="A790" s="135"/>
      <c r="B790" s="135"/>
      <c r="C790" s="135"/>
      <c r="D790" s="135"/>
      <c r="E790" s="135"/>
      <c r="F790" s="135"/>
      <c r="G790" s="135"/>
      <c r="H790" s="135"/>
      <c r="I790" s="135"/>
      <c r="J790" s="135"/>
      <c r="K790" s="135"/>
      <c r="L790" s="135"/>
      <c r="M790" s="135"/>
      <c r="N790" s="135"/>
      <c r="O790" s="135"/>
      <c r="P790" s="135"/>
      <c r="Q790" s="135"/>
      <c r="R790" s="135"/>
      <c r="S790" s="135"/>
      <c r="T790" s="135"/>
      <c r="U790" s="135"/>
      <c r="V790" s="135"/>
      <c r="W790" s="135"/>
      <c r="X790" s="135"/>
      <c r="Y790" s="135"/>
      <c r="Z790" s="135"/>
      <c r="AA790" s="135"/>
      <c r="AB790" s="135"/>
      <c r="AC790" s="135"/>
      <c r="AD790" s="135"/>
      <c r="AE790" s="135"/>
      <c r="AF790" s="135"/>
      <c r="AG790" s="135"/>
      <c r="AH790" s="135"/>
      <c r="AI790" s="135"/>
      <c r="AJ790" s="135"/>
      <c r="AK790" s="135"/>
      <c r="AL790" s="135"/>
      <c r="AM790" s="135"/>
      <c r="AN790" s="135"/>
      <c r="AO790" s="135"/>
      <c r="AP790" s="135"/>
      <c r="AQ790" s="135"/>
      <c r="AR790" s="135"/>
      <c r="AS790" s="135"/>
      <c r="AT790" s="135"/>
      <c r="AU790" s="135"/>
      <c r="AV790" s="135"/>
      <c r="AW790" s="135"/>
      <c r="AX790" s="135"/>
      <c r="AY790" s="135"/>
      <c r="AZ790" s="135"/>
      <c r="BA790" s="135"/>
      <c r="BB790" s="135"/>
      <c r="BC790" s="135"/>
      <c r="BD790" s="135"/>
      <c r="BE790" s="135"/>
      <c r="BF790" s="135"/>
      <c r="BG790" s="135"/>
      <c r="BH790" s="135"/>
      <c r="BI790" s="135"/>
      <c r="BJ790" s="135"/>
      <c r="BK790" s="135"/>
      <c r="BL790" s="135"/>
      <c r="BM790" s="135"/>
      <c r="BN790" s="135"/>
      <c r="BO790" s="135"/>
      <c r="BP790" s="135"/>
      <c r="BQ790" s="135"/>
      <c r="BR790" s="135"/>
      <c r="BS790" s="135"/>
      <c r="BT790" s="135"/>
    </row>
    <row r="791" spans="1:72" s="196" customFormat="1">
      <c r="A791" s="135"/>
      <c r="B791" s="135"/>
      <c r="C791" s="135"/>
      <c r="D791" s="135"/>
      <c r="E791" s="135"/>
      <c r="F791" s="135"/>
      <c r="G791" s="135"/>
      <c r="H791" s="135"/>
      <c r="I791" s="135"/>
      <c r="J791" s="135"/>
      <c r="K791" s="135"/>
      <c r="L791" s="135"/>
      <c r="M791" s="135"/>
      <c r="N791" s="135"/>
      <c r="O791" s="135"/>
      <c r="P791" s="135"/>
      <c r="Q791" s="135"/>
      <c r="R791" s="135"/>
      <c r="S791" s="135"/>
      <c r="T791" s="135"/>
      <c r="U791" s="135"/>
      <c r="V791" s="135"/>
      <c r="W791" s="135"/>
      <c r="X791" s="135"/>
      <c r="Y791" s="135"/>
      <c r="Z791" s="135"/>
      <c r="AA791" s="135"/>
      <c r="AB791" s="135"/>
      <c r="AC791" s="135"/>
      <c r="AD791" s="135"/>
      <c r="AE791" s="135"/>
      <c r="AF791" s="135"/>
      <c r="AG791" s="135"/>
      <c r="AH791" s="135"/>
      <c r="AI791" s="135"/>
      <c r="AJ791" s="135"/>
      <c r="AK791" s="135"/>
      <c r="AL791" s="135"/>
      <c r="AM791" s="135"/>
      <c r="AN791" s="135"/>
      <c r="AO791" s="135"/>
      <c r="AP791" s="135"/>
      <c r="AQ791" s="135"/>
      <c r="AR791" s="135"/>
      <c r="AS791" s="135"/>
      <c r="AT791" s="135"/>
      <c r="AU791" s="135"/>
      <c r="AV791" s="135"/>
      <c r="AW791" s="135"/>
      <c r="AX791" s="135"/>
      <c r="AY791" s="135"/>
      <c r="AZ791" s="135"/>
      <c r="BA791" s="135"/>
      <c r="BB791" s="135"/>
      <c r="BC791" s="135"/>
      <c r="BD791" s="135"/>
      <c r="BE791" s="135"/>
      <c r="BF791" s="135"/>
      <c r="BG791" s="135"/>
      <c r="BH791" s="135"/>
      <c r="BI791" s="135"/>
      <c r="BJ791" s="135"/>
      <c r="BK791" s="135"/>
      <c r="BL791" s="135"/>
      <c r="BM791" s="135"/>
      <c r="BN791" s="135"/>
      <c r="BO791" s="135"/>
      <c r="BP791" s="135"/>
      <c r="BQ791" s="135"/>
      <c r="BR791" s="135"/>
      <c r="BS791" s="135"/>
      <c r="BT791" s="135"/>
    </row>
    <row r="792" spans="1:72" s="196" customFormat="1">
      <c r="A792" s="135"/>
      <c r="B792" s="135"/>
      <c r="C792" s="135"/>
      <c r="D792" s="135"/>
      <c r="E792" s="135"/>
      <c r="F792" s="135"/>
      <c r="G792" s="135"/>
      <c r="H792" s="135"/>
      <c r="I792" s="135"/>
      <c r="J792" s="135"/>
      <c r="K792" s="135"/>
      <c r="L792" s="135"/>
      <c r="M792" s="135"/>
      <c r="N792" s="135"/>
      <c r="O792" s="135"/>
      <c r="P792" s="135"/>
      <c r="Q792" s="135"/>
      <c r="R792" s="135"/>
      <c r="S792" s="135"/>
      <c r="T792" s="135"/>
      <c r="U792" s="135"/>
      <c r="V792" s="135"/>
      <c r="W792" s="135"/>
      <c r="X792" s="135"/>
      <c r="Y792" s="135"/>
      <c r="Z792" s="135"/>
      <c r="AA792" s="135"/>
      <c r="AB792" s="135"/>
      <c r="AC792" s="135"/>
      <c r="AD792" s="135"/>
      <c r="AE792" s="135"/>
      <c r="AF792" s="135"/>
      <c r="AG792" s="135"/>
      <c r="AH792" s="135"/>
      <c r="AI792" s="135"/>
      <c r="AJ792" s="135"/>
      <c r="AK792" s="135"/>
      <c r="AL792" s="135"/>
      <c r="AM792" s="135"/>
      <c r="AN792" s="135"/>
      <c r="AO792" s="135"/>
      <c r="AP792" s="135"/>
      <c r="AQ792" s="135"/>
      <c r="AR792" s="135"/>
      <c r="AS792" s="135"/>
      <c r="AT792" s="135"/>
      <c r="AU792" s="135"/>
      <c r="AV792" s="135"/>
      <c r="AW792" s="135"/>
      <c r="AX792" s="135"/>
      <c r="AY792" s="135"/>
      <c r="AZ792" s="135"/>
      <c r="BA792" s="135"/>
      <c r="BB792" s="135"/>
      <c r="BC792" s="135"/>
      <c r="BD792" s="135"/>
      <c r="BE792" s="135"/>
      <c r="BF792" s="135"/>
      <c r="BG792" s="135"/>
      <c r="BH792" s="135"/>
      <c r="BI792" s="135"/>
      <c r="BJ792" s="135"/>
      <c r="BK792" s="135"/>
      <c r="BL792" s="135"/>
      <c r="BM792" s="135"/>
      <c r="BN792" s="135"/>
      <c r="BO792" s="135"/>
      <c r="BP792" s="135"/>
      <c r="BQ792" s="135"/>
      <c r="BR792" s="135"/>
      <c r="BS792" s="135"/>
      <c r="BT792" s="135"/>
    </row>
    <row r="793" spans="1:72" s="196" customFormat="1">
      <c r="A793" s="135"/>
      <c r="B793" s="135"/>
      <c r="C793" s="135"/>
      <c r="D793" s="135"/>
      <c r="E793" s="135"/>
      <c r="F793" s="135"/>
      <c r="G793" s="135"/>
      <c r="H793" s="135"/>
      <c r="I793" s="135"/>
      <c r="J793" s="135"/>
      <c r="K793" s="135"/>
      <c r="L793" s="135"/>
      <c r="M793" s="135"/>
      <c r="N793" s="135"/>
      <c r="O793" s="135"/>
      <c r="P793" s="135"/>
      <c r="Q793" s="135"/>
      <c r="R793" s="135"/>
      <c r="S793" s="135"/>
      <c r="T793" s="135"/>
      <c r="U793" s="135"/>
      <c r="V793" s="135"/>
      <c r="W793" s="135"/>
      <c r="X793" s="135"/>
      <c r="Y793" s="135"/>
      <c r="Z793" s="135"/>
      <c r="AA793" s="135"/>
      <c r="AB793" s="135"/>
      <c r="AC793" s="135"/>
      <c r="AD793" s="135"/>
      <c r="AE793" s="135"/>
      <c r="AF793" s="135"/>
      <c r="AG793" s="135"/>
      <c r="AH793" s="135"/>
      <c r="AI793" s="135"/>
      <c r="AJ793" s="135"/>
      <c r="AK793" s="135"/>
      <c r="AL793" s="135"/>
      <c r="AM793" s="135"/>
      <c r="AN793" s="135"/>
      <c r="AO793" s="135"/>
      <c r="AP793" s="135"/>
      <c r="AQ793" s="135"/>
      <c r="AR793" s="135"/>
      <c r="AS793" s="135"/>
      <c r="AT793" s="135"/>
      <c r="AU793" s="135"/>
      <c r="AV793" s="135"/>
      <c r="AW793" s="135"/>
      <c r="AX793" s="135"/>
      <c r="AY793" s="135"/>
      <c r="AZ793" s="135"/>
      <c r="BA793" s="135"/>
      <c r="BB793" s="135"/>
      <c r="BC793" s="135"/>
      <c r="BD793" s="135"/>
      <c r="BE793" s="135"/>
      <c r="BF793" s="135"/>
      <c r="BG793" s="135"/>
      <c r="BH793" s="135"/>
      <c r="BI793" s="135"/>
      <c r="BJ793" s="135"/>
      <c r="BK793" s="135"/>
      <c r="BL793" s="135"/>
      <c r="BM793" s="135"/>
      <c r="BN793" s="135"/>
      <c r="BO793" s="135"/>
      <c r="BP793" s="135"/>
      <c r="BQ793" s="135"/>
      <c r="BR793" s="135"/>
      <c r="BS793" s="135"/>
      <c r="BT793" s="135"/>
    </row>
    <row r="794" spans="1:72" s="196" customFormat="1">
      <c r="A794" s="135"/>
      <c r="B794" s="135"/>
      <c r="C794" s="135"/>
      <c r="D794" s="135"/>
      <c r="E794" s="135"/>
      <c r="F794" s="135"/>
      <c r="G794" s="135"/>
      <c r="H794" s="135"/>
      <c r="I794" s="135"/>
      <c r="J794" s="135"/>
      <c r="K794" s="135"/>
      <c r="L794" s="135"/>
      <c r="M794" s="135"/>
      <c r="N794" s="135"/>
      <c r="O794" s="135"/>
      <c r="P794" s="135"/>
      <c r="Q794" s="135"/>
      <c r="R794" s="135"/>
      <c r="S794" s="135"/>
      <c r="T794" s="135"/>
      <c r="U794" s="135"/>
      <c r="V794" s="135"/>
      <c r="W794" s="135"/>
      <c r="X794" s="135"/>
      <c r="Y794" s="135"/>
      <c r="Z794" s="135"/>
      <c r="AA794" s="135"/>
      <c r="AB794" s="135"/>
      <c r="AC794" s="135"/>
      <c r="AD794" s="135"/>
      <c r="AE794" s="135"/>
      <c r="AF794" s="135"/>
      <c r="AG794" s="135"/>
      <c r="AH794" s="135"/>
      <c r="AI794" s="135"/>
      <c r="AJ794" s="135"/>
      <c r="AK794" s="135"/>
      <c r="AL794" s="135"/>
      <c r="AM794" s="135"/>
      <c r="AN794" s="135"/>
      <c r="AO794" s="135"/>
      <c r="AP794" s="135"/>
      <c r="AQ794" s="135"/>
      <c r="AR794" s="135"/>
      <c r="AS794" s="135"/>
      <c r="AT794" s="135"/>
      <c r="AU794" s="135"/>
      <c r="AV794" s="135"/>
      <c r="AW794" s="135"/>
      <c r="AX794" s="135"/>
      <c r="AY794" s="135"/>
      <c r="AZ794" s="135"/>
      <c r="BA794" s="135"/>
      <c r="BB794" s="135"/>
      <c r="BC794" s="135"/>
      <c r="BD794" s="135"/>
      <c r="BE794" s="135"/>
      <c r="BF794" s="135"/>
      <c r="BG794" s="135"/>
      <c r="BH794" s="135"/>
      <c r="BI794" s="135"/>
      <c r="BJ794" s="135"/>
      <c r="BK794" s="135"/>
      <c r="BL794" s="135"/>
      <c r="BM794" s="135"/>
      <c r="BN794" s="135"/>
      <c r="BO794" s="135"/>
      <c r="BP794" s="135"/>
      <c r="BQ794" s="135"/>
      <c r="BR794" s="135"/>
      <c r="BS794" s="135"/>
      <c r="BT794" s="135"/>
    </row>
    <row r="795" spans="1:72" s="196" customFormat="1">
      <c r="A795" s="135"/>
      <c r="B795" s="135"/>
      <c r="C795" s="135"/>
      <c r="D795" s="135"/>
      <c r="E795" s="135"/>
      <c r="F795" s="135"/>
      <c r="G795" s="135"/>
      <c r="H795" s="135"/>
      <c r="I795" s="135"/>
      <c r="J795" s="135"/>
      <c r="K795" s="135"/>
      <c r="L795" s="135"/>
      <c r="M795" s="135"/>
      <c r="N795" s="135"/>
      <c r="O795" s="135"/>
      <c r="P795" s="135"/>
      <c r="Q795" s="135"/>
      <c r="R795" s="135"/>
      <c r="S795" s="135"/>
      <c r="T795" s="135"/>
      <c r="U795" s="135"/>
      <c r="V795" s="135"/>
      <c r="W795" s="135"/>
      <c r="X795" s="135"/>
      <c r="Y795" s="135"/>
      <c r="Z795" s="135"/>
      <c r="AA795" s="135"/>
      <c r="AB795" s="135"/>
      <c r="AC795" s="135"/>
      <c r="AD795" s="135"/>
      <c r="AE795" s="135"/>
      <c r="AF795" s="135"/>
      <c r="AG795" s="135"/>
      <c r="AH795" s="135"/>
      <c r="AI795" s="135"/>
      <c r="AJ795" s="135"/>
      <c r="AK795" s="135"/>
      <c r="AL795" s="135"/>
      <c r="AM795" s="135"/>
      <c r="AN795" s="135"/>
      <c r="AO795" s="135"/>
      <c r="AP795" s="135"/>
      <c r="AQ795" s="135"/>
      <c r="AR795" s="135"/>
      <c r="AS795" s="135"/>
      <c r="AT795" s="135"/>
      <c r="AU795" s="135"/>
      <c r="AV795" s="135"/>
      <c r="AW795" s="135"/>
      <c r="AX795" s="135"/>
      <c r="AY795" s="135"/>
      <c r="AZ795" s="135"/>
      <c r="BA795" s="135"/>
      <c r="BB795" s="135"/>
      <c r="BC795" s="135"/>
      <c r="BD795" s="135"/>
      <c r="BE795" s="135"/>
      <c r="BF795" s="135"/>
      <c r="BG795" s="135"/>
      <c r="BH795" s="135"/>
      <c r="BI795" s="135"/>
      <c r="BJ795" s="135"/>
      <c r="BK795" s="135"/>
      <c r="BL795" s="135"/>
      <c r="BM795" s="135"/>
      <c r="BN795" s="135"/>
      <c r="BO795" s="135"/>
      <c r="BP795" s="135"/>
      <c r="BQ795" s="135"/>
      <c r="BR795" s="135"/>
      <c r="BS795" s="135"/>
      <c r="BT795" s="135"/>
    </row>
    <row r="796" spans="1:72" s="196" customFormat="1">
      <c r="A796" s="135"/>
      <c r="B796" s="135"/>
      <c r="C796" s="135"/>
      <c r="D796" s="135"/>
      <c r="E796" s="135"/>
      <c r="F796" s="135"/>
      <c r="G796" s="135"/>
      <c r="H796" s="135"/>
      <c r="I796" s="135"/>
      <c r="J796" s="135"/>
      <c r="K796" s="135"/>
      <c r="L796" s="135"/>
      <c r="M796" s="135"/>
      <c r="N796" s="135"/>
      <c r="O796" s="135"/>
      <c r="P796" s="135"/>
      <c r="Q796" s="135"/>
      <c r="R796" s="135"/>
      <c r="S796" s="135"/>
      <c r="T796" s="135"/>
      <c r="U796" s="135"/>
      <c r="V796" s="135"/>
      <c r="W796" s="135"/>
      <c r="X796" s="135"/>
      <c r="Y796" s="135"/>
      <c r="Z796" s="135"/>
      <c r="AA796" s="135"/>
      <c r="AB796" s="135"/>
      <c r="AC796" s="135"/>
      <c r="AD796" s="135"/>
      <c r="AE796" s="135"/>
      <c r="AF796" s="135"/>
      <c r="AG796" s="135"/>
      <c r="AH796" s="135"/>
      <c r="AI796" s="135"/>
      <c r="AJ796" s="135"/>
      <c r="AK796" s="135"/>
      <c r="AL796" s="135"/>
      <c r="AM796" s="135"/>
      <c r="AN796" s="135"/>
      <c r="AO796" s="135"/>
      <c r="AP796" s="135"/>
      <c r="AQ796" s="135"/>
      <c r="AR796" s="135"/>
      <c r="AS796" s="135"/>
      <c r="AT796" s="135"/>
      <c r="AU796" s="135"/>
      <c r="AV796" s="135"/>
      <c r="AW796" s="135"/>
      <c r="AX796" s="135"/>
      <c r="AY796" s="135"/>
      <c r="AZ796" s="135"/>
      <c r="BA796" s="135"/>
      <c r="BB796" s="135"/>
      <c r="BC796" s="135"/>
      <c r="BD796" s="135"/>
      <c r="BE796" s="135"/>
      <c r="BF796" s="135"/>
      <c r="BG796" s="135"/>
      <c r="BH796" s="135"/>
      <c r="BI796" s="135"/>
      <c r="BJ796" s="135"/>
      <c r="BK796" s="135"/>
      <c r="BL796" s="135"/>
      <c r="BM796" s="135"/>
      <c r="BN796" s="135"/>
      <c r="BO796" s="135"/>
      <c r="BP796" s="135"/>
      <c r="BQ796" s="135"/>
      <c r="BR796" s="135"/>
      <c r="BS796" s="135"/>
      <c r="BT796" s="135"/>
    </row>
    <row r="797" spans="1:72" s="196" customFormat="1">
      <c r="A797" s="135"/>
      <c r="B797" s="135"/>
      <c r="C797" s="135"/>
      <c r="D797" s="135"/>
      <c r="E797" s="135"/>
      <c r="F797" s="135"/>
      <c r="G797" s="135"/>
      <c r="H797" s="135"/>
      <c r="I797" s="135"/>
      <c r="J797" s="135"/>
      <c r="K797" s="135"/>
      <c r="L797" s="135"/>
      <c r="M797" s="135"/>
      <c r="N797" s="135"/>
      <c r="O797" s="135"/>
      <c r="P797" s="135"/>
      <c r="Q797" s="135"/>
      <c r="R797" s="135"/>
      <c r="S797" s="135"/>
      <c r="T797" s="135"/>
      <c r="U797" s="135"/>
      <c r="V797" s="135"/>
      <c r="W797" s="135"/>
      <c r="X797" s="135"/>
      <c r="Y797" s="135"/>
      <c r="Z797" s="135"/>
      <c r="AA797" s="135"/>
      <c r="AB797" s="135"/>
      <c r="AC797" s="135"/>
      <c r="AD797" s="135"/>
      <c r="AE797" s="135"/>
      <c r="AF797" s="135"/>
      <c r="AG797" s="135"/>
      <c r="AH797" s="135"/>
      <c r="AI797" s="135"/>
      <c r="AJ797" s="135"/>
      <c r="AK797" s="135"/>
      <c r="AL797" s="135"/>
      <c r="AM797" s="135"/>
      <c r="AN797" s="135"/>
      <c r="AO797" s="135"/>
      <c r="AP797" s="135"/>
      <c r="AQ797" s="135"/>
      <c r="AR797" s="135"/>
      <c r="AS797" s="135"/>
      <c r="AT797" s="135"/>
      <c r="AU797" s="135"/>
      <c r="AV797" s="135"/>
      <c r="AW797" s="135"/>
      <c r="AX797" s="135"/>
      <c r="AY797" s="135"/>
      <c r="AZ797" s="135"/>
      <c r="BA797" s="135"/>
      <c r="BB797" s="135"/>
      <c r="BC797" s="135"/>
      <c r="BD797" s="135"/>
      <c r="BE797" s="135"/>
      <c r="BF797" s="135"/>
      <c r="BG797" s="135"/>
      <c r="BH797" s="135"/>
      <c r="BI797" s="135"/>
      <c r="BJ797" s="135"/>
      <c r="BK797" s="135"/>
      <c r="BL797" s="135"/>
      <c r="BM797" s="135"/>
      <c r="BN797" s="135"/>
      <c r="BO797" s="135"/>
      <c r="BP797" s="135"/>
      <c r="BQ797" s="135"/>
      <c r="BR797" s="135"/>
      <c r="BS797" s="135"/>
      <c r="BT797" s="135"/>
    </row>
    <row r="798" spans="1:72" s="196" customFormat="1">
      <c r="A798" s="135"/>
      <c r="B798" s="135"/>
      <c r="C798" s="135"/>
      <c r="D798" s="135"/>
      <c r="E798" s="135"/>
      <c r="F798" s="135"/>
      <c r="G798" s="135"/>
      <c r="H798" s="135"/>
      <c r="I798" s="135"/>
      <c r="J798" s="135"/>
      <c r="K798" s="135"/>
      <c r="L798" s="135"/>
      <c r="M798" s="135"/>
      <c r="N798" s="135"/>
      <c r="O798" s="135"/>
      <c r="P798" s="135"/>
      <c r="Q798" s="135"/>
      <c r="R798" s="135"/>
      <c r="S798" s="135"/>
      <c r="T798" s="135"/>
      <c r="U798" s="135"/>
      <c r="V798" s="135"/>
      <c r="W798" s="135"/>
      <c r="X798" s="135"/>
      <c r="Y798" s="135"/>
      <c r="Z798" s="135"/>
      <c r="AA798" s="135"/>
      <c r="AB798" s="135"/>
      <c r="AC798" s="135"/>
      <c r="AD798" s="135"/>
      <c r="AE798" s="135"/>
      <c r="AF798" s="135"/>
      <c r="AG798" s="135"/>
      <c r="AH798" s="135"/>
      <c r="AI798" s="135"/>
      <c r="AJ798" s="135"/>
      <c r="AK798" s="135"/>
      <c r="AL798" s="135"/>
      <c r="AM798" s="135"/>
      <c r="AN798" s="135"/>
      <c r="AO798" s="135"/>
      <c r="AP798" s="135"/>
      <c r="AQ798" s="135"/>
      <c r="AR798" s="135"/>
      <c r="AS798" s="135"/>
      <c r="AT798" s="135"/>
      <c r="AU798" s="135"/>
      <c r="AV798" s="135"/>
      <c r="AW798" s="135"/>
      <c r="AX798" s="135"/>
      <c r="AY798" s="135"/>
      <c r="AZ798" s="135"/>
      <c r="BA798" s="135"/>
      <c r="BB798" s="135"/>
      <c r="BC798" s="135"/>
      <c r="BD798" s="135"/>
      <c r="BE798" s="135"/>
      <c r="BF798" s="135"/>
      <c r="BG798" s="135"/>
      <c r="BH798" s="135"/>
      <c r="BI798" s="135"/>
      <c r="BJ798" s="135"/>
      <c r="BK798" s="135"/>
      <c r="BL798" s="135"/>
      <c r="BM798" s="135"/>
      <c r="BN798" s="135"/>
      <c r="BO798" s="135"/>
      <c r="BP798" s="135"/>
      <c r="BQ798" s="135"/>
      <c r="BR798" s="135"/>
      <c r="BS798" s="135"/>
      <c r="BT798" s="135"/>
    </row>
    <row r="799" spans="1:72" s="196" customFormat="1">
      <c r="A799" s="135"/>
      <c r="B799" s="135"/>
      <c r="C799" s="135"/>
      <c r="D799" s="135"/>
      <c r="E799" s="135"/>
      <c r="F799" s="135"/>
      <c r="G799" s="135"/>
      <c r="H799" s="135"/>
      <c r="I799" s="135"/>
      <c r="J799" s="135"/>
      <c r="K799" s="135"/>
      <c r="L799" s="135"/>
      <c r="M799" s="135"/>
      <c r="N799" s="135"/>
      <c r="O799" s="135"/>
      <c r="P799" s="135"/>
      <c r="Q799" s="135"/>
      <c r="R799" s="135"/>
      <c r="S799" s="135"/>
      <c r="T799" s="135"/>
      <c r="U799" s="135"/>
      <c r="V799" s="135"/>
      <c r="W799" s="135"/>
      <c r="X799" s="135"/>
      <c r="Y799" s="135"/>
      <c r="Z799" s="135"/>
      <c r="AA799" s="135"/>
      <c r="AB799" s="135"/>
      <c r="AC799" s="135"/>
      <c r="AD799" s="135"/>
      <c r="AE799" s="135"/>
      <c r="AF799" s="135"/>
      <c r="AG799" s="135"/>
      <c r="AH799" s="135"/>
      <c r="AI799" s="135"/>
      <c r="AJ799" s="135"/>
      <c r="AK799" s="135"/>
      <c r="AL799" s="135"/>
      <c r="AM799" s="135"/>
      <c r="AN799" s="135"/>
      <c r="AO799" s="135"/>
      <c r="AP799" s="135"/>
      <c r="AQ799" s="135"/>
      <c r="AR799" s="135"/>
      <c r="AS799" s="135"/>
      <c r="AT799" s="135"/>
      <c r="AU799" s="135"/>
      <c r="AV799" s="135"/>
      <c r="AW799" s="135"/>
      <c r="AX799" s="135"/>
      <c r="AY799" s="135"/>
      <c r="AZ799" s="135"/>
      <c r="BA799" s="135"/>
      <c r="BB799" s="135"/>
      <c r="BC799" s="135"/>
      <c r="BD799" s="135"/>
      <c r="BE799" s="135"/>
      <c r="BF799" s="135"/>
      <c r="BG799" s="135"/>
      <c r="BH799" s="135"/>
      <c r="BI799" s="135"/>
      <c r="BJ799" s="135"/>
      <c r="BK799" s="135"/>
      <c r="BL799" s="135"/>
      <c r="BM799" s="135"/>
      <c r="BN799" s="135"/>
      <c r="BO799" s="135"/>
      <c r="BP799" s="135"/>
      <c r="BQ799" s="135"/>
      <c r="BR799" s="135"/>
      <c r="BS799" s="135"/>
      <c r="BT799" s="135"/>
    </row>
    <row r="800" spans="1:72" s="196" customFormat="1">
      <c r="A800" s="135"/>
      <c r="B800" s="135"/>
      <c r="C800" s="135"/>
      <c r="D800" s="135"/>
      <c r="E800" s="135"/>
      <c r="F800" s="135"/>
      <c r="G800" s="135"/>
      <c r="H800" s="135"/>
      <c r="I800" s="135"/>
      <c r="J800" s="135"/>
      <c r="K800" s="135"/>
      <c r="L800" s="135"/>
      <c r="M800" s="135"/>
      <c r="N800" s="135"/>
      <c r="O800" s="135"/>
      <c r="P800" s="135"/>
      <c r="Q800" s="135"/>
      <c r="R800" s="135"/>
      <c r="S800" s="135"/>
      <c r="T800" s="135"/>
      <c r="U800" s="135"/>
      <c r="V800" s="135"/>
      <c r="W800" s="135"/>
      <c r="X800" s="135"/>
      <c r="Y800" s="135"/>
      <c r="Z800" s="135"/>
      <c r="AA800" s="135"/>
      <c r="AB800" s="135"/>
      <c r="AC800" s="135"/>
      <c r="AD800" s="135"/>
      <c r="AE800" s="135"/>
      <c r="AF800" s="135"/>
      <c r="AG800" s="135"/>
      <c r="AH800" s="135"/>
      <c r="AI800" s="135"/>
      <c r="AJ800" s="135"/>
      <c r="AK800" s="135"/>
      <c r="AL800" s="135"/>
      <c r="AM800" s="135"/>
      <c r="AN800" s="135"/>
      <c r="AO800" s="135"/>
      <c r="AP800" s="135"/>
      <c r="AQ800" s="135"/>
      <c r="AR800" s="135"/>
      <c r="AS800" s="135"/>
      <c r="AT800" s="135"/>
      <c r="AU800" s="135"/>
      <c r="AV800" s="135"/>
      <c r="AW800" s="135"/>
      <c r="AX800" s="135"/>
      <c r="AY800" s="135"/>
      <c r="AZ800" s="135"/>
      <c r="BA800" s="135"/>
      <c r="BB800" s="135"/>
      <c r="BC800" s="135"/>
      <c r="BD800" s="135"/>
      <c r="BE800" s="135"/>
      <c r="BF800" s="135"/>
      <c r="BG800" s="135"/>
      <c r="BH800" s="135"/>
      <c r="BI800" s="135"/>
      <c r="BJ800" s="135"/>
      <c r="BK800" s="135"/>
      <c r="BL800" s="135"/>
      <c r="BM800" s="135"/>
      <c r="BN800" s="135"/>
      <c r="BO800" s="135"/>
      <c r="BP800" s="135"/>
      <c r="BQ800" s="135"/>
      <c r="BR800" s="135"/>
      <c r="BS800" s="135"/>
      <c r="BT800" s="135"/>
    </row>
    <row r="801" spans="1:72" s="196" customFormat="1">
      <c r="A801" s="135"/>
      <c r="B801" s="135"/>
      <c r="C801" s="135"/>
      <c r="D801" s="135"/>
      <c r="E801" s="135"/>
      <c r="F801" s="135"/>
      <c r="G801" s="135"/>
      <c r="H801" s="135"/>
      <c r="I801" s="135"/>
      <c r="J801" s="135"/>
      <c r="K801" s="135"/>
      <c r="L801" s="135"/>
      <c r="M801" s="135"/>
      <c r="N801" s="135"/>
      <c r="O801" s="135"/>
      <c r="P801" s="135"/>
      <c r="Q801" s="135"/>
      <c r="R801" s="135"/>
      <c r="S801" s="135"/>
      <c r="T801" s="135"/>
      <c r="U801" s="135"/>
      <c r="V801" s="135"/>
      <c r="W801" s="135"/>
      <c r="X801" s="135"/>
      <c r="Y801" s="135"/>
      <c r="Z801" s="135"/>
      <c r="AA801" s="135"/>
      <c r="AB801" s="135"/>
      <c r="AC801" s="135"/>
      <c r="AD801" s="135"/>
      <c r="AE801" s="135"/>
      <c r="AF801" s="135"/>
      <c r="AG801" s="135"/>
      <c r="AH801" s="135"/>
      <c r="AI801" s="135"/>
      <c r="AJ801" s="135"/>
      <c r="AK801" s="135"/>
      <c r="AL801" s="135"/>
      <c r="AM801" s="135"/>
      <c r="AN801" s="135"/>
      <c r="AO801" s="135"/>
      <c r="AP801" s="135"/>
      <c r="AQ801" s="135"/>
      <c r="AR801" s="135"/>
      <c r="AS801" s="135"/>
      <c r="AT801" s="135"/>
      <c r="AU801" s="135"/>
      <c r="AV801" s="135"/>
      <c r="AW801" s="135"/>
      <c r="AX801" s="135"/>
      <c r="AY801" s="135"/>
      <c r="AZ801" s="135"/>
      <c r="BA801" s="135"/>
      <c r="BB801" s="135"/>
      <c r="BC801" s="135"/>
      <c r="BD801" s="135"/>
      <c r="BE801" s="135"/>
      <c r="BF801" s="135"/>
      <c r="BG801" s="135"/>
      <c r="BH801" s="135"/>
      <c r="BI801" s="135"/>
      <c r="BJ801" s="135"/>
      <c r="BK801" s="135"/>
      <c r="BL801" s="135"/>
      <c r="BM801" s="135"/>
      <c r="BN801" s="135"/>
      <c r="BO801" s="135"/>
      <c r="BP801" s="135"/>
      <c r="BQ801" s="135"/>
      <c r="BR801" s="135"/>
      <c r="BS801" s="135"/>
      <c r="BT801" s="135"/>
    </row>
    <row r="802" spans="1:72" s="196" customFormat="1">
      <c r="A802" s="135"/>
      <c r="B802" s="135"/>
      <c r="C802" s="135"/>
      <c r="D802" s="135"/>
      <c r="E802" s="135"/>
      <c r="F802" s="135"/>
      <c r="G802" s="135"/>
      <c r="H802" s="135"/>
      <c r="I802" s="135"/>
      <c r="J802" s="135"/>
      <c r="K802" s="135"/>
      <c r="L802" s="135"/>
      <c r="M802" s="135"/>
      <c r="N802" s="135"/>
      <c r="O802" s="135"/>
      <c r="P802" s="135"/>
      <c r="Q802" s="135"/>
      <c r="R802" s="135"/>
      <c r="S802" s="135"/>
      <c r="T802" s="135"/>
      <c r="U802" s="135"/>
      <c r="V802" s="135"/>
      <c r="W802" s="135"/>
      <c r="X802" s="135"/>
      <c r="Y802" s="135"/>
      <c r="Z802" s="135"/>
      <c r="AA802" s="135"/>
      <c r="AB802" s="135"/>
      <c r="AC802" s="135"/>
      <c r="AD802" s="135"/>
      <c r="AE802" s="135"/>
      <c r="AF802" s="135"/>
      <c r="AG802" s="135"/>
      <c r="AH802" s="135"/>
      <c r="AI802" s="135"/>
      <c r="AJ802" s="135"/>
      <c r="AK802" s="135"/>
      <c r="AL802" s="135"/>
      <c r="AM802" s="135"/>
      <c r="AN802" s="135"/>
      <c r="AO802" s="135"/>
      <c r="AP802" s="135"/>
      <c r="AQ802" s="135"/>
      <c r="AR802" s="135"/>
      <c r="AS802" s="135"/>
      <c r="AT802" s="135"/>
      <c r="AU802" s="135"/>
      <c r="AV802" s="135"/>
      <c r="AW802" s="135"/>
      <c r="AX802" s="135"/>
      <c r="AY802" s="135"/>
      <c r="AZ802" s="135"/>
      <c r="BA802" s="135"/>
      <c r="BB802" s="135"/>
      <c r="BC802" s="135"/>
      <c r="BD802" s="135"/>
      <c r="BE802" s="135"/>
      <c r="BF802" s="135"/>
      <c r="BG802" s="135"/>
      <c r="BH802" s="135"/>
      <c r="BI802" s="135"/>
      <c r="BJ802" s="135"/>
      <c r="BK802" s="135"/>
      <c r="BL802" s="135"/>
      <c r="BM802" s="135"/>
      <c r="BN802" s="135"/>
      <c r="BO802" s="135"/>
      <c r="BP802" s="135"/>
      <c r="BQ802" s="135"/>
      <c r="BR802" s="135"/>
      <c r="BS802" s="135"/>
      <c r="BT802" s="135"/>
    </row>
    <row r="803" spans="1:72" s="196" customFormat="1">
      <c r="A803" s="135"/>
      <c r="B803" s="135"/>
      <c r="C803" s="135"/>
      <c r="D803" s="135"/>
      <c r="E803" s="135"/>
      <c r="F803" s="135"/>
      <c r="G803" s="135"/>
      <c r="H803" s="135"/>
      <c r="I803" s="135"/>
      <c r="J803" s="135"/>
      <c r="K803" s="135"/>
      <c r="L803" s="135"/>
      <c r="M803" s="135"/>
      <c r="N803" s="135"/>
      <c r="O803" s="135"/>
      <c r="P803" s="135"/>
      <c r="Q803" s="135"/>
      <c r="R803" s="135"/>
      <c r="S803" s="135"/>
      <c r="T803" s="135"/>
      <c r="U803" s="135"/>
      <c r="V803" s="135"/>
      <c r="W803" s="135"/>
      <c r="X803" s="135"/>
      <c r="Y803" s="135"/>
      <c r="Z803" s="135"/>
      <c r="AA803" s="135"/>
      <c r="AB803" s="135"/>
      <c r="AC803" s="135"/>
      <c r="AD803" s="135"/>
      <c r="AE803" s="135"/>
      <c r="AF803" s="135"/>
      <c r="AG803" s="135"/>
      <c r="AH803" s="135"/>
      <c r="AI803" s="135"/>
      <c r="AJ803" s="135"/>
      <c r="AK803" s="135"/>
      <c r="AL803" s="135"/>
      <c r="AM803" s="135"/>
      <c r="AN803" s="135"/>
      <c r="AO803" s="135"/>
      <c r="AP803" s="135"/>
      <c r="AQ803" s="135"/>
      <c r="AR803" s="135"/>
      <c r="AS803" s="135"/>
      <c r="AT803" s="135"/>
      <c r="AU803" s="135"/>
      <c r="AV803" s="135"/>
      <c r="AW803" s="135"/>
      <c r="AX803" s="135"/>
      <c r="AY803" s="135"/>
      <c r="AZ803" s="135"/>
      <c r="BA803" s="135"/>
      <c r="BB803" s="135"/>
      <c r="BC803" s="135"/>
      <c r="BD803" s="135"/>
      <c r="BE803" s="135"/>
      <c r="BF803" s="135"/>
      <c r="BG803" s="135"/>
      <c r="BH803" s="135"/>
      <c r="BI803" s="135"/>
      <c r="BJ803" s="135"/>
      <c r="BK803" s="135"/>
      <c r="BL803" s="135"/>
      <c r="BM803" s="135"/>
      <c r="BN803" s="135"/>
      <c r="BO803" s="135"/>
      <c r="BP803" s="135"/>
      <c r="BQ803" s="135"/>
      <c r="BR803" s="135"/>
      <c r="BS803" s="135"/>
      <c r="BT803" s="135"/>
    </row>
    <row r="804" spans="1:72" s="196" customFormat="1">
      <c r="A804" s="135"/>
      <c r="B804" s="135"/>
      <c r="C804" s="135"/>
      <c r="D804" s="135"/>
      <c r="E804" s="135"/>
      <c r="F804" s="135"/>
      <c r="G804" s="135"/>
      <c r="H804" s="135"/>
      <c r="I804" s="135"/>
      <c r="J804" s="135"/>
      <c r="K804" s="135"/>
      <c r="L804" s="135"/>
      <c r="M804" s="135"/>
      <c r="N804" s="135"/>
      <c r="O804" s="135"/>
      <c r="P804" s="135"/>
      <c r="Q804" s="135"/>
      <c r="R804" s="135"/>
      <c r="S804" s="135"/>
      <c r="T804" s="135"/>
      <c r="U804" s="135"/>
      <c r="V804" s="135"/>
      <c r="W804" s="135"/>
      <c r="X804" s="135"/>
      <c r="Y804" s="135"/>
      <c r="Z804" s="135"/>
      <c r="AA804" s="135"/>
      <c r="AB804" s="135"/>
      <c r="AC804" s="135"/>
      <c r="AD804" s="135"/>
      <c r="AE804" s="135"/>
      <c r="AF804" s="135"/>
      <c r="AG804" s="135"/>
      <c r="AH804" s="135"/>
      <c r="AI804" s="135"/>
      <c r="AJ804" s="135"/>
      <c r="AK804" s="135"/>
      <c r="AL804" s="135"/>
      <c r="AM804" s="135"/>
      <c r="AN804" s="135"/>
      <c r="AO804" s="135"/>
      <c r="AP804" s="135"/>
      <c r="AQ804" s="135"/>
      <c r="AR804" s="135"/>
      <c r="AS804" s="135"/>
      <c r="AT804" s="135"/>
      <c r="AU804" s="135"/>
      <c r="AV804" s="135"/>
      <c r="AW804" s="135"/>
      <c r="AX804" s="135"/>
      <c r="AY804" s="135"/>
      <c r="AZ804" s="135"/>
      <c r="BA804" s="135"/>
      <c r="BB804" s="135"/>
      <c r="BC804" s="135"/>
      <c r="BD804" s="135"/>
      <c r="BE804" s="135"/>
      <c r="BF804" s="135"/>
      <c r="BG804" s="135"/>
      <c r="BH804" s="135"/>
      <c r="BI804" s="135"/>
      <c r="BJ804" s="135"/>
      <c r="BK804" s="135"/>
      <c r="BL804" s="135"/>
      <c r="BM804" s="135"/>
      <c r="BN804" s="135"/>
      <c r="BO804" s="135"/>
      <c r="BP804" s="135"/>
      <c r="BQ804" s="135"/>
      <c r="BR804" s="135"/>
      <c r="BS804" s="135"/>
      <c r="BT804" s="135"/>
    </row>
    <row r="805" spans="1:72" s="196" customFormat="1">
      <c r="A805" s="135"/>
      <c r="B805" s="135"/>
      <c r="C805" s="135"/>
      <c r="D805" s="135"/>
      <c r="E805" s="135"/>
      <c r="F805" s="135"/>
      <c r="G805" s="135"/>
      <c r="H805" s="135"/>
      <c r="I805" s="135"/>
      <c r="J805" s="135"/>
      <c r="K805" s="135"/>
      <c r="L805" s="135"/>
      <c r="M805" s="135"/>
      <c r="N805" s="135"/>
      <c r="O805" s="135"/>
      <c r="P805" s="135"/>
      <c r="Q805" s="135"/>
      <c r="R805" s="135"/>
      <c r="S805" s="135"/>
      <c r="T805" s="135"/>
      <c r="U805" s="135"/>
      <c r="V805" s="135"/>
      <c r="W805" s="135"/>
      <c r="X805" s="135"/>
      <c r="Y805" s="135"/>
      <c r="Z805" s="135"/>
      <c r="AA805" s="135"/>
      <c r="AB805" s="135"/>
      <c r="AC805" s="135"/>
      <c r="AD805" s="135"/>
      <c r="AE805" s="135"/>
      <c r="AF805" s="135"/>
      <c r="AG805" s="135"/>
      <c r="AH805" s="135"/>
      <c r="AI805" s="135"/>
      <c r="AJ805" s="135"/>
      <c r="AK805" s="135"/>
      <c r="AL805" s="135"/>
      <c r="AM805" s="135"/>
      <c r="AN805" s="135"/>
      <c r="AO805" s="135"/>
      <c r="AP805" s="135"/>
      <c r="AQ805" s="135"/>
      <c r="AR805" s="135"/>
      <c r="AS805" s="135"/>
      <c r="AT805" s="135"/>
      <c r="AU805" s="135"/>
      <c r="AV805" s="135"/>
      <c r="AW805" s="135"/>
      <c r="AX805" s="135"/>
      <c r="AY805" s="135"/>
      <c r="AZ805" s="135"/>
      <c r="BA805" s="135"/>
      <c r="BB805" s="135"/>
      <c r="BC805" s="135"/>
      <c r="BD805" s="135"/>
      <c r="BE805" s="135"/>
      <c r="BF805" s="135"/>
      <c r="BG805" s="135"/>
      <c r="BH805" s="135"/>
      <c r="BI805" s="135"/>
      <c r="BJ805" s="135"/>
      <c r="BK805" s="135"/>
      <c r="BL805" s="135"/>
      <c r="BM805" s="135"/>
      <c r="BN805" s="135"/>
      <c r="BO805" s="135"/>
      <c r="BP805" s="135"/>
      <c r="BQ805" s="135"/>
      <c r="BR805" s="135"/>
      <c r="BS805" s="135"/>
      <c r="BT805" s="135"/>
    </row>
    <row r="806" spans="1:72" s="196" customFormat="1">
      <c r="A806" s="135"/>
      <c r="B806" s="135"/>
      <c r="C806" s="135"/>
      <c r="D806" s="135"/>
      <c r="E806" s="135"/>
      <c r="F806" s="135"/>
      <c r="G806" s="135"/>
      <c r="H806" s="135"/>
      <c r="I806" s="135"/>
      <c r="J806" s="135"/>
      <c r="K806" s="135"/>
      <c r="L806" s="135"/>
      <c r="M806" s="135"/>
      <c r="N806" s="135"/>
      <c r="O806" s="135"/>
      <c r="P806" s="135"/>
      <c r="Q806" s="135"/>
      <c r="R806" s="135"/>
      <c r="S806" s="135"/>
      <c r="T806" s="135"/>
      <c r="U806" s="135"/>
      <c r="V806" s="135"/>
      <c r="W806" s="135"/>
      <c r="X806" s="135"/>
      <c r="Y806" s="135"/>
      <c r="Z806" s="135"/>
      <c r="AA806" s="135"/>
      <c r="AB806" s="135"/>
      <c r="AC806" s="135"/>
      <c r="AD806" s="135"/>
      <c r="AE806" s="135"/>
      <c r="AF806" s="135"/>
      <c r="AG806" s="135"/>
      <c r="AH806" s="135"/>
      <c r="AI806" s="135"/>
      <c r="AJ806" s="135"/>
      <c r="AK806" s="135"/>
      <c r="AL806" s="135"/>
      <c r="AM806" s="135"/>
      <c r="AN806" s="135"/>
      <c r="AO806" s="135"/>
      <c r="AP806" s="135"/>
      <c r="AQ806" s="135"/>
      <c r="AR806" s="135"/>
      <c r="AS806" s="135"/>
      <c r="AT806" s="135"/>
      <c r="AU806" s="135"/>
      <c r="AV806" s="135"/>
      <c r="AW806" s="135"/>
      <c r="AX806" s="135"/>
      <c r="AY806" s="135"/>
      <c r="AZ806" s="135"/>
      <c r="BA806" s="135"/>
      <c r="BB806" s="135"/>
      <c r="BC806" s="135"/>
      <c r="BD806" s="135"/>
      <c r="BE806" s="135"/>
      <c r="BF806" s="135"/>
      <c r="BG806" s="135"/>
      <c r="BH806" s="135"/>
      <c r="BI806" s="135"/>
      <c r="BJ806" s="135"/>
      <c r="BK806" s="135"/>
      <c r="BL806" s="135"/>
      <c r="BM806" s="135"/>
      <c r="BN806" s="135"/>
      <c r="BO806" s="135"/>
      <c r="BP806" s="135"/>
      <c r="BQ806" s="135"/>
      <c r="BR806" s="135"/>
      <c r="BS806" s="135"/>
      <c r="BT806" s="135"/>
    </row>
    <row r="807" spans="1:72" s="196" customFormat="1">
      <c r="A807" s="135"/>
      <c r="B807" s="135"/>
      <c r="C807" s="135"/>
      <c r="D807" s="135"/>
      <c r="E807" s="135"/>
      <c r="F807" s="135"/>
      <c r="G807" s="135"/>
      <c r="H807" s="135"/>
      <c r="I807" s="135"/>
      <c r="J807" s="135"/>
      <c r="K807" s="135"/>
      <c r="L807" s="135"/>
      <c r="M807" s="135"/>
      <c r="N807" s="135"/>
      <c r="O807" s="135"/>
      <c r="P807" s="135"/>
      <c r="Q807" s="135"/>
      <c r="R807" s="135"/>
      <c r="S807" s="135"/>
      <c r="T807" s="135"/>
      <c r="U807" s="135"/>
      <c r="V807" s="135"/>
      <c r="W807" s="135"/>
      <c r="X807" s="135"/>
      <c r="Y807" s="135"/>
      <c r="Z807" s="135"/>
      <c r="AA807" s="135"/>
      <c r="AB807" s="135"/>
      <c r="AC807" s="135"/>
      <c r="AD807" s="135"/>
      <c r="AE807" s="135"/>
      <c r="AF807" s="135"/>
      <c r="AG807" s="135"/>
      <c r="AH807" s="135"/>
      <c r="AI807" s="135"/>
      <c r="AJ807" s="135"/>
      <c r="AK807" s="135"/>
      <c r="AL807" s="135"/>
      <c r="AM807" s="135"/>
      <c r="AN807" s="135"/>
      <c r="AO807" s="135"/>
      <c r="AP807" s="135"/>
      <c r="AQ807" s="135"/>
      <c r="AR807" s="135"/>
      <c r="AS807" s="135"/>
      <c r="AT807" s="135"/>
      <c r="AU807" s="135"/>
      <c r="AV807" s="135"/>
      <c r="AW807" s="135"/>
      <c r="AX807" s="135"/>
      <c r="AY807" s="135"/>
      <c r="AZ807" s="135"/>
      <c r="BA807" s="135"/>
      <c r="BB807" s="135"/>
      <c r="BC807" s="135"/>
      <c r="BD807" s="135"/>
      <c r="BE807" s="135"/>
      <c r="BF807" s="135"/>
      <c r="BG807" s="135"/>
      <c r="BH807" s="135"/>
      <c r="BI807" s="135"/>
      <c r="BJ807" s="135"/>
      <c r="BK807" s="135"/>
      <c r="BL807" s="135"/>
      <c r="BM807" s="135"/>
      <c r="BN807" s="135"/>
      <c r="BO807" s="135"/>
      <c r="BP807" s="135"/>
      <c r="BQ807" s="135"/>
      <c r="BR807" s="135"/>
      <c r="BS807" s="135"/>
      <c r="BT807" s="135"/>
    </row>
    <row r="808" spans="1:72" s="196" customFormat="1">
      <c r="A808" s="135"/>
      <c r="B808" s="135"/>
      <c r="C808" s="135"/>
      <c r="D808" s="135"/>
      <c r="E808" s="135"/>
      <c r="F808" s="135"/>
      <c r="G808" s="135"/>
      <c r="H808" s="135"/>
      <c r="I808" s="135"/>
      <c r="J808" s="135"/>
      <c r="K808" s="135"/>
      <c r="L808" s="135"/>
      <c r="M808" s="135"/>
      <c r="N808" s="135"/>
      <c r="O808" s="135"/>
      <c r="P808" s="135"/>
      <c r="Q808" s="135"/>
      <c r="R808" s="135"/>
      <c r="S808" s="135"/>
      <c r="T808" s="135"/>
      <c r="U808" s="135"/>
      <c r="V808" s="135"/>
      <c r="W808" s="135"/>
      <c r="X808" s="135"/>
      <c r="Y808" s="135"/>
      <c r="Z808" s="135"/>
      <c r="AA808" s="135"/>
      <c r="AB808" s="135"/>
      <c r="AC808" s="135"/>
      <c r="AD808" s="135"/>
      <c r="AE808" s="135"/>
      <c r="AF808" s="135"/>
      <c r="AG808" s="135"/>
      <c r="AH808" s="135"/>
      <c r="AI808" s="135"/>
      <c r="AJ808" s="135"/>
      <c r="AK808" s="135"/>
      <c r="AL808" s="135"/>
      <c r="AM808" s="135"/>
      <c r="AN808" s="135"/>
      <c r="AO808" s="135"/>
      <c r="AP808" s="135"/>
      <c r="AQ808" s="135"/>
      <c r="AR808" s="135"/>
      <c r="AS808" s="135"/>
      <c r="AT808" s="135"/>
      <c r="AU808" s="135"/>
      <c r="AV808" s="135"/>
      <c r="AW808" s="135"/>
      <c r="AX808" s="135"/>
      <c r="AY808" s="135"/>
      <c r="AZ808" s="135"/>
      <c r="BA808" s="135"/>
      <c r="BB808" s="135"/>
      <c r="BC808" s="135"/>
      <c r="BD808" s="135"/>
      <c r="BE808" s="135"/>
      <c r="BF808" s="135"/>
      <c r="BG808" s="135"/>
      <c r="BH808" s="135"/>
      <c r="BI808" s="135"/>
      <c r="BJ808" s="135"/>
      <c r="BK808" s="135"/>
      <c r="BL808" s="135"/>
      <c r="BM808" s="135"/>
      <c r="BN808" s="135"/>
      <c r="BO808" s="135"/>
      <c r="BP808" s="135"/>
      <c r="BQ808" s="135"/>
      <c r="BR808" s="135"/>
      <c r="BS808" s="135"/>
      <c r="BT808" s="135"/>
    </row>
    <row r="809" spans="1:72">
      <c r="K809" s="135"/>
      <c r="L809" s="135"/>
      <c r="M809" s="135"/>
      <c r="N809" s="135"/>
      <c r="O809" s="135"/>
      <c r="P809" s="135"/>
      <c r="Q809" s="135"/>
      <c r="R809" s="135"/>
      <c r="S809" s="135"/>
      <c r="T809" s="135"/>
      <c r="U809" s="135"/>
      <c r="V809" s="135"/>
      <c r="W809" s="135"/>
      <c r="X809" s="135"/>
      <c r="Y809" s="135"/>
      <c r="Z809" s="135"/>
      <c r="AA809" s="135"/>
      <c r="AB809" s="135"/>
      <c r="AC809" s="135"/>
      <c r="AD809" s="135"/>
      <c r="AE809" s="135"/>
      <c r="AF809" s="135"/>
      <c r="AG809" s="135"/>
      <c r="AH809" s="135"/>
      <c r="AI809" s="135"/>
      <c r="AJ809" s="135"/>
      <c r="AK809" s="135"/>
      <c r="AL809" s="135"/>
    </row>
    <row r="810" spans="1:72">
      <c r="K810" s="135"/>
      <c r="L810" s="135"/>
      <c r="M810" s="135"/>
      <c r="N810" s="135"/>
      <c r="O810" s="135"/>
      <c r="P810" s="135"/>
      <c r="Q810" s="135"/>
      <c r="R810" s="135"/>
      <c r="S810" s="135"/>
      <c r="T810" s="135"/>
      <c r="U810" s="135"/>
      <c r="V810" s="135"/>
      <c r="W810" s="135"/>
      <c r="X810" s="135"/>
      <c r="Y810" s="135"/>
      <c r="Z810" s="135"/>
      <c r="AA810" s="135"/>
      <c r="AB810" s="135"/>
      <c r="AC810" s="135"/>
      <c r="AD810" s="135"/>
      <c r="AE810" s="135"/>
      <c r="AF810" s="135"/>
      <c r="AG810" s="135"/>
      <c r="AH810" s="135"/>
      <c r="AI810" s="135"/>
      <c r="AJ810" s="135"/>
      <c r="AK810" s="135"/>
      <c r="AL810" s="135"/>
    </row>
    <row r="811" spans="1:72">
      <c r="K811" s="135"/>
      <c r="L811" s="135"/>
      <c r="M811" s="135"/>
      <c r="N811" s="135"/>
      <c r="O811" s="135"/>
      <c r="P811" s="135"/>
      <c r="Q811" s="135"/>
      <c r="R811" s="135"/>
      <c r="S811" s="135"/>
      <c r="T811" s="135"/>
      <c r="U811" s="135"/>
      <c r="V811" s="135"/>
      <c r="W811" s="135"/>
      <c r="X811" s="135"/>
      <c r="Y811" s="135"/>
      <c r="Z811" s="135"/>
      <c r="AA811" s="135"/>
      <c r="AB811" s="135"/>
      <c r="AC811" s="135"/>
      <c r="AD811" s="135"/>
      <c r="AE811" s="135"/>
      <c r="AF811" s="135"/>
      <c r="AG811" s="135"/>
      <c r="AH811" s="135"/>
      <c r="AI811" s="135"/>
      <c r="AJ811" s="135"/>
      <c r="AK811" s="135"/>
      <c r="AL811" s="135"/>
    </row>
    <row r="812" spans="1:72">
      <c r="K812" s="135"/>
      <c r="L812" s="135"/>
      <c r="M812" s="135"/>
      <c r="N812" s="135"/>
      <c r="O812" s="135"/>
      <c r="P812" s="135"/>
      <c r="Q812" s="135"/>
      <c r="R812" s="135"/>
      <c r="S812" s="135"/>
      <c r="T812" s="135"/>
      <c r="U812" s="135"/>
      <c r="V812" s="135"/>
      <c r="W812" s="135"/>
      <c r="X812" s="135"/>
      <c r="Y812" s="135"/>
      <c r="Z812" s="135"/>
      <c r="AA812" s="135"/>
      <c r="AB812" s="135"/>
      <c r="AC812" s="135"/>
      <c r="AD812" s="135"/>
      <c r="AE812" s="135"/>
      <c r="AF812" s="135"/>
      <c r="AG812" s="135"/>
      <c r="AH812" s="135"/>
      <c r="AI812" s="135"/>
      <c r="AJ812" s="135"/>
      <c r="AK812" s="135"/>
      <c r="AL812" s="135"/>
    </row>
    <row r="813" spans="1:72">
      <c r="K813" s="135"/>
      <c r="L813" s="135"/>
      <c r="M813" s="135"/>
      <c r="N813" s="135"/>
      <c r="O813" s="135"/>
      <c r="P813" s="135"/>
      <c r="Q813" s="135"/>
      <c r="R813" s="135"/>
      <c r="S813" s="135"/>
      <c r="T813" s="135"/>
      <c r="U813" s="135"/>
      <c r="V813" s="135"/>
      <c r="W813" s="135"/>
      <c r="X813" s="135"/>
      <c r="Y813" s="135"/>
      <c r="Z813" s="135"/>
      <c r="AA813" s="135"/>
      <c r="AB813" s="135"/>
      <c r="AC813" s="135"/>
      <c r="AD813" s="135"/>
      <c r="AE813" s="135"/>
      <c r="AF813" s="135"/>
      <c r="AG813" s="135"/>
      <c r="AH813" s="135"/>
      <c r="AI813" s="135"/>
      <c r="AJ813" s="135"/>
      <c r="AK813" s="135"/>
      <c r="AL813" s="135"/>
    </row>
    <row r="814" spans="1:72">
      <c r="K814" s="135"/>
      <c r="L814" s="135"/>
      <c r="M814" s="135"/>
      <c r="N814" s="135"/>
      <c r="O814" s="135"/>
      <c r="P814" s="135"/>
      <c r="Q814" s="135"/>
      <c r="R814" s="135"/>
      <c r="S814" s="135"/>
      <c r="T814" s="135"/>
      <c r="U814" s="135"/>
      <c r="V814" s="135"/>
      <c r="W814" s="135"/>
      <c r="X814" s="135"/>
      <c r="Y814" s="135"/>
      <c r="Z814" s="135"/>
      <c r="AA814" s="135"/>
      <c r="AB814" s="135"/>
      <c r="AC814" s="135"/>
      <c r="AD814" s="135"/>
      <c r="AE814" s="135"/>
      <c r="AF814" s="135"/>
      <c r="AG814" s="135"/>
      <c r="AH814" s="135"/>
      <c r="AI814" s="135"/>
      <c r="AJ814" s="135"/>
      <c r="AK814" s="135"/>
      <c r="AL814" s="135"/>
    </row>
    <row r="815" spans="1:72">
      <c r="K815" s="135"/>
      <c r="L815" s="135"/>
      <c r="M815" s="135"/>
      <c r="N815" s="135"/>
      <c r="O815" s="135"/>
      <c r="P815" s="135"/>
      <c r="Q815" s="135"/>
      <c r="R815" s="135"/>
      <c r="S815" s="135"/>
      <c r="T815" s="135"/>
      <c r="U815" s="135"/>
      <c r="V815" s="135"/>
      <c r="W815" s="135"/>
      <c r="X815" s="135"/>
      <c r="Y815" s="135"/>
      <c r="Z815" s="135"/>
      <c r="AA815" s="135"/>
      <c r="AB815" s="135"/>
      <c r="AC815" s="135"/>
      <c r="AD815" s="135"/>
      <c r="AE815" s="135"/>
      <c r="AF815" s="135"/>
      <c r="AG815" s="135"/>
      <c r="AH815" s="135"/>
      <c r="AI815" s="135"/>
      <c r="AJ815" s="135"/>
      <c r="AK815" s="135"/>
      <c r="AL815" s="135"/>
    </row>
    <row r="816" spans="1:72">
      <c r="K816" s="135"/>
      <c r="L816" s="135"/>
      <c r="M816" s="135"/>
      <c r="N816" s="135"/>
      <c r="O816" s="135"/>
      <c r="P816" s="135"/>
      <c r="Q816" s="135"/>
      <c r="R816" s="135"/>
      <c r="S816" s="135"/>
      <c r="T816" s="135"/>
      <c r="U816" s="135"/>
      <c r="V816" s="135"/>
      <c r="W816" s="135"/>
      <c r="X816" s="135"/>
      <c r="Y816" s="135"/>
      <c r="Z816" s="135"/>
      <c r="AA816" s="135"/>
      <c r="AB816" s="135"/>
      <c r="AC816" s="135"/>
      <c r="AD816" s="135"/>
      <c r="AE816" s="135"/>
      <c r="AF816" s="135"/>
      <c r="AG816" s="135"/>
      <c r="AH816" s="135"/>
      <c r="AI816" s="135"/>
      <c r="AJ816" s="135"/>
      <c r="AK816" s="135"/>
      <c r="AL816" s="135"/>
    </row>
    <row r="817" spans="11:38">
      <c r="K817" s="135"/>
      <c r="L817" s="135"/>
      <c r="M817" s="135"/>
      <c r="N817" s="135"/>
      <c r="O817" s="135"/>
      <c r="P817" s="135"/>
      <c r="Q817" s="135"/>
      <c r="R817" s="135"/>
      <c r="S817" s="135"/>
      <c r="T817" s="135"/>
      <c r="U817" s="135"/>
      <c r="V817" s="135"/>
      <c r="W817" s="135"/>
      <c r="X817" s="135"/>
      <c r="Y817" s="135"/>
      <c r="Z817" s="135"/>
      <c r="AA817" s="135"/>
      <c r="AB817" s="135"/>
      <c r="AC817" s="135"/>
      <c r="AD817" s="135"/>
      <c r="AE817" s="135"/>
      <c r="AF817" s="135"/>
      <c r="AG817" s="135"/>
      <c r="AH817" s="135"/>
      <c r="AI817" s="135"/>
      <c r="AJ817" s="135"/>
      <c r="AK817" s="135"/>
      <c r="AL817" s="135"/>
    </row>
    <row r="818" spans="11:38">
      <c r="K818" s="135"/>
      <c r="L818" s="135"/>
      <c r="M818" s="135"/>
      <c r="N818" s="135"/>
      <c r="O818" s="135"/>
      <c r="P818" s="135"/>
      <c r="Q818" s="135"/>
      <c r="R818" s="135"/>
      <c r="S818" s="135"/>
      <c r="T818" s="135"/>
      <c r="U818" s="135"/>
      <c r="V818" s="135"/>
      <c r="W818" s="135"/>
      <c r="X818" s="135"/>
      <c r="Y818" s="135"/>
      <c r="Z818" s="135"/>
      <c r="AA818" s="135"/>
      <c r="AB818" s="135"/>
      <c r="AC818" s="135"/>
      <c r="AD818" s="135"/>
      <c r="AE818" s="135"/>
      <c r="AF818" s="135"/>
      <c r="AG818" s="135"/>
      <c r="AH818" s="135"/>
      <c r="AI818" s="135"/>
      <c r="AJ818" s="135"/>
      <c r="AK818" s="135"/>
      <c r="AL818" s="135"/>
    </row>
    <row r="819" spans="11:38">
      <c r="K819" s="135"/>
      <c r="L819" s="135"/>
      <c r="M819" s="135"/>
      <c r="N819" s="135"/>
      <c r="O819" s="135"/>
      <c r="P819" s="135"/>
      <c r="Q819" s="135"/>
      <c r="R819" s="135"/>
      <c r="S819" s="135"/>
      <c r="T819" s="135"/>
      <c r="U819" s="135"/>
      <c r="V819" s="135"/>
      <c r="W819" s="135"/>
      <c r="X819" s="135"/>
      <c r="Y819" s="135"/>
      <c r="Z819" s="135"/>
      <c r="AA819" s="135"/>
      <c r="AB819" s="135"/>
      <c r="AC819" s="135"/>
      <c r="AD819" s="135"/>
      <c r="AE819" s="135"/>
      <c r="AF819" s="135"/>
      <c r="AG819" s="135"/>
      <c r="AH819" s="135"/>
      <c r="AI819" s="135"/>
      <c r="AJ819" s="135"/>
      <c r="AK819" s="135"/>
      <c r="AL819" s="135"/>
    </row>
    <row r="820" spans="11:38">
      <c r="K820" s="135"/>
      <c r="L820" s="135"/>
      <c r="M820" s="135"/>
      <c r="N820" s="135"/>
      <c r="O820" s="135"/>
      <c r="P820" s="135"/>
      <c r="Q820" s="135"/>
      <c r="R820" s="135"/>
      <c r="S820" s="135"/>
      <c r="T820" s="135"/>
      <c r="U820" s="135"/>
      <c r="V820" s="135"/>
      <c r="W820" s="135"/>
      <c r="X820" s="135"/>
      <c r="Y820" s="135"/>
      <c r="Z820" s="135"/>
      <c r="AA820" s="135"/>
      <c r="AB820" s="135"/>
      <c r="AC820" s="135"/>
      <c r="AD820" s="135"/>
      <c r="AE820" s="135"/>
      <c r="AF820" s="135"/>
      <c r="AG820" s="135"/>
      <c r="AH820" s="135"/>
      <c r="AI820" s="135"/>
      <c r="AJ820" s="135"/>
      <c r="AK820" s="135"/>
      <c r="AL820" s="135"/>
    </row>
    <row r="821" spans="11:38">
      <c r="K821" s="135"/>
      <c r="L821" s="135"/>
      <c r="M821" s="135"/>
      <c r="N821" s="135"/>
      <c r="O821" s="135"/>
      <c r="P821" s="135"/>
      <c r="Q821" s="135"/>
      <c r="R821" s="135"/>
      <c r="S821" s="135"/>
      <c r="T821" s="135"/>
      <c r="U821" s="135"/>
      <c r="V821" s="135"/>
      <c r="W821" s="135"/>
      <c r="X821" s="135"/>
      <c r="Y821" s="135"/>
      <c r="Z821" s="135"/>
      <c r="AA821" s="135"/>
      <c r="AB821" s="135"/>
      <c r="AC821" s="135"/>
      <c r="AD821" s="135"/>
      <c r="AE821" s="135"/>
      <c r="AF821" s="135"/>
      <c r="AG821" s="135"/>
      <c r="AH821" s="135"/>
      <c r="AI821" s="135"/>
      <c r="AJ821" s="135"/>
      <c r="AK821" s="135"/>
      <c r="AL821" s="135"/>
    </row>
    <row r="822" spans="11:38">
      <c r="K822" s="135"/>
      <c r="L822" s="135"/>
      <c r="M822" s="135"/>
      <c r="N822" s="135"/>
      <c r="O822" s="135"/>
      <c r="P822" s="135"/>
      <c r="Q822" s="135"/>
      <c r="R822" s="135"/>
      <c r="S822" s="135"/>
      <c r="T822" s="135"/>
      <c r="U822" s="135"/>
      <c r="V822" s="135"/>
      <c r="W822" s="135"/>
      <c r="X822" s="135"/>
      <c r="Y822" s="135"/>
      <c r="Z822" s="135"/>
      <c r="AA822" s="135"/>
      <c r="AB822" s="135"/>
      <c r="AC822" s="135"/>
      <c r="AD822" s="135"/>
      <c r="AE822" s="135"/>
      <c r="AF822" s="135"/>
      <c r="AG822" s="135"/>
      <c r="AH822" s="135"/>
      <c r="AI822" s="135"/>
      <c r="AJ822" s="135"/>
      <c r="AK822" s="135"/>
      <c r="AL822" s="135"/>
    </row>
    <row r="823" spans="11:38">
      <c r="K823" s="135"/>
      <c r="L823" s="135"/>
      <c r="M823" s="135"/>
      <c r="N823" s="135"/>
      <c r="O823" s="135"/>
      <c r="P823" s="135"/>
      <c r="Q823" s="135"/>
      <c r="R823" s="135"/>
      <c r="S823" s="135"/>
      <c r="T823" s="135"/>
      <c r="U823" s="135"/>
      <c r="V823" s="135"/>
      <c r="W823" s="135"/>
      <c r="X823" s="135"/>
      <c r="Y823" s="135"/>
      <c r="Z823" s="135"/>
      <c r="AA823" s="135"/>
      <c r="AB823" s="135"/>
      <c r="AC823" s="135"/>
      <c r="AD823" s="135"/>
      <c r="AE823" s="135"/>
      <c r="AF823" s="135"/>
      <c r="AG823" s="135"/>
      <c r="AH823" s="135"/>
      <c r="AI823" s="135"/>
      <c r="AJ823" s="135"/>
      <c r="AK823" s="135"/>
      <c r="AL823" s="135"/>
    </row>
    <row r="824" spans="11:38">
      <c r="K824" s="135"/>
      <c r="L824" s="135"/>
      <c r="M824" s="135"/>
      <c r="N824" s="135"/>
      <c r="O824" s="135"/>
      <c r="P824" s="135"/>
      <c r="Q824" s="135"/>
      <c r="R824" s="135"/>
      <c r="S824" s="135"/>
      <c r="T824" s="135"/>
      <c r="U824" s="135"/>
      <c r="V824" s="135"/>
      <c r="W824" s="135"/>
      <c r="X824" s="135"/>
      <c r="Y824" s="135"/>
      <c r="Z824" s="135"/>
      <c r="AA824" s="135"/>
      <c r="AB824" s="135"/>
      <c r="AC824" s="135"/>
      <c r="AD824" s="135"/>
      <c r="AE824" s="135"/>
      <c r="AF824" s="135"/>
      <c r="AG824" s="135"/>
      <c r="AH824" s="135"/>
      <c r="AI824" s="135"/>
      <c r="AJ824" s="135"/>
      <c r="AK824" s="135"/>
      <c r="AL824" s="135"/>
    </row>
    <row r="825" spans="11:38">
      <c r="K825" s="135"/>
      <c r="L825" s="135"/>
      <c r="M825" s="135"/>
      <c r="N825" s="135"/>
      <c r="O825" s="135"/>
      <c r="P825" s="135"/>
      <c r="Q825" s="135"/>
      <c r="R825" s="135"/>
      <c r="S825" s="135"/>
      <c r="T825" s="135"/>
      <c r="U825" s="135"/>
      <c r="V825" s="135"/>
      <c r="W825" s="135"/>
      <c r="X825" s="135"/>
      <c r="Y825" s="135"/>
      <c r="Z825" s="135"/>
      <c r="AA825" s="135"/>
      <c r="AB825" s="135"/>
      <c r="AC825" s="135"/>
      <c r="AD825" s="135"/>
      <c r="AE825" s="135"/>
      <c r="AF825" s="135"/>
      <c r="AG825" s="135"/>
      <c r="AH825" s="135"/>
      <c r="AI825" s="135"/>
      <c r="AJ825" s="135"/>
      <c r="AK825" s="135"/>
      <c r="AL825" s="135"/>
    </row>
    <row r="826" spans="11:38">
      <c r="K826" s="135"/>
      <c r="L826" s="135"/>
      <c r="M826" s="135"/>
      <c r="N826" s="135"/>
      <c r="O826" s="135"/>
      <c r="P826" s="135"/>
      <c r="Q826" s="135"/>
      <c r="R826" s="135"/>
      <c r="S826" s="135"/>
      <c r="T826" s="135"/>
      <c r="U826" s="135"/>
      <c r="V826" s="135"/>
      <c r="W826" s="135"/>
      <c r="X826" s="135"/>
      <c r="Y826" s="135"/>
      <c r="Z826" s="135"/>
      <c r="AA826" s="135"/>
      <c r="AB826" s="135"/>
      <c r="AC826" s="135"/>
      <c r="AD826" s="135"/>
      <c r="AE826" s="135"/>
      <c r="AF826" s="135"/>
      <c r="AG826" s="135"/>
      <c r="AH826" s="135"/>
      <c r="AI826" s="135"/>
      <c r="AJ826" s="135"/>
      <c r="AK826" s="135"/>
      <c r="AL826" s="135"/>
    </row>
    <row r="827" spans="11:38">
      <c r="K827" s="135"/>
      <c r="L827" s="135"/>
      <c r="M827" s="135"/>
      <c r="N827" s="135"/>
      <c r="O827" s="135"/>
      <c r="P827" s="135"/>
      <c r="Q827" s="135"/>
      <c r="R827" s="135"/>
      <c r="S827" s="135"/>
      <c r="T827" s="135"/>
      <c r="U827" s="135"/>
      <c r="V827" s="135"/>
      <c r="W827" s="135"/>
      <c r="X827" s="135"/>
      <c r="Y827" s="135"/>
      <c r="Z827" s="135"/>
      <c r="AA827" s="135"/>
      <c r="AB827" s="135"/>
      <c r="AC827" s="135"/>
      <c r="AD827" s="135"/>
      <c r="AE827" s="135"/>
      <c r="AF827" s="135"/>
      <c r="AG827" s="135"/>
      <c r="AH827" s="135"/>
      <c r="AI827" s="135"/>
      <c r="AJ827" s="135"/>
      <c r="AK827" s="135"/>
      <c r="AL827" s="135"/>
    </row>
    <row r="828" spans="11:38">
      <c r="K828" s="135"/>
      <c r="L828" s="135"/>
      <c r="M828" s="135"/>
      <c r="N828" s="135"/>
      <c r="O828" s="135"/>
      <c r="P828" s="135"/>
      <c r="Q828" s="135"/>
      <c r="R828" s="135"/>
      <c r="S828" s="135"/>
      <c r="T828" s="135"/>
      <c r="U828" s="135"/>
      <c r="V828" s="135"/>
      <c r="W828" s="135"/>
      <c r="X828" s="135"/>
      <c r="Y828" s="135"/>
      <c r="Z828" s="135"/>
      <c r="AA828" s="135"/>
      <c r="AB828" s="135"/>
      <c r="AC828" s="135"/>
      <c r="AD828" s="135"/>
      <c r="AE828" s="135"/>
      <c r="AF828" s="135"/>
      <c r="AG828" s="135"/>
      <c r="AH828" s="135"/>
      <c r="AI828" s="135"/>
      <c r="AJ828" s="135"/>
      <c r="AK828" s="135"/>
      <c r="AL828" s="135"/>
    </row>
    <row r="829" spans="11:38">
      <c r="K829" s="135"/>
      <c r="L829" s="135"/>
      <c r="M829" s="135"/>
      <c r="N829" s="135"/>
      <c r="O829" s="135"/>
      <c r="P829" s="135"/>
      <c r="Q829" s="135"/>
      <c r="R829" s="135"/>
      <c r="S829" s="135"/>
      <c r="T829" s="135"/>
      <c r="U829" s="135"/>
      <c r="V829" s="135"/>
      <c r="W829" s="135"/>
      <c r="X829" s="135"/>
      <c r="Y829" s="135"/>
      <c r="Z829" s="135"/>
      <c r="AA829" s="135"/>
      <c r="AB829" s="135"/>
      <c r="AC829" s="135"/>
      <c r="AD829" s="135"/>
      <c r="AE829" s="135"/>
      <c r="AF829" s="135"/>
      <c r="AG829" s="135"/>
      <c r="AH829" s="135"/>
      <c r="AI829" s="135"/>
      <c r="AJ829" s="135"/>
      <c r="AK829" s="135"/>
      <c r="AL829" s="135"/>
    </row>
    <row r="830" spans="11:38">
      <c r="K830" s="135"/>
      <c r="L830" s="135"/>
      <c r="M830" s="135"/>
      <c r="N830" s="135"/>
      <c r="O830" s="135"/>
      <c r="P830" s="135"/>
      <c r="Q830" s="135"/>
      <c r="R830" s="135"/>
      <c r="S830" s="135"/>
      <c r="T830" s="135"/>
      <c r="U830" s="135"/>
      <c r="V830" s="135"/>
      <c r="W830" s="135"/>
      <c r="X830" s="135"/>
      <c r="Y830" s="135"/>
      <c r="Z830" s="135"/>
      <c r="AA830" s="135"/>
      <c r="AB830" s="135"/>
      <c r="AC830" s="135"/>
      <c r="AD830" s="135"/>
      <c r="AE830" s="135"/>
      <c r="AF830" s="135"/>
      <c r="AG830" s="135"/>
      <c r="AH830" s="135"/>
      <c r="AI830" s="135"/>
      <c r="AJ830" s="135"/>
      <c r="AK830" s="135"/>
      <c r="AL830" s="135"/>
    </row>
    <row r="831" spans="11:38">
      <c r="K831" s="135"/>
      <c r="L831" s="135"/>
      <c r="M831" s="135"/>
      <c r="N831" s="135"/>
      <c r="O831" s="135"/>
      <c r="P831" s="135"/>
      <c r="Q831" s="135"/>
      <c r="R831" s="135"/>
      <c r="S831" s="135"/>
      <c r="T831" s="135"/>
      <c r="U831" s="135"/>
      <c r="V831" s="135"/>
      <c r="W831" s="135"/>
      <c r="X831" s="135"/>
      <c r="Y831" s="135"/>
      <c r="Z831" s="135"/>
      <c r="AA831" s="135"/>
      <c r="AB831" s="135"/>
      <c r="AC831" s="135"/>
      <c r="AD831" s="135"/>
      <c r="AE831" s="135"/>
      <c r="AF831" s="135"/>
      <c r="AG831" s="135"/>
      <c r="AH831" s="135"/>
      <c r="AI831" s="135"/>
      <c r="AJ831" s="135"/>
      <c r="AK831" s="135"/>
      <c r="AL831" s="135"/>
    </row>
    <row r="832" spans="11:38">
      <c r="K832" s="135"/>
      <c r="L832" s="135"/>
      <c r="M832" s="135"/>
      <c r="N832" s="135"/>
      <c r="O832" s="135"/>
      <c r="P832" s="135"/>
      <c r="Q832" s="135"/>
      <c r="R832" s="135"/>
      <c r="S832" s="135"/>
      <c r="T832" s="135"/>
      <c r="U832" s="135"/>
      <c r="V832" s="135"/>
      <c r="W832" s="135"/>
      <c r="X832" s="135"/>
      <c r="Y832" s="135"/>
      <c r="Z832" s="135"/>
      <c r="AA832" s="135"/>
      <c r="AB832" s="135"/>
      <c r="AC832" s="135"/>
      <c r="AD832" s="135"/>
      <c r="AE832" s="135"/>
      <c r="AF832" s="135"/>
      <c r="AG832" s="135"/>
      <c r="AH832" s="135"/>
      <c r="AI832" s="135"/>
      <c r="AJ832" s="135"/>
      <c r="AK832" s="135"/>
      <c r="AL832" s="135"/>
    </row>
    <row r="833" spans="11:38">
      <c r="K833" s="135"/>
      <c r="L833" s="135"/>
      <c r="M833" s="135"/>
      <c r="N833" s="135"/>
      <c r="O833" s="135"/>
      <c r="P833" s="135"/>
      <c r="Q833" s="135"/>
      <c r="R833" s="135"/>
      <c r="S833" s="135"/>
      <c r="T833" s="135"/>
      <c r="U833" s="135"/>
      <c r="V833" s="135"/>
      <c r="W833" s="135"/>
      <c r="X833" s="135"/>
      <c r="Y833" s="135"/>
      <c r="Z833" s="135"/>
      <c r="AA833" s="135"/>
      <c r="AB833" s="135"/>
      <c r="AC833" s="135"/>
      <c r="AD833" s="135"/>
      <c r="AE833" s="135"/>
      <c r="AF833" s="135"/>
      <c r="AG833" s="135"/>
      <c r="AH833" s="135"/>
      <c r="AI833" s="135"/>
      <c r="AJ833" s="135"/>
      <c r="AK833" s="135"/>
      <c r="AL833" s="135"/>
    </row>
    <row r="834" spans="11:38">
      <c r="K834" s="135"/>
      <c r="L834" s="135"/>
      <c r="M834" s="135"/>
      <c r="N834" s="135"/>
      <c r="O834" s="135"/>
      <c r="P834" s="135"/>
      <c r="Q834" s="135"/>
      <c r="R834" s="135"/>
      <c r="S834" s="135"/>
      <c r="T834" s="135"/>
      <c r="U834" s="135"/>
      <c r="V834" s="135"/>
      <c r="W834" s="135"/>
      <c r="X834" s="135"/>
      <c r="Y834" s="135"/>
      <c r="Z834" s="135"/>
      <c r="AA834" s="135"/>
      <c r="AB834" s="135"/>
      <c r="AC834" s="135"/>
      <c r="AD834" s="135"/>
      <c r="AE834" s="135"/>
      <c r="AF834" s="135"/>
      <c r="AG834" s="135"/>
      <c r="AH834" s="135"/>
      <c r="AI834" s="135"/>
      <c r="AJ834" s="135"/>
      <c r="AK834" s="135"/>
      <c r="AL834" s="135"/>
    </row>
    <row r="835" spans="11:38">
      <c r="K835" s="135"/>
      <c r="L835" s="135"/>
      <c r="M835" s="135"/>
      <c r="N835" s="135"/>
      <c r="O835" s="135"/>
      <c r="P835" s="135"/>
      <c r="Q835" s="135"/>
      <c r="R835" s="135"/>
      <c r="S835" s="135"/>
      <c r="T835" s="135"/>
      <c r="U835" s="135"/>
      <c r="V835" s="135"/>
      <c r="W835" s="135"/>
      <c r="X835" s="135"/>
      <c r="Y835" s="135"/>
      <c r="Z835" s="135"/>
      <c r="AA835" s="135"/>
      <c r="AB835" s="135"/>
      <c r="AC835" s="135"/>
      <c r="AD835" s="135"/>
      <c r="AE835" s="135"/>
      <c r="AF835" s="135"/>
      <c r="AG835" s="135"/>
      <c r="AH835" s="135"/>
      <c r="AI835" s="135"/>
      <c r="AJ835" s="135"/>
      <c r="AK835" s="135"/>
      <c r="AL835" s="135"/>
    </row>
    <row r="836" spans="11:38">
      <c r="K836" s="135"/>
      <c r="L836" s="135"/>
      <c r="M836" s="135"/>
      <c r="N836" s="135"/>
      <c r="O836" s="135"/>
      <c r="P836" s="135"/>
      <c r="Q836" s="135"/>
      <c r="R836" s="135"/>
      <c r="S836" s="135"/>
      <c r="T836" s="135"/>
      <c r="U836" s="135"/>
      <c r="V836" s="135"/>
      <c r="W836" s="135"/>
      <c r="X836" s="135"/>
      <c r="Y836" s="135"/>
      <c r="Z836" s="135"/>
      <c r="AA836" s="135"/>
      <c r="AB836" s="135"/>
      <c r="AC836" s="135"/>
      <c r="AD836" s="135"/>
      <c r="AE836" s="135"/>
      <c r="AF836" s="135"/>
      <c r="AG836" s="135"/>
      <c r="AH836" s="135"/>
      <c r="AI836" s="135"/>
      <c r="AJ836" s="135"/>
      <c r="AK836" s="135"/>
      <c r="AL836" s="135"/>
    </row>
    <row r="837" spans="11:38">
      <c r="K837" s="135"/>
      <c r="L837" s="135"/>
      <c r="M837" s="135"/>
      <c r="N837" s="135"/>
      <c r="O837" s="135"/>
      <c r="P837" s="135"/>
      <c r="Q837" s="135"/>
      <c r="R837" s="135"/>
      <c r="S837" s="135"/>
      <c r="T837" s="135"/>
      <c r="U837" s="135"/>
      <c r="V837" s="135"/>
      <c r="W837" s="135"/>
      <c r="X837" s="135"/>
      <c r="Y837" s="135"/>
      <c r="Z837" s="135"/>
      <c r="AA837" s="135"/>
      <c r="AB837" s="135"/>
      <c r="AC837" s="135"/>
      <c r="AD837" s="135"/>
      <c r="AE837" s="135"/>
      <c r="AF837" s="135"/>
      <c r="AG837" s="135"/>
      <c r="AH837" s="135"/>
      <c r="AI837" s="135"/>
      <c r="AJ837" s="135"/>
      <c r="AK837" s="135"/>
      <c r="AL837" s="135"/>
    </row>
    <row r="838" spans="11:38">
      <c r="K838" s="135"/>
      <c r="L838" s="135"/>
      <c r="M838" s="135"/>
      <c r="N838" s="135"/>
      <c r="O838" s="135"/>
      <c r="P838" s="135"/>
      <c r="Q838" s="135"/>
      <c r="R838" s="135"/>
      <c r="S838" s="135"/>
      <c r="T838" s="135"/>
      <c r="U838" s="135"/>
      <c r="V838" s="135"/>
      <c r="W838" s="135"/>
      <c r="X838" s="135"/>
      <c r="Y838" s="135"/>
      <c r="Z838" s="135"/>
      <c r="AA838" s="135"/>
      <c r="AB838" s="135"/>
      <c r="AC838" s="135"/>
      <c r="AD838" s="135"/>
      <c r="AE838" s="135"/>
      <c r="AF838" s="135"/>
      <c r="AG838" s="135"/>
      <c r="AH838" s="135"/>
      <c r="AI838" s="135"/>
      <c r="AJ838" s="135"/>
      <c r="AK838" s="135"/>
      <c r="AL838" s="135"/>
    </row>
    <row r="839" spans="11:38">
      <c r="K839" s="135"/>
      <c r="L839" s="135"/>
      <c r="M839" s="135"/>
      <c r="N839" s="135"/>
      <c r="O839" s="135"/>
      <c r="P839" s="135"/>
      <c r="Q839" s="135"/>
      <c r="R839" s="135"/>
      <c r="S839" s="135"/>
      <c r="T839" s="135"/>
      <c r="U839" s="135"/>
      <c r="V839" s="135"/>
      <c r="W839" s="135"/>
      <c r="X839" s="135"/>
      <c r="Y839" s="135"/>
      <c r="Z839" s="135"/>
      <c r="AA839" s="135"/>
      <c r="AB839" s="135"/>
      <c r="AC839" s="135"/>
      <c r="AD839" s="135"/>
      <c r="AE839" s="135"/>
      <c r="AF839" s="135"/>
      <c r="AG839" s="135"/>
      <c r="AH839" s="135"/>
      <c r="AI839" s="135"/>
      <c r="AJ839" s="135"/>
      <c r="AK839" s="135"/>
      <c r="AL839" s="135"/>
    </row>
    <row r="840" spans="11:38">
      <c r="K840" s="135"/>
      <c r="L840" s="135"/>
      <c r="M840" s="135"/>
      <c r="N840" s="135"/>
      <c r="O840" s="135"/>
      <c r="P840" s="135"/>
      <c r="Q840" s="135"/>
      <c r="R840" s="135"/>
      <c r="S840" s="135"/>
      <c r="T840" s="135"/>
      <c r="U840" s="135"/>
      <c r="V840" s="135"/>
      <c r="W840" s="135"/>
      <c r="X840" s="135"/>
      <c r="Y840" s="135"/>
      <c r="Z840" s="135"/>
      <c r="AA840" s="135"/>
      <c r="AB840" s="135"/>
      <c r="AC840" s="135"/>
      <c r="AD840" s="135"/>
      <c r="AE840" s="135"/>
      <c r="AF840" s="135"/>
      <c r="AG840" s="135"/>
      <c r="AH840" s="135"/>
      <c r="AI840" s="135"/>
      <c r="AJ840" s="135"/>
      <c r="AK840" s="135"/>
      <c r="AL840" s="135"/>
    </row>
    <row r="841" spans="11:38">
      <c r="K841" s="135"/>
      <c r="L841" s="135"/>
      <c r="M841" s="135"/>
      <c r="N841" s="135"/>
      <c r="O841" s="135"/>
      <c r="P841" s="135"/>
      <c r="Q841" s="135"/>
      <c r="R841" s="135"/>
      <c r="S841" s="135"/>
      <c r="T841" s="135"/>
      <c r="U841" s="135"/>
      <c r="V841" s="135"/>
      <c r="W841" s="135"/>
      <c r="X841" s="135"/>
      <c r="Y841" s="135"/>
      <c r="Z841" s="135"/>
      <c r="AA841" s="135"/>
      <c r="AB841" s="135"/>
      <c r="AC841" s="135"/>
      <c r="AD841" s="135"/>
      <c r="AE841" s="135"/>
      <c r="AF841" s="135"/>
      <c r="AG841" s="135"/>
      <c r="AH841" s="135"/>
      <c r="AI841" s="135"/>
      <c r="AJ841" s="135"/>
      <c r="AK841" s="135"/>
      <c r="AL841" s="135"/>
    </row>
    <row r="842" spans="11:38">
      <c r="K842" s="135"/>
      <c r="L842" s="135"/>
      <c r="M842" s="135"/>
      <c r="N842" s="135"/>
      <c r="O842" s="135"/>
      <c r="P842" s="135"/>
      <c r="Q842" s="135"/>
      <c r="R842" s="135"/>
      <c r="S842" s="135"/>
      <c r="T842" s="135"/>
      <c r="U842" s="135"/>
      <c r="V842" s="135"/>
      <c r="W842" s="135"/>
      <c r="X842" s="135"/>
      <c r="Y842" s="135"/>
      <c r="Z842" s="135"/>
      <c r="AA842" s="135"/>
      <c r="AB842" s="135"/>
      <c r="AC842" s="135"/>
      <c r="AD842" s="135"/>
      <c r="AE842" s="135"/>
      <c r="AF842" s="135"/>
      <c r="AG842" s="135"/>
      <c r="AH842" s="135"/>
      <c r="AI842" s="135"/>
      <c r="AJ842" s="135"/>
      <c r="AK842" s="135"/>
      <c r="AL842" s="135"/>
    </row>
    <row r="843" spans="11:38">
      <c r="K843" s="135"/>
      <c r="L843" s="135"/>
      <c r="M843" s="135"/>
      <c r="N843" s="135"/>
      <c r="O843" s="135"/>
      <c r="P843" s="135"/>
      <c r="Q843" s="135"/>
      <c r="R843" s="135"/>
      <c r="S843" s="135"/>
      <c r="T843" s="135"/>
      <c r="U843" s="135"/>
      <c r="V843" s="135"/>
      <c r="W843" s="135"/>
      <c r="X843" s="135"/>
      <c r="Y843" s="135"/>
      <c r="Z843" s="135"/>
      <c r="AA843" s="135"/>
      <c r="AB843" s="135"/>
      <c r="AC843" s="135"/>
      <c r="AD843" s="135"/>
      <c r="AE843" s="135"/>
      <c r="AF843" s="135"/>
      <c r="AG843" s="135"/>
      <c r="AH843" s="135"/>
      <c r="AI843" s="135"/>
      <c r="AJ843" s="135"/>
      <c r="AK843" s="135"/>
      <c r="AL843" s="135"/>
    </row>
    <row r="844" spans="11:38">
      <c r="K844" s="135"/>
      <c r="L844" s="135"/>
      <c r="M844" s="135"/>
      <c r="N844" s="135"/>
      <c r="O844" s="135"/>
      <c r="P844" s="135"/>
      <c r="Q844" s="135"/>
      <c r="R844" s="135"/>
      <c r="S844" s="135"/>
      <c r="T844" s="135"/>
      <c r="U844" s="135"/>
      <c r="V844" s="135"/>
      <c r="W844" s="135"/>
      <c r="X844" s="135"/>
      <c r="Y844" s="135"/>
      <c r="Z844" s="135"/>
      <c r="AA844" s="135"/>
      <c r="AB844" s="135"/>
      <c r="AC844" s="135"/>
      <c r="AD844" s="135"/>
      <c r="AE844" s="135"/>
      <c r="AF844" s="135"/>
      <c r="AG844" s="135"/>
      <c r="AH844" s="135"/>
      <c r="AI844" s="135"/>
      <c r="AJ844" s="135"/>
      <c r="AK844" s="135"/>
      <c r="AL844" s="135"/>
    </row>
    <row r="845" spans="11:38">
      <c r="K845" s="135"/>
      <c r="L845" s="135"/>
      <c r="M845" s="135"/>
      <c r="N845" s="135"/>
      <c r="O845" s="135"/>
      <c r="P845" s="135"/>
      <c r="Q845" s="135"/>
      <c r="R845" s="135"/>
      <c r="S845" s="135"/>
      <c r="T845" s="135"/>
      <c r="U845" s="135"/>
      <c r="V845" s="135"/>
      <c r="W845" s="135"/>
      <c r="X845" s="135"/>
      <c r="Y845" s="135"/>
      <c r="Z845" s="135"/>
      <c r="AA845" s="135"/>
      <c r="AB845" s="135"/>
      <c r="AC845" s="135"/>
      <c r="AD845" s="135"/>
      <c r="AE845" s="135"/>
      <c r="AF845" s="135"/>
      <c r="AG845" s="135"/>
      <c r="AH845" s="135"/>
      <c r="AI845" s="135"/>
      <c r="AJ845" s="135"/>
      <c r="AK845" s="135"/>
      <c r="AL845" s="135"/>
    </row>
    <row r="846" spans="11:38">
      <c r="K846" s="135"/>
      <c r="L846" s="135"/>
      <c r="M846" s="135"/>
      <c r="N846" s="135"/>
      <c r="O846" s="135"/>
      <c r="P846" s="135"/>
      <c r="Q846" s="135"/>
      <c r="R846" s="135"/>
      <c r="S846" s="135"/>
      <c r="T846" s="135"/>
      <c r="U846" s="135"/>
      <c r="V846" s="135"/>
      <c r="W846" s="135"/>
      <c r="X846" s="135"/>
      <c r="Y846" s="135"/>
      <c r="Z846" s="135"/>
      <c r="AA846" s="135"/>
      <c r="AB846" s="135"/>
      <c r="AC846" s="135"/>
      <c r="AD846" s="135"/>
      <c r="AE846" s="135"/>
      <c r="AF846" s="135"/>
      <c r="AG846" s="135"/>
      <c r="AH846" s="135"/>
      <c r="AI846" s="135"/>
      <c r="AJ846" s="135"/>
      <c r="AK846" s="135"/>
      <c r="AL846" s="135"/>
    </row>
    <row r="847" spans="11:38">
      <c r="K847" s="135"/>
      <c r="L847" s="135"/>
      <c r="M847" s="135"/>
      <c r="N847" s="135"/>
      <c r="O847" s="135"/>
      <c r="P847" s="135"/>
      <c r="Q847" s="135"/>
      <c r="R847" s="135"/>
      <c r="S847" s="135"/>
      <c r="T847" s="135"/>
      <c r="U847" s="135"/>
      <c r="V847" s="135"/>
      <c r="W847" s="135"/>
      <c r="X847" s="135"/>
      <c r="Y847" s="135"/>
      <c r="Z847" s="135"/>
      <c r="AA847" s="135"/>
      <c r="AB847" s="135"/>
      <c r="AC847" s="135"/>
      <c r="AD847" s="135"/>
      <c r="AE847" s="135"/>
      <c r="AF847" s="135"/>
      <c r="AG847" s="135"/>
      <c r="AH847" s="135"/>
      <c r="AI847" s="135"/>
      <c r="AJ847" s="135"/>
      <c r="AK847" s="135"/>
      <c r="AL847" s="135"/>
    </row>
    <row r="848" spans="11:38">
      <c r="K848" s="135"/>
      <c r="L848" s="135"/>
      <c r="M848" s="135"/>
      <c r="N848" s="135"/>
      <c r="O848" s="135"/>
      <c r="P848" s="135"/>
      <c r="Q848" s="135"/>
      <c r="R848" s="135"/>
      <c r="S848" s="135"/>
      <c r="T848" s="135"/>
      <c r="U848" s="135"/>
      <c r="V848" s="135"/>
      <c r="W848" s="135"/>
      <c r="X848" s="135"/>
      <c r="Y848" s="135"/>
      <c r="Z848" s="135"/>
      <c r="AA848" s="135"/>
      <c r="AB848" s="135"/>
      <c r="AC848" s="135"/>
      <c r="AD848" s="135"/>
      <c r="AE848" s="135"/>
      <c r="AF848" s="135"/>
      <c r="AG848" s="135"/>
      <c r="AH848" s="135"/>
      <c r="AI848" s="135"/>
      <c r="AJ848" s="135"/>
      <c r="AK848" s="135"/>
      <c r="AL848" s="135"/>
    </row>
    <row r="849" spans="11:38">
      <c r="K849" s="135"/>
      <c r="L849" s="135"/>
      <c r="M849" s="135"/>
      <c r="N849" s="135"/>
      <c r="O849" s="135"/>
      <c r="P849" s="135"/>
      <c r="Q849" s="135"/>
      <c r="R849" s="135"/>
      <c r="S849" s="135"/>
      <c r="T849" s="135"/>
      <c r="U849" s="135"/>
      <c r="V849" s="135"/>
      <c r="W849" s="135"/>
      <c r="X849" s="135"/>
      <c r="Y849" s="135"/>
      <c r="Z849" s="135"/>
      <c r="AA849" s="135"/>
      <c r="AB849" s="135"/>
      <c r="AC849" s="135"/>
      <c r="AD849" s="135"/>
      <c r="AE849" s="135"/>
      <c r="AF849" s="135"/>
      <c r="AG849" s="135"/>
      <c r="AH849" s="135"/>
      <c r="AI849" s="135"/>
      <c r="AJ849" s="135"/>
      <c r="AK849" s="135"/>
      <c r="AL849" s="135"/>
    </row>
    <row r="850" spans="11:38">
      <c r="K850" s="135"/>
      <c r="L850" s="135"/>
      <c r="M850" s="135"/>
      <c r="N850" s="135"/>
      <c r="O850" s="135"/>
      <c r="P850" s="135"/>
      <c r="Q850" s="135"/>
      <c r="R850" s="135"/>
      <c r="S850" s="135"/>
      <c r="T850" s="135"/>
      <c r="U850" s="135"/>
      <c r="V850" s="135"/>
      <c r="W850" s="135"/>
      <c r="X850" s="135"/>
      <c r="Y850" s="135"/>
      <c r="Z850" s="135"/>
      <c r="AA850" s="135"/>
      <c r="AB850" s="135"/>
      <c r="AC850" s="135"/>
      <c r="AD850" s="135"/>
      <c r="AE850" s="135"/>
      <c r="AF850" s="135"/>
      <c r="AG850" s="135"/>
      <c r="AH850" s="135"/>
      <c r="AI850" s="135"/>
      <c r="AJ850" s="135"/>
      <c r="AK850" s="135"/>
      <c r="AL850" s="135"/>
    </row>
    <row r="851" spans="11:38">
      <c r="K851" s="135"/>
      <c r="L851" s="135"/>
      <c r="M851" s="135"/>
      <c r="N851" s="135"/>
      <c r="O851" s="135"/>
      <c r="P851" s="135"/>
      <c r="Q851" s="135"/>
      <c r="R851" s="135"/>
      <c r="S851" s="135"/>
      <c r="T851" s="135"/>
      <c r="U851" s="135"/>
      <c r="V851" s="135"/>
      <c r="W851" s="135"/>
      <c r="X851" s="135"/>
      <c r="Y851" s="135"/>
      <c r="Z851" s="135"/>
      <c r="AA851" s="135"/>
      <c r="AB851" s="135"/>
      <c r="AC851" s="135"/>
      <c r="AD851" s="135"/>
      <c r="AE851" s="135"/>
      <c r="AF851" s="135"/>
      <c r="AG851" s="135"/>
      <c r="AH851" s="135"/>
      <c r="AI851" s="135"/>
      <c r="AJ851" s="135"/>
      <c r="AK851" s="135"/>
      <c r="AL851" s="135"/>
    </row>
    <row r="852" spans="11:38">
      <c r="K852" s="135"/>
      <c r="L852" s="135"/>
      <c r="M852" s="135"/>
      <c r="N852" s="135"/>
      <c r="O852" s="135"/>
      <c r="P852" s="135"/>
      <c r="Q852" s="135"/>
      <c r="R852" s="135"/>
      <c r="S852" s="135"/>
      <c r="T852" s="135"/>
      <c r="U852" s="135"/>
      <c r="V852" s="135"/>
      <c r="W852" s="135"/>
      <c r="X852" s="135"/>
      <c r="Y852" s="135"/>
      <c r="Z852" s="135"/>
      <c r="AA852" s="135"/>
      <c r="AB852" s="135"/>
      <c r="AC852" s="135"/>
      <c r="AD852" s="135"/>
      <c r="AE852" s="135"/>
      <c r="AF852" s="135"/>
      <c r="AG852" s="135"/>
      <c r="AH852" s="135"/>
      <c r="AI852" s="135"/>
      <c r="AJ852" s="135"/>
      <c r="AK852" s="135"/>
      <c r="AL852" s="135"/>
    </row>
    <row r="853" spans="11:38">
      <c r="K853" s="135"/>
      <c r="L853" s="135"/>
      <c r="M853" s="135"/>
      <c r="N853" s="135"/>
      <c r="O853" s="135"/>
      <c r="P853" s="135"/>
      <c r="Q853" s="135"/>
      <c r="R853" s="135"/>
      <c r="S853" s="135"/>
      <c r="T853" s="135"/>
      <c r="U853" s="135"/>
      <c r="V853" s="135"/>
      <c r="W853" s="135"/>
      <c r="X853" s="135"/>
      <c r="Y853" s="135"/>
      <c r="Z853" s="135"/>
      <c r="AA853" s="135"/>
      <c r="AB853" s="135"/>
      <c r="AC853" s="135"/>
      <c r="AD853" s="135"/>
      <c r="AE853" s="135"/>
      <c r="AF853" s="135"/>
      <c r="AG853" s="135"/>
      <c r="AH853" s="135"/>
      <c r="AI853" s="135"/>
      <c r="AJ853" s="135"/>
      <c r="AK853" s="135"/>
      <c r="AL853" s="135"/>
    </row>
    <row r="854" spans="11:38">
      <c r="K854" s="135"/>
      <c r="L854" s="135"/>
      <c r="M854" s="135"/>
      <c r="N854" s="135"/>
      <c r="O854" s="135"/>
      <c r="P854" s="135"/>
      <c r="Q854" s="135"/>
      <c r="R854" s="135"/>
      <c r="S854" s="135"/>
      <c r="T854" s="135"/>
      <c r="U854" s="135"/>
      <c r="V854" s="135"/>
      <c r="W854" s="135"/>
      <c r="X854" s="135"/>
      <c r="Y854" s="135"/>
      <c r="Z854" s="135"/>
      <c r="AA854" s="135"/>
      <c r="AB854" s="135"/>
      <c r="AC854" s="135"/>
      <c r="AD854" s="135"/>
      <c r="AE854" s="135"/>
      <c r="AF854" s="135"/>
      <c r="AG854" s="135"/>
      <c r="AH854" s="135"/>
      <c r="AI854" s="135"/>
      <c r="AJ854" s="135"/>
      <c r="AK854" s="135"/>
      <c r="AL854" s="135"/>
    </row>
    <row r="855" spans="11:38">
      <c r="K855" s="135"/>
      <c r="L855" s="135"/>
      <c r="M855" s="135"/>
      <c r="N855" s="135"/>
      <c r="O855" s="135"/>
      <c r="P855" s="135"/>
      <c r="Q855" s="135"/>
      <c r="R855" s="135"/>
      <c r="S855" s="135"/>
      <c r="T855" s="135"/>
      <c r="U855" s="135"/>
      <c r="V855" s="135"/>
      <c r="W855" s="135"/>
      <c r="X855" s="135"/>
      <c r="Y855" s="135"/>
      <c r="Z855" s="135"/>
      <c r="AA855" s="135"/>
      <c r="AB855" s="135"/>
      <c r="AC855" s="135"/>
      <c r="AD855" s="135"/>
      <c r="AE855" s="135"/>
      <c r="AF855" s="135"/>
      <c r="AG855" s="135"/>
      <c r="AH855" s="135"/>
      <c r="AI855" s="135"/>
      <c r="AJ855" s="135"/>
      <c r="AK855" s="135"/>
      <c r="AL855" s="135"/>
    </row>
    <row r="856" spans="11:38">
      <c r="K856" s="135"/>
      <c r="L856" s="135"/>
      <c r="M856" s="135"/>
      <c r="N856" s="135"/>
      <c r="O856" s="135"/>
      <c r="P856" s="135"/>
      <c r="Q856" s="135"/>
      <c r="R856" s="135"/>
      <c r="S856" s="135"/>
      <c r="T856" s="135"/>
      <c r="U856" s="135"/>
      <c r="V856" s="135"/>
      <c r="W856" s="135"/>
      <c r="X856" s="135"/>
      <c r="Y856" s="135"/>
      <c r="Z856" s="135"/>
      <c r="AA856" s="135"/>
      <c r="AB856" s="135"/>
      <c r="AC856" s="135"/>
      <c r="AD856" s="135"/>
      <c r="AE856" s="135"/>
      <c r="AF856" s="135"/>
      <c r="AG856" s="135"/>
      <c r="AH856" s="135"/>
      <c r="AI856" s="135"/>
      <c r="AJ856" s="135"/>
      <c r="AK856" s="135"/>
      <c r="AL856" s="135"/>
    </row>
    <row r="857" spans="11:38">
      <c r="K857" s="135"/>
      <c r="L857" s="135"/>
      <c r="M857" s="135"/>
      <c r="N857" s="135"/>
      <c r="O857" s="135"/>
      <c r="P857" s="135"/>
      <c r="Q857" s="135"/>
      <c r="R857" s="135"/>
      <c r="S857" s="135"/>
      <c r="T857" s="135"/>
      <c r="U857" s="135"/>
      <c r="V857" s="135"/>
      <c r="W857" s="135"/>
      <c r="X857" s="135"/>
      <c r="Y857" s="135"/>
      <c r="Z857" s="135"/>
      <c r="AA857" s="135"/>
      <c r="AB857" s="135"/>
      <c r="AC857" s="135"/>
      <c r="AD857" s="135"/>
      <c r="AE857" s="135"/>
      <c r="AF857" s="135"/>
      <c r="AG857" s="135"/>
      <c r="AH857" s="135"/>
      <c r="AI857" s="135"/>
      <c r="AJ857" s="135"/>
      <c r="AK857" s="135"/>
      <c r="AL857" s="135"/>
    </row>
    <row r="858" spans="11:38">
      <c r="K858" s="135"/>
      <c r="L858" s="135"/>
      <c r="M858" s="135"/>
      <c r="N858" s="135"/>
      <c r="O858" s="135"/>
      <c r="P858" s="135"/>
      <c r="Q858" s="135"/>
      <c r="R858" s="135"/>
      <c r="S858" s="135"/>
      <c r="T858" s="135"/>
      <c r="U858" s="135"/>
      <c r="V858" s="135"/>
      <c r="W858" s="135"/>
      <c r="X858" s="135"/>
      <c r="Y858" s="135"/>
      <c r="Z858" s="135"/>
      <c r="AA858" s="135"/>
      <c r="AB858" s="135"/>
      <c r="AC858" s="135"/>
      <c r="AD858" s="135"/>
      <c r="AE858" s="135"/>
      <c r="AF858" s="135"/>
      <c r="AG858" s="135"/>
      <c r="AH858" s="135"/>
      <c r="AI858" s="135"/>
      <c r="AJ858" s="135"/>
      <c r="AK858" s="135"/>
      <c r="AL858" s="135"/>
    </row>
    <row r="859" spans="11:38">
      <c r="K859" s="135"/>
      <c r="L859" s="135"/>
      <c r="M859" s="135"/>
      <c r="N859" s="135"/>
      <c r="O859" s="135"/>
      <c r="P859" s="135"/>
      <c r="Q859" s="135"/>
      <c r="R859" s="135"/>
      <c r="S859" s="135"/>
      <c r="T859" s="135"/>
      <c r="U859" s="135"/>
      <c r="V859" s="135"/>
      <c r="W859" s="135"/>
      <c r="X859" s="135"/>
      <c r="Y859" s="135"/>
      <c r="Z859" s="135"/>
      <c r="AA859" s="135"/>
      <c r="AB859" s="135"/>
      <c r="AC859" s="135"/>
      <c r="AD859" s="135"/>
      <c r="AE859" s="135"/>
      <c r="AF859" s="135"/>
      <c r="AG859" s="135"/>
      <c r="AH859" s="135"/>
      <c r="AI859" s="135"/>
      <c r="AJ859" s="135"/>
      <c r="AK859" s="135"/>
      <c r="AL859" s="135"/>
    </row>
    <row r="860" spans="11:38">
      <c r="K860" s="135"/>
      <c r="L860" s="135"/>
      <c r="M860" s="135"/>
      <c r="N860" s="135"/>
      <c r="O860" s="135"/>
      <c r="P860" s="135"/>
      <c r="Q860" s="135"/>
      <c r="R860" s="135"/>
      <c r="S860" s="135"/>
      <c r="T860" s="135"/>
      <c r="U860" s="135"/>
      <c r="V860" s="135"/>
      <c r="W860" s="135"/>
      <c r="X860" s="135"/>
      <c r="Y860" s="135"/>
      <c r="Z860" s="135"/>
      <c r="AA860" s="135"/>
      <c r="AB860" s="135"/>
      <c r="AC860" s="135"/>
      <c r="AD860" s="135"/>
      <c r="AE860" s="135"/>
      <c r="AF860" s="135"/>
      <c r="AG860" s="135"/>
      <c r="AH860" s="135"/>
      <c r="AI860" s="135"/>
      <c r="AJ860" s="135"/>
      <c r="AK860" s="135"/>
      <c r="AL860" s="135"/>
    </row>
    <row r="861" spans="11:38">
      <c r="K861" s="135"/>
      <c r="L861" s="135"/>
      <c r="M861" s="135"/>
      <c r="N861" s="135"/>
      <c r="O861" s="135"/>
      <c r="P861" s="135"/>
      <c r="Q861" s="135"/>
      <c r="R861" s="135"/>
      <c r="S861" s="135"/>
      <c r="T861" s="135"/>
      <c r="U861" s="135"/>
      <c r="V861" s="135"/>
      <c r="W861" s="135"/>
      <c r="X861" s="135"/>
      <c r="Y861" s="135"/>
      <c r="Z861" s="135"/>
      <c r="AA861" s="135"/>
      <c r="AB861" s="135"/>
      <c r="AC861" s="135"/>
      <c r="AD861" s="135"/>
      <c r="AE861" s="135"/>
      <c r="AF861" s="135"/>
      <c r="AG861" s="135"/>
      <c r="AH861" s="135"/>
      <c r="AI861" s="135"/>
      <c r="AJ861" s="135"/>
      <c r="AK861" s="135"/>
      <c r="AL861" s="135"/>
    </row>
    <row r="862" spans="11:38">
      <c r="K862" s="135"/>
      <c r="L862" s="135"/>
      <c r="M862" s="135"/>
      <c r="N862" s="135"/>
      <c r="O862" s="135"/>
      <c r="P862" s="135"/>
      <c r="Q862" s="135"/>
      <c r="R862" s="135"/>
      <c r="S862" s="135"/>
      <c r="T862" s="135"/>
      <c r="U862" s="135"/>
      <c r="V862" s="135"/>
      <c r="W862" s="135"/>
      <c r="X862" s="135"/>
      <c r="Y862" s="135"/>
      <c r="Z862" s="135"/>
      <c r="AA862" s="135"/>
      <c r="AB862" s="135"/>
      <c r="AC862" s="135"/>
      <c r="AD862" s="135"/>
      <c r="AE862" s="135"/>
      <c r="AF862" s="135"/>
      <c r="AG862" s="135"/>
      <c r="AH862" s="135"/>
      <c r="AI862" s="135"/>
      <c r="AJ862" s="135"/>
      <c r="AK862" s="135"/>
      <c r="AL862" s="135"/>
    </row>
    <row r="863" spans="11:38">
      <c r="K863" s="135"/>
      <c r="L863" s="135"/>
      <c r="M863" s="135"/>
      <c r="N863" s="135"/>
      <c r="O863" s="135"/>
      <c r="P863" s="135"/>
      <c r="Q863" s="135"/>
      <c r="R863" s="135"/>
      <c r="S863" s="135"/>
      <c r="T863" s="135"/>
      <c r="U863" s="135"/>
      <c r="V863" s="135"/>
      <c r="W863" s="135"/>
      <c r="X863" s="135"/>
      <c r="Y863" s="135"/>
      <c r="Z863" s="135"/>
      <c r="AA863" s="135"/>
      <c r="AB863" s="135"/>
      <c r="AC863" s="135"/>
      <c r="AD863" s="135"/>
      <c r="AE863" s="135"/>
      <c r="AF863" s="135"/>
      <c r="AG863" s="135"/>
      <c r="AH863" s="135"/>
      <c r="AI863" s="135"/>
      <c r="AJ863" s="135"/>
      <c r="AK863" s="135"/>
      <c r="AL863" s="135"/>
    </row>
    <row r="864" spans="11:38">
      <c r="K864" s="135"/>
      <c r="L864" s="135"/>
      <c r="M864" s="135"/>
      <c r="N864" s="135"/>
      <c r="O864" s="135"/>
      <c r="P864" s="135"/>
      <c r="Q864" s="135"/>
      <c r="R864" s="135"/>
      <c r="S864" s="135"/>
      <c r="T864" s="135"/>
      <c r="U864" s="135"/>
      <c r="V864" s="135"/>
      <c r="W864" s="135"/>
      <c r="X864" s="135"/>
      <c r="Y864" s="135"/>
      <c r="Z864" s="135"/>
      <c r="AA864" s="135"/>
      <c r="AB864" s="135"/>
      <c r="AC864" s="135"/>
      <c r="AD864" s="135"/>
      <c r="AE864" s="135"/>
      <c r="AF864" s="135"/>
      <c r="AG864" s="135"/>
      <c r="AH864" s="135"/>
      <c r="AI864" s="135"/>
      <c r="AJ864" s="135"/>
      <c r="AK864" s="135"/>
      <c r="AL864" s="135"/>
    </row>
    <row r="865" spans="11:38">
      <c r="K865" s="135"/>
      <c r="L865" s="135"/>
      <c r="M865" s="135"/>
      <c r="N865" s="135"/>
      <c r="O865" s="135"/>
      <c r="P865" s="135"/>
      <c r="Q865" s="135"/>
      <c r="R865" s="135"/>
      <c r="S865" s="135"/>
      <c r="T865" s="135"/>
      <c r="U865" s="135"/>
      <c r="V865" s="135"/>
      <c r="W865" s="135"/>
      <c r="X865" s="135"/>
      <c r="Y865" s="135"/>
      <c r="Z865" s="135"/>
      <c r="AA865" s="135"/>
      <c r="AB865" s="135"/>
      <c r="AC865" s="135"/>
      <c r="AD865" s="135"/>
      <c r="AE865" s="135"/>
      <c r="AF865" s="135"/>
      <c r="AG865" s="135"/>
      <c r="AH865" s="135"/>
      <c r="AI865" s="135"/>
      <c r="AJ865" s="135"/>
      <c r="AK865" s="135"/>
      <c r="AL865" s="135"/>
    </row>
    <row r="866" spans="11:38">
      <c r="K866" s="135"/>
      <c r="L866" s="135"/>
      <c r="M866" s="135"/>
      <c r="N866" s="135"/>
      <c r="O866" s="135"/>
      <c r="P866" s="135"/>
      <c r="Q866" s="135"/>
      <c r="R866" s="135"/>
      <c r="S866" s="135"/>
      <c r="T866" s="135"/>
      <c r="U866" s="135"/>
      <c r="V866" s="135"/>
      <c r="W866" s="135"/>
      <c r="X866" s="135"/>
      <c r="Y866" s="135"/>
      <c r="Z866" s="135"/>
      <c r="AA866" s="135"/>
      <c r="AB866" s="135"/>
      <c r="AC866" s="135"/>
      <c r="AD866" s="135"/>
      <c r="AE866" s="135"/>
      <c r="AF866" s="135"/>
      <c r="AG866" s="135"/>
      <c r="AH866" s="135"/>
      <c r="AI866" s="135"/>
      <c r="AJ866" s="135"/>
      <c r="AK866" s="135"/>
      <c r="AL866" s="135"/>
    </row>
    <row r="867" spans="11:38">
      <c r="K867" s="135"/>
      <c r="L867" s="135"/>
      <c r="M867" s="135"/>
      <c r="N867" s="135"/>
      <c r="O867" s="135"/>
      <c r="P867" s="135"/>
      <c r="Q867" s="135"/>
      <c r="R867" s="135"/>
      <c r="S867" s="135"/>
      <c r="T867" s="135"/>
      <c r="U867" s="135"/>
      <c r="V867" s="135"/>
      <c r="W867" s="135"/>
      <c r="X867" s="135"/>
      <c r="Y867" s="135"/>
      <c r="Z867" s="135"/>
      <c r="AA867" s="135"/>
      <c r="AB867" s="135"/>
      <c r="AC867" s="135"/>
      <c r="AD867" s="135"/>
      <c r="AE867" s="135"/>
      <c r="AF867" s="135"/>
      <c r="AG867" s="135"/>
      <c r="AH867" s="135"/>
      <c r="AI867" s="135"/>
      <c r="AJ867" s="135"/>
      <c r="AK867" s="135"/>
      <c r="AL867" s="135"/>
    </row>
    <row r="868" spans="11:38">
      <c r="K868" s="135"/>
      <c r="L868" s="135"/>
      <c r="M868" s="135"/>
      <c r="N868" s="135"/>
      <c r="O868" s="135"/>
      <c r="P868" s="135"/>
      <c r="Q868" s="135"/>
      <c r="R868" s="135"/>
      <c r="S868" s="135"/>
      <c r="T868" s="135"/>
      <c r="U868" s="135"/>
      <c r="V868" s="135"/>
      <c r="W868" s="135"/>
      <c r="X868" s="135"/>
      <c r="Y868" s="135"/>
      <c r="Z868" s="135"/>
      <c r="AA868" s="135"/>
      <c r="AB868" s="135"/>
      <c r="AC868" s="135"/>
      <c r="AD868" s="135"/>
      <c r="AE868" s="135"/>
      <c r="AF868" s="135"/>
      <c r="AG868" s="135"/>
      <c r="AH868" s="135"/>
      <c r="AI868" s="135"/>
      <c r="AJ868" s="135"/>
      <c r="AK868" s="135"/>
      <c r="AL868" s="135"/>
    </row>
    <row r="869" spans="11:38">
      <c r="K869" s="135"/>
      <c r="L869" s="135"/>
      <c r="M869" s="135"/>
      <c r="N869" s="135"/>
      <c r="O869" s="135"/>
      <c r="P869" s="135"/>
      <c r="Q869" s="135"/>
      <c r="R869" s="135"/>
      <c r="S869" s="135"/>
      <c r="T869" s="135"/>
      <c r="U869" s="135"/>
      <c r="V869" s="135"/>
      <c r="W869" s="135"/>
      <c r="X869" s="135"/>
      <c r="Y869" s="135"/>
      <c r="Z869" s="135"/>
      <c r="AA869" s="135"/>
      <c r="AB869" s="135"/>
      <c r="AC869" s="135"/>
      <c r="AD869" s="135"/>
      <c r="AE869" s="135"/>
      <c r="AF869" s="135"/>
      <c r="AG869" s="135"/>
      <c r="AH869" s="135"/>
      <c r="AI869" s="135"/>
      <c r="AJ869" s="135"/>
      <c r="AK869" s="135"/>
      <c r="AL869" s="135"/>
    </row>
    <row r="870" spans="11:38">
      <c r="K870" s="135"/>
      <c r="L870" s="135"/>
      <c r="M870" s="135"/>
      <c r="N870" s="135"/>
      <c r="O870" s="135"/>
      <c r="P870" s="135"/>
      <c r="Q870" s="135"/>
      <c r="R870" s="135"/>
      <c r="S870" s="135"/>
      <c r="T870" s="135"/>
      <c r="U870" s="135"/>
      <c r="V870" s="135"/>
      <c r="W870" s="135"/>
      <c r="X870" s="135"/>
      <c r="Y870" s="135"/>
      <c r="Z870" s="135"/>
      <c r="AA870" s="135"/>
      <c r="AB870" s="135"/>
      <c r="AC870" s="135"/>
      <c r="AD870" s="135"/>
      <c r="AE870" s="135"/>
      <c r="AF870" s="135"/>
      <c r="AG870" s="135"/>
      <c r="AH870" s="135"/>
      <c r="AI870" s="135"/>
      <c r="AJ870" s="135"/>
      <c r="AK870" s="135"/>
      <c r="AL870" s="135"/>
    </row>
    <row r="871" spans="11:38">
      <c r="K871" s="135"/>
      <c r="L871" s="135"/>
      <c r="M871" s="135"/>
      <c r="N871" s="135"/>
      <c r="O871" s="135"/>
      <c r="P871" s="135"/>
      <c r="Q871" s="135"/>
      <c r="R871" s="135"/>
      <c r="S871" s="135"/>
      <c r="T871" s="135"/>
      <c r="U871" s="135"/>
      <c r="V871" s="135"/>
      <c r="W871" s="135"/>
      <c r="X871" s="135"/>
      <c r="Y871" s="135"/>
      <c r="Z871" s="135"/>
      <c r="AA871" s="135"/>
      <c r="AB871" s="135"/>
      <c r="AC871" s="135"/>
      <c r="AD871" s="135"/>
      <c r="AE871" s="135"/>
      <c r="AF871" s="135"/>
      <c r="AG871" s="135"/>
      <c r="AH871" s="135"/>
      <c r="AI871" s="135"/>
      <c r="AJ871" s="135"/>
      <c r="AK871" s="135"/>
      <c r="AL871" s="135"/>
    </row>
    <row r="872" spans="11:38">
      <c r="K872" s="135"/>
      <c r="L872" s="135"/>
      <c r="M872" s="135"/>
      <c r="N872" s="135"/>
      <c r="O872" s="135"/>
      <c r="P872" s="135"/>
      <c r="Q872" s="135"/>
      <c r="R872" s="135"/>
      <c r="S872" s="135"/>
      <c r="T872" s="135"/>
      <c r="U872" s="135"/>
      <c r="V872" s="135"/>
      <c r="W872" s="135"/>
      <c r="X872" s="135"/>
      <c r="Y872" s="135"/>
      <c r="Z872" s="135"/>
      <c r="AA872" s="135"/>
      <c r="AB872" s="135"/>
      <c r="AC872" s="135"/>
      <c r="AD872" s="135"/>
      <c r="AE872" s="135"/>
      <c r="AF872" s="135"/>
      <c r="AG872" s="135"/>
      <c r="AH872" s="135"/>
      <c r="AI872" s="135"/>
      <c r="AJ872" s="135"/>
      <c r="AK872" s="135"/>
      <c r="AL872" s="135"/>
    </row>
    <row r="873" spans="11:38">
      <c r="K873" s="135"/>
      <c r="L873" s="135"/>
      <c r="M873" s="135"/>
      <c r="N873" s="135"/>
      <c r="O873" s="135"/>
      <c r="P873" s="135"/>
      <c r="Q873" s="135"/>
      <c r="R873" s="135"/>
      <c r="S873" s="135"/>
      <c r="T873" s="135"/>
      <c r="U873" s="135"/>
      <c r="V873" s="135"/>
      <c r="W873" s="135"/>
      <c r="X873" s="135"/>
      <c r="Y873" s="135"/>
      <c r="Z873" s="135"/>
      <c r="AA873" s="135"/>
      <c r="AB873" s="135"/>
      <c r="AC873" s="135"/>
      <c r="AD873" s="135"/>
      <c r="AE873" s="135"/>
      <c r="AF873" s="135"/>
      <c r="AG873" s="135"/>
      <c r="AH873" s="135"/>
      <c r="AI873" s="135"/>
      <c r="AJ873" s="135"/>
      <c r="AK873" s="135"/>
      <c r="AL873" s="135"/>
    </row>
    <row r="874" spans="11:38">
      <c r="K874" s="135"/>
      <c r="L874" s="135"/>
      <c r="M874" s="135"/>
      <c r="N874" s="135"/>
      <c r="O874" s="135"/>
      <c r="P874" s="135"/>
      <c r="Q874" s="135"/>
      <c r="R874" s="135"/>
      <c r="S874" s="135"/>
      <c r="T874" s="135"/>
      <c r="U874" s="135"/>
      <c r="V874" s="135"/>
      <c r="W874" s="135"/>
      <c r="X874" s="135"/>
      <c r="Y874" s="135"/>
      <c r="Z874" s="135"/>
      <c r="AA874" s="135"/>
      <c r="AB874" s="135"/>
      <c r="AC874" s="135"/>
      <c r="AD874" s="135"/>
      <c r="AE874" s="135"/>
      <c r="AF874" s="135"/>
      <c r="AG874" s="135"/>
      <c r="AH874" s="135"/>
      <c r="AI874" s="135"/>
      <c r="AJ874" s="135"/>
      <c r="AK874" s="135"/>
      <c r="AL874" s="135"/>
    </row>
    <row r="875" spans="11:38">
      <c r="K875" s="135"/>
      <c r="L875" s="135"/>
      <c r="M875" s="135"/>
      <c r="N875" s="135"/>
      <c r="O875" s="135"/>
      <c r="P875" s="135"/>
      <c r="Q875" s="135"/>
      <c r="R875" s="135"/>
      <c r="S875" s="135"/>
      <c r="T875" s="135"/>
      <c r="U875" s="135"/>
      <c r="V875" s="135"/>
      <c r="W875" s="135"/>
      <c r="X875" s="135"/>
      <c r="Y875" s="135"/>
      <c r="Z875" s="135"/>
      <c r="AA875" s="135"/>
      <c r="AB875" s="135"/>
      <c r="AC875" s="135"/>
      <c r="AD875" s="135"/>
      <c r="AE875" s="135"/>
      <c r="AF875" s="135"/>
      <c r="AG875" s="135"/>
      <c r="AH875" s="135"/>
      <c r="AI875" s="135"/>
      <c r="AJ875" s="135"/>
      <c r="AK875" s="135"/>
      <c r="AL875" s="135"/>
    </row>
    <row r="876" spans="11:38">
      <c r="K876" s="135"/>
      <c r="L876" s="135"/>
      <c r="M876" s="135"/>
      <c r="N876" s="135"/>
      <c r="O876" s="135"/>
      <c r="P876" s="135"/>
      <c r="Q876" s="135"/>
      <c r="R876" s="135"/>
      <c r="S876" s="135"/>
      <c r="T876" s="135"/>
      <c r="U876" s="135"/>
      <c r="V876" s="135"/>
      <c r="W876" s="135"/>
      <c r="X876" s="135"/>
      <c r="Y876" s="135"/>
      <c r="Z876" s="135"/>
      <c r="AA876" s="135"/>
      <c r="AB876" s="135"/>
      <c r="AC876" s="135"/>
      <c r="AD876" s="135"/>
      <c r="AE876" s="135"/>
      <c r="AF876" s="135"/>
      <c r="AG876" s="135"/>
      <c r="AH876" s="135"/>
      <c r="AI876" s="135"/>
      <c r="AJ876" s="135"/>
      <c r="AK876" s="135"/>
      <c r="AL876" s="135"/>
    </row>
    <row r="877" spans="11:38">
      <c r="K877" s="135"/>
      <c r="L877" s="135"/>
      <c r="M877" s="135"/>
      <c r="N877" s="135"/>
      <c r="O877" s="135"/>
      <c r="P877" s="135"/>
      <c r="Q877" s="135"/>
      <c r="R877" s="135"/>
      <c r="S877" s="135"/>
      <c r="T877" s="135"/>
      <c r="U877" s="135"/>
      <c r="V877" s="135"/>
      <c r="W877" s="135"/>
      <c r="X877" s="135"/>
      <c r="Y877" s="135"/>
      <c r="Z877" s="135"/>
      <c r="AA877" s="135"/>
      <c r="AB877" s="135"/>
      <c r="AC877" s="135"/>
      <c r="AD877" s="135"/>
      <c r="AE877" s="135"/>
      <c r="AF877" s="135"/>
      <c r="AG877" s="135"/>
      <c r="AH877" s="135"/>
      <c r="AI877" s="135"/>
      <c r="AJ877" s="135"/>
      <c r="AK877" s="135"/>
      <c r="AL877" s="135"/>
    </row>
    <row r="878" spans="11:38">
      <c r="K878" s="135"/>
      <c r="L878" s="135"/>
      <c r="M878" s="135"/>
      <c r="N878" s="135"/>
      <c r="O878" s="135"/>
      <c r="P878" s="135"/>
      <c r="Q878" s="135"/>
      <c r="R878" s="135"/>
      <c r="S878" s="135"/>
      <c r="T878" s="135"/>
      <c r="U878" s="135"/>
      <c r="V878" s="135"/>
      <c r="W878" s="135"/>
      <c r="X878" s="135"/>
      <c r="Y878" s="135"/>
      <c r="Z878" s="135"/>
      <c r="AA878" s="135"/>
      <c r="AB878" s="135"/>
      <c r="AC878" s="135"/>
      <c r="AD878" s="135"/>
      <c r="AE878" s="135"/>
      <c r="AF878" s="135"/>
      <c r="AG878" s="135"/>
      <c r="AH878" s="135"/>
      <c r="AI878" s="135"/>
      <c r="AJ878" s="135"/>
      <c r="AK878" s="135"/>
      <c r="AL878" s="135"/>
    </row>
    <row r="879" spans="11:38">
      <c r="K879" s="135"/>
      <c r="L879" s="135"/>
      <c r="M879" s="135"/>
      <c r="N879" s="135"/>
      <c r="O879" s="135"/>
      <c r="P879" s="135"/>
      <c r="Q879" s="135"/>
      <c r="R879" s="135"/>
      <c r="S879" s="135"/>
      <c r="T879" s="135"/>
      <c r="U879" s="135"/>
      <c r="V879" s="135"/>
      <c r="W879" s="135"/>
      <c r="X879" s="135"/>
      <c r="Y879" s="135"/>
      <c r="Z879" s="135"/>
      <c r="AA879" s="135"/>
      <c r="AB879" s="135"/>
      <c r="AC879" s="135"/>
      <c r="AD879" s="135"/>
      <c r="AE879" s="135"/>
      <c r="AF879" s="135"/>
      <c r="AG879" s="135"/>
      <c r="AH879" s="135"/>
      <c r="AI879" s="135"/>
      <c r="AJ879" s="135"/>
      <c r="AK879" s="135"/>
      <c r="AL879" s="135"/>
    </row>
    <row r="880" spans="11:38">
      <c r="K880" s="135"/>
      <c r="L880" s="135"/>
      <c r="M880" s="135"/>
      <c r="N880" s="135"/>
      <c r="O880" s="135"/>
      <c r="P880" s="135"/>
      <c r="Q880" s="135"/>
      <c r="R880" s="135"/>
      <c r="S880" s="135"/>
      <c r="T880" s="135"/>
      <c r="U880" s="135"/>
      <c r="V880" s="135"/>
      <c r="W880" s="135"/>
      <c r="X880" s="135"/>
      <c r="Y880" s="135"/>
      <c r="Z880" s="135"/>
      <c r="AA880" s="135"/>
      <c r="AB880" s="135"/>
      <c r="AC880" s="135"/>
      <c r="AD880" s="135"/>
      <c r="AE880" s="135"/>
      <c r="AF880" s="135"/>
      <c r="AG880" s="135"/>
      <c r="AH880" s="135"/>
      <c r="AI880" s="135"/>
      <c r="AJ880" s="135"/>
      <c r="AK880" s="135"/>
      <c r="AL880" s="135"/>
    </row>
    <row r="881" spans="11:38">
      <c r="K881" s="135"/>
      <c r="L881" s="135"/>
      <c r="M881" s="135"/>
      <c r="N881" s="135"/>
      <c r="O881" s="135"/>
      <c r="P881" s="135"/>
      <c r="Q881" s="135"/>
      <c r="R881" s="135"/>
      <c r="S881" s="135"/>
      <c r="T881" s="135"/>
      <c r="U881" s="135"/>
      <c r="V881" s="135"/>
      <c r="W881" s="135"/>
      <c r="X881" s="135"/>
      <c r="Y881" s="135"/>
      <c r="Z881" s="135"/>
      <c r="AA881" s="135"/>
      <c r="AB881" s="135"/>
      <c r="AC881" s="135"/>
      <c r="AD881" s="135"/>
      <c r="AE881" s="135"/>
      <c r="AF881" s="135"/>
      <c r="AG881" s="135"/>
      <c r="AH881" s="135"/>
      <c r="AI881" s="135"/>
      <c r="AJ881" s="135"/>
      <c r="AK881" s="135"/>
      <c r="AL881" s="135"/>
    </row>
    <row r="882" spans="11:38">
      <c r="K882" s="135"/>
      <c r="L882" s="135"/>
      <c r="M882" s="135"/>
      <c r="N882" s="135"/>
      <c r="O882" s="135"/>
      <c r="P882" s="135"/>
      <c r="Q882" s="135"/>
      <c r="R882" s="135"/>
      <c r="S882" s="135"/>
      <c r="T882" s="135"/>
      <c r="U882" s="135"/>
      <c r="V882" s="135"/>
      <c r="W882" s="135"/>
      <c r="X882" s="135"/>
      <c r="Y882" s="135"/>
      <c r="Z882" s="135"/>
      <c r="AA882" s="135"/>
      <c r="AB882" s="135"/>
      <c r="AC882" s="135"/>
      <c r="AD882" s="135"/>
      <c r="AE882" s="135"/>
      <c r="AF882" s="135"/>
      <c r="AG882" s="135"/>
      <c r="AH882" s="135"/>
      <c r="AI882" s="135"/>
      <c r="AJ882" s="135"/>
      <c r="AK882" s="135"/>
      <c r="AL882" s="135"/>
    </row>
    <row r="883" spans="11:38">
      <c r="K883" s="135"/>
      <c r="L883" s="135"/>
      <c r="M883" s="135"/>
      <c r="N883" s="135"/>
      <c r="O883" s="135"/>
      <c r="P883" s="135"/>
      <c r="Q883" s="135"/>
      <c r="R883" s="135"/>
      <c r="S883" s="135"/>
      <c r="T883" s="135"/>
      <c r="U883" s="135"/>
      <c r="V883" s="135"/>
      <c r="W883" s="135"/>
      <c r="X883" s="135"/>
      <c r="Y883" s="135"/>
      <c r="Z883" s="135"/>
      <c r="AA883" s="135"/>
      <c r="AB883" s="135"/>
      <c r="AC883" s="135"/>
      <c r="AD883" s="135"/>
      <c r="AE883" s="135"/>
      <c r="AF883" s="135"/>
      <c r="AG883" s="135"/>
      <c r="AH883" s="135"/>
      <c r="AI883" s="135"/>
      <c r="AJ883" s="135"/>
      <c r="AK883" s="135"/>
      <c r="AL883" s="135"/>
    </row>
    <row r="884" spans="11:38">
      <c r="K884" s="135"/>
      <c r="L884" s="135"/>
      <c r="M884" s="135"/>
      <c r="N884" s="135"/>
      <c r="O884" s="135"/>
      <c r="P884" s="135"/>
      <c r="Q884" s="135"/>
      <c r="R884" s="135"/>
      <c r="S884" s="135"/>
      <c r="T884" s="135"/>
      <c r="U884" s="135"/>
      <c r="V884" s="135"/>
      <c r="W884" s="135"/>
      <c r="X884" s="135"/>
      <c r="Y884" s="135"/>
      <c r="Z884" s="135"/>
      <c r="AA884" s="135"/>
      <c r="AB884" s="135"/>
      <c r="AC884" s="135"/>
      <c r="AD884" s="135"/>
      <c r="AE884" s="135"/>
      <c r="AF884" s="135"/>
      <c r="AG884" s="135"/>
      <c r="AH884" s="135"/>
      <c r="AI884" s="135"/>
      <c r="AJ884" s="135"/>
      <c r="AK884" s="135"/>
      <c r="AL884" s="135"/>
    </row>
    <row r="885" spans="11:38">
      <c r="K885" s="135"/>
      <c r="L885" s="135"/>
      <c r="M885" s="135"/>
      <c r="N885" s="135"/>
      <c r="O885" s="135"/>
      <c r="P885" s="135"/>
      <c r="Q885" s="135"/>
      <c r="R885" s="135"/>
      <c r="S885" s="135"/>
      <c r="T885" s="135"/>
      <c r="U885" s="135"/>
      <c r="V885" s="135"/>
      <c r="W885" s="135"/>
      <c r="X885" s="135"/>
      <c r="Y885" s="135"/>
      <c r="Z885" s="135"/>
      <c r="AA885" s="135"/>
      <c r="AB885" s="135"/>
      <c r="AC885" s="135"/>
      <c r="AD885" s="135"/>
      <c r="AE885" s="135"/>
      <c r="AF885" s="135"/>
      <c r="AG885" s="135"/>
      <c r="AH885" s="135"/>
      <c r="AI885" s="135"/>
      <c r="AJ885" s="135"/>
      <c r="AK885" s="135"/>
      <c r="AL885" s="135"/>
    </row>
    <row r="886" spans="11:38">
      <c r="K886" s="135"/>
      <c r="L886" s="135"/>
      <c r="M886" s="135"/>
      <c r="N886" s="135"/>
      <c r="O886" s="135"/>
      <c r="P886" s="135"/>
      <c r="Q886" s="135"/>
      <c r="R886" s="135"/>
      <c r="S886" s="135"/>
      <c r="T886" s="135"/>
      <c r="U886" s="135"/>
      <c r="V886" s="135"/>
      <c r="W886" s="135"/>
      <c r="X886" s="135"/>
      <c r="Y886" s="135"/>
      <c r="Z886" s="135"/>
      <c r="AA886" s="135"/>
      <c r="AB886" s="135"/>
      <c r="AC886" s="135"/>
      <c r="AD886" s="135"/>
      <c r="AE886" s="135"/>
      <c r="AF886" s="135"/>
      <c r="AG886" s="135"/>
      <c r="AH886" s="135"/>
      <c r="AI886" s="135"/>
      <c r="AJ886" s="135"/>
      <c r="AK886" s="135"/>
      <c r="AL886" s="135"/>
    </row>
    <row r="887" spans="11:38">
      <c r="K887" s="135"/>
      <c r="L887" s="135"/>
      <c r="M887" s="135"/>
      <c r="N887" s="135"/>
      <c r="O887" s="135"/>
      <c r="P887" s="135"/>
      <c r="Q887" s="135"/>
      <c r="R887" s="135"/>
      <c r="S887" s="135"/>
      <c r="T887" s="135"/>
      <c r="U887" s="135"/>
      <c r="V887" s="135"/>
      <c r="W887" s="135"/>
      <c r="X887" s="135"/>
      <c r="Y887" s="135"/>
      <c r="Z887" s="135"/>
      <c r="AA887" s="135"/>
      <c r="AB887" s="135"/>
      <c r="AC887" s="135"/>
      <c r="AD887" s="135"/>
      <c r="AE887" s="135"/>
      <c r="AF887" s="135"/>
      <c r="AG887" s="135"/>
      <c r="AH887" s="135"/>
      <c r="AI887" s="135"/>
      <c r="AJ887" s="135"/>
      <c r="AK887" s="135"/>
      <c r="AL887" s="135"/>
    </row>
    <row r="888" spans="11:38">
      <c r="K888" s="135"/>
      <c r="L888" s="135"/>
      <c r="M888" s="135"/>
      <c r="N888" s="135"/>
      <c r="O888" s="135"/>
      <c r="P888" s="135"/>
      <c r="Q888" s="135"/>
      <c r="R888" s="135"/>
      <c r="S888" s="135"/>
      <c r="T888" s="135"/>
      <c r="U888" s="135"/>
      <c r="V888" s="135"/>
      <c r="W888" s="135"/>
      <c r="X888" s="135"/>
      <c r="Y888" s="135"/>
      <c r="Z888" s="135"/>
      <c r="AA888" s="135"/>
      <c r="AB888" s="135"/>
      <c r="AC888" s="135"/>
      <c r="AD888" s="135"/>
      <c r="AE888" s="135"/>
      <c r="AF888" s="135"/>
      <c r="AG888" s="135"/>
      <c r="AH888" s="135"/>
      <c r="AI888" s="135"/>
      <c r="AJ888" s="135"/>
      <c r="AK888" s="135"/>
      <c r="AL888" s="135"/>
    </row>
    <row r="889" spans="11:38">
      <c r="K889" s="135"/>
      <c r="L889" s="135"/>
      <c r="M889" s="135"/>
      <c r="N889" s="135"/>
      <c r="O889" s="135"/>
      <c r="P889" s="135"/>
      <c r="Q889" s="135"/>
      <c r="R889" s="135"/>
      <c r="S889" s="135"/>
      <c r="T889" s="135"/>
      <c r="U889" s="135"/>
      <c r="V889" s="135"/>
      <c r="W889" s="135"/>
      <c r="X889" s="135"/>
      <c r="Y889" s="135"/>
      <c r="Z889" s="135"/>
      <c r="AA889" s="135"/>
      <c r="AB889" s="135"/>
      <c r="AC889" s="135"/>
      <c r="AD889" s="135"/>
      <c r="AE889" s="135"/>
      <c r="AF889" s="135"/>
      <c r="AG889" s="135"/>
      <c r="AH889" s="135"/>
      <c r="AI889" s="135"/>
      <c r="AJ889" s="135"/>
      <c r="AK889" s="135"/>
      <c r="AL889" s="135"/>
    </row>
    <row r="890" spans="11:38">
      <c r="K890" s="135"/>
      <c r="L890" s="135"/>
      <c r="M890" s="135"/>
      <c r="N890" s="135"/>
      <c r="O890" s="135"/>
      <c r="P890" s="135"/>
      <c r="Q890" s="135"/>
      <c r="R890" s="135"/>
      <c r="S890" s="135"/>
      <c r="T890" s="135"/>
      <c r="U890" s="135"/>
      <c r="V890" s="135"/>
      <c r="W890" s="135"/>
      <c r="X890" s="135"/>
      <c r="Y890" s="135"/>
      <c r="Z890" s="135"/>
      <c r="AA890" s="135"/>
      <c r="AB890" s="135"/>
      <c r="AC890" s="135"/>
      <c r="AD890" s="135"/>
      <c r="AE890" s="135"/>
      <c r="AF890" s="135"/>
      <c r="AG890" s="135"/>
      <c r="AH890" s="135"/>
      <c r="AI890" s="135"/>
      <c r="AJ890" s="135"/>
      <c r="AK890" s="135"/>
      <c r="AL890" s="135"/>
    </row>
    <row r="891" spans="11:38">
      <c r="K891" s="135"/>
      <c r="L891" s="135"/>
      <c r="M891" s="135"/>
      <c r="N891" s="135"/>
      <c r="O891" s="135"/>
      <c r="P891" s="135"/>
      <c r="Q891" s="135"/>
      <c r="R891" s="135"/>
      <c r="S891" s="135"/>
      <c r="T891" s="135"/>
      <c r="U891" s="135"/>
      <c r="V891" s="135"/>
      <c r="W891" s="135"/>
      <c r="X891" s="135"/>
      <c r="Y891" s="135"/>
      <c r="Z891" s="135"/>
      <c r="AA891" s="135"/>
      <c r="AB891" s="135"/>
      <c r="AC891" s="135"/>
      <c r="AD891" s="135"/>
      <c r="AE891" s="135"/>
      <c r="AF891" s="135"/>
      <c r="AG891" s="135"/>
      <c r="AH891" s="135"/>
      <c r="AI891" s="135"/>
      <c r="AJ891" s="135"/>
      <c r="AK891" s="135"/>
      <c r="AL891" s="135"/>
    </row>
    <row r="892" spans="11:38">
      <c r="K892" s="135"/>
      <c r="L892" s="135"/>
      <c r="M892" s="135"/>
      <c r="N892" s="135"/>
      <c r="O892" s="135"/>
      <c r="P892" s="135"/>
      <c r="Q892" s="135"/>
      <c r="R892" s="135"/>
      <c r="S892" s="135"/>
      <c r="T892" s="135"/>
      <c r="U892" s="135"/>
      <c r="V892" s="135"/>
      <c r="W892" s="135"/>
      <c r="X892" s="135"/>
      <c r="Y892" s="135"/>
      <c r="Z892" s="135"/>
      <c r="AA892" s="135"/>
      <c r="AB892" s="135"/>
      <c r="AC892" s="135"/>
      <c r="AD892" s="135"/>
      <c r="AE892" s="135"/>
      <c r="AF892" s="135"/>
      <c r="AG892" s="135"/>
      <c r="AH892" s="135"/>
      <c r="AI892" s="135"/>
      <c r="AJ892" s="135"/>
      <c r="AK892" s="135"/>
      <c r="AL892" s="135"/>
    </row>
    <row r="893" spans="11:38">
      <c r="K893" s="135"/>
      <c r="L893" s="135"/>
      <c r="M893" s="135"/>
      <c r="N893" s="135"/>
      <c r="O893" s="135"/>
      <c r="P893" s="135"/>
      <c r="Q893" s="135"/>
      <c r="R893" s="135"/>
      <c r="S893" s="135"/>
      <c r="T893" s="135"/>
      <c r="U893" s="135"/>
      <c r="V893" s="135"/>
      <c r="W893" s="135"/>
      <c r="X893" s="135"/>
      <c r="Y893" s="135"/>
      <c r="Z893" s="135"/>
      <c r="AA893" s="135"/>
      <c r="AB893" s="135"/>
      <c r="AC893" s="135"/>
      <c r="AD893" s="135"/>
      <c r="AE893" s="135"/>
      <c r="AF893" s="135"/>
      <c r="AG893" s="135"/>
      <c r="AH893" s="135"/>
      <c r="AI893" s="135"/>
      <c r="AJ893" s="135"/>
      <c r="AK893" s="135"/>
      <c r="AL893" s="135"/>
    </row>
    <row r="894" spans="11:38">
      <c r="K894" s="135"/>
      <c r="L894" s="135"/>
      <c r="M894" s="135"/>
      <c r="N894" s="135"/>
      <c r="O894" s="135"/>
      <c r="P894" s="135"/>
      <c r="Q894" s="135"/>
      <c r="R894" s="135"/>
      <c r="S894" s="135"/>
      <c r="T894" s="135"/>
      <c r="U894" s="135"/>
      <c r="V894" s="135"/>
      <c r="W894" s="135"/>
      <c r="X894" s="135"/>
      <c r="Y894" s="135"/>
      <c r="Z894" s="135"/>
      <c r="AA894" s="135"/>
      <c r="AB894" s="135"/>
      <c r="AC894" s="135"/>
      <c r="AD894" s="135"/>
      <c r="AE894" s="135"/>
      <c r="AF894" s="135"/>
      <c r="AG894" s="135"/>
      <c r="AH894" s="135"/>
      <c r="AI894" s="135"/>
      <c r="AJ894" s="135"/>
      <c r="AK894" s="135"/>
      <c r="AL894" s="135"/>
    </row>
    <row r="895" spans="11:38">
      <c r="K895" s="135"/>
      <c r="L895" s="135"/>
      <c r="M895" s="135"/>
      <c r="N895" s="135"/>
      <c r="O895" s="135"/>
      <c r="P895" s="135"/>
      <c r="Q895" s="135"/>
      <c r="R895" s="135"/>
      <c r="S895" s="135"/>
      <c r="T895" s="135"/>
      <c r="U895" s="135"/>
      <c r="V895" s="135"/>
      <c r="W895" s="135"/>
      <c r="X895" s="135"/>
      <c r="Y895" s="135"/>
      <c r="Z895" s="135"/>
      <c r="AA895" s="135"/>
      <c r="AB895" s="135"/>
      <c r="AC895" s="135"/>
      <c r="AD895" s="135"/>
      <c r="AE895" s="135"/>
      <c r="AF895" s="135"/>
      <c r="AG895" s="135"/>
      <c r="AH895" s="135"/>
      <c r="AI895" s="135"/>
      <c r="AJ895" s="135"/>
      <c r="AK895" s="135"/>
      <c r="AL895" s="135"/>
    </row>
    <row r="896" spans="11:38">
      <c r="K896" s="135"/>
      <c r="L896" s="135"/>
      <c r="M896" s="135"/>
      <c r="N896" s="135"/>
      <c r="O896" s="135"/>
      <c r="P896" s="135"/>
      <c r="Q896" s="135"/>
      <c r="R896" s="135"/>
      <c r="S896" s="135"/>
      <c r="T896" s="135"/>
      <c r="U896" s="135"/>
      <c r="V896" s="135"/>
      <c r="W896" s="135"/>
      <c r="X896" s="135"/>
      <c r="Y896" s="135"/>
      <c r="Z896" s="135"/>
      <c r="AA896" s="135"/>
      <c r="AB896" s="135"/>
      <c r="AC896" s="135"/>
      <c r="AD896" s="135"/>
      <c r="AE896" s="135"/>
      <c r="AF896" s="135"/>
      <c r="AG896" s="135"/>
      <c r="AH896" s="135"/>
      <c r="AI896" s="135"/>
      <c r="AJ896" s="135"/>
      <c r="AK896" s="135"/>
      <c r="AL896" s="135"/>
    </row>
    <row r="897" spans="11:38">
      <c r="K897" s="135"/>
      <c r="L897" s="135"/>
      <c r="M897" s="135"/>
      <c r="N897" s="135"/>
      <c r="O897" s="135"/>
      <c r="P897" s="135"/>
      <c r="Q897" s="135"/>
      <c r="R897" s="135"/>
      <c r="S897" s="135"/>
      <c r="T897" s="135"/>
      <c r="U897" s="135"/>
      <c r="V897" s="135"/>
      <c r="W897" s="135"/>
      <c r="X897" s="135"/>
      <c r="Y897" s="135"/>
      <c r="Z897" s="135"/>
      <c r="AA897" s="135"/>
      <c r="AB897" s="135"/>
      <c r="AC897" s="135"/>
      <c r="AD897" s="135"/>
      <c r="AE897" s="135"/>
      <c r="AF897" s="135"/>
      <c r="AG897" s="135"/>
      <c r="AH897" s="135"/>
      <c r="AI897" s="135"/>
      <c r="AJ897" s="135"/>
      <c r="AK897" s="135"/>
      <c r="AL897" s="135"/>
    </row>
    <row r="898" spans="11:38">
      <c r="K898" s="135"/>
      <c r="L898" s="135"/>
      <c r="M898" s="135"/>
      <c r="N898" s="135"/>
      <c r="O898" s="135"/>
      <c r="P898" s="135"/>
      <c r="Q898" s="135"/>
      <c r="R898" s="135"/>
      <c r="S898" s="135"/>
      <c r="T898" s="135"/>
      <c r="U898" s="135"/>
      <c r="V898" s="135"/>
      <c r="W898" s="135"/>
      <c r="X898" s="135"/>
      <c r="Y898" s="135"/>
      <c r="Z898" s="135"/>
      <c r="AA898" s="135"/>
      <c r="AB898" s="135"/>
      <c r="AC898" s="135"/>
      <c r="AD898" s="135"/>
      <c r="AE898" s="135"/>
      <c r="AF898" s="135"/>
      <c r="AG898" s="135"/>
      <c r="AH898" s="135"/>
      <c r="AI898" s="135"/>
      <c r="AJ898" s="135"/>
      <c r="AK898" s="135"/>
      <c r="AL898" s="135"/>
    </row>
    <row r="899" spans="11:38">
      <c r="K899" s="135"/>
      <c r="L899" s="135"/>
      <c r="M899" s="135"/>
      <c r="N899" s="135"/>
      <c r="O899" s="135"/>
      <c r="P899" s="135"/>
      <c r="Q899" s="135"/>
      <c r="R899" s="135"/>
      <c r="S899" s="135"/>
      <c r="T899" s="135"/>
      <c r="U899" s="135"/>
      <c r="V899" s="135"/>
      <c r="W899" s="135"/>
      <c r="X899" s="135"/>
      <c r="Y899" s="135"/>
      <c r="Z899" s="135"/>
      <c r="AA899" s="135"/>
      <c r="AB899" s="135"/>
      <c r="AC899" s="135"/>
      <c r="AD899" s="135"/>
      <c r="AE899" s="135"/>
      <c r="AF899" s="135"/>
      <c r="AG899" s="135"/>
      <c r="AH899" s="135"/>
      <c r="AI899" s="135"/>
      <c r="AJ899" s="135"/>
      <c r="AK899" s="135"/>
      <c r="AL899" s="135"/>
    </row>
    <row r="900" spans="11:38">
      <c r="K900" s="135"/>
      <c r="L900" s="135"/>
      <c r="M900" s="135"/>
      <c r="N900" s="135"/>
      <c r="O900" s="135"/>
      <c r="P900" s="135"/>
      <c r="Q900" s="135"/>
      <c r="R900" s="135"/>
      <c r="S900" s="135"/>
      <c r="T900" s="135"/>
      <c r="U900" s="135"/>
      <c r="V900" s="135"/>
      <c r="W900" s="135"/>
      <c r="X900" s="135"/>
      <c r="Y900" s="135"/>
      <c r="Z900" s="135"/>
      <c r="AA900" s="135"/>
      <c r="AB900" s="135"/>
      <c r="AC900" s="135"/>
      <c r="AD900" s="135"/>
      <c r="AE900" s="135"/>
      <c r="AF900" s="135"/>
      <c r="AG900" s="135"/>
      <c r="AH900" s="135"/>
      <c r="AI900" s="135"/>
      <c r="AJ900" s="135"/>
      <c r="AK900" s="135"/>
      <c r="AL900" s="135"/>
    </row>
    <row r="901" spans="11:38">
      <c r="K901" s="135"/>
      <c r="L901" s="135"/>
      <c r="M901" s="135"/>
      <c r="N901" s="135"/>
      <c r="O901" s="135"/>
      <c r="P901" s="135"/>
      <c r="Q901" s="135"/>
      <c r="R901" s="135"/>
      <c r="S901" s="135"/>
      <c r="T901" s="135"/>
      <c r="U901" s="135"/>
      <c r="V901" s="135"/>
      <c r="W901" s="135"/>
      <c r="X901" s="135"/>
      <c r="Y901" s="135"/>
      <c r="Z901" s="135"/>
      <c r="AA901" s="135"/>
      <c r="AB901" s="135"/>
      <c r="AC901" s="135"/>
      <c r="AD901" s="135"/>
      <c r="AE901" s="135"/>
      <c r="AF901" s="135"/>
      <c r="AG901" s="135"/>
      <c r="AH901" s="135"/>
      <c r="AI901" s="135"/>
      <c r="AJ901" s="135"/>
      <c r="AK901" s="135"/>
      <c r="AL901" s="135"/>
    </row>
    <row r="902" spans="11:38">
      <c r="K902" s="135"/>
      <c r="L902" s="135"/>
      <c r="M902" s="135"/>
      <c r="N902" s="135"/>
      <c r="O902" s="135"/>
      <c r="P902" s="135"/>
      <c r="Q902" s="135"/>
      <c r="R902" s="135"/>
      <c r="S902" s="135"/>
      <c r="T902" s="135"/>
      <c r="U902" s="135"/>
      <c r="V902" s="135"/>
      <c r="W902" s="135"/>
      <c r="X902" s="135"/>
      <c r="Y902" s="135"/>
      <c r="Z902" s="135"/>
      <c r="AA902" s="135"/>
      <c r="AB902" s="135"/>
      <c r="AC902" s="135"/>
      <c r="AD902" s="135"/>
      <c r="AE902" s="135"/>
      <c r="AF902" s="135"/>
      <c r="AG902" s="135"/>
      <c r="AH902" s="135"/>
      <c r="AI902" s="135"/>
      <c r="AJ902" s="135"/>
      <c r="AK902" s="135"/>
      <c r="AL902" s="135"/>
    </row>
    <row r="903" spans="11:38">
      <c r="K903" s="135"/>
      <c r="L903" s="135"/>
      <c r="M903" s="135"/>
      <c r="N903" s="135"/>
      <c r="O903" s="135"/>
      <c r="P903" s="135"/>
      <c r="Q903" s="135"/>
      <c r="R903" s="135"/>
      <c r="S903" s="135"/>
      <c r="T903" s="135"/>
      <c r="U903" s="135"/>
      <c r="V903" s="135"/>
      <c r="W903" s="135"/>
      <c r="X903" s="135"/>
      <c r="Y903" s="135"/>
      <c r="Z903" s="135"/>
      <c r="AA903" s="135"/>
      <c r="AB903" s="135"/>
      <c r="AC903" s="135"/>
      <c r="AD903" s="135"/>
      <c r="AE903" s="135"/>
      <c r="AF903" s="135"/>
      <c r="AG903" s="135"/>
      <c r="AH903" s="135"/>
      <c r="AI903" s="135"/>
      <c r="AJ903" s="135"/>
      <c r="AK903" s="135"/>
      <c r="AL903" s="135"/>
    </row>
    <row r="904" spans="11:38">
      <c r="K904" s="135"/>
      <c r="L904" s="135"/>
      <c r="M904" s="135"/>
      <c r="N904" s="135"/>
      <c r="O904" s="135"/>
      <c r="P904" s="135"/>
      <c r="Q904" s="135"/>
      <c r="R904" s="135"/>
      <c r="S904" s="135"/>
      <c r="T904" s="135"/>
      <c r="U904" s="135"/>
      <c r="V904" s="135"/>
      <c r="W904" s="135"/>
      <c r="X904" s="135"/>
      <c r="Y904" s="135"/>
      <c r="Z904" s="135"/>
      <c r="AA904" s="135"/>
      <c r="AB904" s="135"/>
      <c r="AC904" s="135"/>
      <c r="AD904" s="135"/>
      <c r="AE904" s="135"/>
      <c r="AF904" s="135"/>
      <c r="AG904" s="135"/>
      <c r="AH904" s="135"/>
      <c r="AI904" s="135"/>
      <c r="AJ904" s="135"/>
      <c r="AK904" s="135"/>
      <c r="AL904" s="135"/>
    </row>
    <row r="905" spans="11:38">
      <c r="K905" s="135"/>
      <c r="L905" s="135"/>
      <c r="M905" s="135"/>
      <c r="N905" s="135"/>
      <c r="O905" s="135"/>
      <c r="P905" s="135"/>
      <c r="Q905" s="135"/>
      <c r="R905" s="135"/>
      <c r="S905" s="135"/>
      <c r="T905" s="135"/>
      <c r="U905" s="135"/>
      <c r="V905" s="135"/>
      <c r="W905" s="135"/>
      <c r="X905" s="135"/>
      <c r="Y905" s="135"/>
      <c r="Z905" s="135"/>
      <c r="AA905" s="135"/>
      <c r="AB905" s="135"/>
      <c r="AC905" s="135"/>
      <c r="AD905" s="135"/>
      <c r="AE905" s="135"/>
      <c r="AF905" s="135"/>
      <c r="AG905" s="135"/>
      <c r="AH905" s="135"/>
      <c r="AI905" s="135"/>
      <c r="AJ905" s="135"/>
      <c r="AK905" s="135"/>
      <c r="AL905" s="135"/>
    </row>
    <row r="906" spans="11:38">
      <c r="K906" s="135"/>
      <c r="L906" s="135"/>
      <c r="M906" s="135"/>
      <c r="N906" s="135"/>
      <c r="O906" s="135"/>
      <c r="P906" s="135"/>
      <c r="Q906" s="135"/>
      <c r="R906" s="135"/>
      <c r="S906" s="135"/>
      <c r="T906" s="135"/>
      <c r="U906" s="135"/>
      <c r="V906" s="135"/>
      <c r="W906" s="135"/>
      <c r="X906" s="135"/>
      <c r="Y906" s="135"/>
      <c r="Z906" s="135"/>
      <c r="AA906" s="135"/>
      <c r="AB906" s="135"/>
      <c r="AC906" s="135"/>
      <c r="AD906" s="135"/>
      <c r="AE906" s="135"/>
      <c r="AF906" s="135"/>
      <c r="AG906" s="135"/>
      <c r="AH906" s="135"/>
      <c r="AI906" s="135"/>
      <c r="AJ906" s="135"/>
      <c r="AK906" s="135"/>
      <c r="AL906" s="135"/>
    </row>
    <row r="907" spans="11:38">
      <c r="K907" s="135"/>
      <c r="L907" s="135"/>
      <c r="M907" s="135"/>
      <c r="N907" s="135"/>
      <c r="O907" s="135"/>
      <c r="P907" s="135"/>
      <c r="Q907" s="135"/>
      <c r="R907" s="135"/>
      <c r="S907" s="135"/>
      <c r="T907" s="135"/>
      <c r="U907" s="135"/>
      <c r="V907" s="135"/>
      <c r="W907" s="135"/>
      <c r="X907" s="135"/>
      <c r="Y907" s="135"/>
      <c r="Z907" s="135"/>
      <c r="AA907" s="135"/>
      <c r="AB907" s="135"/>
      <c r="AC907" s="135"/>
      <c r="AD907" s="135"/>
      <c r="AE907" s="135"/>
      <c r="AF907" s="135"/>
      <c r="AG907" s="135"/>
      <c r="AH907" s="135"/>
      <c r="AI907" s="135"/>
      <c r="AJ907" s="135"/>
      <c r="AK907" s="135"/>
      <c r="AL907" s="135"/>
    </row>
    <row r="908" spans="11:38">
      <c r="K908" s="135"/>
      <c r="L908" s="135"/>
      <c r="M908" s="135"/>
      <c r="N908" s="135"/>
      <c r="O908" s="135"/>
      <c r="P908" s="135"/>
      <c r="Q908" s="135"/>
      <c r="R908" s="135"/>
      <c r="S908" s="135"/>
      <c r="T908" s="135"/>
      <c r="U908" s="135"/>
      <c r="V908" s="135"/>
      <c r="W908" s="135"/>
      <c r="X908" s="135"/>
      <c r="Y908" s="135"/>
      <c r="Z908" s="135"/>
      <c r="AA908" s="135"/>
      <c r="AB908" s="135"/>
      <c r="AC908" s="135"/>
      <c r="AD908" s="135"/>
      <c r="AE908" s="135"/>
      <c r="AF908" s="135"/>
      <c r="AG908" s="135"/>
      <c r="AH908" s="135"/>
      <c r="AI908" s="135"/>
      <c r="AJ908" s="135"/>
      <c r="AK908" s="135"/>
      <c r="AL908" s="135"/>
    </row>
    <row r="909" spans="11:38">
      <c r="K909" s="135"/>
      <c r="L909" s="135"/>
      <c r="M909" s="135"/>
      <c r="N909" s="135"/>
      <c r="O909" s="135"/>
      <c r="P909" s="135"/>
      <c r="Q909" s="135"/>
      <c r="R909" s="135"/>
      <c r="S909" s="135"/>
      <c r="T909" s="135"/>
      <c r="U909" s="135"/>
      <c r="V909" s="135"/>
      <c r="W909" s="135"/>
      <c r="X909" s="135"/>
      <c r="Y909" s="135"/>
      <c r="Z909" s="135"/>
      <c r="AA909" s="135"/>
      <c r="AB909" s="135"/>
      <c r="AC909" s="135"/>
      <c r="AD909" s="135"/>
      <c r="AE909" s="135"/>
      <c r="AF909" s="135"/>
      <c r="AG909" s="135"/>
      <c r="AH909" s="135"/>
      <c r="AI909" s="135"/>
      <c r="AJ909" s="135"/>
      <c r="AK909" s="135"/>
      <c r="AL909" s="135"/>
    </row>
    <row r="910" spans="11:38">
      <c r="K910" s="135"/>
      <c r="L910" s="135"/>
      <c r="M910" s="135"/>
      <c r="N910" s="135"/>
      <c r="O910" s="135"/>
      <c r="P910" s="135"/>
      <c r="Q910" s="135"/>
      <c r="R910" s="135"/>
      <c r="S910" s="135"/>
      <c r="T910" s="135"/>
      <c r="U910" s="135"/>
      <c r="V910" s="135"/>
      <c r="W910" s="135"/>
      <c r="X910" s="135"/>
      <c r="Y910" s="135"/>
      <c r="Z910" s="135"/>
      <c r="AA910" s="135"/>
      <c r="AB910" s="135"/>
      <c r="AC910" s="135"/>
      <c r="AD910" s="135"/>
      <c r="AE910" s="135"/>
      <c r="AF910" s="135"/>
      <c r="AG910" s="135"/>
      <c r="AH910" s="135"/>
      <c r="AI910" s="135"/>
      <c r="AJ910" s="135"/>
      <c r="AK910" s="135"/>
      <c r="AL910" s="135"/>
    </row>
    <row r="911" spans="11:38">
      <c r="K911" s="135"/>
      <c r="L911" s="135"/>
      <c r="M911" s="135"/>
      <c r="N911" s="135"/>
      <c r="O911" s="135"/>
      <c r="P911" s="135"/>
      <c r="Q911" s="135"/>
      <c r="R911" s="135"/>
      <c r="S911" s="135"/>
      <c r="T911" s="135"/>
      <c r="U911" s="135"/>
      <c r="V911" s="135"/>
      <c r="W911" s="135"/>
      <c r="X911" s="135"/>
      <c r="Y911" s="135"/>
      <c r="Z911" s="135"/>
      <c r="AA911" s="135"/>
      <c r="AB911" s="135"/>
      <c r="AC911" s="135"/>
      <c r="AD911" s="135"/>
      <c r="AE911" s="135"/>
      <c r="AF911" s="135"/>
      <c r="AG911" s="135"/>
      <c r="AH911" s="135"/>
      <c r="AI911" s="135"/>
      <c r="AJ911" s="135"/>
      <c r="AK911" s="135"/>
      <c r="AL911" s="135"/>
    </row>
    <row r="912" spans="11:38">
      <c r="K912" s="135"/>
      <c r="L912" s="135"/>
      <c r="M912" s="135"/>
      <c r="N912" s="135"/>
      <c r="O912" s="135"/>
      <c r="P912" s="135"/>
      <c r="Q912" s="135"/>
      <c r="R912" s="135"/>
      <c r="S912" s="135"/>
      <c r="T912" s="135"/>
      <c r="U912" s="135"/>
      <c r="V912" s="135"/>
      <c r="W912" s="135"/>
      <c r="X912" s="135"/>
      <c r="Y912" s="135"/>
      <c r="Z912" s="135"/>
      <c r="AA912" s="135"/>
      <c r="AB912" s="135"/>
      <c r="AC912" s="135"/>
      <c r="AD912" s="135"/>
      <c r="AE912" s="135"/>
      <c r="AF912" s="135"/>
      <c r="AG912" s="135"/>
      <c r="AH912" s="135"/>
      <c r="AI912" s="135"/>
      <c r="AJ912" s="135"/>
      <c r="AK912" s="135"/>
      <c r="AL912" s="135"/>
    </row>
    <row r="913" spans="11:38">
      <c r="K913" s="135"/>
      <c r="L913" s="135"/>
      <c r="M913" s="135"/>
      <c r="N913" s="135"/>
      <c r="O913" s="135"/>
      <c r="P913" s="135"/>
      <c r="Q913" s="135"/>
      <c r="R913" s="135"/>
      <c r="S913" s="135"/>
      <c r="T913" s="135"/>
      <c r="U913" s="135"/>
      <c r="V913" s="135"/>
      <c r="W913" s="135"/>
      <c r="X913" s="135"/>
      <c r="Y913" s="135"/>
      <c r="Z913" s="135"/>
      <c r="AA913" s="135"/>
      <c r="AB913" s="135"/>
      <c r="AC913" s="135"/>
      <c r="AD913" s="135"/>
      <c r="AE913" s="135"/>
      <c r="AF913" s="135"/>
      <c r="AG913" s="135"/>
      <c r="AH913" s="135"/>
      <c r="AI913" s="135"/>
      <c r="AJ913" s="135"/>
      <c r="AK913" s="135"/>
      <c r="AL913" s="135"/>
    </row>
    <row r="914" spans="11:38">
      <c r="K914" s="135"/>
      <c r="L914" s="135"/>
      <c r="M914" s="135"/>
      <c r="N914" s="135"/>
      <c r="O914" s="135"/>
      <c r="P914" s="135"/>
      <c r="Q914" s="135"/>
      <c r="R914" s="135"/>
      <c r="S914" s="135"/>
      <c r="T914" s="135"/>
      <c r="U914" s="135"/>
      <c r="V914" s="135"/>
      <c r="W914" s="135"/>
      <c r="X914" s="135"/>
      <c r="Y914" s="135"/>
      <c r="Z914" s="135"/>
      <c r="AA914" s="135"/>
      <c r="AB914" s="135"/>
      <c r="AC914" s="135"/>
      <c r="AD914" s="135"/>
      <c r="AE914" s="135"/>
      <c r="AF914" s="135"/>
      <c r="AG914" s="135"/>
      <c r="AH914" s="135"/>
      <c r="AI914" s="135"/>
      <c r="AJ914" s="135"/>
      <c r="AK914" s="135"/>
      <c r="AL914" s="135"/>
    </row>
    <row r="915" spans="11:38">
      <c r="K915" s="135"/>
      <c r="L915" s="135"/>
      <c r="M915" s="135"/>
      <c r="N915" s="135"/>
      <c r="O915" s="135"/>
      <c r="P915" s="135"/>
      <c r="Q915" s="135"/>
      <c r="R915" s="135"/>
      <c r="S915" s="135"/>
      <c r="T915" s="135"/>
      <c r="U915" s="135"/>
      <c r="V915" s="135"/>
      <c r="W915" s="135"/>
      <c r="X915" s="135"/>
      <c r="Y915" s="135"/>
      <c r="Z915" s="135"/>
      <c r="AA915" s="135"/>
      <c r="AB915" s="135"/>
      <c r="AC915" s="135"/>
      <c r="AD915" s="135"/>
      <c r="AE915" s="135"/>
      <c r="AF915" s="135"/>
      <c r="AG915" s="135"/>
      <c r="AH915" s="135"/>
      <c r="AI915" s="135"/>
      <c r="AJ915" s="135"/>
      <c r="AK915" s="135"/>
      <c r="AL915" s="135"/>
    </row>
    <row r="916" spans="11:38">
      <c r="K916" s="135"/>
      <c r="L916" s="135"/>
      <c r="M916" s="135"/>
      <c r="N916" s="135"/>
      <c r="O916" s="135"/>
      <c r="P916" s="135"/>
      <c r="Q916" s="135"/>
      <c r="R916" s="135"/>
      <c r="S916" s="135"/>
      <c r="T916" s="135"/>
      <c r="U916" s="135"/>
      <c r="V916" s="135"/>
      <c r="W916" s="135"/>
      <c r="X916" s="135"/>
      <c r="Y916" s="135"/>
      <c r="Z916" s="135"/>
      <c r="AA916" s="135"/>
      <c r="AB916" s="135"/>
      <c r="AC916" s="135"/>
      <c r="AD916" s="135"/>
      <c r="AE916" s="135"/>
      <c r="AF916" s="135"/>
      <c r="AG916" s="135"/>
      <c r="AH916" s="135"/>
      <c r="AI916" s="135"/>
      <c r="AJ916" s="135"/>
      <c r="AK916" s="135"/>
      <c r="AL916" s="135"/>
    </row>
    <row r="917" spans="11:38">
      <c r="K917" s="135"/>
      <c r="L917" s="135"/>
      <c r="M917" s="135"/>
      <c r="N917" s="135"/>
      <c r="O917" s="135"/>
      <c r="P917" s="135"/>
      <c r="Q917" s="135"/>
      <c r="R917" s="135"/>
      <c r="S917" s="135"/>
      <c r="T917" s="135"/>
      <c r="U917" s="135"/>
      <c r="V917" s="135"/>
      <c r="W917" s="135"/>
      <c r="X917" s="135"/>
      <c r="Y917" s="135"/>
      <c r="Z917" s="135"/>
      <c r="AA917" s="135"/>
      <c r="AB917" s="135"/>
      <c r="AC917" s="135"/>
      <c r="AD917" s="135"/>
      <c r="AE917" s="135"/>
      <c r="AF917" s="135"/>
      <c r="AG917" s="135"/>
      <c r="AH917" s="135"/>
      <c r="AI917" s="135"/>
      <c r="AJ917" s="135"/>
      <c r="AK917" s="135"/>
      <c r="AL917" s="135"/>
    </row>
  </sheetData>
  <sheetProtection algorithmName="SHA-512" hashValue="mBj66IPnBEA7LYN60FCby63ZJ+3QnV4qjlMIUHAV5xSYk+mpUVeeI3HCFasm5FuQYd+ZZ3l/DO0lOWrjQFAJiw==" saltValue="t6/Um9gh4JdFDeUjJmZwQQ==" spinCount="100000" sheet="1" formatCells="0" formatColumns="0" formatRows="0"/>
  <mergeCells count="40">
    <mergeCell ref="AW28:AY28"/>
    <mergeCell ref="AW36:AY36"/>
    <mergeCell ref="A3:A11"/>
    <mergeCell ref="B3:E3"/>
    <mergeCell ref="B4:E4"/>
    <mergeCell ref="AW23:AY23"/>
    <mergeCell ref="B8:E8"/>
    <mergeCell ref="B9:E9"/>
    <mergeCell ref="B10:E10"/>
    <mergeCell ref="B5:E5"/>
    <mergeCell ref="B6:E6"/>
    <mergeCell ref="B7:E7"/>
    <mergeCell ref="AS12:AY13"/>
    <mergeCell ref="B11:E11"/>
    <mergeCell ref="D13:AP13"/>
    <mergeCell ref="AS14:AU14"/>
    <mergeCell ref="BN21:BP21"/>
    <mergeCell ref="BJ14:BL14"/>
    <mergeCell ref="BJ21:BL21"/>
    <mergeCell ref="BN14:BP14"/>
    <mergeCell ref="BA14:BC14"/>
    <mergeCell ref="BE14:BG14"/>
    <mergeCell ref="BA21:BC21"/>
    <mergeCell ref="BE21:BG21"/>
    <mergeCell ref="BA12:BH13"/>
    <mergeCell ref="BN36:BP36"/>
    <mergeCell ref="BJ36:BL36"/>
    <mergeCell ref="D67:AP67"/>
    <mergeCell ref="A1:B1"/>
    <mergeCell ref="AH64:AI64"/>
    <mergeCell ref="D39:AP39"/>
    <mergeCell ref="AH38:AI38"/>
    <mergeCell ref="AS63:AY63"/>
    <mergeCell ref="AS29:AU29"/>
    <mergeCell ref="BN32:BP32"/>
    <mergeCell ref="AS11:AY11"/>
    <mergeCell ref="AS25:AU25"/>
    <mergeCell ref="AS21:AU21"/>
    <mergeCell ref="AW14:AY14"/>
    <mergeCell ref="BJ12:BP13"/>
  </mergeCells>
  <conditionalFormatting sqref="B11">
    <cfRule type="expression" dxfId="1" priority="1">
      <formula>B$40=FALSE</formula>
    </cfRule>
  </conditionalFormatting>
  <hyperlinks>
    <hyperlink ref="AS11" location="Content!A1" display="Go to Content" xr:uid="{C6EF0686-7182-4FEF-AA87-AFFC1855C47C}"/>
    <hyperlink ref="AS11:AX11" location="Content!A1" display="Go to Inhalt Sheet" xr:uid="{6BDDF5C6-9015-4ADF-905E-DB3DF3734EEA}"/>
    <hyperlink ref="AS11:AY11" location="Main_Results!A1" display="Go to Main Results" xr:uid="{39427194-5052-47F7-B3F3-488933FC8A75}"/>
    <hyperlink ref="AS63" location="Content!A1" display="Go to Content" xr:uid="{49139C5C-7B97-48D5-B0A0-79003D886FDA}"/>
    <hyperlink ref="AS63:AX63" location="Content!A1" display="Go to Inhalt Sheet" xr:uid="{E25258EF-119E-49B1-87AA-448AFD9C0653}"/>
    <hyperlink ref="AS63:AY63" location="Main_Results!A1" display="Go to Main Results" xr:uid="{AC8BB498-B81F-4B42-85D0-D88C0DE40609}"/>
    <hyperlink ref="B7:L7" location="Content!A1" display="Go to Inhalt Sheet" xr:uid="{262F8F4A-AC42-4A47-B73B-F977FC1F970D}"/>
    <hyperlink ref="B7" location="Content!A1" display="Go to Content" xr:uid="{E19135CF-6D4C-42F1-98B6-9D4E770F5CA0}"/>
    <hyperlink ref="B7:E7" location="Content!A1" display="Go to Content" xr:uid="{E3903E31-5430-48DB-B2C6-8F0AE3BA0657}"/>
    <hyperlink ref="A1" location="Content!A1" display="Go to Content" xr:uid="{5D77C065-91AD-4D8D-B5A6-C237A21140EA}"/>
    <hyperlink ref="A1:B1" location="Content!A1" display="Go to Content Sheet" xr:uid="{D78A3DC8-9992-4F76-B842-65541E9D1BB5}"/>
  </hyperlinks>
  <pageMargins left="0.7" right="0.7" top="0.78740157499999996" bottom="0.78740157499999996"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C29BF-B15A-4865-8B29-C6B25745F5C5}">
  <sheetPr codeName="Tabelle16">
    <tabColor theme="7" tint="0.79998168889431442"/>
    <outlinePr summaryBelow="0"/>
  </sheetPr>
  <dimension ref="A1:XFD60"/>
  <sheetViews>
    <sheetView topLeftCell="A3" zoomScaleNormal="100" workbookViewId="0">
      <selection activeCell="I19" sqref="I19"/>
    </sheetView>
  </sheetViews>
  <sheetFormatPr baseColWidth="10" defaultColWidth="11.140625" defaultRowHeight="12.75" outlineLevelRow="1"/>
  <cols>
    <col min="1" max="1" width="5.42578125" style="42" customWidth="1"/>
    <col min="2" max="2" width="92.140625" style="42" bestFit="1" customWidth="1"/>
    <col min="3" max="3" width="9.140625" style="42" customWidth="1"/>
    <col min="4" max="4" width="10.5703125" style="42" customWidth="1"/>
    <col min="5" max="5" width="10" style="42" customWidth="1"/>
    <col min="6" max="6" width="9.85546875" style="42" bestFit="1" customWidth="1"/>
    <col min="7" max="7" width="11.140625" style="42" customWidth="1"/>
    <col min="8" max="21" width="9.140625" style="42" bestFit="1" customWidth="1"/>
    <col min="22" max="16384" width="11.140625" style="42"/>
  </cols>
  <sheetData>
    <row r="1" spans="1:1058 16201:16384" ht="14.85" customHeight="1">
      <c r="A1" s="1247" t="s">
        <v>592</v>
      </c>
      <c r="B1" s="1247"/>
      <c r="C1" s="6"/>
      <c r="D1" s="6"/>
      <c r="E1" s="6"/>
      <c r="F1" s="6"/>
      <c r="G1" s="6"/>
      <c r="H1" s="6"/>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JH1" s="223"/>
      <c r="JI1" s="223"/>
      <c r="JJ1" s="223"/>
      <c r="JK1" s="223"/>
      <c r="JL1" s="223"/>
      <c r="JM1" s="223"/>
      <c r="JN1" s="223"/>
      <c r="JO1" s="223"/>
      <c r="JP1" s="223"/>
      <c r="JQ1" s="223"/>
      <c r="JR1" s="223"/>
      <c r="JS1" s="223"/>
      <c r="JT1" s="223"/>
      <c r="JU1" s="223"/>
      <c r="JV1" s="223"/>
      <c r="JW1" s="223"/>
      <c r="JX1" s="223"/>
      <c r="JY1" s="223"/>
      <c r="JZ1" s="223"/>
      <c r="KA1" s="223"/>
      <c r="KB1" s="223"/>
      <c r="KC1" s="223"/>
      <c r="KD1" s="223"/>
      <c r="KE1" s="223"/>
      <c r="KF1" s="223"/>
      <c r="KG1" s="223"/>
      <c r="KH1" s="223"/>
      <c r="KI1" s="223"/>
      <c r="KJ1" s="223"/>
      <c r="KK1" s="223"/>
      <c r="KL1" s="223"/>
      <c r="KM1" s="223"/>
      <c r="KN1" s="223"/>
      <c r="KO1" s="223"/>
      <c r="KP1" s="223"/>
      <c r="KQ1" s="223"/>
      <c r="KR1" s="223"/>
      <c r="KS1" s="223"/>
      <c r="KT1" s="223"/>
      <c r="KU1" s="223"/>
      <c r="KV1" s="223"/>
      <c r="KW1" s="223"/>
      <c r="KX1" s="223"/>
      <c r="KY1" s="223"/>
      <c r="KZ1" s="223"/>
      <c r="LA1" s="223"/>
      <c r="LB1" s="223"/>
      <c r="LC1" s="223"/>
      <c r="LD1" s="223"/>
      <c r="LE1" s="223"/>
      <c r="LF1" s="223"/>
      <c r="LG1" s="223"/>
      <c r="LH1" s="223"/>
      <c r="LI1" s="223"/>
      <c r="LJ1" s="223"/>
      <c r="LK1" s="223"/>
      <c r="LL1" s="223"/>
      <c r="LM1" s="223"/>
      <c r="LN1" s="223"/>
      <c r="LO1" s="223"/>
      <c r="LP1" s="223"/>
      <c r="LQ1" s="223"/>
      <c r="LR1" s="223"/>
      <c r="LS1" s="223"/>
      <c r="LT1" s="223"/>
      <c r="LU1" s="223"/>
      <c r="LV1" s="223"/>
      <c r="LW1" s="223"/>
      <c r="LX1" s="223"/>
      <c r="LY1" s="223"/>
      <c r="LZ1" s="223"/>
      <c r="MA1" s="223"/>
      <c r="MB1" s="223"/>
      <c r="MC1" s="223"/>
      <c r="MD1" s="223"/>
      <c r="ME1" s="223"/>
      <c r="MF1" s="223"/>
      <c r="MG1" s="223"/>
      <c r="MH1" s="223"/>
      <c r="MI1" s="223"/>
      <c r="MJ1" s="223"/>
      <c r="MK1" s="223"/>
      <c r="ML1" s="223"/>
      <c r="MM1" s="223"/>
      <c r="MN1" s="223"/>
      <c r="MO1" s="223"/>
      <c r="MP1" s="223"/>
      <c r="MQ1" s="223"/>
      <c r="MR1" s="223"/>
      <c r="MS1" s="223"/>
      <c r="MT1" s="223"/>
      <c r="MU1" s="223"/>
      <c r="MV1" s="223"/>
      <c r="MW1" s="223"/>
      <c r="MX1" s="223"/>
      <c r="MY1" s="223"/>
      <c r="MZ1" s="223"/>
      <c r="NA1" s="223"/>
      <c r="NB1" s="223"/>
      <c r="NC1" s="223"/>
      <c r="ND1" s="223"/>
      <c r="NE1" s="223"/>
      <c r="NF1" s="223"/>
      <c r="NG1" s="223"/>
      <c r="NH1" s="223"/>
      <c r="NI1" s="223"/>
      <c r="NJ1" s="223"/>
      <c r="NK1" s="223"/>
      <c r="NL1" s="223"/>
      <c r="NM1" s="223"/>
      <c r="NN1" s="223"/>
      <c r="NO1" s="223"/>
      <c r="NP1" s="223"/>
      <c r="NQ1" s="223"/>
      <c r="NR1" s="223"/>
      <c r="NS1" s="223"/>
      <c r="NT1" s="223"/>
      <c r="NU1" s="223"/>
      <c r="NV1" s="223"/>
      <c r="NW1" s="223"/>
      <c r="NX1" s="223"/>
      <c r="NY1" s="223"/>
      <c r="NZ1" s="223"/>
      <c r="OA1" s="223"/>
      <c r="OB1" s="223"/>
      <c r="OC1" s="223"/>
      <c r="OD1" s="223"/>
      <c r="OE1" s="223"/>
      <c r="OF1" s="223"/>
      <c r="OG1" s="223"/>
      <c r="OH1" s="223"/>
      <c r="OI1" s="223"/>
      <c r="OJ1" s="223"/>
      <c r="OK1" s="223"/>
      <c r="OL1" s="223"/>
      <c r="OM1" s="223"/>
      <c r="ON1" s="223"/>
      <c r="OO1" s="223"/>
      <c r="OP1" s="223"/>
      <c r="OQ1" s="223"/>
      <c r="OR1" s="223"/>
      <c r="OS1" s="223"/>
      <c r="OT1" s="223"/>
      <c r="OU1" s="223"/>
      <c r="OV1" s="223"/>
      <c r="OW1" s="223"/>
      <c r="OX1" s="223"/>
      <c r="OY1" s="223"/>
      <c r="OZ1" s="223"/>
      <c r="PA1" s="223"/>
      <c r="PB1" s="223"/>
      <c r="PC1" s="223"/>
      <c r="PD1" s="223"/>
      <c r="PE1" s="223"/>
      <c r="PF1" s="223"/>
      <c r="PG1" s="223"/>
      <c r="PH1" s="223"/>
      <c r="PI1" s="223"/>
      <c r="PJ1" s="223"/>
      <c r="PK1" s="223"/>
      <c r="PL1" s="223"/>
      <c r="PM1" s="223"/>
      <c r="PN1" s="223"/>
      <c r="PO1" s="223"/>
      <c r="PP1" s="223"/>
      <c r="PQ1" s="223"/>
      <c r="PR1" s="223"/>
      <c r="PS1" s="223"/>
      <c r="PT1" s="223"/>
      <c r="PU1" s="223"/>
      <c r="PV1" s="223"/>
      <c r="PW1" s="223"/>
      <c r="PX1" s="223"/>
      <c r="PY1" s="223"/>
      <c r="PZ1" s="223"/>
      <c r="QA1" s="223"/>
      <c r="QB1" s="223"/>
      <c r="QC1" s="223"/>
      <c r="QD1" s="223"/>
      <c r="QE1" s="223"/>
      <c r="QF1" s="223"/>
      <c r="QG1" s="223"/>
      <c r="QH1" s="223"/>
      <c r="QI1" s="223"/>
      <c r="QJ1" s="223"/>
      <c r="QK1" s="223"/>
      <c r="QL1" s="223"/>
      <c r="QM1" s="223"/>
      <c r="QN1" s="223"/>
      <c r="QO1" s="223"/>
      <c r="QP1" s="223"/>
      <c r="QQ1" s="223"/>
      <c r="QR1" s="223"/>
      <c r="QS1" s="223"/>
      <c r="QT1" s="223"/>
      <c r="QU1" s="223"/>
      <c r="QV1" s="223"/>
      <c r="QW1" s="223"/>
      <c r="QX1" s="223"/>
      <c r="QY1" s="223"/>
      <c r="QZ1" s="223"/>
      <c r="RA1" s="223"/>
      <c r="RB1" s="223"/>
      <c r="RC1" s="223"/>
      <c r="RD1" s="223"/>
      <c r="RE1" s="223"/>
      <c r="RF1" s="223"/>
      <c r="RG1" s="223"/>
      <c r="RH1" s="223"/>
      <c r="RI1" s="223"/>
      <c r="RJ1" s="223"/>
      <c r="RK1" s="223"/>
      <c r="RL1" s="223"/>
      <c r="RM1" s="223"/>
      <c r="RN1" s="223"/>
      <c r="RO1" s="223"/>
      <c r="RP1" s="223"/>
      <c r="RQ1" s="223"/>
      <c r="RR1" s="223"/>
      <c r="RS1" s="223"/>
      <c r="RT1" s="223"/>
      <c r="RU1" s="223"/>
      <c r="RV1" s="223"/>
      <c r="RW1" s="223"/>
      <c r="RX1" s="223"/>
      <c r="RY1" s="223"/>
      <c r="RZ1" s="223"/>
      <c r="SA1" s="223"/>
      <c r="SB1" s="223"/>
      <c r="SC1" s="223"/>
      <c r="SD1" s="223"/>
      <c r="SE1" s="223"/>
      <c r="SF1" s="223"/>
      <c r="SG1" s="223"/>
      <c r="SH1" s="223"/>
      <c r="SI1" s="223"/>
      <c r="SJ1" s="223"/>
      <c r="SK1" s="223"/>
      <c r="SL1" s="223"/>
      <c r="SM1" s="223"/>
      <c r="SN1" s="223"/>
      <c r="SO1" s="223"/>
      <c r="SP1" s="223"/>
      <c r="SQ1" s="223"/>
      <c r="SR1" s="223"/>
      <c r="SS1" s="223"/>
      <c r="ST1" s="223"/>
      <c r="SU1" s="223"/>
      <c r="SV1" s="223"/>
      <c r="SW1" s="223"/>
      <c r="SX1" s="223"/>
      <c r="SY1" s="223"/>
      <c r="SZ1" s="223"/>
      <c r="TA1" s="223"/>
      <c r="TB1" s="223"/>
      <c r="TC1" s="223"/>
      <c r="TD1" s="223"/>
      <c r="TE1" s="223"/>
      <c r="TF1" s="223"/>
      <c r="TG1" s="223"/>
      <c r="TH1" s="223"/>
      <c r="TI1" s="223"/>
      <c r="TJ1" s="223"/>
      <c r="TK1" s="223"/>
      <c r="TL1" s="223"/>
      <c r="TM1" s="223"/>
      <c r="TN1" s="223"/>
      <c r="TO1" s="223"/>
      <c r="TP1" s="223"/>
      <c r="TQ1" s="223"/>
      <c r="TR1" s="223"/>
      <c r="TS1" s="223"/>
      <c r="TT1" s="223"/>
      <c r="TU1" s="223"/>
      <c r="TV1" s="223"/>
      <c r="TW1" s="223"/>
      <c r="TX1" s="223"/>
      <c r="TY1" s="223"/>
      <c r="TZ1" s="223"/>
      <c r="UA1" s="223"/>
      <c r="UB1" s="223"/>
      <c r="UC1" s="223"/>
      <c r="UD1" s="223"/>
      <c r="UE1" s="223"/>
      <c r="UF1" s="223"/>
      <c r="UG1" s="223"/>
      <c r="UH1" s="223"/>
      <c r="UI1" s="223"/>
      <c r="UJ1" s="223"/>
      <c r="UK1" s="223"/>
      <c r="UL1" s="223"/>
      <c r="UM1" s="223"/>
      <c r="UN1" s="223"/>
      <c r="UO1" s="223"/>
      <c r="UP1" s="223"/>
      <c r="UQ1" s="223"/>
      <c r="UR1" s="223"/>
      <c r="US1" s="223"/>
      <c r="UT1" s="223"/>
      <c r="UU1" s="223"/>
      <c r="UV1" s="223"/>
      <c r="UW1" s="223"/>
      <c r="UX1" s="223"/>
      <c r="UY1" s="223"/>
      <c r="UZ1" s="223"/>
      <c r="VA1" s="223"/>
      <c r="VB1" s="223"/>
      <c r="VC1" s="223"/>
      <c r="VD1" s="223"/>
      <c r="VE1" s="223"/>
      <c r="VF1" s="223"/>
      <c r="VG1" s="223"/>
      <c r="VH1" s="223"/>
      <c r="VI1" s="223"/>
      <c r="VJ1" s="223"/>
      <c r="VK1" s="223"/>
      <c r="VL1" s="223"/>
      <c r="VM1" s="223"/>
      <c r="VN1" s="223"/>
      <c r="VO1" s="223"/>
      <c r="VP1" s="223"/>
      <c r="VQ1" s="223"/>
      <c r="VR1" s="223"/>
      <c r="VS1" s="223"/>
      <c r="VT1" s="223"/>
      <c r="VU1" s="223"/>
      <c r="VV1" s="223"/>
      <c r="VW1" s="223"/>
      <c r="VX1" s="223"/>
      <c r="VY1" s="223"/>
      <c r="VZ1" s="223"/>
      <c r="WA1" s="223"/>
      <c r="WB1" s="223"/>
      <c r="WC1" s="223"/>
      <c r="WD1" s="223"/>
      <c r="WE1" s="223"/>
      <c r="WF1" s="223"/>
      <c r="WG1" s="223"/>
      <c r="WH1" s="223"/>
      <c r="WI1" s="223"/>
      <c r="WJ1" s="223"/>
      <c r="WK1" s="223"/>
      <c r="WL1" s="223"/>
      <c r="WM1" s="223"/>
      <c r="WN1" s="223"/>
      <c r="WO1" s="223"/>
      <c r="WP1" s="223"/>
      <c r="WQ1" s="223"/>
      <c r="WR1" s="223"/>
      <c r="WS1" s="223"/>
      <c r="WT1" s="223"/>
      <c r="WU1" s="223"/>
      <c r="WV1" s="223"/>
      <c r="WW1" s="223"/>
      <c r="WX1" s="223"/>
      <c r="WY1" s="223"/>
      <c r="WZ1" s="223"/>
      <c r="XA1" s="223"/>
      <c r="XB1" s="223"/>
      <c r="XC1" s="223"/>
      <c r="XD1" s="223"/>
      <c r="XE1" s="223"/>
      <c r="XF1" s="223"/>
      <c r="XG1" s="223"/>
      <c r="XH1" s="223"/>
      <c r="XI1" s="223"/>
      <c r="XJ1" s="223"/>
      <c r="XK1" s="223"/>
      <c r="XL1" s="223"/>
      <c r="XM1" s="223"/>
      <c r="XN1" s="223"/>
      <c r="XO1" s="223"/>
      <c r="XP1" s="223"/>
      <c r="XQ1" s="223"/>
      <c r="XR1" s="223"/>
      <c r="XS1" s="223"/>
      <c r="XT1" s="223"/>
      <c r="XU1" s="223"/>
      <c r="XV1" s="223"/>
      <c r="XW1" s="223"/>
      <c r="XX1" s="223"/>
      <c r="XY1" s="223"/>
      <c r="XZ1" s="223"/>
      <c r="YA1" s="223"/>
      <c r="YB1" s="223"/>
      <c r="YC1" s="223"/>
      <c r="YD1" s="223"/>
      <c r="YE1" s="223"/>
      <c r="YF1" s="223"/>
      <c r="YG1" s="223"/>
      <c r="YH1" s="223"/>
      <c r="YI1" s="223"/>
      <c r="YJ1" s="223"/>
      <c r="YK1" s="223"/>
      <c r="YL1" s="223"/>
      <c r="YM1" s="223"/>
      <c r="YN1" s="223"/>
      <c r="YO1" s="223"/>
      <c r="YP1" s="223"/>
      <c r="YQ1" s="223"/>
      <c r="YR1" s="223"/>
      <c r="YS1" s="223"/>
      <c r="YT1" s="223"/>
      <c r="YU1" s="223"/>
      <c r="YV1" s="223"/>
      <c r="YW1" s="223"/>
      <c r="YX1" s="223"/>
      <c r="YY1" s="223"/>
      <c r="YZ1" s="223"/>
      <c r="ZA1" s="223"/>
      <c r="ZB1" s="223"/>
      <c r="ZC1" s="223"/>
      <c r="ZD1" s="223"/>
      <c r="ZE1" s="223"/>
      <c r="ZF1" s="223"/>
      <c r="ZG1" s="223"/>
      <c r="ZH1" s="223"/>
      <c r="ZI1" s="223"/>
      <c r="ZJ1" s="223"/>
      <c r="ZK1" s="223"/>
      <c r="ZL1" s="223"/>
      <c r="ZM1" s="223"/>
      <c r="ZN1" s="223"/>
      <c r="ZO1" s="223"/>
      <c r="ZP1" s="223"/>
      <c r="ZQ1" s="223"/>
      <c r="ZR1" s="223"/>
      <c r="ZS1" s="223"/>
      <c r="ZT1" s="223"/>
      <c r="ZU1" s="223"/>
      <c r="ZV1" s="223"/>
      <c r="ZW1" s="223"/>
      <c r="ZX1" s="223"/>
      <c r="ZY1" s="223"/>
      <c r="ZZ1" s="223"/>
      <c r="AAA1" s="223"/>
      <c r="AAB1" s="223"/>
      <c r="AAC1" s="223"/>
      <c r="AAD1" s="223"/>
      <c r="AAE1" s="223"/>
      <c r="AAF1" s="223"/>
      <c r="AAG1" s="223"/>
      <c r="AAH1" s="223"/>
      <c r="AAI1" s="223"/>
      <c r="AAJ1" s="223"/>
      <c r="AAK1" s="223"/>
      <c r="AAL1" s="223"/>
      <c r="AAM1" s="223"/>
      <c r="AAN1" s="223"/>
      <c r="AAO1" s="223"/>
      <c r="AAP1" s="223"/>
      <c r="AAQ1" s="223"/>
      <c r="AAR1" s="223"/>
      <c r="AAS1" s="223"/>
      <c r="AAT1" s="223"/>
      <c r="AAU1" s="223"/>
      <c r="AAV1" s="223"/>
      <c r="AAW1" s="223"/>
      <c r="AAX1" s="223"/>
      <c r="AAY1" s="223"/>
      <c r="AAZ1" s="223"/>
      <c r="ABA1" s="223"/>
      <c r="ABB1" s="223"/>
      <c r="ABC1" s="223"/>
      <c r="ABD1" s="223"/>
      <c r="ABE1" s="223"/>
      <c r="ABF1" s="223"/>
      <c r="ABG1" s="223"/>
      <c r="ABH1" s="223"/>
      <c r="ABI1" s="223"/>
      <c r="ABJ1" s="223"/>
      <c r="ABK1" s="223"/>
      <c r="ABL1" s="223"/>
      <c r="ABM1" s="223"/>
      <c r="ABN1" s="223"/>
      <c r="ABO1" s="223"/>
      <c r="ABP1" s="223"/>
      <c r="ABQ1" s="223"/>
      <c r="ABR1" s="223"/>
      <c r="ABS1" s="223"/>
      <c r="ABT1" s="223"/>
      <c r="ABU1" s="223"/>
      <c r="ABV1" s="223"/>
      <c r="ABW1" s="223"/>
      <c r="ABX1" s="223"/>
      <c r="ABY1" s="223"/>
      <c r="ABZ1" s="223"/>
      <c r="ACA1" s="223"/>
      <c r="ACB1" s="223"/>
      <c r="ACC1" s="223"/>
      <c r="ACD1" s="223"/>
      <c r="ACE1" s="223"/>
      <c r="ACF1" s="223"/>
      <c r="ACG1" s="223"/>
      <c r="ACH1" s="223"/>
      <c r="ACI1" s="223"/>
      <c r="ACJ1" s="223"/>
      <c r="ACK1" s="223"/>
      <c r="ACL1" s="223"/>
      <c r="ACM1" s="223"/>
      <c r="ACN1" s="223"/>
      <c r="ACO1" s="223"/>
      <c r="ACP1" s="223"/>
      <c r="ACQ1" s="223"/>
      <c r="ACR1" s="223"/>
      <c r="ACS1" s="223"/>
      <c r="ACT1" s="223"/>
      <c r="ACU1" s="223"/>
      <c r="ACV1" s="223"/>
      <c r="ACW1" s="223"/>
      <c r="ACX1" s="223"/>
      <c r="ACY1" s="223"/>
      <c r="ACZ1" s="223"/>
      <c r="ADA1" s="223"/>
      <c r="ADB1" s="223"/>
      <c r="ADC1" s="223"/>
      <c r="ADD1" s="223"/>
      <c r="ADE1" s="223"/>
      <c r="ADF1" s="223"/>
      <c r="ADG1" s="223"/>
      <c r="ADH1" s="223"/>
      <c r="ADI1" s="223"/>
      <c r="ADJ1" s="223"/>
      <c r="ADK1" s="223"/>
      <c r="ADL1" s="223"/>
      <c r="ADM1" s="223"/>
      <c r="ADN1" s="223"/>
      <c r="ADO1" s="223"/>
      <c r="ADP1" s="223"/>
      <c r="ADQ1" s="223"/>
      <c r="ADR1" s="223"/>
      <c r="ADS1" s="223"/>
      <c r="ADT1" s="223"/>
      <c r="ADU1" s="223"/>
      <c r="ADV1" s="223"/>
      <c r="ADW1" s="223"/>
      <c r="ADX1" s="223"/>
      <c r="ADY1" s="223"/>
      <c r="ADZ1" s="223"/>
      <c r="AEA1" s="223"/>
      <c r="AEB1" s="223"/>
      <c r="AEC1" s="223"/>
      <c r="AED1" s="223"/>
      <c r="AEE1" s="223"/>
      <c r="AEF1" s="223"/>
      <c r="AEG1" s="223"/>
      <c r="AEH1" s="223"/>
      <c r="AEI1" s="223"/>
      <c r="AEJ1" s="223"/>
      <c r="AEK1" s="223"/>
      <c r="AEL1" s="223"/>
      <c r="AEM1" s="223"/>
      <c r="AEN1" s="223"/>
      <c r="AEO1" s="223"/>
      <c r="AEP1" s="223"/>
      <c r="AEQ1" s="223"/>
      <c r="AER1" s="223"/>
      <c r="AES1" s="223"/>
      <c r="AET1" s="223"/>
      <c r="AEU1" s="223"/>
      <c r="AEV1" s="223"/>
      <c r="AEW1" s="223"/>
      <c r="AEX1" s="223"/>
      <c r="AEY1" s="223"/>
      <c r="AEZ1" s="223"/>
      <c r="AFA1" s="223"/>
      <c r="AFB1" s="223"/>
      <c r="AFC1" s="223"/>
      <c r="AFD1" s="223"/>
      <c r="AFE1" s="223"/>
      <c r="AFF1" s="223"/>
      <c r="AFG1" s="223"/>
      <c r="AFH1" s="223"/>
      <c r="AFI1" s="223"/>
      <c r="AFJ1" s="223"/>
      <c r="AFK1" s="223"/>
      <c r="AFL1" s="223"/>
      <c r="AFM1" s="223"/>
      <c r="AFN1" s="223"/>
      <c r="AFO1" s="223"/>
      <c r="AFP1" s="223"/>
      <c r="AFQ1" s="223"/>
      <c r="AFR1" s="223"/>
      <c r="AFS1" s="223"/>
      <c r="AFT1" s="223"/>
      <c r="AFU1" s="223"/>
      <c r="AFV1" s="223"/>
      <c r="AFW1" s="223"/>
      <c r="AFX1" s="223"/>
      <c r="AFY1" s="223"/>
      <c r="AFZ1" s="223"/>
      <c r="AGA1" s="223"/>
      <c r="AGB1" s="223"/>
      <c r="AGC1" s="223"/>
      <c r="AGD1" s="223"/>
      <c r="AGE1" s="223"/>
      <c r="AGF1" s="223"/>
      <c r="AGG1" s="223"/>
      <c r="AGH1" s="223"/>
      <c r="AGI1" s="223"/>
      <c r="AGJ1" s="223"/>
      <c r="AGK1" s="223"/>
      <c r="AGL1" s="223"/>
      <c r="AGM1" s="223"/>
      <c r="AGN1" s="223"/>
      <c r="AGO1" s="223"/>
      <c r="AGP1" s="223"/>
      <c r="AGQ1" s="223"/>
      <c r="AGR1" s="223"/>
      <c r="AGS1" s="223"/>
      <c r="AGT1" s="223"/>
      <c r="AGU1" s="223"/>
      <c r="AGV1" s="223"/>
      <c r="AGW1" s="223"/>
      <c r="AGX1" s="223"/>
      <c r="AGY1" s="223"/>
      <c r="AGZ1" s="223"/>
      <c r="AHA1" s="223"/>
      <c r="AHB1" s="223"/>
      <c r="AHC1" s="223"/>
      <c r="AHD1" s="223"/>
      <c r="AHE1" s="223"/>
      <c r="AHF1" s="223"/>
      <c r="AHG1" s="223"/>
      <c r="AHH1" s="223"/>
      <c r="AHI1" s="223"/>
      <c r="AHJ1" s="223"/>
      <c r="AHK1" s="223"/>
      <c r="AHL1" s="223"/>
      <c r="AHM1" s="223"/>
      <c r="AHN1" s="223"/>
      <c r="AHO1" s="223"/>
      <c r="AHP1" s="223"/>
      <c r="AHQ1" s="223"/>
      <c r="AHR1" s="223"/>
      <c r="AHS1" s="223"/>
      <c r="AHT1" s="223"/>
      <c r="AHU1" s="223"/>
      <c r="AHV1" s="223"/>
      <c r="AHW1" s="223"/>
      <c r="AHX1" s="223"/>
      <c r="AHY1" s="223"/>
      <c r="AHZ1" s="223"/>
      <c r="AIA1" s="223"/>
      <c r="AIB1" s="223"/>
      <c r="AIC1" s="223"/>
      <c r="AID1" s="223"/>
      <c r="AIE1" s="223"/>
      <c r="AIF1" s="223"/>
      <c r="AIG1" s="223"/>
      <c r="AIH1" s="223"/>
      <c r="AII1" s="223"/>
      <c r="AIJ1" s="223"/>
      <c r="AIK1" s="223"/>
      <c r="AIL1" s="223"/>
      <c r="AIM1" s="223"/>
      <c r="AIN1" s="223"/>
      <c r="AIO1" s="223"/>
      <c r="AIP1" s="223"/>
      <c r="AIQ1" s="223"/>
      <c r="AIR1" s="223"/>
      <c r="AIS1" s="223"/>
      <c r="AIT1" s="223"/>
      <c r="AIU1" s="223"/>
      <c r="AIV1" s="223"/>
      <c r="AIW1" s="223"/>
      <c r="AIX1" s="223"/>
      <c r="AIY1" s="223"/>
      <c r="AIZ1" s="223"/>
      <c r="AJA1" s="223"/>
      <c r="AJB1" s="223"/>
      <c r="AJC1" s="223"/>
      <c r="AJD1" s="223"/>
      <c r="AJE1" s="223"/>
      <c r="AJF1" s="223"/>
      <c r="AJG1" s="223"/>
      <c r="AJH1" s="223"/>
      <c r="AJI1" s="223"/>
      <c r="AJJ1" s="223"/>
      <c r="AJK1" s="223"/>
      <c r="AJL1" s="223"/>
      <c r="AJM1" s="223"/>
      <c r="AJN1" s="223"/>
      <c r="AJO1" s="223"/>
      <c r="AJP1" s="223"/>
      <c r="AJQ1" s="223"/>
      <c r="AJR1" s="223"/>
      <c r="AJS1" s="223"/>
      <c r="AJT1" s="223"/>
      <c r="AJU1" s="223"/>
      <c r="AJV1" s="223"/>
      <c r="AJW1" s="223"/>
      <c r="AJX1" s="223"/>
      <c r="AJY1" s="223"/>
      <c r="AJZ1" s="223"/>
      <c r="AKA1" s="223"/>
      <c r="AKB1" s="223"/>
      <c r="AKC1" s="223"/>
      <c r="AKD1" s="223"/>
      <c r="AKE1" s="223"/>
      <c r="AKF1" s="223"/>
      <c r="AKG1" s="223"/>
      <c r="AKH1" s="223"/>
      <c r="AKI1" s="223"/>
      <c r="AKJ1" s="223"/>
      <c r="AKK1" s="223"/>
      <c r="AKL1" s="223"/>
      <c r="AKM1" s="223"/>
      <c r="AKN1" s="223"/>
      <c r="AKO1" s="223"/>
      <c r="AKP1" s="223"/>
      <c r="AKQ1" s="223"/>
      <c r="AKR1" s="223"/>
      <c r="AKS1" s="223"/>
      <c r="AKT1" s="223"/>
      <c r="AKU1" s="223"/>
      <c r="AKV1" s="223"/>
      <c r="AKW1" s="223"/>
      <c r="AKX1" s="223"/>
      <c r="AKY1" s="223"/>
      <c r="AKZ1" s="223"/>
      <c r="ALA1" s="223"/>
      <c r="ALB1" s="223"/>
      <c r="ALC1" s="223"/>
      <c r="ALD1" s="223"/>
      <c r="ALE1" s="223"/>
      <c r="ALF1" s="223"/>
      <c r="ALG1" s="223"/>
      <c r="ALH1" s="223"/>
      <c r="ALI1" s="223"/>
      <c r="ALJ1" s="223"/>
      <c r="ALK1" s="223"/>
      <c r="ALL1" s="223"/>
      <c r="ALM1" s="223"/>
      <c r="ALN1" s="223"/>
      <c r="ALO1" s="223"/>
      <c r="ALP1" s="223"/>
      <c r="ALQ1" s="223"/>
      <c r="ALR1" s="223"/>
      <c r="ALS1" s="223"/>
      <c r="ALT1" s="223"/>
      <c r="ALU1" s="223"/>
      <c r="ALV1" s="223"/>
      <c r="ALW1" s="223"/>
      <c r="ALX1" s="223"/>
      <c r="ALY1" s="223"/>
      <c r="ALZ1" s="223"/>
      <c r="AMA1" s="223"/>
      <c r="AMB1" s="223"/>
      <c r="AMC1" s="223"/>
      <c r="AMD1" s="223"/>
      <c r="AME1" s="223"/>
      <c r="AMF1" s="223"/>
      <c r="AMG1" s="223"/>
      <c r="AMH1" s="223"/>
      <c r="AMI1" s="223"/>
      <c r="AMJ1" s="223"/>
      <c r="AMK1" s="223"/>
      <c r="AML1" s="223"/>
      <c r="AMM1" s="223"/>
      <c r="AMN1" s="223"/>
      <c r="AMO1" s="223"/>
      <c r="AMP1" s="223"/>
      <c r="AMQ1" s="223"/>
      <c r="AMR1" s="223"/>
      <c r="AMS1" s="223"/>
      <c r="AMT1" s="223"/>
      <c r="AMU1" s="223"/>
      <c r="AMV1" s="223"/>
      <c r="AMW1" s="223"/>
      <c r="AMX1" s="223"/>
      <c r="AMY1" s="223"/>
      <c r="AMZ1" s="223"/>
      <c r="ANA1" s="223"/>
      <c r="ANB1" s="223"/>
      <c r="ANC1" s="223"/>
      <c r="AND1" s="223"/>
      <c r="ANE1" s="223"/>
      <c r="ANF1" s="223"/>
      <c r="ANG1" s="223"/>
      <c r="ANH1" s="223"/>
      <c r="ANI1" s="223"/>
      <c r="ANJ1" s="223"/>
      <c r="ANK1" s="223"/>
      <c r="ANL1" s="223"/>
      <c r="ANM1" s="223"/>
      <c r="ANN1" s="223"/>
      <c r="ANO1" s="223"/>
      <c r="ANP1" s="223"/>
      <c r="ANQ1" s="223"/>
      <c r="ANR1" s="223"/>
      <c r="WYC1" s="223"/>
      <c r="WYD1" s="223"/>
      <c r="WYE1" s="223"/>
      <c r="WYF1" s="223"/>
      <c r="WYG1" s="223"/>
      <c r="WYH1" s="223"/>
      <c r="WYI1" s="223"/>
      <c r="WYJ1" s="223"/>
      <c r="WYK1" s="223"/>
      <c r="WYL1" s="223"/>
      <c r="WYM1" s="223"/>
      <c r="WYN1" s="223"/>
      <c r="WYO1" s="223"/>
      <c r="WYP1" s="223"/>
      <c r="WYQ1" s="223"/>
      <c r="WYR1" s="223"/>
      <c r="WYS1" s="223"/>
      <c r="WYT1" s="223"/>
      <c r="WYU1" s="223"/>
      <c r="WYV1" s="223"/>
      <c r="WYW1" s="223"/>
      <c r="WYX1" s="223"/>
      <c r="WYY1" s="223"/>
      <c r="WYZ1" s="223"/>
      <c r="WZA1" s="223"/>
      <c r="WZB1" s="223"/>
      <c r="WZC1" s="223"/>
      <c r="WZD1" s="223"/>
      <c r="WZE1" s="223"/>
      <c r="WZF1" s="223"/>
      <c r="WZG1" s="223"/>
      <c r="WZH1" s="223"/>
      <c r="WZI1" s="223"/>
      <c r="WZJ1" s="223"/>
      <c r="WZK1" s="223"/>
      <c r="WZL1" s="223"/>
      <c r="WZM1" s="223"/>
      <c r="WZN1" s="223"/>
      <c r="WZO1" s="223"/>
      <c r="WZP1" s="223"/>
      <c r="WZQ1" s="223"/>
      <c r="WZR1" s="223"/>
      <c r="WZS1" s="223"/>
      <c r="WZT1" s="223"/>
      <c r="WZU1" s="223"/>
      <c r="WZV1" s="223"/>
      <c r="WZW1" s="223"/>
      <c r="WZX1" s="223"/>
      <c r="WZY1" s="223"/>
      <c r="WZZ1" s="223"/>
      <c r="XAA1" s="223"/>
      <c r="XAB1" s="223"/>
      <c r="XAC1" s="223"/>
      <c r="XAD1" s="223"/>
      <c r="XAE1" s="223"/>
      <c r="XAF1" s="223"/>
      <c r="XAG1" s="223"/>
      <c r="XAH1" s="223"/>
      <c r="XAI1" s="223"/>
      <c r="XAJ1" s="223"/>
      <c r="XAK1" s="223"/>
      <c r="XAL1" s="223"/>
      <c r="XAM1" s="223"/>
      <c r="XAN1" s="223"/>
      <c r="XAO1" s="223"/>
      <c r="XAP1" s="223"/>
      <c r="XAQ1" s="223"/>
      <c r="XAR1" s="223"/>
      <c r="XAS1" s="223"/>
      <c r="XAT1" s="223"/>
      <c r="XAU1" s="223"/>
      <c r="XAV1" s="223"/>
      <c r="XAW1" s="223"/>
      <c r="XAX1" s="223"/>
      <c r="XAY1" s="223"/>
      <c r="XAZ1" s="223"/>
      <c r="XBA1" s="223"/>
      <c r="XBB1" s="223"/>
      <c r="XBC1" s="223"/>
      <c r="XBD1" s="223"/>
      <c r="XBE1" s="223"/>
      <c r="XBF1" s="223"/>
      <c r="XBG1" s="223"/>
      <c r="XBH1" s="223"/>
      <c r="XBI1" s="223"/>
      <c r="XBJ1" s="223"/>
      <c r="XBK1" s="223"/>
      <c r="XBL1" s="223"/>
      <c r="XBM1" s="223"/>
      <c r="XBN1" s="223"/>
      <c r="XBO1" s="223"/>
      <c r="XBP1" s="223"/>
      <c r="XBQ1" s="223"/>
      <c r="XBR1" s="223"/>
      <c r="XBS1" s="223"/>
      <c r="XBT1" s="223"/>
      <c r="XBU1" s="223"/>
      <c r="XBV1" s="223"/>
      <c r="XBW1" s="223"/>
      <c r="XBX1" s="223"/>
      <c r="XBY1" s="223"/>
      <c r="XBZ1" s="223"/>
      <c r="XCA1" s="223"/>
      <c r="XCB1" s="223"/>
      <c r="XCC1" s="223"/>
      <c r="XCD1" s="223"/>
      <c r="XCE1" s="223"/>
      <c r="XCF1" s="223"/>
      <c r="XCG1" s="223"/>
      <c r="XCH1" s="223"/>
      <c r="XCI1" s="223"/>
      <c r="XCJ1" s="223"/>
      <c r="XCK1" s="223"/>
      <c r="XCL1" s="223"/>
      <c r="XCM1" s="223"/>
      <c r="XCN1" s="223"/>
      <c r="XCO1" s="223"/>
      <c r="XCP1" s="223"/>
      <c r="XCQ1" s="223"/>
      <c r="XCR1" s="223"/>
      <c r="XCS1" s="223"/>
      <c r="XCT1" s="223"/>
      <c r="XCU1" s="223"/>
      <c r="XCV1" s="223"/>
      <c r="XCW1" s="223"/>
      <c r="XCX1" s="223"/>
      <c r="XCY1" s="223"/>
      <c r="XCZ1" s="223"/>
      <c r="XDA1" s="223"/>
      <c r="XDB1" s="223"/>
      <c r="XDC1" s="223"/>
      <c r="XDD1" s="223"/>
      <c r="XDE1" s="223"/>
      <c r="XDF1" s="223"/>
      <c r="XDG1" s="223"/>
      <c r="XDH1" s="223"/>
      <c r="XDI1" s="223"/>
      <c r="XDJ1" s="223"/>
      <c r="XDK1" s="223"/>
      <c r="XDL1" s="223"/>
      <c r="XDM1" s="223"/>
      <c r="XDN1" s="223"/>
      <c r="XDO1" s="223"/>
      <c r="XDP1" s="223"/>
      <c r="XDQ1" s="223"/>
      <c r="XDR1" s="223"/>
      <c r="XDS1" s="223"/>
      <c r="XDT1" s="223"/>
      <c r="XDU1" s="223"/>
      <c r="XDV1" s="223"/>
      <c r="XDW1" s="223"/>
      <c r="XDX1" s="223"/>
      <c r="XDY1" s="223"/>
      <c r="XDZ1" s="223"/>
      <c r="XEA1" s="223"/>
      <c r="XEB1" s="223"/>
      <c r="XEC1" s="223"/>
      <c r="XED1" s="223"/>
      <c r="XEE1" s="223"/>
      <c r="XEF1" s="223"/>
      <c r="XEG1" s="223"/>
      <c r="XEH1" s="223"/>
      <c r="XEI1" s="223"/>
      <c r="XEJ1" s="223"/>
      <c r="XEK1" s="223"/>
      <c r="XEL1" s="223"/>
      <c r="XEM1" s="223"/>
      <c r="XEN1" s="223"/>
      <c r="XEO1" s="223"/>
      <c r="XEP1" s="223"/>
      <c r="XEQ1" s="223"/>
      <c r="XER1" s="223"/>
      <c r="XES1" s="223"/>
      <c r="XET1" s="223"/>
      <c r="XEU1" s="223"/>
      <c r="XEV1" s="223"/>
      <c r="XEW1" s="223"/>
      <c r="XEX1" s="223"/>
      <c r="XEY1" s="223"/>
      <c r="XEZ1" s="223"/>
      <c r="XFA1" s="223"/>
      <c r="XFB1" s="223"/>
      <c r="XFC1" s="223"/>
      <c r="XFD1" s="223"/>
    </row>
    <row r="2" spans="1:1058 16201:16384" s="223" customFormat="1"/>
    <row r="3" spans="1:1058 16201:16384" s="43" customFormat="1" ht="13.5" thickBot="1">
      <c r="A3" s="624"/>
      <c r="B3" s="45" t="s">
        <v>46</v>
      </c>
      <c r="C3" s="145"/>
      <c r="D3" s="145"/>
      <c r="E3" s="145"/>
      <c r="F3" s="223"/>
      <c r="G3" s="223"/>
      <c r="H3" s="223"/>
      <c r="I3" s="223"/>
      <c r="J3" s="624"/>
      <c r="K3" s="223"/>
      <c r="L3" s="223"/>
      <c r="M3" s="865"/>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4"/>
      <c r="AQ3" s="624"/>
      <c r="AR3" s="624"/>
      <c r="AS3" s="624"/>
      <c r="AT3" s="624"/>
      <c r="AU3" s="624"/>
      <c r="AV3" s="624"/>
      <c r="AW3" s="624"/>
      <c r="AX3" s="624"/>
      <c r="AY3" s="624"/>
      <c r="AZ3" s="624"/>
      <c r="BA3" s="624"/>
      <c r="BB3" s="624"/>
      <c r="BC3" s="624"/>
      <c r="BD3" s="624"/>
      <c r="BE3" s="624"/>
      <c r="BF3" s="624"/>
      <c r="BG3" s="624"/>
      <c r="BH3" s="624"/>
      <c r="BI3" s="624"/>
      <c r="BJ3" s="624"/>
      <c r="BK3" s="624"/>
      <c r="BL3" s="624"/>
      <c r="BM3" s="624"/>
      <c r="BN3" s="624"/>
      <c r="BO3" s="624"/>
      <c r="BP3" s="624"/>
      <c r="BQ3" s="624"/>
      <c r="BR3" s="624"/>
      <c r="BS3" s="624"/>
      <c r="BT3" s="624"/>
      <c r="BU3" s="624"/>
      <c r="BV3" s="624"/>
      <c r="BW3" s="624"/>
      <c r="BX3" s="624"/>
      <c r="BY3" s="624"/>
      <c r="BZ3" s="624"/>
      <c r="CA3" s="624"/>
      <c r="CB3" s="624"/>
      <c r="CC3" s="624"/>
      <c r="CD3" s="624"/>
      <c r="CE3" s="624"/>
      <c r="CF3" s="624"/>
      <c r="CG3" s="624"/>
      <c r="CH3" s="624"/>
      <c r="CI3" s="624"/>
      <c r="CJ3" s="624"/>
      <c r="CK3" s="624"/>
      <c r="CL3" s="624"/>
      <c r="CM3" s="624"/>
      <c r="CN3" s="624"/>
      <c r="CO3" s="624"/>
      <c r="CP3" s="624"/>
      <c r="CQ3" s="624"/>
      <c r="CR3" s="624"/>
      <c r="CS3" s="624"/>
      <c r="CT3" s="624"/>
      <c r="CU3" s="624"/>
      <c r="CV3" s="624"/>
      <c r="CW3" s="624"/>
      <c r="CX3" s="624"/>
      <c r="CY3" s="624"/>
      <c r="CZ3" s="624"/>
      <c r="DA3" s="624"/>
      <c r="JH3" s="624"/>
      <c r="JI3" s="624"/>
      <c r="JJ3" s="624"/>
      <c r="JK3" s="624"/>
      <c r="JL3" s="624"/>
      <c r="JM3" s="624"/>
      <c r="JN3" s="624"/>
      <c r="JO3" s="624"/>
      <c r="JP3" s="624"/>
      <c r="JQ3" s="624"/>
      <c r="JR3" s="624"/>
      <c r="JS3" s="624"/>
      <c r="JT3" s="624"/>
      <c r="JU3" s="624"/>
      <c r="JV3" s="624"/>
      <c r="JW3" s="624"/>
      <c r="JX3" s="624"/>
      <c r="JY3" s="624"/>
      <c r="JZ3" s="624"/>
      <c r="KA3" s="624"/>
      <c r="KB3" s="624"/>
      <c r="KC3" s="624"/>
      <c r="KD3" s="624"/>
      <c r="KE3" s="624"/>
      <c r="KF3" s="624"/>
      <c r="KG3" s="624"/>
      <c r="KH3" s="624"/>
      <c r="KI3" s="624"/>
      <c r="KJ3" s="624"/>
      <c r="KK3" s="624"/>
      <c r="KL3" s="624"/>
      <c r="KM3" s="624"/>
      <c r="KN3" s="624"/>
      <c r="KO3" s="624"/>
      <c r="KP3" s="624"/>
      <c r="KQ3" s="624"/>
      <c r="KR3" s="624"/>
      <c r="KS3" s="624"/>
      <c r="KT3" s="624"/>
      <c r="KU3" s="624"/>
      <c r="KV3" s="624"/>
      <c r="KW3" s="624"/>
      <c r="KX3" s="624"/>
      <c r="KY3" s="624"/>
      <c r="KZ3" s="624"/>
      <c r="LA3" s="624"/>
      <c r="LB3" s="624"/>
      <c r="LC3" s="624"/>
      <c r="LD3" s="624"/>
      <c r="LE3" s="624"/>
      <c r="LF3" s="624"/>
      <c r="LG3" s="624"/>
      <c r="LH3" s="624"/>
      <c r="LI3" s="624"/>
      <c r="LJ3" s="624"/>
      <c r="LK3" s="624"/>
      <c r="LL3" s="624"/>
      <c r="LM3" s="624"/>
      <c r="LN3" s="624"/>
      <c r="LO3" s="624"/>
      <c r="LP3" s="624"/>
      <c r="LQ3" s="624"/>
      <c r="LR3" s="624"/>
      <c r="LS3" s="624"/>
      <c r="LT3" s="624"/>
      <c r="LU3" s="624"/>
      <c r="LV3" s="624"/>
      <c r="LW3" s="624"/>
      <c r="LX3" s="624"/>
      <c r="LY3" s="624"/>
      <c r="LZ3" s="624"/>
      <c r="MA3" s="624"/>
      <c r="MB3" s="624"/>
      <c r="MC3" s="624"/>
      <c r="MD3" s="624"/>
      <c r="ME3" s="624"/>
      <c r="MF3" s="624"/>
      <c r="MG3" s="624"/>
      <c r="MH3" s="624"/>
      <c r="MI3" s="624"/>
      <c r="MJ3" s="624"/>
      <c r="MK3" s="624"/>
      <c r="ML3" s="624"/>
      <c r="MM3" s="624"/>
      <c r="MN3" s="624"/>
      <c r="MO3" s="624"/>
      <c r="MP3" s="624"/>
      <c r="MQ3" s="624"/>
      <c r="MR3" s="624"/>
      <c r="MS3" s="624"/>
      <c r="MT3" s="624"/>
      <c r="MU3" s="624"/>
      <c r="MV3" s="624"/>
      <c r="MW3" s="624"/>
      <c r="MX3" s="624"/>
      <c r="MY3" s="624"/>
      <c r="MZ3" s="624"/>
      <c r="NA3" s="624"/>
      <c r="NB3" s="624"/>
      <c r="NC3" s="624"/>
      <c r="ND3" s="624"/>
      <c r="NE3" s="624"/>
      <c r="NF3" s="624"/>
      <c r="NG3" s="624"/>
      <c r="NH3" s="624"/>
      <c r="NI3" s="624"/>
      <c r="NJ3" s="624"/>
      <c r="NK3" s="624"/>
      <c r="NL3" s="624"/>
      <c r="NM3" s="624"/>
      <c r="NN3" s="624"/>
      <c r="NO3" s="624"/>
      <c r="NP3" s="624"/>
      <c r="NQ3" s="624"/>
      <c r="NR3" s="624"/>
      <c r="NS3" s="624"/>
      <c r="NT3" s="624"/>
      <c r="NU3" s="624"/>
      <c r="NV3" s="624"/>
      <c r="NW3" s="624"/>
      <c r="NX3" s="624"/>
      <c r="NY3" s="624"/>
      <c r="NZ3" s="624"/>
      <c r="OA3" s="624"/>
      <c r="OB3" s="624"/>
      <c r="OC3" s="624"/>
      <c r="OD3" s="624"/>
      <c r="OE3" s="624"/>
      <c r="OF3" s="624"/>
      <c r="OG3" s="624"/>
      <c r="OH3" s="624"/>
      <c r="OI3" s="624"/>
      <c r="OJ3" s="624"/>
      <c r="OK3" s="624"/>
      <c r="OL3" s="624"/>
      <c r="OM3" s="624"/>
      <c r="ON3" s="624"/>
      <c r="OO3" s="624"/>
      <c r="OP3" s="624"/>
      <c r="OQ3" s="624"/>
      <c r="OR3" s="624"/>
      <c r="OS3" s="624"/>
      <c r="OT3" s="624"/>
      <c r="OU3" s="624"/>
      <c r="OV3" s="624"/>
      <c r="OW3" s="624"/>
      <c r="OX3" s="624"/>
      <c r="OY3" s="624"/>
      <c r="OZ3" s="624"/>
      <c r="PA3" s="624"/>
      <c r="PB3" s="624"/>
      <c r="PC3" s="624"/>
      <c r="PD3" s="624"/>
      <c r="PE3" s="624"/>
      <c r="PF3" s="624"/>
      <c r="PG3" s="624"/>
      <c r="PH3" s="624"/>
      <c r="PI3" s="624"/>
      <c r="PJ3" s="624"/>
      <c r="PK3" s="624"/>
      <c r="PL3" s="624"/>
      <c r="PM3" s="624"/>
      <c r="PN3" s="624"/>
      <c r="PO3" s="624"/>
      <c r="PP3" s="624"/>
      <c r="PQ3" s="624"/>
      <c r="PR3" s="624"/>
      <c r="PS3" s="624"/>
      <c r="PT3" s="624"/>
      <c r="PU3" s="624"/>
      <c r="PV3" s="624"/>
      <c r="PW3" s="624"/>
      <c r="PX3" s="624"/>
      <c r="PY3" s="624"/>
      <c r="PZ3" s="624"/>
      <c r="QA3" s="624"/>
      <c r="QB3" s="624"/>
      <c r="QC3" s="624"/>
      <c r="QD3" s="624"/>
      <c r="QE3" s="624"/>
      <c r="QF3" s="624"/>
      <c r="QG3" s="624"/>
      <c r="QH3" s="624"/>
      <c r="QI3" s="624"/>
      <c r="QJ3" s="624"/>
      <c r="QK3" s="624"/>
      <c r="QL3" s="624"/>
      <c r="QM3" s="624"/>
      <c r="QN3" s="624"/>
      <c r="QO3" s="624"/>
      <c r="QP3" s="624"/>
      <c r="QQ3" s="624"/>
      <c r="QR3" s="624"/>
      <c r="QS3" s="624"/>
      <c r="QT3" s="624"/>
      <c r="QU3" s="624"/>
      <c r="QV3" s="624"/>
      <c r="QW3" s="624"/>
      <c r="QX3" s="624"/>
      <c r="QY3" s="624"/>
      <c r="QZ3" s="624"/>
      <c r="RA3" s="624"/>
      <c r="RB3" s="624"/>
      <c r="RC3" s="624"/>
      <c r="RD3" s="624"/>
      <c r="RE3" s="624"/>
      <c r="RF3" s="624"/>
      <c r="RG3" s="624"/>
      <c r="RH3" s="624"/>
      <c r="RI3" s="624"/>
      <c r="RJ3" s="624"/>
      <c r="RK3" s="624"/>
      <c r="RL3" s="624"/>
      <c r="RM3" s="624"/>
      <c r="RN3" s="624"/>
      <c r="RO3" s="624"/>
      <c r="RP3" s="624"/>
      <c r="RQ3" s="624"/>
      <c r="RR3" s="624"/>
      <c r="RS3" s="624"/>
      <c r="RT3" s="624"/>
      <c r="RU3" s="624"/>
      <c r="RV3" s="624"/>
      <c r="RW3" s="624"/>
      <c r="RX3" s="624"/>
      <c r="RY3" s="624"/>
      <c r="RZ3" s="624"/>
      <c r="SA3" s="624"/>
      <c r="SB3" s="624"/>
      <c r="SC3" s="624"/>
      <c r="SD3" s="624"/>
      <c r="SE3" s="624"/>
      <c r="SF3" s="624"/>
      <c r="SG3" s="624"/>
      <c r="SH3" s="624"/>
      <c r="SI3" s="624"/>
      <c r="SJ3" s="624"/>
      <c r="SK3" s="624"/>
      <c r="SL3" s="624"/>
      <c r="SM3" s="624"/>
      <c r="SN3" s="624"/>
      <c r="SO3" s="624"/>
      <c r="SP3" s="624"/>
      <c r="SQ3" s="624"/>
      <c r="SR3" s="624"/>
      <c r="SS3" s="624"/>
      <c r="ST3" s="624"/>
      <c r="SU3" s="624"/>
      <c r="SV3" s="624"/>
      <c r="SW3" s="624"/>
      <c r="SX3" s="624"/>
      <c r="SY3" s="624"/>
      <c r="SZ3" s="624"/>
      <c r="TA3" s="624"/>
      <c r="TB3" s="624"/>
      <c r="TC3" s="624"/>
      <c r="TD3" s="624"/>
      <c r="TE3" s="624"/>
      <c r="TF3" s="624"/>
      <c r="TG3" s="624"/>
      <c r="TH3" s="624"/>
      <c r="TI3" s="624"/>
      <c r="TJ3" s="624"/>
      <c r="TK3" s="624"/>
      <c r="TL3" s="624"/>
      <c r="TM3" s="624"/>
      <c r="TN3" s="624"/>
      <c r="TO3" s="624"/>
      <c r="TP3" s="624"/>
      <c r="TQ3" s="624"/>
      <c r="TR3" s="624"/>
      <c r="TS3" s="624"/>
      <c r="TT3" s="624"/>
      <c r="TU3" s="624"/>
      <c r="TV3" s="624"/>
      <c r="TW3" s="624"/>
      <c r="TX3" s="624"/>
      <c r="TY3" s="624"/>
      <c r="TZ3" s="624"/>
      <c r="UA3" s="624"/>
      <c r="UB3" s="624"/>
      <c r="UC3" s="624"/>
      <c r="UD3" s="624"/>
      <c r="UE3" s="624"/>
      <c r="UF3" s="624"/>
      <c r="UG3" s="624"/>
      <c r="UH3" s="624"/>
      <c r="UI3" s="624"/>
      <c r="UJ3" s="624"/>
      <c r="UK3" s="624"/>
      <c r="UL3" s="624"/>
      <c r="UM3" s="624"/>
      <c r="UN3" s="624"/>
      <c r="UO3" s="624"/>
      <c r="UP3" s="624"/>
      <c r="UQ3" s="624"/>
      <c r="UR3" s="624"/>
      <c r="US3" s="624"/>
      <c r="UT3" s="624"/>
      <c r="UU3" s="624"/>
      <c r="UV3" s="624"/>
      <c r="UW3" s="624"/>
      <c r="UX3" s="624"/>
      <c r="UY3" s="624"/>
      <c r="UZ3" s="624"/>
      <c r="VA3" s="624"/>
      <c r="VB3" s="624"/>
      <c r="VC3" s="624"/>
      <c r="VD3" s="624"/>
      <c r="VE3" s="624"/>
      <c r="VF3" s="624"/>
      <c r="VG3" s="624"/>
      <c r="VH3" s="624"/>
      <c r="VI3" s="624"/>
      <c r="VJ3" s="624"/>
      <c r="VK3" s="624"/>
      <c r="VL3" s="624"/>
      <c r="VM3" s="624"/>
      <c r="VN3" s="624"/>
      <c r="VO3" s="624"/>
      <c r="VP3" s="624"/>
      <c r="VQ3" s="624"/>
      <c r="VR3" s="624"/>
      <c r="VS3" s="624"/>
      <c r="VT3" s="624"/>
      <c r="VU3" s="624"/>
      <c r="VV3" s="624"/>
      <c r="VW3" s="624"/>
      <c r="VX3" s="624"/>
      <c r="VY3" s="624"/>
      <c r="VZ3" s="624"/>
      <c r="WA3" s="624"/>
      <c r="WB3" s="624"/>
      <c r="WC3" s="624"/>
      <c r="WD3" s="624"/>
      <c r="WE3" s="624"/>
      <c r="WF3" s="624"/>
      <c r="WG3" s="624"/>
      <c r="WH3" s="624"/>
      <c r="WI3" s="624"/>
      <c r="WJ3" s="624"/>
      <c r="WK3" s="624"/>
      <c r="WL3" s="624"/>
      <c r="WM3" s="624"/>
      <c r="WN3" s="624"/>
      <c r="WO3" s="624"/>
      <c r="WP3" s="624"/>
      <c r="WQ3" s="624"/>
      <c r="WR3" s="624"/>
      <c r="WS3" s="624"/>
      <c r="WT3" s="624"/>
      <c r="WU3" s="624"/>
      <c r="WV3" s="624"/>
      <c r="WW3" s="624"/>
      <c r="WX3" s="624"/>
      <c r="WY3" s="624"/>
      <c r="WZ3" s="624"/>
      <c r="XA3" s="624"/>
      <c r="XB3" s="624"/>
      <c r="XC3" s="624"/>
      <c r="XD3" s="624"/>
      <c r="XE3" s="624"/>
      <c r="XF3" s="624"/>
      <c r="XG3" s="624"/>
      <c r="XH3" s="624"/>
      <c r="XI3" s="624"/>
      <c r="XJ3" s="624"/>
      <c r="XK3" s="624"/>
      <c r="XL3" s="624"/>
      <c r="XM3" s="624"/>
      <c r="XN3" s="624"/>
      <c r="XO3" s="624"/>
      <c r="XP3" s="624"/>
      <c r="XQ3" s="624"/>
      <c r="XR3" s="624"/>
      <c r="XS3" s="624"/>
      <c r="XT3" s="624"/>
      <c r="XU3" s="624"/>
      <c r="XV3" s="624"/>
      <c r="XW3" s="624"/>
      <c r="XX3" s="624"/>
      <c r="XY3" s="624"/>
      <c r="XZ3" s="624"/>
      <c r="YA3" s="624"/>
      <c r="YB3" s="624"/>
      <c r="YC3" s="624"/>
      <c r="YD3" s="624"/>
      <c r="YE3" s="624"/>
      <c r="YF3" s="624"/>
      <c r="YG3" s="624"/>
      <c r="YH3" s="624"/>
      <c r="YI3" s="624"/>
      <c r="YJ3" s="624"/>
      <c r="YK3" s="624"/>
      <c r="YL3" s="624"/>
      <c r="YM3" s="624"/>
      <c r="YN3" s="624"/>
      <c r="YO3" s="624"/>
      <c r="YP3" s="624"/>
      <c r="YQ3" s="624"/>
      <c r="YR3" s="624"/>
      <c r="YS3" s="624"/>
      <c r="YT3" s="624"/>
      <c r="YU3" s="624"/>
      <c r="YV3" s="624"/>
      <c r="YW3" s="624"/>
      <c r="YX3" s="624"/>
      <c r="YY3" s="624"/>
      <c r="YZ3" s="624"/>
      <c r="ZA3" s="624"/>
      <c r="ZB3" s="624"/>
      <c r="ZC3" s="624"/>
      <c r="ZD3" s="624"/>
      <c r="ZE3" s="624"/>
      <c r="ZF3" s="624"/>
      <c r="ZG3" s="624"/>
      <c r="ZH3" s="624"/>
      <c r="ZI3" s="624"/>
      <c r="ZJ3" s="624"/>
      <c r="ZK3" s="624"/>
      <c r="ZL3" s="624"/>
      <c r="ZM3" s="624"/>
      <c r="ZN3" s="624"/>
      <c r="ZO3" s="624"/>
      <c r="ZP3" s="624"/>
      <c r="ZQ3" s="624"/>
      <c r="ZR3" s="624"/>
      <c r="ZS3" s="624"/>
      <c r="ZT3" s="624"/>
      <c r="ZU3" s="624"/>
      <c r="ZV3" s="624"/>
      <c r="ZW3" s="624"/>
      <c r="ZX3" s="624"/>
      <c r="ZY3" s="624"/>
      <c r="ZZ3" s="624"/>
      <c r="AAA3" s="624"/>
      <c r="AAB3" s="624"/>
      <c r="AAC3" s="624"/>
      <c r="AAD3" s="624"/>
      <c r="AAE3" s="624"/>
      <c r="AAF3" s="624"/>
      <c r="AAG3" s="624"/>
      <c r="AAH3" s="624"/>
      <c r="AAI3" s="624"/>
      <c r="AAJ3" s="624"/>
      <c r="AAK3" s="624"/>
      <c r="AAL3" s="624"/>
      <c r="AAM3" s="624"/>
      <c r="AAN3" s="624"/>
      <c r="AAO3" s="624"/>
      <c r="AAP3" s="624"/>
      <c r="AAQ3" s="624"/>
      <c r="AAR3" s="624"/>
      <c r="AAS3" s="624"/>
      <c r="AAT3" s="624"/>
      <c r="AAU3" s="624"/>
      <c r="AAV3" s="624"/>
      <c r="AAW3" s="624"/>
      <c r="AAX3" s="624"/>
      <c r="AAY3" s="624"/>
      <c r="AAZ3" s="624"/>
      <c r="ABA3" s="624"/>
      <c r="ABB3" s="624"/>
      <c r="ABC3" s="624"/>
      <c r="ABD3" s="624"/>
      <c r="ABE3" s="624"/>
      <c r="ABF3" s="624"/>
      <c r="ABG3" s="624"/>
      <c r="ABH3" s="624"/>
      <c r="ABI3" s="624"/>
      <c r="ABJ3" s="624"/>
      <c r="ABK3" s="624"/>
      <c r="ABL3" s="624"/>
      <c r="ABM3" s="624"/>
      <c r="ABN3" s="624"/>
      <c r="ABO3" s="624"/>
      <c r="ABP3" s="624"/>
      <c r="ABQ3" s="624"/>
      <c r="ABR3" s="624"/>
      <c r="ABS3" s="624"/>
      <c r="ABT3" s="624"/>
      <c r="ABU3" s="624"/>
      <c r="ABV3" s="624"/>
      <c r="ABW3" s="624"/>
      <c r="ABX3" s="624"/>
      <c r="ABY3" s="624"/>
      <c r="ABZ3" s="624"/>
      <c r="ACA3" s="624"/>
      <c r="ACB3" s="624"/>
      <c r="ACC3" s="624"/>
      <c r="ACD3" s="624"/>
      <c r="ACE3" s="624"/>
      <c r="ACF3" s="624"/>
      <c r="ACG3" s="624"/>
      <c r="ACH3" s="624"/>
      <c r="ACI3" s="624"/>
      <c r="ACJ3" s="624"/>
      <c r="ACK3" s="624"/>
      <c r="ACL3" s="624"/>
      <c r="ACM3" s="624"/>
      <c r="ACN3" s="624"/>
      <c r="ACO3" s="624"/>
      <c r="ACP3" s="624"/>
      <c r="ACQ3" s="624"/>
      <c r="ACR3" s="624"/>
      <c r="ACS3" s="624"/>
      <c r="ACT3" s="624"/>
      <c r="ACU3" s="624"/>
      <c r="ACV3" s="624"/>
      <c r="ACW3" s="624"/>
      <c r="ACX3" s="624"/>
      <c r="ACY3" s="624"/>
      <c r="ACZ3" s="624"/>
      <c r="ADA3" s="624"/>
      <c r="ADB3" s="624"/>
      <c r="ADC3" s="624"/>
      <c r="ADD3" s="624"/>
      <c r="ADE3" s="624"/>
      <c r="ADF3" s="624"/>
      <c r="ADG3" s="624"/>
      <c r="ADH3" s="624"/>
      <c r="ADI3" s="624"/>
      <c r="ADJ3" s="624"/>
      <c r="ADK3" s="624"/>
      <c r="ADL3" s="624"/>
      <c r="ADM3" s="624"/>
      <c r="ADN3" s="624"/>
      <c r="ADO3" s="624"/>
      <c r="ADP3" s="624"/>
      <c r="ADQ3" s="624"/>
      <c r="ADR3" s="624"/>
      <c r="ADS3" s="624"/>
      <c r="ADT3" s="624"/>
      <c r="ADU3" s="624"/>
      <c r="ADV3" s="624"/>
      <c r="ADW3" s="624"/>
      <c r="ADX3" s="624"/>
      <c r="ADY3" s="624"/>
      <c r="ADZ3" s="624"/>
      <c r="AEA3" s="624"/>
      <c r="AEB3" s="624"/>
      <c r="AEC3" s="624"/>
      <c r="AED3" s="624"/>
      <c r="AEE3" s="624"/>
      <c r="AEF3" s="624"/>
      <c r="AEG3" s="624"/>
      <c r="AEH3" s="624"/>
      <c r="AEI3" s="624"/>
      <c r="AEJ3" s="624"/>
      <c r="AEK3" s="624"/>
      <c r="AEL3" s="624"/>
      <c r="AEM3" s="624"/>
      <c r="AEN3" s="624"/>
      <c r="AEO3" s="624"/>
      <c r="AEP3" s="624"/>
      <c r="AEQ3" s="624"/>
      <c r="AER3" s="624"/>
      <c r="AES3" s="624"/>
      <c r="AET3" s="624"/>
      <c r="AEU3" s="624"/>
      <c r="AEV3" s="624"/>
      <c r="AEW3" s="624"/>
      <c r="AEX3" s="624"/>
      <c r="AEY3" s="624"/>
      <c r="AEZ3" s="624"/>
      <c r="AFA3" s="624"/>
      <c r="AFB3" s="624"/>
      <c r="AFC3" s="624"/>
      <c r="AFD3" s="624"/>
      <c r="AFE3" s="624"/>
      <c r="AFF3" s="624"/>
      <c r="AFG3" s="624"/>
      <c r="AFH3" s="624"/>
      <c r="AFI3" s="624"/>
      <c r="AFJ3" s="624"/>
      <c r="AFK3" s="624"/>
      <c r="AFL3" s="624"/>
      <c r="AFM3" s="624"/>
      <c r="AFN3" s="624"/>
      <c r="AFO3" s="624"/>
      <c r="AFP3" s="624"/>
      <c r="AFQ3" s="624"/>
      <c r="AFR3" s="624"/>
      <c r="AFS3" s="624"/>
      <c r="AFT3" s="624"/>
      <c r="AFU3" s="624"/>
      <c r="AFV3" s="624"/>
      <c r="AFW3" s="624"/>
      <c r="AFX3" s="624"/>
      <c r="AFY3" s="624"/>
      <c r="AFZ3" s="624"/>
      <c r="AGA3" s="624"/>
      <c r="AGB3" s="624"/>
      <c r="AGC3" s="624"/>
      <c r="AGD3" s="624"/>
      <c r="AGE3" s="624"/>
      <c r="AGF3" s="624"/>
      <c r="AGG3" s="624"/>
      <c r="AGH3" s="624"/>
      <c r="AGI3" s="624"/>
      <c r="AGJ3" s="624"/>
      <c r="AGK3" s="624"/>
      <c r="AGL3" s="624"/>
      <c r="AGM3" s="624"/>
      <c r="AGN3" s="624"/>
      <c r="AGO3" s="624"/>
      <c r="AGP3" s="624"/>
      <c r="AGQ3" s="624"/>
      <c r="AGR3" s="624"/>
      <c r="AGS3" s="624"/>
      <c r="AGT3" s="624"/>
      <c r="AGU3" s="624"/>
      <c r="AGV3" s="624"/>
      <c r="AGW3" s="624"/>
      <c r="AGX3" s="624"/>
      <c r="AGY3" s="624"/>
      <c r="AGZ3" s="624"/>
      <c r="AHA3" s="624"/>
      <c r="AHB3" s="624"/>
      <c r="AHC3" s="624"/>
      <c r="AHD3" s="624"/>
      <c r="AHE3" s="624"/>
      <c r="AHF3" s="624"/>
      <c r="AHG3" s="624"/>
      <c r="AHH3" s="624"/>
      <c r="AHI3" s="624"/>
      <c r="AHJ3" s="624"/>
      <c r="AHK3" s="624"/>
      <c r="AHL3" s="624"/>
      <c r="AHM3" s="624"/>
      <c r="AHN3" s="624"/>
      <c r="AHO3" s="624"/>
      <c r="AHP3" s="624"/>
      <c r="AHQ3" s="624"/>
      <c r="AHR3" s="624"/>
      <c r="AHS3" s="624"/>
      <c r="AHT3" s="624"/>
      <c r="AHU3" s="624"/>
      <c r="AHV3" s="624"/>
      <c r="AHW3" s="624"/>
      <c r="AHX3" s="624"/>
      <c r="AHY3" s="624"/>
      <c r="AHZ3" s="624"/>
      <c r="AIA3" s="624"/>
      <c r="AIB3" s="624"/>
      <c r="AIC3" s="624"/>
      <c r="AID3" s="624"/>
      <c r="AIE3" s="624"/>
      <c r="AIF3" s="624"/>
      <c r="AIG3" s="624"/>
      <c r="AIH3" s="624"/>
      <c r="AII3" s="624"/>
      <c r="AIJ3" s="624"/>
      <c r="AIK3" s="624"/>
      <c r="AIL3" s="624"/>
      <c r="AIM3" s="624"/>
      <c r="AIN3" s="624"/>
      <c r="AIO3" s="624"/>
      <c r="AIP3" s="624"/>
      <c r="AIQ3" s="624"/>
      <c r="AIR3" s="624"/>
      <c r="AIS3" s="624"/>
      <c r="AIT3" s="624"/>
      <c r="AIU3" s="624"/>
      <c r="AIV3" s="624"/>
      <c r="AIW3" s="624"/>
      <c r="AIX3" s="624"/>
      <c r="AIY3" s="624"/>
      <c r="AIZ3" s="624"/>
      <c r="AJA3" s="624"/>
      <c r="AJB3" s="624"/>
      <c r="AJC3" s="624"/>
      <c r="AJD3" s="624"/>
      <c r="AJE3" s="624"/>
      <c r="AJF3" s="624"/>
      <c r="AJG3" s="624"/>
      <c r="AJH3" s="624"/>
      <c r="AJI3" s="624"/>
      <c r="AJJ3" s="624"/>
      <c r="AJK3" s="624"/>
      <c r="AJL3" s="624"/>
      <c r="AJM3" s="624"/>
      <c r="AJN3" s="624"/>
      <c r="AJO3" s="624"/>
      <c r="AJP3" s="624"/>
      <c r="AJQ3" s="624"/>
      <c r="AJR3" s="624"/>
      <c r="AJS3" s="624"/>
      <c r="AJT3" s="624"/>
      <c r="AJU3" s="624"/>
      <c r="AJV3" s="624"/>
      <c r="AJW3" s="624"/>
      <c r="AJX3" s="624"/>
      <c r="AJY3" s="624"/>
      <c r="AJZ3" s="624"/>
      <c r="AKA3" s="624"/>
      <c r="AKB3" s="624"/>
      <c r="AKC3" s="624"/>
      <c r="AKD3" s="624"/>
      <c r="AKE3" s="624"/>
      <c r="AKF3" s="624"/>
      <c r="AKG3" s="624"/>
      <c r="AKH3" s="624"/>
      <c r="AKI3" s="624"/>
      <c r="AKJ3" s="624"/>
      <c r="AKK3" s="624"/>
      <c r="AKL3" s="624"/>
      <c r="AKM3" s="624"/>
      <c r="AKN3" s="624"/>
      <c r="AKO3" s="624"/>
      <c r="AKP3" s="624"/>
      <c r="AKQ3" s="624"/>
      <c r="AKR3" s="624"/>
      <c r="AKS3" s="624"/>
      <c r="AKT3" s="624"/>
      <c r="AKU3" s="624"/>
      <c r="AKV3" s="624"/>
      <c r="AKW3" s="624"/>
      <c r="AKX3" s="624"/>
      <c r="AKY3" s="624"/>
      <c r="AKZ3" s="624"/>
      <c r="ALA3" s="624"/>
      <c r="ALB3" s="624"/>
      <c r="ALC3" s="624"/>
      <c r="ALD3" s="624"/>
      <c r="ALE3" s="624"/>
      <c r="ALF3" s="624"/>
      <c r="ALG3" s="624"/>
      <c r="ALH3" s="624"/>
      <c r="ALI3" s="624"/>
      <c r="ALJ3" s="624"/>
      <c r="ALK3" s="624"/>
      <c r="ALL3" s="624"/>
      <c r="ALM3" s="624"/>
      <c r="ALN3" s="624"/>
      <c r="ALO3" s="624"/>
      <c r="ALP3" s="624"/>
      <c r="ALQ3" s="624"/>
      <c r="ALR3" s="624"/>
      <c r="ALS3" s="624"/>
      <c r="ALT3" s="624"/>
      <c r="ALU3" s="624"/>
      <c r="ALV3" s="624"/>
      <c r="ALW3" s="624"/>
      <c r="ALX3" s="624"/>
      <c r="ALY3" s="624"/>
      <c r="ALZ3" s="624"/>
      <c r="AMA3" s="624"/>
      <c r="AMB3" s="624"/>
      <c r="AMC3" s="624"/>
      <c r="AMD3" s="624"/>
      <c r="AME3" s="624"/>
      <c r="AMF3" s="624"/>
      <c r="AMG3" s="624"/>
      <c r="AMH3" s="624"/>
      <c r="AMI3" s="624"/>
      <c r="AMJ3" s="624"/>
      <c r="AMK3" s="624"/>
      <c r="AML3" s="624"/>
      <c r="AMM3" s="624"/>
      <c r="AMN3" s="624"/>
      <c r="AMO3" s="624"/>
      <c r="AMP3" s="624"/>
      <c r="AMQ3" s="624"/>
      <c r="AMR3" s="624"/>
      <c r="AMS3" s="624"/>
      <c r="AMT3" s="624"/>
      <c r="AMU3" s="624"/>
      <c r="AMV3" s="624"/>
      <c r="AMW3" s="624"/>
      <c r="AMX3" s="624"/>
      <c r="AMY3" s="624"/>
      <c r="AMZ3" s="624"/>
      <c r="ANA3" s="624"/>
      <c r="ANB3" s="624"/>
      <c r="ANC3" s="624"/>
      <c r="AND3" s="624"/>
      <c r="ANE3" s="624"/>
      <c r="ANF3" s="624"/>
      <c r="ANG3" s="624"/>
      <c r="ANH3" s="624"/>
      <c r="ANI3" s="624"/>
      <c r="ANJ3" s="624"/>
      <c r="ANK3" s="624"/>
      <c r="ANL3" s="624"/>
      <c r="ANM3" s="624"/>
      <c r="ANN3" s="624"/>
      <c r="ANO3" s="624"/>
      <c r="ANP3" s="624"/>
      <c r="ANQ3" s="624"/>
      <c r="ANR3" s="624"/>
      <c r="WYC3" s="624"/>
      <c r="WYD3" s="624"/>
      <c r="WYE3" s="624"/>
      <c r="WYF3" s="624"/>
      <c r="WYG3" s="624"/>
      <c r="WYH3" s="624"/>
      <c r="WYI3" s="624"/>
      <c r="WYJ3" s="624"/>
      <c r="WYK3" s="624"/>
      <c r="WYL3" s="624"/>
      <c r="WYM3" s="624"/>
      <c r="WYN3" s="624"/>
      <c r="WYO3" s="624"/>
      <c r="WYP3" s="624"/>
      <c r="WYQ3" s="624"/>
      <c r="WYR3" s="624"/>
      <c r="WYS3" s="624"/>
      <c r="WYT3" s="624"/>
      <c r="WYU3" s="624"/>
      <c r="WYV3" s="624"/>
      <c r="WYW3" s="624"/>
      <c r="WYX3" s="624"/>
      <c r="WYY3" s="624"/>
      <c r="WYZ3" s="624"/>
      <c r="WZA3" s="624"/>
      <c r="WZB3" s="624"/>
      <c r="WZC3" s="624"/>
      <c r="WZD3" s="624"/>
      <c r="WZE3" s="624"/>
      <c r="WZF3" s="624"/>
      <c r="WZG3" s="624"/>
      <c r="WZH3" s="624"/>
      <c r="WZI3" s="624"/>
      <c r="WZJ3" s="624"/>
      <c r="WZK3" s="624"/>
      <c r="WZL3" s="624"/>
      <c r="WZM3" s="624"/>
      <c r="WZN3" s="624"/>
      <c r="WZO3" s="624"/>
      <c r="WZP3" s="624"/>
      <c r="WZQ3" s="624"/>
      <c r="WZR3" s="624"/>
      <c r="WZS3" s="624"/>
      <c r="WZT3" s="624"/>
      <c r="WZU3" s="624"/>
      <c r="WZV3" s="624"/>
      <c r="WZW3" s="624"/>
      <c r="WZX3" s="624"/>
      <c r="WZY3" s="624"/>
      <c r="WZZ3" s="624"/>
      <c r="XAA3" s="624"/>
      <c r="XAB3" s="624"/>
      <c r="XAC3" s="624"/>
      <c r="XAD3" s="624"/>
      <c r="XAE3" s="624"/>
      <c r="XAF3" s="624"/>
      <c r="XAG3" s="624"/>
      <c r="XAH3" s="624"/>
      <c r="XAI3" s="624"/>
      <c r="XAJ3" s="624"/>
      <c r="XAK3" s="624"/>
      <c r="XAL3" s="624"/>
      <c r="XAM3" s="624"/>
      <c r="XAN3" s="624"/>
      <c r="XAO3" s="624"/>
      <c r="XAP3" s="624"/>
      <c r="XAQ3" s="624"/>
      <c r="XAR3" s="624"/>
      <c r="XAS3" s="624"/>
      <c r="XAT3" s="624"/>
      <c r="XAU3" s="624"/>
      <c r="XAV3" s="624"/>
      <c r="XAW3" s="624"/>
      <c r="XAX3" s="624"/>
      <c r="XAY3" s="624"/>
      <c r="XAZ3" s="624"/>
      <c r="XBA3" s="624"/>
      <c r="XBB3" s="624"/>
      <c r="XBC3" s="624"/>
      <c r="XBD3" s="624"/>
      <c r="XBE3" s="624"/>
      <c r="XBF3" s="624"/>
      <c r="XBG3" s="624"/>
      <c r="XBH3" s="624"/>
      <c r="XBI3" s="624"/>
      <c r="XBJ3" s="624"/>
      <c r="XBK3" s="624"/>
      <c r="XBL3" s="624"/>
      <c r="XBM3" s="624"/>
      <c r="XBN3" s="624"/>
      <c r="XBO3" s="624"/>
      <c r="XBP3" s="624"/>
      <c r="XBQ3" s="624"/>
      <c r="XBR3" s="624"/>
      <c r="XBS3" s="624"/>
      <c r="XBT3" s="624"/>
      <c r="XBU3" s="624"/>
      <c r="XBV3" s="624"/>
      <c r="XBW3" s="624"/>
      <c r="XBX3" s="624"/>
      <c r="XBY3" s="624"/>
      <c r="XBZ3" s="624"/>
      <c r="XCA3" s="624"/>
      <c r="XCB3" s="624"/>
      <c r="XCC3" s="624"/>
      <c r="XCD3" s="624"/>
      <c r="XCE3" s="624"/>
      <c r="XCF3" s="624"/>
      <c r="XCG3" s="624"/>
      <c r="XCH3" s="624"/>
      <c r="XCI3" s="624"/>
      <c r="XCJ3" s="624"/>
      <c r="XCK3" s="624"/>
      <c r="XCL3" s="624"/>
      <c r="XCM3" s="624"/>
      <c r="XCN3" s="624"/>
      <c r="XCO3" s="624"/>
      <c r="XCP3" s="624"/>
      <c r="XCQ3" s="624"/>
      <c r="XCR3" s="624"/>
      <c r="XCS3" s="624"/>
      <c r="XCT3" s="624"/>
      <c r="XCU3" s="624"/>
      <c r="XCV3" s="624"/>
      <c r="XCW3" s="624"/>
      <c r="XCX3" s="624"/>
      <c r="XCY3" s="624"/>
      <c r="XCZ3" s="624"/>
      <c r="XDA3" s="624"/>
      <c r="XDB3" s="624"/>
      <c r="XDC3" s="624"/>
      <c r="XDD3" s="624"/>
      <c r="XDE3" s="624"/>
      <c r="XDF3" s="624"/>
      <c r="XDG3" s="624"/>
      <c r="XDH3" s="624"/>
      <c r="XDI3" s="624"/>
      <c r="XDJ3" s="624"/>
      <c r="XDK3" s="624"/>
      <c r="XDL3" s="624"/>
      <c r="XDM3" s="624"/>
      <c r="XDN3" s="624"/>
      <c r="XDO3" s="624"/>
      <c r="XDP3" s="624"/>
      <c r="XDQ3" s="624"/>
      <c r="XDR3" s="624"/>
      <c r="XDS3" s="624"/>
      <c r="XDT3" s="624"/>
      <c r="XDU3" s="624"/>
      <c r="XDV3" s="624"/>
      <c r="XDW3" s="624"/>
      <c r="XDX3" s="624"/>
      <c r="XDY3" s="624"/>
      <c r="XDZ3" s="624"/>
      <c r="XEA3" s="624"/>
      <c r="XEB3" s="624"/>
      <c r="XEC3" s="624"/>
      <c r="XED3" s="624"/>
      <c r="XEE3" s="624"/>
      <c r="XEF3" s="624"/>
      <c r="XEG3" s="624"/>
      <c r="XEH3" s="624"/>
      <c r="XEI3" s="624"/>
      <c r="XEJ3" s="624"/>
      <c r="XEK3" s="624"/>
      <c r="XEL3" s="624"/>
      <c r="XEM3" s="624"/>
      <c r="XEN3" s="624"/>
      <c r="XEO3" s="624"/>
      <c r="XEP3" s="624"/>
      <c r="XEQ3" s="624"/>
      <c r="XER3" s="624"/>
      <c r="XES3" s="624"/>
      <c r="XET3" s="624"/>
      <c r="XEU3" s="624"/>
      <c r="XEV3" s="624"/>
      <c r="XEW3" s="624"/>
      <c r="XEX3" s="624"/>
      <c r="XEY3" s="624"/>
      <c r="XEZ3" s="624"/>
      <c r="XFA3" s="624"/>
      <c r="XFB3" s="624"/>
      <c r="XFC3" s="624"/>
      <c r="XFD3" s="624"/>
    </row>
    <row r="4" spans="1:1058 16201:16384" s="43" customFormat="1" ht="13.5" thickTop="1">
      <c r="A4" s="624"/>
      <c r="B4" s="41" t="s">
        <v>47</v>
      </c>
      <c r="C4" s="146"/>
      <c r="D4" s="146"/>
      <c r="E4" s="146"/>
      <c r="F4" s="223"/>
      <c r="G4" s="223"/>
      <c r="H4" s="223"/>
      <c r="I4" s="223"/>
      <c r="J4" s="624"/>
      <c r="K4" s="223"/>
      <c r="L4" s="223"/>
      <c r="M4" s="865"/>
      <c r="N4" s="624"/>
      <c r="O4" s="624"/>
      <c r="P4" s="624"/>
      <c r="Q4" s="624"/>
      <c r="R4" s="624"/>
      <c r="S4" s="624"/>
      <c r="T4" s="624"/>
      <c r="U4" s="624"/>
      <c r="V4" s="624"/>
      <c r="W4" s="624"/>
      <c r="X4" s="624"/>
      <c r="Y4" s="624"/>
      <c r="Z4" s="624"/>
      <c r="AA4" s="624"/>
      <c r="AB4" s="624"/>
      <c r="AC4" s="624"/>
      <c r="AD4" s="624"/>
      <c r="AE4" s="624"/>
      <c r="AF4" s="624"/>
      <c r="AG4" s="624"/>
      <c r="AH4" s="624"/>
      <c r="AI4" s="624"/>
      <c r="AJ4" s="624"/>
      <c r="AK4" s="624"/>
      <c r="AL4" s="624"/>
      <c r="AM4" s="624"/>
      <c r="AN4" s="624"/>
      <c r="AO4" s="624"/>
      <c r="AP4" s="624"/>
      <c r="AQ4" s="624"/>
      <c r="AR4" s="624"/>
      <c r="AS4" s="624"/>
      <c r="AT4" s="624"/>
      <c r="AU4" s="624"/>
      <c r="AV4" s="624"/>
      <c r="AW4" s="624"/>
      <c r="AX4" s="624"/>
      <c r="AY4" s="624"/>
      <c r="AZ4" s="624"/>
      <c r="BA4" s="624"/>
      <c r="BB4" s="624"/>
      <c r="BC4" s="624"/>
      <c r="BD4" s="624"/>
      <c r="BE4" s="624"/>
      <c r="BF4" s="624"/>
      <c r="BG4" s="624"/>
      <c r="BH4" s="624"/>
      <c r="BI4" s="624"/>
      <c r="BJ4" s="624"/>
      <c r="BK4" s="624"/>
      <c r="BL4" s="624"/>
      <c r="BM4" s="624"/>
      <c r="BN4" s="624"/>
      <c r="BO4" s="624"/>
      <c r="BP4" s="624"/>
      <c r="BQ4" s="624"/>
      <c r="BR4" s="624"/>
      <c r="BS4" s="624"/>
      <c r="BT4" s="624"/>
      <c r="BU4" s="624"/>
      <c r="BV4" s="624"/>
      <c r="BW4" s="624"/>
      <c r="BX4" s="624"/>
      <c r="BY4" s="624"/>
      <c r="BZ4" s="624"/>
      <c r="CA4" s="624"/>
      <c r="CB4" s="624"/>
      <c r="CC4" s="624"/>
      <c r="CD4" s="624"/>
      <c r="CE4" s="624"/>
      <c r="CF4" s="624"/>
      <c r="CG4" s="624"/>
      <c r="CH4" s="624"/>
      <c r="CI4" s="624"/>
      <c r="CJ4" s="624"/>
      <c r="CK4" s="624"/>
      <c r="CL4" s="624"/>
      <c r="CM4" s="624"/>
      <c r="CN4" s="624"/>
      <c r="CO4" s="624"/>
      <c r="CP4" s="624"/>
      <c r="CQ4" s="624"/>
      <c r="CR4" s="624"/>
      <c r="CS4" s="624"/>
      <c r="CT4" s="624"/>
      <c r="CU4" s="624"/>
      <c r="CV4" s="624"/>
      <c r="CW4" s="624"/>
      <c r="CX4" s="624"/>
      <c r="CY4" s="624"/>
      <c r="CZ4" s="624"/>
      <c r="DA4" s="624"/>
      <c r="JH4" s="624"/>
      <c r="JI4" s="624"/>
      <c r="JJ4" s="624"/>
      <c r="JK4" s="624"/>
      <c r="JL4" s="624"/>
      <c r="JM4" s="624"/>
      <c r="JN4" s="624"/>
      <c r="JO4" s="624"/>
      <c r="JP4" s="624"/>
      <c r="JQ4" s="624"/>
      <c r="JR4" s="624"/>
      <c r="JS4" s="624"/>
      <c r="JT4" s="624"/>
      <c r="JU4" s="624"/>
      <c r="JV4" s="624"/>
      <c r="JW4" s="624"/>
      <c r="JX4" s="624"/>
      <c r="JY4" s="624"/>
      <c r="JZ4" s="624"/>
      <c r="KA4" s="624"/>
      <c r="KB4" s="624"/>
      <c r="KC4" s="624"/>
      <c r="KD4" s="624"/>
      <c r="KE4" s="624"/>
      <c r="KF4" s="624"/>
      <c r="KG4" s="624"/>
      <c r="KH4" s="624"/>
      <c r="KI4" s="624"/>
      <c r="KJ4" s="624"/>
      <c r="KK4" s="624"/>
      <c r="KL4" s="624"/>
      <c r="KM4" s="624"/>
      <c r="KN4" s="624"/>
      <c r="KO4" s="624"/>
      <c r="KP4" s="624"/>
      <c r="KQ4" s="624"/>
      <c r="KR4" s="624"/>
      <c r="KS4" s="624"/>
      <c r="KT4" s="624"/>
      <c r="KU4" s="624"/>
      <c r="KV4" s="624"/>
      <c r="KW4" s="624"/>
      <c r="KX4" s="624"/>
      <c r="KY4" s="624"/>
      <c r="KZ4" s="624"/>
      <c r="LA4" s="624"/>
      <c r="LB4" s="624"/>
      <c r="LC4" s="624"/>
      <c r="LD4" s="624"/>
      <c r="LE4" s="624"/>
      <c r="LF4" s="624"/>
      <c r="LG4" s="624"/>
      <c r="LH4" s="624"/>
      <c r="LI4" s="624"/>
      <c r="LJ4" s="624"/>
      <c r="LK4" s="624"/>
      <c r="LL4" s="624"/>
      <c r="LM4" s="624"/>
      <c r="LN4" s="624"/>
      <c r="LO4" s="624"/>
      <c r="LP4" s="624"/>
      <c r="LQ4" s="624"/>
      <c r="LR4" s="624"/>
      <c r="LS4" s="624"/>
      <c r="LT4" s="624"/>
      <c r="LU4" s="624"/>
      <c r="LV4" s="624"/>
      <c r="LW4" s="624"/>
      <c r="LX4" s="624"/>
      <c r="LY4" s="624"/>
      <c r="LZ4" s="624"/>
      <c r="MA4" s="624"/>
      <c r="MB4" s="624"/>
      <c r="MC4" s="624"/>
      <c r="MD4" s="624"/>
      <c r="ME4" s="624"/>
      <c r="MF4" s="624"/>
      <c r="MG4" s="624"/>
      <c r="MH4" s="624"/>
      <c r="MI4" s="624"/>
      <c r="MJ4" s="624"/>
      <c r="MK4" s="624"/>
      <c r="ML4" s="624"/>
      <c r="MM4" s="624"/>
      <c r="MN4" s="624"/>
      <c r="MO4" s="624"/>
      <c r="MP4" s="624"/>
      <c r="MQ4" s="624"/>
      <c r="MR4" s="624"/>
      <c r="MS4" s="624"/>
      <c r="MT4" s="624"/>
      <c r="MU4" s="624"/>
      <c r="MV4" s="624"/>
      <c r="MW4" s="624"/>
      <c r="MX4" s="624"/>
      <c r="MY4" s="624"/>
      <c r="MZ4" s="624"/>
      <c r="NA4" s="624"/>
      <c r="NB4" s="624"/>
      <c r="NC4" s="624"/>
      <c r="ND4" s="624"/>
      <c r="NE4" s="624"/>
      <c r="NF4" s="624"/>
      <c r="NG4" s="624"/>
      <c r="NH4" s="624"/>
      <c r="NI4" s="624"/>
      <c r="NJ4" s="624"/>
      <c r="NK4" s="624"/>
      <c r="NL4" s="624"/>
      <c r="NM4" s="624"/>
      <c r="NN4" s="624"/>
      <c r="NO4" s="624"/>
      <c r="NP4" s="624"/>
      <c r="NQ4" s="624"/>
      <c r="NR4" s="624"/>
      <c r="NS4" s="624"/>
      <c r="NT4" s="624"/>
      <c r="NU4" s="624"/>
      <c r="NV4" s="624"/>
      <c r="NW4" s="624"/>
      <c r="NX4" s="624"/>
      <c r="NY4" s="624"/>
      <c r="NZ4" s="624"/>
      <c r="OA4" s="624"/>
      <c r="OB4" s="624"/>
      <c r="OC4" s="624"/>
      <c r="OD4" s="624"/>
      <c r="OE4" s="624"/>
      <c r="OF4" s="624"/>
      <c r="OG4" s="624"/>
      <c r="OH4" s="624"/>
      <c r="OI4" s="624"/>
      <c r="OJ4" s="624"/>
      <c r="OK4" s="624"/>
      <c r="OL4" s="624"/>
      <c r="OM4" s="624"/>
      <c r="ON4" s="624"/>
      <c r="OO4" s="624"/>
      <c r="OP4" s="624"/>
      <c r="OQ4" s="624"/>
      <c r="OR4" s="624"/>
      <c r="OS4" s="624"/>
      <c r="OT4" s="624"/>
      <c r="OU4" s="624"/>
      <c r="OV4" s="624"/>
      <c r="OW4" s="624"/>
      <c r="OX4" s="624"/>
      <c r="OY4" s="624"/>
      <c r="OZ4" s="624"/>
      <c r="PA4" s="624"/>
      <c r="PB4" s="624"/>
      <c r="PC4" s="624"/>
      <c r="PD4" s="624"/>
      <c r="PE4" s="624"/>
      <c r="PF4" s="624"/>
      <c r="PG4" s="624"/>
      <c r="PH4" s="624"/>
      <c r="PI4" s="624"/>
      <c r="PJ4" s="624"/>
      <c r="PK4" s="624"/>
      <c r="PL4" s="624"/>
      <c r="PM4" s="624"/>
      <c r="PN4" s="624"/>
      <c r="PO4" s="624"/>
      <c r="PP4" s="624"/>
      <c r="PQ4" s="624"/>
      <c r="PR4" s="624"/>
      <c r="PS4" s="624"/>
      <c r="PT4" s="624"/>
      <c r="PU4" s="624"/>
      <c r="PV4" s="624"/>
      <c r="PW4" s="624"/>
      <c r="PX4" s="624"/>
      <c r="PY4" s="624"/>
      <c r="PZ4" s="624"/>
      <c r="QA4" s="624"/>
      <c r="QB4" s="624"/>
      <c r="QC4" s="624"/>
      <c r="QD4" s="624"/>
      <c r="QE4" s="624"/>
      <c r="QF4" s="624"/>
      <c r="QG4" s="624"/>
      <c r="QH4" s="624"/>
      <c r="QI4" s="624"/>
      <c r="QJ4" s="624"/>
      <c r="QK4" s="624"/>
      <c r="QL4" s="624"/>
      <c r="QM4" s="624"/>
      <c r="QN4" s="624"/>
      <c r="QO4" s="624"/>
      <c r="QP4" s="624"/>
      <c r="QQ4" s="624"/>
      <c r="QR4" s="624"/>
      <c r="QS4" s="624"/>
      <c r="QT4" s="624"/>
      <c r="QU4" s="624"/>
      <c r="QV4" s="624"/>
      <c r="QW4" s="624"/>
      <c r="QX4" s="624"/>
      <c r="QY4" s="624"/>
      <c r="QZ4" s="624"/>
      <c r="RA4" s="624"/>
      <c r="RB4" s="624"/>
      <c r="RC4" s="624"/>
      <c r="RD4" s="624"/>
      <c r="RE4" s="624"/>
      <c r="RF4" s="624"/>
      <c r="RG4" s="624"/>
      <c r="RH4" s="624"/>
      <c r="RI4" s="624"/>
      <c r="RJ4" s="624"/>
      <c r="RK4" s="624"/>
      <c r="RL4" s="624"/>
      <c r="RM4" s="624"/>
      <c r="RN4" s="624"/>
      <c r="RO4" s="624"/>
      <c r="RP4" s="624"/>
      <c r="RQ4" s="624"/>
      <c r="RR4" s="624"/>
      <c r="RS4" s="624"/>
      <c r="RT4" s="624"/>
      <c r="RU4" s="624"/>
      <c r="RV4" s="624"/>
      <c r="RW4" s="624"/>
      <c r="RX4" s="624"/>
      <c r="RY4" s="624"/>
      <c r="RZ4" s="624"/>
      <c r="SA4" s="624"/>
      <c r="SB4" s="624"/>
      <c r="SC4" s="624"/>
      <c r="SD4" s="624"/>
      <c r="SE4" s="624"/>
      <c r="SF4" s="624"/>
      <c r="SG4" s="624"/>
      <c r="SH4" s="624"/>
      <c r="SI4" s="624"/>
      <c r="SJ4" s="624"/>
      <c r="SK4" s="624"/>
      <c r="SL4" s="624"/>
      <c r="SM4" s="624"/>
      <c r="SN4" s="624"/>
      <c r="SO4" s="624"/>
      <c r="SP4" s="624"/>
      <c r="SQ4" s="624"/>
      <c r="SR4" s="624"/>
      <c r="SS4" s="624"/>
      <c r="ST4" s="624"/>
      <c r="SU4" s="624"/>
      <c r="SV4" s="624"/>
      <c r="SW4" s="624"/>
      <c r="SX4" s="624"/>
      <c r="SY4" s="624"/>
      <c r="SZ4" s="624"/>
      <c r="TA4" s="624"/>
      <c r="TB4" s="624"/>
      <c r="TC4" s="624"/>
      <c r="TD4" s="624"/>
      <c r="TE4" s="624"/>
      <c r="TF4" s="624"/>
      <c r="TG4" s="624"/>
      <c r="TH4" s="624"/>
      <c r="TI4" s="624"/>
      <c r="TJ4" s="624"/>
      <c r="TK4" s="624"/>
      <c r="TL4" s="624"/>
      <c r="TM4" s="624"/>
      <c r="TN4" s="624"/>
      <c r="TO4" s="624"/>
      <c r="TP4" s="624"/>
      <c r="TQ4" s="624"/>
      <c r="TR4" s="624"/>
      <c r="TS4" s="624"/>
      <c r="TT4" s="624"/>
      <c r="TU4" s="624"/>
      <c r="TV4" s="624"/>
      <c r="TW4" s="624"/>
      <c r="TX4" s="624"/>
      <c r="TY4" s="624"/>
      <c r="TZ4" s="624"/>
      <c r="UA4" s="624"/>
      <c r="UB4" s="624"/>
      <c r="UC4" s="624"/>
      <c r="UD4" s="624"/>
      <c r="UE4" s="624"/>
      <c r="UF4" s="624"/>
      <c r="UG4" s="624"/>
      <c r="UH4" s="624"/>
      <c r="UI4" s="624"/>
      <c r="UJ4" s="624"/>
      <c r="UK4" s="624"/>
      <c r="UL4" s="624"/>
      <c r="UM4" s="624"/>
      <c r="UN4" s="624"/>
      <c r="UO4" s="624"/>
      <c r="UP4" s="624"/>
      <c r="UQ4" s="624"/>
      <c r="UR4" s="624"/>
      <c r="US4" s="624"/>
      <c r="UT4" s="624"/>
      <c r="UU4" s="624"/>
      <c r="UV4" s="624"/>
      <c r="UW4" s="624"/>
      <c r="UX4" s="624"/>
      <c r="UY4" s="624"/>
      <c r="UZ4" s="624"/>
      <c r="VA4" s="624"/>
      <c r="VB4" s="624"/>
      <c r="VC4" s="624"/>
      <c r="VD4" s="624"/>
      <c r="VE4" s="624"/>
      <c r="VF4" s="624"/>
      <c r="VG4" s="624"/>
      <c r="VH4" s="624"/>
      <c r="VI4" s="624"/>
      <c r="VJ4" s="624"/>
      <c r="VK4" s="624"/>
      <c r="VL4" s="624"/>
      <c r="VM4" s="624"/>
      <c r="VN4" s="624"/>
      <c r="VO4" s="624"/>
      <c r="VP4" s="624"/>
      <c r="VQ4" s="624"/>
      <c r="VR4" s="624"/>
      <c r="VS4" s="624"/>
      <c r="VT4" s="624"/>
      <c r="VU4" s="624"/>
      <c r="VV4" s="624"/>
      <c r="VW4" s="624"/>
      <c r="VX4" s="624"/>
      <c r="VY4" s="624"/>
      <c r="VZ4" s="624"/>
      <c r="WA4" s="624"/>
      <c r="WB4" s="624"/>
      <c r="WC4" s="624"/>
      <c r="WD4" s="624"/>
      <c r="WE4" s="624"/>
      <c r="WF4" s="624"/>
      <c r="WG4" s="624"/>
      <c r="WH4" s="624"/>
      <c r="WI4" s="624"/>
      <c r="WJ4" s="624"/>
      <c r="WK4" s="624"/>
      <c r="WL4" s="624"/>
      <c r="WM4" s="624"/>
      <c r="WN4" s="624"/>
      <c r="WO4" s="624"/>
      <c r="WP4" s="624"/>
      <c r="WQ4" s="624"/>
      <c r="WR4" s="624"/>
      <c r="WS4" s="624"/>
      <c r="WT4" s="624"/>
      <c r="WU4" s="624"/>
      <c r="WV4" s="624"/>
      <c r="WW4" s="624"/>
      <c r="WX4" s="624"/>
      <c r="WY4" s="624"/>
      <c r="WZ4" s="624"/>
      <c r="XA4" s="624"/>
      <c r="XB4" s="624"/>
      <c r="XC4" s="624"/>
      <c r="XD4" s="624"/>
      <c r="XE4" s="624"/>
      <c r="XF4" s="624"/>
      <c r="XG4" s="624"/>
      <c r="XH4" s="624"/>
      <c r="XI4" s="624"/>
      <c r="XJ4" s="624"/>
      <c r="XK4" s="624"/>
      <c r="XL4" s="624"/>
      <c r="XM4" s="624"/>
      <c r="XN4" s="624"/>
      <c r="XO4" s="624"/>
      <c r="XP4" s="624"/>
      <c r="XQ4" s="624"/>
      <c r="XR4" s="624"/>
      <c r="XS4" s="624"/>
      <c r="XT4" s="624"/>
      <c r="XU4" s="624"/>
      <c r="XV4" s="624"/>
      <c r="XW4" s="624"/>
      <c r="XX4" s="624"/>
      <c r="XY4" s="624"/>
      <c r="XZ4" s="624"/>
      <c r="YA4" s="624"/>
      <c r="YB4" s="624"/>
      <c r="YC4" s="624"/>
      <c r="YD4" s="624"/>
      <c r="YE4" s="624"/>
      <c r="YF4" s="624"/>
      <c r="YG4" s="624"/>
      <c r="YH4" s="624"/>
      <c r="YI4" s="624"/>
      <c r="YJ4" s="624"/>
      <c r="YK4" s="624"/>
      <c r="YL4" s="624"/>
      <c r="YM4" s="624"/>
      <c r="YN4" s="624"/>
      <c r="YO4" s="624"/>
      <c r="YP4" s="624"/>
      <c r="YQ4" s="624"/>
      <c r="YR4" s="624"/>
      <c r="YS4" s="624"/>
      <c r="YT4" s="624"/>
      <c r="YU4" s="624"/>
      <c r="YV4" s="624"/>
      <c r="YW4" s="624"/>
      <c r="YX4" s="624"/>
      <c r="YY4" s="624"/>
      <c r="YZ4" s="624"/>
      <c r="ZA4" s="624"/>
      <c r="ZB4" s="624"/>
      <c r="ZC4" s="624"/>
      <c r="ZD4" s="624"/>
      <c r="ZE4" s="624"/>
      <c r="ZF4" s="624"/>
      <c r="ZG4" s="624"/>
      <c r="ZH4" s="624"/>
      <c r="ZI4" s="624"/>
      <c r="ZJ4" s="624"/>
      <c r="ZK4" s="624"/>
      <c r="ZL4" s="624"/>
      <c r="ZM4" s="624"/>
      <c r="ZN4" s="624"/>
      <c r="ZO4" s="624"/>
      <c r="ZP4" s="624"/>
      <c r="ZQ4" s="624"/>
      <c r="ZR4" s="624"/>
      <c r="ZS4" s="624"/>
      <c r="ZT4" s="624"/>
      <c r="ZU4" s="624"/>
      <c r="ZV4" s="624"/>
      <c r="ZW4" s="624"/>
      <c r="ZX4" s="624"/>
      <c r="ZY4" s="624"/>
      <c r="ZZ4" s="624"/>
      <c r="AAA4" s="624"/>
      <c r="AAB4" s="624"/>
      <c r="AAC4" s="624"/>
      <c r="AAD4" s="624"/>
      <c r="AAE4" s="624"/>
      <c r="AAF4" s="624"/>
      <c r="AAG4" s="624"/>
      <c r="AAH4" s="624"/>
      <c r="AAI4" s="624"/>
      <c r="AAJ4" s="624"/>
      <c r="AAK4" s="624"/>
      <c r="AAL4" s="624"/>
      <c r="AAM4" s="624"/>
      <c r="AAN4" s="624"/>
      <c r="AAO4" s="624"/>
      <c r="AAP4" s="624"/>
      <c r="AAQ4" s="624"/>
      <c r="AAR4" s="624"/>
      <c r="AAS4" s="624"/>
      <c r="AAT4" s="624"/>
      <c r="AAU4" s="624"/>
      <c r="AAV4" s="624"/>
      <c r="AAW4" s="624"/>
      <c r="AAX4" s="624"/>
      <c r="AAY4" s="624"/>
      <c r="AAZ4" s="624"/>
      <c r="ABA4" s="624"/>
      <c r="ABB4" s="624"/>
      <c r="ABC4" s="624"/>
      <c r="ABD4" s="624"/>
      <c r="ABE4" s="624"/>
      <c r="ABF4" s="624"/>
      <c r="ABG4" s="624"/>
      <c r="ABH4" s="624"/>
      <c r="ABI4" s="624"/>
      <c r="ABJ4" s="624"/>
      <c r="ABK4" s="624"/>
      <c r="ABL4" s="624"/>
      <c r="ABM4" s="624"/>
      <c r="ABN4" s="624"/>
      <c r="ABO4" s="624"/>
      <c r="ABP4" s="624"/>
      <c r="ABQ4" s="624"/>
      <c r="ABR4" s="624"/>
      <c r="ABS4" s="624"/>
      <c r="ABT4" s="624"/>
      <c r="ABU4" s="624"/>
      <c r="ABV4" s="624"/>
      <c r="ABW4" s="624"/>
      <c r="ABX4" s="624"/>
      <c r="ABY4" s="624"/>
      <c r="ABZ4" s="624"/>
      <c r="ACA4" s="624"/>
      <c r="ACB4" s="624"/>
      <c r="ACC4" s="624"/>
      <c r="ACD4" s="624"/>
      <c r="ACE4" s="624"/>
      <c r="ACF4" s="624"/>
      <c r="ACG4" s="624"/>
      <c r="ACH4" s="624"/>
      <c r="ACI4" s="624"/>
      <c r="ACJ4" s="624"/>
      <c r="ACK4" s="624"/>
      <c r="ACL4" s="624"/>
      <c r="ACM4" s="624"/>
      <c r="ACN4" s="624"/>
      <c r="ACO4" s="624"/>
      <c r="ACP4" s="624"/>
      <c r="ACQ4" s="624"/>
      <c r="ACR4" s="624"/>
      <c r="ACS4" s="624"/>
      <c r="ACT4" s="624"/>
      <c r="ACU4" s="624"/>
      <c r="ACV4" s="624"/>
      <c r="ACW4" s="624"/>
      <c r="ACX4" s="624"/>
      <c r="ACY4" s="624"/>
      <c r="ACZ4" s="624"/>
      <c r="ADA4" s="624"/>
      <c r="ADB4" s="624"/>
      <c r="ADC4" s="624"/>
      <c r="ADD4" s="624"/>
      <c r="ADE4" s="624"/>
      <c r="ADF4" s="624"/>
      <c r="ADG4" s="624"/>
      <c r="ADH4" s="624"/>
      <c r="ADI4" s="624"/>
      <c r="ADJ4" s="624"/>
      <c r="ADK4" s="624"/>
      <c r="ADL4" s="624"/>
      <c r="ADM4" s="624"/>
      <c r="ADN4" s="624"/>
      <c r="ADO4" s="624"/>
      <c r="ADP4" s="624"/>
      <c r="ADQ4" s="624"/>
      <c r="ADR4" s="624"/>
      <c r="ADS4" s="624"/>
      <c r="ADT4" s="624"/>
      <c r="ADU4" s="624"/>
      <c r="ADV4" s="624"/>
      <c r="ADW4" s="624"/>
      <c r="ADX4" s="624"/>
      <c r="ADY4" s="624"/>
      <c r="ADZ4" s="624"/>
      <c r="AEA4" s="624"/>
      <c r="AEB4" s="624"/>
      <c r="AEC4" s="624"/>
      <c r="AED4" s="624"/>
      <c r="AEE4" s="624"/>
      <c r="AEF4" s="624"/>
      <c r="AEG4" s="624"/>
      <c r="AEH4" s="624"/>
      <c r="AEI4" s="624"/>
      <c r="AEJ4" s="624"/>
      <c r="AEK4" s="624"/>
      <c r="AEL4" s="624"/>
      <c r="AEM4" s="624"/>
      <c r="AEN4" s="624"/>
      <c r="AEO4" s="624"/>
      <c r="AEP4" s="624"/>
      <c r="AEQ4" s="624"/>
      <c r="AER4" s="624"/>
      <c r="AES4" s="624"/>
      <c r="AET4" s="624"/>
      <c r="AEU4" s="624"/>
      <c r="AEV4" s="624"/>
      <c r="AEW4" s="624"/>
      <c r="AEX4" s="624"/>
      <c r="AEY4" s="624"/>
      <c r="AEZ4" s="624"/>
      <c r="AFA4" s="624"/>
      <c r="AFB4" s="624"/>
      <c r="AFC4" s="624"/>
      <c r="AFD4" s="624"/>
      <c r="AFE4" s="624"/>
      <c r="AFF4" s="624"/>
      <c r="AFG4" s="624"/>
      <c r="AFH4" s="624"/>
      <c r="AFI4" s="624"/>
      <c r="AFJ4" s="624"/>
      <c r="AFK4" s="624"/>
      <c r="AFL4" s="624"/>
      <c r="AFM4" s="624"/>
      <c r="AFN4" s="624"/>
      <c r="AFO4" s="624"/>
      <c r="AFP4" s="624"/>
      <c r="AFQ4" s="624"/>
      <c r="AFR4" s="624"/>
      <c r="AFS4" s="624"/>
      <c r="AFT4" s="624"/>
      <c r="AFU4" s="624"/>
      <c r="AFV4" s="624"/>
      <c r="AFW4" s="624"/>
      <c r="AFX4" s="624"/>
      <c r="AFY4" s="624"/>
      <c r="AFZ4" s="624"/>
      <c r="AGA4" s="624"/>
      <c r="AGB4" s="624"/>
      <c r="AGC4" s="624"/>
      <c r="AGD4" s="624"/>
      <c r="AGE4" s="624"/>
      <c r="AGF4" s="624"/>
      <c r="AGG4" s="624"/>
      <c r="AGH4" s="624"/>
      <c r="AGI4" s="624"/>
      <c r="AGJ4" s="624"/>
      <c r="AGK4" s="624"/>
      <c r="AGL4" s="624"/>
      <c r="AGM4" s="624"/>
      <c r="AGN4" s="624"/>
      <c r="AGO4" s="624"/>
      <c r="AGP4" s="624"/>
      <c r="AGQ4" s="624"/>
      <c r="AGR4" s="624"/>
      <c r="AGS4" s="624"/>
      <c r="AGT4" s="624"/>
      <c r="AGU4" s="624"/>
      <c r="AGV4" s="624"/>
      <c r="AGW4" s="624"/>
      <c r="AGX4" s="624"/>
      <c r="AGY4" s="624"/>
      <c r="AGZ4" s="624"/>
      <c r="AHA4" s="624"/>
      <c r="AHB4" s="624"/>
      <c r="AHC4" s="624"/>
      <c r="AHD4" s="624"/>
      <c r="AHE4" s="624"/>
      <c r="AHF4" s="624"/>
      <c r="AHG4" s="624"/>
      <c r="AHH4" s="624"/>
      <c r="AHI4" s="624"/>
      <c r="AHJ4" s="624"/>
      <c r="AHK4" s="624"/>
      <c r="AHL4" s="624"/>
      <c r="AHM4" s="624"/>
      <c r="AHN4" s="624"/>
      <c r="AHO4" s="624"/>
      <c r="AHP4" s="624"/>
      <c r="AHQ4" s="624"/>
      <c r="AHR4" s="624"/>
      <c r="AHS4" s="624"/>
      <c r="AHT4" s="624"/>
      <c r="AHU4" s="624"/>
      <c r="AHV4" s="624"/>
      <c r="AHW4" s="624"/>
      <c r="AHX4" s="624"/>
      <c r="AHY4" s="624"/>
      <c r="AHZ4" s="624"/>
      <c r="AIA4" s="624"/>
      <c r="AIB4" s="624"/>
      <c r="AIC4" s="624"/>
      <c r="AID4" s="624"/>
      <c r="AIE4" s="624"/>
      <c r="AIF4" s="624"/>
      <c r="AIG4" s="624"/>
      <c r="AIH4" s="624"/>
      <c r="AII4" s="624"/>
      <c r="AIJ4" s="624"/>
      <c r="AIK4" s="624"/>
      <c r="AIL4" s="624"/>
      <c r="AIM4" s="624"/>
      <c r="AIN4" s="624"/>
      <c r="AIO4" s="624"/>
      <c r="AIP4" s="624"/>
      <c r="AIQ4" s="624"/>
      <c r="AIR4" s="624"/>
      <c r="AIS4" s="624"/>
      <c r="AIT4" s="624"/>
      <c r="AIU4" s="624"/>
      <c r="AIV4" s="624"/>
      <c r="AIW4" s="624"/>
      <c r="AIX4" s="624"/>
      <c r="AIY4" s="624"/>
      <c r="AIZ4" s="624"/>
      <c r="AJA4" s="624"/>
      <c r="AJB4" s="624"/>
      <c r="AJC4" s="624"/>
      <c r="AJD4" s="624"/>
      <c r="AJE4" s="624"/>
      <c r="AJF4" s="624"/>
      <c r="AJG4" s="624"/>
      <c r="AJH4" s="624"/>
      <c r="AJI4" s="624"/>
      <c r="AJJ4" s="624"/>
      <c r="AJK4" s="624"/>
      <c r="AJL4" s="624"/>
      <c r="AJM4" s="624"/>
      <c r="AJN4" s="624"/>
      <c r="AJO4" s="624"/>
      <c r="AJP4" s="624"/>
      <c r="AJQ4" s="624"/>
      <c r="AJR4" s="624"/>
      <c r="AJS4" s="624"/>
      <c r="AJT4" s="624"/>
      <c r="AJU4" s="624"/>
      <c r="AJV4" s="624"/>
      <c r="AJW4" s="624"/>
      <c r="AJX4" s="624"/>
      <c r="AJY4" s="624"/>
      <c r="AJZ4" s="624"/>
      <c r="AKA4" s="624"/>
      <c r="AKB4" s="624"/>
      <c r="AKC4" s="624"/>
      <c r="AKD4" s="624"/>
      <c r="AKE4" s="624"/>
      <c r="AKF4" s="624"/>
      <c r="AKG4" s="624"/>
      <c r="AKH4" s="624"/>
      <c r="AKI4" s="624"/>
      <c r="AKJ4" s="624"/>
      <c r="AKK4" s="624"/>
      <c r="AKL4" s="624"/>
      <c r="AKM4" s="624"/>
      <c r="AKN4" s="624"/>
      <c r="AKO4" s="624"/>
      <c r="AKP4" s="624"/>
      <c r="AKQ4" s="624"/>
      <c r="AKR4" s="624"/>
      <c r="AKS4" s="624"/>
      <c r="AKT4" s="624"/>
      <c r="AKU4" s="624"/>
      <c r="AKV4" s="624"/>
      <c r="AKW4" s="624"/>
      <c r="AKX4" s="624"/>
      <c r="AKY4" s="624"/>
      <c r="AKZ4" s="624"/>
      <c r="ALA4" s="624"/>
      <c r="ALB4" s="624"/>
      <c r="ALC4" s="624"/>
      <c r="ALD4" s="624"/>
      <c r="ALE4" s="624"/>
      <c r="ALF4" s="624"/>
      <c r="ALG4" s="624"/>
      <c r="ALH4" s="624"/>
      <c r="ALI4" s="624"/>
      <c r="ALJ4" s="624"/>
      <c r="ALK4" s="624"/>
      <c r="ALL4" s="624"/>
      <c r="ALM4" s="624"/>
      <c r="ALN4" s="624"/>
      <c r="ALO4" s="624"/>
      <c r="ALP4" s="624"/>
      <c r="ALQ4" s="624"/>
      <c r="ALR4" s="624"/>
      <c r="ALS4" s="624"/>
      <c r="ALT4" s="624"/>
      <c r="ALU4" s="624"/>
      <c r="ALV4" s="624"/>
      <c r="ALW4" s="624"/>
      <c r="ALX4" s="624"/>
      <c r="ALY4" s="624"/>
      <c r="ALZ4" s="624"/>
      <c r="AMA4" s="624"/>
      <c r="AMB4" s="624"/>
      <c r="AMC4" s="624"/>
      <c r="AMD4" s="624"/>
      <c r="AME4" s="624"/>
      <c r="AMF4" s="624"/>
      <c r="AMG4" s="624"/>
      <c r="AMH4" s="624"/>
      <c r="AMI4" s="624"/>
      <c r="AMJ4" s="624"/>
      <c r="AMK4" s="624"/>
      <c r="AML4" s="624"/>
      <c r="AMM4" s="624"/>
      <c r="AMN4" s="624"/>
      <c r="AMO4" s="624"/>
      <c r="AMP4" s="624"/>
      <c r="AMQ4" s="624"/>
      <c r="AMR4" s="624"/>
      <c r="AMS4" s="624"/>
      <c r="AMT4" s="624"/>
      <c r="AMU4" s="624"/>
      <c r="AMV4" s="624"/>
      <c r="AMW4" s="624"/>
      <c r="AMX4" s="624"/>
      <c r="AMY4" s="624"/>
      <c r="AMZ4" s="624"/>
      <c r="ANA4" s="624"/>
      <c r="ANB4" s="624"/>
      <c r="ANC4" s="624"/>
      <c r="AND4" s="624"/>
      <c r="ANE4" s="624"/>
      <c r="ANF4" s="624"/>
      <c r="ANG4" s="624"/>
      <c r="ANH4" s="624"/>
      <c r="ANI4" s="624"/>
      <c r="ANJ4" s="624"/>
      <c r="ANK4" s="624"/>
      <c r="ANL4" s="624"/>
      <c r="ANM4" s="624"/>
      <c r="ANN4" s="624"/>
      <c r="ANO4" s="624"/>
      <c r="ANP4" s="624"/>
      <c r="ANQ4" s="624"/>
      <c r="ANR4" s="624"/>
      <c r="WYC4" s="624"/>
      <c r="WYD4" s="624"/>
      <c r="WYE4" s="624"/>
      <c r="WYF4" s="624"/>
      <c r="WYG4" s="624"/>
      <c r="WYH4" s="624"/>
      <c r="WYI4" s="624"/>
      <c r="WYJ4" s="624"/>
      <c r="WYK4" s="624"/>
      <c r="WYL4" s="624"/>
      <c r="WYM4" s="624"/>
      <c r="WYN4" s="624"/>
      <c r="WYO4" s="624"/>
      <c r="WYP4" s="624"/>
      <c r="WYQ4" s="624"/>
      <c r="WYR4" s="624"/>
      <c r="WYS4" s="624"/>
      <c r="WYT4" s="624"/>
      <c r="WYU4" s="624"/>
      <c r="WYV4" s="624"/>
      <c r="WYW4" s="624"/>
      <c r="WYX4" s="624"/>
      <c r="WYY4" s="624"/>
      <c r="WYZ4" s="624"/>
      <c r="WZA4" s="624"/>
      <c r="WZB4" s="624"/>
      <c r="WZC4" s="624"/>
      <c r="WZD4" s="624"/>
      <c r="WZE4" s="624"/>
      <c r="WZF4" s="624"/>
      <c r="WZG4" s="624"/>
      <c r="WZH4" s="624"/>
      <c r="WZI4" s="624"/>
      <c r="WZJ4" s="624"/>
      <c r="WZK4" s="624"/>
      <c r="WZL4" s="624"/>
      <c r="WZM4" s="624"/>
      <c r="WZN4" s="624"/>
      <c r="WZO4" s="624"/>
      <c r="WZP4" s="624"/>
      <c r="WZQ4" s="624"/>
      <c r="WZR4" s="624"/>
      <c r="WZS4" s="624"/>
      <c r="WZT4" s="624"/>
      <c r="WZU4" s="624"/>
      <c r="WZV4" s="624"/>
      <c r="WZW4" s="624"/>
      <c r="WZX4" s="624"/>
      <c r="WZY4" s="624"/>
      <c r="WZZ4" s="624"/>
      <c r="XAA4" s="624"/>
      <c r="XAB4" s="624"/>
      <c r="XAC4" s="624"/>
      <c r="XAD4" s="624"/>
      <c r="XAE4" s="624"/>
      <c r="XAF4" s="624"/>
      <c r="XAG4" s="624"/>
      <c r="XAH4" s="624"/>
      <c r="XAI4" s="624"/>
      <c r="XAJ4" s="624"/>
      <c r="XAK4" s="624"/>
      <c r="XAL4" s="624"/>
      <c r="XAM4" s="624"/>
      <c r="XAN4" s="624"/>
      <c r="XAO4" s="624"/>
      <c r="XAP4" s="624"/>
      <c r="XAQ4" s="624"/>
      <c r="XAR4" s="624"/>
      <c r="XAS4" s="624"/>
      <c r="XAT4" s="624"/>
      <c r="XAU4" s="624"/>
      <c r="XAV4" s="624"/>
      <c r="XAW4" s="624"/>
      <c r="XAX4" s="624"/>
      <c r="XAY4" s="624"/>
      <c r="XAZ4" s="624"/>
      <c r="XBA4" s="624"/>
      <c r="XBB4" s="624"/>
      <c r="XBC4" s="624"/>
      <c r="XBD4" s="624"/>
      <c r="XBE4" s="624"/>
      <c r="XBF4" s="624"/>
      <c r="XBG4" s="624"/>
      <c r="XBH4" s="624"/>
      <c r="XBI4" s="624"/>
      <c r="XBJ4" s="624"/>
      <c r="XBK4" s="624"/>
      <c r="XBL4" s="624"/>
      <c r="XBM4" s="624"/>
      <c r="XBN4" s="624"/>
      <c r="XBO4" s="624"/>
      <c r="XBP4" s="624"/>
      <c r="XBQ4" s="624"/>
      <c r="XBR4" s="624"/>
      <c r="XBS4" s="624"/>
      <c r="XBT4" s="624"/>
      <c r="XBU4" s="624"/>
      <c r="XBV4" s="624"/>
      <c r="XBW4" s="624"/>
      <c r="XBX4" s="624"/>
      <c r="XBY4" s="624"/>
      <c r="XBZ4" s="624"/>
      <c r="XCA4" s="624"/>
      <c r="XCB4" s="624"/>
      <c r="XCC4" s="624"/>
      <c r="XCD4" s="624"/>
      <c r="XCE4" s="624"/>
      <c r="XCF4" s="624"/>
      <c r="XCG4" s="624"/>
      <c r="XCH4" s="624"/>
      <c r="XCI4" s="624"/>
      <c r="XCJ4" s="624"/>
      <c r="XCK4" s="624"/>
      <c r="XCL4" s="624"/>
      <c r="XCM4" s="624"/>
      <c r="XCN4" s="624"/>
      <c r="XCO4" s="624"/>
      <c r="XCP4" s="624"/>
      <c r="XCQ4" s="624"/>
      <c r="XCR4" s="624"/>
      <c r="XCS4" s="624"/>
      <c r="XCT4" s="624"/>
      <c r="XCU4" s="624"/>
      <c r="XCV4" s="624"/>
      <c r="XCW4" s="624"/>
      <c r="XCX4" s="624"/>
      <c r="XCY4" s="624"/>
      <c r="XCZ4" s="624"/>
      <c r="XDA4" s="624"/>
      <c r="XDB4" s="624"/>
      <c r="XDC4" s="624"/>
      <c r="XDD4" s="624"/>
      <c r="XDE4" s="624"/>
      <c r="XDF4" s="624"/>
      <c r="XDG4" s="624"/>
      <c r="XDH4" s="624"/>
      <c r="XDI4" s="624"/>
      <c r="XDJ4" s="624"/>
      <c r="XDK4" s="624"/>
      <c r="XDL4" s="624"/>
      <c r="XDM4" s="624"/>
      <c r="XDN4" s="624"/>
      <c r="XDO4" s="624"/>
      <c r="XDP4" s="624"/>
      <c r="XDQ4" s="624"/>
      <c r="XDR4" s="624"/>
      <c r="XDS4" s="624"/>
      <c r="XDT4" s="624"/>
      <c r="XDU4" s="624"/>
      <c r="XDV4" s="624"/>
      <c r="XDW4" s="624"/>
      <c r="XDX4" s="624"/>
      <c r="XDY4" s="624"/>
      <c r="XDZ4" s="624"/>
      <c r="XEA4" s="624"/>
      <c r="XEB4" s="624"/>
      <c r="XEC4" s="624"/>
      <c r="XED4" s="624"/>
      <c r="XEE4" s="624"/>
      <c r="XEF4" s="624"/>
      <c r="XEG4" s="624"/>
      <c r="XEH4" s="624"/>
      <c r="XEI4" s="624"/>
      <c r="XEJ4" s="624"/>
      <c r="XEK4" s="624"/>
      <c r="XEL4" s="624"/>
      <c r="XEM4" s="624"/>
      <c r="XEN4" s="624"/>
      <c r="XEO4" s="624"/>
      <c r="XEP4" s="624"/>
      <c r="XEQ4" s="624"/>
      <c r="XER4" s="624"/>
      <c r="XES4" s="624"/>
      <c r="XET4" s="624"/>
      <c r="XEU4" s="624"/>
      <c r="XEV4" s="624"/>
      <c r="XEW4" s="624"/>
      <c r="XEX4" s="624"/>
      <c r="XEY4" s="624"/>
      <c r="XEZ4" s="624"/>
      <c r="XFA4" s="624"/>
      <c r="XFB4" s="624"/>
      <c r="XFC4" s="624"/>
      <c r="XFD4" s="624"/>
    </row>
    <row r="5" spans="1:1058 16201:16384" s="43" customFormat="1">
      <c r="A5" s="624"/>
      <c r="B5" s="155" t="s">
        <v>48</v>
      </c>
      <c r="C5" s="147"/>
      <c r="D5" s="147"/>
      <c r="E5" s="147"/>
      <c r="F5" s="223"/>
      <c r="G5" s="223"/>
      <c r="H5" s="223"/>
      <c r="I5" s="223"/>
      <c r="J5" s="624"/>
      <c r="K5" s="223"/>
      <c r="L5" s="223"/>
      <c r="M5" s="865"/>
      <c r="N5" s="624"/>
      <c r="O5" s="624"/>
      <c r="P5" s="624"/>
      <c r="Q5" s="624"/>
      <c r="R5" s="624"/>
      <c r="S5" s="624"/>
      <c r="T5" s="624"/>
      <c r="U5" s="624"/>
      <c r="V5" s="624"/>
      <c r="W5" s="624"/>
      <c r="X5" s="624"/>
      <c r="Y5" s="624"/>
      <c r="Z5" s="624"/>
      <c r="AA5" s="624"/>
      <c r="AB5" s="624"/>
      <c r="AC5" s="624"/>
      <c r="AD5" s="624"/>
      <c r="AE5" s="624"/>
      <c r="AF5" s="624"/>
      <c r="AG5" s="624"/>
      <c r="AH5" s="624"/>
      <c r="AI5" s="624"/>
      <c r="AJ5" s="624"/>
      <c r="AK5" s="624"/>
      <c r="AL5" s="624"/>
      <c r="AM5" s="624"/>
      <c r="AN5" s="624"/>
      <c r="AO5" s="624"/>
      <c r="AP5" s="624"/>
      <c r="AQ5" s="624"/>
      <c r="AR5" s="624"/>
      <c r="AS5" s="624"/>
      <c r="AT5" s="624"/>
      <c r="AU5" s="624"/>
      <c r="AV5" s="624"/>
      <c r="AW5" s="624"/>
      <c r="AX5" s="624"/>
      <c r="AY5" s="624"/>
      <c r="AZ5" s="624"/>
      <c r="BA5" s="624"/>
      <c r="BB5" s="624"/>
      <c r="BC5" s="624"/>
      <c r="BD5" s="624"/>
      <c r="BE5" s="624"/>
      <c r="BF5" s="624"/>
      <c r="BG5" s="624"/>
      <c r="BH5" s="624"/>
      <c r="BI5" s="624"/>
      <c r="BJ5" s="624"/>
      <c r="BK5" s="624"/>
      <c r="BL5" s="624"/>
      <c r="BM5" s="624"/>
      <c r="BN5" s="624"/>
      <c r="BO5" s="624"/>
      <c r="BP5" s="624"/>
      <c r="BQ5" s="624"/>
      <c r="BR5" s="624"/>
      <c r="BS5" s="624"/>
      <c r="BT5" s="624"/>
      <c r="BU5" s="624"/>
      <c r="BV5" s="624"/>
      <c r="BW5" s="624"/>
      <c r="BX5" s="624"/>
      <c r="BY5" s="624"/>
      <c r="BZ5" s="624"/>
      <c r="CA5" s="624"/>
      <c r="CB5" s="624"/>
      <c r="CC5" s="624"/>
      <c r="CD5" s="624"/>
      <c r="CE5" s="624"/>
      <c r="CF5" s="624"/>
      <c r="CG5" s="624"/>
      <c r="CH5" s="624"/>
      <c r="CI5" s="624"/>
      <c r="CJ5" s="624"/>
      <c r="CK5" s="624"/>
      <c r="CL5" s="624"/>
      <c r="CM5" s="624"/>
      <c r="CN5" s="624"/>
      <c r="CO5" s="624"/>
      <c r="CP5" s="624"/>
      <c r="CQ5" s="624"/>
      <c r="CR5" s="624"/>
      <c r="CS5" s="624"/>
      <c r="CT5" s="624"/>
      <c r="CU5" s="624"/>
      <c r="CV5" s="624"/>
      <c r="CW5" s="624"/>
      <c r="CX5" s="624"/>
      <c r="CY5" s="624"/>
      <c r="CZ5" s="624"/>
      <c r="DA5" s="624"/>
      <c r="JH5" s="624"/>
      <c r="JI5" s="624"/>
      <c r="JJ5" s="624"/>
      <c r="JK5" s="624"/>
      <c r="JL5" s="624"/>
      <c r="JM5" s="624"/>
      <c r="JN5" s="624"/>
      <c r="JO5" s="624"/>
      <c r="JP5" s="624"/>
      <c r="JQ5" s="624"/>
      <c r="JR5" s="624"/>
      <c r="JS5" s="624"/>
      <c r="JT5" s="624"/>
      <c r="JU5" s="624"/>
      <c r="JV5" s="624"/>
      <c r="JW5" s="624"/>
      <c r="JX5" s="624"/>
      <c r="JY5" s="624"/>
      <c r="JZ5" s="624"/>
      <c r="KA5" s="624"/>
      <c r="KB5" s="624"/>
      <c r="KC5" s="624"/>
      <c r="KD5" s="624"/>
      <c r="KE5" s="624"/>
      <c r="KF5" s="624"/>
      <c r="KG5" s="624"/>
      <c r="KH5" s="624"/>
      <c r="KI5" s="624"/>
      <c r="KJ5" s="624"/>
      <c r="KK5" s="624"/>
      <c r="KL5" s="624"/>
      <c r="KM5" s="624"/>
      <c r="KN5" s="624"/>
      <c r="KO5" s="624"/>
      <c r="KP5" s="624"/>
      <c r="KQ5" s="624"/>
      <c r="KR5" s="624"/>
      <c r="KS5" s="624"/>
      <c r="KT5" s="624"/>
      <c r="KU5" s="624"/>
      <c r="KV5" s="624"/>
      <c r="KW5" s="624"/>
      <c r="KX5" s="624"/>
      <c r="KY5" s="624"/>
      <c r="KZ5" s="624"/>
      <c r="LA5" s="624"/>
      <c r="LB5" s="624"/>
      <c r="LC5" s="624"/>
      <c r="LD5" s="624"/>
      <c r="LE5" s="624"/>
      <c r="LF5" s="624"/>
      <c r="LG5" s="624"/>
      <c r="LH5" s="624"/>
      <c r="LI5" s="624"/>
      <c r="LJ5" s="624"/>
      <c r="LK5" s="624"/>
      <c r="LL5" s="624"/>
      <c r="LM5" s="624"/>
      <c r="LN5" s="624"/>
      <c r="LO5" s="624"/>
      <c r="LP5" s="624"/>
      <c r="LQ5" s="624"/>
      <c r="LR5" s="624"/>
      <c r="LS5" s="624"/>
      <c r="LT5" s="624"/>
      <c r="LU5" s="624"/>
      <c r="LV5" s="624"/>
      <c r="LW5" s="624"/>
      <c r="LX5" s="624"/>
      <c r="LY5" s="624"/>
      <c r="LZ5" s="624"/>
      <c r="MA5" s="624"/>
      <c r="MB5" s="624"/>
      <c r="MC5" s="624"/>
      <c r="MD5" s="624"/>
      <c r="ME5" s="624"/>
      <c r="MF5" s="624"/>
      <c r="MG5" s="624"/>
      <c r="MH5" s="624"/>
      <c r="MI5" s="624"/>
      <c r="MJ5" s="624"/>
      <c r="MK5" s="624"/>
      <c r="ML5" s="624"/>
      <c r="MM5" s="624"/>
      <c r="MN5" s="624"/>
      <c r="MO5" s="624"/>
      <c r="MP5" s="624"/>
      <c r="MQ5" s="624"/>
      <c r="MR5" s="624"/>
      <c r="MS5" s="624"/>
      <c r="MT5" s="624"/>
      <c r="MU5" s="624"/>
      <c r="MV5" s="624"/>
      <c r="MW5" s="624"/>
      <c r="MX5" s="624"/>
      <c r="MY5" s="624"/>
      <c r="MZ5" s="624"/>
      <c r="NA5" s="624"/>
      <c r="NB5" s="624"/>
      <c r="NC5" s="624"/>
      <c r="ND5" s="624"/>
      <c r="NE5" s="624"/>
      <c r="NF5" s="624"/>
      <c r="NG5" s="624"/>
      <c r="NH5" s="624"/>
      <c r="NI5" s="624"/>
      <c r="NJ5" s="624"/>
      <c r="NK5" s="624"/>
      <c r="NL5" s="624"/>
      <c r="NM5" s="624"/>
      <c r="NN5" s="624"/>
      <c r="NO5" s="624"/>
      <c r="NP5" s="624"/>
      <c r="NQ5" s="624"/>
      <c r="NR5" s="624"/>
      <c r="NS5" s="624"/>
      <c r="NT5" s="624"/>
      <c r="NU5" s="624"/>
      <c r="NV5" s="624"/>
      <c r="NW5" s="624"/>
      <c r="NX5" s="624"/>
      <c r="NY5" s="624"/>
      <c r="NZ5" s="624"/>
      <c r="OA5" s="624"/>
      <c r="OB5" s="624"/>
      <c r="OC5" s="624"/>
      <c r="OD5" s="624"/>
      <c r="OE5" s="624"/>
      <c r="OF5" s="624"/>
      <c r="OG5" s="624"/>
      <c r="OH5" s="624"/>
      <c r="OI5" s="624"/>
      <c r="OJ5" s="624"/>
      <c r="OK5" s="624"/>
      <c r="OL5" s="624"/>
      <c r="OM5" s="624"/>
      <c r="ON5" s="624"/>
      <c r="OO5" s="624"/>
      <c r="OP5" s="624"/>
      <c r="OQ5" s="624"/>
      <c r="OR5" s="624"/>
      <c r="OS5" s="624"/>
      <c r="OT5" s="624"/>
      <c r="OU5" s="624"/>
      <c r="OV5" s="624"/>
      <c r="OW5" s="624"/>
      <c r="OX5" s="624"/>
      <c r="OY5" s="624"/>
      <c r="OZ5" s="624"/>
      <c r="PA5" s="624"/>
      <c r="PB5" s="624"/>
      <c r="PC5" s="624"/>
      <c r="PD5" s="624"/>
      <c r="PE5" s="624"/>
      <c r="PF5" s="624"/>
      <c r="PG5" s="624"/>
      <c r="PH5" s="624"/>
      <c r="PI5" s="624"/>
      <c r="PJ5" s="624"/>
      <c r="PK5" s="624"/>
      <c r="PL5" s="624"/>
      <c r="PM5" s="624"/>
      <c r="PN5" s="624"/>
      <c r="PO5" s="624"/>
      <c r="PP5" s="624"/>
      <c r="PQ5" s="624"/>
      <c r="PR5" s="624"/>
      <c r="PS5" s="624"/>
      <c r="PT5" s="624"/>
      <c r="PU5" s="624"/>
      <c r="PV5" s="624"/>
      <c r="PW5" s="624"/>
      <c r="PX5" s="624"/>
      <c r="PY5" s="624"/>
      <c r="PZ5" s="624"/>
      <c r="QA5" s="624"/>
      <c r="QB5" s="624"/>
      <c r="QC5" s="624"/>
      <c r="QD5" s="624"/>
      <c r="QE5" s="624"/>
      <c r="QF5" s="624"/>
      <c r="QG5" s="624"/>
      <c r="QH5" s="624"/>
      <c r="QI5" s="624"/>
      <c r="QJ5" s="624"/>
      <c r="QK5" s="624"/>
      <c r="QL5" s="624"/>
      <c r="QM5" s="624"/>
      <c r="QN5" s="624"/>
      <c r="QO5" s="624"/>
      <c r="QP5" s="624"/>
      <c r="QQ5" s="624"/>
      <c r="QR5" s="624"/>
      <c r="QS5" s="624"/>
      <c r="QT5" s="624"/>
      <c r="QU5" s="624"/>
      <c r="QV5" s="624"/>
      <c r="QW5" s="624"/>
      <c r="QX5" s="624"/>
      <c r="QY5" s="624"/>
      <c r="QZ5" s="624"/>
      <c r="RA5" s="624"/>
      <c r="RB5" s="624"/>
      <c r="RC5" s="624"/>
      <c r="RD5" s="624"/>
      <c r="RE5" s="624"/>
      <c r="RF5" s="624"/>
      <c r="RG5" s="624"/>
      <c r="RH5" s="624"/>
      <c r="RI5" s="624"/>
      <c r="RJ5" s="624"/>
      <c r="RK5" s="624"/>
      <c r="RL5" s="624"/>
      <c r="RM5" s="624"/>
      <c r="RN5" s="624"/>
      <c r="RO5" s="624"/>
      <c r="RP5" s="624"/>
      <c r="RQ5" s="624"/>
      <c r="RR5" s="624"/>
      <c r="RS5" s="624"/>
      <c r="RT5" s="624"/>
      <c r="RU5" s="624"/>
      <c r="RV5" s="624"/>
      <c r="RW5" s="624"/>
      <c r="RX5" s="624"/>
      <c r="RY5" s="624"/>
      <c r="RZ5" s="624"/>
      <c r="SA5" s="624"/>
      <c r="SB5" s="624"/>
      <c r="SC5" s="624"/>
      <c r="SD5" s="624"/>
      <c r="SE5" s="624"/>
      <c r="SF5" s="624"/>
      <c r="SG5" s="624"/>
      <c r="SH5" s="624"/>
      <c r="SI5" s="624"/>
      <c r="SJ5" s="624"/>
      <c r="SK5" s="624"/>
      <c r="SL5" s="624"/>
      <c r="SM5" s="624"/>
      <c r="SN5" s="624"/>
      <c r="SO5" s="624"/>
      <c r="SP5" s="624"/>
      <c r="SQ5" s="624"/>
      <c r="SR5" s="624"/>
      <c r="SS5" s="624"/>
      <c r="ST5" s="624"/>
      <c r="SU5" s="624"/>
      <c r="SV5" s="624"/>
      <c r="SW5" s="624"/>
      <c r="SX5" s="624"/>
      <c r="SY5" s="624"/>
      <c r="SZ5" s="624"/>
      <c r="TA5" s="624"/>
      <c r="TB5" s="624"/>
      <c r="TC5" s="624"/>
      <c r="TD5" s="624"/>
      <c r="TE5" s="624"/>
      <c r="TF5" s="624"/>
      <c r="TG5" s="624"/>
      <c r="TH5" s="624"/>
      <c r="TI5" s="624"/>
      <c r="TJ5" s="624"/>
      <c r="TK5" s="624"/>
      <c r="TL5" s="624"/>
      <c r="TM5" s="624"/>
      <c r="TN5" s="624"/>
      <c r="TO5" s="624"/>
      <c r="TP5" s="624"/>
      <c r="TQ5" s="624"/>
      <c r="TR5" s="624"/>
      <c r="TS5" s="624"/>
      <c r="TT5" s="624"/>
      <c r="TU5" s="624"/>
      <c r="TV5" s="624"/>
      <c r="TW5" s="624"/>
      <c r="TX5" s="624"/>
      <c r="TY5" s="624"/>
      <c r="TZ5" s="624"/>
      <c r="UA5" s="624"/>
      <c r="UB5" s="624"/>
      <c r="UC5" s="624"/>
      <c r="UD5" s="624"/>
      <c r="UE5" s="624"/>
      <c r="UF5" s="624"/>
      <c r="UG5" s="624"/>
      <c r="UH5" s="624"/>
      <c r="UI5" s="624"/>
      <c r="UJ5" s="624"/>
      <c r="UK5" s="624"/>
      <c r="UL5" s="624"/>
      <c r="UM5" s="624"/>
      <c r="UN5" s="624"/>
      <c r="UO5" s="624"/>
      <c r="UP5" s="624"/>
      <c r="UQ5" s="624"/>
      <c r="UR5" s="624"/>
      <c r="US5" s="624"/>
      <c r="UT5" s="624"/>
      <c r="UU5" s="624"/>
      <c r="UV5" s="624"/>
      <c r="UW5" s="624"/>
      <c r="UX5" s="624"/>
      <c r="UY5" s="624"/>
      <c r="UZ5" s="624"/>
      <c r="VA5" s="624"/>
      <c r="VB5" s="624"/>
      <c r="VC5" s="624"/>
      <c r="VD5" s="624"/>
      <c r="VE5" s="624"/>
      <c r="VF5" s="624"/>
      <c r="VG5" s="624"/>
      <c r="VH5" s="624"/>
      <c r="VI5" s="624"/>
      <c r="VJ5" s="624"/>
      <c r="VK5" s="624"/>
      <c r="VL5" s="624"/>
      <c r="VM5" s="624"/>
      <c r="VN5" s="624"/>
      <c r="VO5" s="624"/>
      <c r="VP5" s="624"/>
      <c r="VQ5" s="624"/>
      <c r="VR5" s="624"/>
      <c r="VS5" s="624"/>
      <c r="VT5" s="624"/>
      <c r="VU5" s="624"/>
      <c r="VV5" s="624"/>
      <c r="VW5" s="624"/>
      <c r="VX5" s="624"/>
      <c r="VY5" s="624"/>
      <c r="VZ5" s="624"/>
      <c r="WA5" s="624"/>
      <c r="WB5" s="624"/>
      <c r="WC5" s="624"/>
      <c r="WD5" s="624"/>
      <c r="WE5" s="624"/>
      <c r="WF5" s="624"/>
      <c r="WG5" s="624"/>
      <c r="WH5" s="624"/>
      <c r="WI5" s="624"/>
      <c r="WJ5" s="624"/>
      <c r="WK5" s="624"/>
      <c r="WL5" s="624"/>
      <c r="WM5" s="624"/>
      <c r="WN5" s="624"/>
      <c r="WO5" s="624"/>
      <c r="WP5" s="624"/>
      <c r="WQ5" s="624"/>
      <c r="WR5" s="624"/>
      <c r="WS5" s="624"/>
      <c r="WT5" s="624"/>
      <c r="WU5" s="624"/>
      <c r="WV5" s="624"/>
      <c r="WW5" s="624"/>
      <c r="WX5" s="624"/>
      <c r="WY5" s="624"/>
      <c r="WZ5" s="624"/>
      <c r="XA5" s="624"/>
      <c r="XB5" s="624"/>
      <c r="XC5" s="624"/>
      <c r="XD5" s="624"/>
      <c r="XE5" s="624"/>
      <c r="XF5" s="624"/>
      <c r="XG5" s="624"/>
      <c r="XH5" s="624"/>
      <c r="XI5" s="624"/>
      <c r="XJ5" s="624"/>
      <c r="XK5" s="624"/>
      <c r="XL5" s="624"/>
      <c r="XM5" s="624"/>
      <c r="XN5" s="624"/>
      <c r="XO5" s="624"/>
      <c r="XP5" s="624"/>
      <c r="XQ5" s="624"/>
      <c r="XR5" s="624"/>
      <c r="XS5" s="624"/>
      <c r="XT5" s="624"/>
      <c r="XU5" s="624"/>
      <c r="XV5" s="624"/>
      <c r="XW5" s="624"/>
      <c r="XX5" s="624"/>
      <c r="XY5" s="624"/>
      <c r="XZ5" s="624"/>
      <c r="YA5" s="624"/>
      <c r="YB5" s="624"/>
      <c r="YC5" s="624"/>
      <c r="YD5" s="624"/>
      <c r="YE5" s="624"/>
      <c r="YF5" s="624"/>
      <c r="YG5" s="624"/>
      <c r="YH5" s="624"/>
      <c r="YI5" s="624"/>
      <c r="YJ5" s="624"/>
      <c r="YK5" s="624"/>
      <c r="YL5" s="624"/>
      <c r="YM5" s="624"/>
      <c r="YN5" s="624"/>
      <c r="YO5" s="624"/>
      <c r="YP5" s="624"/>
      <c r="YQ5" s="624"/>
      <c r="YR5" s="624"/>
      <c r="YS5" s="624"/>
      <c r="YT5" s="624"/>
      <c r="YU5" s="624"/>
      <c r="YV5" s="624"/>
      <c r="YW5" s="624"/>
      <c r="YX5" s="624"/>
      <c r="YY5" s="624"/>
      <c r="YZ5" s="624"/>
      <c r="ZA5" s="624"/>
      <c r="ZB5" s="624"/>
      <c r="ZC5" s="624"/>
      <c r="ZD5" s="624"/>
      <c r="ZE5" s="624"/>
      <c r="ZF5" s="624"/>
      <c r="ZG5" s="624"/>
      <c r="ZH5" s="624"/>
      <c r="ZI5" s="624"/>
      <c r="ZJ5" s="624"/>
      <c r="ZK5" s="624"/>
      <c r="ZL5" s="624"/>
      <c r="ZM5" s="624"/>
      <c r="ZN5" s="624"/>
      <c r="ZO5" s="624"/>
      <c r="ZP5" s="624"/>
      <c r="ZQ5" s="624"/>
      <c r="ZR5" s="624"/>
      <c r="ZS5" s="624"/>
      <c r="ZT5" s="624"/>
      <c r="ZU5" s="624"/>
      <c r="ZV5" s="624"/>
      <c r="ZW5" s="624"/>
      <c r="ZX5" s="624"/>
      <c r="ZY5" s="624"/>
      <c r="ZZ5" s="624"/>
      <c r="AAA5" s="624"/>
      <c r="AAB5" s="624"/>
      <c r="AAC5" s="624"/>
      <c r="AAD5" s="624"/>
      <c r="AAE5" s="624"/>
      <c r="AAF5" s="624"/>
      <c r="AAG5" s="624"/>
      <c r="AAH5" s="624"/>
      <c r="AAI5" s="624"/>
      <c r="AAJ5" s="624"/>
      <c r="AAK5" s="624"/>
      <c r="AAL5" s="624"/>
      <c r="AAM5" s="624"/>
      <c r="AAN5" s="624"/>
      <c r="AAO5" s="624"/>
      <c r="AAP5" s="624"/>
      <c r="AAQ5" s="624"/>
      <c r="AAR5" s="624"/>
      <c r="AAS5" s="624"/>
      <c r="AAT5" s="624"/>
      <c r="AAU5" s="624"/>
      <c r="AAV5" s="624"/>
      <c r="AAW5" s="624"/>
      <c r="AAX5" s="624"/>
      <c r="AAY5" s="624"/>
      <c r="AAZ5" s="624"/>
      <c r="ABA5" s="624"/>
      <c r="ABB5" s="624"/>
      <c r="ABC5" s="624"/>
      <c r="ABD5" s="624"/>
      <c r="ABE5" s="624"/>
      <c r="ABF5" s="624"/>
      <c r="ABG5" s="624"/>
      <c r="ABH5" s="624"/>
      <c r="ABI5" s="624"/>
      <c r="ABJ5" s="624"/>
      <c r="ABK5" s="624"/>
      <c r="ABL5" s="624"/>
      <c r="ABM5" s="624"/>
      <c r="ABN5" s="624"/>
      <c r="ABO5" s="624"/>
      <c r="ABP5" s="624"/>
      <c r="ABQ5" s="624"/>
      <c r="ABR5" s="624"/>
      <c r="ABS5" s="624"/>
      <c r="ABT5" s="624"/>
      <c r="ABU5" s="624"/>
      <c r="ABV5" s="624"/>
      <c r="ABW5" s="624"/>
      <c r="ABX5" s="624"/>
      <c r="ABY5" s="624"/>
      <c r="ABZ5" s="624"/>
      <c r="ACA5" s="624"/>
      <c r="ACB5" s="624"/>
      <c r="ACC5" s="624"/>
      <c r="ACD5" s="624"/>
      <c r="ACE5" s="624"/>
      <c r="ACF5" s="624"/>
      <c r="ACG5" s="624"/>
      <c r="ACH5" s="624"/>
      <c r="ACI5" s="624"/>
      <c r="ACJ5" s="624"/>
      <c r="ACK5" s="624"/>
      <c r="ACL5" s="624"/>
      <c r="ACM5" s="624"/>
      <c r="ACN5" s="624"/>
      <c r="ACO5" s="624"/>
      <c r="ACP5" s="624"/>
      <c r="ACQ5" s="624"/>
      <c r="ACR5" s="624"/>
      <c r="ACS5" s="624"/>
      <c r="ACT5" s="624"/>
      <c r="ACU5" s="624"/>
      <c r="ACV5" s="624"/>
      <c r="ACW5" s="624"/>
      <c r="ACX5" s="624"/>
      <c r="ACY5" s="624"/>
      <c r="ACZ5" s="624"/>
      <c r="ADA5" s="624"/>
      <c r="ADB5" s="624"/>
      <c r="ADC5" s="624"/>
      <c r="ADD5" s="624"/>
      <c r="ADE5" s="624"/>
      <c r="ADF5" s="624"/>
      <c r="ADG5" s="624"/>
      <c r="ADH5" s="624"/>
      <c r="ADI5" s="624"/>
      <c r="ADJ5" s="624"/>
      <c r="ADK5" s="624"/>
      <c r="ADL5" s="624"/>
      <c r="ADM5" s="624"/>
      <c r="ADN5" s="624"/>
      <c r="ADO5" s="624"/>
      <c r="ADP5" s="624"/>
      <c r="ADQ5" s="624"/>
      <c r="ADR5" s="624"/>
      <c r="ADS5" s="624"/>
      <c r="ADT5" s="624"/>
      <c r="ADU5" s="624"/>
      <c r="ADV5" s="624"/>
      <c r="ADW5" s="624"/>
      <c r="ADX5" s="624"/>
      <c r="ADY5" s="624"/>
      <c r="ADZ5" s="624"/>
      <c r="AEA5" s="624"/>
      <c r="AEB5" s="624"/>
      <c r="AEC5" s="624"/>
      <c r="AED5" s="624"/>
      <c r="AEE5" s="624"/>
      <c r="AEF5" s="624"/>
      <c r="AEG5" s="624"/>
      <c r="AEH5" s="624"/>
      <c r="AEI5" s="624"/>
      <c r="AEJ5" s="624"/>
      <c r="AEK5" s="624"/>
      <c r="AEL5" s="624"/>
      <c r="AEM5" s="624"/>
      <c r="AEN5" s="624"/>
      <c r="AEO5" s="624"/>
      <c r="AEP5" s="624"/>
      <c r="AEQ5" s="624"/>
      <c r="AER5" s="624"/>
      <c r="AES5" s="624"/>
      <c r="AET5" s="624"/>
      <c r="AEU5" s="624"/>
      <c r="AEV5" s="624"/>
      <c r="AEW5" s="624"/>
      <c r="AEX5" s="624"/>
      <c r="AEY5" s="624"/>
      <c r="AEZ5" s="624"/>
      <c r="AFA5" s="624"/>
      <c r="AFB5" s="624"/>
      <c r="AFC5" s="624"/>
      <c r="AFD5" s="624"/>
      <c r="AFE5" s="624"/>
      <c r="AFF5" s="624"/>
      <c r="AFG5" s="624"/>
      <c r="AFH5" s="624"/>
      <c r="AFI5" s="624"/>
      <c r="AFJ5" s="624"/>
      <c r="AFK5" s="624"/>
      <c r="AFL5" s="624"/>
      <c r="AFM5" s="624"/>
      <c r="AFN5" s="624"/>
      <c r="AFO5" s="624"/>
      <c r="AFP5" s="624"/>
      <c r="AFQ5" s="624"/>
      <c r="AFR5" s="624"/>
      <c r="AFS5" s="624"/>
      <c r="AFT5" s="624"/>
      <c r="AFU5" s="624"/>
      <c r="AFV5" s="624"/>
      <c r="AFW5" s="624"/>
      <c r="AFX5" s="624"/>
      <c r="AFY5" s="624"/>
      <c r="AFZ5" s="624"/>
      <c r="AGA5" s="624"/>
      <c r="AGB5" s="624"/>
      <c r="AGC5" s="624"/>
      <c r="AGD5" s="624"/>
      <c r="AGE5" s="624"/>
      <c r="AGF5" s="624"/>
      <c r="AGG5" s="624"/>
      <c r="AGH5" s="624"/>
      <c r="AGI5" s="624"/>
      <c r="AGJ5" s="624"/>
      <c r="AGK5" s="624"/>
      <c r="AGL5" s="624"/>
      <c r="AGM5" s="624"/>
      <c r="AGN5" s="624"/>
      <c r="AGO5" s="624"/>
      <c r="AGP5" s="624"/>
      <c r="AGQ5" s="624"/>
      <c r="AGR5" s="624"/>
      <c r="AGS5" s="624"/>
      <c r="AGT5" s="624"/>
      <c r="AGU5" s="624"/>
      <c r="AGV5" s="624"/>
      <c r="AGW5" s="624"/>
      <c r="AGX5" s="624"/>
      <c r="AGY5" s="624"/>
      <c r="AGZ5" s="624"/>
      <c r="AHA5" s="624"/>
      <c r="AHB5" s="624"/>
      <c r="AHC5" s="624"/>
      <c r="AHD5" s="624"/>
      <c r="AHE5" s="624"/>
      <c r="AHF5" s="624"/>
      <c r="AHG5" s="624"/>
      <c r="AHH5" s="624"/>
      <c r="AHI5" s="624"/>
      <c r="AHJ5" s="624"/>
      <c r="AHK5" s="624"/>
      <c r="AHL5" s="624"/>
      <c r="AHM5" s="624"/>
      <c r="AHN5" s="624"/>
      <c r="AHO5" s="624"/>
      <c r="AHP5" s="624"/>
      <c r="AHQ5" s="624"/>
      <c r="AHR5" s="624"/>
      <c r="AHS5" s="624"/>
      <c r="AHT5" s="624"/>
      <c r="AHU5" s="624"/>
      <c r="AHV5" s="624"/>
      <c r="AHW5" s="624"/>
      <c r="AHX5" s="624"/>
      <c r="AHY5" s="624"/>
      <c r="AHZ5" s="624"/>
      <c r="AIA5" s="624"/>
      <c r="AIB5" s="624"/>
      <c r="AIC5" s="624"/>
      <c r="AID5" s="624"/>
      <c r="AIE5" s="624"/>
      <c r="AIF5" s="624"/>
      <c r="AIG5" s="624"/>
      <c r="AIH5" s="624"/>
      <c r="AII5" s="624"/>
      <c r="AIJ5" s="624"/>
      <c r="AIK5" s="624"/>
      <c r="AIL5" s="624"/>
      <c r="AIM5" s="624"/>
      <c r="AIN5" s="624"/>
      <c r="AIO5" s="624"/>
      <c r="AIP5" s="624"/>
      <c r="AIQ5" s="624"/>
      <c r="AIR5" s="624"/>
      <c r="AIS5" s="624"/>
      <c r="AIT5" s="624"/>
      <c r="AIU5" s="624"/>
      <c r="AIV5" s="624"/>
      <c r="AIW5" s="624"/>
      <c r="AIX5" s="624"/>
      <c r="AIY5" s="624"/>
      <c r="AIZ5" s="624"/>
      <c r="AJA5" s="624"/>
      <c r="AJB5" s="624"/>
      <c r="AJC5" s="624"/>
      <c r="AJD5" s="624"/>
      <c r="AJE5" s="624"/>
      <c r="AJF5" s="624"/>
      <c r="AJG5" s="624"/>
      <c r="AJH5" s="624"/>
      <c r="AJI5" s="624"/>
      <c r="AJJ5" s="624"/>
      <c r="AJK5" s="624"/>
      <c r="AJL5" s="624"/>
      <c r="AJM5" s="624"/>
      <c r="AJN5" s="624"/>
      <c r="AJO5" s="624"/>
      <c r="AJP5" s="624"/>
      <c r="AJQ5" s="624"/>
      <c r="AJR5" s="624"/>
      <c r="AJS5" s="624"/>
      <c r="AJT5" s="624"/>
      <c r="AJU5" s="624"/>
      <c r="AJV5" s="624"/>
      <c r="AJW5" s="624"/>
      <c r="AJX5" s="624"/>
      <c r="AJY5" s="624"/>
      <c r="AJZ5" s="624"/>
      <c r="AKA5" s="624"/>
      <c r="AKB5" s="624"/>
      <c r="AKC5" s="624"/>
      <c r="AKD5" s="624"/>
      <c r="AKE5" s="624"/>
      <c r="AKF5" s="624"/>
      <c r="AKG5" s="624"/>
      <c r="AKH5" s="624"/>
      <c r="AKI5" s="624"/>
      <c r="AKJ5" s="624"/>
      <c r="AKK5" s="624"/>
      <c r="AKL5" s="624"/>
      <c r="AKM5" s="624"/>
      <c r="AKN5" s="624"/>
      <c r="AKO5" s="624"/>
      <c r="AKP5" s="624"/>
      <c r="AKQ5" s="624"/>
      <c r="AKR5" s="624"/>
      <c r="AKS5" s="624"/>
      <c r="AKT5" s="624"/>
      <c r="AKU5" s="624"/>
      <c r="AKV5" s="624"/>
      <c r="AKW5" s="624"/>
      <c r="AKX5" s="624"/>
      <c r="AKY5" s="624"/>
      <c r="AKZ5" s="624"/>
      <c r="ALA5" s="624"/>
      <c r="ALB5" s="624"/>
      <c r="ALC5" s="624"/>
      <c r="ALD5" s="624"/>
      <c r="ALE5" s="624"/>
      <c r="ALF5" s="624"/>
      <c r="ALG5" s="624"/>
      <c r="ALH5" s="624"/>
      <c r="ALI5" s="624"/>
      <c r="ALJ5" s="624"/>
      <c r="ALK5" s="624"/>
      <c r="ALL5" s="624"/>
      <c r="ALM5" s="624"/>
      <c r="ALN5" s="624"/>
      <c r="ALO5" s="624"/>
      <c r="ALP5" s="624"/>
      <c r="ALQ5" s="624"/>
      <c r="ALR5" s="624"/>
      <c r="ALS5" s="624"/>
      <c r="ALT5" s="624"/>
      <c r="ALU5" s="624"/>
      <c r="ALV5" s="624"/>
      <c r="ALW5" s="624"/>
      <c r="ALX5" s="624"/>
      <c r="ALY5" s="624"/>
      <c r="ALZ5" s="624"/>
      <c r="AMA5" s="624"/>
      <c r="AMB5" s="624"/>
      <c r="AMC5" s="624"/>
      <c r="AMD5" s="624"/>
      <c r="AME5" s="624"/>
      <c r="AMF5" s="624"/>
      <c r="AMG5" s="624"/>
      <c r="AMH5" s="624"/>
      <c r="AMI5" s="624"/>
      <c r="AMJ5" s="624"/>
      <c r="AMK5" s="624"/>
      <c r="AML5" s="624"/>
      <c r="AMM5" s="624"/>
      <c r="AMN5" s="624"/>
      <c r="AMO5" s="624"/>
      <c r="AMP5" s="624"/>
      <c r="AMQ5" s="624"/>
      <c r="AMR5" s="624"/>
      <c r="AMS5" s="624"/>
      <c r="AMT5" s="624"/>
      <c r="AMU5" s="624"/>
      <c r="AMV5" s="624"/>
      <c r="AMW5" s="624"/>
      <c r="AMX5" s="624"/>
      <c r="AMY5" s="624"/>
      <c r="AMZ5" s="624"/>
      <c r="ANA5" s="624"/>
      <c r="ANB5" s="624"/>
      <c r="ANC5" s="624"/>
      <c r="AND5" s="624"/>
      <c r="ANE5" s="624"/>
      <c r="ANF5" s="624"/>
      <c r="ANG5" s="624"/>
      <c r="ANH5" s="624"/>
      <c r="ANI5" s="624"/>
      <c r="ANJ5" s="624"/>
      <c r="ANK5" s="624"/>
      <c r="ANL5" s="624"/>
      <c r="ANM5" s="624"/>
      <c r="ANN5" s="624"/>
      <c r="ANO5" s="624"/>
      <c r="ANP5" s="624"/>
      <c r="ANQ5" s="624"/>
      <c r="ANR5" s="624"/>
      <c r="WYC5" s="624"/>
      <c r="WYD5" s="624"/>
      <c r="WYE5" s="624"/>
      <c r="WYF5" s="624"/>
      <c r="WYG5" s="624"/>
      <c r="WYH5" s="624"/>
      <c r="WYI5" s="624"/>
      <c r="WYJ5" s="624"/>
      <c r="WYK5" s="624"/>
      <c r="WYL5" s="624"/>
      <c r="WYM5" s="624"/>
      <c r="WYN5" s="624"/>
      <c r="WYO5" s="624"/>
      <c r="WYP5" s="624"/>
      <c r="WYQ5" s="624"/>
      <c r="WYR5" s="624"/>
      <c r="WYS5" s="624"/>
      <c r="WYT5" s="624"/>
      <c r="WYU5" s="624"/>
      <c r="WYV5" s="624"/>
      <c r="WYW5" s="624"/>
      <c r="WYX5" s="624"/>
      <c r="WYY5" s="624"/>
      <c r="WYZ5" s="624"/>
      <c r="WZA5" s="624"/>
      <c r="WZB5" s="624"/>
      <c r="WZC5" s="624"/>
      <c r="WZD5" s="624"/>
      <c r="WZE5" s="624"/>
      <c r="WZF5" s="624"/>
      <c r="WZG5" s="624"/>
      <c r="WZH5" s="624"/>
      <c r="WZI5" s="624"/>
      <c r="WZJ5" s="624"/>
      <c r="WZK5" s="624"/>
      <c r="WZL5" s="624"/>
      <c r="WZM5" s="624"/>
      <c r="WZN5" s="624"/>
      <c r="WZO5" s="624"/>
      <c r="WZP5" s="624"/>
      <c r="WZQ5" s="624"/>
      <c r="WZR5" s="624"/>
      <c r="WZS5" s="624"/>
      <c r="WZT5" s="624"/>
      <c r="WZU5" s="624"/>
      <c r="WZV5" s="624"/>
      <c r="WZW5" s="624"/>
      <c r="WZX5" s="624"/>
      <c r="WZY5" s="624"/>
      <c r="WZZ5" s="624"/>
      <c r="XAA5" s="624"/>
      <c r="XAB5" s="624"/>
      <c r="XAC5" s="624"/>
      <c r="XAD5" s="624"/>
      <c r="XAE5" s="624"/>
      <c r="XAF5" s="624"/>
      <c r="XAG5" s="624"/>
      <c r="XAH5" s="624"/>
      <c r="XAI5" s="624"/>
      <c r="XAJ5" s="624"/>
      <c r="XAK5" s="624"/>
      <c r="XAL5" s="624"/>
      <c r="XAM5" s="624"/>
      <c r="XAN5" s="624"/>
      <c r="XAO5" s="624"/>
      <c r="XAP5" s="624"/>
      <c r="XAQ5" s="624"/>
      <c r="XAR5" s="624"/>
      <c r="XAS5" s="624"/>
      <c r="XAT5" s="624"/>
      <c r="XAU5" s="624"/>
      <c r="XAV5" s="624"/>
      <c r="XAW5" s="624"/>
      <c r="XAX5" s="624"/>
      <c r="XAY5" s="624"/>
      <c r="XAZ5" s="624"/>
      <c r="XBA5" s="624"/>
      <c r="XBB5" s="624"/>
      <c r="XBC5" s="624"/>
      <c r="XBD5" s="624"/>
      <c r="XBE5" s="624"/>
      <c r="XBF5" s="624"/>
      <c r="XBG5" s="624"/>
      <c r="XBH5" s="624"/>
      <c r="XBI5" s="624"/>
      <c r="XBJ5" s="624"/>
      <c r="XBK5" s="624"/>
      <c r="XBL5" s="624"/>
      <c r="XBM5" s="624"/>
      <c r="XBN5" s="624"/>
      <c r="XBO5" s="624"/>
      <c r="XBP5" s="624"/>
      <c r="XBQ5" s="624"/>
      <c r="XBR5" s="624"/>
      <c r="XBS5" s="624"/>
      <c r="XBT5" s="624"/>
      <c r="XBU5" s="624"/>
      <c r="XBV5" s="624"/>
      <c r="XBW5" s="624"/>
      <c r="XBX5" s="624"/>
      <c r="XBY5" s="624"/>
      <c r="XBZ5" s="624"/>
      <c r="XCA5" s="624"/>
      <c r="XCB5" s="624"/>
      <c r="XCC5" s="624"/>
      <c r="XCD5" s="624"/>
      <c r="XCE5" s="624"/>
      <c r="XCF5" s="624"/>
      <c r="XCG5" s="624"/>
      <c r="XCH5" s="624"/>
      <c r="XCI5" s="624"/>
      <c r="XCJ5" s="624"/>
      <c r="XCK5" s="624"/>
      <c r="XCL5" s="624"/>
      <c r="XCM5" s="624"/>
      <c r="XCN5" s="624"/>
      <c r="XCO5" s="624"/>
      <c r="XCP5" s="624"/>
      <c r="XCQ5" s="624"/>
      <c r="XCR5" s="624"/>
      <c r="XCS5" s="624"/>
      <c r="XCT5" s="624"/>
      <c r="XCU5" s="624"/>
      <c r="XCV5" s="624"/>
      <c r="XCW5" s="624"/>
      <c r="XCX5" s="624"/>
      <c r="XCY5" s="624"/>
      <c r="XCZ5" s="624"/>
      <c r="XDA5" s="624"/>
      <c r="XDB5" s="624"/>
      <c r="XDC5" s="624"/>
      <c r="XDD5" s="624"/>
      <c r="XDE5" s="624"/>
      <c r="XDF5" s="624"/>
      <c r="XDG5" s="624"/>
      <c r="XDH5" s="624"/>
      <c r="XDI5" s="624"/>
      <c r="XDJ5" s="624"/>
      <c r="XDK5" s="624"/>
      <c r="XDL5" s="624"/>
      <c r="XDM5" s="624"/>
      <c r="XDN5" s="624"/>
      <c r="XDO5" s="624"/>
      <c r="XDP5" s="624"/>
      <c r="XDQ5" s="624"/>
      <c r="XDR5" s="624"/>
      <c r="XDS5" s="624"/>
      <c r="XDT5" s="624"/>
      <c r="XDU5" s="624"/>
      <c r="XDV5" s="624"/>
      <c r="XDW5" s="624"/>
      <c r="XDX5" s="624"/>
      <c r="XDY5" s="624"/>
      <c r="XDZ5" s="624"/>
      <c r="XEA5" s="624"/>
      <c r="XEB5" s="624"/>
      <c r="XEC5" s="624"/>
      <c r="XED5" s="624"/>
      <c r="XEE5" s="624"/>
      <c r="XEF5" s="624"/>
      <c r="XEG5" s="624"/>
      <c r="XEH5" s="624"/>
      <c r="XEI5" s="624"/>
      <c r="XEJ5" s="624"/>
      <c r="XEK5" s="624"/>
      <c r="XEL5" s="624"/>
      <c r="XEM5" s="624"/>
      <c r="XEN5" s="624"/>
      <c r="XEO5" s="624"/>
      <c r="XEP5" s="624"/>
      <c r="XEQ5" s="624"/>
      <c r="XER5" s="624"/>
      <c r="XES5" s="624"/>
      <c r="XET5" s="624"/>
      <c r="XEU5" s="624"/>
      <c r="XEV5" s="624"/>
      <c r="XEW5" s="624"/>
      <c r="XEX5" s="624"/>
      <c r="XEY5" s="624"/>
      <c r="XEZ5" s="624"/>
      <c r="XFA5" s="624"/>
      <c r="XFB5" s="624"/>
      <c r="XFC5" s="624"/>
      <c r="XFD5" s="624"/>
    </row>
    <row r="6" spans="1:1058 16201:16384" s="43" customFormat="1">
      <c r="A6" s="624"/>
      <c r="B6" s="156" t="s">
        <v>49</v>
      </c>
      <c r="C6" s="148"/>
      <c r="D6" s="148"/>
      <c r="E6" s="148"/>
      <c r="F6" s="223"/>
      <c r="G6" s="223"/>
      <c r="H6" s="223"/>
      <c r="I6" s="223"/>
      <c r="J6" s="624"/>
      <c r="K6" s="223"/>
      <c r="L6" s="223"/>
      <c r="M6" s="865"/>
      <c r="N6" s="624"/>
      <c r="O6" s="624"/>
      <c r="P6" s="624"/>
      <c r="Q6" s="624"/>
      <c r="R6" s="624"/>
      <c r="S6" s="624"/>
      <c r="T6" s="624"/>
      <c r="U6" s="624"/>
      <c r="V6" s="624"/>
      <c r="W6" s="624"/>
      <c r="X6" s="624"/>
      <c r="Y6" s="624"/>
      <c r="Z6" s="624"/>
      <c r="AA6" s="624"/>
      <c r="AB6" s="624"/>
      <c r="AC6" s="624"/>
      <c r="AD6" s="624"/>
      <c r="AE6" s="624"/>
      <c r="AF6" s="624"/>
      <c r="AG6" s="624"/>
      <c r="AH6" s="624"/>
      <c r="AI6" s="624"/>
      <c r="AJ6" s="624"/>
      <c r="AK6" s="624"/>
      <c r="AL6" s="624"/>
      <c r="AM6" s="624"/>
      <c r="AN6" s="624"/>
      <c r="AO6" s="624"/>
      <c r="AP6" s="624"/>
      <c r="AQ6" s="624"/>
      <c r="AR6" s="624"/>
      <c r="AS6" s="624"/>
      <c r="AT6" s="624"/>
      <c r="AU6" s="624"/>
      <c r="AV6" s="624"/>
      <c r="AW6" s="624"/>
      <c r="AX6" s="624"/>
      <c r="AY6" s="624"/>
      <c r="AZ6" s="624"/>
      <c r="BA6" s="624"/>
      <c r="BB6" s="624"/>
      <c r="BC6" s="624"/>
      <c r="BD6" s="624"/>
      <c r="BE6" s="624"/>
      <c r="BF6" s="624"/>
      <c r="BG6" s="624"/>
      <c r="BH6" s="624"/>
      <c r="BI6" s="624"/>
      <c r="BJ6" s="624"/>
      <c r="BK6" s="624"/>
      <c r="BL6" s="624"/>
      <c r="BM6" s="624"/>
      <c r="BN6" s="624"/>
      <c r="BO6" s="624"/>
      <c r="BP6" s="624"/>
      <c r="BQ6" s="624"/>
      <c r="BR6" s="624"/>
      <c r="BS6" s="624"/>
      <c r="BT6" s="624"/>
      <c r="BU6" s="624"/>
      <c r="BV6" s="624"/>
      <c r="BW6" s="624"/>
      <c r="BX6" s="624"/>
      <c r="BY6" s="624"/>
      <c r="BZ6" s="624"/>
      <c r="CA6" s="624"/>
      <c r="CB6" s="624"/>
      <c r="CC6" s="624"/>
      <c r="CD6" s="624"/>
      <c r="CE6" s="624"/>
      <c r="CF6" s="624"/>
      <c r="CG6" s="624"/>
      <c r="CH6" s="624"/>
      <c r="CI6" s="624"/>
      <c r="CJ6" s="624"/>
      <c r="CK6" s="624"/>
      <c r="CL6" s="624"/>
      <c r="CM6" s="624"/>
      <c r="CN6" s="624"/>
      <c r="CO6" s="624"/>
      <c r="CP6" s="624"/>
      <c r="CQ6" s="624"/>
      <c r="CR6" s="624"/>
      <c r="CS6" s="624"/>
      <c r="CT6" s="624"/>
      <c r="CU6" s="624"/>
      <c r="CV6" s="624"/>
      <c r="CW6" s="624"/>
      <c r="CX6" s="624"/>
      <c r="CY6" s="624"/>
      <c r="CZ6" s="624"/>
      <c r="DA6" s="624"/>
      <c r="JH6" s="624"/>
      <c r="JI6" s="624"/>
      <c r="JJ6" s="624"/>
      <c r="JK6" s="624"/>
      <c r="JL6" s="624"/>
      <c r="JM6" s="624"/>
      <c r="JN6" s="624"/>
      <c r="JO6" s="624"/>
      <c r="JP6" s="624"/>
      <c r="JQ6" s="624"/>
      <c r="JR6" s="624"/>
      <c r="JS6" s="624"/>
      <c r="JT6" s="624"/>
      <c r="JU6" s="624"/>
      <c r="JV6" s="624"/>
      <c r="JW6" s="624"/>
      <c r="JX6" s="624"/>
      <c r="JY6" s="624"/>
      <c r="JZ6" s="624"/>
      <c r="KA6" s="624"/>
      <c r="KB6" s="624"/>
      <c r="KC6" s="624"/>
      <c r="KD6" s="624"/>
      <c r="KE6" s="624"/>
      <c r="KF6" s="624"/>
      <c r="KG6" s="624"/>
      <c r="KH6" s="624"/>
      <c r="KI6" s="624"/>
      <c r="KJ6" s="624"/>
      <c r="KK6" s="624"/>
      <c r="KL6" s="624"/>
      <c r="KM6" s="624"/>
      <c r="KN6" s="624"/>
      <c r="KO6" s="624"/>
      <c r="KP6" s="624"/>
      <c r="KQ6" s="624"/>
      <c r="KR6" s="624"/>
      <c r="KS6" s="624"/>
      <c r="KT6" s="624"/>
      <c r="KU6" s="624"/>
      <c r="KV6" s="624"/>
      <c r="KW6" s="624"/>
      <c r="KX6" s="624"/>
      <c r="KY6" s="624"/>
      <c r="KZ6" s="624"/>
      <c r="LA6" s="624"/>
      <c r="LB6" s="624"/>
      <c r="LC6" s="624"/>
      <c r="LD6" s="624"/>
      <c r="LE6" s="624"/>
      <c r="LF6" s="624"/>
      <c r="LG6" s="624"/>
      <c r="LH6" s="624"/>
      <c r="LI6" s="624"/>
      <c r="LJ6" s="624"/>
      <c r="LK6" s="624"/>
      <c r="LL6" s="624"/>
      <c r="LM6" s="624"/>
      <c r="LN6" s="624"/>
      <c r="LO6" s="624"/>
      <c r="LP6" s="624"/>
      <c r="LQ6" s="624"/>
      <c r="LR6" s="624"/>
      <c r="LS6" s="624"/>
      <c r="LT6" s="624"/>
      <c r="LU6" s="624"/>
      <c r="LV6" s="624"/>
      <c r="LW6" s="624"/>
      <c r="LX6" s="624"/>
      <c r="LY6" s="624"/>
      <c r="LZ6" s="624"/>
      <c r="MA6" s="624"/>
      <c r="MB6" s="624"/>
      <c r="MC6" s="624"/>
      <c r="MD6" s="624"/>
      <c r="ME6" s="624"/>
      <c r="MF6" s="624"/>
      <c r="MG6" s="624"/>
      <c r="MH6" s="624"/>
      <c r="MI6" s="624"/>
      <c r="MJ6" s="624"/>
      <c r="MK6" s="624"/>
      <c r="ML6" s="624"/>
      <c r="MM6" s="624"/>
      <c r="MN6" s="624"/>
      <c r="MO6" s="624"/>
      <c r="MP6" s="624"/>
      <c r="MQ6" s="624"/>
      <c r="MR6" s="624"/>
      <c r="MS6" s="624"/>
      <c r="MT6" s="624"/>
      <c r="MU6" s="624"/>
      <c r="MV6" s="624"/>
      <c r="MW6" s="624"/>
      <c r="MX6" s="624"/>
      <c r="MY6" s="624"/>
      <c r="MZ6" s="624"/>
      <c r="NA6" s="624"/>
      <c r="NB6" s="624"/>
      <c r="NC6" s="624"/>
      <c r="ND6" s="624"/>
      <c r="NE6" s="624"/>
      <c r="NF6" s="624"/>
      <c r="NG6" s="624"/>
      <c r="NH6" s="624"/>
      <c r="NI6" s="624"/>
      <c r="NJ6" s="624"/>
      <c r="NK6" s="624"/>
      <c r="NL6" s="624"/>
      <c r="NM6" s="624"/>
      <c r="NN6" s="624"/>
      <c r="NO6" s="624"/>
      <c r="NP6" s="624"/>
      <c r="NQ6" s="624"/>
      <c r="NR6" s="624"/>
      <c r="NS6" s="624"/>
      <c r="NT6" s="624"/>
      <c r="NU6" s="624"/>
      <c r="NV6" s="624"/>
      <c r="NW6" s="624"/>
      <c r="NX6" s="624"/>
      <c r="NY6" s="624"/>
      <c r="NZ6" s="624"/>
      <c r="OA6" s="624"/>
      <c r="OB6" s="624"/>
      <c r="OC6" s="624"/>
      <c r="OD6" s="624"/>
      <c r="OE6" s="624"/>
      <c r="OF6" s="624"/>
      <c r="OG6" s="624"/>
      <c r="OH6" s="624"/>
      <c r="OI6" s="624"/>
      <c r="OJ6" s="624"/>
      <c r="OK6" s="624"/>
      <c r="OL6" s="624"/>
      <c r="OM6" s="624"/>
      <c r="ON6" s="624"/>
      <c r="OO6" s="624"/>
      <c r="OP6" s="624"/>
      <c r="OQ6" s="624"/>
      <c r="OR6" s="624"/>
      <c r="OS6" s="624"/>
      <c r="OT6" s="624"/>
      <c r="OU6" s="624"/>
      <c r="OV6" s="624"/>
      <c r="OW6" s="624"/>
      <c r="OX6" s="624"/>
      <c r="OY6" s="624"/>
      <c r="OZ6" s="624"/>
      <c r="PA6" s="624"/>
      <c r="PB6" s="624"/>
      <c r="PC6" s="624"/>
      <c r="PD6" s="624"/>
      <c r="PE6" s="624"/>
      <c r="PF6" s="624"/>
      <c r="PG6" s="624"/>
      <c r="PH6" s="624"/>
      <c r="PI6" s="624"/>
      <c r="PJ6" s="624"/>
      <c r="PK6" s="624"/>
      <c r="PL6" s="624"/>
      <c r="PM6" s="624"/>
      <c r="PN6" s="624"/>
      <c r="PO6" s="624"/>
      <c r="PP6" s="624"/>
      <c r="PQ6" s="624"/>
      <c r="PR6" s="624"/>
      <c r="PS6" s="624"/>
      <c r="PT6" s="624"/>
      <c r="PU6" s="624"/>
      <c r="PV6" s="624"/>
      <c r="PW6" s="624"/>
      <c r="PX6" s="624"/>
      <c r="PY6" s="624"/>
      <c r="PZ6" s="624"/>
      <c r="QA6" s="624"/>
      <c r="QB6" s="624"/>
      <c r="QC6" s="624"/>
      <c r="QD6" s="624"/>
      <c r="QE6" s="624"/>
      <c r="QF6" s="624"/>
      <c r="QG6" s="624"/>
      <c r="QH6" s="624"/>
      <c r="QI6" s="624"/>
      <c r="QJ6" s="624"/>
      <c r="QK6" s="624"/>
      <c r="QL6" s="624"/>
      <c r="QM6" s="624"/>
      <c r="QN6" s="624"/>
      <c r="QO6" s="624"/>
      <c r="QP6" s="624"/>
      <c r="QQ6" s="624"/>
      <c r="QR6" s="624"/>
      <c r="QS6" s="624"/>
      <c r="QT6" s="624"/>
      <c r="QU6" s="624"/>
      <c r="QV6" s="624"/>
      <c r="QW6" s="624"/>
      <c r="QX6" s="624"/>
      <c r="QY6" s="624"/>
      <c r="QZ6" s="624"/>
      <c r="RA6" s="624"/>
      <c r="RB6" s="624"/>
      <c r="RC6" s="624"/>
      <c r="RD6" s="624"/>
      <c r="RE6" s="624"/>
      <c r="RF6" s="624"/>
      <c r="RG6" s="624"/>
      <c r="RH6" s="624"/>
      <c r="RI6" s="624"/>
      <c r="RJ6" s="624"/>
      <c r="RK6" s="624"/>
      <c r="RL6" s="624"/>
      <c r="RM6" s="624"/>
      <c r="RN6" s="624"/>
      <c r="RO6" s="624"/>
      <c r="RP6" s="624"/>
      <c r="RQ6" s="624"/>
      <c r="RR6" s="624"/>
      <c r="RS6" s="624"/>
      <c r="RT6" s="624"/>
      <c r="RU6" s="624"/>
      <c r="RV6" s="624"/>
      <c r="RW6" s="624"/>
      <c r="RX6" s="624"/>
      <c r="RY6" s="624"/>
      <c r="RZ6" s="624"/>
      <c r="SA6" s="624"/>
      <c r="SB6" s="624"/>
      <c r="SC6" s="624"/>
      <c r="SD6" s="624"/>
      <c r="SE6" s="624"/>
      <c r="SF6" s="624"/>
      <c r="SG6" s="624"/>
      <c r="SH6" s="624"/>
      <c r="SI6" s="624"/>
      <c r="SJ6" s="624"/>
      <c r="SK6" s="624"/>
      <c r="SL6" s="624"/>
      <c r="SM6" s="624"/>
      <c r="SN6" s="624"/>
      <c r="SO6" s="624"/>
      <c r="SP6" s="624"/>
      <c r="SQ6" s="624"/>
      <c r="SR6" s="624"/>
      <c r="SS6" s="624"/>
      <c r="ST6" s="624"/>
      <c r="SU6" s="624"/>
      <c r="SV6" s="624"/>
      <c r="SW6" s="624"/>
      <c r="SX6" s="624"/>
      <c r="SY6" s="624"/>
      <c r="SZ6" s="624"/>
      <c r="TA6" s="624"/>
      <c r="TB6" s="624"/>
      <c r="TC6" s="624"/>
      <c r="TD6" s="624"/>
      <c r="TE6" s="624"/>
      <c r="TF6" s="624"/>
      <c r="TG6" s="624"/>
      <c r="TH6" s="624"/>
      <c r="TI6" s="624"/>
      <c r="TJ6" s="624"/>
      <c r="TK6" s="624"/>
      <c r="TL6" s="624"/>
      <c r="TM6" s="624"/>
      <c r="TN6" s="624"/>
      <c r="TO6" s="624"/>
      <c r="TP6" s="624"/>
      <c r="TQ6" s="624"/>
      <c r="TR6" s="624"/>
      <c r="TS6" s="624"/>
      <c r="TT6" s="624"/>
      <c r="TU6" s="624"/>
      <c r="TV6" s="624"/>
      <c r="TW6" s="624"/>
      <c r="TX6" s="624"/>
      <c r="TY6" s="624"/>
      <c r="TZ6" s="624"/>
      <c r="UA6" s="624"/>
      <c r="UB6" s="624"/>
      <c r="UC6" s="624"/>
      <c r="UD6" s="624"/>
      <c r="UE6" s="624"/>
      <c r="UF6" s="624"/>
      <c r="UG6" s="624"/>
      <c r="UH6" s="624"/>
      <c r="UI6" s="624"/>
      <c r="UJ6" s="624"/>
      <c r="UK6" s="624"/>
      <c r="UL6" s="624"/>
      <c r="UM6" s="624"/>
      <c r="UN6" s="624"/>
      <c r="UO6" s="624"/>
      <c r="UP6" s="624"/>
      <c r="UQ6" s="624"/>
      <c r="UR6" s="624"/>
      <c r="US6" s="624"/>
      <c r="UT6" s="624"/>
      <c r="UU6" s="624"/>
      <c r="UV6" s="624"/>
      <c r="UW6" s="624"/>
      <c r="UX6" s="624"/>
      <c r="UY6" s="624"/>
      <c r="UZ6" s="624"/>
      <c r="VA6" s="624"/>
      <c r="VB6" s="624"/>
      <c r="VC6" s="624"/>
      <c r="VD6" s="624"/>
      <c r="VE6" s="624"/>
      <c r="VF6" s="624"/>
      <c r="VG6" s="624"/>
      <c r="VH6" s="624"/>
      <c r="VI6" s="624"/>
      <c r="VJ6" s="624"/>
      <c r="VK6" s="624"/>
      <c r="VL6" s="624"/>
      <c r="VM6" s="624"/>
      <c r="VN6" s="624"/>
      <c r="VO6" s="624"/>
      <c r="VP6" s="624"/>
      <c r="VQ6" s="624"/>
      <c r="VR6" s="624"/>
      <c r="VS6" s="624"/>
      <c r="VT6" s="624"/>
      <c r="VU6" s="624"/>
      <c r="VV6" s="624"/>
      <c r="VW6" s="624"/>
      <c r="VX6" s="624"/>
      <c r="VY6" s="624"/>
      <c r="VZ6" s="624"/>
      <c r="WA6" s="624"/>
      <c r="WB6" s="624"/>
      <c r="WC6" s="624"/>
      <c r="WD6" s="624"/>
      <c r="WE6" s="624"/>
      <c r="WF6" s="624"/>
      <c r="WG6" s="624"/>
      <c r="WH6" s="624"/>
      <c r="WI6" s="624"/>
      <c r="WJ6" s="624"/>
      <c r="WK6" s="624"/>
      <c r="WL6" s="624"/>
      <c r="WM6" s="624"/>
      <c r="WN6" s="624"/>
      <c r="WO6" s="624"/>
      <c r="WP6" s="624"/>
      <c r="WQ6" s="624"/>
      <c r="WR6" s="624"/>
      <c r="WS6" s="624"/>
      <c r="WT6" s="624"/>
      <c r="WU6" s="624"/>
      <c r="WV6" s="624"/>
      <c r="WW6" s="624"/>
      <c r="WX6" s="624"/>
      <c r="WY6" s="624"/>
      <c r="WZ6" s="624"/>
      <c r="XA6" s="624"/>
      <c r="XB6" s="624"/>
      <c r="XC6" s="624"/>
      <c r="XD6" s="624"/>
      <c r="XE6" s="624"/>
      <c r="XF6" s="624"/>
      <c r="XG6" s="624"/>
      <c r="XH6" s="624"/>
      <c r="XI6" s="624"/>
      <c r="XJ6" s="624"/>
      <c r="XK6" s="624"/>
      <c r="XL6" s="624"/>
      <c r="XM6" s="624"/>
      <c r="XN6" s="624"/>
      <c r="XO6" s="624"/>
      <c r="XP6" s="624"/>
      <c r="XQ6" s="624"/>
      <c r="XR6" s="624"/>
      <c r="XS6" s="624"/>
      <c r="XT6" s="624"/>
      <c r="XU6" s="624"/>
      <c r="XV6" s="624"/>
      <c r="XW6" s="624"/>
      <c r="XX6" s="624"/>
      <c r="XY6" s="624"/>
      <c r="XZ6" s="624"/>
      <c r="YA6" s="624"/>
      <c r="YB6" s="624"/>
      <c r="YC6" s="624"/>
      <c r="YD6" s="624"/>
      <c r="YE6" s="624"/>
      <c r="YF6" s="624"/>
      <c r="YG6" s="624"/>
      <c r="YH6" s="624"/>
      <c r="YI6" s="624"/>
      <c r="YJ6" s="624"/>
      <c r="YK6" s="624"/>
      <c r="YL6" s="624"/>
      <c r="YM6" s="624"/>
      <c r="YN6" s="624"/>
      <c r="YO6" s="624"/>
      <c r="YP6" s="624"/>
      <c r="YQ6" s="624"/>
      <c r="YR6" s="624"/>
      <c r="YS6" s="624"/>
      <c r="YT6" s="624"/>
      <c r="YU6" s="624"/>
      <c r="YV6" s="624"/>
      <c r="YW6" s="624"/>
      <c r="YX6" s="624"/>
      <c r="YY6" s="624"/>
      <c r="YZ6" s="624"/>
      <c r="ZA6" s="624"/>
      <c r="ZB6" s="624"/>
      <c r="ZC6" s="624"/>
      <c r="ZD6" s="624"/>
      <c r="ZE6" s="624"/>
      <c r="ZF6" s="624"/>
      <c r="ZG6" s="624"/>
      <c r="ZH6" s="624"/>
      <c r="ZI6" s="624"/>
      <c r="ZJ6" s="624"/>
      <c r="ZK6" s="624"/>
      <c r="ZL6" s="624"/>
      <c r="ZM6" s="624"/>
      <c r="ZN6" s="624"/>
      <c r="ZO6" s="624"/>
      <c r="ZP6" s="624"/>
      <c r="ZQ6" s="624"/>
      <c r="ZR6" s="624"/>
      <c r="ZS6" s="624"/>
      <c r="ZT6" s="624"/>
      <c r="ZU6" s="624"/>
      <c r="ZV6" s="624"/>
      <c r="ZW6" s="624"/>
      <c r="ZX6" s="624"/>
      <c r="ZY6" s="624"/>
      <c r="ZZ6" s="624"/>
      <c r="AAA6" s="624"/>
      <c r="AAB6" s="624"/>
      <c r="AAC6" s="624"/>
      <c r="AAD6" s="624"/>
      <c r="AAE6" s="624"/>
      <c r="AAF6" s="624"/>
      <c r="AAG6" s="624"/>
      <c r="AAH6" s="624"/>
      <c r="AAI6" s="624"/>
      <c r="AAJ6" s="624"/>
      <c r="AAK6" s="624"/>
      <c r="AAL6" s="624"/>
      <c r="AAM6" s="624"/>
      <c r="AAN6" s="624"/>
      <c r="AAO6" s="624"/>
      <c r="AAP6" s="624"/>
      <c r="AAQ6" s="624"/>
      <c r="AAR6" s="624"/>
      <c r="AAS6" s="624"/>
      <c r="AAT6" s="624"/>
      <c r="AAU6" s="624"/>
      <c r="AAV6" s="624"/>
      <c r="AAW6" s="624"/>
      <c r="AAX6" s="624"/>
      <c r="AAY6" s="624"/>
      <c r="AAZ6" s="624"/>
      <c r="ABA6" s="624"/>
      <c r="ABB6" s="624"/>
      <c r="ABC6" s="624"/>
      <c r="ABD6" s="624"/>
      <c r="ABE6" s="624"/>
      <c r="ABF6" s="624"/>
      <c r="ABG6" s="624"/>
      <c r="ABH6" s="624"/>
      <c r="ABI6" s="624"/>
      <c r="ABJ6" s="624"/>
      <c r="ABK6" s="624"/>
      <c r="ABL6" s="624"/>
      <c r="ABM6" s="624"/>
      <c r="ABN6" s="624"/>
      <c r="ABO6" s="624"/>
      <c r="ABP6" s="624"/>
      <c r="ABQ6" s="624"/>
      <c r="ABR6" s="624"/>
      <c r="ABS6" s="624"/>
      <c r="ABT6" s="624"/>
      <c r="ABU6" s="624"/>
      <c r="ABV6" s="624"/>
      <c r="ABW6" s="624"/>
      <c r="ABX6" s="624"/>
      <c r="ABY6" s="624"/>
      <c r="ABZ6" s="624"/>
      <c r="ACA6" s="624"/>
      <c r="ACB6" s="624"/>
      <c r="ACC6" s="624"/>
      <c r="ACD6" s="624"/>
      <c r="ACE6" s="624"/>
      <c r="ACF6" s="624"/>
      <c r="ACG6" s="624"/>
      <c r="ACH6" s="624"/>
      <c r="ACI6" s="624"/>
      <c r="ACJ6" s="624"/>
      <c r="ACK6" s="624"/>
      <c r="ACL6" s="624"/>
      <c r="ACM6" s="624"/>
      <c r="ACN6" s="624"/>
      <c r="ACO6" s="624"/>
      <c r="ACP6" s="624"/>
      <c r="ACQ6" s="624"/>
      <c r="ACR6" s="624"/>
      <c r="ACS6" s="624"/>
      <c r="ACT6" s="624"/>
      <c r="ACU6" s="624"/>
      <c r="ACV6" s="624"/>
      <c r="ACW6" s="624"/>
      <c r="ACX6" s="624"/>
      <c r="ACY6" s="624"/>
      <c r="ACZ6" s="624"/>
      <c r="ADA6" s="624"/>
      <c r="ADB6" s="624"/>
      <c r="ADC6" s="624"/>
      <c r="ADD6" s="624"/>
      <c r="ADE6" s="624"/>
      <c r="ADF6" s="624"/>
      <c r="ADG6" s="624"/>
      <c r="ADH6" s="624"/>
      <c r="ADI6" s="624"/>
      <c r="ADJ6" s="624"/>
      <c r="ADK6" s="624"/>
      <c r="ADL6" s="624"/>
      <c r="ADM6" s="624"/>
      <c r="ADN6" s="624"/>
      <c r="ADO6" s="624"/>
      <c r="ADP6" s="624"/>
      <c r="ADQ6" s="624"/>
      <c r="ADR6" s="624"/>
      <c r="ADS6" s="624"/>
      <c r="ADT6" s="624"/>
      <c r="ADU6" s="624"/>
      <c r="ADV6" s="624"/>
      <c r="ADW6" s="624"/>
      <c r="ADX6" s="624"/>
      <c r="ADY6" s="624"/>
      <c r="ADZ6" s="624"/>
      <c r="AEA6" s="624"/>
      <c r="AEB6" s="624"/>
      <c r="AEC6" s="624"/>
      <c r="AED6" s="624"/>
      <c r="AEE6" s="624"/>
      <c r="AEF6" s="624"/>
      <c r="AEG6" s="624"/>
      <c r="AEH6" s="624"/>
      <c r="AEI6" s="624"/>
      <c r="AEJ6" s="624"/>
      <c r="AEK6" s="624"/>
      <c r="AEL6" s="624"/>
      <c r="AEM6" s="624"/>
      <c r="AEN6" s="624"/>
      <c r="AEO6" s="624"/>
      <c r="AEP6" s="624"/>
      <c r="AEQ6" s="624"/>
      <c r="AER6" s="624"/>
      <c r="AES6" s="624"/>
      <c r="AET6" s="624"/>
      <c r="AEU6" s="624"/>
      <c r="AEV6" s="624"/>
      <c r="AEW6" s="624"/>
      <c r="AEX6" s="624"/>
      <c r="AEY6" s="624"/>
      <c r="AEZ6" s="624"/>
      <c r="AFA6" s="624"/>
      <c r="AFB6" s="624"/>
      <c r="AFC6" s="624"/>
      <c r="AFD6" s="624"/>
      <c r="AFE6" s="624"/>
      <c r="AFF6" s="624"/>
      <c r="AFG6" s="624"/>
      <c r="AFH6" s="624"/>
      <c r="AFI6" s="624"/>
      <c r="AFJ6" s="624"/>
      <c r="AFK6" s="624"/>
      <c r="AFL6" s="624"/>
      <c r="AFM6" s="624"/>
      <c r="AFN6" s="624"/>
      <c r="AFO6" s="624"/>
      <c r="AFP6" s="624"/>
      <c r="AFQ6" s="624"/>
      <c r="AFR6" s="624"/>
      <c r="AFS6" s="624"/>
      <c r="AFT6" s="624"/>
      <c r="AFU6" s="624"/>
      <c r="AFV6" s="624"/>
      <c r="AFW6" s="624"/>
      <c r="AFX6" s="624"/>
      <c r="AFY6" s="624"/>
      <c r="AFZ6" s="624"/>
      <c r="AGA6" s="624"/>
      <c r="AGB6" s="624"/>
      <c r="AGC6" s="624"/>
      <c r="AGD6" s="624"/>
      <c r="AGE6" s="624"/>
      <c r="AGF6" s="624"/>
      <c r="AGG6" s="624"/>
      <c r="AGH6" s="624"/>
      <c r="AGI6" s="624"/>
      <c r="AGJ6" s="624"/>
      <c r="AGK6" s="624"/>
      <c r="AGL6" s="624"/>
      <c r="AGM6" s="624"/>
      <c r="AGN6" s="624"/>
      <c r="AGO6" s="624"/>
      <c r="AGP6" s="624"/>
      <c r="AGQ6" s="624"/>
      <c r="AGR6" s="624"/>
      <c r="AGS6" s="624"/>
      <c r="AGT6" s="624"/>
      <c r="AGU6" s="624"/>
      <c r="AGV6" s="624"/>
      <c r="AGW6" s="624"/>
      <c r="AGX6" s="624"/>
      <c r="AGY6" s="624"/>
      <c r="AGZ6" s="624"/>
      <c r="AHA6" s="624"/>
      <c r="AHB6" s="624"/>
      <c r="AHC6" s="624"/>
      <c r="AHD6" s="624"/>
      <c r="AHE6" s="624"/>
      <c r="AHF6" s="624"/>
      <c r="AHG6" s="624"/>
      <c r="AHH6" s="624"/>
      <c r="AHI6" s="624"/>
      <c r="AHJ6" s="624"/>
      <c r="AHK6" s="624"/>
      <c r="AHL6" s="624"/>
      <c r="AHM6" s="624"/>
      <c r="AHN6" s="624"/>
      <c r="AHO6" s="624"/>
      <c r="AHP6" s="624"/>
      <c r="AHQ6" s="624"/>
      <c r="AHR6" s="624"/>
      <c r="AHS6" s="624"/>
      <c r="AHT6" s="624"/>
      <c r="AHU6" s="624"/>
      <c r="AHV6" s="624"/>
      <c r="AHW6" s="624"/>
      <c r="AHX6" s="624"/>
      <c r="AHY6" s="624"/>
      <c r="AHZ6" s="624"/>
      <c r="AIA6" s="624"/>
      <c r="AIB6" s="624"/>
      <c r="AIC6" s="624"/>
      <c r="AID6" s="624"/>
      <c r="AIE6" s="624"/>
      <c r="AIF6" s="624"/>
      <c r="AIG6" s="624"/>
      <c r="AIH6" s="624"/>
      <c r="AII6" s="624"/>
      <c r="AIJ6" s="624"/>
      <c r="AIK6" s="624"/>
      <c r="AIL6" s="624"/>
      <c r="AIM6" s="624"/>
      <c r="AIN6" s="624"/>
      <c r="AIO6" s="624"/>
      <c r="AIP6" s="624"/>
      <c r="AIQ6" s="624"/>
      <c r="AIR6" s="624"/>
      <c r="AIS6" s="624"/>
      <c r="AIT6" s="624"/>
      <c r="AIU6" s="624"/>
      <c r="AIV6" s="624"/>
      <c r="AIW6" s="624"/>
      <c r="AIX6" s="624"/>
      <c r="AIY6" s="624"/>
      <c r="AIZ6" s="624"/>
      <c r="AJA6" s="624"/>
      <c r="AJB6" s="624"/>
      <c r="AJC6" s="624"/>
      <c r="AJD6" s="624"/>
      <c r="AJE6" s="624"/>
      <c r="AJF6" s="624"/>
      <c r="AJG6" s="624"/>
      <c r="AJH6" s="624"/>
      <c r="AJI6" s="624"/>
      <c r="AJJ6" s="624"/>
      <c r="AJK6" s="624"/>
      <c r="AJL6" s="624"/>
      <c r="AJM6" s="624"/>
      <c r="AJN6" s="624"/>
      <c r="AJO6" s="624"/>
      <c r="AJP6" s="624"/>
      <c r="AJQ6" s="624"/>
      <c r="AJR6" s="624"/>
      <c r="AJS6" s="624"/>
      <c r="AJT6" s="624"/>
      <c r="AJU6" s="624"/>
      <c r="AJV6" s="624"/>
      <c r="AJW6" s="624"/>
      <c r="AJX6" s="624"/>
      <c r="AJY6" s="624"/>
      <c r="AJZ6" s="624"/>
      <c r="AKA6" s="624"/>
      <c r="AKB6" s="624"/>
      <c r="AKC6" s="624"/>
      <c r="AKD6" s="624"/>
      <c r="AKE6" s="624"/>
      <c r="AKF6" s="624"/>
      <c r="AKG6" s="624"/>
      <c r="AKH6" s="624"/>
      <c r="AKI6" s="624"/>
      <c r="AKJ6" s="624"/>
      <c r="AKK6" s="624"/>
      <c r="AKL6" s="624"/>
      <c r="AKM6" s="624"/>
      <c r="AKN6" s="624"/>
      <c r="AKO6" s="624"/>
      <c r="AKP6" s="624"/>
      <c r="AKQ6" s="624"/>
      <c r="AKR6" s="624"/>
      <c r="AKS6" s="624"/>
      <c r="AKT6" s="624"/>
      <c r="AKU6" s="624"/>
      <c r="AKV6" s="624"/>
      <c r="AKW6" s="624"/>
      <c r="AKX6" s="624"/>
      <c r="AKY6" s="624"/>
      <c r="AKZ6" s="624"/>
      <c r="ALA6" s="624"/>
      <c r="ALB6" s="624"/>
      <c r="ALC6" s="624"/>
      <c r="ALD6" s="624"/>
      <c r="ALE6" s="624"/>
      <c r="ALF6" s="624"/>
      <c r="ALG6" s="624"/>
      <c r="ALH6" s="624"/>
      <c r="ALI6" s="624"/>
      <c r="ALJ6" s="624"/>
      <c r="ALK6" s="624"/>
      <c r="ALL6" s="624"/>
      <c r="ALM6" s="624"/>
      <c r="ALN6" s="624"/>
      <c r="ALO6" s="624"/>
      <c r="ALP6" s="624"/>
      <c r="ALQ6" s="624"/>
      <c r="ALR6" s="624"/>
      <c r="ALS6" s="624"/>
      <c r="ALT6" s="624"/>
      <c r="ALU6" s="624"/>
      <c r="ALV6" s="624"/>
      <c r="ALW6" s="624"/>
      <c r="ALX6" s="624"/>
      <c r="ALY6" s="624"/>
      <c r="ALZ6" s="624"/>
      <c r="AMA6" s="624"/>
      <c r="AMB6" s="624"/>
      <c r="AMC6" s="624"/>
      <c r="AMD6" s="624"/>
      <c r="AME6" s="624"/>
      <c r="AMF6" s="624"/>
      <c r="AMG6" s="624"/>
      <c r="AMH6" s="624"/>
      <c r="AMI6" s="624"/>
      <c r="AMJ6" s="624"/>
      <c r="AMK6" s="624"/>
      <c r="AML6" s="624"/>
      <c r="AMM6" s="624"/>
      <c r="AMN6" s="624"/>
      <c r="AMO6" s="624"/>
      <c r="AMP6" s="624"/>
      <c r="AMQ6" s="624"/>
      <c r="AMR6" s="624"/>
      <c r="AMS6" s="624"/>
      <c r="AMT6" s="624"/>
      <c r="AMU6" s="624"/>
      <c r="AMV6" s="624"/>
      <c r="AMW6" s="624"/>
      <c r="AMX6" s="624"/>
      <c r="AMY6" s="624"/>
      <c r="AMZ6" s="624"/>
      <c r="ANA6" s="624"/>
      <c r="ANB6" s="624"/>
      <c r="ANC6" s="624"/>
      <c r="AND6" s="624"/>
      <c r="ANE6" s="624"/>
      <c r="ANF6" s="624"/>
      <c r="ANG6" s="624"/>
      <c r="ANH6" s="624"/>
      <c r="ANI6" s="624"/>
      <c r="ANJ6" s="624"/>
      <c r="ANK6" s="624"/>
      <c r="ANL6" s="624"/>
      <c r="ANM6" s="624"/>
      <c r="ANN6" s="624"/>
      <c r="ANO6" s="624"/>
      <c r="ANP6" s="624"/>
      <c r="ANQ6" s="624"/>
      <c r="ANR6" s="624"/>
      <c r="WYC6" s="624"/>
      <c r="WYD6" s="624"/>
      <c r="WYE6" s="624"/>
      <c r="WYF6" s="624"/>
      <c r="WYG6" s="624"/>
      <c r="WYH6" s="624"/>
      <c r="WYI6" s="624"/>
      <c r="WYJ6" s="624"/>
      <c r="WYK6" s="624"/>
      <c r="WYL6" s="624"/>
      <c r="WYM6" s="624"/>
      <c r="WYN6" s="624"/>
      <c r="WYO6" s="624"/>
      <c r="WYP6" s="624"/>
      <c r="WYQ6" s="624"/>
      <c r="WYR6" s="624"/>
      <c r="WYS6" s="624"/>
      <c r="WYT6" s="624"/>
      <c r="WYU6" s="624"/>
      <c r="WYV6" s="624"/>
      <c r="WYW6" s="624"/>
      <c r="WYX6" s="624"/>
      <c r="WYY6" s="624"/>
      <c r="WYZ6" s="624"/>
      <c r="WZA6" s="624"/>
      <c r="WZB6" s="624"/>
      <c r="WZC6" s="624"/>
      <c r="WZD6" s="624"/>
      <c r="WZE6" s="624"/>
      <c r="WZF6" s="624"/>
      <c r="WZG6" s="624"/>
      <c r="WZH6" s="624"/>
      <c r="WZI6" s="624"/>
      <c r="WZJ6" s="624"/>
      <c r="WZK6" s="624"/>
      <c r="WZL6" s="624"/>
      <c r="WZM6" s="624"/>
      <c r="WZN6" s="624"/>
      <c r="WZO6" s="624"/>
      <c r="WZP6" s="624"/>
      <c r="WZQ6" s="624"/>
      <c r="WZR6" s="624"/>
      <c r="WZS6" s="624"/>
      <c r="WZT6" s="624"/>
      <c r="WZU6" s="624"/>
      <c r="WZV6" s="624"/>
      <c r="WZW6" s="624"/>
      <c r="WZX6" s="624"/>
      <c r="WZY6" s="624"/>
      <c r="WZZ6" s="624"/>
      <c r="XAA6" s="624"/>
      <c r="XAB6" s="624"/>
      <c r="XAC6" s="624"/>
      <c r="XAD6" s="624"/>
      <c r="XAE6" s="624"/>
      <c r="XAF6" s="624"/>
      <c r="XAG6" s="624"/>
      <c r="XAH6" s="624"/>
      <c r="XAI6" s="624"/>
      <c r="XAJ6" s="624"/>
      <c r="XAK6" s="624"/>
      <c r="XAL6" s="624"/>
      <c r="XAM6" s="624"/>
      <c r="XAN6" s="624"/>
      <c r="XAO6" s="624"/>
      <c r="XAP6" s="624"/>
      <c r="XAQ6" s="624"/>
      <c r="XAR6" s="624"/>
      <c r="XAS6" s="624"/>
      <c r="XAT6" s="624"/>
      <c r="XAU6" s="624"/>
      <c r="XAV6" s="624"/>
      <c r="XAW6" s="624"/>
      <c r="XAX6" s="624"/>
      <c r="XAY6" s="624"/>
      <c r="XAZ6" s="624"/>
      <c r="XBA6" s="624"/>
      <c r="XBB6" s="624"/>
      <c r="XBC6" s="624"/>
      <c r="XBD6" s="624"/>
      <c r="XBE6" s="624"/>
      <c r="XBF6" s="624"/>
      <c r="XBG6" s="624"/>
      <c r="XBH6" s="624"/>
      <c r="XBI6" s="624"/>
      <c r="XBJ6" s="624"/>
      <c r="XBK6" s="624"/>
      <c r="XBL6" s="624"/>
      <c r="XBM6" s="624"/>
      <c r="XBN6" s="624"/>
      <c r="XBO6" s="624"/>
      <c r="XBP6" s="624"/>
      <c r="XBQ6" s="624"/>
      <c r="XBR6" s="624"/>
      <c r="XBS6" s="624"/>
      <c r="XBT6" s="624"/>
      <c r="XBU6" s="624"/>
      <c r="XBV6" s="624"/>
      <c r="XBW6" s="624"/>
      <c r="XBX6" s="624"/>
      <c r="XBY6" s="624"/>
      <c r="XBZ6" s="624"/>
      <c r="XCA6" s="624"/>
      <c r="XCB6" s="624"/>
      <c r="XCC6" s="624"/>
      <c r="XCD6" s="624"/>
      <c r="XCE6" s="624"/>
      <c r="XCF6" s="624"/>
      <c r="XCG6" s="624"/>
      <c r="XCH6" s="624"/>
      <c r="XCI6" s="624"/>
      <c r="XCJ6" s="624"/>
      <c r="XCK6" s="624"/>
      <c r="XCL6" s="624"/>
      <c r="XCM6" s="624"/>
      <c r="XCN6" s="624"/>
      <c r="XCO6" s="624"/>
      <c r="XCP6" s="624"/>
      <c r="XCQ6" s="624"/>
      <c r="XCR6" s="624"/>
      <c r="XCS6" s="624"/>
      <c r="XCT6" s="624"/>
      <c r="XCU6" s="624"/>
      <c r="XCV6" s="624"/>
      <c r="XCW6" s="624"/>
      <c r="XCX6" s="624"/>
      <c r="XCY6" s="624"/>
      <c r="XCZ6" s="624"/>
      <c r="XDA6" s="624"/>
      <c r="XDB6" s="624"/>
      <c r="XDC6" s="624"/>
      <c r="XDD6" s="624"/>
      <c r="XDE6" s="624"/>
      <c r="XDF6" s="624"/>
      <c r="XDG6" s="624"/>
      <c r="XDH6" s="624"/>
      <c r="XDI6" s="624"/>
      <c r="XDJ6" s="624"/>
      <c r="XDK6" s="624"/>
      <c r="XDL6" s="624"/>
      <c r="XDM6" s="624"/>
      <c r="XDN6" s="624"/>
      <c r="XDO6" s="624"/>
      <c r="XDP6" s="624"/>
      <c r="XDQ6" s="624"/>
      <c r="XDR6" s="624"/>
      <c r="XDS6" s="624"/>
      <c r="XDT6" s="624"/>
      <c r="XDU6" s="624"/>
      <c r="XDV6" s="624"/>
      <c r="XDW6" s="624"/>
      <c r="XDX6" s="624"/>
      <c r="XDY6" s="624"/>
      <c r="XDZ6" s="624"/>
      <c r="XEA6" s="624"/>
      <c r="XEB6" s="624"/>
      <c r="XEC6" s="624"/>
      <c r="XED6" s="624"/>
      <c r="XEE6" s="624"/>
      <c r="XEF6" s="624"/>
      <c r="XEG6" s="624"/>
      <c r="XEH6" s="624"/>
      <c r="XEI6" s="624"/>
      <c r="XEJ6" s="624"/>
      <c r="XEK6" s="624"/>
      <c r="XEL6" s="624"/>
      <c r="XEM6" s="624"/>
      <c r="XEN6" s="624"/>
      <c r="XEO6" s="624"/>
      <c r="XEP6" s="624"/>
      <c r="XEQ6" s="624"/>
      <c r="XER6" s="624"/>
      <c r="XES6" s="624"/>
      <c r="XET6" s="624"/>
      <c r="XEU6" s="624"/>
      <c r="XEV6" s="624"/>
      <c r="XEW6" s="624"/>
      <c r="XEX6" s="624"/>
      <c r="XEY6" s="624"/>
      <c r="XEZ6" s="624"/>
      <c r="XFA6" s="624"/>
      <c r="XFB6" s="624"/>
      <c r="XFC6" s="624"/>
      <c r="XFD6" s="624"/>
    </row>
    <row r="7" spans="1:1058 16201:16384" s="43" customFormat="1" ht="15" customHeight="1">
      <c r="A7" s="624"/>
      <c r="B7" s="154" t="s">
        <v>50</v>
      </c>
      <c r="C7" s="46"/>
      <c r="D7" s="46"/>
      <c r="E7" s="46"/>
      <c r="F7" s="223"/>
      <c r="G7" s="223"/>
      <c r="H7" s="223"/>
      <c r="I7" s="223"/>
      <c r="J7" s="624"/>
      <c r="K7" s="223"/>
      <c r="L7" s="223"/>
      <c r="M7" s="624"/>
      <c r="N7" s="624"/>
      <c r="O7" s="624"/>
      <c r="P7" s="624"/>
      <c r="Q7" s="624"/>
      <c r="R7" s="624"/>
      <c r="S7" s="624"/>
      <c r="T7" s="624"/>
      <c r="U7" s="624"/>
      <c r="V7" s="624"/>
      <c r="W7" s="624"/>
      <c r="X7" s="624"/>
      <c r="Y7" s="624"/>
      <c r="Z7" s="624"/>
      <c r="AA7" s="624"/>
      <c r="AB7" s="624"/>
      <c r="AC7" s="624"/>
      <c r="AD7" s="624"/>
      <c r="AE7" s="624"/>
      <c r="AF7" s="624"/>
      <c r="AG7" s="624"/>
      <c r="AH7" s="624"/>
      <c r="AI7" s="624"/>
      <c r="AJ7" s="624"/>
      <c r="AK7" s="624"/>
      <c r="AL7" s="624"/>
      <c r="AM7" s="624"/>
      <c r="AN7" s="624"/>
      <c r="AO7" s="624"/>
      <c r="AP7" s="624"/>
      <c r="AQ7" s="624"/>
      <c r="AR7" s="624"/>
      <c r="AS7" s="624"/>
      <c r="AT7" s="624"/>
      <c r="AU7" s="624"/>
      <c r="AV7" s="624"/>
      <c r="AW7" s="624"/>
      <c r="AX7" s="624"/>
      <c r="AY7" s="624"/>
      <c r="AZ7" s="624"/>
      <c r="BA7" s="624"/>
      <c r="BB7" s="624"/>
      <c r="BC7" s="624"/>
      <c r="BD7" s="624"/>
      <c r="BE7" s="624"/>
      <c r="BF7" s="624"/>
      <c r="BG7" s="624"/>
      <c r="BH7" s="624"/>
      <c r="BI7" s="624"/>
      <c r="BJ7" s="624"/>
      <c r="BK7" s="624"/>
      <c r="BL7" s="624"/>
      <c r="BM7" s="624"/>
      <c r="BN7" s="624"/>
      <c r="BO7" s="624"/>
      <c r="BP7" s="624"/>
      <c r="BQ7" s="624"/>
      <c r="BR7" s="624"/>
      <c r="BS7" s="624"/>
      <c r="BT7" s="624"/>
      <c r="BU7" s="624"/>
      <c r="BV7" s="624"/>
      <c r="BW7" s="624"/>
      <c r="BX7" s="624"/>
      <c r="BY7" s="624"/>
      <c r="BZ7" s="624"/>
      <c r="CA7" s="624"/>
      <c r="CB7" s="624"/>
      <c r="CC7" s="624"/>
      <c r="CD7" s="624"/>
      <c r="CE7" s="624"/>
      <c r="CF7" s="624"/>
      <c r="CG7" s="624"/>
      <c r="CH7" s="624"/>
      <c r="CI7" s="624"/>
      <c r="CJ7" s="624"/>
      <c r="CK7" s="624"/>
      <c r="CL7" s="624"/>
      <c r="CM7" s="624"/>
      <c r="CN7" s="624"/>
      <c r="CO7" s="624"/>
      <c r="CP7" s="624"/>
      <c r="CQ7" s="624"/>
      <c r="CR7" s="624"/>
      <c r="CS7" s="624"/>
      <c r="CT7" s="624"/>
      <c r="CU7" s="624"/>
      <c r="CV7" s="624"/>
      <c r="CW7" s="624"/>
      <c r="CX7" s="624"/>
      <c r="CY7" s="624"/>
      <c r="CZ7" s="624"/>
      <c r="DA7" s="624"/>
      <c r="JH7" s="624"/>
      <c r="JI7" s="624"/>
      <c r="JJ7" s="624"/>
      <c r="JK7" s="624"/>
      <c r="JL7" s="624"/>
      <c r="JM7" s="624"/>
      <c r="JN7" s="624"/>
      <c r="JO7" s="624"/>
      <c r="JP7" s="624"/>
      <c r="JQ7" s="624"/>
      <c r="JR7" s="624"/>
      <c r="JS7" s="624"/>
      <c r="JT7" s="624"/>
      <c r="JU7" s="624"/>
      <c r="JV7" s="624"/>
      <c r="JW7" s="624"/>
      <c r="JX7" s="624"/>
      <c r="JY7" s="624"/>
      <c r="JZ7" s="624"/>
      <c r="KA7" s="624"/>
      <c r="KB7" s="624"/>
      <c r="KC7" s="624"/>
      <c r="KD7" s="624"/>
      <c r="KE7" s="624"/>
      <c r="KF7" s="624"/>
      <c r="KG7" s="624"/>
      <c r="KH7" s="624"/>
      <c r="KI7" s="624"/>
      <c r="KJ7" s="624"/>
      <c r="KK7" s="624"/>
      <c r="KL7" s="624"/>
      <c r="KM7" s="624"/>
      <c r="KN7" s="624"/>
      <c r="KO7" s="624"/>
      <c r="KP7" s="624"/>
      <c r="KQ7" s="624"/>
      <c r="KR7" s="624"/>
      <c r="KS7" s="624"/>
      <c r="KT7" s="624"/>
      <c r="KU7" s="624"/>
      <c r="KV7" s="624"/>
      <c r="KW7" s="624"/>
      <c r="KX7" s="624"/>
      <c r="KY7" s="624"/>
      <c r="KZ7" s="624"/>
      <c r="LA7" s="624"/>
      <c r="LB7" s="624"/>
      <c r="LC7" s="624"/>
      <c r="LD7" s="624"/>
      <c r="LE7" s="624"/>
      <c r="LF7" s="624"/>
      <c r="LG7" s="624"/>
      <c r="LH7" s="624"/>
      <c r="LI7" s="624"/>
      <c r="LJ7" s="624"/>
      <c r="LK7" s="624"/>
      <c r="LL7" s="624"/>
      <c r="LM7" s="624"/>
      <c r="LN7" s="624"/>
      <c r="LO7" s="624"/>
      <c r="LP7" s="624"/>
      <c r="LQ7" s="624"/>
      <c r="LR7" s="624"/>
      <c r="LS7" s="624"/>
      <c r="LT7" s="624"/>
      <c r="LU7" s="624"/>
      <c r="LV7" s="624"/>
      <c r="LW7" s="624"/>
      <c r="LX7" s="624"/>
      <c r="LY7" s="624"/>
      <c r="LZ7" s="624"/>
      <c r="MA7" s="624"/>
      <c r="MB7" s="624"/>
      <c r="MC7" s="624"/>
      <c r="MD7" s="624"/>
      <c r="ME7" s="624"/>
      <c r="MF7" s="624"/>
      <c r="MG7" s="624"/>
      <c r="MH7" s="624"/>
      <c r="MI7" s="624"/>
      <c r="MJ7" s="624"/>
      <c r="MK7" s="624"/>
      <c r="ML7" s="624"/>
      <c r="MM7" s="624"/>
      <c r="MN7" s="624"/>
      <c r="MO7" s="624"/>
      <c r="MP7" s="624"/>
      <c r="MQ7" s="624"/>
      <c r="MR7" s="624"/>
      <c r="MS7" s="624"/>
      <c r="MT7" s="624"/>
      <c r="MU7" s="624"/>
      <c r="MV7" s="624"/>
      <c r="MW7" s="624"/>
      <c r="MX7" s="624"/>
      <c r="MY7" s="624"/>
      <c r="MZ7" s="624"/>
      <c r="NA7" s="624"/>
      <c r="NB7" s="624"/>
      <c r="NC7" s="624"/>
      <c r="ND7" s="624"/>
      <c r="NE7" s="624"/>
      <c r="NF7" s="624"/>
      <c r="NG7" s="624"/>
      <c r="NH7" s="624"/>
      <c r="NI7" s="624"/>
      <c r="NJ7" s="624"/>
      <c r="NK7" s="624"/>
      <c r="NL7" s="624"/>
      <c r="NM7" s="624"/>
      <c r="NN7" s="624"/>
      <c r="NO7" s="624"/>
      <c r="NP7" s="624"/>
      <c r="NQ7" s="624"/>
      <c r="NR7" s="624"/>
      <c r="NS7" s="624"/>
      <c r="NT7" s="624"/>
      <c r="NU7" s="624"/>
      <c r="NV7" s="624"/>
      <c r="NW7" s="624"/>
      <c r="NX7" s="624"/>
      <c r="NY7" s="624"/>
      <c r="NZ7" s="624"/>
      <c r="OA7" s="624"/>
      <c r="OB7" s="624"/>
      <c r="OC7" s="624"/>
      <c r="OD7" s="624"/>
      <c r="OE7" s="624"/>
      <c r="OF7" s="624"/>
      <c r="OG7" s="624"/>
      <c r="OH7" s="624"/>
      <c r="OI7" s="624"/>
      <c r="OJ7" s="624"/>
      <c r="OK7" s="624"/>
      <c r="OL7" s="624"/>
      <c r="OM7" s="624"/>
      <c r="ON7" s="624"/>
      <c r="OO7" s="624"/>
      <c r="OP7" s="624"/>
      <c r="OQ7" s="624"/>
      <c r="OR7" s="624"/>
      <c r="OS7" s="624"/>
      <c r="OT7" s="624"/>
      <c r="OU7" s="624"/>
      <c r="OV7" s="624"/>
      <c r="OW7" s="624"/>
      <c r="OX7" s="624"/>
      <c r="OY7" s="624"/>
      <c r="OZ7" s="624"/>
      <c r="PA7" s="624"/>
      <c r="PB7" s="624"/>
      <c r="PC7" s="624"/>
      <c r="PD7" s="624"/>
      <c r="PE7" s="624"/>
      <c r="PF7" s="624"/>
      <c r="PG7" s="624"/>
      <c r="PH7" s="624"/>
      <c r="PI7" s="624"/>
      <c r="PJ7" s="624"/>
      <c r="PK7" s="624"/>
      <c r="PL7" s="624"/>
      <c r="PM7" s="624"/>
      <c r="PN7" s="624"/>
      <c r="PO7" s="624"/>
      <c r="PP7" s="624"/>
      <c r="PQ7" s="624"/>
      <c r="PR7" s="624"/>
      <c r="PS7" s="624"/>
      <c r="PT7" s="624"/>
      <c r="PU7" s="624"/>
      <c r="PV7" s="624"/>
      <c r="PW7" s="624"/>
      <c r="PX7" s="624"/>
      <c r="PY7" s="624"/>
      <c r="PZ7" s="624"/>
      <c r="QA7" s="624"/>
      <c r="QB7" s="624"/>
      <c r="QC7" s="624"/>
      <c r="QD7" s="624"/>
      <c r="QE7" s="624"/>
      <c r="QF7" s="624"/>
      <c r="QG7" s="624"/>
      <c r="QH7" s="624"/>
      <c r="QI7" s="624"/>
      <c r="QJ7" s="624"/>
      <c r="QK7" s="624"/>
      <c r="QL7" s="624"/>
      <c r="QM7" s="624"/>
      <c r="QN7" s="624"/>
      <c r="QO7" s="624"/>
      <c r="QP7" s="624"/>
      <c r="QQ7" s="624"/>
      <c r="QR7" s="624"/>
      <c r="QS7" s="624"/>
      <c r="QT7" s="624"/>
      <c r="QU7" s="624"/>
      <c r="QV7" s="624"/>
      <c r="QW7" s="624"/>
      <c r="QX7" s="624"/>
      <c r="QY7" s="624"/>
      <c r="QZ7" s="624"/>
      <c r="RA7" s="624"/>
      <c r="RB7" s="624"/>
      <c r="RC7" s="624"/>
      <c r="RD7" s="624"/>
      <c r="RE7" s="624"/>
      <c r="RF7" s="624"/>
      <c r="RG7" s="624"/>
      <c r="RH7" s="624"/>
      <c r="RI7" s="624"/>
      <c r="RJ7" s="624"/>
      <c r="RK7" s="624"/>
      <c r="RL7" s="624"/>
      <c r="RM7" s="624"/>
      <c r="RN7" s="624"/>
      <c r="RO7" s="624"/>
      <c r="RP7" s="624"/>
      <c r="RQ7" s="624"/>
      <c r="RR7" s="624"/>
      <c r="RS7" s="624"/>
      <c r="RT7" s="624"/>
      <c r="RU7" s="624"/>
      <c r="RV7" s="624"/>
      <c r="RW7" s="624"/>
      <c r="RX7" s="624"/>
      <c r="RY7" s="624"/>
      <c r="RZ7" s="624"/>
      <c r="SA7" s="624"/>
      <c r="SB7" s="624"/>
      <c r="SC7" s="624"/>
      <c r="SD7" s="624"/>
      <c r="SE7" s="624"/>
      <c r="SF7" s="624"/>
      <c r="SG7" s="624"/>
      <c r="SH7" s="624"/>
      <c r="SI7" s="624"/>
      <c r="SJ7" s="624"/>
      <c r="SK7" s="624"/>
      <c r="SL7" s="624"/>
      <c r="SM7" s="624"/>
      <c r="SN7" s="624"/>
      <c r="SO7" s="624"/>
      <c r="SP7" s="624"/>
      <c r="SQ7" s="624"/>
      <c r="SR7" s="624"/>
      <c r="SS7" s="624"/>
      <c r="ST7" s="624"/>
      <c r="SU7" s="624"/>
      <c r="SV7" s="624"/>
      <c r="SW7" s="624"/>
      <c r="SX7" s="624"/>
      <c r="SY7" s="624"/>
      <c r="SZ7" s="624"/>
      <c r="TA7" s="624"/>
      <c r="TB7" s="624"/>
      <c r="TC7" s="624"/>
      <c r="TD7" s="624"/>
      <c r="TE7" s="624"/>
      <c r="TF7" s="624"/>
      <c r="TG7" s="624"/>
      <c r="TH7" s="624"/>
      <c r="TI7" s="624"/>
      <c r="TJ7" s="624"/>
      <c r="TK7" s="624"/>
      <c r="TL7" s="624"/>
      <c r="TM7" s="624"/>
      <c r="TN7" s="624"/>
      <c r="TO7" s="624"/>
      <c r="TP7" s="624"/>
      <c r="TQ7" s="624"/>
      <c r="TR7" s="624"/>
      <c r="TS7" s="624"/>
      <c r="TT7" s="624"/>
      <c r="TU7" s="624"/>
      <c r="TV7" s="624"/>
      <c r="TW7" s="624"/>
      <c r="TX7" s="624"/>
      <c r="TY7" s="624"/>
      <c r="TZ7" s="624"/>
      <c r="UA7" s="624"/>
      <c r="UB7" s="624"/>
      <c r="UC7" s="624"/>
      <c r="UD7" s="624"/>
      <c r="UE7" s="624"/>
      <c r="UF7" s="624"/>
      <c r="UG7" s="624"/>
      <c r="UH7" s="624"/>
      <c r="UI7" s="624"/>
      <c r="UJ7" s="624"/>
      <c r="UK7" s="624"/>
      <c r="UL7" s="624"/>
      <c r="UM7" s="624"/>
      <c r="UN7" s="624"/>
      <c r="UO7" s="624"/>
      <c r="UP7" s="624"/>
      <c r="UQ7" s="624"/>
      <c r="UR7" s="624"/>
      <c r="US7" s="624"/>
      <c r="UT7" s="624"/>
      <c r="UU7" s="624"/>
      <c r="UV7" s="624"/>
      <c r="UW7" s="624"/>
      <c r="UX7" s="624"/>
      <c r="UY7" s="624"/>
      <c r="UZ7" s="624"/>
      <c r="VA7" s="624"/>
      <c r="VB7" s="624"/>
      <c r="VC7" s="624"/>
      <c r="VD7" s="624"/>
      <c r="VE7" s="624"/>
      <c r="VF7" s="624"/>
      <c r="VG7" s="624"/>
      <c r="VH7" s="624"/>
      <c r="VI7" s="624"/>
      <c r="VJ7" s="624"/>
      <c r="VK7" s="624"/>
      <c r="VL7" s="624"/>
      <c r="VM7" s="624"/>
      <c r="VN7" s="624"/>
      <c r="VO7" s="624"/>
      <c r="VP7" s="624"/>
      <c r="VQ7" s="624"/>
      <c r="VR7" s="624"/>
      <c r="VS7" s="624"/>
      <c r="VT7" s="624"/>
      <c r="VU7" s="624"/>
      <c r="VV7" s="624"/>
      <c r="VW7" s="624"/>
      <c r="VX7" s="624"/>
      <c r="VY7" s="624"/>
      <c r="VZ7" s="624"/>
      <c r="WA7" s="624"/>
      <c r="WB7" s="624"/>
      <c r="WC7" s="624"/>
      <c r="WD7" s="624"/>
      <c r="WE7" s="624"/>
      <c r="WF7" s="624"/>
      <c r="WG7" s="624"/>
      <c r="WH7" s="624"/>
      <c r="WI7" s="624"/>
      <c r="WJ7" s="624"/>
      <c r="WK7" s="624"/>
      <c r="WL7" s="624"/>
      <c r="WM7" s="624"/>
      <c r="WN7" s="624"/>
      <c r="WO7" s="624"/>
      <c r="WP7" s="624"/>
      <c r="WQ7" s="624"/>
      <c r="WR7" s="624"/>
      <c r="WS7" s="624"/>
      <c r="WT7" s="624"/>
      <c r="WU7" s="624"/>
      <c r="WV7" s="624"/>
      <c r="WW7" s="624"/>
      <c r="WX7" s="624"/>
      <c r="WY7" s="624"/>
      <c r="WZ7" s="624"/>
      <c r="XA7" s="624"/>
      <c r="XB7" s="624"/>
      <c r="XC7" s="624"/>
      <c r="XD7" s="624"/>
      <c r="XE7" s="624"/>
      <c r="XF7" s="624"/>
      <c r="XG7" s="624"/>
      <c r="XH7" s="624"/>
      <c r="XI7" s="624"/>
      <c r="XJ7" s="624"/>
      <c r="XK7" s="624"/>
      <c r="XL7" s="624"/>
      <c r="XM7" s="624"/>
      <c r="XN7" s="624"/>
      <c r="XO7" s="624"/>
      <c r="XP7" s="624"/>
      <c r="XQ7" s="624"/>
      <c r="XR7" s="624"/>
      <c r="XS7" s="624"/>
      <c r="XT7" s="624"/>
      <c r="XU7" s="624"/>
      <c r="XV7" s="624"/>
      <c r="XW7" s="624"/>
      <c r="XX7" s="624"/>
      <c r="XY7" s="624"/>
      <c r="XZ7" s="624"/>
      <c r="YA7" s="624"/>
      <c r="YB7" s="624"/>
      <c r="YC7" s="624"/>
      <c r="YD7" s="624"/>
      <c r="YE7" s="624"/>
      <c r="YF7" s="624"/>
      <c r="YG7" s="624"/>
      <c r="YH7" s="624"/>
      <c r="YI7" s="624"/>
      <c r="YJ7" s="624"/>
      <c r="YK7" s="624"/>
      <c r="YL7" s="624"/>
      <c r="YM7" s="624"/>
      <c r="YN7" s="624"/>
      <c r="YO7" s="624"/>
      <c r="YP7" s="624"/>
      <c r="YQ7" s="624"/>
      <c r="YR7" s="624"/>
      <c r="YS7" s="624"/>
      <c r="YT7" s="624"/>
      <c r="YU7" s="624"/>
      <c r="YV7" s="624"/>
      <c r="YW7" s="624"/>
      <c r="YX7" s="624"/>
      <c r="YY7" s="624"/>
      <c r="YZ7" s="624"/>
      <c r="ZA7" s="624"/>
      <c r="ZB7" s="624"/>
      <c r="ZC7" s="624"/>
      <c r="ZD7" s="624"/>
      <c r="ZE7" s="624"/>
      <c r="ZF7" s="624"/>
      <c r="ZG7" s="624"/>
      <c r="ZH7" s="624"/>
      <c r="ZI7" s="624"/>
      <c r="ZJ7" s="624"/>
      <c r="ZK7" s="624"/>
      <c r="ZL7" s="624"/>
      <c r="ZM7" s="624"/>
      <c r="ZN7" s="624"/>
      <c r="ZO7" s="624"/>
      <c r="ZP7" s="624"/>
      <c r="ZQ7" s="624"/>
      <c r="ZR7" s="624"/>
      <c r="ZS7" s="624"/>
      <c r="ZT7" s="624"/>
      <c r="ZU7" s="624"/>
      <c r="ZV7" s="624"/>
      <c r="ZW7" s="624"/>
      <c r="ZX7" s="624"/>
      <c r="ZY7" s="624"/>
      <c r="ZZ7" s="624"/>
      <c r="AAA7" s="624"/>
      <c r="AAB7" s="624"/>
      <c r="AAC7" s="624"/>
      <c r="AAD7" s="624"/>
      <c r="AAE7" s="624"/>
      <c r="AAF7" s="624"/>
      <c r="AAG7" s="624"/>
      <c r="AAH7" s="624"/>
      <c r="AAI7" s="624"/>
      <c r="AAJ7" s="624"/>
      <c r="AAK7" s="624"/>
      <c r="AAL7" s="624"/>
      <c r="AAM7" s="624"/>
      <c r="AAN7" s="624"/>
      <c r="AAO7" s="624"/>
      <c r="AAP7" s="624"/>
      <c r="AAQ7" s="624"/>
      <c r="AAR7" s="624"/>
      <c r="AAS7" s="624"/>
      <c r="AAT7" s="624"/>
      <c r="AAU7" s="624"/>
      <c r="AAV7" s="624"/>
      <c r="AAW7" s="624"/>
      <c r="AAX7" s="624"/>
      <c r="AAY7" s="624"/>
      <c r="AAZ7" s="624"/>
      <c r="ABA7" s="624"/>
      <c r="ABB7" s="624"/>
      <c r="ABC7" s="624"/>
      <c r="ABD7" s="624"/>
      <c r="ABE7" s="624"/>
      <c r="ABF7" s="624"/>
      <c r="ABG7" s="624"/>
      <c r="ABH7" s="624"/>
      <c r="ABI7" s="624"/>
      <c r="ABJ7" s="624"/>
      <c r="ABK7" s="624"/>
      <c r="ABL7" s="624"/>
      <c r="ABM7" s="624"/>
      <c r="ABN7" s="624"/>
      <c r="ABO7" s="624"/>
      <c r="ABP7" s="624"/>
      <c r="ABQ7" s="624"/>
      <c r="ABR7" s="624"/>
      <c r="ABS7" s="624"/>
      <c r="ABT7" s="624"/>
      <c r="ABU7" s="624"/>
      <c r="ABV7" s="624"/>
      <c r="ABW7" s="624"/>
      <c r="ABX7" s="624"/>
      <c r="ABY7" s="624"/>
      <c r="ABZ7" s="624"/>
      <c r="ACA7" s="624"/>
      <c r="ACB7" s="624"/>
      <c r="ACC7" s="624"/>
      <c r="ACD7" s="624"/>
      <c r="ACE7" s="624"/>
      <c r="ACF7" s="624"/>
      <c r="ACG7" s="624"/>
      <c r="ACH7" s="624"/>
      <c r="ACI7" s="624"/>
      <c r="ACJ7" s="624"/>
      <c r="ACK7" s="624"/>
      <c r="ACL7" s="624"/>
      <c r="ACM7" s="624"/>
      <c r="ACN7" s="624"/>
      <c r="ACO7" s="624"/>
      <c r="ACP7" s="624"/>
      <c r="ACQ7" s="624"/>
      <c r="ACR7" s="624"/>
      <c r="ACS7" s="624"/>
      <c r="ACT7" s="624"/>
      <c r="ACU7" s="624"/>
      <c r="ACV7" s="624"/>
      <c r="ACW7" s="624"/>
      <c r="ACX7" s="624"/>
      <c r="ACY7" s="624"/>
      <c r="ACZ7" s="624"/>
      <c r="ADA7" s="624"/>
      <c r="ADB7" s="624"/>
      <c r="ADC7" s="624"/>
      <c r="ADD7" s="624"/>
      <c r="ADE7" s="624"/>
      <c r="ADF7" s="624"/>
      <c r="ADG7" s="624"/>
      <c r="ADH7" s="624"/>
      <c r="ADI7" s="624"/>
      <c r="ADJ7" s="624"/>
      <c r="ADK7" s="624"/>
      <c r="ADL7" s="624"/>
      <c r="ADM7" s="624"/>
      <c r="ADN7" s="624"/>
      <c r="ADO7" s="624"/>
      <c r="ADP7" s="624"/>
      <c r="ADQ7" s="624"/>
      <c r="ADR7" s="624"/>
      <c r="ADS7" s="624"/>
      <c r="ADT7" s="624"/>
      <c r="ADU7" s="624"/>
      <c r="ADV7" s="624"/>
      <c r="ADW7" s="624"/>
      <c r="ADX7" s="624"/>
      <c r="ADY7" s="624"/>
      <c r="ADZ7" s="624"/>
      <c r="AEA7" s="624"/>
      <c r="AEB7" s="624"/>
      <c r="AEC7" s="624"/>
      <c r="AED7" s="624"/>
      <c r="AEE7" s="624"/>
      <c r="AEF7" s="624"/>
      <c r="AEG7" s="624"/>
      <c r="AEH7" s="624"/>
      <c r="AEI7" s="624"/>
      <c r="AEJ7" s="624"/>
      <c r="AEK7" s="624"/>
      <c r="AEL7" s="624"/>
      <c r="AEM7" s="624"/>
      <c r="AEN7" s="624"/>
      <c r="AEO7" s="624"/>
      <c r="AEP7" s="624"/>
      <c r="AEQ7" s="624"/>
      <c r="AER7" s="624"/>
      <c r="AES7" s="624"/>
      <c r="AET7" s="624"/>
      <c r="AEU7" s="624"/>
      <c r="AEV7" s="624"/>
      <c r="AEW7" s="624"/>
      <c r="AEX7" s="624"/>
      <c r="AEY7" s="624"/>
      <c r="AEZ7" s="624"/>
      <c r="AFA7" s="624"/>
      <c r="AFB7" s="624"/>
      <c r="AFC7" s="624"/>
      <c r="AFD7" s="624"/>
      <c r="AFE7" s="624"/>
      <c r="AFF7" s="624"/>
      <c r="AFG7" s="624"/>
      <c r="AFH7" s="624"/>
      <c r="AFI7" s="624"/>
      <c r="AFJ7" s="624"/>
      <c r="AFK7" s="624"/>
      <c r="AFL7" s="624"/>
      <c r="AFM7" s="624"/>
      <c r="AFN7" s="624"/>
      <c r="AFO7" s="624"/>
      <c r="AFP7" s="624"/>
      <c r="AFQ7" s="624"/>
      <c r="AFR7" s="624"/>
      <c r="AFS7" s="624"/>
      <c r="AFT7" s="624"/>
      <c r="AFU7" s="624"/>
      <c r="AFV7" s="624"/>
      <c r="AFW7" s="624"/>
      <c r="AFX7" s="624"/>
      <c r="AFY7" s="624"/>
      <c r="AFZ7" s="624"/>
      <c r="AGA7" s="624"/>
      <c r="AGB7" s="624"/>
      <c r="AGC7" s="624"/>
      <c r="AGD7" s="624"/>
      <c r="AGE7" s="624"/>
      <c r="AGF7" s="624"/>
      <c r="AGG7" s="624"/>
      <c r="AGH7" s="624"/>
      <c r="AGI7" s="624"/>
      <c r="AGJ7" s="624"/>
      <c r="AGK7" s="624"/>
      <c r="AGL7" s="624"/>
      <c r="AGM7" s="624"/>
      <c r="AGN7" s="624"/>
      <c r="AGO7" s="624"/>
      <c r="AGP7" s="624"/>
      <c r="AGQ7" s="624"/>
      <c r="AGR7" s="624"/>
      <c r="AGS7" s="624"/>
      <c r="AGT7" s="624"/>
      <c r="AGU7" s="624"/>
      <c r="AGV7" s="624"/>
      <c r="AGW7" s="624"/>
      <c r="AGX7" s="624"/>
      <c r="AGY7" s="624"/>
      <c r="AGZ7" s="624"/>
      <c r="AHA7" s="624"/>
      <c r="AHB7" s="624"/>
      <c r="AHC7" s="624"/>
      <c r="AHD7" s="624"/>
      <c r="AHE7" s="624"/>
      <c r="AHF7" s="624"/>
      <c r="AHG7" s="624"/>
      <c r="AHH7" s="624"/>
      <c r="AHI7" s="624"/>
      <c r="AHJ7" s="624"/>
      <c r="AHK7" s="624"/>
      <c r="AHL7" s="624"/>
      <c r="AHM7" s="624"/>
      <c r="AHN7" s="624"/>
      <c r="AHO7" s="624"/>
      <c r="AHP7" s="624"/>
      <c r="AHQ7" s="624"/>
      <c r="AHR7" s="624"/>
      <c r="AHS7" s="624"/>
      <c r="AHT7" s="624"/>
      <c r="AHU7" s="624"/>
      <c r="AHV7" s="624"/>
      <c r="AHW7" s="624"/>
      <c r="AHX7" s="624"/>
      <c r="AHY7" s="624"/>
      <c r="AHZ7" s="624"/>
      <c r="AIA7" s="624"/>
      <c r="AIB7" s="624"/>
      <c r="AIC7" s="624"/>
      <c r="AID7" s="624"/>
      <c r="AIE7" s="624"/>
      <c r="AIF7" s="624"/>
      <c r="AIG7" s="624"/>
      <c r="AIH7" s="624"/>
      <c r="AII7" s="624"/>
      <c r="AIJ7" s="624"/>
      <c r="AIK7" s="624"/>
      <c r="AIL7" s="624"/>
      <c r="AIM7" s="624"/>
      <c r="AIN7" s="624"/>
      <c r="AIO7" s="624"/>
      <c r="AIP7" s="624"/>
      <c r="AIQ7" s="624"/>
      <c r="AIR7" s="624"/>
      <c r="AIS7" s="624"/>
      <c r="AIT7" s="624"/>
      <c r="AIU7" s="624"/>
      <c r="AIV7" s="624"/>
      <c r="AIW7" s="624"/>
      <c r="AIX7" s="624"/>
      <c r="AIY7" s="624"/>
      <c r="AIZ7" s="624"/>
      <c r="AJA7" s="624"/>
      <c r="AJB7" s="624"/>
      <c r="AJC7" s="624"/>
      <c r="AJD7" s="624"/>
      <c r="AJE7" s="624"/>
      <c r="AJF7" s="624"/>
      <c r="AJG7" s="624"/>
      <c r="AJH7" s="624"/>
      <c r="AJI7" s="624"/>
      <c r="AJJ7" s="624"/>
      <c r="AJK7" s="624"/>
      <c r="AJL7" s="624"/>
      <c r="AJM7" s="624"/>
      <c r="AJN7" s="624"/>
      <c r="AJO7" s="624"/>
      <c r="AJP7" s="624"/>
      <c r="AJQ7" s="624"/>
      <c r="AJR7" s="624"/>
      <c r="AJS7" s="624"/>
      <c r="AJT7" s="624"/>
      <c r="AJU7" s="624"/>
      <c r="AJV7" s="624"/>
      <c r="AJW7" s="624"/>
      <c r="AJX7" s="624"/>
      <c r="AJY7" s="624"/>
      <c r="AJZ7" s="624"/>
      <c r="AKA7" s="624"/>
      <c r="AKB7" s="624"/>
      <c r="AKC7" s="624"/>
      <c r="AKD7" s="624"/>
      <c r="AKE7" s="624"/>
      <c r="AKF7" s="624"/>
      <c r="AKG7" s="624"/>
      <c r="AKH7" s="624"/>
      <c r="AKI7" s="624"/>
      <c r="AKJ7" s="624"/>
      <c r="AKK7" s="624"/>
      <c r="AKL7" s="624"/>
      <c r="AKM7" s="624"/>
      <c r="AKN7" s="624"/>
      <c r="AKO7" s="624"/>
      <c r="AKP7" s="624"/>
      <c r="AKQ7" s="624"/>
      <c r="AKR7" s="624"/>
      <c r="AKS7" s="624"/>
      <c r="AKT7" s="624"/>
      <c r="AKU7" s="624"/>
      <c r="AKV7" s="624"/>
      <c r="AKW7" s="624"/>
      <c r="AKX7" s="624"/>
      <c r="AKY7" s="624"/>
      <c r="AKZ7" s="624"/>
      <c r="ALA7" s="624"/>
      <c r="ALB7" s="624"/>
      <c r="ALC7" s="624"/>
      <c r="ALD7" s="624"/>
      <c r="ALE7" s="624"/>
      <c r="ALF7" s="624"/>
      <c r="ALG7" s="624"/>
      <c r="ALH7" s="624"/>
      <c r="ALI7" s="624"/>
      <c r="ALJ7" s="624"/>
      <c r="ALK7" s="624"/>
      <c r="ALL7" s="624"/>
      <c r="ALM7" s="624"/>
      <c r="ALN7" s="624"/>
      <c r="ALO7" s="624"/>
      <c r="ALP7" s="624"/>
      <c r="ALQ7" s="624"/>
      <c r="ALR7" s="624"/>
      <c r="ALS7" s="624"/>
      <c r="ALT7" s="624"/>
      <c r="ALU7" s="624"/>
      <c r="ALV7" s="624"/>
      <c r="ALW7" s="624"/>
      <c r="ALX7" s="624"/>
      <c r="ALY7" s="624"/>
      <c r="ALZ7" s="624"/>
      <c r="AMA7" s="624"/>
      <c r="AMB7" s="624"/>
      <c r="AMC7" s="624"/>
      <c r="AMD7" s="624"/>
      <c r="AME7" s="624"/>
      <c r="AMF7" s="624"/>
      <c r="AMG7" s="624"/>
      <c r="AMH7" s="624"/>
      <c r="AMI7" s="624"/>
      <c r="AMJ7" s="624"/>
      <c r="AMK7" s="624"/>
      <c r="AML7" s="624"/>
      <c r="AMM7" s="624"/>
      <c r="AMN7" s="624"/>
      <c r="AMO7" s="624"/>
      <c r="AMP7" s="624"/>
      <c r="AMQ7" s="624"/>
      <c r="AMR7" s="624"/>
      <c r="AMS7" s="624"/>
      <c r="AMT7" s="624"/>
      <c r="AMU7" s="624"/>
      <c r="AMV7" s="624"/>
      <c r="AMW7" s="624"/>
      <c r="AMX7" s="624"/>
      <c r="AMY7" s="624"/>
      <c r="AMZ7" s="624"/>
      <c r="ANA7" s="624"/>
      <c r="ANB7" s="624"/>
      <c r="ANC7" s="624"/>
      <c r="AND7" s="624"/>
      <c r="ANE7" s="624"/>
      <c r="ANF7" s="624"/>
      <c r="ANG7" s="624"/>
      <c r="ANH7" s="624"/>
      <c r="ANI7" s="624"/>
      <c r="ANJ7" s="624"/>
      <c r="ANK7" s="624"/>
      <c r="ANL7" s="624"/>
      <c r="ANM7" s="624"/>
      <c r="ANN7" s="624"/>
      <c r="ANO7" s="624"/>
      <c r="ANP7" s="624"/>
      <c r="ANQ7" s="624"/>
      <c r="ANR7" s="624"/>
      <c r="WYC7" s="624"/>
      <c r="WYD7" s="624"/>
      <c r="WYE7" s="624"/>
      <c r="WYF7" s="624"/>
      <c r="WYG7" s="624"/>
      <c r="WYH7" s="624"/>
      <c r="WYI7" s="624"/>
      <c r="WYJ7" s="624"/>
      <c r="WYK7" s="624"/>
      <c r="WYL7" s="624"/>
      <c r="WYM7" s="624"/>
      <c r="WYN7" s="624"/>
      <c r="WYO7" s="624"/>
      <c r="WYP7" s="624"/>
      <c r="WYQ7" s="624"/>
      <c r="WYR7" s="624"/>
      <c r="WYS7" s="624"/>
      <c r="WYT7" s="624"/>
      <c r="WYU7" s="624"/>
      <c r="WYV7" s="624"/>
      <c r="WYW7" s="624"/>
      <c r="WYX7" s="624"/>
      <c r="WYY7" s="624"/>
      <c r="WYZ7" s="624"/>
      <c r="WZA7" s="624"/>
      <c r="WZB7" s="624"/>
      <c r="WZC7" s="624"/>
      <c r="WZD7" s="624"/>
      <c r="WZE7" s="624"/>
      <c r="WZF7" s="624"/>
      <c r="WZG7" s="624"/>
      <c r="WZH7" s="624"/>
      <c r="WZI7" s="624"/>
      <c r="WZJ7" s="624"/>
      <c r="WZK7" s="624"/>
      <c r="WZL7" s="624"/>
      <c r="WZM7" s="624"/>
      <c r="WZN7" s="624"/>
      <c r="WZO7" s="624"/>
      <c r="WZP7" s="624"/>
      <c r="WZQ7" s="624"/>
      <c r="WZR7" s="624"/>
      <c r="WZS7" s="624"/>
      <c r="WZT7" s="624"/>
      <c r="WZU7" s="624"/>
      <c r="WZV7" s="624"/>
      <c r="WZW7" s="624"/>
      <c r="WZX7" s="624"/>
      <c r="WZY7" s="624"/>
      <c r="WZZ7" s="624"/>
      <c r="XAA7" s="624"/>
      <c r="XAB7" s="624"/>
      <c r="XAC7" s="624"/>
      <c r="XAD7" s="624"/>
      <c r="XAE7" s="624"/>
      <c r="XAF7" s="624"/>
      <c r="XAG7" s="624"/>
      <c r="XAH7" s="624"/>
      <c r="XAI7" s="624"/>
      <c r="XAJ7" s="624"/>
      <c r="XAK7" s="624"/>
      <c r="XAL7" s="624"/>
      <c r="XAM7" s="624"/>
      <c r="XAN7" s="624"/>
      <c r="XAO7" s="624"/>
      <c r="XAP7" s="624"/>
      <c r="XAQ7" s="624"/>
      <c r="XAR7" s="624"/>
      <c r="XAS7" s="624"/>
      <c r="XAT7" s="624"/>
      <c r="XAU7" s="624"/>
      <c r="XAV7" s="624"/>
      <c r="XAW7" s="624"/>
      <c r="XAX7" s="624"/>
      <c r="XAY7" s="624"/>
      <c r="XAZ7" s="624"/>
      <c r="XBA7" s="624"/>
      <c r="XBB7" s="624"/>
      <c r="XBC7" s="624"/>
      <c r="XBD7" s="624"/>
      <c r="XBE7" s="624"/>
      <c r="XBF7" s="624"/>
      <c r="XBG7" s="624"/>
      <c r="XBH7" s="624"/>
      <c r="XBI7" s="624"/>
      <c r="XBJ7" s="624"/>
      <c r="XBK7" s="624"/>
      <c r="XBL7" s="624"/>
      <c r="XBM7" s="624"/>
      <c r="XBN7" s="624"/>
      <c r="XBO7" s="624"/>
      <c r="XBP7" s="624"/>
      <c r="XBQ7" s="624"/>
      <c r="XBR7" s="624"/>
      <c r="XBS7" s="624"/>
      <c r="XBT7" s="624"/>
      <c r="XBU7" s="624"/>
      <c r="XBV7" s="624"/>
      <c r="XBW7" s="624"/>
      <c r="XBX7" s="624"/>
      <c r="XBY7" s="624"/>
      <c r="XBZ7" s="624"/>
      <c r="XCA7" s="624"/>
      <c r="XCB7" s="624"/>
      <c r="XCC7" s="624"/>
      <c r="XCD7" s="624"/>
      <c r="XCE7" s="624"/>
      <c r="XCF7" s="624"/>
      <c r="XCG7" s="624"/>
      <c r="XCH7" s="624"/>
      <c r="XCI7" s="624"/>
      <c r="XCJ7" s="624"/>
      <c r="XCK7" s="624"/>
      <c r="XCL7" s="624"/>
      <c r="XCM7" s="624"/>
      <c r="XCN7" s="624"/>
      <c r="XCO7" s="624"/>
      <c r="XCP7" s="624"/>
      <c r="XCQ7" s="624"/>
      <c r="XCR7" s="624"/>
      <c r="XCS7" s="624"/>
      <c r="XCT7" s="624"/>
      <c r="XCU7" s="624"/>
      <c r="XCV7" s="624"/>
      <c r="XCW7" s="624"/>
      <c r="XCX7" s="624"/>
      <c r="XCY7" s="624"/>
      <c r="XCZ7" s="624"/>
      <c r="XDA7" s="624"/>
      <c r="XDB7" s="624"/>
      <c r="XDC7" s="624"/>
      <c r="XDD7" s="624"/>
      <c r="XDE7" s="624"/>
      <c r="XDF7" s="624"/>
      <c r="XDG7" s="624"/>
      <c r="XDH7" s="624"/>
      <c r="XDI7" s="624"/>
      <c r="XDJ7" s="624"/>
      <c r="XDK7" s="624"/>
      <c r="XDL7" s="624"/>
      <c r="XDM7" s="624"/>
      <c r="XDN7" s="624"/>
      <c r="XDO7" s="624"/>
      <c r="XDP7" s="624"/>
      <c r="XDQ7" s="624"/>
      <c r="XDR7" s="624"/>
      <c r="XDS7" s="624"/>
      <c r="XDT7" s="624"/>
      <c r="XDU7" s="624"/>
      <c r="XDV7" s="624"/>
      <c r="XDW7" s="624"/>
      <c r="XDX7" s="624"/>
      <c r="XDY7" s="624"/>
      <c r="XDZ7" s="624"/>
      <c r="XEA7" s="624"/>
      <c r="XEB7" s="624"/>
      <c r="XEC7" s="624"/>
      <c r="XED7" s="624"/>
      <c r="XEE7" s="624"/>
      <c r="XEF7" s="624"/>
      <c r="XEG7" s="624"/>
      <c r="XEH7" s="624"/>
      <c r="XEI7" s="624"/>
      <c r="XEJ7" s="624"/>
      <c r="XEK7" s="624"/>
      <c r="XEL7" s="624"/>
      <c r="XEM7" s="624"/>
      <c r="XEN7" s="624"/>
      <c r="XEO7" s="624"/>
      <c r="XEP7" s="624"/>
      <c r="XEQ7" s="624"/>
      <c r="XER7" s="624"/>
      <c r="XES7" s="624"/>
      <c r="XET7" s="624"/>
      <c r="XEU7" s="624"/>
      <c r="XEV7" s="624"/>
      <c r="XEW7" s="624"/>
      <c r="XEX7" s="624"/>
      <c r="XEY7" s="624"/>
      <c r="XEZ7" s="624"/>
      <c r="XFA7" s="624"/>
      <c r="XFB7" s="624"/>
      <c r="XFC7" s="624"/>
      <c r="XFD7" s="624"/>
    </row>
    <row r="8" spans="1:1058 16201:16384" s="43" customFormat="1" ht="15" customHeight="1">
      <c r="A8" s="624"/>
      <c r="B8" s="157" t="s">
        <v>593</v>
      </c>
      <c r="C8" s="149"/>
      <c r="D8" s="149"/>
      <c r="E8" s="149"/>
      <c r="F8" s="223"/>
      <c r="G8" s="223"/>
      <c r="H8" s="223"/>
      <c r="I8" s="223"/>
      <c r="J8" s="624"/>
      <c r="K8" s="223"/>
      <c r="L8" s="223"/>
      <c r="M8" s="624"/>
      <c r="N8" s="624"/>
      <c r="O8" s="624"/>
      <c r="P8" s="624"/>
      <c r="Q8" s="624"/>
      <c r="R8" s="624"/>
      <c r="S8" s="624"/>
      <c r="T8" s="624"/>
      <c r="U8" s="624"/>
      <c r="V8" s="624"/>
      <c r="W8" s="624"/>
      <c r="X8" s="624"/>
      <c r="Y8" s="624"/>
      <c r="Z8" s="624"/>
      <c r="AA8" s="624"/>
      <c r="AB8" s="624"/>
      <c r="AC8" s="624"/>
      <c r="AD8" s="624"/>
      <c r="AE8" s="624"/>
      <c r="AF8" s="624"/>
      <c r="AG8" s="624"/>
      <c r="AH8" s="624"/>
      <c r="AI8" s="624"/>
      <c r="AJ8" s="624"/>
      <c r="AK8" s="624"/>
      <c r="AL8" s="624"/>
      <c r="AM8" s="624"/>
      <c r="AN8" s="624"/>
      <c r="AO8" s="624"/>
      <c r="AP8" s="624"/>
      <c r="AQ8" s="624"/>
      <c r="AR8" s="624"/>
      <c r="AS8" s="624"/>
      <c r="AT8" s="624"/>
      <c r="AU8" s="624"/>
      <c r="AV8" s="624"/>
      <c r="AW8" s="624"/>
      <c r="AX8" s="624"/>
      <c r="AY8" s="624"/>
      <c r="AZ8" s="624"/>
      <c r="BA8" s="624"/>
      <c r="BB8" s="624"/>
      <c r="BC8" s="624"/>
      <c r="BD8" s="624"/>
      <c r="BE8" s="624"/>
      <c r="BF8" s="624"/>
      <c r="BG8" s="624"/>
      <c r="BH8" s="624"/>
      <c r="BI8" s="624"/>
      <c r="BJ8" s="624"/>
      <c r="BK8" s="624"/>
      <c r="BL8" s="624"/>
      <c r="BM8" s="624"/>
      <c r="BN8" s="624"/>
      <c r="BO8" s="624"/>
      <c r="BP8" s="624"/>
      <c r="BQ8" s="624"/>
      <c r="BR8" s="624"/>
      <c r="BS8" s="624"/>
      <c r="BT8" s="624"/>
      <c r="BU8" s="624"/>
      <c r="BV8" s="624"/>
      <c r="BW8" s="624"/>
      <c r="BX8" s="624"/>
      <c r="BY8" s="624"/>
      <c r="BZ8" s="624"/>
      <c r="CA8" s="624"/>
      <c r="CB8" s="624"/>
      <c r="CC8" s="624"/>
      <c r="CD8" s="624"/>
      <c r="CE8" s="624"/>
      <c r="CF8" s="624"/>
      <c r="CG8" s="624"/>
      <c r="CH8" s="624"/>
      <c r="CI8" s="624"/>
      <c r="CJ8" s="624"/>
      <c r="CK8" s="624"/>
      <c r="CL8" s="624"/>
      <c r="CM8" s="624"/>
      <c r="CN8" s="624"/>
      <c r="CO8" s="624"/>
      <c r="CP8" s="624"/>
      <c r="CQ8" s="624"/>
      <c r="CR8" s="624"/>
      <c r="CS8" s="624"/>
      <c r="CT8" s="624"/>
      <c r="CU8" s="624"/>
      <c r="CV8" s="624"/>
      <c r="CW8" s="624"/>
      <c r="CX8" s="624"/>
      <c r="CY8" s="624"/>
      <c r="CZ8" s="624"/>
      <c r="DA8" s="624"/>
      <c r="JH8" s="624"/>
      <c r="JI8" s="624"/>
      <c r="JJ8" s="624"/>
      <c r="JK8" s="624"/>
      <c r="JL8" s="624"/>
      <c r="JM8" s="624"/>
      <c r="JN8" s="624"/>
      <c r="JO8" s="624"/>
      <c r="JP8" s="624"/>
      <c r="JQ8" s="624"/>
      <c r="JR8" s="624"/>
      <c r="JS8" s="624"/>
      <c r="JT8" s="624"/>
      <c r="JU8" s="624"/>
      <c r="JV8" s="624"/>
      <c r="JW8" s="624"/>
      <c r="JX8" s="624"/>
      <c r="JY8" s="624"/>
      <c r="JZ8" s="624"/>
      <c r="KA8" s="624"/>
      <c r="KB8" s="624"/>
      <c r="KC8" s="624"/>
      <c r="KD8" s="624"/>
      <c r="KE8" s="624"/>
      <c r="KF8" s="624"/>
      <c r="KG8" s="624"/>
      <c r="KH8" s="624"/>
      <c r="KI8" s="624"/>
      <c r="KJ8" s="624"/>
      <c r="KK8" s="624"/>
      <c r="KL8" s="624"/>
      <c r="KM8" s="624"/>
      <c r="KN8" s="624"/>
      <c r="KO8" s="624"/>
      <c r="KP8" s="624"/>
      <c r="KQ8" s="624"/>
      <c r="KR8" s="624"/>
      <c r="KS8" s="624"/>
      <c r="KT8" s="624"/>
      <c r="KU8" s="624"/>
      <c r="KV8" s="624"/>
      <c r="KW8" s="624"/>
      <c r="KX8" s="624"/>
      <c r="KY8" s="624"/>
      <c r="KZ8" s="624"/>
      <c r="LA8" s="624"/>
      <c r="LB8" s="624"/>
      <c r="LC8" s="624"/>
      <c r="LD8" s="624"/>
      <c r="LE8" s="624"/>
      <c r="LF8" s="624"/>
      <c r="LG8" s="624"/>
      <c r="LH8" s="624"/>
      <c r="LI8" s="624"/>
      <c r="LJ8" s="624"/>
      <c r="LK8" s="624"/>
      <c r="LL8" s="624"/>
      <c r="LM8" s="624"/>
      <c r="LN8" s="624"/>
      <c r="LO8" s="624"/>
      <c r="LP8" s="624"/>
      <c r="LQ8" s="624"/>
      <c r="LR8" s="624"/>
      <c r="LS8" s="624"/>
      <c r="LT8" s="624"/>
      <c r="LU8" s="624"/>
      <c r="LV8" s="624"/>
      <c r="LW8" s="624"/>
      <c r="LX8" s="624"/>
      <c r="LY8" s="624"/>
      <c r="LZ8" s="624"/>
      <c r="MA8" s="624"/>
      <c r="MB8" s="624"/>
      <c r="MC8" s="624"/>
      <c r="MD8" s="624"/>
      <c r="ME8" s="624"/>
      <c r="MF8" s="624"/>
      <c r="MG8" s="624"/>
      <c r="MH8" s="624"/>
      <c r="MI8" s="624"/>
      <c r="MJ8" s="624"/>
      <c r="MK8" s="624"/>
      <c r="ML8" s="624"/>
      <c r="MM8" s="624"/>
      <c r="MN8" s="624"/>
      <c r="MO8" s="624"/>
      <c r="MP8" s="624"/>
      <c r="MQ8" s="624"/>
      <c r="MR8" s="624"/>
      <c r="MS8" s="624"/>
      <c r="MT8" s="624"/>
      <c r="MU8" s="624"/>
      <c r="MV8" s="624"/>
      <c r="MW8" s="624"/>
      <c r="MX8" s="624"/>
      <c r="MY8" s="624"/>
      <c r="MZ8" s="624"/>
      <c r="NA8" s="624"/>
      <c r="NB8" s="624"/>
      <c r="NC8" s="624"/>
      <c r="ND8" s="624"/>
      <c r="NE8" s="624"/>
      <c r="NF8" s="624"/>
      <c r="NG8" s="624"/>
      <c r="NH8" s="624"/>
      <c r="NI8" s="624"/>
      <c r="NJ8" s="624"/>
      <c r="NK8" s="624"/>
      <c r="NL8" s="624"/>
      <c r="NM8" s="624"/>
      <c r="NN8" s="624"/>
      <c r="NO8" s="624"/>
      <c r="NP8" s="624"/>
      <c r="NQ8" s="624"/>
      <c r="NR8" s="624"/>
      <c r="NS8" s="624"/>
      <c r="NT8" s="624"/>
      <c r="NU8" s="624"/>
      <c r="NV8" s="624"/>
      <c r="NW8" s="624"/>
      <c r="NX8" s="624"/>
      <c r="NY8" s="624"/>
      <c r="NZ8" s="624"/>
      <c r="OA8" s="624"/>
      <c r="OB8" s="624"/>
      <c r="OC8" s="624"/>
      <c r="OD8" s="624"/>
      <c r="OE8" s="624"/>
      <c r="OF8" s="624"/>
      <c r="OG8" s="624"/>
      <c r="OH8" s="624"/>
      <c r="OI8" s="624"/>
      <c r="OJ8" s="624"/>
      <c r="OK8" s="624"/>
      <c r="OL8" s="624"/>
      <c r="OM8" s="624"/>
      <c r="ON8" s="624"/>
      <c r="OO8" s="624"/>
      <c r="OP8" s="624"/>
      <c r="OQ8" s="624"/>
      <c r="OR8" s="624"/>
      <c r="OS8" s="624"/>
      <c r="OT8" s="624"/>
      <c r="OU8" s="624"/>
      <c r="OV8" s="624"/>
      <c r="OW8" s="624"/>
      <c r="OX8" s="624"/>
      <c r="OY8" s="624"/>
      <c r="OZ8" s="624"/>
      <c r="PA8" s="624"/>
      <c r="PB8" s="624"/>
      <c r="PC8" s="624"/>
      <c r="PD8" s="624"/>
      <c r="PE8" s="624"/>
      <c r="PF8" s="624"/>
      <c r="PG8" s="624"/>
      <c r="PH8" s="624"/>
      <c r="PI8" s="624"/>
      <c r="PJ8" s="624"/>
      <c r="PK8" s="624"/>
      <c r="PL8" s="624"/>
      <c r="PM8" s="624"/>
      <c r="PN8" s="624"/>
      <c r="PO8" s="624"/>
      <c r="PP8" s="624"/>
      <c r="PQ8" s="624"/>
      <c r="PR8" s="624"/>
      <c r="PS8" s="624"/>
      <c r="PT8" s="624"/>
      <c r="PU8" s="624"/>
      <c r="PV8" s="624"/>
      <c r="PW8" s="624"/>
      <c r="PX8" s="624"/>
      <c r="PY8" s="624"/>
      <c r="PZ8" s="624"/>
      <c r="QA8" s="624"/>
      <c r="QB8" s="624"/>
      <c r="QC8" s="624"/>
      <c r="QD8" s="624"/>
      <c r="QE8" s="624"/>
      <c r="QF8" s="624"/>
      <c r="QG8" s="624"/>
      <c r="QH8" s="624"/>
      <c r="QI8" s="624"/>
      <c r="QJ8" s="624"/>
      <c r="QK8" s="624"/>
      <c r="QL8" s="624"/>
      <c r="QM8" s="624"/>
      <c r="QN8" s="624"/>
      <c r="QO8" s="624"/>
      <c r="QP8" s="624"/>
      <c r="QQ8" s="624"/>
      <c r="QR8" s="624"/>
      <c r="QS8" s="624"/>
      <c r="QT8" s="624"/>
      <c r="QU8" s="624"/>
      <c r="QV8" s="624"/>
      <c r="QW8" s="624"/>
      <c r="QX8" s="624"/>
      <c r="QY8" s="624"/>
      <c r="QZ8" s="624"/>
      <c r="RA8" s="624"/>
      <c r="RB8" s="624"/>
      <c r="RC8" s="624"/>
      <c r="RD8" s="624"/>
      <c r="RE8" s="624"/>
      <c r="RF8" s="624"/>
      <c r="RG8" s="624"/>
      <c r="RH8" s="624"/>
      <c r="RI8" s="624"/>
      <c r="RJ8" s="624"/>
      <c r="RK8" s="624"/>
      <c r="RL8" s="624"/>
      <c r="RM8" s="624"/>
      <c r="RN8" s="624"/>
      <c r="RO8" s="624"/>
      <c r="RP8" s="624"/>
      <c r="RQ8" s="624"/>
      <c r="RR8" s="624"/>
      <c r="RS8" s="624"/>
      <c r="RT8" s="624"/>
      <c r="RU8" s="624"/>
      <c r="RV8" s="624"/>
      <c r="RW8" s="624"/>
      <c r="RX8" s="624"/>
      <c r="RY8" s="624"/>
      <c r="RZ8" s="624"/>
      <c r="SA8" s="624"/>
      <c r="SB8" s="624"/>
      <c r="SC8" s="624"/>
      <c r="SD8" s="624"/>
      <c r="SE8" s="624"/>
      <c r="SF8" s="624"/>
      <c r="SG8" s="624"/>
      <c r="SH8" s="624"/>
      <c r="SI8" s="624"/>
      <c r="SJ8" s="624"/>
      <c r="SK8" s="624"/>
      <c r="SL8" s="624"/>
      <c r="SM8" s="624"/>
      <c r="SN8" s="624"/>
      <c r="SO8" s="624"/>
      <c r="SP8" s="624"/>
      <c r="SQ8" s="624"/>
      <c r="SR8" s="624"/>
      <c r="SS8" s="624"/>
      <c r="ST8" s="624"/>
      <c r="SU8" s="624"/>
      <c r="SV8" s="624"/>
      <c r="SW8" s="624"/>
      <c r="SX8" s="624"/>
      <c r="SY8" s="624"/>
      <c r="SZ8" s="624"/>
      <c r="TA8" s="624"/>
      <c r="TB8" s="624"/>
      <c r="TC8" s="624"/>
      <c r="TD8" s="624"/>
      <c r="TE8" s="624"/>
      <c r="TF8" s="624"/>
      <c r="TG8" s="624"/>
      <c r="TH8" s="624"/>
      <c r="TI8" s="624"/>
      <c r="TJ8" s="624"/>
      <c r="TK8" s="624"/>
      <c r="TL8" s="624"/>
      <c r="TM8" s="624"/>
      <c r="TN8" s="624"/>
      <c r="TO8" s="624"/>
      <c r="TP8" s="624"/>
      <c r="TQ8" s="624"/>
      <c r="TR8" s="624"/>
      <c r="TS8" s="624"/>
      <c r="TT8" s="624"/>
      <c r="TU8" s="624"/>
      <c r="TV8" s="624"/>
      <c r="TW8" s="624"/>
      <c r="TX8" s="624"/>
      <c r="TY8" s="624"/>
      <c r="TZ8" s="624"/>
      <c r="UA8" s="624"/>
      <c r="UB8" s="624"/>
      <c r="UC8" s="624"/>
      <c r="UD8" s="624"/>
      <c r="UE8" s="624"/>
      <c r="UF8" s="624"/>
      <c r="UG8" s="624"/>
      <c r="UH8" s="624"/>
      <c r="UI8" s="624"/>
      <c r="UJ8" s="624"/>
      <c r="UK8" s="624"/>
      <c r="UL8" s="624"/>
      <c r="UM8" s="624"/>
      <c r="UN8" s="624"/>
      <c r="UO8" s="624"/>
      <c r="UP8" s="624"/>
      <c r="UQ8" s="624"/>
      <c r="UR8" s="624"/>
      <c r="US8" s="624"/>
      <c r="UT8" s="624"/>
      <c r="UU8" s="624"/>
      <c r="UV8" s="624"/>
      <c r="UW8" s="624"/>
      <c r="UX8" s="624"/>
      <c r="UY8" s="624"/>
      <c r="UZ8" s="624"/>
      <c r="VA8" s="624"/>
      <c r="VB8" s="624"/>
      <c r="VC8" s="624"/>
      <c r="VD8" s="624"/>
      <c r="VE8" s="624"/>
      <c r="VF8" s="624"/>
      <c r="VG8" s="624"/>
      <c r="VH8" s="624"/>
      <c r="VI8" s="624"/>
      <c r="VJ8" s="624"/>
      <c r="VK8" s="624"/>
      <c r="VL8" s="624"/>
      <c r="VM8" s="624"/>
      <c r="VN8" s="624"/>
      <c r="VO8" s="624"/>
      <c r="VP8" s="624"/>
      <c r="VQ8" s="624"/>
      <c r="VR8" s="624"/>
      <c r="VS8" s="624"/>
      <c r="VT8" s="624"/>
      <c r="VU8" s="624"/>
      <c r="VV8" s="624"/>
      <c r="VW8" s="624"/>
      <c r="VX8" s="624"/>
      <c r="VY8" s="624"/>
      <c r="VZ8" s="624"/>
      <c r="WA8" s="624"/>
      <c r="WB8" s="624"/>
      <c r="WC8" s="624"/>
      <c r="WD8" s="624"/>
      <c r="WE8" s="624"/>
      <c r="WF8" s="624"/>
      <c r="WG8" s="624"/>
      <c r="WH8" s="624"/>
      <c r="WI8" s="624"/>
      <c r="WJ8" s="624"/>
      <c r="WK8" s="624"/>
      <c r="WL8" s="624"/>
      <c r="WM8" s="624"/>
      <c r="WN8" s="624"/>
      <c r="WO8" s="624"/>
      <c r="WP8" s="624"/>
      <c r="WQ8" s="624"/>
      <c r="WR8" s="624"/>
      <c r="WS8" s="624"/>
      <c r="WT8" s="624"/>
      <c r="WU8" s="624"/>
      <c r="WV8" s="624"/>
      <c r="WW8" s="624"/>
      <c r="WX8" s="624"/>
      <c r="WY8" s="624"/>
      <c r="WZ8" s="624"/>
      <c r="XA8" s="624"/>
      <c r="XB8" s="624"/>
      <c r="XC8" s="624"/>
      <c r="XD8" s="624"/>
      <c r="XE8" s="624"/>
      <c r="XF8" s="624"/>
      <c r="XG8" s="624"/>
      <c r="XH8" s="624"/>
      <c r="XI8" s="624"/>
      <c r="XJ8" s="624"/>
      <c r="XK8" s="624"/>
      <c r="XL8" s="624"/>
      <c r="XM8" s="624"/>
      <c r="XN8" s="624"/>
      <c r="XO8" s="624"/>
      <c r="XP8" s="624"/>
      <c r="XQ8" s="624"/>
      <c r="XR8" s="624"/>
      <c r="XS8" s="624"/>
      <c r="XT8" s="624"/>
      <c r="XU8" s="624"/>
      <c r="XV8" s="624"/>
      <c r="XW8" s="624"/>
      <c r="XX8" s="624"/>
      <c r="XY8" s="624"/>
      <c r="XZ8" s="624"/>
      <c r="YA8" s="624"/>
      <c r="YB8" s="624"/>
      <c r="YC8" s="624"/>
      <c r="YD8" s="624"/>
      <c r="YE8" s="624"/>
      <c r="YF8" s="624"/>
      <c r="YG8" s="624"/>
      <c r="YH8" s="624"/>
      <c r="YI8" s="624"/>
      <c r="YJ8" s="624"/>
      <c r="YK8" s="624"/>
      <c r="YL8" s="624"/>
      <c r="YM8" s="624"/>
      <c r="YN8" s="624"/>
      <c r="YO8" s="624"/>
      <c r="YP8" s="624"/>
      <c r="YQ8" s="624"/>
      <c r="YR8" s="624"/>
      <c r="YS8" s="624"/>
      <c r="YT8" s="624"/>
      <c r="YU8" s="624"/>
      <c r="YV8" s="624"/>
      <c r="YW8" s="624"/>
      <c r="YX8" s="624"/>
      <c r="YY8" s="624"/>
      <c r="YZ8" s="624"/>
      <c r="ZA8" s="624"/>
      <c r="ZB8" s="624"/>
      <c r="ZC8" s="624"/>
      <c r="ZD8" s="624"/>
      <c r="ZE8" s="624"/>
      <c r="ZF8" s="624"/>
      <c r="ZG8" s="624"/>
      <c r="ZH8" s="624"/>
      <c r="ZI8" s="624"/>
      <c r="ZJ8" s="624"/>
      <c r="ZK8" s="624"/>
      <c r="ZL8" s="624"/>
      <c r="ZM8" s="624"/>
      <c r="ZN8" s="624"/>
      <c r="ZO8" s="624"/>
      <c r="ZP8" s="624"/>
      <c r="ZQ8" s="624"/>
      <c r="ZR8" s="624"/>
      <c r="ZS8" s="624"/>
      <c r="ZT8" s="624"/>
      <c r="ZU8" s="624"/>
      <c r="ZV8" s="624"/>
      <c r="ZW8" s="624"/>
      <c r="ZX8" s="624"/>
      <c r="ZY8" s="624"/>
      <c r="ZZ8" s="624"/>
      <c r="AAA8" s="624"/>
      <c r="AAB8" s="624"/>
      <c r="AAC8" s="624"/>
      <c r="AAD8" s="624"/>
      <c r="AAE8" s="624"/>
      <c r="AAF8" s="624"/>
      <c r="AAG8" s="624"/>
      <c r="AAH8" s="624"/>
      <c r="AAI8" s="624"/>
      <c r="AAJ8" s="624"/>
      <c r="AAK8" s="624"/>
      <c r="AAL8" s="624"/>
      <c r="AAM8" s="624"/>
      <c r="AAN8" s="624"/>
      <c r="AAO8" s="624"/>
      <c r="AAP8" s="624"/>
      <c r="AAQ8" s="624"/>
      <c r="AAR8" s="624"/>
      <c r="AAS8" s="624"/>
      <c r="AAT8" s="624"/>
      <c r="AAU8" s="624"/>
      <c r="AAV8" s="624"/>
      <c r="AAW8" s="624"/>
      <c r="AAX8" s="624"/>
      <c r="AAY8" s="624"/>
      <c r="AAZ8" s="624"/>
      <c r="ABA8" s="624"/>
      <c r="ABB8" s="624"/>
      <c r="ABC8" s="624"/>
      <c r="ABD8" s="624"/>
      <c r="ABE8" s="624"/>
      <c r="ABF8" s="624"/>
      <c r="ABG8" s="624"/>
      <c r="ABH8" s="624"/>
      <c r="ABI8" s="624"/>
      <c r="ABJ8" s="624"/>
      <c r="ABK8" s="624"/>
      <c r="ABL8" s="624"/>
      <c r="ABM8" s="624"/>
      <c r="ABN8" s="624"/>
      <c r="ABO8" s="624"/>
      <c r="ABP8" s="624"/>
      <c r="ABQ8" s="624"/>
      <c r="ABR8" s="624"/>
      <c r="ABS8" s="624"/>
      <c r="ABT8" s="624"/>
      <c r="ABU8" s="624"/>
      <c r="ABV8" s="624"/>
      <c r="ABW8" s="624"/>
      <c r="ABX8" s="624"/>
      <c r="ABY8" s="624"/>
      <c r="ABZ8" s="624"/>
      <c r="ACA8" s="624"/>
      <c r="ACB8" s="624"/>
      <c r="ACC8" s="624"/>
      <c r="ACD8" s="624"/>
      <c r="ACE8" s="624"/>
      <c r="ACF8" s="624"/>
      <c r="ACG8" s="624"/>
      <c r="ACH8" s="624"/>
      <c r="ACI8" s="624"/>
      <c r="ACJ8" s="624"/>
      <c r="ACK8" s="624"/>
      <c r="ACL8" s="624"/>
      <c r="ACM8" s="624"/>
      <c r="ACN8" s="624"/>
      <c r="ACO8" s="624"/>
      <c r="ACP8" s="624"/>
      <c r="ACQ8" s="624"/>
      <c r="ACR8" s="624"/>
      <c r="ACS8" s="624"/>
      <c r="ACT8" s="624"/>
      <c r="ACU8" s="624"/>
      <c r="ACV8" s="624"/>
      <c r="ACW8" s="624"/>
      <c r="ACX8" s="624"/>
      <c r="ACY8" s="624"/>
      <c r="ACZ8" s="624"/>
      <c r="ADA8" s="624"/>
      <c r="ADB8" s="624"/>
      <c r="ADC8" s="624"/>
      <c r="ADD8" s="624"/>
      <c r="ADE8" s="624"/>
      <c r="ADF8" s="624"/>
      <c r="ADG8" s="624"/>
      <c r="ADH8" s="624"/>
      <c r="ADI8" s="624"/>
      <c r="ADJ8" s="624"/>
      <c r="ADK8" s="624"/>
      <c r="ADL8" s="624"/>
      <c r="ADM8" s="624"/>
      <c r="ADN8" s="624"/>
      <c r="ADO8" s="624"/>
      <c r="ADP8" s="624"/>
      <c r="ADQ8" s="624"/>
      <c r="ADR8" s="624"/>
      <c r="ADS8" s="624"/>
      <c r="ADT8" s="624"/>
      <c r="ADU8" s="624"/>
      <c r="ADV8" s="624"/>
      <c r="ADW8" s="624"/>
      <c r="ADX8" s="624"/>
      <c r="ADY8" s="624"/>
      <c r="ADZ8" s="624"/>
      <c r="AEA8" s="624"/>
      <c r="AEB8" s="624"/>
      <c r="AEC8" s="624"/>
      <c r="AED8" s="624"/>
      <c r="AEE8" s="624"/>
      <c r="AEF8" s="624"/>
      <c r="AEG8" s="624"/>
      <c r="AEH8" s="624"/>
      <c r="AEI8" s="624"/>
      <c r="AEJ8" s="624"/>
      <c r="AEK8" s="624"/>
      <c r="AEL8" s="624"/>
      <c r="AEM8" s="624"/>
      <c r="AEN8" s="624"/>
      <c r="AEO8" s="624"/>
      <c r="AEP8" s="624"/>
      <c r="AEQ8" s="624"/>
      <c r="AER8" s="624"/>
      <c r="AES8" s="624"/>
      <c r="AET8" s="624"/>
      <c r="AEU8" s="624"/>
      <c r="AEV8" s="624"/>
      <c r="AEW8" s="624"/>
      <c r="AEX8" s="624"/>
      <c r="AEY8" s="624"/>
      <c r="AEZ8" s="624"/>
      <c r="AFA8" s="624"/>
      <c r="AFB8" s="624"/>
      <c r="AFC8" s="624"/>
      <c r="AFD8" s="624"/>
      <c r="AFE8" s="624"/>
      <c r="AFF8" s="624"/>
      <c r="AFG8" s="624"/>
      <c r="AFH8" s="624"/>
      <c r="AFI8" s="624"/>
      <c r="AFJ8" s="624"/>
      <c r="AFK8" s="624"/>
      <c r="AFL8" s="624"/>
      <c r="AFM8" s="624"/>
      <c r="AFN8" s="624"/>
      <c r="AFO8" s="624"/>
      <c r="AFP8" s="624"/>
      <c r="AFQ8" s="624"/>
      <c r="AFR8" s="624"/>
      <c r="AFS8" s="624"/>
      <c r="AFT8" s="624"/>
      <c r="AFU8" s="624"/>
      <c r="AFV8" s="624"/>
      <c r="AFW8" s="624"/>
      <c r="AFX8" s="624"/>
      <c r="AFY8" s="624"/>
      <c r="AFZ8" s="624"/>
      <c r="AGA8" s="624"/>
      <c r="AGB8" s="624"/>
      <c r="AGC8" s="624"/>
      <c r="AGD8" s="624"/>
      <c r="AGE8" s="624"/>
      <c r="AGF8" s="624"/>
      <c r="AGG8" s="624"/>
      <c r="AGH8" s="624"/>
      <c r="AGI8" s="624"/>
      <c r="AGJ8" s="624"/>
      <c r="AGK8" s="624"/>
      <c r="AGL8" s="624"/>
      <c r="AGM8" s="624"/>
      <c r="AGN8" s="624"/>
      <c r="AGO8" s="624"/>
      <c r="AGP8" s="624"/>
      <c r="AGQ8" s="624"/>
      <c r="AGR8" s="624"/>
      <c r="AGS8" s="624"/>
      <c r="AGT8" s="624"/>
      <c r="AGU8" s="624"/>
      <c r="AGV8" s="624"/>
      <c r="AGW8" s="624"/>
      <c r="AGX8" s="624"/>
      <c r="AGY8" s="624"/>
      <c r="AGZ8" s="624"/>
      <c r="AHA8" s="624"/>
      <c r="AHB8" s="624"/>
      <c r="AHC8" s="624"/>
      <c r="AHD8" s="624"/>
      <c r="AHE8" s="624"/>
      <c r="AHF8" s="624"/>
      <c r="AHG8" s="624"/>
      <c r="AHH8" s="624"/>
      <c r="AHI8" s="624"/>
      <c r="AHJ8" s="624"/>
      <c r="AHK8" s="624"/>
      <c r="AHL8" s="624"/>
      <c r="AHM8" s="624"/>
      <c r="AHN8" s="624"/>
      <c r="AHO8" s="624"/>
      <c r="AHP8" s="624"/>
      <c r="AHQ8" s="624"/>
      <c r="AHR8" s="624"/>
      <c r="AHS8" s="624"/>
      <c r="AHT8" s="624"/>
      <c r="AHU8" s="624"/>
      <c r="AHV8" s="624"/>
      <c r="AHW8" s="624"/>
      <c r="AHX8" s="624"/>
      <c r="AHY8" s="624"/>
      <c r="AHZ8" s="624"/>
      <c r="AIA8" s="624"/>
      <c r="AIB8" s="624"/>
      <c r="AIC8" s="624"/>
      <c r="AID8" s="624"/>
      <c r="AIE8" s="624"/>
      <c r="AIF8" s="624"/>
      <c r="AIG8" s="624"/>
      <c r="AIH8" s="624"/>
      <c r="AII8" s="624"/>
      <c r="AIJ8" s="624"/>
      <c r="AIK8" s="624"/>
      <c r="AIL8" s="624"/>
      <c r="AIM8" s="624"/>
      <c r="AIN8" s="624"/>
      <c r="AIO8" s="624"/>
      <c r="AIP8" s="624"/>
      <c r="AIQ8" s="624"/>
      <c r="AIR8" s="624"/>
      <c r="AIS8" s="624"/>
      <c r="AIT8" s="624"/>
      <c r="AIU8" s="624"/>
      <c r="AIV8" s="624"/>
      <c r="AIW8" s="624"/>
      <c r="AIX8" s="624"/>
      <c r="AIY8" s="624"/>
      <c r="AIZ8" s="624"/>
      <c r="AJA8" s="624"/>
      <c r="AJB8" s="624"/>
      <c r="AJC8" s="624"/>
      <c r="AJD8" s="624"/>
      <c r="AJE8" s="624"/>
      <c r="AJF8" s="624"/>
      <c r="AJG8" s="624"/>
      <c r="AJH8" s="624"/>
      <c r="AJI8" s="624"/>
      <c r="AJJ8" s="624"/>
      <c r="AJK8" s="624"/>
      <c r="AJL8" s="624"/>
      <c r="AJM8" s="624"/>
      <c r="AJN8" s="624"/>
      <c r="AJO8" s="624"/>
      <c r="AJP8" s="624"/>
      <c r="AJQ8" s="624"/>
      <c r="AJR8" s="624"/>
      <c r="AJS8" s="624"/>
      <c r="AJT8" s="624"/>
      <c r="AJU8" s="624"/>
      <c r="AJV8" s="624"/>
      <c r="AJW8" s="624"/>
      <c r="AJX8" s="624"/>
      <c r="AJY8" s="624"/>
      <c r="AJZ8" s="624"/>
      <c r="AKA8" s="624"/>
      <c r="AKB8" s="624"/>
      <c r="AKC8" s="624"/>
      <c r="AKD8" s="624"/>
      <c r="AKE8" s="624"/>
      <c r="AKF8" s="624"/>
      <c r="AKG8" s="624"/>
      <c r="AKH8" s="624"/>
      <c r="AKI8" s="624"/>
      <c r="AKJ8" s="624"/>
      <c r="AKK8" s="624"/>
      <c r="AKL8" s="624"/>
      <c r="AKM8" s="624"/>
      <c r="AKN8" s="624"/>
      <c r="AKO8" s="624"/>
      <c r="AKP8" s="624"/>
      <c r="AKQ8" s="624"/>
      <c r="AKR8" s="624"/>
      <c r="AKS8" s="624"/>
      <c r="AKT8" s="624"/>
      <c r="AKU8" s="624"/>
      <c r="AKV8" s="624"/>
      <c r="AKW8" s="624"/>
      <c r="AKX8" s="624"/>
      <c r="AKY8" s="624"/>
      <c r="AKZ8" s="624"/>
      <c r="ALA8" s="624"/>
      <c r="ALB8" s="624"/>
      <c r="ALC8" s="624"/>
      <c r="ALD8" s="624"/>
      <c r="ALE8" s="624"/>
      <c r="ALF8" s="624"/>
      <c r="ALG8" s="624"/>
      <c r="ALH8" s="624"/>
      <c r="ALI8" s="624"/>
      <c r="ALJ8" s="624"/>
      <c r="ALK8" s="624"/>
      <c r="ALL8" s="624"/>
      <c r="ALM8" s="624"/>
      <c r="ALN8" s="624"/>
      <c r="ALO8" s="624"/>
      <c r="ALP8" s="624"/>
      <c r="ALQ8" s="624"/>
      <c r="ALR8" s="624"/>
      <c r="ALS8" s="624"/>
      <c r="ALT8" s="624"/>
      <c r="ALU8" s="624"/>
      <c r="ALV8" s="624"/>
      <c r="ALW8" s="624"/>
      <c r="ALX8" s="624"/>
      <c r="ALY8" s="624"/>
      <c r="ALZ8" s="624"/>
      <c r="AMA8" s="624"/>
      <c r="AMB8" s="624"/>
      <c r="AMC8" s="624"/>
      <c r="AMD8" s="624"/>
      <c r="AME8" s="624"/>
      <c r="AMF8" s="624"/>
      <c r="AMG8" s="624"/>
      <c r="AMH8" s="624"/>
      <c r="AMI8" s="624"/>
      <c r="AMJ8" s="624"/>
      <c r="AMK8" s="624"/>
      <c r="AML8" s="624"/>
      <c r="AMM8" s="624"/>
      <c r="AMN8" s="624"/>
      <c r="AMO8" s="624"/>
      <c r="AMP8" s="624"/>
      <c r="AMQ8" s="624"/>
      <c r="AMR8" s="624"/>
      <c r="AMS8" s="624"/>
      <c r="AMT8" s="624"/>
      <c r="AMU8" s="624"/>
      <c r="AMV8" s="624"/>
      <c r="AMW8" s="624"/>
      <c r="AMX8" s="624"/>
      <c r="AMY8" s="624"/>
      <c r="AMZ8" s="624"/>
      <c r="ANA8" s="624"/>
      <c r="ANB8" s="624"/>
      <c r="ANC8" s="624"/>
      <c r="AND8" s="624"/>
      <c r="ANE8" s="624"/>
      <c r="ANF8" s="624"/>
      <c r="ANG8" s="624"/>
      <c r="ANH8" s="624"/>
      <c r="ANI8" s="624"/>
      <c r="ANJ8" s="624"/>
      <c r="ANK8" s="624"/>
      <c r="ANL8" s="624"/>
      <c r="ANM8" s="624"/>
      <c r="ANN8" s="624"/>
      <c r="ANO8" s="624"/>
      <c r="ANP8" s="624"/>
      <c r="ANQ8" s="624"/>
      <c r="ANR8" s="624"/>
      <c r="WYC8" s="624"/>
      <c r="WYD8" s="624"/>
      <c r="WYE8" s="624"/>
      <c r="WYF8" s="624"/>
      <c r="WYG8" s="624"/>
      <c r="WYH8" s="624"/>
      <c r="WYI8" s="624"/>
      <c r="WYJ8" s="624"/>
      <c r="WYK8" s="624"/>
      <c r="WYL8" s="624"/>
      <c r="WYM8" s="624"/>
      <c r="WYN8" s="624"/>
      <c r="WYO8" s="624"/>
      <c r="WYP8" s="624"/>
      <c r="WYQ8" s="624"/>
      <c r="WYR8" s="624"/>
      <c r="WYS8" s="624"/>
      <c r="WYT8" s="624"/>
      <c r="WYU8" s="624"/>
      <c r="WYV8" s="624"/>
      <c r="WYW8" s="624"/>
      <c r="WYX8" s="624"/>
      <c r="WYY8" s="624"/>
      <c r="WYZ8" s="624"/>
      <c r="WZA8" s="624"/>
      <c r="WZB8" s="624"/>
      <c r="WZC8" s="624"/>
      <c r="WZD8" s="624"/>
      <c r="WZE8" s="624"/>
      <c r="WZF8" s="624"/>
      <c r="WZG8" s="624"/>
      <c r="WZH8" s="624"/>
      <c r="WZI8" s="624"/>
      <c r="WZJ8" s="624"/>
      <c r="WZK8" s="624"/>
      <c r="WZL8" s="624"/>
      <c r="WZM8" s="624"/>
      <c r="WZN8" s="624"/>
      <c r="WZO8" s="624"/>
      <c r="WZP8" s="624"/>
      <c r="WZQ8" s="624"/>
      <c r="WZR8" s="624"/>
      <c r="WZS8" s="624"/>
      <c r="WZT8" s="624"/>
      <c r="WZU8" s="624"/>
      <c r="WZV8" s="624"/>
      <c r="WZW8" s="624"/>
      <c r="WZX8" s="624"/>
      <c r="WZY8" s="624"/>
      <c r="WZZ8" s="624"/>
      <c r="XAA8" s="624"/>
      <c r="XAB8" s="624"/>
      <c r="XAC8" s="624"/>
      <c r="XAD8" s="624"/>
      <c r="XAE8" s="624"/>
      <c r="XAF8" s="624"/>
      <c r="XAG8" s="624"/>
      <c r="XAH8" s="624"/>
      <c r="XAI8" s="624"/>
      <c r="XAJ8" s="624"/>
      <c r="XAK8" s="624"/>
      <c r="XAL8" s="624"/>
      <c r="XAM8" s="624"/>
      <c r="XAN8" s="624"/>
      <c r="XAO8" s="624"/>
      <c r="XAP8" s="624"/>
      <c r="XAQ8" s="624"/>
      <c r="XAR8" s="624"/>
      <c r="XAS8" s="624"/>
      <c r="XAT8" s="624"/>
      <c r="XAU8" s="624"/>
      <c r="XAV8" s="624"/>
      <c r="XAW8" s="624"/>
      <c r="XAX8" s="624"/>
      <c r="XAY8" s="624"/>
      <c r="XAZ8" s="624"/>
      <c r="XBA8" s="624"/>
      <c r="XBB8" s="624"/>
      <c r="XBC8" s="624"/>
      <c r="XBD8" s="624"/>
      <c r="XBE8" s="624"/>
      <c r="XBF8" s="624"/>
      <c r="XBG8" s="624"/>
      <c r="XBH8" s="624"/>
      <c r="XBI8" s="624"/>
      <c r="XBJ8" s="624"/>
      <c r="XBK8" s="624"/>
      <c r="XBL8" s="624"/>
      <c r="XBM8" s="624"/>
      <c r="XBN8" s="624"/>
      <c r="XBO8" s="624"/>
      <c r="XBP8" s="624"/>
      <c r="XBQ8" s="624"/>
      <c r="XBR8" s="624"/>
      <c r="XBS8" s="624"/>
      <c r="XBT8" s="624"/>
      <c r="XBU8" s="624"/>
      <c r="XBV8" s="624"/>
      <c r="XBW8" s="624"/>
      <c r="XBX8" s="624"/>
      <c r="XBY8" s="624"/>
      <c r="XBZ8" s="624"/>
      <c r="XCA8" s="624"/>
      <c r="XCB8" s="624"/>
      <c r="XCC8" s="624"/>
      <c r="XCD8" s="624"/>
      <c r="XCE8" s="624"/>
      <c r="XCF8" s="624"/>
      <c r="XCG8" s="624"/>
      <c r="XCH8" s="624"/>
      <c r="XCI8" s="624"/>
      <c r="XCJ8" s="624"/>
      <c r="XCK8" s="624"/>
      <c r="XCL8" s="624"/>
      <c r="XCM8" s="624"/>
      <c r="XCN8" s="624"/>
      <c r="XCO8" s="624"/>
      <c r="XCP8" s="624"/>
      <c r="XCQ8" s="624"/>
      <c r="XCR8" s="624"/>
      <c r="XCS8" s="624"/>
      <c r="XCT8" s="624"/>
      <c r="XCU8" s="624"/>
      <c r="XCV8" s="624"/>
      <c r="XCW8" s="624"/>
      <c r="XCX8" s="624"/>
      <c r="XCY8" s="624"/>
      <c r="XCZ8" s="624"/>
      <c r="XDA8" s="624"/>
      <c r="XDB8" s="624"/>
      <c r="XDC8" s="624"/>
      <c r="XDD8" s="624"/>
      <c r="XDE8" s="624"/>
      <c r="XDF8" s="624"/>
      <c r="XDG8" s="624"/>
      <c r="XDH8" s="624"/>
      <c r="XDI8" s="624"/>
      <c r="XDJ8" s="624"/>
      <c r="XDK8" s="624"/>
      <c r="XDL8" s="624"/>
      <c r="XDM8" s="624"/>
      <c r="XDN8" s="624"/>
      <c r="XDO8" s="624"/>
      <c r="XDP8" s="624"/>
      <c r="XDQ8" s="624"/>
      <c r="XDR8" s="624"/>
      <c r="XDS8" s="624"/>
      <c r="XDT8" s="624"/>
      <c r="XDU8" s="624"/>
      <c r="XDV8" s="624"/>
      <c r="XDW8" s="624"/>
      <c r="XDX8" s="624"/>
      <c r="XDY8" s="624"/>
      <c r="XDZ8" s="624"/>
      <c r="XEA8" s="624"/>
      <c r="XEB8" s="624"/>
      <c r="XEC8" s="624"/>
      <c r="XED8" s="624"/>
      <c r="XEE8" s="624"/>
      <c r="XEF8" s="624"/>
      <c r="XEG8" s="624"/>
      <c r="XEH8" s="624"/>
      <c r="XEI8" s="624"/>
      <c r="XEJ8" s="624"/>
      <c r="XEK8" s="624"/>
      <c r="XEL8" s="624"/>
      <c r="XEM8" s="624"/>
      <c r="XEN8" s="624"/>
      <c r="XEO8" s="624"/>
      <c r="XEP8" s="624"/>
      <c r="XEQ8" s="624"/>
      <c r="XER8" s="624"/>
      <c r="XES8" s="624"/>
      <c r="XET8" s="624"/>
      <c r="XEU8" s="624"/>
      <c r="XEV8" s="624"/>
      <c r="XEW8" s="624"/>
      <c r="XEX8" s="624"/>
      <c r="XEY8" s="624"/>
      <c r="XEZ8" s="624"/>
      <c r="XFA8" s="624"/>
      <c r="XFB8" s="624"/>
      <c r="XFC8" s="624"/>
      <c r="XFD8" s="624"/>
    </row>
    <row r="9" spans="1:1058 16201:16384">
      <c r="A9" s="624"/>
      <c r="B9" s="866"/>
      <c r="C9" s="149"/>
      <c r="D9" s="149"/>
      <c r="E9" s="149"/>
      <c r="F9" s="149"/>
      <c r="G9" s="149"/>
      <c r="H9" s="149"/>
      <c r="I9" s="149"/>
      <c r="J9" s="149"/>
      <c r="K9" s="149"/>
      <c r="L9" s="149"/>
      <c r="M9" s="149"/>
      <c r="N9" s="223"/>
      <c r="O9" s="223"/>
      <c r="P9" s="223"/>
      <c r="Q9" s="223"/>
      <c r="R9" s="223"/>
      <c r="S9" s="223"/>
      <c r="T9" s="223"/>
      <c r="U9" s="223"/>
      <c r="V9" s="223"/>
      <c r="W9" s="223"/>
      <c r="X9" s="223"/>
      <c r="Y9" s="223"/>
      <c r="Z9" s="223"/>
      <c r="AA9" s="223"/>
      <c r="AB9" s="223"/>
      <c r="AC9" s="223"/>
      <c r="AD9" s="223"/>
      <c r="AE9" s="223"/>
      <c r="AF9" s="223"/>
      <c r="AG9" s="223"/>
      <c r="AH9" s="223"/>
      <c r="AI9" s="223"/>
      <c r="AJ9" s="223"/>
      <c r="AK9" s="223"/>
      <c r="AL9" s="223"/>
      <c r="AM9" s="223"/>
      <c r="AN9" s="223"/>
      <c r="AO9" s="223"/>
      <c r="AP9" s="223"/>
      <c r="AQ9" s="223"/>
      <c r="AR9" s="223"/>
      <c r="AS9" s="223"/>
      <c r="AT9" s="223"/>
      <c r="AU9" s="223"/>
      <c r="AV9" s="223"/>
      <c r="AW9" s="223"/>
      <c r="AX9" s="223"/>
      <c r="AY9" s="223"/>
      <c r="AZ9" s="223"/>
      <c r="BA9" s="223"/>
      <c r="BB9" s="223"/>
      <c r="BC9" s="223"/>
      <c r="BD9" s="223"/>
      <c r="BE9" s="223"/>
      <c r="BF9" s="223"/>
      <c r="BG9" s="223"/>
      <c r="BH9" s="223"/>
      <c r="BI9" s="223"/>
      <c r="BJ9" s="223"/>
      <c r="BK9" s="223"/>
      <c r="BL9" s="223"/>
      <c r="BM9" s="223"/>
      <c r="BN9" s="223"/>
      <c r="BO9" s="223"/>
      <c r="BP9" s="223"/>
      <c r="BQ9" s="223"/>
      <c r="BR9" s="223"/>
      <c r="BS9" s="223"/>
      <c r="BT9" s="223"/>
      <c r="BU9" s="223"/>
      <c r="BV9" s="223"/>
      <c r="BW9" s="223"/>
      <c r="BX9" s="223"/>
      <c r="BY9" s="223"/>
      <c r="BZ9" s="223"/>
      <c r="CA9" s="223"/>
      <c r="CB9" s="223"/>
      <c r="CC9" s="223"/>
      <c r="CD9" s="223"/>
      <c r="CE9" s="223"/>
      <c r="CF9" s="223"/>
      <c r="CG9" s="223"/>
      <c r="CH9" s="223"/>
      <c r="CI9" s="223"/>
      <c r="CJ9" s="223"/>
      <c r="CK9" s="223"/>
      <c r="CL9" s="223"/>
      <c r="CM9" s="223"/>
      <c r="CN9" s="223"/>
      <c r="CO9" s="223"/>
      <c r="CP9" s="223"/>
      <c r="CQ9" s="223"/>
      <c r="CR9" s="223"/>
      <c r="CS9" s="223"/>
      <c r="CT9" s="223"/>
      <c r="CU9" s="223"/>
      <c r="CV9" s="223"/>
      <c r="CW9" s="223"/>
      <c r="CX9" s="223"/>
      <c r="CY9" s="223"/>
      <c r="CZ9" s="223"/>
      <c r="DA9" s="223"/>
      <c r="JH9" s="223"/>
      <c r="JI9" s="223"/>
      <c r="JJ9" s="223"/>
      <c r="JK9" s="223"/>
      <c r="JL9" s="223"/>
      <c r="JM9" s="223"/>
      <c r="JN9" s="223"/>
      <c r="JO9" s="223"/>
      <c r="JP9" s="223"/>
      <c r="JQ9" s="223"/>
      <c r="JR9" s="223"/>
      <c r="JS9" s="223"/>
      <c r="JT9" s="223"/>
      <c r="JU9" s="223"/>
      <c r="JV9" s="223"/>
      <c r="JW9" s="223"/>
      <c r="JX9" s="223"/>
      <c r="JY9" s="223"/>
      <c r="JZ9" s="223"/>
      <c r="KA9" s="223"/>
      <c r="KB9" s="223"/>
      <c r="KC9" s="223"/>
      <c r="KD9" s="223"/>
      <c r="KE9" s="223"/>
      <c r="KF9" s="223"/>
      <c r="KG9" s="223"/>
      <c r="KH9" s="223"/>
      <c r="KI9" s="223"/>
      <c r="KJ9" s="223"/>
      <c r="KK9" s="223"/>
      <c r="KL9" s="223"/>
      <c r="KM9" s="223"/>
      <c r="KN9" s="223"/>
      <c r="KO9" s="223"/>
      <c r="KP9" s="223"/>
      <c r="KQ9" s="223"/>
      <c r="KR9" s="223"/>
      <c r="KS9" s="223"/>
      <c r="KT9" s="223"/>
      <c r="KU9" s="223"/>
      <c r="KV9" s="223"/>
      <c r="KW9" s="223"/>
      <c r="KX9" s="223"/>
      <c r="KY9" s="223"/>
      <c r="KZ9" s="223"/>
      <c r="LA9" s="223"/>
      <c r="LB9" s="223"/>
      <c r="LC9" s="223"/>
      <c r="LD9" s="223"/>
      <c r="LE9" s="223"/>
      <c r="LF9" s="223"/>
      <c r="LG9" s="223"/>
      <c r="LH9" s="223"/>
      <c r="LI9" s="223"/>
      <c r="LJ9" s="223"/>
      <c r="LK9" s="223"/>
      <c r="LL9" s="223"/>
      <c r="LM9" s="223"/>
      <c r="LN9" s="223"/>
      <c r="LO9" s="223"/>
      <c r="LP9" s="223"/>
      <c r="LQ9" s="223"/>
      <c r="LR9" s="223"/>
      <c r="LS9" s="223"/>
      <c r="LT9" s="223"/>
      <c r="LU9" s="223"/>
      <c r="LV9" s="223"/>
      <c r="LW9" s="223"/>
      <c r="LX9" s="223"/>
      <c r="LY9" s="223"/>
      <c r="LZ9" s="223"/>
      <c r="MA9" s="223"/>
      <c r="MB9" s="223"/>
      <c r="MC9" s="223"/>
      <c r="MD9" s="223"/>
      <c r="ME9" s="223"/>
      <c r="MF9" s="223"/>
      <c r="MG9" s="223"/>
      <c r="MH9" s="223"/>
      <c r="MI9" s="223"/>
      <c r="MJ9" s="223"/>
      <c r="MK9" s="223"/>
      <c r="ML9" s="223"/>
      <c r="MM9" s="223"/>
      <c r="MN9" s="223"/>
      <c r="MO9" s="223"/>
      <c r="MP9" s="223"/>
      <c r="MQ9" s="223"/>
      <c r="MR9" s="223"/>
      <c r="MS9" s="223"/>
      <c r="MT9" s="223"/>
      <c r="MU9" s="223"/>
      <c r="MV9" s="223"/>
      <c r="MW9" s="223"/>
      <c r="MX9" s="223"/>
      <c r="MY9" s="223"/>
      <c r="MZ9" s="223"/>
      <c r="NA9" s="223"/>
      <c r="NB9" s="223"/>
      <c r="NC9" s="223"/>
      <c r="ND9" s="223"/>
      <c r="NE9" s="223"/>
      <c r="NF9" s="223"/>
      <c r="NG9" s="223"/>
      <c r="NH9" s="223"/>
      <c r="NI9" s="223"/>
      <c r="NJ9" s="223"/>
      <c r="NK9" s="223"/>
      <c r="NL9" s="223"/>
      <c r="NM9" s="223"/>
      <c r="NN9" s="223"/>
      <c r="NO9" s="223"/>
      <c r="NP9" s="223"/>
      <c r="NQ9" s="223"/>
      <c r="NR9" s="223"/>
      <c r="NS9" s="223"/>
      <c r="NT9" s="223"/>
      <c r="NU9" s="223"/>
      <c r="NV9" s="223"/>
      <c r="NW9" s="223"/>
      <c r="NX9" s="223"/>
      <c r="NY9" s="223"/>
      <c r="NZ9" s="223"/>
      <c r="OA9" s="223"/>
      <c r="OB9" s="223"/>
      <c r="OC9" s="223"/>
      <c r="OD9" s="223"/>
      <c r="OE9" s="223"/>
      <c r="OF9" s="223"/>
      <c r="OG9" s="223"/>
      <c r="OH9" s="223"/>
      <c r="OI9" s="223"/>
      <c r="OJ9" s="223"/>
      <c r="OK9" s="223"/>
      <c r="OL9" s="223"/>
      <c r="OM9" s="223"/>
      <c r="ON9" s="223"/>
      <c r="OO9" s="223"/>
      <c r="OP9" s="223"/>
      <c r="OQ9" s="223"/>
      <c r="OR9" s="223"/>
      <c r="OS9" s="223"/>
      <c r="OT9" s="223"/>
      <c r="OU9" s="223"/>
      <c r="OV9" s="223"/>
      <c r="OW9" s="223"/>
      <c r="OX9" s="223"/>
      <c r="OY9" s="223"/>
      <c r="OZ9" s="223"/>
      <c r="PA9" s="223"/>
      <c r="PB9" s="223"/>
      <c r="PC9" s="223"/>
      <c r="PD9" s="223"/>
      <c r="PE9" s="223"/>
      <c r="PF9" s="223"/>
      <c r="PG9" s="223"/>
      <c r="PH9" s="223"/>
      <c r="PI9" s="223"/>
      <c r="PJ9" s="223"/>
      <c r="PK9" s="223"/>
      <c r="PL9" s="223"/>
      <c r="PM9" s="223"/>
      <c r="PN9" s="223"/>
      <c r="PO9" s="223"/>
      <c r="PP9" s="223"/>
      <c r="PQ9" s="223"/>
      <c r="PR9" s="223"/>
      <c r="PS9" s="223"/>
      <c r="PT9" s="223"/>
      <c r="PU9" s="223"/>
      <c r="PV9" s="223"/>
      <c r="PW9" s="223"/>
      <c r="PX9" s="223"/>
      <c r="PY9" s="223"/>
      <c r="PZ9" s="223"/>
      <c r="QA9" s="223"/>
      <c r="QB9" s="223"/>
      <c r="QC9" s="223"/>
      <c r="QD9" s="223"/>
      <c r="QE9" s="223"/>
      <c r="QF9" s="223"/>
      <c r="QG9" s="223"/>
      <c r="QH9" s="223"/>
      <c r="QI9" s="223"/>
      <c r="QJ9" s="223"/>
      <c r="QK9" s="223"/>
      <c r="QL9" s="223"/>
      <c r="QM9" s="223"/>
      <c r="QN9" s="223"/>
      <c r="QO9" s="223"/>
      <c r="QP9" s="223"/>
      <c r="QQ9" s="223"/>
      <c r="QR9" s="223"/>
      <c r="QS9" s="223"/>
      <c r="QT9" s="223"/>
      <c r="QU9" s="223"/>
      <c r="QV9" s="223"/>
      <c r="QW9" s="223"/>
      <c r="QX9" s="223"/>
      <c r="QY9" s="223"/>
      <c r="QZ9" s="223"/>
      <c r="RA9" s="223"/>
      <c r="RB9" s="223"/>
      <c r="RC9" s="223"/>
      <c r="RD9" s="223"/>
      <c r="RE9" s="223"/>
      <c r="RF9" s="223"/>
      <c r="RG9" s="223"/>
      <c r="RH9" s="223"/>
      <c r="RI9" s="223"/>
      <c r="RJ9" s="223"/>
      <c r="RK9" s="223"/>
      <c r="RL9" s="223"/>
      <c r="RM9" s="223"/>
      <c r="RN9" s="223"/>
      <c r="RO9" s="223"/>
      <c r="RP9" s="223"/>
      <c r="RQ9" s="223"/>
      <c r="RR9" s="223"/>
      <c r="RS9" s="223"/>
      <c r="RT9" s="223"/>
      <c r="RU9" s="223"/>
      <c r="RV9" s="223"/>
      <c r="RW9" s="223"/>
      <c r="RX9" s="223"/>
      <c r="RY9" s="223"/>
      <c r="RZ9" s="223"/>
      <c r="SA9" s="223"/>
      <c r="SB9" s="223"/>
      <c r="SC9" s="223"/>
      <c r="SD9" s="223"/>
      <c r="SE9" s="223"/>
      <c r="SF9" s="223"/>
      <c r="SG9" s="223"/>
      <c r="SH9" s="223"/>
      <c r="SI9" s="223"/>
      <c r="SJ9" s="223"/>
      <c r="SK9" s="223"/>
      <c r="SL9" s="223"/>
      <c r="SM9" s="223"/>
      <c r="SN9" s="223"/>
      <c r="SO9" s="223"/>
      <c r="SP9" s="223"/>
      <c r="SQ9" s="223"/>
      <c r="SR9" s="223"/>
      <c r="SS9" s="223"/>
      <c r="ST9" s="223"/>
      <c r="SU9" s="223"/>
      <c r="SV9" s="223"/>
      <c r="SW9" s="223"/>
      <c r="SX9" s="223"/>
      <c r="SY9" s="223"/>
      <c r="SZ9" s="223"/>
      <c r="TA9" s="223"/>
      <c r="TB9" s="223"/>
      <c r="TC9" s="223"/>
      <c r="TD9" s="223"/>
      <c r="TE9" s="223"/>
      <c r="TF9" s="223"/>
      <c r="TG9" s="223"/>
      <c r="TH9" s="223"/>
      <c r="TI9" s="223"/>
      <c r="TJ9" s="223"/>
      <c r="TK9" s="223"/>
      <c r="TL9" s="223"/>
      <c r="TM9" s="223"/>
      <c r="TN9" s="223"/>
      <c r="TO9" s="223"/>
      <c r="TP9" s="223"/>
      <c r="TQ9" s="223"/>
      <c r="TR9" s="223"/>
      <c r="TS9" s="223"/>
      <c r="TT9" s="223"/>
      <c r="TU9" s="223"/>
      <c r="TV9" s="223"/>
      <c r="TW9" s="223"/>
      <c r="TX9" s="223"/>
      <c r="TY9" s="223"/>
      <c r="TZ9" s="223"/>
      <c r="UA9" s="223"/>
      <c r="UB9" s="223"/>
      <c r="UC9" s="223"/>
      <c r="UD9" s="223"/>
      <c r="UE9" s="223"/>
      <c r="UF9" s="223"/>
      <c r="UG9" s="223"/>
      <c r="UH9" s="223"/>
      <c r="UI9" s="223"/>
      <c r="UJ9" s="223"/>
      <c r="UK9" s="223"/>
      <c r="UL9" s="223"/>
      <c r="UM9" s="223"/>
      <c r="UN9" s="223"/>
      <c r="UO9" s="223"/>
      <c r="UP9" s="223"/>
      <c r="UQ9" s="223"/>
      <c r="UR9" s="223"/>
      <c r="US9" s="223"/>
      <c r="UT9" s="223"/>
      <c r="UU9" s="223"/>
      <c r="UV9" s="223"/>
      <c r="UW9" s="223"/>
      <c r="UX9" s="223"/>
      <c r="UY9" s="223"/>
      <c r="UZ9" s="223"/>
      <c r="VA9" s="223"/>
      <c r="VB9" s="223"/>
      <c r="VC9" s="223"/>
      <c r="VD9" s="223"/>
      <c r="VE9" s="223"/>
      <c r="VF9" s="223"/>
      <c r="VG9" s="223"/>
      <c r="VH9" s="223"/>
      <c r="VI9" s="223"/>
      <c r="VJ9" s="223"/>
      <c r="VK9" s="223"/>
      <c r="VL9" s="223"/>
      <c r="VM9" s="223"/>
      <c r="VN9" s="223"/>
      <c r="VO9" s="223"/>
      <c r="VP9" s="223"/>
      <c r="VQ9" s="223"/>
      <c r="VR9" s="223"/>
      <c r="VS9" s="223"/>
      <c r="VT9" s="223"/>
      <c r="VU9" s="223"/>
      <c r="VV9" s="223"/>
      <c r="VW9" s="223"/>
      <c r="VX9" s="223"/>
      <c r="VY9" s="223"/>
      <c r="VZ9" s="223"/>
      <c r="WA9" s="223"/>
      <c r="WB9" s="223"/>
      <c r="WC9" s="223"/>
      <c r="WD9" s="223"/>
      <c r="WE9" s="223"/>
      <c r="WF9" s="223"/>
      <c r="WG9" s="223"/>
      <c r="WH9" s="223"/>
      <c r="WI9" s="223"/>
      <c r="WJ9" s="223"/>
      <c r="WK9" s="223"/>
      <c r="WL9" s="223"/>
      <c r="WM9" s="223"/>
      <c r="WN9" s="223"/>
      <c r="WO9" s="223"/>
      <c r="WP9" s="223"/>
      <c r="WQ9" s="223"/>
      <c r="WR9" s="223"/>
      <c r="WS9" s="223"/>
      <c r="WT9" s="223"/>
      <c r="WU9" s="223"/>
      <c r="WV9" s="223"/>
      <c r="WW9" s="223"/>
      <c r="WX9" s="223"/>
      <c r="WY9" s="223"/>
      <c r="WZ9" s="223"/>
      <c r="XA9" s="223"/>
      <c r="XB9" s="223"/>
      <c r="XC9" s="223"/>
      <c r="XD9" s="223"/>
      <c r="XE9" s="223"/>
      <c r="XF9" s="223"/>
      <c r="XG9" s="223"/>
      <c r="XH9" s="223"/>
      <c r="XI9" s="223"/>
      <c r="XJ9" s="223"/>
      <c r="XK9" s="223"/>
      <c r="XL9" s="223"/>
      <c r="XM9" s="223"/>
      <c r="XN9" s="223"/>
      <c r="XO9" s="223"/>
      <c r="XP9" s="223"/>
      <c r="XQ9" s="223"/>
      <c r="XR9" s="223"/>
      <c r="XS9" s="223"/>
      <c r="XT9" s="223"/>
      <c r="XU9" s="223"/>
      <c r="XV9" s="223"/>
      <c r="XW9" s="223"/>
      <c r="XX9" s="223"/>
      <c r="XY9" s="223"/>
      <c r="XZ9" s="223"/>
      <c r="YA9" s="223"/>
      <c r="YB9" s="223"/>
      <c r="YC9" s="223"/>
      <c r="YD9" s="223"/>
      <c r="YE9" s="223"/>
      <c r="YF9" s="223"/>
      <c r="YG9" s="223"/>
      <c r="YH9" s="223"/>
      <c r="YI9" s="223"/>
      <c r="YJ9" s="223"/>
      <c r="YK9" s="223"/>
      <c r="YL9" s="223"/>
      <c r="YM9" s="223"/>
      <c r="YN9" s="223"/>
      <c r="YO9" s="223"/>
      <c r="YP9" s="223"/>
      <c r="YQ9" s="223"/>
      <c r="YR9" s="223"/>
      <c r="YS9" s="223"/>
      <c r="YT9" s="223"/>
      <c r="YU9" s="223"/>
      <c r="YV9" s="223"/>
      <c r="YW9" s="223"/>
      <c r="YX9" s="223"/>
      <c r="YY9" s="223"/>
      <c r="YZ9" s="223"/>
      <c r="ZA9" s="223"/>
      <c r="ZB9" s="223"/>
      <c r="ZC9" s="223"/>
      <c r="ZD9" s="223"/>
      <c r="ZE9" s="223"/>
      <c r="ZF9" s="223"/>
      <c r="ZG9" s="223"/>
      <c r="ZH9" s="223"/>
      <c r="ZI9" s="223"/>
      <c r="ZJ9" s="223"/>
      <c r="ZK9" s="223"/>
      <c r="ZL9" s="223"/>
      <c r="ZM9" s="223"/>
      <c r="ZN9" s="223"/>
      <c r="ZO9" s="223"/>
      <c r="ZP9" s="223"/>
      <c r="ZQ9" s="223"/>
      <c r="ZR9" s="223"/>
      <c r="ZS9" s="223"/>
      <c r="ZT9" s="223"/>
      <c r="ZU9" s="223"/>
      <c r="ZV9" s="223"/>
      <c r="ZW9" s="223"/>
      <c r="ZX9" s="223"/>
      <c r="ZY9" s="223"/>
      <c r="ZZ9" s="223"/>
      <c r="AAA9" s="223"/>
      <c r="AAB9" s="223"/>
      <c r="AAC9" s="223"/>
      <c r="AAD9" s="223"/>
      <c r="AAE9" s="223"/>
      <c r="AAF9" s="223"/>
      <c r="AAG9" s="223"/>
      <c r="AAH9" s="223"/>
      <c r="AAI9" s="223"/>
      <c r="AAJ9" s="223"/>
      <c r="AAK9" s="223"/>
      <c r="AAL9" s="223"/>
      <c r="AAM9" s="223"/>
      <c r="AAN9" s="223"/>
      <c r="AAO9" s="223"/>
      <c r="AAP9" s="223"/>
      <c r="AAQ9" s="223"/>
      <c r="AAR9" s="223"/>
      <c r="AAS9" s="223"/>
      <c r="AAT9" s="223"/>
      <c r="AAU9" s="223"/>
      <c r="AAV9" s="223"/>
      <c r="AAW9" s="223"/>
      <c r="AAX9" s="223"/>
      <c r="AAY9" s="223"/>
      <c r="AAZ9" s="223"/>
      <c r="ABA9" s="223"/>
      <c r="ABB9" s="223"/>
      <c r="ABC9" s="223"/>
      <c r="ABD9" s="223"/>
      <c r="ABE9" s="223"/>
      <c r="ABF9" s="223"/>
      <c r="ABG9" s="223"/>
      <c r="ABH9" s="223"/>
      <c r="ABI9" s="223"/>
      <c r="ABJ9" s="223"/>
      <c r="ABK9" s="223"/>
      <c r="ABL9" s="223"/>
      <c r="ABM9" s="223"/>
      <c r="ABN9" s="223"/>
      <c r="ABO9" s="223"/>
      <c r="ABP9" s="223"/>
      <c r="ABQ9" s="223"/>
      <c r="ABR9" s="223"/>
      <c r="ABS9" s="223"/>
      <c r="ABT9" s="223"/>
      <c r="ABU9" s="223"/>
      <c r="ABV9" s="223"/>
      <c r="ABW9" s="223"/>
      <c r="ABX9" s="223"/>
      <c r="ABY9" s="223"/>
      <c r="ABZ9" s="223"/>
      <c r="ACA9" s="223"/>
      <c r="ACB9" s="223"/>
      <c r="ACC9" s="223"/>
      <c r="ACD9" s="223"/>
      <c r="ACE9" s="223"/>
      <c r="ACF9" s="223"/>
      <c r="ACG9" s="223"/>
      <c r="ACH9" s="223"/>
      <c r="ACI9" s="223"/>
      <c r="ACJ9" s="223"/>
      <c r="ACK9" s="223"/>
      <c r="ACL9" s="223"/>
      <c r="ACM9" s="223"/>
      <c r="ACN9" s="223"/>
      <c r="ACO9" s="223"/>
      <c r="ACP9" s="223"/>
      <c r="ACQ9" s="223"/>
      <c r="ACR9" s="223"/>
      <c r="ACS9" s="223"/>
      <c r="ACT9" s="223"/>
      <c r="ACU9" s="223"/>
      <c r="ACV9" s="223"/>
      <c r="ACW9" s="223"/>
      <c r="ACX9" s="223"/>
      <c r="ACY9" s="223"/>
      <c r="ACZ9" s="223"/>
      <c r="ADA9" s="223"/>
      <c r="ADB9" s="223"/>
      <c r="ADC9" s="223"/>
      <c r="ADD9" s="223"/>
      <c r="ADE9" s="223"/>
      <c r="ADF9" s="223"/>
      <c r="ADG9" s="223"/>
      <c r="ADH9" s="223"/>
      <c r="ADI9" s="223"/>
      <c r="ADJ9" s="223"/>
      <c r="ADK9" s="223"/>
      <c r="ADL9" s="223"/>
      <c r="ADM9" s="223"/>
      <c r="ADN9" s="223"/>
      <c r="ADO9" s="223"/>
      <c r="ADP9" s="223"/>
      <c r="ADQ9" s="223"/>
      <c r="ADR9" s="223"/>
      <c r="ADS9" s="223"/>
      <c r="ADT9" s="223"/>
      <c r="ADU9" s="223"/>
      <c r="ADV9" s="223"/>
      <c r="ADW9" s="223"/>
      <c r="ADX9" s="223"/>
      <c r="ADY9" s="223"/>
      <c r="ADZ9" s="223"/>
      <c r="AEA9" s="223"/>
      <c r="AEB9" s="223"/>
      <c r="AEC9" s="223"/>
      <c r="AED9" s="223"/>
      <c r="AEE9" s="223"/>
      <c r="AEF9" s="223"/>
      <c r="AEG9" s="223"/>
      <c r="AEH9" s="223"/>
      <c r="AEI9" s="223"/>
      <c r="AEJ9" s="223"/>
      <c r="AEK9" s="223"/>
      <c r="AEL9" s="223"/>
      <c r="AEM9" s="223"/>
      <c r="AEN9" s="223"/>
      <c r="AEO9" s="223"/>
      <c r="AEP9" s="223"/>
      <c r="AEQ9" s="223"/>
      <c r="AER9" s="223"/>
      <c r="AES9" s="223"/>
      <c r="AET9" s="223"/>
      <c r="AEU9" s="223"/>
      <c r="AEV9" s="223"/>
      <c r="AEW9" s="223"/>
      <c r="AEX9" s="223"/>
      <c r="AEY9" s="223"/>
      <c r="AEZ9" s="223"/>
      <c r="AFA9" s="223"/>
      <c r="AFB9" s="223"/>
      <c r="AFC9" s="223"/>
      <c r="AFD9" s="223"/>
      <c r="AFE9" s="223"/>
      <c r="AFF9" s="223"/>
      <c r="AFG9" s="223"/>
      <c r="AFH9" s="223"/>
      <c r="AFI9" s="223"/>
      <c r="AFJ9" s="223"/>
      <c r="AFK9" s="223"/>
      <c r="AFL9" s="223"/>
      <c r="AFM9" s="223"/>
      <c r="AFN9" s="223"/>
      <c r="AFO9" s="223"/>
      <c r="AFP9" s="223"/>
      <c r="AFQ9" s="223"/>
      <c r="AFR9" s="223"/>
      <c r="AFS9" s="223"/>
      <c r="AFT9" s="223"/>
      <c r="AFU9" s="223"/>
      <c r="AFV9" s="223"/>
      <c r="AFW9" s="223"/>
      <c r="AFX9" s="223"/>
      <c r="AFY9" s="223"/>
      <c r="AFZ9" s="223"/>
      <c r="AGA9" s="223"/>
      <c r="AGB9" s="223"/>
      <c r="AGC9" s="223"/>
      <c r="AGD9" s="223"/>
      <c r="AGE9" s="223"/>
      <c r="AGF9" s="223"/>
      <c r="AGG9" s="223"/>
      <c r="AGH9" s="223"/>
      <c r="AGI9" s="223"/>
      <c r="AGJ9" s="223"/>
      <c r="AGK9" s="223"/>
      <c r="AGL9" s="223"/>
      <c r="AGM9" s="223"/>
      <c r="AGN9" s="223"/>
      <c r="AGO9" s="223"/>
      <c r="AGP9" s="223"/>
      <c r="AGQ9" s="223"/>
      <c r="AGR9" s="223"/>
      <c r="AGS9" s="223"/>
      <c r="AGT9" s="223"/>
      <c r="AGU9" s="223"/>
      <c r="AGV9" s="223"/>
      <c r="AGW9" s="223"/>
      <c r="AGX9" s="223"/>
      <c r="AGY9" s="223"/>
      <c r="AGZ9" s="223"/>
      <c r="AHA9" s="223"/>
      <c r="AHB9" s="223"/>
      <c r="AHC9" s="223"/>
      <c r="AHD9" s="223"/>
      <c r="AHE9" s="223"/>
      <c r="AHF9" s="223"/>
      <c r="AHG9" s="223"/>
      <c r="AHH9" s="223"/>
      <c r="AHI9" s="223"/>
      <c r="AHJ9" s="223"/>
      <c r="AHK9" s="223"/>
      <c r="AHL9" s="223"/>
      <c r="AHM9" s="223"/>
      <c r="AHN9" s="223"/>
      <c r="AHO9" s="223"/>
      <c r="AHP9" s="223"/>
      <c r="AHQ9" s="223"/>
      <c r="AHR9" s="223"/>
      <c r="AHS9" s="223"/>
      <c r="AHT9" s="223"/>
      <c r="AHU9" s="223"/>
      <c r="AHV9" s="223"/>
      <c r="AHW9" s="223"/>
      <c r="AHX9" s="223"/>
      <c r="AHY9" s="223"/>
      <c r="AHZ9" s="223"/>
      <c r="AIA9" s="223"/>
      <c r="AIB9" s="223"/>
      <c r="AIC9" s="223"/>
      <c r="AID9" s="223"/>
      <c r="AIE9" s="223"/>
      <c r="AIF9" s="223"/>
      <c r="AIG9" s="223"/>
      <c r="AIH9" s="223"/>
      <c r="AII9" s="223"/>
      <c r="AIJ9" s="223"/>
      <c r="AIK9" s="223"/>
      <c r="AIL9" s="223"/>
      <c r="AIM9" s="223"/>
      <c r="AIN9" s="223"/>
      <c r="AIO9" s="223"/>
      <c r="AIP9" s="223"/>
      <c r="AIQ9" s="223"/>
      <c r="AIR9" s="223"/>
      <c r="AIS9" s="223"/>
      <c r="AIT9" s="223"/>
      <c r="AIU9" s="223"/>
      <c r="AIV9" s="223"/>
      <c r="AIW9" s="223"/>
      <c r="AIX9" s="223"/>
      <c r="AIY9" s="223"/>
      <c r="AIZ9" s="223"/>
      <c r="AJA9" s="223"/>
      <c r="AJB9" s="223"/>
      <c r="AJC9" s="223"/>
      <c r="AJD9" s="223"/>
      <c r="AJE9" s="223"/>
      <c r="AJF9" s="223"/>
      <c r="AJG9" s="223"/>
      <c r="AJH9" s="223"/>
      <c r="AJI9" s="223"/>
      <c r="AJJ9" s="223"/>
      <c r="AJK9" s="223"/>
      <c r="AJL9" s="223"/>
      <c r="AJM9" s="223"/>
      <c r="AJN9" s="223"/>
      <c r="AJO9" s="223"/>
      <c r="AJP9" s="223"/>
      <c r="AJQ9" s="223"/>
      <c r="AJR9" s="223"/>
      <c r="AJS9" s="223"/>
      <c r="AJT9" s="223"/>
      <c r="AJU9" s="223"/>
      <c r="AJV9" s="223"/>
      <c r="AJW9" s="223"/>
      <c r="AJX9" s="223"/>
      <c r="AJY9" s="223"/>
      <c r="AJZ9" s="223"/>
      <c r="AKA9" s="223"/>
      <c r="AKB9" s="223"/>
      <c r="AKC9" s="223"/>
      <c r="AKD9" s="223"/>
      <c r="AKE9" s="223"/>
      <c r="AKF9" s="223"/>
      <c r="AKG9" s="223"/>
      <c r="AKH9" s="223"/>
      <c r="AKI9" s="223"/>
      <c r="AKJ9" s="223"/>
      <c r="AKK9" s="223"/>
      <c r="AKL9" s="223"/>
      <c r="AKM9" s="223"/>
      <c r="AKN9" s="223"/>
      <c r="AKO9" s="223"/>
      <c r="AKP9" s="223"/>
      <c r="AKQ9" s="223"/>
      <c r="AKR9" s="223"/>
      <c r="AKS9" s="223"/>
      <c r="AKT9" s="223"/>
      <c r="AKU9" s="223"/>
      <c r="AKV9" s="223"/>
      <c r="AKW9" s="223"/>
      <c r="AKX9" s="223"/>
      <c r="AKY9" s="223"/>
      <c r="AKZ9" s="223"/>
      <c r="ALA9" s="223"/>
      <c r="ALB9" s="223"/>
      <c r="ALC9" s="223"/>
      <c r="ALD9" s="223"/>
      <c r="ALE9" s="223"/>
      <c r="ALF9" s="223"/>
      <c r="ALG9" s="223"/>
      <c r="ALH9" s="223"/>
      <c r="ALI9" s="223"/>
      <c r="ALJ9" s="223"/>
      <c r="ALK9" s="223"/>
      <c r="ALL9" s="223"/>
      <c r="ALM9" s="223"/>
      <c r="ALN9" s="223"/>
      <c r="ALO9" s="223"/>
      <c r="ALP9" s="223"/>
      <c r="ALQ9" s="223"/>
      <c r="ALR9" s="223"/>
      <c r="ALS9" s="223"/>
      <c r="ALT9" s="223"/>
      <c r="ALU9" s="223"/>
      <c r="ALV9" s="223"/>
      <c r="ALW9" s="223"/>
      <c r="ALX9" s="223"/>
      <c r="ALY9" s="223"/>
      <c r="ALZ9" s="223"/>
      <c r="AMA9" s="223"/>
      <c r="AMB9" s="223"/>
      <c r="AMC9" s="223"/>
      <c r="AMD9" s="223"/>
      <c r="AME9" s="223"/>
      <c r="AMF9" s="223"/>
      <c r="AMG9" s="223"/>
      <c r="AMH9" s="223"/>
      <c r="AMI9" s="223"/>
      <c r="AMJ9" s="223"/>
      <c r="AMK9" s="223"/>
      <c r="AML9" s="223"/>
      <c r="AMM9" s="223"/>
      <c r="AMN9" s="223"/>
      <c r="AMO9" s="223"/>
      <c r="AMP9" s="223"/>
      <c r="AMQ9" s="223"/>
      <c r="AMR9" s="223"/>
      <c r="AMS9" s="223"/>
      <c r="AMT9" s="223"/>
      <c r="AMU9" s="223"/>
      <c r="AMV9" s="223"/>
      <c r="AMW9" s="223"/>
      <c r="AMX9" s="223"/>
      <c r="AMY9" s="223"/>
      <c r="AMZ9" s="223"/>
      <c r="ANA9" s="223"/>
      <c r="ANB9" s="223"/>
      <c r="ANC9" s="223"/>
      <c r="AND9" s="223"/>
      <c r="ANE9" s="223"/>
      <c r="ANF9" s="223"/>
      <c r="ANG9" s="223"/>
      <c r="ANH9" s="223"/>
      <c r="ANI9" s="223"/>
      <c r="ANJ9" s="223"/>
      <c r="ANK9" s="223"/>
      <c r="ANL9" s="223"/>
      <c r="ANM9" s="223"/>
      <c r="ANN9" s="223"/>
      <c r="ANO9" s="223"/>
      <c r="ANP9" s="223"/>
      <c r="ANQ9" s="223"/>
      <c r="ANR9" s="223"/>
      <c r="WYC9" s="223"/>
      <c r="WYD9" s="223"/>
      <c r="WYE9" s="223"/>
      <c r="WYF9" s="223"/>
      <c r="WYG9" s="223"/>
      <c r="WYH9" s="223"/>
      <c r="WYI9" s="223"/>
      <c r="WYJ9" s="223"/>
      <c r="WYK9" s="223"/>
      <c r="WYL9" s="223"/>
      <c r="WYM9" s="223"/>
      <c r="WYN9" s="223"/>
      <c r="WYO9" s="223"/>
      <c r="WYP9" s="223"/>
      <c r="WYQ9" s="223"/>
      <c r="WYR9" s="223"/>
      <c r="WYS9" s="223"/>
      <c r="WYT9" s="223"/>
      <c r="WYU9" s="223"/>
      <c r="WYV9" s="223"/>
      <c r="WYW9" s="223"/>
      <c r="WYX9" s="223"/>
      <c r="WYY9" s="223"/>
      <c r="WYZ9" s="223"/>
      <c r="WZA9" s="223"/>
      <c r="WZB9" s="223"/>
      <c r="WZC9" s="223"/>
      <c r="WZD9" s="223"/>
      <c r="WZE9" s="223"/>
      <c r="WZF9" s="223"/>
      <c r="WZG9" s="223"/>
      <c r="WZH9" s="223"/>
      <c r="WZI9" s="223"/>
      <c r="WZJ9" s="223"/>
      <c r="WZK9" s="223"/>
      <c r="WZL9" s="223"/>
      <c r="WZM9" s="223"/>
      <c r="WZN9" s="223"/>
      <c r="WZO9" s="223"/>
      <c r="WZP9" s="223"/>
      <c r="WZQ9" s="223"/>
      <c r="WZR9" s="223"/>
      <c r="WZS9" s="223"/>
      <c r="WZT9" s="223"/>
      <c r="WZU9" s="223"/>
      <c r="WZV9" s="223"/>
      <c r="WZW9" s="223"/>
      <c r="WZX9" s="223"/>
      <c r="WZY9" s="223"/>
      <c r="WZZ9" s="223"/>
      <c r="XAA9" s="223"/>
      <c r="XAB9" s="223"/>
      <c r="XAC9" s="223"/>
      <c r="XAD9" s="223"/>
      <c r="XAE9" s="223"/>
      <c r="XAF9" s="223"/>
      <c r="XAG9" s="223"/>
      <c r="XAH9" s="223"/>
      <c r="XAI9" s="223"/>
      <c r="XAJ9" s="223"/>
      <c r="XAK9" s="223"/>
      <c r="XAL9" s="223"/>
      <c r="XAM9" s="223"/>
      <c r="XAN9" s="223"/>
      <c r="XAO9" s="223"/>
      <c r="XAP9" s="223"/>
      <c r="XAQ9" s="223"/>
      <c r="XAR9" s="223"/>
      <c r="XAS9" s="223"/>
      <c r="XAT9" s="223"/>
      <c r="XAU9" s="223"/>
      <c r="XAV9" s="223"/>
      <c r="XAW9" s="223"/>
      <c r="XAX9" s="223"/>
      <c r="XAY9" s="223"/>
      <c r="XAZ9" s="223"/>
      <c r="XBA9" s="223"/>
      <c r="XBB9" s="223"/>
      <c r="XBC9" s="223"/>
      <c r="XBD9" s="223"/>
      <c r="XBE9" s="223"/>
      <c r="XBF9" s="223"/>
      <c r="XBG9" s="223"/>
      <c r="XBH9" s="223"/>
      <c r="XBI9" s="223"/>
      <c r="XBJ9" s="223"/>
      <c r="XBK9" s="223"/>
      <c r="XBL9" s="223"/>
      <c r="XBM9" s="223"/>
      <c r="XBN9" s="223"/>
      <c r="XBO9" s="223"/>
      <c r="XBP9" s="223"/>
      <c r="XBQ9" s="223"/>
      <c r="XBR9" s="223"/>
      <c r="XBS9" s="223"/>
      <c r="XBT9" s="223"/>
      <c r="XBU9" s="223"/>
      <c r="XBV9" s="223"/>
      <c r="XBW9" s="223"/>
      <c r="XBX9" s="223"/>
      <c r="XBY9" s="223"/>
      <c r="XBZ9" s="223"/>
      <c r="XCA9" s="223"/>
      <c r="XCB9" s="223"/>
      <c r="XCC9" s="223"/>
      <c r="XCD9" s="223"/>
      <c r="XCE9" s="223"/>
      <c r="XCF9" s="223"/>
      <c r="XCG9" s="223"/>
      <c r="XCH9" s="223"/>
      <c r="XCI9" s="223"/>
      <c r="XCJ9" s="223"/>
      <c r="XCK9" s="223"/>
      <c r="XCL9" s="223"/>
      <c r="XCM9" s="223"/>
      <c r="XCN9" s="223"/>
      <c r="XCO9" s="223"/>
      <c r="XCP9" s="223"/>
      <c r="XCQ9" s="223"/>
      <c r="XCR9" s="223"/>
      <c r="XCS9" s="223"/>
      <c r="XCT9" s="223"/>
      <c r="XCU9" s="223"/>
      <c r="XCV9" s="223"/>
      <c r="XCW9" s="223"/>
      <c r="XCX9" s="223"/>
      <c r="XCY9" s="223"/>
      <c r="XCZ9" s="223"/>
      <c r="XDA9" s="223"/>
      <c r="XDB9" s="223"/>
      <c r="XDC9" s="223"/>
      <c r="XDD9" s="223"/>
      <c r="XDE9" s="223"/>
      <c r="XDF9" s="223"/>
      <c r="XDG9" s="223"/>
      <c r="XDH9" s="223"/>
      <c r="XDI9" s="223"/>
      <c r="XDJ9" s="223"/>
      <c r="XDK9" s="223"/>
      <c r="XDL9" s="223"/>
      <c r="XDM9" s="223"/>
      <c r="XDN9" s="223"/>
      <c r="XDO9" s="223"/>
      <c r="XDP9" s="223"/>
      <c r="XDQ9" s="223"/>
      <c r="XDR9" s="223"/>
      <c r="XDS9" s="223"/>
      <c r="XDT9" s="223"/>
      <c r="XDU9" s="223"/>
      <c r="XDV9" s="223"/>
      <c r="XDW9" s="223"/>
      <c r="XDX9" s="223"/>
      <c r="XDY9" s="223"/>
      <c r="XDZ9" s="223"/>
      <c r="XEA9" s="223"/>
      <c r="XEB9" s="223"/>
      <c r="XEC9" s="223"/>
      <c r="XED9" s="223"/>
      <c r="XEE9" s="223"/>
      <c r="XEF9" s="223"/>
      <c r="XEG9" s="223"/>
      <c r="XEH9" s="223"/>
      <c r="XEI9" s="223"/>
      <c r="XEJ9" s="223"/>
      <c r="XEK9" s="223"/>
      <c r="XEL9" s="223"/>
      <c r="XEM9" s="223"/>
      <c r="XEN9" s="223"/>
      <c r="XEO9" s="223"/>
      <c r="XEP9" s="223"/>
      <c r="XEQ9" s="223"/>
      <c r="XER9" s="223"/>
      <c r="XES9" s="223"/>
      <c r="XET9" s="223"/>
      <c r="XEU9" s="223"/>
      <c r="XEV9" s="223"/>
      <c r="XEW9" s="223"/>
      <c r="XEX9" s="223"/>
      <c r="XEY9" s="223"/>
      <c r="XEZ9" s="223"/>
      <c r="XFA9" s="223"/>
      <c r="XFB9" s="223"/>
      <c r="XFC9" s="223"/>
      <c r="XFD9" s="223"/>
    </row>
    <row r="10" spans="1:1058 16201:16384" ht="14.85" customHeight="1">
      <c r="A10" s="624"/>
      <c r="B10" s="248" t="s">
        <v>53</v>
      </c>
      <c r="C10" s="151"/>
      <c r="D10" s="151"/>
      <c r="E10" s="151"/>
      <c r="F10" s="223"/>
      <c r="G10" s="223"/>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3"/>
      <c r="AI10" s="223"/>
      <c r="AJ10" s="223"/>
      <c r="AK10" s="223"/>
      <c r="AL10" s="223"/>
      <c r="AM10" s="223"/>
      <c r="AN10" s="223"/>
      <c r="AO10" s="223"/>
      <c r="AP10" s="223"/>
      <c r="AQ10" s="223"/>
      <c r="AR10" s="223"/>
      <c r="AS10" s="223"/>
      <c r="AT10" s="223"/>
      <c r="AU10" s="223"/>
      <c r="AV10" s="223"/>
      <c r="AW10" s="223"/>
      <c r="AX10" s="223"/>
      <c r="AY10" s="223"/>
      <c r="AZ10" s="223"/>
      <c r="BA10" s="223"/>
      <c r="BB10" s="223"/>
      <c r="BC10" s="223"/>
      <c r="BD10" s="223"/>
      <c r="BE10" s="223"/>
      <c r="BF10" s="223"/>
      <c r="BG10" s="223"/>
      <c r="BH10" s="223"/>
      <c r="BI10" s="223"/>
      <c r="BJ10" s="223"/>
      <c r="BK10" s="223"/>
      <c r="BL10" s="223"/>
      <c r="BM10" s="223"/>
      <c r="BN10" s="223"/>
      <c r="BO10" s="223"/>
      <c r="BP10" s="223"/>
      <c r="BQ10" s="223"/>
      <c r="BR10" s="223"/>
      <c r="BS10" s="223"/>
      <c r="BT10" s="223"/>
      <c r="BU10" s="223"/>
      <c r="BV10" s="223"/>
      <c r="BW10" s="223"/>
      <c r="BX10" s="223"/>
      <c r="BY10" s="223"/>
      <c r="BZ10" s="223"/>
      <c r="CA10" s="223"/>
      <c r="CB10" s="223"/>
      <c r="CC10" s="223"/>
      <c r="CD10" s="223"/>
      <c r="CE10" s="223"/>
      <c r="CF10" s="223"/>
      <c r="CG10" s="223"/>
      <c r="CH10" s="223"/>
      <c r="CI10" s="223"/>
      <c r="CJ10" s="223"/>
      <c r="CK10" s="223"/>
      <c r="CL10" s="223"/>
      <c r="CM10" s="223"/>
      <c r="CN10" s="223"/>
      <c r="CO10" s="223"/>
      <c r="CP10" s="223"/>
      <c r="CQ10" s="223"/>
      <c r="CR10" s="223"/>
      <c r="CS10" s="223"/>
      <c r="CT10" s="223"/>
      <c r="CU10" s="223"/>
      <c r="CV10" s="223"/>
      <c r="CW10" s="223"/>
      <c r="CX10" s="223"/>
      <c r="CY10" s="223"/>
      <c r="CZ10" s="223"/>
      <c r="DA10" s="223"/>
      <c r="JH10" s="223"/>
      <c r="JI10" s="223"/>
      <c r="JJ10" s="223"/>
      <c r="JK10" s="223"/>
      <c r="JL10" s="223"/>
      <c r="JM10" s="223"/>
      <c r="JN10" s="223"/>
      <c r="JO10" s="223"/>
      <c r="JP10" s="223"/>
      <c r="JQ10" s="223"/>
      <c r="JR10" s="223"/>
      <c r="JS10" s="223"/>
      <c r="JT10" s="223"/>
      <c r="JU10" s="223"/>
      <c r="JV10" s="223"/>
      <c r="JW10" s="223"/>
      <c r="JX10" s="223"/>
      <c r="JY10" s="223"/>
      <c r="JZ10" s="223"/>
      <c r="KA10" s="223"/>
      <c r="KB10" s="223"/>
      <c r="KC10" s="223"/>
      <c r="KD10" s="223"/>
      <c r="KE10" s="223"/>
      <c r="KF10" s="223"/>
      <c r="KG10" s="223"/>
      <c r="KH10" s="223"/>
      <c r="KI10" s="223"/>
      <c r="KJ10" s="223"/>
      <c r="KK10" s="223"/>
      <c r="KL10" s="223"/>
      <c r="KM10" s="223"/>
      <c r="KN10" s="223"/>
      <c r="KO10" s="223"/>
      <c r="KP10" s="223"/>
      <c r="KQ10" s="223"/>
      <c r="KR10" s="223"/>
      <c r="KS10" s="223"/>
      <c r="KT10" s="223"/>
      <c r="KU10" s="223"/>
      <c r="KV10" s="223"/>
      <c r="KW10" s="223"/>
      <c r="KX10" s="223"/>
      <c r="KY10" s="223"/>
      <c r="KZ10" s="223"/>
      <c r="LA10" s="223"/>
      <c r="LB10" s="223"/>
      <c r="LC10" s="223"/>
      <c r="LD10" s="223"/>
      <c r="LE10" s="223"/>
      <c r="LF10" s="223"/>
      <c r="LG10" s="223"/>
      <c r="LH10" s="223"/>
      <c r="LI10" s="223"/>
      <c r="LJ10" s="223"/>
      <c r="LK10" s="223"/>
      <c r="LL10" s="223"/>
      <c r="LM10" s="223"/>
      <c r="LN10" s="223"/>
      <c r="LO10" s="223"/>
      <c r="LP10" s="223"/>
      <c r="LQ10" s="223"/>
      <c r="LR10" s="223"/>
      <c r="LS10" s="223"/>
      <c r="LT10" s="223"/>
      <c r="LU10" s="223"/>
      <c r="LV10" s="223"/>
      <c r="LW10" s="223"/>
      <c r="LX10" s="223"/>
      <c r="LY10" s="223"/>
      <c r="LZ10" s="223"/>
      <c r="MA10" s="223"/>
      <c r="MB10" s="223"/>
      <c r="MC10" s="223"/>
      <c r="MD10" s="223"/>
      <c r="ME10" s="223"/>
      <c r="MF10" s="223"/>
      <c r="MG10" s="223"/>
      <c r="MH10" s="223"/>
      <c r="MI10" s="223"/>
      <c r="MJ10" s="223"/>
      <c r="MK10" s="223"/>
      <c r="ML10" s="223"/>
      <c r="MM10" s="223"/>
      <c r="MN10" s="223"/>
      <c r="MO10" s="223"/>
      <c r="MP10" s="223"/>
      <c r="MQ10" s="223"/>
      <c r="MR10" s="223"/>
      <c r="MS10" s="223"/>
      <c r="MT10" s="223"/>
      <c r="MU10" s="223"/>
      <c r="MV10" s="223"/>
      <c r="MW10" s="223"/>
      <c r="MX10" s="223"/>
      <c r="MY10" s="223"/>
      <c r="MZ10" s="223"/>
      <c r="NA10" s="223"/>
      <c r="NB10" s="223"/>
      <c r="NC10" s="223"/>
      <c r="ND10" s="223"/>
      <c r="NE10" s="223"/>
      <c r="NF10" s="223"/>
      <c r="NG10" s="223"/>
      <c r="NH10" s="223"/>
      <c r="NI10" s="223"/>
      <c r="NJ10" s="223"/>
      <c r="NK10" s="223"/>
      <c r="NL10" s="223"/>
      <c r="NM10" s="223"/>
      <c r="NN10" s="223"/>
      <c r="NO10" s="223"/>
      <c r="NP10" s="223"/>
      <c r="NQ10" s="223"/>
      <c r="NR10" s="223"/>
      <c r="NS10" s="223"/>
      <c r="NT10" s="223"/>
      <c r="NU10" s="223"/>
      <c r="NV10" s="223"/>
      <c r="NW10" s="223"/>
      <c r="NX10" s="223"/>
      <c r="NY10" s="223"/>
      <c r="NZ10" s="223"/>
      <c r="OA10" s="223"/>
      <c r="OB10" s="223"/>
      <c r="OC10" s="223"/>
      <c r="OD10" s="223"/>
      <c r="OE10" s="223"/>
      <c r="OF10" s="223"/>
      <c r="OG10" s="223"/>
      <c r="OH10" s="223"/>
      <c r="OI10" s="223"/>
      <c r="OJ10" s="223"/>
      <c r="OK10" s="223"/>
      <c r="OL10" s="223"/>
      <c r="OM10" s="223"/>
      <c r="ON10" s="223"/>
      <c r="OO10" s="223"/>
      <c r="OP10" s="223"/>
      <c r="OQ10" s="223"/>
      <c r="OR10" s="223"/>
      <c r="OS10" s="223"/>
      <c r="OT10" s="223"/>
      <c r="OU10" s="223"/>
      <c r="OV10" s="223"/>
      <c r="OW10" s="223"/>
      <c r="OX10" s="223"/>
      <c r="OY10" s="223"/>
      <c r="OZ10" s="223"/>
      <c r="PA10" s="223"/>
      <c r="PB10" s="223"/>
      <c r="PC10" s="223"/>
      <c r="PD10" s="223"/>
      <c r="PE10" s="223"/>
      <c r="PF10" s="223"/>
      <c r="PG10" s="223"/>
      <c r="PH10" s="223"/>
      <c r="PI10" s="223"/>
      <c r="PJ10" s="223"/>
      <c r="PK10" s="223"/>
      <c r="PL10" s="223"/>
      <c r="PM10" s="223"/>
      <c r="PN10" s="223"/>
      <c r="PO10" s="223"/>
      <c r="PP10" s="223"/>
      <c r="PQ10" s="223"/>
      <c r="PR10" s="223"/>
      <c r="PS10" s="223"/>
      <c r="PT10" s="223"/>
      <c r="PU10" s="223"/>
      <c r="PV10" s="223"/>
      <c r="PW10" s="223"/>
      <c r="PX10" s="223"/>
      <c r="PY10" s="223"/>
      <c r="PZ10" s="223"/>
      <c r="QA10" s="223"/>
      <c r="QB10" s="223"/>
      <c r="QC10" s="223"/>
      <c r="QD10" s="223"/>
      <c r="QE10" s="223"/>
      <c r="QF10" s="223"/>
      <c r="QG10" s="223"/>
      <c r="QH10" s="223"/>
      <c r="QI10" s="223"/>
      <c r="QJ10" s="223"/>
      <c r="QK10" s="223"/>
      <c r="QL10" s="223"/>
      <c r="QM10" s="223"/>
      <c r="QN10" s="223"/>
      <c r="QO10" s="223"/>
      <c r="QP10" s="223"/>
      <c r="QQ10" s="223"/>
      <c r="QR10" s="223"/>
      <c r="QS10" s="223"/>
      <c r="QT10" s="223"/>
      <c r="QU10" s="223"/>
      <c r="QV10" s="223"/>
      <c r="QW10" s="223"/>
      <c r="QX10" s="223"/>
      <c r="QY10" s="223"/>
      <c r="QZ10" s="223"/>
      <c r="RA10" s="223"/>
      <c r="RB10" s="223"/>
      <c r="RC10" s="223"/>
      <c r="RD10" s="223"/>
      <c r="RE10" s="223"/>
      <c r="RF10" s="223"/>
      <c r="RG10" s="223"/>
      <c r="RH10" s="223"/>
      <c r="RI10" s="223"/>
      <c r="RJ10" s="223"/>
      <c r="RK10" s="223"/>
      <c r="RL10" s="223"/>
      <c r="RM10" s="223"/>
      <c r="RN10" s="223"/>
      <c r="RO10" s="223"/>
      <c r="RP10" s="223"/>
      <c r="RQ10" s="223"/>
      <c r="RR10" s="223"/>
      <c r="RS10" s="223"/>
      <c r="RT10" s="223"/>
      <c r="RU10" s="223"/>
      <c r="RV10" s="223"/>
      <c r="RW10" s="223"/>
      <c r="RX10" s="223"/>
      <c r="RY10" s="223"/>
      <c r="RZ10" s="223"/>
      <c r="SA10" s="223"/>
      <c r="SB10" s="223"/>
      <c r="SC10" s="223"/>
      <c r="SD10" s="223"/>
      <c r="SE10" s="223"/>
      <c r="SF10" s="223"/>
      <c r="SG10" s="223"/>
      <c r="SH10" s="223"/>
      <c r="SI10" s="223"/>
      <c r="SJ10" s="223"/>
      <c r="SK10" s="223"/>
      <c r="SL10" s="223"/>
      <c r="SM10" s="223"/>
      <c r="SN10" s="223"/>
      <c r="SO10" s="223"/>
      <c r="SP10" s="223"/>
      <c r="SQ10" s="223"/>
      <c r="SR10" s="223"/>
      <c r="SS10" s="223"/>
      <c r="ST10" s="223"/>
      <c r="SU10" s="223"/>
      <c r="SV10" s="223"/>
      <c r="SW10" s="223"/>
      <c r="SX10" s="223"/>
      <c r="SY10" s="223"/>
      <c r="SZ10" s="223"/>
      <c r="TA10" s="223"/>
      <c r="TB10" s="223"/>
      <c r="TC10" s="223"/>
      <c r="TD10" s="223"/>
      <c r="TE10" s="223"/>
      <c r="TF10" s="223"/>
      <c r="TG10" s="223"/>
      <c r="TH10" s="223"/>
      <c r="TI10" s="223"/>
      <c r="TJ10" s="223"/>
      <c r="TK10" s="223"/>
      <c r="TL10" s="223"/>
      <c r="TM10" s="223"/>
      <c r="TN10" s="223"/>
      <c r="TO10" s="223"/>
      <c r="TP10" s="223"/>
      <c r="TQ10" s="223"/>
      <c r="TR10" s="223"/>
      <c r="TS10" s="223"/>
      <c r="TT10" s="223"/>
      <c r="TU10" s="223"/>
      <c r="TV10" s="223"/>
      <c r="TW10" s="223"/>
      <c r="TX10" s="223"/>
      <c r="TY10" s="223"/>
      <c r="TZ10" s="223"/>
      <c r="UA10" s="223"/>
      <c r="UB10" s="223"/>
      <c r="UC10" s="223"/>
      <c r="UD10" s="223"/>
      <c r="UE10" s="223"/>
      <c r="UF10" s="223"/>
      <c r="UG10" s="223"/>
      <c r="UH10" s="223"/>
      <c r="UI10" s="223"/>
      <c r="UJ10" s="223"/>
      <c r="UK10" s="223"/>
      <c r="UL10" s="223"/>
      <c r="UM10" s="223"/>
      <c r="UN10" s="223"/>
      <c r="UO10" s="223"/>
      <c r="UP10" s="223"/>
      <c r="UQ10" s="223"/>
      <c r="UR10" s="223"/>
      <c r="US10" s="223"/>
      <c r="UT10" s="223"/>
      <c r="UU10" s="223"/>
      <c r="UV10" s="223"/>
      <c r="UW10" s="223"/>
      <c r="UX10" s="223"/>
      <c r="UY10" s="223"/>
      <c r="UZ10" s="223"/>
      <c r="VA10" s="223"/>
      <c r="VB10" s="223"/>
      <c r="VC10" s="223"/>
      <c r="VD10" s="223"/>
      <c r="VE10" s="223"/>
      <c r="VF10" s="223"/>
      <c r="VG10" s="223"/>
      <c r="VH10" s="223"/>
      <c r="VI10" s="223"/>
      <c r="VJ10" s="223"/>
      <c r="VK10" s="223"/>
      <c r="VL10" s="223"/>
      <c r="VM10" s="223"/>
      <c r="VN10" s="223"/>
      <c r="VO10" s="223"/>
      <c r="VP10" s="223"/>
      <c r="VQ10" s="223"/>
      <c r="VR10" s="223"/>
      <c r="VS10" s="223"/>
      <c r="VT10" s="223"/>
      <c r="VU10" s="223"/>
      <c r="VV10" s="223"/>
      <c r="VW10" s="223"/>
      <c r="VX10" s="223"/>
      <c r="VY10" s="223"/>
      <c r="VZ10" s="223"/>
      <c r="WA10" s="223"/>
      <c r="WB10" s="223"/>
      <c r="WC10" s="223"/>
      <c r="WD10" s="223"/>
      <c r="WE10" s="223"/>
      <c r="WF10" s="223"/>
      <c r="WG10" s="223"/>
      <c r="WH10" s="223"/>
      <c r="WI10" s="223"/>
      <c r="WJ10" s="223"/>
      <c r="WK10" s="223"/>
      <c r="WL10" s="223"/>
      <c r="WM10" s="223"/>
      <c r="WN10" s="223"/>
      <c r="WO10" s="223"/>
      <c r="WP10" s="223"/>
      <c r="WQ10" s="223"/>
      <c r="WR10" s="223"/>
      <c r="WS10" s="223"/>
      <c r="WT10" s="223"/>
      <c r="WU10" s="223"/>
      <c r="WV10" s="223"/>
      <c r="WW10" s="223"/>
      <c r="WX10" s="223"/>
      <c r="WY10" s="223"/>
      <c r="WZ10" s="223"/>
      <c r="XA10" s="223"/>
      <c r="XB10" s="223"/>
      <c r="XC10" s="223"/>
      <c r="XD10" s="223"/>
      <c r="XE10" s="223"/>
      <c r="XF10" s="223"/>
      <c r="XG10" s="223"/>
      <c r="XH10" s="223"/>
      <c r="XI10" s="223"/>
      <c r="XJ10" s="223"/>
      <c r="XK10" s="223"/>
      <c r="XL10" s="223"/>
      <c r="XM10" s="223"/>
      <c r="XN10" s="223"/>
      <c r="XO10" s="223"/>
      <c r="XP10" s="223"/>
      <c r="XQ10" s="223"/>
      <c r="XR10" s="223"/>
      <c r="XS10" s="223"/>
      <c r="XT10" s="223"/>
      <c r="XU10" s="223"/>
      <c r="XV10" s="223"/>
      <c r="XW10" s="223"/>
      <c r="XX10" s="223"/>
      <c r="XY10" s="223"/>
      <c r="XZ10" s="223"/>
      <c r="YA10" s="223"/>
      <c r="YB10" s="223"/>
      <c r="YC10" s="223"/>
      <c r="YD10" s="223"/>
      <c r="YE10" s="223"/>
      <c r="YF10" s="223"/>
      <c r="YG10" s="223"/>
      <c r="YH10" s="223"/>
      <c r="YI10" s="223"/>
      <c r="YJ10" s="223"/>
      <c r="YK10" s="223"/>
      <c r="YL10" s="223"/>
      <c r="YM10" s="223"/>
      <c r="YN10" s="223"/>
      <c r="YO10" s="223"/>
      <c r="YP10" s="223"/>
      <c r="YQ10" s="223"/>
      <c r="YR10" s="223"/>
      <c r="YS10" s="223"/>
      <c r="YT10" s="223"/>
      <c r="YU10" s="223"/>
      <c r="YV10" s="223"/>
      <c r="YW10" s="223"/>
      <c r="YX10" s="223"/>
      <c r="YY10" s="223"/>
      <c r="YZ10" s="223"/>
      <c r="ZA10" s="223"/>
      <c r="ZB10" s="223"/>
      <c r="ZC10" s="223"/>
      <c r="ZD10" s="223"/>
      <c r="ZE10" s="223"/>
      <c r="ZF10" s="223"/>
      <c r="ZG10" s="223"/>
      <c r="ZH10" s="223"/>
      <c r="ZI10" s="223"/>
      <c r="ZJ10" s="223"/>
      <c r="ZK10" s="223"/>
      <c r="ZL10" s="223"/>
      <c r="ZM10" s="223"/>
      <c r="ZN10" s="223"/>
      <c r="ZO10" s="223"/>
      <c r="ZP10" s="223"/>
      <c r="ZQ10" s="223"/>
      <c r="ZR10" s="223"/>
      <c r="ZS10" s="223"/>
      <c r="ZT10" s="223"/>
      <c r="ZU10" s="223"/>
      <c r="ZV10" s="223"/>
      <c r="ZW10" s="223"/>
      <c r="ZX10" s="223"/>
      <c r="ZY10" s="223"/>
      <c r="ZZ10" s="223"/>
      <c r="AAA10" s="223"/>
      <c r="AAB10" s="223"/>
      <c r="AAC10" s="223"/>
      <c r="AAD10" s="223"/>
      <c r="AAE10" s="223"/>
      <c r="AAF10" s="223"/>
      <c r="AAG10" s="223"/>
      <c r="AAH10" s="223"/>
      <c r="AAI10" s="223"/>
      <c r="AAJ10" s="223"/>
      <c r="AAK10" s="223"/>
      <c r="AAL10" s="223"/>
      <c r="AAM10" s="223"/>
      <c r="AAN10" s="223"/>
      <c r="AAO10" s="223"/>
      <c r="AAP10" s="223"/>
      <c r="AAQ10" s="223"/>
      <c r="AAR10" s="223"/>
      <c r="AAS10" s="223"/>
      <c r="AAT10" s="223"/>
      <c r="AAU10" s="223"/>
      <c r="AAV10" s="223"/>
      <c r="AAW10" s="223"/>
      <c r="AAX10" s="223"/>
      <c r="AAY10" s="223"/>
      <c r="AAZ10" s="223"/>
      <c r="ABA10" s="223"/>
      <c r="ABB10" s="223"/>
      <c r="ABC10" s="223"/>
      <c r="ABD10" s="223"/>
      <c r="ABE10" s="223"/>
      <c r="ABF10" s="223"/>
      <c r="ABG10" s="223"/>
      <c r="ABH10" s="223"/>
      <c r="ABI10" s="223"/>
      <c r="ABJ10" s="223"/>
      <c r="ABK10" s="223"/>
      <c r="ABL10" s="223"/>
      <c r="ABM10" s="223"/>
      <c r="ABN10" s="223"/>
      <c r="ABO10" s="223"/>
      <c r="ABP10" s="223"/>
      <c r="ABQ10" s="223"/>
      <c r="ABR10" s="223"/>
      <c r="ABS10" s="223"/>
      <c r="ABT10" s="223"/>
      <c r="ABU10" s="223"/>
      <c r="ABV10" s="223"/>
      <c r="ABW10" s="223"/>
      <c r="ABX10" s="223"/>
      <c r="ABY10" s="223"/>
      <c r="ABZ10" s="223"/>
      <c r="ACA10" s="223"/>
      <c r="ACB10" s="223"/>
      <c r="ACC10" s="223"/>
      <c r="ACD10" s="223"/>
      <c r="ACE10" s="223"/>
      <c r="ACF10" s="223"/>
      <c r="ACG10" s="223"/>
      <c r="ACH10" s="223"/>
      <c r="ACI10" s="223"/>
      <c r="ACJ10" s="223"/>
      <c r="ACK10" s="223"/>
      <c r="ACL10" s="223"/>
      <c r="ACM10" s="223"/>
      <c r="ACN10" s="223"/>
      <c r="ACO10" s="223"/>
      <c r="ACP10" s="223"/>
      <c r="ACQ10" s="223"/>
      <c r="ACR10" s="223"/>
      <c r="ACS10" s="223"/>
      <c r="ACT10" s="223"/>
      <c r="ACU10" s="223"/>
      <c r="ACV10" s="223"/>
      <c r="ACW10" s="223"/>
      <c r="ACX10" s="223"/>
      <c r="ACY10" s="223"/>
      <c r="ACZ10" s="223"/>
      <c r="ADA10" s="223"/>
      <c r="ADB10" s="223"/>
      <c r="ADC10" s="223"/>
      <c r="ADD10" s="223"/>
      <c r="ADE10" s="223"/>
      <c r="ADF10" s="223"/>
      <c r="ADG10" s="223"/>
      <c r="ADH10" s="223"/>
      <c r="ADI10" s="223"/>
      <c r="ADJ10" s="223"/>
      <c r="ADK10" s="223"/>
      <c r="ADL10" s="223"/>
      <c r="ADM10" s="223"/>
      <c r="ADN10" s="223"/>
      <c r="ADO10" s="223"/>
      <c r="ADP10" s="223"/>
      <c r="ADQ10" s="223"/>
      <c r="ADR10" s="223"/>
      <c r="ADS10" s="223"/>
      <c r="ADT10" s="223"/>
      <c r="ADU10" s="223"/>
      <c r="ADV10" s="223"/>
      <c r="ADW10" s="223"/>
      <c r="ADX10" s="223"/>
      <c r="ADY10" s="223"/>
      <c r="ADZ10" s="223"/>
      <c r="AEA10" s="223"/>
      <c r="AEB10" s="223"/>
      <c r="AEC10" s="223"/>
      <c r="AED10" s="223"/>
      <c r="AEE10" s="223"/>
      <c r="AEF10" s="223"/>
      <c r="AEG10" s="223"/>
      <c r="AEH10" s="223"/>
      <c r="AEI10" s="223"/>
      <c r="AEJ10" s="223"/>
      <c r="AEK10" s="223"/>
      <c r="AEL10" s="223"/>
      <c r="AEM10" s="223"/>
      <c r="AEN10" s="223"/>
      <c r="AEO10" s="223"/>
      <c r="AEP10" s="223"/>
      <c r="AEQ10" s="223"/>
      <c r="AER10" s="223"/>
      <c r="AES10" s="223"/>
      <c r="AET10" s="223"/>
      <c r="AEU10" s="223"/>
      <c r="AEV10" s="223"/>
      <c r="AEW10" s="223"/>
      <c r="AEX10" s="223"/>
      <c r="AEY10" s="223"/>
      <c r="AEZ10" s="223"/>
      <c r="AFA10" s="223"/>
      <c r="AFB10" s="223"/>
      <c r="AFC10" s="223"/>
      <c r="AFD10" s="223"/>
      <c r="AFE10" s="223"/>
      <c r="AFF10" s="223"/>
      <c r="AFG10" s="223"/>
      <c r="AFH10" s="223"/>
      <c r="AFI10" s="223"/>
      <c r="AFJ10" s="223"/>
      <c r="AFK10" s="223"/>
      <c r="AFL10" s="223"/>
      <c r="AFM10" s="223"/>
      <c r="AFN10" s="223"/>
      <c r="AFO10" s="223"/>
      <c r="AFP10" s="223"/>
      <c r="AFQ10" s="223"/>
      <c r="AFR10" s="223"/>
      <c r="AFS10" s="223"/>
      <c r="AFT10" s="223"/>
      <c r="AFU10" s="223"/>
      <c r="AFV10" s="223"/>
      <c r="AFW10" s="223"/>
      <c r="AFX10" s="223"/>
      <c r="AFY10" s="223"/>
      <c r="AFZ10" s="223"/>
      <c r="AGA10" s="223"/>
      <c r="AGB10" s="223"/>
      <c r="AGC10" s="223"/>
      <c r="AGD10" s="223"/>
      <c r="AGE10" s="223"/>
      <c r="AGF10" s="223"/>
      <c r="AGG10" s="223"/>
      <c r="AGH10" s="223"/>
      <c r="AGI10" s="223"/>
      <c r="AGJ10" s="223"/>
      <c r="AGK10" s="223"/>
      <c r="AGL10" s="223"/>
      <c r="AGM10" s="223"/>
      <c r="AGN10" s="223"/>
      <c r="AGO10" s="223"/>
      <c r="AGP10" s="223"/>
      <c r="AGQ10" s="223"/>
      <c r="AGR10" s="223"/>
      <c r="AGS10" s="223"/>
      <c r="AGT10" s="223"/>
      <c r="AGU10" s="223"/>
      <c r="AGV10" s="223"/>
      <c r="AGW10" s="223"/>
      <c r="AGX10" s="223"/>
      <c r="AGY10" s="223"/>
      <c r="AGZ10" s="223"/>
      <c r="AHA10" s="223"/>
      <c r="AHB10" s="223"/>
      <c r="AHC10" s="223"/>
      <c r="AHD10" s="223"/>
      <c r="AHE10" s="223"/>
      <c r="AHF10" s="223"/>
      <c r="AHG10" s="223"/>
      <c r="AHH10" s="223"/>
      <c r="AHI10" s="223"/>
      <c r="AHJ10" s="223"/>
      <c r="AHK10" s="223"/>
      <c r="AHL10" s="223"/>
      <c r="AHM10" s="223"/>
      <c r="AHN10" s="223"/>
      <c r="AHO10" s="223"/>
      <c r="AHP10" s="223"/>
      <c r="AHQ10" s="223"/>
      <c r="AHR10" s="223"/>
      <c r="AHS10" s="223"/>
      <c r="AHT10" s="223"/>
      <c r="AHU10" s="223"/>
      <c r="AHV10" s="223"/>
      <c r="AHW10" s="223"/>
      <c r="AHX10" s="223"/>
      <c r="AHY10" s="223"/>
      <c r="AHZ10" s="223"/>
      <c r="AIA10" s="223"/>
      <c r="AIB10" s="223"/>
      <c r="AIC10" s="223"/>
      <c r="AID10" s="223"/>
      <c r="AIE10" s="223"/>
      <c r="AIF10" s="223"/>
      <c r="AIG10" s="223"/>
      <c r="AIH10" s="223"/>
      <c r="AII10" s="223"/>
      <c r="AIJ10" s="223"/>
      <c r="AIK10" s="223"/>
      <c r="AIL10" s="223"/>
      <c r="AIM10" s="223"/>
      <c r="AIN10" s="223"/>
      <c r="AIO10" s="223"/>
      <c r="AIP10" s="223"/>
      <c r="AIQ10" s="223"/>
      <c r="AIR10" s="223"/>
      <c r="AIS10" s="223"/>
      <c r="AIT10" s="223"/>
      <c r="AIU10" s="223"/>
      <c r="AIV10" s="223"/>
      <c r="AIW10" s="223"/>
      <c r="AIX10" s="223"/>
      <c r="AIY10" s="223"/>
      <c r="AIZ10" s="223"/>
      <c r="AJA10" s="223"/>
      <c r="AJB10" s="223"/>
      <c r="AJC10" s="223"/>
      <c r="AJD10" s="223"/>
      <c r="AJE10" s="223"/>
      <c r="AJF10" s="223"/>
      <c r="AJG10" s="223"/>
      <c r="AJH10" s="223"/>
      <c r="AJI10" s="223"/>
      <c r="AJJ10" s="223"/>
      <c r="AJK10" s="223"/>
      <c r="AJL10" s="223"/>
      <c r="AJM10" s="223"/>
      <c r="AJN10" s="223"/>
      <c r="AJO10" s="223"/>
      <c r="AJP10" s="223"/>
      <c r="AJQ10" s="223"/>
      <c r="AJR10" s="223"/>
      <c r="AJS10" s="223"/>
      <c r="AJT10" s="223"/>
      <c r="AJU10" s="223"/>
      <c r="AJV10" s="223"/>
      <c r="AJW10" s="223"/>
      <c r="AJX10" s="223"/>
      <c r="AJY10" s="223"/>
      <c r="AJZ10" s="223"/>
      <c r="AKA10" s="223"/>
      <c r="AKB10" s="223"/>
      <c r="AKC10" s="223"/>
      <c r="AKD10" s="223"/>
      <c r="AKE10" s="223"/>
      <c r="AKF10" s="223"/>
      <c r="AKG10" s="223"/>
      <c r="AKH10" s="223"/>
      <c r="AKI10" s="223"/>
      <c r="AKJ10" s="223"/>
      <c r="AKK10" s="223"/>
      <c r="AKL10" s="223"/>
      <c r="AKM10" s="223"/>
      <c r="AKN10" s="223"/>
      <c r="AKO10" s="223"/>
      <c r="AKP10" s="223"/>
      <c r="AKQ10" s="223"/>
      <c r="AKR10" s="223"/>
      <c r="AKS10" s="223"/>
      <c r="AKT10" s="223"/>
      <c r="AKU10" s="223"/>
      <c r="AKV10" s="223"/>
      <c r="AKW10" s="223"/>
      <c r="AKX10" s="223"/>
      <c r="AKY10" s="223"/>
      <c r="AKZ10" s="223"/>
      <c r="ALA10" s="223"/>
      <c r="ALB10" s="223"/>
      <c r="ALC10" s="223"/>
      <c r="ALD10" s="223"/>
      <c r="ALE10" s="223"/>
      <c r="ALF10" s="223"/>
      <c r="ALG10" s="223"/>
      <c r="ALH10" s="223"/>
      <c r="ALI10" s="223"/>
      <c r="ALJ10" s="223"/>
      <c r="ALK10" s="223"/>
      <c r="ALL10" s="223"/>
      <c r="ALM10" s="223"/>
      <c r="ALN10" s="223"/>
      <c r="ALO10" s="223"/>
      <c r="ALP10" s="223"/>
      <c r="ALQ10" s="223"/>
      <c r="ALR10" s="223"/>
      <c r="ALS10" s="223"/>
      <c r="ALT10" s="223"/>
      <c r="ALU10" s="223"/>
      <c r="ALV10" s="223"/>
      <c r="ALW10" s="223"/>
      <c r="ALX10" s="223"/>
      <c r="ALY10" s="223"/>
      <c r="ALZ10" s="223"/>
      <c r="AMA10" s="223"/>
      <c r="AMB10" s="223"/>
      <c r="AMC10" s="223"/>
      <c r="AMD10" s="223"/>
      <c r="AME10" s="223"/>
      <c r="AMF10" s="223"/>
      <c r="AMG10" s="223"/>
      <c r="AMH10" s="223"/>
      <c r="AMI10" s="223"/>
      <c r="AMJ10" s="223"/>
      <c r="AMK10" s="223"/>
      <c r="AML10" s="223"/>
      <c r="AMM10" s="223"/>
      <c r="AMN10" s="223"/>
      <c r="AMO10" s="223"/>
      <c r="AMP10" s="223"/>
      <c r="AMQ10" s="223"/>
      <c r="AMR10" s="223"/>
      <c r="AMS10" s="223"/>
      <c r="AMT10" s="223"/>
      <c r="AMU10" s="223"/>
      <c r="AMV10" s="223"/>
      <c r="AMW10" s="223"/>
      <c r="AMX10" s="223"/>
      <c r="AMY10" s="223"/>
      <c r="AMZ10" s="223"/>
      <c r="ANA10" s="223"/>
      <c r="ANB10" s="223"/>
      <c r="ANC10" s="223"/>
      <c r="AND10" s="223"/>
      <c r="ANE10" s="223"/>
      <c r="ANF10" s="223"/>
      <c r="ANG10" s="223"/>
      <c r="ANH10" s="223"/>
      <c r="ANI10" s="223"/>
      <c r="ANJ10" s="223"/>
      <c r="ANK10" s="223"/>
      <c r="ANL10" s="223"/>
      <c r="ANM10" s="223"/>
      <c r="ANN10" s="223"/>
      <c r="ANO10" s="223"/>
      <c r="ANP10" s="223"/>
      <c r="ANQ10" s="223"/>
      <c r="ANR10" s="223"/>
      <c r="WYC10" s="223"/>
      <c r="WYD10" s="223"/>
      <c r="WYE10" s="223"/>
      <c r="WYF10" s="223"/>
      <c r="WYG10" s="223"/>
      <c r="WYH10" s="223"/>
      <c r="WYI10" s="223"/>
      <c r="WYJ10" s="223"/>
      <c r="WYK10" s="223"/>
      <c r="WYL10" s="223"/>
      <c r="WYM10" s="223"/>
      <c r="WYN10" s="223"/>
      <c r="WYO10" s="223"/>
      <c r="WYP10" s="223"/>
      <c r="WYQ10" s="223"/>
      <c r="WYR10" s="223"/>
      <c r="WYS10" s="223"/>
      <c r="WYT10" s="223"/>
      <c r="WYU10" s="223"/>
      <c r="WYV10" s="223"/>
      <c r="WYW10" s="223"/>
      <c r="WYX10" s="223"/>
      <c r="WYY10" s="223"/>
      <c r="WYZ10" s="223"/>
      <c r="WZA10" s="223"/>
      <c r="WZB10" s="223"/>
      <c r="WZC10" s="223"/>
      <c r="WZD10" s="223"/>
      <c r="WZE10" s="223"/>
      <c r="WZF10" s="223"/>
      <c r="WZG10" s="223"/>
      <c r="WZH10" s="223"/>
      <c r="WZI10" s="223"/>
      <c r="WZJ10" s="223"/>
      <c r="WZK10" s="223"/>
      <c r="WZL10" s="223"/>
      <c r="WZM10" s="223"/>
      <c r="WZN10" s="223"/>
      <c r="WZO10" s="223"/>
      <c r="WZP10" s="223"/>
      <c r="WZQ10" s="223"/>
      <c r="WZR10" s="223"/>
      <c r="WZS10" s="223"/>
      <c r="WZT10" s="223"/>
      <c r="WZU10" s="223"/>
      <c r="WZV10" s="223"/>
      <c r="WZW10" s="223"/>
      <c r="WZX10" s="223"/>
      <c r="WZY10" s="223"/>
      <c r="WZZ10" s="223"/>
      <c r="XAA10" s="223"/>
      <c r="XAB10" s="223"/>
      <c r="XAC10" s="223"/>
      <c r="XAD10" s="223"/>
      <c r="XAE10" s="223"/>
      <c r="XAF10" s="223"/>
      <c r="XAG10" s="223"/>
      <c r="XAH10" s="223"/>
      <c r="XAI10" s="223"/>
      <c r="XAJ10" s="223"/>
      <c r="XAK10" s="223"/>
      <c r="XAL10" s="223"/>
      <c r="XAM10" s="223"/>
      <c r="XAN10" s="223"/>
      <c r="XAO10" s="223"/>
      <c r="XAP10" s="223"/>
      <c r="XAQ10" s="223"/>
      <c r="XAR10" s="223"/>
      <c r="XAS10" s="223"/>
      <c r="XAT10" s="223"/>
      <c r="XAU10" s="223"/>
      <c r="XAV10" s="223"/>
      <c r="XAW10" s="223"/>
      <c r="XAX10" s="223"/>
      <c r="XAY10" s="223"/>
      <c r="XAZ10" s="223"/>
      <c r="XBA10" s="223"/>
      <c r="XBB10" s="223"/>
      <c r="XBC10" s="223"/>
      <c r="XBD10" s="223"/>
      <c r="XBE10" s="223"/>
      <c r="XBF10" s="223"/>
      <c r="XBG10" s="223"/>
      <c r="XBH10" s="223"/>
      <c r="XBI10" s="223"/>
      <c r="XBJ10" s="223"/>
      <c r="XBK10" s="223"/>
      <c r="XBL10" s="223"/>
      <c r="XBM10" s="223"/>
      <c r="XBN10" s="223"/>
      <c r="XBO10" s="223"/>
      <c r="XBP10" s="223"/>
      <c r="XBQ10" s="223"/>
      <c r="XBR10" s="223"/>
      <c r="XBS10" s="223"/>
      <c r="XBT10" s="223"/>
      <c r="XBU10" s="223"/>
      <c r="XBV10" s="223"/>
      <c r="XBW10" s="223"/>
      <c r="XBX10" s="223"/>
      <c r="XBY10" s="223"/>
      <c r="XBZ10" s="223"/>
      <c r="XCA10" s="223"/>
      <c r="XCB10" s="223"/>
      <c r="XCC10" s="223"/>
      <c r="XCD10" s="223"/>
      <c r="XCE10" s="223"/>
      <c r="XCF10" s="223"/>
      <c r="XCG10" s="223"/>
      <c r="XCH10" s="223"/>
      <c r="XCI10" s="223"/>
      <c r="XCJ10" s="223"/>
      <c r="XCK10" s="223"/>
      <c r="XCL10" s="223"/>
      <c r="XCM10" s="223"/>
      <c r="XCN10" s="223"/>
      <c r="XCO10" s="223"/>
      <c r="XCP10" s="223"/>
      <c r="XCQ10" s="223"/>
      <c r="XCR10" s="223"/>
      <c r="XCS10" s="223"/>
      <c r="XCT10" s="223"/>
      <c r="XCU10" s="223"/>
      <c r="XCV10" s="223"/>
      <c r="XCW10" s="223"/>
      <c r="XCX10" s="223"/>
      <c r="XCY10" s="223"/>
      <c r="XCZ10" s="223"/>
      <c r="XDA10" s="223"/>
      <c r="XDB10" s="223"/>
      <c r="XDC10" s="223"/>
      <c r="XDD10" s="223"/>
      <c r="XDE10" s="223"/>
      <c r="XDF10" s="223"/>
      <c r="XDG10" s="223"/>
      <c r="XDH10" s="223"/>
      <c r="XDI10" s="223"/>
      <c r="XDJ10" s="223"/>
      <c r="XDK10" s="223"/>
      <c r="XDL10" s="223"/>
      <c r="XDM10" s="223"/>
      <c r="XDN10" s="223"/>
      <c r="XDO10" s="223"/>
      <c r="XDP10" s="223"/>
      <c r="XDQ10" s="223"/>
      <c r="XDR10" s="223"/>
      <c r="XDS10" s="223"/>
      <c r="XDT10" s="223"/>
      <c r="XDU10" s="223"/>
      <c r="XDV10" s="223"/>
      <c r="XDW10" s="223"/>
      <c r="XDX10" s="223"/>
      <c r="XDY10" s="223"/>
      <c r="XDZ10" s="223"/>
      <c r="XEA10" s="223"/>
      <c r="XEB10" s="223"/>
      <c r="XEC10" s="223"/>
      <c r="XED10" s="223"/>
      <c r="XEE10" s="223"/>
      <c r="XEF10" s="223"/>
      <c r="XEG10" s="223"/>
      <c r="XEH10" s="223"/>
      <c r="XEI10" s="223"/>
      <c r="XEJ10" s="223"/>
      <c r="XEK10" s="223"/>
      <c r="XEL10" s="223"/>
      <c r="XEM10" s="223"/>
      <c r="XEN10" s="223"/>
      <c r="XEO10" s="223"/>
      <c r="XEP10" s="223"/>
      <c r="XEQ10" s="223"/>
      <c r="XER10" s="223"/>
      <c r="XES10" s="223"/>
      <c r="XET10" s="223"/>
      <c r="XEU10" s="223"/>
      <c r="XEV10" s="223"/>
      <c r="XEW10" s="223"/>
      <c r="XEX10" s="223"/>
      <c r="XEY10" s="223"/>
      <c r="XEZ10" s="223"/>
      <c r="XFA10" s="223"/>
      <c r="XFB10" s="223"/>
      <c r="XFC10" s="223"/>
      <c r="XFD10" s="223"/>
    </row>
    <row r="11" spans="1:1058 16201:16384">
      <c r="A11" s="624"/>
      <c r="B11" s="1012" t="s">
        <v>54</v>
      </c>
      <c r="C11" s="151"/>
      <c r="D11" s="151"/>
      <c r="E11" s="151"/>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223"/>
      <c r="BP11" s="223"/>
      <c r="BQ11" s="223"/>
      <c r="BR11" s="223"/>
      <c r="BS11" s="223"/>
      <c r="BT11" s="223"/>
      <c r="BU11" s="223"/>
      <c r="BV11" s="223"/>
      <c r="BW11" s="223"/>
      <c r="BX11" s="223"/>
      <c r="BY11" s="223"/>
      <c r="BZ11" s="223"/>
      <c r="CA11" s="223"/>
      <c r="CB11" s="223"/>
      <c r="CC11" s="223"/>
      <c r="CD11" s="223"/>
      <c r="CE11" s="223"/>
      <c r="CF11" s="223"/>
      <c r="CG11" s="223"/>
      <c r="CH11" s="223"/>
      <c r="CI11" s="223"/>
      <c r="CJ11" s="223"/>
      <c r="CK11" s="223"/>
      <c r="CL11" s="223"/>
      <c r="CM11" s="223"/>
      <c r="CN11" s="223"/>
      <c r="CO11" s="223"/>
      <c r="CP11" s="223"/>
      <c r="CQ11" s="223"/>
      <c r="CR11" s="223"/>
      <c r="CS11" s="223"/>
      <c r="CT11" s="223"/>
      <c r="CU11" s="223"/>
      <c r="CV11" s="223"/>
      <c r="CW11" s="223"/>
      <c r="CX11" s="223"/>
      <c r="CY11" s="223"/>
      <c r="CZ11" s="223"/>
      <c r="DA11" s="223"/>
      <c r="JH11" s="223"/>
      <c r="JI11" s="223"/>
      <c r="JJ11" s="223"/>
      <c r="JK11" s="223"/>
      <c r="JL11" s="223"/>
      <c r="JM11" s="223"/>
      <c r="JN11" s="223"/>
      <c r="JO11" s="223"/>
      <c r="JP11" s="223"/>
      <c r="JQ11" s="223"/>
      <c r="JR11" s="223"/>
      <c r="JS11" s="223"/>
      <c r="JT11" s="223"/>
      <c r="JU11" s="223"/>
      <c r="JV11" s="223"/>
      <c r="JW11" s="223"/>
      <c r="JX11" s="223"/>
      <c r="JY11" s="223"/>
      <c r="JZ11" s="223"/>
      <c r="KA11" s="223"/>
      <c r="KB11" s="223"/>
      <c r="KC11" s="223"/>
      <c r="KD11" s="223"/>
      <c r="KE11" s="223"/>
      <c r="KF11" s="223"/>
      <c r="KG11" s="223"/>
      <c r="KH11" s="223"/>
      <c r="KI11" s="223"/>
      <c r="KJ11" s="223"/>
      <c r="KK11" s="223"/>
      <c r="KL11" s="223"/>
      <c r="KM11" s="223"/>
      <c r="KN11" s="223"/>
      <c r="KO11" s="223"/>
      <c r="KP11" s="223"/>
      <c r="KQ11" s="223"/>
      <c r="KR11" s="223"/>
      <c r="KS11" s="223"/>
      <c r="KT11" s="223"/>
      <c r="KU11" s="223"/>
      <c r="KV11" s="223"/>
      <c r="KW11" s="223"/>
      <c r="KX11" s="223"/>
      <c r="KY11" s="223"/>
      <c r="KZ11" s="223"/>
      <c r="LA11" s="223"/>
      <c r="LB11" s="223"/>
      <c r="LC11" s="223"/>
      <c r="LD11" s="223"/>
      <c r="LE11" s="223"/>
      <c r="LF11" s="223"/>
      <c r="LG11" s="223"/>
      <c r="LH11" s="223"/>
      <c r="LI11" s="223"/>
      <c r="LJ11" s="223"/>
      <c r="LK11" s="223"/>
      <c r="LL11" s="223"/>
      <c r="LM11" s="223"/>
      <c r="LN11" s="223"/>
      <c r="LO11" s="223"/>
      <c r="LP11" s="223"/>
      <c r="LQ11" s="223"/>
      <c r="LR11" s="223"/>
      <c r="LS11" s="223"/>
      <c r="LT11" s="223"/>
      <c r="LU11" s="223"/>
      <c r="LV11" s="223"/>
      <c r="LW11" s="223"/>
      <c r="LX11" s="223"/>
      <c r="LY11" s="223"/>
      <c r="LZ11" s="223"/>
      <c r="MA11" s="223"/>
      <c r="MB11" s="223"/>
      <c r="MC11" s="223"/>
      <c r="MD11" s="223"/>
      <c r="ME11" s="223"/>
      <c r="MF11" s="223"/>
      <c r="MG11" s="223"/>
      <c r="MH11" s="223"/>
      <c r="MI11" s="223"/>
      <c r="MJ11" s="223"/>
      <c r="MK11" s="223"/>
      <c r="ML11" s="223"/>
      <c r="MM11" s="223"/>
      <c r="MN11" s="223"/>
      <c r="MO11" s="223"/>
      <c r="MP11" s="223"/>
      <c r="MQ11" s="223"/>
      <c r="MR11" s="223"/>
      <c r="MS11" s="223"/>
      <c r="MT11" s="223"/>
      <c r="MU11" s="223"/>
      <c r="MV11" s="223"/>
      <c r="MW11" s="223"/>
      <c r="MX11" s="223"/>
      <c r="MY11" s="223"/>
      <c r="MZ11" s="223"/>
      <c r="NA11" s="223"/>
      <c r="NB11" s="223"/>
      <c r="NC11" s="223"/>
      <c r="ND11" s="223"/>
      <c r="NE11" s="223"/>
      <c r="NF11" s="223"/>
      <c r="NG11" s="223"/>
      <c r="NH11" s="223"/>
      <c r="NI11" s="223"/>
      <c r="NJ11" s="223"/>
      <c r="NK11" s="223"/>
      <c r="NL11" s="223"/>
      <c r="NM11" s="223"/>
      <c r="NN11" s="223"/>
      <c r="NO11" s="223"/>
      <c r="NP11" s="223"/>
      <c r="NQ11" s="223"/>
      <c r="NR11" s="223"/>
      <c r="NS11" s="223"/>
      <c r="NT11" s="223"/>
      <c r="NU11" s="223"/>
      <c r="NV11" s="223"/>
      <c r="NW11" s="223"/>
      <c r="NX11" s="223"/>
      <c r="NY11" s="223"/>
      <c r="NZ11" s="223"/>
      <c r="OA11" s="223"/>
      <c r="OB11" s="223"/>
      <c r="OC11" s="223"/>
      <c r="OD11" s="223"/>
      <c r="OE11" s="223"/>
      <c r="OF11" s="223"/>
      <c r="OG11" s="223"/>
      <c r="OH11" s="223"/>
      <c r="OI11" s="223"/>
      <c r="OJ11" s="223"/>
      <c r="OK11" s="223"/>
      <c r="OL11" s="223"/>
      <c r="OM11" s="223"/>
      <c r="ON11" s="223"/>
      <c r="OO11" s="223"/>
      <c r="OP11" s="223"/>
      <c r="OQ11" s="223"/>
      <c r="OR11" s="223"/>
      <c r="OS11" s="223"/>
      <c r="OT11" s="223"/>
      <c r="OU11" s="223"/>
      <c r="OV11" s="223"/>
      <c r="OW11" s="223"/>
      <c r="OX11" s="223"/>
      <c r="OY11" s="223"/>
      <c r="OZ11" s="223"/>
      <c r="PA11" s="223"/>
      <c r="PB11" s="223"/>
      <c r="PC11" s="223"/>
      <c r="PD11" s="223"/>
      <c r="PE11" s="223"/>
      <c r="PF11" s="223"/>
      <c r="PG11" s="223"/>
      <c r="PH11" s="223"/>
      <c r="PI11" s="223"/>
      <c r="PJ11" s="223"/>
      <c r="PK11" s="223"/>
      <c r="PL11" s="223"/>
      <c r="PM11" s="223"/>
      <c r="PN11" s="223"/>
      <c r="PO11" s="223"/>
      <c r="PP11" s="223"/>
      <c r="PQ11" s="223"/>
      <c r="PR11" s="223"/>
      <c r="PS11" s="223"/>
      <c r="PT11" s="223"/>
      <c r="PU11" s="223"/>
      <c r="PV11" s="223"/>
      <c r="PW11" s="223"/>
      <c r="PX11" s="223"/>
      <c r="PY11" s="223"/>
      <c r="PZ11" s="223"/>
      <c r="QA11" s="223"/>
      <c r="QB11" s="223"/>
      <c r="QC11" s="223"/>
      <c r="QD11" s="223"/>
      <c r="QE11" s="223"/>
      <c r="QF11" s="223"/>
      <c r="QG11" s="223"/>
      <c r="QH11" s="223"/>
      <c r="QI11" s="223"/>
      <c r="QJ11" s="223"/>
      <c r="QK11" s="223"/>
      <c r="QL11" s="223"/>
      <c r="QM11" s="223"/>
      <c r="QN11" s="223"/>
      <c r="QO11" s="223"/>
      <c r="QP11" s="223"/>
      <c r="QQ11" s="223"/>
      <c r="QR11" s="223"/>
      <c r="QS11" s="223"/>
      <c r="QT11" s="223"/>
      <c r="QU11" s="223"/>
      <c r="QV11" s="223"/>
      <c r="QW11" s="223"/>
      <c r="QX11" s="223"/>
      <c r="QY11" s="223"/>
      <c r="QZ11" s="223"/>
      <c r="RA11" s="223"/>
      <c r="RB11" s="223"/>
      <c r="RC11" s="223"/>
      <c r="RD11" s="223"/>
      <c r="RE11" s="223"/>
      <c r="RF11" s="223"/>
      <c r="RG11" s="223"/>
      <c r="RH11" s="223"/>
      <c r="RI11" s="223"/>
      <c r="RJ11" s="223"/>
      <c r="RK11" s="223"/>
      <c r="RL11" s="223"/>
      <c r="RM11" s="223"/>
      <c r="RN11" s="223"/>
      <c r="RO11" s="223"/>
      <c r="RP11" s="223"/>
      <c r="RQ11" s="223"/>
      <c r="RR11" s="223"/>
      <c r="RS11" s="223"/>
      <c r="RT11" s="223"/>
      <c r="RU11" s="223"/>
      <c r="RV11" s="223"/>
      <c r="RW11" s="223"/>
      <c r="RX11" s="223"/>
      <c r="RY11" s="223"/>
      <c r="RZ11" s="223"/>
      <c r="SA11" s="223"/>
      <c r="SB11" s="223"/>
      <c r="SC11" s="223"/>
      <c r="SD11" s="223"/>
      <c r="SE11" s="223"/>
      <c r="SF11" s="223"/>
      <c r="SG11" s="223"/>
      <c r="SH11" s="223"/>
      <c r="SI11" s="223"/>
      <c r="SJ11" s="223"/>
      <c r="SK11" s="223"/>
      <c r="SL11" s="223"/>
      <c r="SM11" s="223"/>
      <c r="SN11" s="223"/>
      <c r="SO11" s="223"/>
      <c r="SP11" s="223"/>
      <c r="SQ11" s="223"/>
      <c r="SR11" s="223"/>
      <c r="SS11" s="223"/>
      <c r="ST11" s="223"/>
      <c r="SU11" s="223"/>
      <c r="SV11" s="223"/>
      <c r="SW11" s="223"/>
      <c r="SX11" s="223"/>
      <c r="SY11" s="223"/>
      <c r="SZ11" s="223"/>
      <c r="TA11" s="223"/>
      <c r="TB11" s="223"/>
      <c r="TC11" s="223"/>
      <c r="TD11" s="223"/>
      <c r="TE11" s="223"/>
      <c r="TF11" s="223"/>
      <c r="TG11" s="223"/>
      <c r="TH11" s="223"/>
      <c r="TI11" s="223"/>
      <c r="TJ11" s="223"/>
      <c r="TK11" s="223"/>
      <c r="TL11" s="223"/>
      <c r="TM11" s="223"/>
      <c r="TN11" s="223"/>
      <c r="TO11" s="223"/>
      <c r="TP11" s="223"/>
      <c r="TQ11" s="223"/>
      <c r="TR11" s="223"/>
      <c r="TS11" s="223"/>
      <c r="TT11" s="223"/>
      <c r="TU11" s="223"/>
      <c r="TV11" s="223"/>
      <c r="TW11" s="223"/>
      <c r="TX11" s="223"/>
      <c r="TY11" s="223"/>
      <c r="TZ11" s="223"/>
      <c r="UA11" s="223"/>
      <c r="UB11" s="223"/>
      <c r="UC11" s="223"/>
      <c r="UD11" s="223"/>
      <c r="UE11" s="223"/>
      <c r="UF11" s="223"/>
      <c r="UG11" s="223"/>
      <c r="UH11" s="223"/>
      <c r="UI11" s="223"/>
      <c r="UJ11" s="223"/>
      <c r="UK11" s="223"/>
      <c r="UL11" s="223"/>
      <c r="UM11" s="223"/>
      <c r="UN11" s="223"/>
      <c r="UO11" s="223"/>
      <c r="UP11" s="223"/>
      <c r="UQ11" s="223"/>
      <c r="UR11" s="223"/>
      <c r="US11" s="223"/>
      <c r="UT11" s="223"/>
      <c r="UU11" s="223"/>
      <c r="UV11" s="223"/>
      <c r="UW11" s="223"/>
      <c r="UX11" s="223"/>
      <c r="UY11" s="223"/>
      <c r="UZ11" s="223"/>
      <c r="VA11" s="223"/>
      <c r="VB11" s="223"/>
      <c r="VC11" s="223"/>
      <c r="VD11" s="223"/>
      <c r="VE11" s="223"/>
      <c r="VF11" s="223"/>
      <c r="VG11" s="223"/>
      <c r="VH11" s="223"/>
      <c r="VI11" s="223"/>
      <c r="VJ11" s="223"/>
      <c r="VK11" s="223"/>
      <c r="VL11" s="223"/>
      <c r="VM11" s="223"/>
      <c r="VN11" s="223"/>
      <c r="VO11" s="223"/>
      <c r="VP11" s="223"/>
      <c r="VQ11" s="223"/>
      <c r="VR11" s="223"/>
      <c r="VS11" s="223"/>
      <c r="VT11" s="223"/>
      <c r="VU11" s="223"/>
      <c r="VV11" s="223"/>
      <c r="VW11" s="223"/>
      <c r="VX11" s="223"/>
      <c r="VY11" s="223"/>
      <c r="VZ11" s="223"/>
      <c r="WA11" s="223"/>
      <c r="WB11" s="223"/>
      <c r="WC11" s="223"/>
      <c r="WD11" s="223"/>
      <c r="WE11" s="223"/>
      <c r="WF11" s="223"/>
      <c r="WG11" s="223"/>
      <c r="WH11" s="223"/>
      <c r="WI11" s="223"/>
      <c r="WJ11" s="223"/>
      <c r="WK11" s="223"/>
      <c r="WL11" s="223"/>
      <c r="WM11" s="223"/>
      <c r="WN11" s="223"/>
      <c r="WO11" s="223"/>
      <c r="WP11" s="223"/>
      <c r="WQ11" s="223"/>
      <c r="WR11" s="223"/>
      <c r="WS11" s="223"/>
      <c r="WT11" s="223"/>
      <c r="WU11" s="223"/>
      <c r="WV11" s="223"/>
      <c r="WW11" s="223"/>
      <c r="WX11" s="223"/>
      <c r="WY11" s="223"/>
      <c r="WZ11" s="223"/>
      <c r="XA11" s="223"/>
      <c r="XB11" s="223"/>
      <c r="XC11" s="223"/>
      <c r="XD11" s="223"/>
      <c r="XE11" s="223"/>
      <c r="XF11" s="223"/>
      <c r="XG11" s="223"/>
      <c r="XH11" s="223"/>
      <c r="XI11" s="223"/>
      <c r="XJ11" s="223"/>
      <c r="XK11" s="223"/>
      <c r="XL11" s="223"/>
      <c r="XM11" s="223"/>
      <c r="XN11" s="223"/>
      <c r="XO11" s="223"/>
      <c r="XP11" s="223"/>
      <c r="XQ11" s="223"/>
      <c r="XR11" s="223"/>
      <c r="XS11" s="223"/>
      <c r="XT11" s="223"/>
      <c r="XU11" s="223"/>
      <c r="XV11" s="223"/>
      <c r="XW11" s="223"/>
      <c r="XX11" s="223"/>
      <c r="XY11" s="223"/>
      <c r="XZ11" s="223"/>
      <c r="YA11" s="223"/>
      <c r="YB11" s="223"/>
      <c r="YC11" s="223"/>
      <c r="YD11" s="223"/>
      <c r="YE11" s="223"/>
      <c r="YF11" s="223"/>
      <c r="YG11" s="223"/>
      <c r="YH11" s="223"/>
      <c r="YI11" s="223"/>
      <c r="YJ11" s="223"/>
      <c r="YK11" s="223"/>
      <c r="YL11" s="223"/>
      <c r="YM11" s="223"/>
      <c r="YN11" s="223"/>
      <c r="YO11" s="223"/>
      <c r="YP11" s="223"/>
      <c r="YQ11" s="223"/>
      <c r="YR11" s="223"/>
      <c r="YS11" s="223"/>
      <c r="YT11" s="223"/>
      <c r="YU11" s="223"/>
      <c r="YV11" s="223"/>
      <c r="YW11" s="223"/>
      <c r="YX11" s="223"/>
      <c r="YY11" s="223"/>
      <c r="YZ11" s="223"/>
      <c r="ZA11" s="223"/>
      <c r="ZB11" s="223"/>
      <c r="ZC11" s="223"/>
      <c r="ZD11" s="223"/>
      <c r="ZE11" s="223"/>
      <c r="ZF11" s="223"/>
      <c r="ZG11" s="223"/>
      <c r="ZH11" s="223"/>
      <c r="ZI11" s="223"/>
      <c r="ZJ11" s="223"/>
      <c r="ZK11" s="223"/>
      <c r="ZL11" s="223"/>
      <c r="ZM11" s="223"/>
      <c r="ZN11" s="223"/>
      <c r="ZO11" s="223"/>
      <c r="ZP11" s="223"/>
      <c r="ZQ11" s="223"/>
      <c r="ZR11" s="223"/>
      <c r="ZS11" s="223"/>
      <c r="ZT11" s="223"/>
      <c r="ZU11" s="223"/>
      <c r="ZV11" s="223"/>
      <c r="ZW11" s="223"/>
      <c r="ZX11" s="223"/>
      <c r="ZY11" s="223"/>
      <c r="ZZ11" s="223"/>
      <c r="AAA11" s="223"/>
      <c r="AAB11" s="223"/>
      <c r="AAC11" s="223"/>
      <c r="AAD11" s="223"/>
      <c r="AAE11" s="223"/>
      <c r="AAF11" s="223"/>
      <c r="AAG11" s="223"/>
      <c r="AAH11" s="223"/>
      <c r="AAI11" s="223"/>
      <c r="AAJ11" s="223"/>
      <c r="AAK11" s="223"/>
      <c r="AAL11" s="223"/>
      <c r="AAM11" s="223"/>
      <c r="AAN11" s="223"/>
      <c r="AAO11" s="223"/>
      <c r="AAP11" s="223"/>
      <c r="AAQ11" s="223"/>
      <c r="AAR11" s="223"/>
      <c r="AAS11" s="223"/>
      <c r="AAT11" s="223"/>
      <c r="AAU11" s="223"/>
      <c r="AAV11" s="223"/>
      <c r="AAW11" s="223"/>
      <c r="AAX11" s="223"/>
      <c r="AAY11" s="223"/>
      <c r="AAZ11" s="223"/>
      <c r="ABA11" s="223"/>
      <c r="ABB11" s="223"/>
      <c r="ABC11" s="223"/>
      <c r="ABD11" s="223"/>
      <c r="ABE11" s="223"/>
      <c r="ABF11" s="223"/>
      <c r="ABG11" s="223"/>
      <c r="ABH11" s="223"/>
      <c r="ABI11" s="223"/>
      <c r="ABJ11" s="223"/>
      <c r="ABK11" s="223"/>
      <c r="ABL11" s="223"/>
      <c r="ABM11" s="223"/>
      <c r="ABN11" s="223"/>
      <c r="ABO11" s="223"/>
      <c r="ABP11" s="223"/>
      <c r="ABQ11" s="223"/>
      <c r="ABR11" s="223"/>
      <c r="ABS11" s="223"/>
      <c r="ABT11" s="223"/>
      <c r="ABU11" s="223"/>
      <c r="ABV11" s="223"/>
      <c r="ABW11" s="223"/>
      <c r="ABX11" s="223"/>
      <c r="ABY11" s="223"/>
      <c r="ABZ11" s="223"/>
      <c r="ACA11" s="223"/>
      <c r="ACB11" s="223"/>
      <c r="ACC11" s="223"/>
      <c r="ACD11" s="223"/>
      <c r="ACE11" s="223"/>
      <c r="ACF11" s="223"/>
      <c r="ACG11" s="223"/>
      <c r="ACH11" s="223"/>
      <c r="ACI11" s="223"/>
      <c r="ACJ11" s="223"/>
      <c r="ACK11" s="223"/>
      <c r="ACL11" s="223"/>
      <c r="ACM11" s="223"/>
      <c r="ACN11" s="223"/>
      <c r="ACO11" s="223"/>
      <c r="ACP11" s="223"/>
      <c r="ACQ11" s="223"/>
      <c r="ACR11" s="223"/>
      <c r="ACS11" s="223"/>
      <c r="ACT11" s="223"/>
      <c r="ACU11" s="223"/>
      <c r="ACV11" s="223"/>
      <c r="ACW11" s="223"/>
      <c r="ACX11" s="223"/>
      <c r="ACY11" s="223"/>
      <c r="ACZ11" s="223"/>
      <c r="ADA11" s="223"/>
      <c r="ADB11" s="223"/>
      <c r="ADC11" s="223"/>
      <c r="ADD11" s="223"/>
      <c r="ADE11" s="223"/>
      <c r="ADF11" s="223"/>
      <c r="ADG11" s="223"/>
      <c r="ADH11" s="223"/>
      <c r="ADI11" s="223"/>
      <c r="ADJ11" s="223"/>
      <c r="ADK11" s="223"/>
      <c r="ADL11" s="223"/>
      <c r="ADM11" s="223"/>
      <c r="ADN11" s="223"/>
      <c r="ADO11" s="223"/>
      <c r="ADP11" s="223"/>
      <c r="ADQ11" s="223"/>
      <c r="ADR11" s="223"/>
      <c r="ADS11" s="223"/>
      <c r="ADT11" s="223"/>
      <c r="ADU11" s="223"/>
      <c r="ADV11" s="223"/>
      <c r="ADW11" s="223"/>
      <c r="ADX11" s="223"/>
      <c r="ADY11" s="223"/>
      <c r="ADZ11" s="223"/>
      <c r="AEA11" s="223"/>
      <c r="AEB11" s="223"/>
      <c r="AEC11" s="223"/>
      <c r="AED11" s="223"/>
      <c r="AEE11" s="223"/>
      <c r="AEF11" s="223"/>
      <c r="AEG11" s="223"/>
      <c r="AEH11" s="223"/>
      <c r="AEI11" s="223"/>
      <c r="AEJ11" s="223"/>
      <c r="AEK11" s="223"/>
      <c r="AEL11" s="223"/>
      <c r="AEM11" s="223"/>
      <c r="AEN11" s="223"/>
      <c r="AEO11" s="223"/>
      <c r="AEP11" s="223"/>
      <c r="AEQ11" s="223"/>
      <c r="AER11" s="223"/>
      <c r="AES11" s="223"/>
      <c r="AET11" s="223"/>
      <c r="AEU11" s="223"/>
      <c r="AEV11" s="223"/>
      <c r="AEW11" s="223"/>
      <c r="AEX11" s="223"/>
      <c r="AEY11" s="223"/>
      <c r="AEZ11" s="223"/>
      <c r="AFA11" s="223"/>
      <c r="AFB11" s="223"/>
      <c r="AFC11" s="223"/>
      <c r="AFD11" s="223"/>
      <c r="AFE11" s="223"/>
      <c r="AFF11" s="223"/>
      <c r="AFG11" s="223"/>
      <c r="AFH11" s="223"/>
      <c r="AFI11" s="223"/>
      <c r="AFJ11" s="223"/>
      <c r="AFK11" s="223"/>
      <c r="AFL11" s="223"/>
      <c r="AFM11" s="223"/>
      <c r="AFN11" s="223"/>
      <c r="AFO11" s="223"/>
      <c r="AFP11" s="223"/>
      <c r="AFQ11" s="223"/>
      <c r="AFR11" s="223"/>
      <c r="AFS11" s="223"/>
      <c r="AFT11" s="223"/>
      <c r="AFU11" s="223"/>
      <c r="AFV11" s="223"/>
      <c r="AFW11" s="223"/>
      <c r="AFX11" s="223"/>
      <c r="AFY11" s="223"/>
      <c r="AFZ11" s="223"/>
      <c r="AGA11" s="223"/>
      <c r="AGB11" s="223"/>
      <c r="AGC11" s="223"/>
      <c r="AGD11" s="223"/>
      <c r="AGE11" s="223"/>
      <c r="AGF11" s="223"/>
      <c r="AGG11" s="223"/>
      <c r="AGH11" s="223"/>
      <c r="AGI11" s="223"/>
      <c r="AGJ11" s="223"/>
      <c r="AGK11" s="223"/>
      <c r="AGL11" s="223"/>
      <c r="AGM11" s="223"/>
      <c r="AGN11" s="223"/>
      <c r="AGO11" s="223"/>
      <c r="AGP11" s="223"/>
      <c r="AGQ11" s="223"/>
      <c r="AGR11" s="223"/>
      <c r="AGS11" s="223"/>
      <c r="AGT11" s="223"/>
      <c r="AGU11" s="223"/>
      <c r="AGV11" s="223"/>
      <c r="AGW11" s="223"/>
      <c r="AGX11" s="223"/>
      <c r="AGY11" s="223"/>
      <c r="AGZ11" s="223"/>
      <c r="AHA11" s="223"/>
      <c r="AHB11" s="223"/>
      <c r="AHC11" s="223"/>
      <c r="AHD11" s="223"/>
      <c r="AHE11" s="223"/>
      <c r="AHF11" s="223"/>
      <c r="AHG11" s="223"/>
      <c r="AHH11" s="223"/>
      <c r="AHI11" s="223"/>
      <c r="AHJ11" s="223"/>
      <c r="AHK11" s="223"/>
      <c r="AHL11" s="223"/>
      <c r="AHM11" s="223"/>
      <c r="AHN11" s="223"/>
      <c r="AHO11" s="223"/>
      <c r="AHP11" s="223"/>
      <c r="AHQ11" s="223"/>
      <c r="AHR11" s="223"/>
      <c r="AHS11" s="223"/>
      <c r="AHT11" s="223"/>
      <c r="AHU11" s="223"/>
      <c r="AHV11" s="223"/>
      <c r="AHW11" s="223"/>
      <c r="AHX11" s="223"/>
      <c r="AHY11" s="223"/>
      <c r="AHZ11" s="223"/>
      <c r="AIA11" s="223"/>
      <c r="AIB11" s="223"/>
      <c r="AIC11" s="223"/>
      <c r="AID11" s="223"/>
      <c r="AIE11" s="223"/>
      <c r="AIF11" s="223"/>
      <c r="AIG11" s="223"/>
      <c r="AIH11" s="223"/>
      <c r="AII11" s="223"/>
      <c r="AIJ11" s="223"/>
      <c r="AIK11" s="223"/>
      <c r="AIL11" s="223"/>
      <c r="AIM11" s="223"/>
      <c r="AIN11" s="223"/>
      <c r="AIO11" s="223"/>
      <c r="AIP11" s="223"/>
      <c r="AIQ11" s="223"/>
      <c r="AIR11" s="223"/>
      <c r="AIS11" s="223"/>
      <c r="AIT11" s="223"/>
      <c r="AIU11" s="223"/>
      <c r="AIV11" s="223"/>
      <c r="AIW11" s="223"/>
      <c r="AIX11" s="223"/>
      <c r="AIY11" s="223"/>
      <c r="AIZ11" s="223"/>
      <c r="AJA11" s="223"/>
      <c r="AJB11" s="223"/>
      <c r="AJC11" s="223"/>
      <c r="AJD11" s="223"/>
      <c r="AJE11" s="223"/>
      <c r="AJF11" s="223"/>
      <c r="AJG11" s="223"/>
      <c r="AJH11" s="223"/>
      <c r="AJI11" s="223"/>
      <c r="AJJ11" s="223"/>
      <c r="AJK11" s="223"/>
      <c r="AJL11" s="223"/>
      <c r="AJM11" s="223"/>
      <c r="AJN11" s="223"/>
      <c r="AJO11" s="223"/>
      <c r="AJP11" s="223"/>
      <c r="AJQ11" s="223"/>
      <c r="AJR11" s="223"/>
      <c r="AJS11" s="223"/>
      <c r="AJT11" s="223"/>
      <c r="AJU11" s="223"/>
      <c r="AJV11" s="223"/>
      <c r="AJW11" s="223"/>
      <c r="AJX11" s="223"/>
      <c r="AJY11" s="223"/>
      <c r="AJZ11" s="223"/>
      <c r="AKA11" s="223"/>
      <c r="AKB11" s="223"/>
      <c r="AKC11" s="223"/>
      <c r="AKD11" s="223"/>
      <c r="AKE11" s="223"/>
      <c r="AKF11" s="223"/>
      <c r="AKG11" s="223"/>
      <c r="AKH11" s="223"/>
      <c r="AKI11" s="223"/>
      <c r="AKJ11" s="223"/>
      <c r="AKK11" s="223"/>
      <c r="AKL11" s="223"/>
      <c r="AKM11" s="223"/>
      <c r="AKN11" s="223"/>
      <c r="AKO11" s="223"/>
      <c r="AKP11" s="223"/>
      <c r="AKQ11" s="223"/>
      <c r="AKR11" s="223"/>
      <c r="AKS11" s="223"/>
      <c r="AKT11" s="223"/>
      <c r="AKU11" s="223"/>
      <c r="AKV11" s="223"/>
      <c r="AKW11" s="223"/>
      <c r="AKX11" s="223"/>
      <c r="AKY11" s="223"/>
      <c r="AKZ11" s="223"/>
      <c r="ALA11" s="223"/>
      <c r="ALB11" s="223"/>
      <c r="ALC11" s="223"/>
      <c r="ALD11" s="223"/>
      <c r="ALE11" s="223"/>
      <c r="ALF11" s="223"/>
      <c r="ALG11" s="223"/>
      <c r="ALH11" s="223"/>
      <c r="ALI11" s="223"/>
      <c r="ALJ11" s="223"/>
      <c r="ALK11" s="223"/>
      <c r="ALL11" s="223"/>
      <c r="ALM11" s="223"/>
      <c r="ALN11" s="223"/>
      <c r="ALO11" s="223"/>
      <c r="ALP11" s="223"/>
      <c r="ALQ11" s="223"/>
      <c r="ALR11" s="223"/>
      <c r="ALS11" s="223"/>
      <c r="ALT11" s="223"/>
      <c r="ALU11" s="223"/>
      <c r="ALV11" s="223"/>
      <c r="ALW11" s="223"/>
      <c r="ALX11" s="223"/>
      <c r="ALY11" s="223"/>
      <c r="ALZ11" s="223"/>
      <c r="AMA11" s="223"/>
      <c r="AMB11" s="223"/>
      <c r="AMC11" s="223"/>
      <c r="AMD11" s="223"/>
      <c r="AME11" s="223"/>
      <c r="AMF11" s="223"/>
      <c r="AMG11" s="223"/>
      <c r="AMH11" s="223"/>
      <c r="AMI11" s="223"/>
      <c r="AMJ11" s="223"/>
      <c r="AMK11" s="223"/>
      <c r="AML11" s="223"/>
      <c r="AMM11" s="223"/>
      <c r="AMN11" s="223"/>
      <c r="AMO11" s="223"/>
      <c r="AMP11" s="223"/>
      <c r="AMQ11" s="223"/>
      <c r="AMR11" s="223"/>
      <c r="AMS11" s="223"/>
      <c r="AMT11" s="223"/>
      <c r="AMU11" s="223"/>
      <c r="AMV11" s="223"/>
      <c r="AMW11" s="223"/>
      <c r="AMX11" s="223"/>
      <c r="AMY11" s="223"/>
      <c r="AMZ11" s="223"/>
      <c r="ANA11" s="223"/>
      <c r="ANB11" s="223"/>
      <c r="ANC11" s="223"/>
      <c r="AND11" s="223"/>
      <c r="ANE11" s="223"/>
      <c r="ANF11" s="223"/>
      <c r="ANG11" s="223"/>
      <c r="ANH11" s="223"/>
      <c r="ANI11" s="223"/>
      <c r="ANJ11" s="223"/>
      <c r="ANK11" s="223"/>
      <c r="ANL11" s="223"/>
      <c r="ANM11" s="223"/>
      <c r="ANN11" s="223"/>
      <c r="ANO11" s="223"/>
      <c r="ANP11" s="223"/>
      <c r="ANQ11" s="223"/>
      <c r="ANR11" s="223"/>
      <c r="WYC11" s="223"/>
      <c r="WYD11" s="223"/>
      <c r="WYE11" s="223"/>
      <c r="WYF11" s="223"/>
      <c r="WYG11" s="223"/>
      <c r="WYH11" s="223"/>
      <c r="WYI11" s="223"/>
      <c r="WYJ11" s="223"/>
      <c r="WYK11" s="223"/>
      <c r="WYL11" s="223"/>
      <c r="WYM11" s="223"/>
      <c r="WYN11" s="223"/>
      <c r="WYO11" s="223"/>
      <c r="WYP11" s="223"/>
      <c r="WYQ11" s="223"/>
      <c r="WYR11" s="223"/>
      <c r="WYS11" s="223"/>
      <c r="WYT11" s="223"/>
      <c r="WYU11" s="223"/>
      <c r="WYV11" s="223"/>
      <c r="WYW11" s="223"/>
      <c r="WYX11" s="223"/>
      <c r="WYY11" s="223"/>
      <c r="WYZ11" s="223"/>
      <c r="WZA11" s="223"/>
      <c r="WZB11" s="223"/>
      <c r="WZC11" s="223"/>
      <c r="WZD11" s="223"/>
      <c r="WZE11" s="223"/>
      <c r="WZF11" s="223"/>
      <c r="WZG11" s="223"/>
      <c r="WZH11" s="223"/>
      <c r="WZI11" s="223"/>
      <c r="WZJ11" s="223"/>
      <c r="WZK11" s="223"/>
      <c r="WZL11" s="223"/>
      <c r="WZM11" s="223"/>
      <c r="WZN11" s="223"/>
      <c r="WZO11" s="223"/>
      <c r="WZP11" s="223"/>
      <c r="WZQ11" s="223"/>
      <c r="WZR11" s="223"/>
      <c r="WZS11" s="223"/>
      <c r="WZT11" s="223"/>
      <c r="WZU11" s="223"/>
      <c r="WZV11" s="223"/>
      <c r="WZW11" s="223"/>
      <c r="WZX11" s="223"/>
      <c r="WZY11" s="223"/>
      <c r="WZZ11" s="223"/>
      <c r="XAA11" s="223"/>
      <c r="XAB11" s="223"/>
      <c r="XAC11" s="223"/>
      <c r="XAD11" s="223"/>
      <c r="XAE11" s="223"/>
      <c r="XAF11" s="223"/>
      <c r="XAG11" s="223"/>
      <c r="XAH11" s="223"/>
      <c r="XAI11" s="223"/>
      <c r="XAJ11" s="223"/>
      <c r="XAK11" s="223"/>
      <c r="XAL11" s="223"/>
      <c r="XAM11" s="223"/>
      <c r="XAN11" s="223"/>
      <c r="XAO11" s="223"/>
      <c r="XAP11" s="223"/>
      <c r="XAQ11" s="223"/>
      <c r="XAR11" s="223"/>
      <c r="XAS11" s="223"/>
      <c r="XAT11" s="223"/>
      <c r="XAU11" s="223"/>
      <c r="XAV11" s="223"/>
      <c r="XAW11" s="223"/>
      <c r="XAX11" s="223"/>
      <c r="XAY11" s="223"/>
      <c r="XAZ11" s="223"/>
      <c r="XBA11" s="223"/>
      <c r="XBB11" s="223"/>
      <c r="XBC11" s="223"/>
      <c r="XBD11" s="223"/>
      <c r="XBE11" s="223"/>
      <c r="XBF11" s="223"/>
      <c r="XBG11" s="223"/>
      <c r="XBH11" s="223"/>
      <c r="XBI11" s="223"/>
      <c r="XBJ11" s="223"/>
      <c r="XBK11" s="223"/>
      <c r="XBL11" s="223"/>
      <c r="XBM11" s="223"/>
      <c r="XBN11" s="223"/>
      <c r="XBO11" s="223"/>
      <c r="XBP11" s="223"/>
      <c r="XBQ11" s="223"/>
      <c r="XBR11" s="223"/>
      <c r="XBS11" s="223"/>
      <c r="XBT11" s="223"/>
      <c r="XBU11" s="223"/>
      <c r="XBV11" s="223"/>
      <c r="XBW11" s="223"/>
      <c r="XBX11" s="223"/>
      <c r="XBY11" s="223"/>
      <c r="XBZ11" s="223"/>
      <c r="XCA11" s="223"/>
      <c r="XCB11" s="223"/>
      <c r="XCC11" s="223"/>
      <c r="XCD11" s="223"/>
      <c r="XCE11" s="223"/>
      <c r="XCF11" s="223"/>
      <c r="XCG11" s="223"/>
      <c r="XCH11" s="223"/>
      <c r="XCI11" s="223"/>
      <c r="XCJ11" s="223"/>
      <c r="XCK11" s="223"/>
      <c r="XCL11" s="223"/>
      <c r="XCM11" s="223"/>
      <c r="XCN11" s="223"/>
      <c r="XCO11" s="223"/>
      <c r="XCP11" s="223"/>
      <c r="XCQ11" s="223"/>
      <c r="XCR11" s="223"/>
      <c r="XCS11" s="223"/>
      <c r="XCT11" s="223"/>
      <c r="XCU11" s="223"/>
      <c r="XCV11" s="223"/>
      <c r="XCW11" s="223"/>
      <c r="XCX11" s="223"/>
      <c r="XCY11" s="223"/>
      <c r="XCZ11" s="223"/>
      <c r="XDA11" s="223"/>
      <c r="XDB11" s="223"/>
      <c r="XDC11" s="223"/>
      <c r="XDD11" s="223"/>
      <c r="XDE11" s="223"/>
      <c r="XDF11" s="223"/>
      <c r="XDG11" s="223"/>
      <c r="XDH11" s="223"/>
      <c r="XDI11" s="223"/>
      <c r="XDJ11" s="223"/>
      <c r="XDK11" s="223"/>
      <c r="XDL11" s="223"/>
      <c r="XDM11" s="223"/>
      <c r="XDN11" s="223"/>
      <c r="XDO11" s="223"/>
      <c r="XDP11" s="223"/>
      <c r="XDQ11" s="223"/>
      <c r="XDR11" s="223"/>
      <c r="XDS11" s="223"/>
      <c r="XDT11" s="223"/>
      <c r="XDU11" s="223"/>
      <c r="XDV11" s="223"/>
      <c r="XDW11" s="223"/>
      <c r="XDX11" s="223"/>
      <c r="XDY11" s="223"/>
      <c r="XDZ11" s="223"/>
      <c r="XEA11" s="223"/>
      <c r="XEB11" s="223"/>
      <c r="XEC11" s="223"/>
      <c r="XED11" s="223"/>
      <c r="XEE11" s="223"/>
      <c r="XEF11" s="223"/>
      <c r="XEG11" s="223"/>
      <c r="XEH11" s="223"/>
      <c r="XEI11" s="223"/>
      <c r="XEJ11" s="223"/>
      <c r="XEK11" s="223"/>
      <c r="XEL11" s="223"/>
      <c r="XEM11" s="223"/>
      <c r="XEN11" s="223"/>
      <c r="XEO11" s="223"/>
      <c r="XEP11" s="223"/>
      <c r="XEQ11" s="223"/>
      <c r="XER11" s="223"/>
      <c r="XES11" s="223"/>
      <c r="XET11" s="223"/>
      <c r="XEU11" s="223"/>
      <c r="XEV11" s="223"/>
      <c r="XEW11" s="223"/>
      <c r="XEX11" s="223"/>
      <c r="XEY11" s="223"/>
      <c r="XEZ11" s="223"/>
      <c r="XFA11" s="223"/>
      <c r="XFB11" s="223"/>
      <c r="XFC11" s="223"/>
      <c r="XFD11" s="223"/>
    </row>
    <row r="12" spans="1:1058 16201:16384" s="223" customFormat="1">
      <c r="A12" s="624"/>
    </row>
    <row r="13" spans="1:1058 16201:16384" s="223" customFormat="1">
      <c r="A13" s="624"/>
    </row>
    <row r="14" spans="1:1058 16201:16384" s="223" customFormat="1" ht="25.5" outlineLevel="1">
      <c r="A14" s="624"/>
      <c r="B14" s="1246" t="s">
        <v>889</v>
      </c>
      <c r="C14" s="1246"/>
      <c r="D14" s="1246"/>
      <c r="E14" s="625" t="s">
        <v>890</v>
      </c>
      <c r="F14" s="625" t="s">
        <v>891</v>
      </c>
      <c r="G14" s="625" t="s">
        <v>892</v>
      </c>
      <c r="H14" s="625" t="s">
        <v>893</v>
      </c>
      <c r="I14" s="625" t="s">
        <v>894</v>
      </c>
      <c r="J14" s="625" t="s">
        <v>895</v>
      </c>
      <c r="K14" s="625" t="s">
        <v>896</v>
      </c>
      <c r="L14" s="625" t="s">
        <v>897</v>
      </c>
      <c r="M14" s="625" t="s">
        <v>898</v>
      </c>
      <c r="N14" s="625" t="s">
        <v>899</v>
      </c>
      <c r="O14" s="625" t="s">
        <v>900</v>
      </c>
      <c r="P14" s="625" t="s">
        <v>901</v>
      </c>
      <c r="Q14" s="625" t="s">
        <v>902</v>
      </c>
      <c r="R14" s="625" t="s">
        <v>903</v>
      </c>
      <c r="S14" s="625" t="s">
        <v>904</v>
      </c>
      <c r="T14" s="625" t="s">
        <v>905</v>
      </c>
      <c r="U14" s="625" t="s">
        <v>906</v>
      </c>
      <c r="V14" s="625" t="s">
        <v>907</v>
      </c>
      <c r="W14" s="625" t="s">
        <v>908</v>
      </c>
      <c r="X14" s="625" t="s">
        <v>909</v>
      </c>
      <c r="Y14" s="625" t="s">
        <v>910</v>
      </c>
      <c r="Z14" s="625" t="s">
        <v>911</v>
      </c>
      <c r="AA14" s="625" t="s">
        <v>912</v>
      </c>
      <c r="AB14" s="625" t="s">
        <v>913</v>
      </c>
      <c r="AC14" s="625" t="s">
        <v>914</v>
      </c>
      <c r="AD14" s="625" t="s">
        <v>915</v>
      </c>
      <c r="AE14" s="625" t="s">
        <v>916</v>
      </c>
    </row>
    <row r="15" spans="1:1058 16201:16384" s="223" customFormat="1" outlineLevel="1">
      <c r="A15" s="624"/>
      <c r="B15" s="247" t="s">
        <v>248</v>
      </c>
      <c r="C15" s="626">
        <f>'Project Setting'!F88</f>
        <v>15</v>
      </c>
      <c r="D15" s="627" t="s">
        <v>917</v>
      </c>
      <c r="E15" s="627" t="s">
        <v>918</v>
      </c>
      <c r="F15" s="627">
        <v>0</v>
      </c>
      <c r="G15" s="627">
        <v>1</v>
      </c>
      <c r="H15" s="627">
        <v>2</v>
      </c>
      <c r="I15" s="627">
        <v>3</v>
      </c>
      <c r="J15" s="627">
        <v>4</v>
      </c>
      <c r="K15" s="627">
        <v>5</v>
      </c>
      <c r="L15" s="627">
        <v>6</v>
      </c>
      <c r="M15" s="627">
        <v>7</v>
      </c>
      <c r="N15" s="627">
        <v>8</v>
      </c>
      <c r="O15" s="627">
        <v>9</v>
      </c>
      <c r="P15" s="627">
        <v>10</v>
      </c>
      <c r="Q15" s="627">
        <v>11</v>
      </c>
      <c r="R15" s="627">
        <v>12</v>
      </c>
      <c r="S15" s="627">
        <v>13</v>
      </c>
      <c r="T15" s="627">
        <v>14</v>
      </c>
      <c r="U15" s="627">
        <v>15</v>
      </c>
      <c r="V15" s="627">
        <v>16</v>
      </c>
      <c r="W15" s="627">
        <v>17</v>
      </c>
      <c r="X15" s="627">
        <v>18</v>
      </c>
      <c r="Y15" s="627">
        <v>19</v>
      </c>
      <c r="Z15" s="627">
        <v>20</v>
      </c>
      <c r="AA15" s="627">
        <v>21</v>
      </c>
      <c r="AB15" s="627">
        <v>22</v>
      </c>
      <c r="AC15" s="627">
        <v>23</v>
      </c>
      <c r="AD15" s="627">
        <v>24</v>
      </c>
      <c r="AE15" s="627">
        <v>25</v>
      </c>
    </row>
    <row r="16" spans="1:1058 16201:16384" s="223" customFormat="1" outlineLevel="1">
      <c r="B16" s="623"/>
      <c r="C16" s="623"/>
      <c r="D16" s="623"/>
    </row>
    <row r="17" spans="1:31" s="223" customFormat="1" outlineLevel="1">
      <c r="B17" s="622" t="s">
        <v>919</v>
      </c>
      <c r="C17" s="626">
        <f>'Calculation Break-Even'!C12</f>
        <v>4815000</v>
      </c>
      <c r="D17" s="627" t="str">
        <f>'Calculation Break-Even'!D12</f>
        <v>EUR</v>
      </c>
      <c r="F17" s="628">
        <f>-C17</f>
        <v>-4815000</v>
      </c>
      <c r="G17" s="628"/>
      <c r="H17" s="628"/>
      <c r="I17" s="628"/>
      <c r="J17" s="628"/>
      <c r="K17" s="628"/>
      <c r="L17" s="628"/>
      <c r="M17" s="628"/>
      <c r="N17" s="628"/>
      <c r="O17" s="628"/>
      <c r="P17" s="628"/>
      <c r="Q17" s="628"/>
      <c r="R17" s="628"/>
      <c r="S17" s="628"/>
      <c r="T17" s="628"/>
      <c r="U17" s="628"/>
      <c r="V17" s="628"/>
      <c r="W17" s="628"/>
      <c r="X17" s="628"/>
      <c r="Y17" s="628"/>
      <c r="Z17" s="628"/>
      <c r="AA17" s="628"/>
      <c r="AB17" s="628"/>
      <c r="AC17" s="628"/>
      <c r="AD17" s="628"/>
      <c r="AE17" s="628"/>
    </row>
    <row r="18" spans="1:31" s="223" customFormat="1" outlineLevel="1">
      <c r="B18" s="622" t="s">
        <v>920</v>
      </c>
      <c r="C18" s="626">
        <f ca="1">'Calculation Break-Even'!E23</f>
        <v>348525.10297374992</v>
      </c>
      <c r="D18" s="627" t="str">
        <f>'Calculation Break-Even'!F23</f>
        <v>EUR/yr</v>
      </c>
      <c r="F18" s="626"/>
      <c r="G18" s="626">
        <f ca="1">-C18</f>
        <v>-348525.10297374992</v>
      </c>
      <c r="H18" s="626">
        <f t="shared" ref="H18:AE18" ca="1" si="0">IF(H$15&lt;=$C$15,G18,0)</f>
        <v>-348525.10297374992</v>
      </c>
      <c r="I18" s="626">
        <f t="shared" ca="1" si="0"/>
        <v>-348525.10297374992</v>
      </c>
      <c r="J18" s="626">
        <f t="shared" ca="1" si="0"/>
        <v>-348525.10297374992</v>
      </c>
      <c r="K18" s="626">
        <f t="shared" ca="1" si="0"/>
        <v>-348525.10297374992</v>
      </c>
      <c r="L18" s="626">
        <f t="shared" ca="1" si="0"/>
        <v>-348525.10297374992</v>
      </c>
      <c r="M18" s="626">
        <f t="shared" ca="1" si="0"/>
        <v>-348525.10297374992</v>
      </c>
      <c r="N18" s="626">
        <f t="shared" ca="1" si="0"/>
        <v>-348525.10297374992</v>
      </c>
      <c r="O18" s="626">
        <f t="shared" ca="1" si="0"/>
        <v>-348525.10297374992</v>
      </c>
      <c r="P18" s="626">
        <f t="shared" ca="1" si="0"/>
        <v>-348525.10297374992</v>
      </c>
      <c r="Q18" s="626">
        <f t="shared" ca="1" si="0"/>
        <v>-348525.10297374992</v>
      </c>
      <c r="R18" s="626">
        <f t="shared" ca="1" si="0"/>
        <v>-348525.10297374992</v>
      </c>
      <c r="S18" s="626">
        <f t="shared" ca="1" si="0"/>
        <v>-348525.10297374992</v>
      </c>
      <c r="T18" s="626">
        <f t="shared" ca="1" si="0"/>
        <v>-348525.10297374992</v>
      </c>
      <c r="U18" s="626">
        <f t="shared" ca="1" si="0"/>
        <v>-348525.10297374992</v>
      </c>
      <c r="V18" s="626">
        <f t="shared" si="0"/>
        <v>0</v>
      </c>
      <c r="W18" s="626">
        <f t="shared" si="0"/>
        <v>0</v>
      </c>
      <c r="X18" s="626">
        <f t="shared" si="0"/>
        <v>0</v>
      </c>
      <c r="Y18" s="626">
        <f t="shared" si="0"/>
        <v>0</v>
      </c>
      <c r="Z18" s="626">
        <f t="shared" si="0"/>
        <v>0</v>
      </c>
      <c r="AA18" s="626">
        <f t="shared" si="0"/>
        <v>0</v>
      </c>
      <c r="AB18" s="626">
        <f t="shared" si="0"/>
        <v>0</v>
      </c>
      <c r="AC18" s="626">
        <f t="shared" si="0"/>
        <v>0</v>
      </c>
      <c r="AD18" s="626">
        <f t="shared" si="0"/>
        <v>0</v>
      </c>
      <c r="AE18" s="626">
        <f t="shared" si="0"/>
        <v>0</v>
      </c>
    </row>
    <row r="19" spans="1:31" s="223" customFormat="1" outlineLevel="1">
      <c r="B19" s="622" t="s">
        <v>921</v>
      </c>
      <c r="C19" s="626">
        <f ca="1">'Calculation Break-Even'!E35</f>
        <v>615042.92908760789</v>
      </c>
      <c r="D19" s="627" t="str">
        <f>'Calculation Break-Even'!F35</f>
        <v>EUR/yr</v>
      </c>
      <c r="F19" s="547"/>
      <c r="G19" s="547">
        <f ca="1">-C19</f>
        <v>-615042.92908760789</v>
      </c>
      <c r="H19" s="547">
        <f t="shared" ref="H19:AE19" ca="1" si="1">IF(H$15&lt;=$C$15,G19,0)</f>
        <v>-615042.92908760789</v>
      </c>
      <c r="I19" s="547">
        <f t="shared" ca="1" si="1"/>
        <v>-615042.92908760789</v>
      </c>
      <c r="J19" s="547">
        <f t="shared" ca="1" si="1"/>
        <v>-615042.92908760789</v>
      </c>
      <c r="K19" s="547">
        <f t="shared" ca="1" si="1"/>
        <v>-615042.92908760789</v>
      </c>
      <c r="L19" s="547">
        <f t="shared" ca="1" si="1"/>
        <v>-615042.92908760789</v>
      </c>
      <c r="M19" s="547">
        <f t="shared" ca="1" si="1"/>
        <v>-615042.92908760789</v>
      </c>
      <c r="N19" s="547">
        <f t="shared" ca="1" si="1"/>
        <v>-615042.92908760789</v>
      </c>
      <c r="O19" s="547">
        <f t="shared" ca="1" si="1"/>
        <v>-615042.92908760789</v>
      </c>
      <c r="P19" s="547">
        <f t="shared" ca="1" si="1"/>
        <v>-615042.92908760789</v>
      </c>
      <c r="Q19" s="547">
        <f t="shared" ca="1" si="1"/>
        <v>-615042.92908760789</v>
      </c>
      <c r="R19" s="547">
        <f t="shared" ca="1" si="1"/>
        <v>-615042.92908760789</v>
      </c>
      <c r="S19" s="547">
        <f t="shared" ca="1" si="1"/>
        <v>-615042.92908760789</v>
      </c>
      <c r="T19" s="547">
        <f t="shared" ca="1" si="1"/>
        <v>-615042.92908760789</v>
      </c>
      <c r="U19" s="547">
        <f t="shared" ca="1" si="1"/>
        <v>-615042.92908760789</v>
      </c>
      <c r="V19" s="547">
        <f t="shared" si="1"/>
        <v>0</v>
      </c>
      <c r="W19" s="547">
        <f t="shared" si="1"/>
        <v>0</v>
      </c>
      <c r="X19" s="547">
        <f t="shared" si="1"/>
        <v>0</v>
      </c>
      <c r="Y19" s="547">
        <f t="shared" si="1"/>
        <v>0</v>
      </c>
      <c r="Z19" s="547">
        <f t="shared" si="1"/>
        <v>0</v>
      </c>
      <c r="AA19" s="547">
        <f t="shared" si="1"/>
        <v>0</v>
      </c>
      <c r="AB19" s="547">
        <f t="shared" si="1"/>
        <v>0</v>
      </c>
      <c r="AC19" s="547">
        <f t="shared" si="1"/>
        <v>0</v>
      </c>
      <c r="AD19" s="547">
        <f t="shared" si="1"/>
        <v>0</v>
      </c>
      <c r="AE19" s="547">
        <f t="shared" si="1"/>
        <v>0</v>
      </c>
    </row>
    <row r="20" spans="1:31" s="223" customFormat="1" outlineLevel="1">
      <c r="B20" s="623" t="s">
        <v>922</v>
      </c>
      <c r="C20" s="623"/>
      <c r="D20" s="623"/>
      <c r="F20" s="626">
        <f>SUM(F17:F19)</f>
        <v>-4815000</v>
      </c>
      <c r="G20" s="626">
        <f ca="1">SUM(G17:G19)</f>
        <v>-963568.03206135775</v>
      </c>
      <c r="H20" s="626">
        <f t="shared" ref="H20:AE20" ca="1" si="2">IF(H$15&lt;=$C$15,G20,0)</f>
        <v>-963568.03206135775</v>
      </c>
      <c r="I20" s="626">
        <f t="shared" ca="1" si="2"/>
        <v>-963568.03206135775</v>
      </c>
      <c r="J20" s="626">
        <f t="shared" ca="1" si="2"/>
        <v>-963568.03206135775</v>
      </c>
      <c r="K20" s="626">
        <f t="shared" ca="1" si="2"/>
        <v>-963568.03206135775</v>
      </c>
      <c r="L20" s="626">
        <f t="shared" ca="1" si="2"/>
        <v>-963568.03206135775</v>
      </c>
      <c r="M20" s="626">
        <f t="shared" ca="1" si="2"/>
        <v>-963568.03206135775</v>
      </c>
      <c r="N20" s="626">
        <f t="shared" ca="1" si="2"/>
        <v>-963568.03206135775</v>
      </c>
      <c r="O20" s="626">
        <f t="shared" ca="1" si="2"/>
        <v>-963568.03206135775</v>
      </c>
      <c r="P20" s="626">
        <f t="shared" ca="1" si="2"/>
        <v>-963568.03206135775</v>
      </c>
      <c r="Q20" s="626">
        <f t="shared" ca="1" si="2"/>
        <v>-963568.03206135775</v>
      </c>
      <c r="R20" s="626">
        <f t="shared" ca="1" si="2"/>
        <v>-963568.03206135775</v>
      </c>
      <c r="S20" s="626">
        <f t="shared" ca="1" si="2"/>
        <v>-963568.03206135775</v>
      </c>
      <c r="T20" s="626">
        <f t="shared" ca="1" si="2"/>
        <v>-963568.03206135775</v>
      </c>
      <c r="U20" s="626">
        <f t="shared" ca="1" si="2"/>
        <v>-963568.03206135775</v>
      </c>
      <c r="V20" s="626">
        <f t="shared" si="2"/>
        <v>0</v>
      </c>
      <c r="W20" s="626">
        <f t="shared" si="2"/>
        <v>0</v>
      </c>
      <c r="X20" s="626">
        <f t="shared" si="2"/>
        <v>0</v>
      </c>
      <c r="Y20" s="626">
        <f t="shared" si="2"/>
        <v>0</v>
      </c>
      <c r="Z20" s="626">
        <f t="shared" si="2"/>
        <v>0</v>
      </c>
      <c r="AA20" s="626">
        <f t="shared" si="2"/>
        <v>0</v>
      </c>
      <c r="AB20" s="626">
        <f t="shared" si="2"/>
        <v>0</v>
      </c>
      <c r="AC20" s="626">
        <f t="shared" si="2"/>
        <v>0</v>
      </c>
      <c r="AD20" s="626">
        <f t="shared" si="2"/>
        <v>0</v>
      </c>
      <c r="AE20" s="626">
        <f t="shared" si="2"/>
        <v>0</v>
      </c>
    </row>
    <row r="21" spans="1:31" s="223" customFormat="1" outlineLevel="1">
      <c r="B21" s="623"/>
      <c r="C21" s="623"/>
      <c r="D21" s="623"/>
      <c r="F21" s="630"/>
      <c r="G21" s="630"/>
      <c r="H21" s="630"/>
      <c r="I21" s="630"/>
      <c r="J21" s="630"/>
      <c r="K21" s="630"/>
      <c r="L21" s="630"/>
      <c r="M21" s="630"/>
      <c r="N21" s="630"/>
      <c r="O21" s="630"/>
      <c r="P21" s="630"/>
      <c r="Q21" s="630"/>
      <c r="R21" s="630"/>
      <c r="S21" s="630"/>
      <c r="T21" s="630"/>
      <c r="U21" s="630"/>
      <c r="V21" s="630"/>
      <c r="W21" s="630"/>
      <c r="X21" s="630"/>
      <c r="Y21" s="630"/>
      <c r="Z21" s="630"/>
      <c r="AA21" s="630"/>
      <c r="AB21" s="630"/>
      <c r="AC21" s="630"/>
      <c r="AD21" s="630"/>
      <c r="AE21" s="630"/>
    </row>
    <row r="22" spans="1:31" s="223" customFormat="1" outlineLevel="1">
      <c r="B22" s="623" t="s">
        <v>543</v>
      </c>
      <c r="C22" s="626">
        <f ca="1">'Calculation Break-Even'!E39</f>
        <v>1337630.819731378</v>
      </c>
      <c r="D22" s="627" t="str">
        <f>'Calculation Break-Even'!F39</f>
        <v>EUR/yr</v>
      </c>
      <c r="F22" s="629"/>
      <c r="G22" s="629">
        <f ca="1">C22</f>
        <v>1337630.819731378</v>
      </c>
      <c r="H22" s="629">
        <f t="shared" ref="H22:AE22" ca="1" si="3">IF(H$15&lt;=$C$15,G22,0)</f>
        <v>1337630.819731378</v>
      </c>
      <c r="I22" s="629">
        <f t="shared" ca="1" si="3"/>
        <v>1337630.819731378</v>
      </c>
      <c r="J22" s="629">
        <f t="shared" ca="1" si="3"/>
        <v>1337630.819731378</v>
      </c>
      <c r="K22" s="629">
        <f t="shared" ca="1" si="3"/>
        <v>1337630.819731378</v>
      </c>
      <c r="L22" s="629">
        <f t="shared" ca="1" si="3"/>
        <v>1337630.819731378</v>
      </c>
      <c r="M22" s="629">
        <f t="shared" ca="1" si="3"/>
        <v>1337630.819731378</v>
      </c>
      <c r="N22" s="629">
        <f t="shared" ca="1" si="3"/>
        <v>1337630.819731378</v>
      </c>
      <c r="O22" s="629">
        <f t="shared" ca="1" si="3"/>
        <v>1337630.819731378</v>
      </c>
      <c r="P22" s="629">
        <f t="shared" ca="1" si="3"/>
        <v>1337630.819731378</v>
      </c>
      <c r="Q22" s="629">
        <f t="shared" ca="1" si="3"/>
        <v>1337630.819731378</v>
      </c>
      <c r="R22" s="629">
        <f t="shared" ca="1" si="3"/>
        <v>1337630.819731378</v>
      </c>
      <c r="S22" s="629">
        <f t="shared" ca="1" si="3"/>
        <v>1337630.819731378</v>
      </c>
      <c r="T22" s="629">
        <f t="shared" ca="1" si="3"/>
        <v>1337630.819731378</v>
      </c>
      <c r="U22" s="629">
        <f t="shared" ca="1" si="3"/>
        <v>1337630.819731378</v>
      </c>
      <c r="V22" s="629">
        <f t="shared" si="3"/>
        <v>0</v>
      </c>
      <c r="W22" s="629">
        <f t="shared" si="3"/>
        <v>0</v>
      </c>
      <c r="X22" s="629">
        <f t="shared" si="3"/>
        <v>0</v>
      </c>
      <c r="Y22" s="629">
        <f t="shared" si="3"/>
        <v>0</v>
      </c>
      <c r="Z22" s="629">
        <f t="shared" si="3"/>
        <v>0</v>
      </c>
      <c r="AA22" s="629">
        <f t="shared" si="3"/>
        <v>0</v>
      </c>
      <c r="AB22" s="629">
        <f t="shared" si="3"/>
        <v>0</v>
      </c>
      <c r="AC22" s="629">
        <f t="shared" si="3"/>
        <v>0</v>
      </c>
      <c r="AD22" s="629">
        <f t="shared" si="3"/>
        <v>0</v>
      </c>
      <c r="AE22" s="629">
        <f t="shared" si="3"/>
        <v>0</v>
      </c>
    </row>
    <row r="23" spans="1:31" s="223" customFormat="1" outlineLevel="1">
      <c r="B23" s="631" t="s">
        <v>923</v>
      </c>
      <c r="C23" s="623"/>
      <c r="D23" s="623"/>
      <c r="F23" s="632">
        <f t="shared" ref="F23:Z23" si="4">F20+F22</f>
        <v>-4815000</v>
      </c>
      <c r="G23" s="632">
        <f t="shared" ca="1" si="4"/>
        <v>374062.78767002025</v>
      </c>
      <c r="H23" s="632">
        <f t="shared" ca="1" si="4"/>
        <v>374062.78767002025</v>
      </c>
      <c r="I23" s="632">
        <f t="shared" ca="1" si="4"/>
        <v>374062.78767002025</v>
      </c>
      <c r="J23" s="632">
        <f t="shared" ca="1" si="4"/>
        <v>374062.78767002025</v>
      </c>
      <c r="K23" s="632">
        <f t="shared" ca="1" si="4"/>
        <v>374062.78767002025</v>
      </c>
      <c r="L23" s="632">
        <f t="shared" ca="1" si="4"/>
        <v>374062.78767002025</v>
      </c>
      <c r="M23" s="632">
        <f t="shared" ca="1" si="4"/>
        <v>374062.78767002025</v>
      </c>
      <c r="N23" s="632">
        <f t="shared" ca="1" si="4"/>
        <v>374062.78767002025</v>
      </c>
      <c r="O23" s="632">
        <f t="shared" ca="1" si="4"/>
        <v>374062.78767002025</v>
      </c>
      <c r="P23" s="632">
        <f t="shared" ca="1" si="4"/>
        <v>374062.78767002025</v>
      </c>
      <c r="Q23" s="632">
        <f t="shared" ca="1" si="4"/>
        <v>374062.78767002025</v>
      </c>
      <c r="R23" s="632">
        <f t="shared" ca="1" si="4"/>
        <v>374062.78767002025</v>
      </c>
      <c r="S23" s="632">
        <f t="shared" ca="1" si="4"/>
        <v>374062.78767002025</v>
      </c>
      <c r="T23" s="632">
        <f t="shared" ca="1" si="4"/>
        <v>374062.78767002025</v>
      </c>
      <c r="U23" s="632">
        <f t="shared" ca="1" si="4"/>
        <v>374062.78767002025</v>
      </c>
      <c r="V23" s="632">
        <f t="shared" si="4"/>
        <v>0</v>
      </c>
      <c r="W23" s="632">
        <f t="shared" si="4"/>
        <v>0</v>
      </c>
      <c r="X23" s="632">
        <f t="shared" si="4"/>
        <v>0</v>
      </c>
      <c r="Y23" s="632">
        <f t="shared" si="4"/>
        <v>0</v>
      </c>
      <c r="Z23" s="632">
        <f t="shared" si="4"/>
        <v>0</v>
      </c>
      <c r="AA23" s="632">
        <f>AA20+AA22</f>
        <v>0</v>
      </c>
      <c r="AB23" s="632">
        <f>AB20+AB22</f>
        <v>0</v>
      </c>
      <c r="AC23" s="632">
        <f>AC20+AC22</f>
        <v>0</v>
      </c>
      <c r="AD23" s="632">
        <f>AD20+AD22</f>
        <v>0</v>
      </c>
      <c r="AE23" s="632">
        <f>AE20+AE22</f>
        <v>0</v>
      </c>
    </row>
    <row r="24" spans="1:31" s="223" customFormat="1" outlineLevel="1">
      <c r="B24" s="623"/>
      <c r="C24" s="623"/>
      <c r="D24" s="623"/>
    </row>
    <row r="25" spans="1:31" s="223" customFormat="1" ht="13.5" outlineLevel="1" thickBot="1">
      <c r="B25" s="919" t="s">
        <v>509</v>
      </c>
      <c r="C25" s="919"/>
      <c r="D25" s="920" t="str">
        <f ca="1">IF(G23&lt;0,"Annual Earnings are always less than annual costs",IF(F23&lt;0,ROUND(IRR(F23:Z23)*100,2) &amp;" %","DC operator pays no investments"))</f>
        <v>1.98 %</v>
      </c>
      <c r="E25" s="633"/>
      <c r="F25" s="634">
        <f ca="1">IFERROR(IRR(F23:Z23),"-1")</f>
        <v>1.9762012192563017E-2</v>
      </c>
    </row>
    <row r="26" spans="1:31" s="223" customFormat="1" ht="13.5" outlineLevel="1" thickTop="1">
      <c r="B26" s="623" t="s">
        <v>924</v>
      </c>
      <c r="C26" s="623"/>
      <c r="D26" s="635">
        <f>'Project Setting'!F100/100</f>
        <v>0.05</v>
      </c>
      <c r="F26" s="223" t="str">
        <f ca="1">IF(D26&gt;F25,"Internal Rate of Return lower than expected IRR: IRR/expected IRR ="&amp;ROUND(D25/D26,3),"Expected IRR of Contractor 1 / DH Operator meet")</f>
        <v>Internal Rate of Return lower than expected IRR: IRR/expected IRR =0.396</v>
      </c>
    </row>
    <row r="27" spans="1:31" s="223" customFormat="1"/>
    <row r="28" spans="1:31" s="223" customFormat="1"/>
    <row r="29" spans="1:31" ht="25.5">
      <c r="A29" s="223"/>
      <c r="B29" s="1244" t="s">
        <v>925</v>
      </c>
      <c r="C29" s="1245"/>
      <c r="D29" s="1245"/>
      <c r="E29" s="625" t="s">
        <v>890</v>
      </c>
      <c r="F29" s="625" t="s">
        <v>891</v>
      </c>
      <c r="G29" s="625" t="s">
        <v>892</v>
      </c>
      <c r="H29" s="625" t="s">
        <v>893</v>
      </c>
      <c r="I29" s="625" t="s">
        <v>894</v>
      </c>
      <c r="J29" s="625" t="s">
        <v>895</v>
      </c>
      <c r="K29" s="625" t="s">
        <v>896</v>
      </c>
      <c r="L29" s="625" t="s">
        <v>897</v>
      </c>
      <c r="M29" s="625" t="s">
        <v>898</v>
      </c>
      <c r="N29" s="625" t="s">
        <v>899</v>
      </c>
      <c r="O29" s="625" t="s">
        <v>900</v>
      </c>
      <c r="P29" s="625" t="s">
        <v>901</v>
      </c>
      <c r="Q29" s="625" t="s">
        <v>902</v>
      </c>
      <c r="R29" s="625" t="s">
        <v>903</v>
      </c>
      <c r="S29" s="625" t="s">
        <v>904</v>
      </c>
      <c r="T29" s="625" t="s">
        <v>905</v>
      </c>
      <c r="U29" s="625" t="s">
        <v>906</v>
      </c>
      <c r="V29" s="625" t="s">
        <v>907</v>
      </c>
      <c r="W29" s="625" t="s">
        <v>908</v>
      </c>
      <c r="X29" s="625" t="s">
        <v>909</v>
      </c>
      <c r="Y29" s="625" t="s">
        <v>910</v>
      </c>
      <c r="Z29" s="625" t="s">
        <v>911</v>
      </c>
      <c r="AA29" s="625" t="s">
        <v>912</v>
      </c>
      <c r="AB29" s="625" t="s">
        <v>913</v>
      </c>
      <c r="AC29" s="625" t="s">
        <v>914</v>
      </c>
      <c r="AD29" s="625" t="s">
        <v>915</v>
      </c>
      <c r="AE29" s="625" t="s">
        <v>916</v>
      </c>
    </row>
    <row r="30" spans="1:31">
      <c r="A30" s="223"/>
      <c r="B30" s="162" t="s">
        <v>248</v>
      </c>
      <c r="C30" s="629">
        <f>'Project Setting'!F117</f>
        <v>15</v>
      </c>
      <c r="D30" s="921" t="s">
        <v>917</v>
      </c>
      <c r="E30" s="627" t="s">
        <v>918</v>
      </c>
      <c r="F30" s="627">
        <v>0</v>
      </c>
      <c r="G30" s="627">
        <v>1</v>
      </c>
      <c r="H30" s="627">
        <v>2</v>
      </c>
      <c r="I30" s="627">
        <v>3</v>
      </c>
      <c r="J30" s="627">
        <v>4</v>
      </c>
      <c r="K30" s="627">
        <v>5</v>
      </c>
      <c r="L30" s="627">
        <v>6</v>
      </c>
      <c r="M30" s="627">
        <v>7</v>
      </c>
      <c r="N30" s="627">
        <v>8</v>
      </c>
      <c r="O30" s="627">
        <v>9</v>
      </c>
      <c r="P30" s="627">
        <v>10</v>
      </c>
      <c r="Q30" s="627">
        <v>11</v>
      </c>
      <c r="R30" s="627">
        <v>12</v>
      </c>
      <c r="S30" s="627">
        <v>13</v>
      </c>
      <c r="T30" s="627">
        <v>14</v>
      </c>
      <c r="U30" s="627">
        <v>15</v>
      </c>
      <c r="V30" s="627">
        <v>16</v>
      </c>
      <c r="W30" s="627">
        <v>17</v>
      </c>
      <c r="X30" s="627">
        <v>18</v>
      </c>
      <c r="Y30" s="627">
        <v>19</v>
      </c>
      <c r="Z30" s="627">
        <v>20</v>
      </c>
      <c r="AA30" s="627">
        <v>21</v>
      </c>
      <c r="AB30" s="627">
        <v>22</v>
      </c>
      <c r="AC30" s="627">
        <v>23</v>
      </c>
      <c r="AD30" s="627">
        <v>24</v>
      </c>
      <c r="AE30" s="627">
        <v>25</v>
      </c>
    </row>
    <row r="31" spans="1:31" s="223" customFormat="1"/>
    <row r="32" spans="1:31">
      <c r="A32" s="223"/>
      <c r="B32" s="637" t="s">
        <v>522</v>
      </c>
      <c r="C32" s="628">
        <f>'Calculation Break-Even'!C51</f>
        <v>676080</v>
      </c>
      <c r="D32" s="636" t="str">
        <f>D17</f>
        <v>EUR</v>
      </c>
      <c r="E32" s="223"/>
      <c r="F32" s="628">
        <f>-C32</f>
        <v>-676080</v>
      </c>
      <c r="G32" s="628"/>
      <c r="H32" s="628"/>
      <c r="I32" s="628"/>
      <c r="J32" s="628"/>
      <c r="K32" s="628"/>
      <c r="L32" s="628"/>
      <c r="M32" s="628"/>
      <c r="N32" s="628"/>
      <c r="O32" s="628"/>
      <c r="P32" s="628"/>
      <c r="Q32" s="628"/>
      <c r="R32" s="628"/>
      <c r="S32" s="628"/>
      <c r="T32" s="628"/>
      <c r="U32" s="628"/>
      <c r="V32" s="628"/>
      <c r="W32" s="628"/>
      <c r="X32" s="628"/>
      <c r="Y32" s="628"/>
      <c r="Z32" s="628"/>
      <c r="AA32" s="628"/>
      <c r="AB32" s="628"/>
      <c r="AC32" s="628"/>
      <c r="AD32" s="628"/>
      <c r="AE32" s="628"/>
    </row>
    <row r="33" spans="1:31">
      <c r="A33" s="223"/>
      <c r="B33" s="638" t="s">
        <v>926</v>
      </c>
      <c r="C33" s="626">
        <f ca="1">'Calculation Break-Even'!E55</f>
        <v>50000</v>
      </c>
      <c r="D33" s="636" t="str">
        <f>'Calculation Break-Even'!F41</f>
        <v>EUR/yr</v>
      </c>
      <c r="E33" s="223"/>
      <c r="F33" s="628"/>
      <c r="G33" s="628">
        <f ca="1">-C33</f>
        <v>-50000</v>
      </c>
      <c r="H33" s="628">
        <f t="shared" ref="H33:AE33" ca="1" si="5">IF(H$15&lt;=$C$30,G33,0)</f>
        <v>-50000</v>
      </c>
      <c r="I33" s="628">
        <f t="shared" ca="1" si="5"/>
        <v>-50000</v>
      </c>
      <c r="J33" s="628">
        <f t="shared" ca="1" si="5"/>
        <v>-50000</v>
      </c>
      <c r="K33" s="628">
        <f t="shared" ca="1" si="5"/>
        <v>-50000</v>
      </c>
      <c r="L33" s="628">
        <f t="shared" ca="1" si="5"/>
        <v>-50000</v>
      </c>
      <c r="M33" s="628">
        <f t="shared" ca="1" si="5"/>
        <v>-50000</v>
      </c>
      <c r="N33" s="628">
        <f t="shared" ca="1" si="5"/>
        <v>-50000</v>
      </c>
      <c r="O33" s="628">
        <f t="shared" ca="1" si="5"/>
        <v>-50000</v>
      </c>
      <c r="P33" s="628">
        <f t="shared" ca="1" si="5"/>
        <v>-50000</v>
      </c>
      <c r="Q33" s="628">
        <f t="shared" ca="1" si="5"/>
        <v>-50000</v>
      </c>
      <c r="R33" s="628">
        <f t="shared" ca="1" si="5"/>
        <v>-50000</v>
      </c>
      <c r="S33" s="628">
        <f t="shared" ca="1" si="5"/>
        <v>-50000</v>
      </c>
      <c r="T33" s="628">
        <f t="shared" ca="1" si="5"/>
        <v>-50000</v>
      </c>
      <c r="U33" s="628">
        <f t="shared" ca="1" si="5"/>
        <v>-50000</v>
      </c>
      <c r="V33" s="628">
        <f t="shared" si="5"/>
        <v>0</v>
      </c>
      <c r="W33" s="628">
        <f t="shared" si="5"/>
        <v>0</v>
      </c>
      <c r="X33" s="628">
        <f t="shared" si="5"/>
        <v>0</v>
      </c>
      <c r="Y33" s="628">
        <f t="shared" si="5"/>
        <v>0</v>
      </c>
      <c r="Z33" s="628">
        <f t="shared" si="5"/>
        <v>0</v>
      </c>
      <c r="AA33" s="628">
        <f t="shared" si="5"/>
        <v>0</v>
      </c>
      <c r="AB33" s="628">
        <f t="shared" si="5"/>
        <v>0</v>
      </c>
      <c r="AC33" s="628">
        <f t="shared" si="5"/>
        <v>0</v>
      </c>
      <c r="AD33" s="628">
        <f t="shared" si="5"/>
        <v>0</v>
      </c>
      <c r="AE33" s="628">
        <f t="shared" si="5"/>
        <v>0</v>
      </c>
    </row>
    <row r="34" spans="1:31">
      <c r="A34" s="223"/>
      <c r="B34" s="639" t="s">
        <v>927</v>
      </c>
      <c r="C34" s="629">
        <f ca="1">'Calculation Break-Even'!E58</f>
        <v>32761.843078561178</v>
      </c>
      <c r="D34" s="636" t="str">
        <f>'Calculation Break-Even'!F55</f>
        <v>EUR/yr</v>
      </c>
      <c r="E34" s="223"/>
      <c r="F34" s="626"/>
      <c r="G34" s="626">
        <f ca="1">-C34</f>
        <v>-32761.843078561178</v>
      </c>
      <c r="H34" s="626">
        <f t="shared" ref="H34:AE34" ca="1" si="6">IF(H$15&lt;=$C$30,G34,0)</f>
        <v>-32761.843078561178</v>
      </c>
      <c r="I34" s="626">
        <f t="shared" ca="1" si="6"/>
        <v>-32761.843078561178</v>
      </c>
      <c r="J34" s="626">
        <f t="shared" ca="1" si="6"/>
        <v>-32761.843078561178</v>
      </c>
      <c r="K34" s="626">
        <f t="shared" ca="1" si="6"/>
        <v>-32761.843078561178</v>
      </c>
      <c r="L34" s="626">
        <f t="shared" ca="1" si="6"/>
        <v>-32761.843078561178</v>
      </c>
      <c r="M34" s="626">
        <f t="shared" ca="1" si="6"/>
        <v>-32761.843078561178</v>
      </c>
      <c r="N34" s="626">
        <f t="shared" ca="1" si="6"/>
        <v>-32761.843078561178</v>
      </c>
      <c r="O34" s="626">
        <f t="shared" ca="1" si="6"/>
        <v>-32761.843078561178</v>
      </c>
      <c r="P34" s="626">
        <f t="shared" ca="1" si="6"/>
        <v>-32761.843078561178</v>
      </c>
      <c r="Q34" s="626">
        <f t="shared" ca="1" si="6"/>
        <v>-32761.843078561178</v>
      </c>
      <c r="R34" s="626">
        <f t="shared" ca="1" si="6"/>
        <v>-32761.843078561178</v>
      </c>
      <c r="S34" s="626">
        <f t="shared" ca="1" si="6"/>
        <v>-32761.843078561178</v>
      </c>
      <c r="T34" s="626">
        <f t="shared" ca="1" si="6"/>
        <v>-32761.843078561178</v>
      </c>
      <c r="U34" s="626">
        <f t="shared" ca="1" si="6"/>
        <v>-32761.843078561178</v>
      </c>
      <c r="V34" s="626">
        <f t="shared" si="6"/>
        <v>0</v>
      </c>
      <c r="W34" s="626">
        <f t="shared" si="6"/>
        <v>0</v>
      </c>
      <c r="X34" s="626">
        <f t="shared" si="6"/>
        <v>0</v>
      </c>
      <c r="Y34" s="626">
        <f t="shared" si="6"/>
        <v>0</v>
      </c>
      <c r="Z34" s="626">
        <f t="shared" si="6"/>
        <v>0</v>
      </c>
      <c r="AA34" s="626">
        <f t="shared" si="6"/>
        <v>0</v>
      </c>
      <c r="AB34" s="626">
        <f t="shared" si="6"/>
        <v>0</v>
      </c>
      <c r="AC34" s="626">
        <f t="shared" si="6"/>
        <v>0</v>
      </c>
      <c r="AD34" s="626">
        <f t="shared" si="6"/>
        <v>0</v>
      </c>
      <c r="AE34" s="626">
        <f t="shared" si="6"/>
        <v>0</v>
      </c>
    </row>
    <row r="35" spans="1:31">
      <c r="A35" s="223"/>
      <c r="B35" s="623" t="s">
        <v>922</v>
      </c>
      <c r="C35" s="623"/>
      <c r="D35" s="623"/>
      <c r="E35" s="223"/>
      <c r="F35" s="547">
        <f>SUM(F32:F34)</f>
        <v>-676080</v>
      </c>
      <c r="G35" s="547">
        <f ca="1">SUM(G32:G34)</f>
        <v>-82761.843078561185</v>
      </c>
      <c r="H35" s="547">
        <f t="shared" ref="H35:AE35" ca="1" si="7">IF(H$15&lt;=$C$30,G35,0)</f>
        <v>-82761.843078561185</v>
      </c>
      <c r="I35" s="547">
        <f t="shared" ca="1" si="7"/>
        <v>-82761.843078561185</v>
      </c>
      <c r="J35" s="547">
        <f t="shared" ca="1" si="7"/>
        <v>-82761.843078561185</v>
      </c>
      <c r="K35" s="547">
        <f t="shared" ca="1" si="7"/>
        <v>-82761.843078561185</v>
      </c>
      <c r="L35" s="547">
        <f t="shared" ca="1" si="7"/>
        <v>-82761.843078561185</v>
      </c>
      <c r="M35" s="547">
        <f t="shared" ca="1" si="7"/>
        <v>-82761.843078561185</v>
      </c>
      <c r="N35" s="547">
        <f t="shared" ca="1" si="7"/>
        <v>-82761.843078561185</v>
      </c>
      <c r="O35" s="547">
        <f t="shared" ca="1" si="7"/>
        <v>-82761.843078561185</v>
      </c>
      <c r="P35" s="547">
        <f t="shared" ca="1" si="7"/>
        <v>-82761.843078561185</v>
      </c>
      <c r="Q35" s="547">
        <f t="shared" ca="1" si="7"/>
        <v>-82761.843078561185</v>
      </c>
      <c r="R35" s="547">
        <f t="shared" ca="1" si="7"/>
        <v>-82761.843078561185</v>
      </c>
      <c r="S35" s="547">
        <f t="shared" ca="1" si="7"/>
        <v>-82761.843078561185</v>
      </c>
      <c r="T35" s="547">
        <f t="shared" ca="1" si="7"/>
        <v>-82761.843078561185</v>
      </c>
      <c r="U35" s="547">
        <f t="shared" ca="1" si="7"/>
        <v>-82761.843078561185</v>
      </c>
      <c r="V35" s="547">
        <f t="shared" si="7"/>
        <v>0</v>
      </c>
      <c r="W35" s="547">
        <f t="shared" si="7"/>
        <v>0</v>
      </c>
      <c r="X35" s="547">
        <f t="shared" si="7"/>
        <v>0</v>
      </c>
      <c r="Y35" s="547">
        <f t="shared" si="7"/>
        <v>0</v>
      </c>
      <c r="Z35" s="547">
        <f t="shared" si="7"/>
        <v>0</v>
      </c>
      <c r="AA35" s="547">
        <f t="shared" si="7"/>
        <v>0</v>
      </c>
      <c r="AB35" s="547">
        <f t="shared" si="7"/>
        <v>0</v>
      </c>
      <c r="AC35" s="547">
        <f t="shared" si="7"/>
        <v>0</v>
      </c>
      <c r="AD35" s="547">
        <f t="shared" si="7"/>
        <v>0</v>
      </c>
      <c r="AE35" s="547">
        <f t="shared" si="7"/>
        <v>0</v>
      </c>
    </row>
    <row r="36" spans="1:31" s="223" customFormat="1">
      <c r="F36" s="640"/>
      <c r="G36" s="640"/>
      <c r="H36" s="640"/>
      <c r="I36" s="640"/>
      <c r="J36" s="640"/>
      <c r="K36" s="640"/>
      <c r="L36" s="640"/>
      <c r="M36" s="640"/>
      <c r="N36" s="640"/>
      <c r="O36" s="640"/>
      <c r="P36" s="640"/>
      <c r="Q36" s="640"/>
      <c r="R36" s="640"/>
      <c r="S36" s="640"/>
      <c r="T36" s="640"/>
      <c r="U36" s="640"/>
      <c r="V36" s="640"/>
      <c r="W36" s="640"/>
      <c r="X36" s="640"/>
      <c r="Y36" s="640"/>
      <c r="Z36" s="640"/>
      <c r="AA36" s="640"/>
      <c r="AB36" s="640"/>
      <c r="AC36" s="640"/>
      <c r="AD36" s="640"/>
      <c r="AE36" s="640"/>
    </row>
    <row r="37" spans="1:31">
      <c r="A37" s="223"/>
      <c r="B37" s="641" t="s">
        <v>928</v>
      </c>
      <c r="C37" s="626">
        <f ca="1">'Calculation Break-Even'!E60</f>
        <v>34767.527216174189</v>
      </c>
      <c r="D37" s="636" t="str">
        <f>'Calculation Break-Even'!F57</f>
        <v>EUR/yr</v>
      </c>
      <c r="E37" s="223"/>
      <c r="F37" s="629"/>
      <c r="G37" s="629">
        <f ca="1">C37</f>
        <v>34767.527216174189</v>
      </c>
      <c r="H37" s="629">
        <f t="shared" ref="H37:AE37" ca="1" si="8">IF(H$15&lt;=$C$30,G37,0)</f>
        <v>34767.527216174189</v>
      </c>
      <c r="I37" s="629">
        <f t="shared" ca="1" si="8"/>
        <v>34767.527216174189</v>
      </c>
      <c r="J37" s="629">
        <f t="shared" ca="1" si="8"/>
        <v>34767.527216174189</v>
      </c>
      <c r="K37" s="629">
        <f t="shared" ca="1" si="8"/>
        <v>34767.527216174189</v>
      </c>
      <c r="L37" s="629">
        <f t="shared" ca="1" si="8"/>
        <v>34767.527216174189</v>
      </c>
      <c r="M37" s="629">
        <f t="shared" ca="1" si="8"/>
        <v>34767.527216174189</v>
      </c>
      <c r="N37" s="629">
        <f t="shared" ca="1" si="8"/>
        <v>34767.527216174189</v>
      </c>
      <c r="O37" s="629">
        <f t="shared" ca="1" si="8"/>
        <v>34767.527216174189</v>
      </c>
      <c r="P37" s="629">
        <f t="shared" ca="1" si="8"/>
        <v>34767.527216174189</v>
      </c>
      <c r="Q37" s="629">
        <f t="shared" ca="1" si="8"/>
        <v>34767.527216174189</v>
      </c>
      <c r="R37" s="629">
        <f t="shared" ca="1" si="8"/>
        <v>34767.527216174189</v>
      </c>
      <c r="S37" s="629">
        <f t="shared" ca="1" si="8"/>
        <v>34767.527216174189</v>
      </c>
      <c r="T37" s="629">
        <f t="shared" ca="1" si="8"/>
        <v>34767.527216174189</v>
      </c>
      <c r="U37" s="629">
        <f t="shared" ca="1" si="8"/>
        <v>34767.527216174189</v>
      </c>
      <c r="V37" s="629">
        <f t="shared" si="8"/>
        <v>0</v>
      </c>
      <c r="W37" s="629">
        <f t="shared" si="8"/>
        <v>0</v>
      </c>
      <c r="X37" s="629">
        <f t="shared" si="8"/>
        <v>0</v>
      </c>
      <c r="Y37" s="629">
        <f t="shared" si="8"/>
        <v>0</v>
      </c>
      <c r="Z37" s="629">
        <f t="shared" si="8"/>
        <v>0</v>
      </c>
      <c r="AA37" s="629">
        <f t="shared" si="8"/>
        <v>0</v>
      </c>
      <c r="AB37" s="629">
        <f t="shared" si="8"/>
        <v>0</v>
      </c>
      <c r="AC37" s="629">
        <f t="shared" si="8"/>
        <v>0</v>
      </c>
      <c r="AD37" s="629">
        <f t="shared" si="8"/>
        <v>0</v>
      </c>
      <c r="AE37" s="629">
        <f t="shared" si="8"/>
        <v>0</v>
      </c>
    </row>
    <row r="38" spans="1:31">
      <c r="A38" s="223"/>
      <c r="B38" s="641" t="s">
        <v>929</v>
      </c>
      <c r="C38" s="626">
        <f ca="1">'Calculation Break-Even'!E61</f>
        <v>121445.71643419143</v>
      </c>
      <c r="D38" s="636" t="str">
        <f>'Calculation Break-Even'!F58</f>
        <v>EUR/yr</v>
      </c>
      <c r="E38" s="223"/>
      <c r="F38" s="629"/>
      <c r="G38" s="629">
        <f ca="1">C38</f>
        <v>121445.71643419143</v>
      </c>
      <c r="H38" s="629">
        <f t="shared" ref="H38:AE38" ca="1" si="9">IF(H$15&lt;=$C$30,G38,0)</f>
        <v>121445.71643419143</v>
      </c>
      <c r="I38" s="629">
        <f t="shared" ca="1" si="9"/>
        <v>121445.71643419143</v>
      </c>
      <c r="J38" s="629">
        <f t="shared" ca="1" si="9"/>
        <v>121445.71643419143</v>
      </c>
      <c r="K38" s="629">
        <f t="shared" ca="1" si="9"/>
        <v>121445.71643419143</v>
      </c>
      <c r="L38" s="629">
        <f t="shared" ca="1" si="9"/>
        <v>121445.71643419143</v>
      </c>
      <c r="M38" s="629">
        <f t="shared" ca="1" si="9"/>
        <v>121445.71643419143</v>
      </c>
      <c r="N38" s="629">
        <f t="shared" ca="1" si="9"/>
        <v>121445.71643419143</v>
      </c>
      <c r="O38" s="629">
        <f t="shared" ca="1" si="9"/>
        <v>121445.71643419143</v>
      </c>
      <c r="P38" s="629">
        <f t="shared" ca="1" si="9"/>
        <v>121445.71643419143</v>
      </c>
      <c r="Q38" s="629">
        <f t="shared" ca="1" si="9"/>
        <v>121445.71643419143</v>
      </c>
      <c r="R38" s="629">
        <f t="shared" ca="1" si="9"/>
        <v>121445.71643419143</v>
      </c>
      <c r="S38" s="629">
        <f t="shared" ca="1" si="9"/>
        <v>121445.71643419143</v>
      </c>
      <c r="T38" s="629">
        <f t="shared" ca="1" si="9"/>
        <v>121445.71643419143</v>
      </c>
      <c r="U38" s="629">
        <f t="shared" ca="1" si="9"/>
        <v>121445.71643419143</v>
      </c>
      <c r="V38" s="629">
        <f t="shared" si="9"/>
        <v>0</v>
      </c>
      <c r="W38" s="629">
        <f t="shared" si="9"/>
        <v>0</v>
      </c>
      <c r="X38" s="629">
        <f t="shared" si="9"/>
        <v>0</v>
      </c>
      <c r="Y38" s="629">
        <f t="shared" si="9"/>
        <v>0</v>
      </c>
      <c r="Z38" s="629">
        <f t="shared" si="9"/>
        <v>0</v>
      </c>
      <c r="AA38" s="629">
        <f t="shared" si="9"/>
        <v>0</v>
      </c>
      <c r="AB38" s="629">
        <f t="shared" si="9"/>
        <v>0</v>
      </c>
      <c r="AC38" s="629">
        <f t="shared" si="9"/>
        <v>0</v>
      </c>
      <c r="AD38" s="629">
        <f t="shared" si="9"/>
        <v>0</v>
      </c>
      <c r="AE38" s="629">
        <f t="shared" si="9"/>
        <v>0</v>
      </c>
    </row>
    <row r="39" spans="1:31">
      <c r="A39" s="223"/>
      <c r="B39" s="631" t="s">
        <v>923</v>
      </c>
      <c r="C39" s="623"/>
      <c r="D39" s="623"/>
      <c r="E39" s="223"/>
      <c r="F39" s="632">
        <f>F35+F37</f>
        <v>-676080</v>
      </c>
      <c r="G39" s="632">
        <f ca="1">G35+G37+G38</f>
        <v>73451.400571804435</v>
      </c>
      <c r="H39" s="632">
        <f t="shared" ref="H39:AE39" ca="1" si="10">H35+H37+H38</f>
        <v>73451.400571804435</v>
      </c>
      <c r="I39" s="632">
        <f t="shared" ca="1" si="10"/>
        <v>73451.400571804435</v>
      </c>
      <c r="J39" s="632">
        <f t="shared" ca="1" si="10"/>
        <v>73451.400571804435</v>
      </c>
      <c r="K39" s="632">
        <f t="shared" ca="1" si="10"/>
        <v>73451.400571804435</v>
      </c>
      <c r="L39" s="632">
        <f t="shared" ca="1" si="10"/>
        <v>73451.400571804435</v>
      </c>
      <c r="M39" s="632">
        <f t="shared" ca="1" si="10"/>
        <v>73451.400571804435</v>
      </c>
      <c r="N39" s="632">
        <f t="shared" ca="1" si="10"/>
        <v>73451.400571804435</v>
      </c>
      <c r="O39" s="632">
        <f t="shared" ca="1" si="10"/>
        <v>73451.400571804435</v>
      </c>
      <c r="P39" s="632">
        <f t="shared" ca="1" si="10"/>
        <v>73451.400571804435</v>
      </c>
      <c r="Q39" s="632">
        <f t="shared" ca="1" si="10"/>
        <v>73451.400571804435</v>
      </c>
      <c r="R39" s="632">
        <f t="shared" ca="1" si="10"/>
        <v>73451.400571804435</v>
      </c>
      <c r="S39" s="632">
        <f t="shared" ca="1" si="10"/>
        <v>73451.400571804435</v>
      </c>
      <c r="T39" s="632">
        <f t="shared" ca="1" si="10"/>
        <v>73451.400571804435</v>
      </c>
      <c r="U39" s="632">
        <f t="shared" ca="1" si="10"/>
        <v>73451.400571804435</v>
      </c>
      <c r="V39" s="632">
        <f t="shared" si="10"/>
        <v>0</v>
      </c>
      <c r="W39" s="632">
        <f t="shared" si="10"/>
        <v>0</v>
      </c>
      <c r="X39" s="632">
        <f t="shared" si="10"/>
        <v>0</v>
      </c>
      <c r="Y39" s="632">
        <f t="shared" si="10"/>
        <v>0</v>
      </c>
      <c r="Z39" s="632">
        <f t="shared" si="10"/>
        <v>0</v>
      </c>
      <c r="AA39" s="632">
        <f t="shared" si="10"/>
        <v>0</v>
      </c>
      <c r="AB39" s="632">
        <f t="shared" si="10"/>
        <v>0</v>
      </c>
      <c r="AC39" s="632">
        <f t="shared" si="10"/>
        <v>0</v>
      </c>
      <c r="AD39" s="632">
        <f t="shared" si="10"/>
        <v>0</v>
      </c>
      <c r="AE39" s="632">
        <f t="shared" si="10"/>
        <v>0</v>
      </c>
    </row>
    <row r="40" spans="1:31">
      <c r="A40" s="223"/>
      <c r="B40" s="223"/>
      <c r="C40" s="223"/>
      <c r="D40" s="223"/>
      <c r="E40" s="223"/>
      <c r="F40" s="223"/>
      <c r="G40" s="223"/>
      <c r="H40" s="223"/>
      <c r="I40" s="223"/>
      <c r="J40" s="223"/>
      <c r="K40" s="223"/>
      <c r="L40" s="223"/>
      <c r="M40" s="223"/>
      <c r="N40" s="223"/>
      <c r="O40" s="223"/>
      <c r="P40" s="223"/>
      <c r="Q40" s="223"/>
      <c r="R40" s="223"/>
      <c r="S40" s="223"/>
      <c r="T40" s="223"/>
      <c r="U40" s="223"/>
      <c r="V40" s="223"/>
      <c r="W40" s="223"/>
      <c r="X40" s="223"/>
      <c r="Y40" s="223"/>
      <c r="Z40" s="223"/>
      <c r="AA40" s="223"/>
      <c r="AB40" s="223"/>
      <c r="AC40" s="223"/>
      <c r="AD40" s="223"/>
      <c r="AE40" s="223"/>
    </row>
    <row r="41" spans="1:31" ht="13.5" thickBot="1">
      <c r="A41" s="223"/>
      <c r="B41" s="45" t="s">
        <v>509</v>
      </c>
      <c r="C41" s="45"/>
      <c r="D41" s="642" t="str">
        <f ca="1">IF(G39&lt;=0,"Annual Earnings are never positive",IF(F39&lt;0,ROUND(IRR(F39:Z39)*100,2)&amp;" %","DC operator pays no investments"))</f>
        <v>6.83 %</v>
      </c>
      <c r="E41" s="223"/>
      <c r="F41" s="223"/>
      <c r="G41" s="223"/>
      <c r="H41" s="223"/>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row>
    <row r="42" spans="1:31" s="223" customFormat="1">
      <c r="B42" s="65"/>
    </row>
    <row r="43" spans="1:31" s="223" customFormat="1"/>
    <row r="44" spans="1:31" s="223" customFormat="1"/>
    <row r="45" spans="1:31" s="223" customFormat="1"/>
    <row r="46" spans="1:31" s="223" customFormat="1"/>
    <row r="47" spans="1:31" s="223" customFormat="1"/>
    <row r="48" spans="1:31" s="223" customFormat="1"/>
    <row r="49" s="223" customFormat="1"/>
    <row r="50" s="223" customFormat="1"/>
    <row r="51" s="223" customFormat="1"/>
    <row r="52" s="223" customFormat="1"/>
    <row r="53" s="223" customFormat="1"/>
    <row r="54" s="223" customFormat="1"/>
    <row r="55" s="223" customFormat="1"/>
    <row r="56" s="223" customFormat="1"/>
    <row r="57" s="223" customFormat="1"/>
    <row r="58" s="223" customFormat="1"/>
    <row r="59" s="223" customFormat="1"/>
    <row r="60" s="223" customFormat="1"/>
  </sheetData>
  <sheetProtection algorithmName="SHA-512" hashValue="kSUuFprTq+NYUGAZCjhTrQC29oI0s/trUn8zMq21QEPOSmwSECy6h56yeXf/TAjXaZAGn6Egd/OZ3b1YjWy24Q==" saltValue="rhoI0yK2c93dDmKfrBDgMg==" spinCount="100000" sheet="1" formatCells="0" formatColumns="0" formatRows="0"/>
  <mergeCells count="3">
    <mergeCell ref="B29:D29"/>
    <mergeCell ref="B14:D14"/>
    <mergeCell ref="A1:B1"/>
  </mergeCells>
  <phoneticPr fontId="10" type="noConversion"/>
  <conditionalFormatting sqref="B11">
    <cfRule type="expression" dxfId="0" priority="1">
      <formula>B$44=FALSE</formula>
    </cfRule>
  </conditionalFormatting>
  <hyperlinks>
    <hyperlink ref="A1" location="Content!A1" display="Go to Content" xr:uid="{C9960834-21D6-49C7-913D-B514FB4350EC}"/>
    <hyperlink ref="B7" location="Content!A1" display="Go to Content" xr:uid="{6C628EAA-CDC0-4470-9580-99D0EBB4F9E1}"/>
    <hyperlink ref="B7:E7" location="Content!A1" display="Go to Content" xr:uid="{322A80D6-8F98-43E6-A7B4-1FE141E34AC3}"/>
  </hyperlinks>
  <pageMargins left="0.7" right="0.7" top="0.78740157499999996" bottom="0.78740157499999996"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9ED68-546E-4A8E-A360-91F86D346570}">
  <sheetPr codeName="Tabelle3">
    <tabColor rgb="FF00B050"/>
  </sheetPr>
  <dimension ref="A1:T328"/>
  <sheetViews>
    <sheetView zoomScale="130" zoomScaleNormal="130" workbookViewId="0">
      <pane ySplit="13" topLeftCell="A150" activePane="bottomLeft" state="frozen"/>
      <selection activeCell="B1" sqref="B1"/>
      <selection pane="bottomLeft" activeCell="C129" sqref="C129"/>
    </sheetView>
  </sheetViews>
  <sheetFormatPr baseColWidth="10" defaultColWidth="11.140625" defaultRowHeight="15.75"/>
  <cols>
    <col min="1" max="1" width="6.42578125" style="621" customWidth="1"/>
    <col min="2" max="2" width="61.5703125" style="141" customWidth="1"/>
    <col min="3" max="3" width="59.5703125" style="57" customWidth="1"/>
    <col min="4" max="4" width="105.140625" style="57" customWidth="1"/>
    <col min="5" max="5" width="83.42578125" style="57" customWidth="1"/>
    <col min="6" max="20" width="11.140625" style="135"/>
    <col min="21" max="16384" width="11.140625" style="57"/>
  </cols>
  <sheetData>
    <row r="1" spans="1:6" ht="15">
      <c r="A1" s="1105" t="s">
        <v>57</v>
      </c>
      <c r="B1" s="1105"/>
      <c r="C1" s="32"/>
      <c r="D1" s="163"/>
      <c r="E1" s="163"/>
      <c r="F1" s="46"/>
    </row>
    <row r="2" spans="1:6" s="135" customFormat="1" ht="15">
      <c r="A2" s="915"/>
      <c r="B2" s="916" t="s">
        <v>930</v>
      </c>
      <c r="C2" s="915"/>
      <c r="D2" s="46"/>
      <c r="E2" s="46"/>
      <c r="F2" s="46"/>
    </row>
    <row r="3" spans="1:6" s="135" customFormat="1" ht="11.1" customHeight="1">
      <c r="A3" s="915"/>
      <c r="B3" s="917" t="s">
        <v>931</v>
      </c>
      <c r="C3" s="915"/>
      <c r="D3" s="46"/>
      <c r="E3" s="46"/>
      <c r="F3" s="46"/>
    </row>
    <row r="4" spans="1:6" s="135" customFormat="1" ht="11.1" customHeight="1">
      <c r="A4" s="915"/>
      <c r="B4" s="917" t="s">
        <v>932</v>
      </c>
      <c r="C4" s="915"/>
      <c r="D4" s="46"/>
      <c r="E4" s="46"/>
      <c r="F4" s="46"/>
    </row>
    <row r="5" spans="1:6" s="135" customFormat="1" ht="11.1" customHeight="1">
      <c r="A5" s="915"/>
      <c r="B5" s="917" t="s">
        <v>933</v>
      </c>
      <c r="C5" s="915"/>
      <c r="D5" s="46"/>
      <c r="E5" s="46"/>
      <c r="F5" s="46"/>
    </row>
    <row r="6" spans="1:6" s="135" customFormat="1" ht="11.1" customHeight="1">
      <c r="A6" s="620"/>
      <c r="B6" s="918" t="s">
        <v>934</v>
      </c>
    </row>
    <row r="7" spans="1:6" s="135" customFormat="1" hidden="1">
      <c r="A7" s="620"/>
      <c r="B7" s="195"/>
    </row>
    <row r="8" spans="1:6" s="135" customFormat="1" hidden="1">
      <c r="A8" s="620"/>
      <c r="B8" s="195"/>
    </row>
    <row r="9" spans="1:6" s="135" customFormat="1" hidden="1">
      <c r="A9" s="620"/>
      <c r="B9" s="195"/>
    </row>
    <row r="10" spans="1:6" s="135" customFormat="1" hidden="1">
      <c r="A10" s="620"/>
      <c r="B10" s="195"/>
    </row>
    <row r="11" spans="1:6" s="135" customFormat="1" ht="2.1" customHeight="1">
      <c r="A11" s="620"/>
      <c r="B11" s="195"/>
    </row>
    <row r="12" spans="1:6" s="135" customFormat="1" ht="27">
      <c r="A12" s="620"/>
      <c r="B12" s="1022" t="s">
        <v>935</v>
      </c>
    </row>
    <row r="13" spans="1:6">
      <c r="A13" s="620"/>
      <c r="B13" s="712" t="s">
        <v>936</v>
      </c>
      <c r="C13" s="867" t="s">
        <v>937</v>
      </c>
      <c r="D13" s="867" t="s">
        <v>64</v>
      </c>
      <c r="E13" s="867" t="s">
        <v>938</v>
      </c>
    </row>
    <row r="14" spans="1:6" ht="11.25">
      <c r="A14" s="1249" t="s">
        <v>939</v>
      </c>
      <c r="B14" s="868" t="str">
        <f>'Project Setting'!D14</f>
        <v>Generating capacity</v>
      </c>
      <c r="C14" s="869" t="s">
        <v>940</v>
      </c>
      <c r="D14" s="1013"/>
      <c r="E14" s="1013"/>
    </row>
    <row r="15" spans="1:6" ht="11.25">
      <c r="A15" s="1249"/>
      <c r="B15" s="868" t="str">
        <f>'Project Setting'!D15</f>
        <v>Technical lifetime</v>
      </c>
      <c r="C15" s="869" t="s">
        <v>941</v>
      </c>
      <c r="D15" s="1013"/>
      <c r="E15" s="1013"/>
    </row>
    <row r="16" spans="1:6" ht="11.25">
      <c r="A16" s="1249"/>
      <c r="B16" s="868" t="str">
        <f>'Project Setting'!D16</f>
        <v>COP - nominal</v>
      </c>
      <c r="C16" s="869" t="s">
        <v>942</v>
      </c>
      <c r="D16" s="1013"/>
      <c r="E16" s="1013"/>
    </row>
    <row r="17" spans="1:5" ht="11.25">
      <c r="A17" s="1249"/>
      <c r="B17" s="868" t="str">
        <f>'Project Setting'!D17</f>
        <v>Capacity of waste heat stream (MW) at nominal operation conditions</v>
      </c>
      <c r="C17" s="869" t="s">
        <v>943</v>
      </c>
      <c r="D17" s="1013"/>
      <c r="E17" s="1013"/>
    </row>
    <row r="18" spans="1:5" ht="11.25">
      <c r="A18" s="1249"/>
      <c r="B18" s="868" t="str">
        <f>'Project Setting'!D18</f>
        <v>Nominal temperature - heat pump source in</v>
      </c>
      <c r="C18" s="869" t="s">
        <v>944</v>
      </c>
      <c r="D18" s="1013"/>
      <c r="E18" s="1013"/>
    </row>
    <row r="19" spans="1:5" ht="11.25">
      <c r="A19" s="1249"/>
      <c r="B19" s="868" t="str">
        <f>'Project Setting'!D19</f>
        <v>Nominal temperature - heat pump source out</v>
      </c>
      <c r="C19" s="869" t="s">
        <v>945</v>
      </c>
      <c r="D19" s="1013"/>
      <c r="E19" s="1013"/>
    </row>
    <row r="20" spans="1:5" ht="11.25">
      <c r="A20" s="1249"/>
      <c r="B20" s="868" t="str">
        <f>'Project Setting'!D20</f>
        <v>Nominal temperature - heat pump sink out</v>
      </c>
      <c r="C20" s="869" t="s">
        <v>946</v>
      </c>
      <c r="D20" s="1013"/>
      <c r="E20" s="1013"/>
    </row>
    <row r="21" spans="1:5" ht="11.25">
      <c r="A21" s="1249"/>
      <c r="B21" s="868" t="str">
        <f>'Project Setting'!D21</f>
        <v xml:space="preserve">HEx 2: Heat exchanger (HP - district heating network) delta T </v>
      </c>
      <c r="C21" s="869" t="s">
        <v>947</v>
      </c>
      <c r="D21" s="1013"/>
      <c r="E21" s="1013"/>
    </row>
    <row r="22" spans="1:5" ht="11.25">
      <c r="A22" s="1249"/>
      <c r="B22" s="868" t="str">
        <f>'Project Setting'!D22</f>
        <v xml:space="preserve">HEx 1: Heat exchanger (HP - data centre cooling system) delta T </v>
      </c>
      <c r="C22" s="869" t="s">
        <v>948</v>
      </c>
      <c r="D22" s="1013"/>
      <c r="E22" s="1013"/>
    </row>
    <row r="23" spans="1:5" ht="11.25">
      <c r="A23" s="1249"/>
      <c r="B23" s="868" t="str">
        <f>'Project Setting'!D23</f>
        <v>Nominal Temperature - Heat Pump Sink In</v>
      </c>
      <c r="C23" s="869" t="s">
        <v>949</v>
      </c>
      <c r="D23" s="1013"/>
      <c r="E23" s="1013"/>
    </row>
    <row r="24" spans="1:5" ht="11.25">
      <c r="A24" s="1249"/>
      <c r="B24" s="868" t="str">
        <f>'Project Setting'!D24</f>
        <v>Upper temperature limit - Heat pump Sink Out</v>
      </c>
      <c r="C24" s="869" t="s">
        <v>950</v>
      </c>
      <c r="D24" s="869"/>
      <c r="E24" s="1013"/>
    </row>
    <row r="25" spans="1:5" ht="117">
      <c r="A25" s="1249"/>
      <c r="B25" s="868" t="str">
        <f>'Project Setting'!D25</f>
        <v>Exponent for capacity drop if temperature spread of sink decreases</v>
      </c>
      <c r="C25" s="869" t="s">
        <v>952</v>
      </c>
      <c r="D25" s="869" t="s">
        <v>951</v>
      </c>
      <c r="E25" s="869" t="s">
        <v>954</v>
      </c>
    </row>
    <row r="26" spans="1:5" ht="36">
      <c r="A26" s="1249"/>
      <c r="B26" s="868" t="str">
        <f>'Project Setting'!D26</f>
        <v>S - Source</v>
      </c>
      <c r="C26" s="869" t="s">
        <v>955</v>
      </c>
      <c r="D26" s="869" t="s">
        <v>953</v>
      </c>
      <c r="E26" s="869" t="s">
        <v>957</v>
      </c>
    </row>
    <row r="27" spans="1:5" ht="36">
      <c r="A27" s="1249"/>
      <c r="B27" s="868" t="str">
        <f>'Project Setting'!D27</f>
        <v>S - Flow</v>
      </c>
      <c r="C27" s="869" t="s">
        <v>958</v>
      </c>
      <c r="D27" s="869" t="s">
        <v>956</v>
      </c>
      <c r="E27" s="869" t="s">
        <v>960</v>
      </c>
    </row>
    <row r="28" spans="1:5" ht="99">
      <c r="A28" s="1249"/>
      <c r="B28" s="868" t="str">
        <f>'Project Setting'!D28</f>
        <v>S - Return</v>
      </c>
      <c r="C28" s="869" t="s">
        <v>961</v>
      </c>
      <c r="D28" s="869" t="s">
        <v>959</v>
      </c>
      <c r="E28" s="869" t="s">
        <v>963</v>
      </c>
    </row>
    <row r="29" spans="1:5" ht="18">
      <c r="A29" s="1249"/>
      <c r="B29" s="868" t="str">
        <f>'Project Setting'!D29</f>
        <v>Share of heat loss in heat exchangers &amp; pipes from HP output</v>
      </c>
      <c r="C29" s="869" t="s">
        <v>964</v>
      </c>
      <c r="D29" s="869" t="s">
        <v>962</v>
      </c>
      <c r="E29" s="869" t="s">
        <v>965</v>
      </c>
    </row>
    <row r="30" spans="1:5" ht="11.25">
      <c r="A30" s="1249"/>
      <c r="B30" s="870"/>
      <c r="C30" s="869"/>
      <c r="D30" s="869"/>
      <c r="E30" s="869"/>
    </row>
    <row r="31" spans="1:5" ht="11.25">
      <c r="A31" s="1249"/>
      <c r="B31" s="868" t="str">
        <f>'Project Setting'!D31</f>
        <v>Specific investment costs (equipment, installation)</v>
      </c>
      <c r="C31" s="869" t="s">
        <v>966</v>
      </c>
      <c r="D31" s="869"/>
      <c r="E31" s="869"/>
    </row>
    <row r="32" spans="1:5" ht="11.25">
      <c r="A32" s="1249"/>
      <c r="B32" s="868" t="str">
        <f>'Project Setting'!D32</f>
        <v>Investment costs</v>
      </c>
      <c r="C32" s="869" t="s">
        <v>967</v>
      </c>
      <c r="D32" s="869"/>
      <c r="E32" s="869"/>
    </row>
    <row r="33" spans="1:5" ht="11.25">
      <c r="A33" s="1249"/>
      <c r="B33" s="868" t="str">
        <f>'Project Setting'!D33</f>
        <v>Other one-time expenses</v>
      </c>
      <c r="C33" s="869" t="s">
        <v>968</v>
      </c>
      <c r="D33" s="869"/>
      <c r="E33" s="869"/>
    </row>
    <row r="34" spans="1:5" ht="11.25">
      <c r="A34" s="1249"/>
      <c r="B34" s="868" t="str">
        <f>'Project Setting'!D34</f>
        <v>Total one-time expenses and costs excl. planning costs</v>
      </c>
      <c r="C34" s="869" t="s">
        <v>969</v>
      </c>
      <c r="D34" s="869"/>
      <c r="E34" s="869"/>
    </row>
    <row r="35" spans="1:5" ht="11.25">
      <c r="A35" s="1249"/>
      <c r="B35" s="868" t="str">
        <f>'Project Setting'!D35</f>
        <v>Regular annual expenses (heat pump specific)</v>
      </c>
      <c r="C35" s="869" t="s">
        <v>970</v>
      </c>
      <c r="D35" s="869"/>
      <c r="E35" s="869"/>
    </row>
    <row r="36" spans="1:5" ht="11.25">
      <c r="A36" s="1249"/>
      <c r="B36" s="868" t="str">
        <f>'Project Setting'!D36</f>
        <v>O&amp;M Costs - fix</v>
      </c>
      <c r="C36" s="869" t="s">
        <v>971</v>
      </c>
      <c r="D36" s="869"/>
      <c r="E36" s="869"/>
    </row>
    <row r="37" spans="1:5" ht="27">
      <c r="A37" s="1249"/>
      <c r="B37" s="868" t="str">
        <f>'Project Setting'!D37</f>
        <v>Total operation independent O&amp;M costs related to heat pump: regular annual expenses (heat pump specific) + O&amp;M Costs - fix * nominal capacity of heat pump</v>
      </c>
      <c r="C37" s="869" t="s">
        <v>972</v>
      </c>
      <c r="D37" s="869"/>
      <c r="E37" s="869"/>
    </row>
    <row r="38" spans="1:5" ht="11.25">
      <c r="A38" s="1249"/>
      <c r="B38" s="868" t="str">
        <f>'Project Setting'!D38</f>
        <v>O&amp;M Costs - variable (excl. electricity)</v>
      </c>
      <c r="C38" s="869" t="s">
        <v>973</v>
      </c>
      <c r="D38" s="869"/>
      <c r="E38" s="869"/>
    </row>
    <row r="39" spans="1:5" ht="27">
      <c r="A39" s="1249"/>
      <c r="B39" s="868" t="str">
        <f>'Project Setting'!D39</f>
        <v>Electricity - grid fee and other electrical capacity-related costs</v>
      </c>
      <c r="C39" s="869" t="s">
        <v>975</v>
      </c>
      <c r="D39" s="869" t="s">
        <v>974</v>
      </c>
      <c r="E39" s="869" t="s">
        <v>976</v>
      </c>
    </row>
    <row r="40" spans="1:5" ht="18">
      <c r="A40" s="1249"/>
      <c r="B40" s="868" t="str">
        <f>'Project Setting'!D41</f>
        <v>Electricity - grid fee and other electricity consumption-related costs</v>
      </c>
      <c r="C40" s="869" t="s">
        <v>977</v>
      </c>
      <c r="D40" s="869" t="s">
        <v>974</v>
      </c>
      <c r="E40" s="869" t="s">
        <v>976</v>
      </c>
    </row>
    <row r="41" spans="1:5" ht="11.25">
      <c r="A41" s="1249"/>
      <c r="B41" s="868" t="str">
        <f>'Project Setting'!D43</f>
        <v>S1 (one-time, lump sum per MW)</v>
      </c>
      <c r="C41" s="869" t="s">
        <v>978</v>
      </c>
      <c r="D41" s="869"/>
      <c r="E41" s="869"/>
    </row>
    <row r="42" spans="1:5" ht="11.25">
      <c r="A42" s="1249"/>
      <c r="B42" s="868" t="str">
        <f>'Project Setting'!D44</f>
        <v>S1 total lump sum subsidies</v>
      </c>
      <c r="C42" s="869" t="s">
        <v>979</v>
      </c>
      <c r="D42" s="869"/>
      <c r="E42" s="869"/>
    </row>
    <row r="43" spans="1:5" ht="27">
      <c r="A43" s="1249"/>
      <c r="B43" s="868" t="str">
        <f>'Project Setting'!D45</f>
        <v>S2 (annually) for given number of yrs</v>
      </c>
      <c r="C43" s="869" t="s">
        <v>981</v>
      </c>
      <c r="D43" s="869" t="s">
        <v>980</v>
      </c>
      <c r="E43" s="869" t="s">
        <v>983</v>
      </c>
    </row>
    <row r="44" spans="1:5" ht="11.25">
      <c r="A44" s="1249"/>
      <c r="B44" s="868" t="str">
        <f>'Project Setting'!D46</f>
        <v>S2 given for number of years</v>
      </c>
      <c r="C44" s="869" t="s">
        <v>984</v>
      </c>
      <c r="D44" s="869" t="s">
        <v>982</v>
      </c>
      <c r="E44" s="869" t="s">
        <v>985</v>
      </c>
    </row>
    <row r="45" spans="1:5" ht="11.25">
      <c r="A45" s="1249"/>
      <c r="B45" s="868" t="str">
        <f>'Project Setting'!D47</f>
        <v>S2 (annually), average for calculatory project lifetime</v>
      </c>
      <c r="C45" s="869" t="s">
        <v>986</v>
      </c>
      <c r="D45" s="869"/>
      <c r="E45" s="869"/>
    </row>
    <row r="46" spans="1:5" ht="36">
      <c r="A46" s="1249"/>
      <c r="B46" s="868" t="str">
        <f>'Project Setting'!D48</f>
        <v>S3 (annually, based on supplied waste heat (WH) by DC). PLEASE BE AWARE THAT THIS KIND OF SUBSIDY IS ONLY PROVIDED BY SOME COUNTRIES, E.G. GERMANY</v>
      </c>
      <c r="C46" s="869" t="s">
        <v>988</v>
      </c>
      <c r="D46" s="869" t="s">
        <v>987</v>
      </c>
      <c r="E46" s="869" t="s">
        <v>990</v>
      </c>
    </row>
    <row r="47" spans="1:5" ht="11.25">
      <c r="A47" s="1249"/>
      <c r="B47" s="868" t="str">
        <f>'Project Setting'!D49</f>
        <v>S3 given for number of years</v>
      </c>
      <c r="C47" s="869" t="s">
        <v>991</v>
      </c>
      <c r="D47" s="869" t="s">
        <v>989</v>
      </c>
      <c r="E47" s="869" t="s">
        <v>992</v>
      </c>
    </row>
    <row r="48" spans="1:5" ht="11.25">
      <c r="A48" s="1249"/>
      <c r="B48" s="868" t="str">
        <f>'Project Setting'!D50</f>
        <v>S3, average for calculatory project lifetime</v>
      </c>
      <c r="C48" s="869" t="s">
        <v>1189</v>
      </c>
      <c r="D48" s="869"/>
      <c r="E48" s="869"/>
    </row>
    <row r="49" spans="1:5" ht="11.25">
      <c r="A49" s="1249"/>
      <c r="B49" s="868" t="str">
        <f>'Project Setting'!D51</f>
        <v>Consider subsidies (S3) in dispatch</v>
      </c>
      <c r="C49" s="869" t="s">
        <v>1190</v>
      </c>
      <c r="D49" s="869"/>
      <c r="E49" s="869"/>
    </row>
    <row r="50" spans="1:5" ht="11.25">
      <c r="A50" s="1249"/>
      <c r="B50" s="868"/>
      <c r="C50" s="869"/>
      <c r="D50" s="869"/>
      <c r="E50" s="869"/>
    </row>
    <row r="51" spans="1:5" ht="11.25">
      <c r="A51" s="1249"/>
      <c r="B51" s="868" t="str">
        <f>'Project Setting'!D55</f>
        <v>Generating capacity</v>
      </c>
      <c r="C51" s="869" t="s">
        <v>940</v>
      </c>
      <c r="D51" s="869"/>
      <c r="E51" s="869"/>
    </row>
    <row r="52" spans="1:5" ht="11.25">
      <c r="A52" s="1249"/>
      <c r="B52" s="868" t="str">
        <f>'Project Setting'!D56</f>
        <v>Efficiency</v>
      </c>
      <c r="C52" s="869" t="s">
        <v>993</v>
      </c>
      <c r="D52" s="869"/>
      <c r="E52" s="869"/>
    </row>
    <row r="53" spans="1:5" ht="11.25">
      <c r="A53" s="1249"/>
      <c r="B53" s="868"/>
      <c r="C53" s="869"/>
      <c r="D53" s="869"/>
      <c r="E53" s="869"/>
    </row>
    <row r="54" spans="1:5" ht="11.25">
      <c r="A54" s="1249"/>
      <c r="B54" s="868" t="str">
        <f>'Project Setting'!D58</f>
        <v>Specific investment costs</v>
      </c>
      <c r="C54" s="869" t="s">
        <v>994</v>
      </c>
      <c r="D54" s="869"/>
      <c r="E54" s="869"/>
    </row>
    <row r="55" spans="1:5" ht="11.25">
      <c r="A55" s="1249"/>
      <c r="B55" s="868" t="str">
        <f>'Project Setting'!D59</f>
        <v>Investment costs</v>
      </c>
      <c r="C55" s="869" t="s">
        <v>967</v>
      </c>
      <c r="D55" s="869"/>
      <c r="E55" s="869"/>
    </row>
    <row r="56" spans="1:5" ht="11.25">
      <c r="A56" s="1249"/>
      <c r="B56" s="868" t="str">
        <f>'Project Setting'!D60</f>
        <v>Other one-time expenses</v>
      </c>
      <c r="C56" s="869" t="s">
        <v>968</v>
      </c>
      <c r="D56" s="869"/>
      <c r="E56" s="869"/>
    </row>
    <row r="57" spans="1:5" ht="11.25">
      <c r="A57" s="1249"/>
      <c r="B57" s="868" t="str">
        <f>'Project Setting'!D61</f>
        <v>Total one-time expenses and costs excl. Planning costs</v>
      </c>
      <c r="C57" s="869" t="s">
        <v>969</v>
      </c>
      <c r="D57" s="869"/>
      <c r="E57" s="869"/>
    </row>
    <row r="58" spans="1:5" ht="11.25">
      <c r="A58" s="1249"/>
      <c r="B58" s="868" t="str">
        <f>'Project Setting'!D62</f>
        <v>Regular annual expenses (booster specific)</v>
      </c>
      <c r="C58" s="869" t="s">
        <v>995</v>
      </c>
      <c r="D58" s="869"/>
      <c r="E58" s="869"/>
    </row>
    <row r="59" spans="1:5" ht="11.25">
      <c r="A59" s="1249"/>
      <c r="B59" s="868" t="str">
        <f>'Project Setting'!D63</f>
        <v>O&amp;M Costs - fix</v>
      </c>
      <c r="C59" s="869" t="s">
        <v>971</v>
      </c>
      <c r="D59" s="869"/>
      <c r="E59" s="869"/>
    </row>
    <row r="60" spans="1:5" ht="11.25">
      <c r="A60" s="1249"/>
      <c r="B60" s="868" t="str">
        <f>'Project Setting'!D64</f>
        <v>Total operation independent O&amp;M costs related to booster</v>
      </c>
      <c r="C60" s="869" t="s">
        <v>996</v>
      </c>
      <c r="D60" s="869"/>
      <c r="E60" s="869"/>
    </row>
    <row r="61" spans="1:5" ht="11.25">
      <c r="A61" s="1249"/>
      <c r="B61" s="868" t="str">
        <f>'Project Setting'!D65</f>
        <v>O&amp;M Costs - Variable</v>
      </c>
      <c r="C61" s="869" t="s">
        <v>997</v>
      </c>
      <c r="D61" s="869"/>
      <c r="E61" s="869"/>
    </row>
    <row r="62" spans="1:5" ht="27">
      <c r="A62" s="1249"/>
      <c r="B62" s="868" t="str">
        <f>'Project Setting'!D66</f>
        <v>Electricity / fuel - grid fee and other capacity-related costs</v>
      </c>
      <c r="C62" s="869" t="s">
        <v>998</v>
      </c>
      <c r="D62" s="869" t="s">
        <v>974</v>
      </c>
      <c r="E62" s="869" t="s">
        <v>976</v>
      </c>
    </row>
    <row r="63" spans="1:5" ht="18">
      <c r="A63" s="1249"/>
      <c r="B63" s="868" t="str">
        <f>'Project Setting'!D68</f>
        <v>Electricity / fuel - grid fee and other consumption-related costs</v>
      </c>
      <c r="C63" s="869" t="s">
        <v>999</v>
      </c>
      <c r="D63" s="869" t="s">
        <v>974</v>
      </c>
      <c r="E63" s="869" t="s">
        <v>976</v>
      </c>
    </row>
    <row r="64" spans="1:5" ht="11.25">
      <c r="A64" s="1249"/>
      <c r="B64" s="868" t="str">
        <f>'Project Setting'!D70</f>
        <v>S1 (one-time, lump sum per MW)</v>
      </c>
      <c r="C64" s="869" t="s">
        <v>1000</v>
      </c>
      <c r="D64" s="869"/>
      <c r="E64" s="869"/>
    </row>
    <row r="65" spans="1:5" ht="11.25">
      <c r="A65" s="1249"/>
      <c r="B65" s="868"/>
      <c r="C65" s="869"/>
      <c r="D65" s="869"/>
      <c r="E65" s="869"/>
    </row>
    <row r="66" spans="1:5" ht="11.25">
      <c r="A66" s="1249"/>
      <c r="B66" s="868" t="str">
        <f>'Project Setting'!D72</f>
        <v>Investment costs in HEx2 (equipment, installation, heat exchangers, one-time, lump-sum)</v>
      </c>
      <c r="C66" s="869" t="s">
        <v>1001</v>
      </c>
      <c r="D66" s="869"/>
      <c r="E66" s="869"/>
    </row>
    <row r="67" spans="1:5" ht="11.25">
      <c r="A67" s="1249"/>
      <c r="B67" s="868" t="str">
        <f>'Project Setting'!D73</f>
        <v>Investment costs for heat network from DH grid to B2 (see &gt;Grid Costs&lt;)</v>
      </c>
      <c r="C67" s="869" t="s">
        <v>1002</v>
      </c>
      <c r="D67" s="869"/>
      <c r="E67" s="869"/>
    </row>
    <row r="68" spans="1:5" ht="11.25">
      <c r="A68" s="1249"/>
      <c r="B68" s="868"/>
      <c r="C68" s="869"/>
      <c r="D68" s="869"/>
      <c r="E68" s="869"/>
    </row>
    <row r="69" spans="1:5" ht="11.25">
      <c r="A69" s="1249"/>
      <c r="B69" s="868" t="str">
        <f>'Project Setting'!D75</f>
        <v>Planning costs [% total investment costs: Heat pump, booster, heat network, heat exchanger]</v>
      </c>
      <c r="C69" s="869" t="s">
        <v>1003</v>
      </c>
      <c r="D69" s="869"/>
      <c r="E69" s="869"/>
    </row>
    <row r="70" spans="1:5" ht="11.25">
      <c r="A70" s="1249"/>
      <c r="B70" s="868" t="str">
        <f>'Project Setting'!D76</f>
        <v>Total Investment costs (HP, booster, heat network, heat exchanger, etc.)</v>
      </c>
      <c r="C70" s="869" t="s">
        <v>1004</v>
      </c>
      <c r="D70" s="869"/>
      <c r="E70" s="869"/>
    </row>
    <row r="71" spans="1:5" ht="11.25">
      <c r="A71" s="1249"/>
      <c r="B71" s="868" t="str">
        <f>'Project Setting'!D77</f>
        <v>Planning costs [absolute]</v>
      </c>
      <c r="C71" s="869" t="s">
        <v>1005</v>
      </c>
      <c r="D71" s="869"/>
      <c r="E71" s="869"/>
    </row>
    <row r="72" spans="1:5" ht="11.25">
      <c r="A72" s="1249"/>
      <c r="B72" s="870"/>
      <c r="C72" s="869"/>
      <c r="D72" s="869"/>
      <c r="E72" s="869"/>
    </row>
    <row r="73" spans="1:5" ht="11.25">
      <c r="A73" s="1249"/>
      <c r="B73" s="868" t="str">
        <f>'Project Setting'!D79</f>
        <v>Auxiliary electricity consumption (share of heat gen.)</v>
      </c>
      <c r="C73" s="869" t="s">
        <v>1006</v>
      </c>
      <c r="D73" s="869"/>
      <c r="E73" s="869"/>
    </row>
    <row r="74" spans="1:5" ht="11.25">
      <c r="A74" s="1249"/>
      <c r="B74" s="868" t="str">
        <f>'Project Setting'!D80</f>
        <v>Personnel</v>
      </c>
      <c r="C74" s="869" t="s">
        <v>1007</v>
      </c>
      <c r="D74" s="869"/>
      <c r="E74" s="869"/>
    </row>
    <row r="75" spans="1:5" ht="11.25">
      <c r="A75" s="1249"/>
      <c r="B75" s="868" t="str">
        <f>'Project Setting'!D81</f>
        <v>Rent</v>
      </c>
      <c r="C75" s="869" t="s">
        <v>1008</v>
      </c>
      <c r="D75" s="869"/>
      <c r="E75" s="869"/>
    </row>
    <row r="76" spans="1:5" ht="11.25">
      <c r="A76" s="1249"/>
      <c r="B76" s="870"/>
      <c r="C76" s="869"/>
      <c r="D76" s="869"/>
      <c r="E76" s="869"/>
    </row>
    <row r="77" spans="1:5" ht="11.25">
      <c r="A77" s="1249"/>
      <c r="B77" s="868" t="str">
        <f>'Project Setting'!D83</f>
        <v>Demolition costs</v>
      </c>
      <c r="C77" s="869" t="s">
        <v>1009</v>
      </c>
      <c r="D77" s="869"/>
      <c r="E77" s="869"/>
    </row>
    <row r="78" spans="1:5" ht="11.25">
      <c r="A78" s="1249"/>
      <c r="B78" s="868" t="str">
        <f>'Project Setting'!D84</f>
        <v>Residual value of investment at the end of the lifetime</v>
      </c>
      <c r="C78" s="869" t="s">
        <v>1010</v>
      </c>
      <c r="D78" s="869"/>
      <c r="E78" s="869"/>
    </row>
    <row r="79" spans="1:5" ht="11.25">
      <c r="A79" s="1249"/>
      <c r="B79" s="868" t="str">
        <f>'Project Setting'!D87</f>
        <v>Decommissioning after how many years</v>
      </c>
      <c r="C79" s="869" t="s">
        <v>1011</v>
      </c>
      <c r="D79" s="869"/>
      <c r="E79" s="869"/>
    </row>
    <row r="80" spans="1:5" ht="11.25">
      <c r="A80" s="1249"/>
      <c r="B80" s="868" t="str">
        <f>'Project Setting'!D88</f>
        <v>Depreciation time of project / calculatory lifetime</v>
      </c>
      <c r="C80" s="869" t="s">
        <v>1012</v>
      </c>
      <c r="D80" s="869"/>
      <c r="E80" s="869"/>
    </row>
    <row r="81" spans="1:5" ht="11.25">
      <c r="A81" s="1249"/>
      <c r="B81" s="868" t="str">
        <f>'Project Setting'!D89</f>
        <v>Energy carrier price increase on top of inflation</v>
      </c>
      <c r="C81" s="869" t="s">
        <v>1013</v>
      </c>
      <c r="D81" s="869"/>
      <c r="E81" s="869"/>
    </row>
    <row r="82" spans="1:5" ht="11.25">
      <c r="A82" s="1249"/>
      <c r="B82" s="870"/>
      <c r="C82" s="869"/>
      <c r="D82" s="869"/>
      <c r="E82" s="869"/>
    </row>
    <row r="83" spans="1:5" ht="11.25">
      <c r="A83" s="1249"/>
      <c r="B83" s="870"/>
      <c r="C83" s="869"/>
      <c r="D83" s="869"/>
      <c r="E83" s="869"/>
    </row>
    <row r="84" spans="1:5" ht="11.25">
      <c r="A84" s="1249"/>
      <c r="B84" s="868" t="str">
        <f>'Project Setting'!D92</f>
        <v>Average interest rate of loans in real terms (excluding inflation)</v>
      </c>
      <c r="C84" s="869" t="s">
        <v>1014</v>
      </c>
      <c r="D84" s="869"/>
      <c r="E84" s="869"/>
    </row>
    <row r="85" spans="1:5" ht="11.25">
      <c r="A85" s="1249"/>
      <c r="B85" s="868" t="str">
        <f>'Project Setting'!D93</f>
        <v>Expected interest rate on equity, again in real terms</v>
      </c>
      <c r="C85" s="869" t="s">
        <v>1015</v>
      </c>
      <c r="D85" s="869"/>
      <c r="E85" s="869"/>
    </row>
    <row r="86" spans="1:5" ht="11.25">
      <c r="A86" s="1249"/>
      <c r="B86" s="868" t="str">
        <f>'Project Setting'!D94</f>
        <v>Share of equity capital on total financing</v>
      </c>
      <c r="C86" s="869" t="s">
        <v>1016</v>
      </c>
      <c r="D86" s="869"/>
      <c r="E86" s="869"/>
    </row>
    <row r="87" spans="1:5" ht="11.25">
      <c r="A87" s="1249"/>
      <c r="B87" s="868" t="str">
        <f>'Project Setting'!D95</f>
        <v>Corporate tax rate</v>
      </c>
      <c r="C87" s="869" t="s">
        <v>1017</v>
      </c>
      <c r="D87" s="869"/>
      <c r="E87" s="869"/>
    </row>
    <row r="88" spans="1:5" ht="11.25">
      <c r="A88" s="1249"/>
      <c r="B88" s="868" t="str">
        <f>'Project Setting'!D96</f>
        <v>Weighted average costs of capital (WACC)</v>
      </c>
      <c r="C88" s="869" t="s">
        <v>1018</v>
      </c>
      <c r="D88" s="869"/>
      <c r="E88" s="869"/>
    </row>
    <row r="89" spans="1:5" ht="11.25">
      <c r="A89" s="1249"/>
      <c r="B89" s="870"/>
      <c r="C89" s="869"/>
      <c r="D89" s="869"/>
      <c r="E89" s="869"/>
    </row>
    <row r="90" spans="1:5" ht="11.25">
      <c r="A90" s="1249"/>
      <c r="B90" s="868" t="str">
        <f>'Project Setting'!D98</f>
        <v>Required (company internal) rate of return for such project</v>
      </c>
      <c r="C90" s="869" t="s">
        <v>1019</v>
      </c>
      <c r="D90" s="869"/>
      <c r="E90" s="869"/>
    </row>
    <row r="91" spans="1:5" ht="11.25">
      <c r="A91" s="1249"/>
      <c r="B91" s="868" t="str">
        <f>'Project Setting'!D100</f>
        <v>Rate of return used in the subsequent calculations</v>
      </c>
      <c r="C91" s="869" t="s">
        <v>1020</v>
      </c>
      <c r="D91" s="869"/>
      <c r="E91" s="869"/>
    </row>
    <row r="92" spans="1:5" ht="11.25">
      <c r="A92" s="1249"/>
      <c r="B92" s="868" t="str">
        <f>'Project Setting'!D101</f>
        <v>Capital recovery factor (annuity factor)</v>
      </c>
      <c r="C92" s="869" t="s">
        <v>1021</v>
      </c>
      <c r="D92" s="869"/>
      <c r="E92" s="869"/>
    </row>
    <row r="93" spans="1:5" ht="11.25">
      <c r="A93" s="1249"/>
      <c r="B93" s="870"/>
      <c r="C93" s="869"/>
      <c r="D93" s="869"/>
      <c r="E93" s="869"/>
    </row>
    <row r="94" spans="1:5" ht="11.25">
      <c r="A94" s="1249"/>
      <c r="B94" s="870"/>
      <c r="C94" s="869"/>
      <c r="D94" s="869"/>
      <c r="E94" s="869"/>
    </row>
    <row r="95" spans="1:5" ht="11.25">
      <c r="A95" s="1249"/>
      <c r="B95" s="868" t="str">
        <f>'Project Setting'!D105</f>
        <v>Investment costs (equipment, installation, heat exchangers, one-time, lump sum)</v>
      </c>
      <c r="C95" s="869" t="s">
        <v>1022</v>
      </c>
      <c r="D95" s="869"/>
      <c r="E95" s="869"/>
    </row>
    <row r="96" spans="1:5" ht="11.25">
      <c r="A96" s="1249"/>
      <c r="B96" s="868" t="str">
        <f>'Project Setting'!D106</f>
        <v>Investment costs for heat network (see &gt;Grid Costs&lt;)</v>
      </c>
      <c r="C96" s="869" t="s">
        <v>1023</v>
      </c>
      <c r="D96" s="869"/>
      <c r="E96" s="869"/>
    </row>
    <row r="97" spans="1:5" ht="11.25">
      <c r="A97" s="1249"/>
      <c r="B97" s="868" t="str">
        <f>'Project Setting'!D107</f>
        <v>Total one-time expenses and costs excl. Planning costs</v>
      </c>
      <c r="C97" s="869" t="s">
        <v>1024</v>
      </c>
      <c r="D97" s="869"/>
      <c r="E97" s="869"/>
    </row>
    <row r="98" spans="1:5" ht="11.25">
      <c r="A98" s="1249"/>
      <c r="B98" s="868" t="str">
        <f>'Project Setting'!D108</f>
        <v>Planning costs [%  Investment costs]</v>
      </c>
      <c r="C98" s="869" t="s">
        <v>1025</v>
      </c>
      <c r="D98" s="869"/>
      <c r="E98" s="869"/>
    </row>
    <row r="99" spans="1:5" ht="11.25">
      <c r="A99" s="1249"/>
      <c r="B99" s="868" t="str">
        <f>'Project Setting'!D109</f>
        <v>Planning costs [absolute]</v>
      </c>
      <c r="C99" s="869" t="s">
        <v>1005</v>
      </c>
      <c r="D99" s="869"/>
      <c r="E99" s="869"/>
    </row>
    <row r="100" spans="1:5" ht="11.25">
      <c r="A100" s="1249"/>
      <c r="B100" s="868" t="str">
        <f>'Project Setting'!D110</f>
        <v>Regular annual expenses (WASTE HEAT RECOVERY specific)</v>
      </c>
      <c r="C100" s="869" t="s">
        <v>1026</v>
      </c>
      <c r="D100" s="869"/>
      <c r="E100" s="869"/>
    </row>
    <row r="101" spans="1:5" ht="11.25">
      <c r="A101" s="1249"/>
      <c r="B101" s="868" t="str">
        <f>'Project Setting'!D111</f>
        <v>O&amp;M Costs - Variable (incl. electricity)</v>
      </c>
      <c r="C101" s="869" t="s">
        <v>1027</v>
      </c>
      <c r="D101" s="869"/>
      <c r="E101" s="869"/>
    </row>
    <row r="102" spans="1:5" ht="11.25">
      <c r="A102" s="1249"/>
      <c r="B102" s="868" t="str">
        <f>'Project Setting'!D112</f>
        <v>Heat price (Take-or-Pay)  p_0</v>
      </c>
      <c r="C102" s="869" t="s">
        <v>1028</v>
      </c>
      <c r="D102" s="869"/>
      <c r="E102" s="869"/>
    </row>
    <row r="103" spans="1:5" ht="11.25">
      <c r="A103" s="1249"/>
      <c r="B103" s="870"/>
      <c r="C103" s="869"/>
      <c r="D103" s="869"/>
      <c r="E103" s="869"/>
    </row>
    <row r="104" spans="1:5" ht="11.25">
      <c r="A104" s="1249"/>
      <c r="B104" s="868" t="str">
        <f>'Project Setting'!D114</f>
        <v>S1 (one-time, lump sum)</v>
      </c>
      <c r="C104" s="869" t="s">
        <v>1029</v>
      </c>
      <c r="D104" s="869"/>
      <c r="E104" s="869"/>
    </row>
    <row r="105" spans="1:5" ht="11.25">
      <c r="A105" s="1249"/>
      <c r="B105" s="870"/>
      <c r="C105" s="869"/>
      <c r="D105" s="869"/>
      <c r="E105" s="869"/>
    </row>
    <row r="106" spans="1:5" ht="11.25">
      <c r="A106" s="1249"/>
      <c r="B106" s="870"/>
      <c r="C106" s="869"/>
      <c r="D106" s="869"/>
      <c r="E106" s="869"/>
    </row>
    <row r="107" spans="1:5" ht="11.25">
      <c r="A107" s="1249"/>
      <c r="B107" s="868" t="str">
        <f>'Project Setting'!D117</f>
        <v>Depreciation time of project / Calculatory lifetime</v>
      </c>
      <c r="C107" s="869" t="s">
        <v>1030</v>
      </c>
      <c r="D107" s="869"/>
      <c r="E107" s="869"/>
    </row>
    <row r="108" spans="1:5" ht="11.25">
      <c r="A108" s="1249"/>
      <c r="B108" s="870"/>
      <c r="C108" s="869"/>
      <c r="D108" s="869"/>
      <c r="E108" s="869"/>
    </row>
    <row r="109" spans="1:5" ht="11.25">
      <c r="A109" s="1249"/>
      <c r="B109" s="870"/>
      <c r="C109" s="869"/>
      <c r="D109" s="869"/>
      <c r="E109" s="869"/>
    </row>
    <row r="110" spans="1:5" ht="11.25">
      <c r="A110" s="1249"/>
      <c r="B110" s="868" t="str">
        <f>'Project Setting'!D120</f>
        <v>Average interest rate of loans in real terms (excluding inflation)</v>
      </c>
      <c r="C110" s="869" t="s">
        <v>1014</v>
      </c>
      <c r="D110" s="869"/>
      <c r="E110" s="869"/>
    </row>
    <row r="111" spans="1:5" ht="11.25">
      <c r="A111" s="1249"/>
      <c r="B111" s="868" t="str">
        <f>'Project Setting'!D121</f>
        <v>Expected interest rate on equity, again in real terms</v>
      </c>
      <c r="C111" s="869" t="s">
        <v>1015</v>
      </c>
      <c r="D111" s="869"/>
      <c r="E111" s="869"/>
    </row>
    <row r="112" spans="1:5" ht="11.25">
      <c r="A112" s="1249"/>
      <c r="B112" s="868" t="str">
        <f>'Project Setting'!D122</f>
        <v>Share of equity capital on total financing</v>
      </c>
      <c r="C112" s="869" t="s">
        <v>1016</v>
      </c>
      <c r="D112" s="869"/>
      <c r="E112" s="869"/>
    </row>
    <row r="113" spans="1:5" ht="11.25">
      <c r="A113" s="1249"/>
      <c r="B113" s="868" t="str">
        <f>'Project Setting'!D123</f>
        <v>Corporate tax rate</v>
      </c>
      <c r="C113" s="869" t="s">
        <v>1031</v>
      </c>
      <c r="D113" s="869"/>
      <c r="E113" s="869"/>
    </row>
    <row r="114" spans="1:5" ht="11.25">
      <c r="A114" s="1249"/>
      <c r="B114" s="868" t="str">
        <f>'Project Setting'!D124</f>
        <v>Weighted average costs of capital (WACC)</v>
      </c>
      <c r="C114" s="869" t="s">
        <v>1018</v>
      </c>
      <c r="D114" s="869"/>
      <c r="E114" s="869"/>
    </row>
    <row r="115" spans="1:5" ht="11.25">
      <c r="A115" s="1249"/>
      <c r="B115" s="870"/>
      <c r="C115" s="869"/>
      <c r="D115" s="869"/>
      <c r="E115" s="869"/>
    </row>
    <row r="116" spans="1:5" ht="11.25">
      <c r="A116" s="1249"/>
      <c r="B116" s="868" t="str">
        <f>'Project Setting'!D126</f>
        <v>Required (company internal) rate of return for such project</v>
      </c>
      <c r="C116" s="869" t="s">
        <v>1019</v>
      </c>
      <c r="D116" s="869"/>
      <c r="E116" s="869"/>
    </row>
    <row r="117" spans="1:5" ht="11.25">
      <c r="A117" s="1249"/>
      <c r="B117" s="868" t="str">
        <f>'Project Setting'!D128</f>
        <v>Rate of return used in the subsequent calculations</v>
      </c>
      <c r="C117" s="869" t="s">
        <v>1020</v>
      </c>
      <c r="D117" s="869"/>
      <c r="E117" s="869"/>
    </row>
    <row r="118" spans="1:5" ht="11.25">
      <c r="A118" s="1249"/>
      <c r="B118" s="868" t="str">
        <f>'Project Setting'!D129</f>
        <v>Capital recovery factor (annuity factor)</v>
      </c>
      <c r="C118" s="869" t="s">
        <v>1032</v>
      </c>
      <c r="D118" s="869"/>
      <c r="E118" s="869"/>
    </row>
    <row r="119" spans="1:5" ht="11.25">
      <c r="A119" s="1249"/>
      <c r="B119" s="870"/>
      <c r="C119" s="869"/>
      <c r="D119" s="869"/>
      <c r="E119" s="869"/>
    </row>
    <row r="120" spans="1:5" ht="11.25">
      <c r="A120" s="1249"/>
      <c r="B120" s="868" t="str">
        <f>'Project Setting'!D132</f>
        <v>Electricity - grid fee</v>
      </c>
      <c r="C120" s="869" t="s">
        <v>1191</v>
      </c>
      <c r="D120" s="34"/>
      <c r="E120" s="869"/>
    </row>
    <row r="121" spans="1:5">
      <c r="A121" s="620"/>
      <c r="C121" s="34"/>
      <c r="E121" s="34"/>
    </row>
    <row r="122" spans="1:5">
      <c r="A122" s="620"/>
      <c r="B122" s="28"/>
      <c r="C122" s="34"/>
      <c r="D122" s="871"/>
    </row>
    <row r="123" spans="1:5" ht="11.1" customHeight="1">
      <c r="A123" s="1250" t="s">
        <v>21</v>
      </c>
      <c r="B123" s="868"/>
      <c r="C123" s="869"/>
      <c r="D123" s="869" t="s">
        <v>1033</v>
      </c>
      <c r="E123" s="872"/>
    </row>
    <row r="124" spans="1:5" ht="11.25">
      <c r="A124" s="1250"/>
      <c r="B124" s="868" t="str">
        <f>'Grid Costs'!B13</f>
        <v>Specific cost (including pipe works and joints)</v>
      </c>
      <c r="C124" s="869"/>
      <c r="D124" s="871"/>
      <c r="E124" s="869" t="s">
        <v>1034</v>
      </c>
    </row>
    <row r="125" spans="1:5" ht="11.25">
      <c r="A125" s="1250"/>
      <c r="B125" s="873"/>
      <c r="C125" s="869"/>
      <c r="D125" s="871"/>
      <c r="E125" s="872"/>
    </row>
    <row r="126" spans="1:5" ht="11.25">
      <c r="A126" s="1250"/>
      <c r="B126" s="873"/>
      <c r="C126" s="869"/>
      <c r="D126" s="871"/>
      <c r="E126" s="872"/>
    </row>
    <row r="127" spans="1:5" ht="11.25">
      <c r="A127" s="1250"/>
      <c r="B127" s="873"/>
      <c r="C127" s="869"/>
      <c r="D127" s="869"/>
      <c r="E127" s="872"/>
    </row>
    <row r="128" spans="1:5" s="135" customFormat="1">
      <c r="A128" s="620"/>
      <c r="B128" s="195"/>
      <c r="C128" s="34"/>
    </row>
    <row r="129" spans="1:5" s="135" customFormat="1">
      <c r="A129" s="620"/>
      <c r="B129" s="195"/>
      <c r="C129" s="34"/>
      <c r="D129" s="1027"/>
    </row>
    <row r="130" spans="1:5" s="135" customFormat="1" ht="18">
      <c r="A130" s="1251" t="s">
        <v>23</v>
      </c>
      <c r="B130" s="215" t="str">
        <f>'Definition of Typical Day'!C14</f>
        <v>Name of typical day</v>
      </c>
      <c r="C130" s="216" t="s">
        <v>1036</v>
      </c>
      <c r="D130" s="216" t="s">
        <v>1035</v>
      </c>
      <c r="E130" s="869" t="s">
        <v>1038</v>
      </c>
    </row>
    <row r="131" spans="1:5" s="135" customFormat="1" ht="18">
      <c r="A131" s="1251"/>
      <c r="B131" s="215" t="str">
        <f>'Definition of Typical Day'!C15</f>
        <v>Season of typical day</v>
      </c>
      <c r="C131" s="216" t="s">
        <v>1039</v>
      </c>
      <c r="D131" s="869" t="s">
        <v>1037</v>
      </c>
      <c r="E131" s="869" t="s">
        <v>1038</v>
      </c>
    </row>
    <row r="132" spans="1:5" s="135" customFormat="1" ht="18">
      <c r="A132" s="1251"/>
      <c r="B132" s="215" t="str">
        <f>'Definition of Typical Day'!C16</f>
        <v>Qualitative Description</v>
      </c>
      <c r="C132" s="216" t="s">
        <v>1040</v>
      </c>
      <c r="D132" s="869" t="s">
        <v>1037</v>
      </c>
      <c r="E132" s="869" t="s">
        <v>1042</v>
      </c>
    </row>
    <row r="133" spans="1:5" s="135" customFormat="1" ht="18">
      <c r="A133" s="1251"/>
      <c r="B133" s="215" t="str">
        <f>'Definition of Typical Day'!C27</f>
        <v>Electricity price auxiliary electricity (for simplicity, this price includes already grid fees, etc.).</v>
      </c>
      <c r="C133" s="216" t="s">
        <v>1192</v>
      </c>
      <c r="D133" s="869" t="s">
        <v>1041</v>
      </c>
      <c r="E133" s="869" t="s">
        <v>1043</v>
      </c>
    </row>
    <row r="134" spans="1:5" s="135" customFormat="1" ht="11.25">
      <c r="A134" s="1251"/>
      <c r="B134" s="215" t="str">
        <f>'Definition of Typical Day'!C33</f>
        <v>Available waste heat (DC heat source)</v>
      </c>
      <c r="C134" s="216" t="s">
        <v>1044</v>
      </c>
      <c r="D134" s="869"/>
      <c r="E134" s="869"/>
    </row>
    <row r="135" spans="1:5" s="135" customFormat="1" ht="11.25">
      <c r="A135" s="1251"/>
      <c r="B135" s="215" t="str">
        <f>'Definition of Typical Day'!C61</f>
        <v>Max heat demand - grid (HP heat sink)</v>
      </c>
      <c r="C135" s="216" t="s">
        <v>1045</v>
      </c>
      <c r="D135" s="869"/>
      <c r="E135" s="869"/>
    </row>
    <row r="136" spans="1:5" s="135" customFormat="1" ht="11.25">
      <c r="A136" s="1251"/>
      <c r="B136" s="215" t="str">
        <f>'Definition of Typical Day'!C89</f>
        <v>Heat source temperature (DC) / temperature of the cooling system before HEx 1</v>
      </c>
      <c r="C136" s="216" t="s">
        <v>1046</v>
      </c>
      <c r="D136" s="869" t="s">
        <v>1047</v>
      </c>
      <c r="E136" s="869" t="s">
        <v>1048</v>
      </c>
    </row>
    <row r="137" spans="1:5" s="135" customFormat="1" ht="18">
      <c r="A137" s="1251"/>
      <c r="B137" s="215" t="str">
        <f>'Definition of Typical Day'!C119</f>
        <v>DH supply line temperature*</v>
      </c>
      <c r="C137" s="216" t="s">
        <v>1049</v>
      </c>
      <c r="D137" s="869" t="s">
        <v>1050</v>
      </c>
      <c r="E137" s="869" t="s">
        <v>1051</v>
      </c>
    </row>
    <row r="138" spans="1:5" s="135" customFormat="1" ht="18">
      <c r="A138" s="1251"/>
      <c r="B138" s="215" t="str">
        <f>'Definition of Typical Day'!C148</f>
        <v xml:space="preserve">DH return line temperature*  </v>
      </c>
      <c r="C138" s="216" t="s">
        <v>1052</v>
      </c>
      <c r="D138" s="869" t="s">
        <v>1053</v>
      </c>
      <c r="E138" s="869" t="s">
        <v>1054</v>
      </c>
    </row>
    <row r="139" spans="1:5" s="135" customFormat="1" ht="11.25">
      <c r="A139" s="1251"/>
      <c r="B139" s="215" t="str">
        <f>'Definition of Typical Day'!C177</f>
        <v>Short-run marginal costs of alternative heat production</v>
      </c>
      <c r="C139" s="216" t="s">
        <v>1055</v>
      </c>
      <c r="D139" s="869"/>
      <c r="E139" s="871"/>
    </row>
    <row r="140" spans="1:5" s="135" customFormat="1" ht="11.25">
      <c r="A140" s="1251"/>
      <c r="B140" s="215" t="str">
        <f>'Definition of Typical Day'!C206</f>
        <v>Electricity price heat pump</v>
      </c>
      <c r="C140" s="216" t="s">
        <v>1056</v>
      </c>
      <c r="D140" s="871"/>
      <c r="E140" s="871"/>
    </row>
    <row r="141" spans="1:5" s="135" customFormat="1" ht="11.25">
      <c r="A141" s="1251"/>
      <c r="B141" s="215" t="str">
        <f>'Definition of Typical Day'!C235</f>
        <v>Energy price for energy used by booster</v>
      </c>
      <c r="C141" s="216" t="s">
        <v>1057</v>
      </c>
      <c r="D141" s="871"/>
      <c r="E141" s="871"/>
    </row>
    <row r="142" spans="1:5" s="135" customFormat="1" ht="11.25">
      <c r="A142" s="1251"/>
      <c r="B142" s="215" t="str">
        <f>'Definition of Typical Day'!C264</f>
        <v xml:space="preserve">Data centre operator / waste heat provider: Electricity price for active cooling system </v>
      </c>
      <c r="C142" s="216" t="s">
        <v>1058</v>
      </c>
      <c r="D142" s="871"/>
      <c r="E142" s="871"/>
    </row>
    <row r="143" spans="1:5" s="135" customFormat="1" ht="18.75">
      <c r="A143" s="1251"/>
      <c r="B143" s="215" t="str">
        <f>'Definition of Typical Day'!C293</f>
        <v>Data centre operator  / waste heat provider: Share of active cooling (if heat is not taken up by Contractor 1)</v>
      </c>
      <c r="C143" s="216" t="s">
        <v>1059</v>
      </c>
      <c r="D143" s="871"/>
      <c r="E143" s="871"/>
    </row>
    <row r="144" spans="1:5" s="135" customFormat="1">
      <c r="A144" s="620"/>
      <c r="B144" s="195"/>
      <c r="D144" s="871"/>
      <c r="E144" s="871"/>
    </row>
    <row r="145" spans="1:5" s="135" customFormat="1">
      <c r="A145" s="620"/>
      <c r="B145" s="195"/>
      <c r="D145" s="869"/>
      <c r="E145" s="871"/>
    </row>
    <row r="146" spans="1:5" ht="36">
      <c r="A146" s="1248" t="s">
        <v>33</v>
      </c>
      <c r="B146" s="215" t="str">
        <f>'Calculation Break-Even'!B83</f>
        <v>The calculated break-even price for waste heat is the lower limit for the  DC operator to receive to reach the break-even point under the predefined economic parameters.  (Expected IRR and calculatory life time as defined in the Project Sheet)</v>
      </c>
      <c r="C146" s="216" t="s">
        <v>1060</v>
      </c>
      <c r="D146" s="869"/>
      <c r="E146" s="869"/>
    </row>
    <row r="147" spans="1:5" s="135" customFormat="1" ht="18">
      <c r="A147" s="1248"/>
      <c r="B147" s="215" t="str">
        <f>'Calculation Break-Even'!B84</f>
        <v>Contractor 2 / DC operator: Break-even waste heat price per MWh waste heat utilised in heat pump</v>
      </c>
      <c r="C147" s="216" t="s">
        <v>1062</v>
      </c>
      <c r="D147" s="869" t="s">
        <v>1061</v>
      </c>
      <c r="E147" s="869" t="s">
        <v>1064</v>
      </c>
    </row>
    <row r="148" spans="1:5" s="135" customFormat="1" ht="27">
      <c r="A148" s="1248"/>
      <c r="B148" s="215" t="str">
        <f>'Calculation Break-Even'!B71</f>
        <v>LCOH - excl. payment to DC operator based on negotiated price p_1 between Contractor 1 and Contractor 2</v>
      </c>
      <c r="C148" s="216" t="s">
        <v>1065</v>
      </c>
      <c r="D148" s="869" t="s">
        <v>1063</v>
      </c>
      <c r="E148" s="869"/>
    </row>
    <row r="149" spans="1:5" s="135" customFormat="1" ht="27">
      <c r="A149" s="1248"/>
      <c r="B149" s="215" t="str">
        <f>'Calculation Break-Even'!B72</f>
        <v>LCOH - incl. payment to DC operator based on negotiated price p_1 between Contractor 1 and Contractor 2</v>
      </c>
      <c r="C149" s="216" t="s">
        <v>1066</v>
      </c>
      <c r="D149" s="869" t="s">
        <v>1063</v>
      </c>
      <c r="E149" s="869"/>
    </row>
    <row r="150" spans="1:5" s="135" customFormat="1" ht="36">
      <c r="A150" s="1248"/>
      <c r="B150" s="215" t="str">
        <f>'Calculation Break-Even'!B73</f>
        <v>LCOH - excl. payment to DC operator based on negotiated price p_1 between Contractor 1 and Contractor 2 excluding heat extraction system investment costs share paid by contractor 1</v>
      </c>
      <c r="C150" s="216" t="s">
        <v>1067</v>
      </c>
      <c r="D150" s="869" t="s">
        <v>1063</v>
      </c>
      <c r="E150" s="869"/>
    </row>
    <row r="151" spans="1:5" s="135" customFormat="1" ht="27">
      <c r="A151" s="1248"/>
      <c r="B151" s="215" t="str">
        <f>'Calculation Break-Even'!B74</f>
        <v>LCOH - incl. payment to DC operator based on negotiated price p_1 between Contractor 1 and Contractor 2 excluding heat extraction system investment costs share paid by contractor 1</v>
      </c>
      <c r="C151" s="216" t="s">
        <v>1068</v>
      </c>
      <c r="D151" s="869" t="s">
        <v>1063</v>
      </c>
      <c r="E151" s="869"/>
    </row>
    <row r="152" spans="1:5" s="135" customFormat="1">
      <c r="A152" s="620"/>
      <c r="B152" s="195"/>
    </row>
    <row r="153" spans="1:5" s="135" customFormat="1">
      <c r="A153" s="620"/>
      <c r="B153" s="195"/>
    </row>
    <row r="154" spans="1:5" s="135" customFormat="1">
      <c r="A154" s="620"/>
      <c r="B154" s="195"/>
    </row>
    <row r="155" spans="1:5" s="135" customFormat="1">
      <c r="A155" s="620"/>
      <c r="B155" s="195"/>
    </row>
    <row r="156" spans="1:5" s="135" customFormat="1">
      <c r="A156" s="620"/>
      <c r="B156" s="195"/>
    </row>
    <row r="157" spans="1:5" s="135" customFormat="1">
      <c r="A157" s="620"/>
      <c r="B157" s="195"/>
    </row>
    <row r="158" spans="1:5" s="135" customFormat="1">
      <c r="A158" s="620"/>
      <c r="B158" s="195"/>
      <c r="C158" s="28"/>
    </row>
    <row r="159" spans="1:5" s="135" customFormat="1">
      <c r="A159" s="620"/>
      <c r="B159" s="195"/>
      <c r="C159" s="28"/>
    </row>
    <row r="160" spans="1:5" s="135" customFormat="1">
      <c r="A160" s="620"/>
      <c r="B160" s="195"/>
      <c r="C160" s="28"/>
    </row>
    <row r="161" spans="1:3" s="135" customFormat="1">
      <c r="A161" s="620"/>
      <c r="B161" s="195"/>
      <c r="C161" s="28"/>
    </row>
    <row r="162" spans="1:3" s="135" customFormat="1">
      <c r="A162" s="620"/>
      <c r="B162" s="195"/>
      <c r="C162" s="28"/>
    </row>
    <row r="163" spans="1:3" s="135" customFormat="1">
      <c r="A163" s="620"/>
      <c r="B163" s="195"/>
      <c r="C163" s="28"/>
    </row>
    <row r="164" spans="1:3" s="135" customFormat="1">
      <c r="A164" s="620"/>
      <c r="B164" s="195"/>
      <c r="C164" s="28"/>
    </row>
    <row r="165" spans="1:3" s="135" customFormat="1">
      <c r="A165" s="620"/>
      <c r="B165" s="195"/>
      <c r="C165" s="28"/>
    </row>
    <row r="166" spans="1:3" s="135" customFormat="1">
      <c r="A166" s="620"/>
      <c r="B166" s="195"/>
      <c r="C166" s="28"/>
    </row>
    <row r="167" spans="1:3" s="135" customFormat="1">
      <c r="A167" s="620"/>
      <c r="B167" s="195"/>
      <c r="C167" s="28"/>
    </row>
    <row r="168" spans="1:3" s="135" customFormat="1">
      <c r="A168" s="620"/>
      <c r="B168" s="195"/>
      <c r="C168" s="28"/>
    </row>
    <row r="169" spans="1:3" s="135" customFormat="1">
      <c r="A169" s="620"/>
      <c r="B169" s="195"/>
      <c r="C169" s="28"/>
    </row>
    <row r="170" spans="1:3" s="135" customFormat="1">
      <c r="A170" s="620"/>
      <c r="B170" s="195"/>
      <c r="C170" s="28"/>
    </row>
    <row r="171" spans="1:3" s="135" customFormat="1">
      <c r="A171" s="620"/>
      <c r="B171" s="195"/>
      <c r="C171" s="28"/>
    </row>
    <row r="172" spans="1:3" s="135" customFormat="1">
      <c r="A172" s="620"/>
      <c r="B172" s="195"/>
      <c r="C172" s="28"/>
    </row>
    <row r="173" spans="1:3" s="135" customFormat="1">
      <c r="A173" s="620"/>
      <c r="B173" s="195"/>
      <c r="C173" s="28"/>
    </row>
    <row r="174" spans="1:3" s="135" customFormat="1">
      <c r="A174" s="620"/>
      <c r="B174" s="195"/>
      <c r="C174" s="28"/>
    </row>
    <row r="175" spans="1:3" s="135" customFormat="1">
      <c r="A175" s="620"/>
      <c r="B175" s="195"/>
      <c r="C175" s="28"/>
    </row>
    <row r="176" spans="1:3" s="135" customFormat="1">
      <c r="A176" s="620"/>
      <c r="B176" s="195"/>
      <c r="C176" s="28"/>
    </row>
    <row r="177" spans="1:4" s="135" customFormat="1">
      <c r="A177" s="620"/>
      <c r="B177" s="195"/>
      <c r="C177" s="28"/>
    </row>
    <row r="178" spans="1:4" s="135" customFormat="1">
      <c r="A178" s="620"/>
      <c r="B178" s="195"/>
      <c r="C178" s="28"/>
    </row>
    <row r="179" spans="1:4" s="135" customFormat="1">
      <c r="A179" s="620"/>
      <c r="B179" s="195"/>
      <c r="C179" s="28"/>
    </row>
    <row r="180" spans="1:4" s="135" customFormat="1">
      <c r="A180" s="620"/>
      <c r="B180" s="195"/>
      <c r="C180" s="28"/>
    </row>
    <row r="181" spans="1:4" s="135" customFormat="1">
      <c r="A181" s="620"/>
      <c r="B181" s="195"/>
      <c r="C181" s="28"/>
    </row>
    <row r="182" spans="1:4" s="135" customFormat="1">
      <c r="A182" s="620"/>
      <c r="B182" s="195"/>
      <c r="C182" s="28"/>
    </row>
    <row r="183" spans="1:4" s="135" customFormat="1">
      <c r="A183" s="620"/>
      <c r="B183" s="195"/>
      <c r="C183" s="28"/>
    </row>
    <row r="184" spans="1:4" s="135" customFormat="1">
      <c r="A184" s="620"/>
      <c r="B184" s="195"/>
      <c r="C184" s="28"/>
    </row>
    <row r="185" spans="1:4" s="135" customFormat="1">
      <c r="A185" s="620"/>
      <c r="B185" s="195"/>
      <c r="C185" s="28"/>
    </row>
    <row r="186" spans="1:4" s="135" customFormat="1">
      <c r="A186" s="620"/>
      <c r="B186" s="195"/>
      <c r="C186" s="28"/>
    </row>
    <row r="187" spans="1:4" s="135" customFormat="1">
      <c r="A187" s="620"/>
      <c r="B187" s="195"/>
      <c r="C187" s="28"/>
    </row>
    <row r="188" spans="1:4" s="135" customFormat="1">
      <c r="A188" s="620"/>
      <c r="B188" s="195"/>
      <c r="C188" s="28"/>
    </row>
    <row r="189" spans="1:4" s="135" customFormat="1">
      <c r="A189" s="620"/>
      <c r="B189" s="195"/>
      <c r="C189" s="28"/>
    </row>
    <row r="190" spans="1:4" s="135" customFormat="1">
      <c r="A190" s="620"/>
      <c r="B190" s="195"/>
      <c r="C190" s="28"/>
    </row>
    <row r="191" spans="1:4" s="135" customFormat="1">
      <c r="A191" s="620"/>
      <c r="B191" s="195"/>
      <c r="C191" s="28"/>
    </row>
    <row r="192" spans="1:4" s="135" customFormat="1">
      <c r="A192" s="620"/>
      <c r="B192" s="195"/>
      <c r="C192" s="28"/>
      <c r="D192" s="57"/>
    </row>
    <row r="193" spans="1:4">
      <c r="C193" s="28"/>
    </row>
    <row r="194" spans="1:4">
      <c r="C194" s="28"/>
    </row>
    <row r="195" spans="1:4">
      <c r="C195" s="28"/>
    </row>
    <row r="196" spans="1:4">
      <c r="C196" s="28"/>
    </row>
    <row r="197" spans="1:4">
      <c r="C197" s="28"/>
    </row>
    <row r="198" spans="1:4">
      <c r="C198" s="28"/>
    </row>
    <row r="199" spans="1:4">
      <c r="C199" s="28"/>
    </row>
    <row r="200" spans="1:4">
      <c r="C200" s="28"/>
    </row>
    <row r="201" spans="1:4">
      <c r="C201" s="28"/>
    </row>
    <row r="202" spans="1:4">
      <c r="C202" s="28"/>
    </row>
    <row r="203" spans="1:4">
      <c r="C203" s="28"/>
    </row>
    <row r="204" spans="1:4">
      <c r="C204" s="28"/>
    </row>
    <row r="205" spans="1:4">
      <c r="C205" s="28"/>
    </row>
    <row r="206" spans="1:4">
      <c r="C206" s="28"/>
    </row>
    <row r="207" spans="1:4">
      <c r="C207" s="28"/>
      <c r="D207" s="135"/>
    </row>
    <row r="208" spans="1:4" s="135" customFormat="1">
      <c r="A208" s="620"/>
      <c r="B208" s="195"/>
      <c r="C208" s="28"/>
    </row>
    <row r="209" spans="1:3" s="135" customFormat="1">
      <c r="A209" s="620"/>
      <c r="B209" s="195"/>
      <c r="C209" s="28"/>
    </row>
    <row r="210" spans="1:3" s="135" customFormat="1">
      <c r="A210" s="620"/>
      <c r="B210" s="195"/>
      <c r="C210" s="28"/>
    </row>
    <row r="211" spans="1:3" s="135" customFormat="1">
      <c r="A211" s="620"/>
      <c r="B211" s="195"/>
      <c r="C211" s="28"/>
    </row>
    <row r="212" spans="1:3" s="135" customFormat="1">
      <c r="A212" s="620"/>
      <c r="B212" s="195"/>
      <c r="C212" s="28"/>
    </row>
    <row r="213" spans="1:3" s="135" customFormat="1">
      <c r="A213" s="620"/>
      <c r="B213" s="195"/>
      <c r="C213" s="28"/>
    </row>
    <row r="214" spans="1:3" s="135" customFormat="1">
      <c r="A214" s="620"/>
      <c r="B214" s="195"/>
      <c r="C214" s="28"/>
    </row>
    <row r="215" spans="1:3" s="135" customFormat="1">
      <c r="A215" s="620"/>
      <c r="B215" s="195"/>
      <c r="C215" s="28"/>
    </row>
    <row r="216" spans="1:3" s="135" customFormat="1">
      <c r="A216" s="620"/>
      <c r="B216" s="195"/>
      <c r="C216" s="28"/>
    </row>
    <row r="217" spans="1:3" s="135" customFormat="1">
      <c r="A217" s="620"/>
      <c r="B217" s="195"/>
      <c r="C217" s="28"/>
    </row>
    <row r="218" spans="1:3" s="135" customFormat="1">
      <c r="A218" s="620"/>
      <c r="B218" s="195"/>
      <c r="C218" s="28"/>
    </row>
    <row r="219" spans="1:3" s="135" customFormat="1">
      <c r="A219" s="620"/>
      <c r="B219" s="195"/>
      <c r="C219" s="28"/>
    </row>
    <row r="220" spans="1:3" s="135" customFormat="1">
      <c r="A220" s="620"/>
      <c r="B220" s="195"/>
      <c r="C220" s="28"/>
    </row>
    <row r="221" spans="1:3" s="135" customFormat="1">
      <c r="A221" s="620"/>
      <c r="B221" s="195"/>
      <c r="C221" s="28"/>
    </row>
    <row r="222" spans="1:3" s="135" customFormat="1">
      <c r="A222" s="620"/>
      <c r="B222" s="195"/>
      <c r="C222" s="28"/>
    </row>
    <row r="223" spans="1:3" s="135" customFormat="1">
      <c r="A223" s="620"/>
      <c r="B223" s="195"/>
      <c r="C223" s="28"/>
    </row>
    <row r="224" spans="1:3" s="135" customFormat="1">
      <c r="A224" s="620"/>
      <c r="B224" s="195"/>
      <c r="C224" s="28"/>
    </row>
    <row r="225" spans="1:3" s="135" customFormat="1">
      <c r="A225" s="620"/>
      <c r="B225" s="195"/>
      <c r="C225" s="28"/>
    </row>
    <row r="226" spans="1:3" s="135" customFormat="1">
      <c r="A226" s="620"/>
      <c r="B226" s="195"/>
      <c r="C226" s="28"/>
    </row>
    <row r="227" spans="1:3" s="135" customFormat="1">
      <c r="A227" s="620"/>
      <c r="B227" s="195"/>
      <c r="C227" s="28"/>
    </row>
    <row r="228" spans="1:3" s="135" customFormat="1">
      <c r="A228" s="620"/>
      <c r="B228" s="195"/>
    </row>
    <row r="229" spans="1:3" s="135" customFormat="1">
      <c r="A229" s="620"/>
      <c r="B229" s="195"/>
    </row>
    <row r="230" spans="1:3" s="135" customFormat="1">
      <c r="A230" s="620"/>
      <c r="B230" s="195"/>
    </row>
    <row r="231" spans="1:3" s="135" customFormat="1">
      <c r="A231" s="620"/>
      <c r="B231" s="195"/>
    </row>
    <row r="232" spans="1:3" s="135" customFormat="1">
      <c r="A232" s="620"/>
      <c r="B232" s="195"/>
    </row>
    <row r="233" spans="1:3" s="135" customFormat="1">
      <c r="A233" s="620"/>
      <c r="B233" s="195"/>
    </row>
    <row r="234" spans="1:3" s="135" customFormat="1">
      <c r="A234" s="620"/>
      <c r="B234" s="195"/>
    </row>
    <row r="235" spans="1:3" s="135" customFormat="1">
      <c r="A235" s="620"/>
      <c r="B235" s="195"/>
    </row>
    <row r="236" spans="1:3" s="135" customFormat="1">
      <c r="A236" s="620"/>
      <c r="B236" s="195"/>
    </row>
    <row r="237" spans="1:3" s="135" customFormat="1">
      <c r="A237" s="620"/>
      <c r="B237" s="195"/>
    </row>
    <row r="238" spans="1:3" s="135" customFormat="1">
      <c r="A238" s="620"/>
      <c r="B238" s="195"/>
    </row>
    <row r="239" spans="1:3" s="135" customFormat="1">
      <c r="A239" s="620"/>
      <c r="B239" s="195"/>
    </row>
    <row r="240" spans="1:3" s="135" customFormat="1">
      <c r="A240" s="620"/>
      <c r="B240" s="195"/>
    </row>
    <row r="241" spans="1:2" s="135" customFormat="1">
      <c r="A241" s="620"/>
      <c r="B241" s="195"/>
    </row>
    <row r="242" spans="1:2" s="135" customFormat="1">
      <c r="A242" s="620"/>
      <c r="B242" s="195"/>
    </row>
    <row r="243" spans="1:2" s="135" customFormat="1">
      <c r="A243" s="620"/>
      <c r="B243" s="195"/>
    </row>
    <row r="244" spans="1:2" s="135" customFormat="1">
      <c r="A244" s="620"/>
      <c r="B244" s="195"/>
    </row>
    <row r="245" spans="1:2" s="135" customFormat="1">
      <c r="A245" s="620"/>
      <c r="B245" s="195"/>
    </row>
    <row r="246" spans="1:2" s="135" customFormat="1">
      <c r="A246" s="620"/>
      <c r="B246" s="195"/>
    </row>
    <row r="247" spans="1:2" s="135" customFormat="1">
      <c r="A247" s="620"/>
      <c r="B247" s="195"/>
    </row>
    <row r="248" spans="1:2" s="135" customFormat="1">
      <c r="A248" s="620"/>
      <c r="B248" s="195"/>
    </row>
    <row r="249" spans="1:2" s="135" customFormat="1">
      <c r="A249" s="620"/>
      <c r="B249" s="195"/>
    </row>
    <row r="250" spans="1:2" s="135" customFormat="1">
      <c r="A250" s="620"/>
      <c r="B250" s="195"/>
    </row>
    <row r="251" spans="1:2" s="135" customFormat="1">
      <c r="A251" s="620"/>
      <c r="B251" s="195"/>
    </row>
    <row r="252" spans="1:2" s="135" customFormat="1">
      <c r="A252" s="620"/>
      <c r="B252" s="195"/>
    </row>
    <row r="253" spans="1:2" s="135" customFormat="1">
      <c r="A253" s="620"/>
      <c r="B253" s="195"/>
    </row>
    <row r="254" spans="1:2" s="135" customFormat="1">
      <c r="A254" s="620"/>
      <c r="B254" s="195"/>
    </row>
    <row r="255" spans="1:2" s="135" customFormat="1">
      <c r="A255" s="620"/>
      <c r="B255" s="195"/>
    </row>
    <row r="256" spans="1:2" s="135" customFormat="1">
      <c r="A256" s="620"/>
      <c r="B256" s="195"/>
    </row>
    <row r="257" spans="1:2" s="135" customFormat="1">
      <c r="A257" s="620"/>
      <c r="B257" s="195"/>
    </row>
    <row r="258" spans="1:2" s="135" customFormat="1">
      <c r="A258" s="620"/>
      <c r="B258" s="195"/>
    </row>
    <row r="259" spans="1:2" s="135" customFormat="1">
      <c r="A259" s="620"/>
      <c r="B259" s="195"/>
    </row>
    <row r="260" spans="1:2" s="135" customFormat="1">
      <c r="A260" s="620"/>
      <c r="B260" s="195"/>
    </row>
    <row r="261" spans="1:2" s="135" customFormat="1">
      <c r="A261" s="620"/>
      <c r="B261" s="195"/>
    </row>
    <row r="262" spans="1:2" s="135" customFormat="1">
      <c r="A262" s="620"/>
      <c r="B262" s="195"/>
    </row>
    <row r="263" spans="1:2" s="135" customFormat="1">
      <c r="A263" s="620"/>
      <c r="B263" s="195"/>
    </row>
    <row r="264" spans="1:2" s="135" customFormat="1">
      <c r="A264" s="620"/>
      <c r="B264" s="195"/>
    </row>
    <row r="265" spans="1:2" s="135" customFormat="1">
      <c r="A265" s="620"/>
      <c r="B265" s="195"/>
    </row>
    <row r="266" spans="1:2" s="135" customFormat="1">
      <c r="A266" s="620"/>
      <c r="B266" s="195"/>
    </row>
    <row r="267" spans="1:2" s="135" customFormat="1">
      <c r="A267" s="620"/>
      <c r="B267" s="195"/>
    </row>
    <row r="268" spans="1:2" s="135" customFormat="1">
      <c r="A268" s="620"/>
      <c r="B268" s="195"/>
    </row>
    <row r="269" spans="1:2" s="135" customFormat="1">
      <c r="A269" s="620"/>
      <c r="B269" s="195"/>
    </row>
    <row r="270" spans="1:2" s="135" customFormat="1">
      <c r="A270" s="620"/>
      <c r="B270" s="195"/>
    </row>
    <row r="271" spans="1:2" s="135" customFormat="1">
      <c r="A271" s="620"/>
      <c r="B271" s="195"/>
    </row>
    <row r="272" spans="1:2" s="135" customFormat="1">
      <c r="A272" s="620"/>
      <c r="B272" s="195"/>
    </row>
    <row r="273" spans="1:2" s="135" customFormat="1">
      <c r="A273" s="620"/>
      <c r="B273" s="195"/>
    </row>
    <row r="274" spans="1:2" s="135" customFormat="1">
      <c r="A274" s="620"/>
      <c r="B274" s="195"/>
    </row>
    <row r="275" spans="1:2" s="135" customFormat="1">
      <c r="A275" s="620"/>
      <c r="B275" s="195"/>
    </row>
    <row r="276" spans="1:2" s="135" customFormat="1">
      <c r="A276" s="620"/>
      <c r="B276" s="195"/>
    </row>
    <row r="277" spans="1:2" s="135" customFormat="1">
      <c r="A277" s="620"/>
      <c r="B277" s="195"/>
    </row>
    <row r="278" spans="1:2" s="135" customFormat="1">
      <c r="A278" s="620"/>
      <c r="B278" s="195"/>
    </row>
    <row r="279" spans="1:2" s="135" customFormat="1">
      <c r="A279" s="620"/>
      <c r="B279" s="195"/>
    </row>
    <row r="280" spans="1:2" s="135" customFormat="1">
      <c r="A280" s="620"/>
      <c r="B280" s="195"/>
    </row>
    <row r="281" spans="1:2" s="135" customFormat="1">
      <c r="A281" s="620"/>
      <c r="B281" s="195"/>
    </row>
    <row r="282" spans="1:2" s="135" customFormat="1">
      <c r="A282" s="620"/>
      <c r="B282" s="195"/>
    </row>
    <row r="283" spans="1:2" s="135" customFormat="1">
      <c r="A283" s="620"/>
      <c r="B283" s="195"/>
    </row>
    <row r="284" spans="1:2" s="135" customFormat="1">
      <c r="A284" s="620"/>
      <c r="B284" s="195"/>
    </row>
    <row r="285" spans="1:2" s="135" customFormat="1">
      <c r="A285" s="620"/>
      <c r="B285" s="195"/>
    </row>
    <row r="286" spans="1:2" s="135" customFormat="1">
      <c r="A286" s="620"/>
      <c r="B286" s="195"/>
    </row>
    <row r="287" spans="1:2" s="135" customFormat="1">
      <c r="A287" s="620"/>
      <c r="B287" s="195"/>
    </row>
    <row r="288" spans="1:2" s="135" customFormat="1">
      <c r="A288" s="620"/>
      <c r="B288" s="195"/>
    </row>
    <row r="289" spans="1:2" s="135" customFormat="1">
      <c r="A289" s="620"/>
      <c r="B289" s="195"/>
    </row>
    <row r="290" spans="1:2" s="135" customFormat="1">
      <c r="A290" s="620"/>
      <c r="B290" s="195"/>
    </row>
    <row r="291" spans="1:2" s="135" customFormat="1">
      <c r="A291" s="620"/>
      <c r="B291" s="195"/>
    </row>
    <row r="292" spans="1:2" s="135" customFormat="1">
      <c r="A292" s="620"/>
      <c r="B292" s="195"/>
    </row>
    <row r="293" spans="1:2" s="135" customFormat="1">
      <c r="A293" s="620"/>
      <c r="B293" s="195"/>
    </row>
    <row r="294" spans="1:2" s="135" customFormat="1">
      <c r="A294" s="620"/>
      <c r="B294" s="195"/>
    </row>
    <row r="295" spans="1:2" s="135" customFormat="1">
      <c r="A295" s="620"/>
      <c r="B295" s="195"/>
    </row>
    <row r="296" spans="1:2" s="135" customFormat="1">
      <c r="A296" s="620"/>
      <c r="B296" s="195"/>
    </row>
    <row r="297" spans="1:2" s="135" customFormat="1">
      <c r="A297" s="620"/>
      <c r="B297" s="195"/>
    </row>
    <row r="298" spans="1:2" s="135" customFormat="1">
      <c r="A298" s="620"/>
      <c r="B298" s="195"/>
    </row>
    <row r="299" spans="1:2" s="135" customFormat="1">
      <c r="A299" s="620"/>
      <c r="B299" s="195"/>
    </row>
    <row r="300" spans="1:2" s="135" customFormat="1">
      <c r="A300" s="620"/>
      <c r="B300" s="195"/>
    </row>
    <row r="301" spans="1:2" s="135" customFormat="1">
      <c r="A301" s="620"/>
      <c r="B301" s="195"/>
    </row>
    <row r="302" spans="1:2" s="135" customFormat="1">
      <c r="A302" s="620"/>
      <c r="B302" s="195"/>
    </row>
    <row r="303" spans="1:2" s="135" customFormat="1">
      <c r="A303" s="620"/>
      <c r="B303" s="195"/>
    </row>
    <row r="304" spans="1:2" s="135" customFormat="1">
      <c r="A304" s="620"/>
      <c r="B304" s="195"/>
    </row>
    <row r="305" spans="1:2" s="135" customFormat="1">
      <c r="A305" s="620"/>
      <c r="B305" s="195"/>
    </row>
    <row r="306" spans="1:2" s="135" customFormat="1">
      <c r="A306" s="620"/>
      <c r="B306" s="195"/>
    </row>
    <row r="307" spans="1:2" s="135" customFormat="1">
      <c r="A307" s="620"/>
      <c r="B307" s="195"/>
    </row>
    <row r="308" spans="1:2" s="135" customFormat="1">
      <c r="A308" s="620"/>
      <c r="B308" s="195"/>
    </row>
    <row r="309" spans="1:2" s="135" customFormat="1">
      <c r="A309" s="620"/>
      <c r="B309" s="195"/>
    </row>
    <row r="310" spans="1:2" s="135" customFormat="1">
      <c r="A310" s="620"/>
      <c r="B310" s="195"/>
    </row>
    <row r="311" spans="1:2" s="135" customFormat="1">
      <c r="A311" s="620"/>
      <c r="B311" s="195"/>
    </row>
    <row r="312" spans="1:2" s="135" customFormat="1">
      <c r="A312" s="620"/>
      <c r="B312" s="195"/>
    </row>
    <row r="313" spans="1:2" s="135" customFormat="1">
      <c r="A313" s="620"/>
      <c r="B313" s="195"/>
    </row>
    <row r="314" spans="1:2" s="135" customFormat="1">
      <c r="A314" s="620"/>
      <c r="B314" s="195"/>
    </row>
    <row r="315" spans="1:2" s="135" customFormat="1">
      <c r="A315" s="620"/>
      <c r="B315" s="195"/>
    </row>
    <row r="316" spans="1:2" s="135" customFormat="1">
      <c r="A316" s="620"/>
      <c r="B316" s="195"/>
    </row>
    <row r="317" spans="1:2" s="135" customFormat="1">
      <c r="A317" s="620"/>
      <c r="B317" s="195"/>
    </row>
    <row r="318" spans="1:2" s="135" customFormat="1">
      <c r="A318" s="620"/>
      <c r="B318" s="195"/>
    </row>
    <row r="319" spans="1:2" s="135" customFormat="1">
      <c r="A319" s="620"/>
      <c r="B319" s="195"/>
    </row>
    <row r="320" spans="1:2" s="135" customFormat="1">
      <c r="A320" s="620"/>
      <c r="B320" s="195"/>
    </row>
    <row r="321" spans="1:4" s="135" customFormat="1">
      <c r="A321" s="620"/>
      <c r="B321" s="195"/>
    </row>
    <row r="322" spans="1:4" s="135" customFormat="1">
      <c r="A322" s="620"/>
      <c r="B322" s="195"/>
    </row>
    <row r="323" spans="1:4" s="135" customFormat="1">
      <c r="A323" s="620"/>
      <c r="B323" s="195"/>
    </row>
    <row r="324" spans="1:4" s="135" customFormat="1">
      <c r="A324" s="620"/>
      <c r="B324" s="195"/>
    </row>
    <row r="325" spans="1:4" s="135" customFormat="1">
      <c r="A325" s="620"/>
      <c r="B325" s="195"/>
    </row>
    <row r="326" spans="1:4" s="135" customFormat="1">
      <c r="A326" s="620"/>
      <c r="B326" s="195"/>
    </row>
    <row r="327" spans="1:4" s="135" customFormat="1">
      <c r="A327" s="620"/>
      <c r="B327" s="195"/>
    </row>
    <row r="328" spans="1:4" s="135" customFormat="1">
      <c r="A328" s="620"/>
      <c r="B328" s="195"/>
      <c r="D328" s="57"/>
    </row>
  </sheetData>
  <mergeCells count="5">
    <mergeCell ref="A146:A151"/>
    <mergeCell ref="A1:B1"/>
    <mergeCell ref="A14:A120"/>
    <mergeCell ref="A123:A127"/>
    <mergeCell ref="A130:A143"/>
  </mergeCells>
  <hyperlinks>
    <hyperlink ref="B124" location="'Grid Costs'!B13" display="='Grid Costs'!B13" xr:uid="{3CF7FBE0-62E8-4722-B341-63794A2A44FC}"/>
    <hyperlink ref="A1" location="Content!A1" display="Go to Content" xr:uid="{69C7400A-EA6B-4949-85E5-2A38FF14A4B0}"/>
    <hyperlink ref="A1:B1" location="Content!A1" display="Go to Content Sheet" xr:uid="{6283726D-0371-4A3B-8F4F-A1143E6E66FE}"/>
    <hyperlink ref="B14" location="'Project Setting'!D14" display="='Project Setting'!D14" xr:uid="{07EF0157-5D45-4CC7-A115-75D4EA87528C}"/>
    <hyperlink ref="B15" location="'Project Setting'!D15" display="='Project Setting'!D15" xr:uid="{F4E2E605-AF50-49E0-A39F-B94B677816A7}"/>
    <hyperlink ref="B16" location="'Project Setting'!D16" display="='Project Setting'!D16" xr:uid="{018AD1C9-6478-4BF2-BDCD-705BBB668ABC}"/>
    <hyperlink ref="B17" location="'Project Setting'!D17" display="='Project Setting'!D17" xr:uid="{B085567D-4ACF-40CE-8B70-94A75E5D0863}"/>
    <hyperlink ref="B18" location="'Project Setting'!D18" display="='Project Setting'!D18" xr:uid="{7BD185AC-1EA3-4189-96CC-55E841ED53E9}"/>
    <hyperlink ref="B19" location="'Project Setting'!D19" display="='Project Setting'!D19" xr:uid="{7C23E569-3825-4E4E-BEB0-64CCB6A15349}"/>
    <hyperlink ref="B20" location="'Project Setting'!D20" display="='Project Setting'!D20" xr:uid="{6491228B-1C82-496F-B4DC-43B505592C43}"/>
    <hyperlink ref="B21" location="'Project Setting'!D21" display="='Project Setting'!D21" xr:uid="{4FD404D8-0489-4AEE-A213-94E8709E88F1}"/>
    <hyperlink ref="B22" location="'Project Setting'!D22" display="='Project Setting'!D22" xr:uid="{50A8ABF7-C342-44AB-9E8B-8FB4387F423B}"/>
    <hyperlink ref="B23" location="'Project Setting'!D23" display="='Project Setting'!D23" xr:uid="{9E156C51-6891-4259-8960-4342A134F78F}"/>
    <hyperlink ref="B24" location="'Project Setting'!D24" display="='Project Setting'!D24" xr:uid="{A4C6E5BB-B5C6-4ADB-A8CE-0EEAE73029FF}"/>
    <hyperlink ref="B25" location="'Project Setting'!D25" display="='Project Setting'!D25" xr:uid="{8B1C196C-4467-4D32-B867-2944E8813BB5}"/>
    <hyperlink ref="B26" location="'Project Setting'!D26" display="='Project Setting'!D26" xr:uid="{60FD316D-1792-47B9-BEBA-F2E82EAA7FA4}"/>
    <hyperlink ref="B27" location="'Project Setting'!D27" display="='Project Setting'!D27" xr:uid="{91F400B6-58DA-49C2-9726-8AE7A4081076}"/>
    <hyperlink ref="B28" location="'Project Setting'!D28" display="='Project Setting'!D28" xr:uid="{36F49F56-82F9-480E-AEC5-3256BC97DF0B}"/>
    <hyperlink ref="B29" location="'Project Setting'!D29" display="='Project Setting'!D29" xr:uid="{8A269233-E4E6-4F17-AF47-8D15BCC21956}"/>
    <hyperlink ref="B31" location="'Project Setting'!D31" display="='Project Setting'!D31" xr:uid="{C9451BBE-9C18-40C3-B7BB-7553D032E3AB}"/>
    <hyperlink ref="B32" location="'Project Setting'!D32" display="='Project Setting'!D32" xr:uid="{33578E19-3529-43CC-B8CB-FAA39581C8D9}"/>
    <hyperlink ref="B33" location="'Project Setting'!D33" display="='Project Setting'!D33" xr:uid="{36B19D37-7451-415A-A08F-30731E1C5A5B}"/>
    <hyperlink ref="B34" location="'Project Setting'!D34" display="='Project Setting'!D34" xr:uid="{E223C99A-C2B2-43C6-8A1C-9AB17ECA67C6}"/>
    <hyperlink ref="B35" location="'Project Setting'!D35" display="='Project Setting'!D35" xr:uid="{C0AEE37B-51E0-4E74-9504-D214550A84DD}"/>
    <hyperlink ref="B36" location="'Project Setting'!D36" display="='Project Setting'!D36" xr:uid="{ACAB5A66-2D38-4861-813D-0886FE44F481}"/>
    <hyperlink ref="B37" location="'Project Setting'!D37" display="='Project Setting'!D37" xr:uid="{5F952453-70C2-42E6-8D8A-26A51718989C}"/>
    <hyperlink ref="B38" location="'Project Setting'!D38" display="='Project Setting'!D38" xr:uid="{7E7FC455-5BC1-4222-A3D1-D9DAF8D79D6B}"/>
    <hyperlink ref="B41" location="'Project Setting'!D43" display="='Project Setting'!D43" xr:uid="{19C626C7-B7F9-427E-B14C-46506DAE6B34}"/>
    <hyperlink ref="B42" location="'Project Setting'!D44" display="='Project Setting'!D44" xr:uid="{38BAC5B8-25AE-41A6-AC56-C8FBF3B9E600}"/>
    <hyperlink ref="B43" location="'Project Setting'!D45" display="='Project Setting'!D45" xr:uid="{87E0086F-85DE-4222-9437-44D8E73C98EC}"/>
    <hyperlink ref="B44" location="'Project Setting'!D46" display="='Project Setting'!D46" xr:uid="{1ED4616C-4148-4E67-94CC-493AAE0B99DA}"/>
    <hyperlink ref="B45" location="'Project Setting'!D47" display="='Project Setting'!D47" xr:uid="{75877589-283D-426F-8C9F-37E0D613FE1F}"/>
    <hyperlink ref="B46" location="'Project Setting'!D48" display="='Project Setting'!D48" xr:uid="{E462A181-3381-4475-BF22-A0DBB45D2E87}"/>
    <hyperlink ref="B47" location="'Project Setting'!D49" display="='Project Setting'!D49" xr:uid="{505F4AD9-7607-4049-8AD3-F8EBCFF1B6E8}"/>
    <hyperlink ref="B51" location="'Project Setting'!D55" display="='Project Setting'!D55" xr:uid="{D8858294-1302-4108-85F7-D33C89DB4A28}"/>
    <hyperlink ref="B52" location="'Project Setting'!D56" display="='Project Setting'!D56" xr:uid="{71CBC60D-1F0D-40C0-920E-7110A4DB81D1}"/>
    <hyperlink ref="B54" location="'Project Setting'!D58" display="='Project Setting'!D58" xr:uid="{B7E7F8FE-BD55-4730-BC25-CC8FA96202EA}"/>
    <hyperlink ref="B55" location="'Project Setting'!D59" display="='Project Setting'!D59" xr:uid="{AAACB8EC-20DB-49B6-AEAD-9D3CFCD9A76B}"/>
    <hyperlink ref="B56" location="'Project Setting'!D60" display="='Project Setting'!D60" xr:uid="{B7267702-8E73-448E-ADE9-6E42D3363ABD}"/>
    <hyperlink ref="B57" location="'Project Setting'!D61" display="='Project Setting'!D61" xr:uid="{2144AD61-45F2-408C-87FD-0B4881A055AD}"/>
    <hyperlink ref="B58" location="'Project Setting'!D62" display="='Project Setting'!D62" xr:uid="{4A4785DC-FD25-4951-B7BB-416DC3EAF06D}"/>
    <hyperlink ref="B59" location="'Project Setting'!D63" display="='Project Setting'!D63" xr:uid="{FBADEBBB-770A-4103-A022-8988FCE4F533}"/>
    <hyperlink ref="B60" location="'Project Setting'!D64" display="='Project Setting'!D64" xr:uid="{EEED359F-DF9F-4F04-A501-0E00992C9810}"/>
    <hyperlink ref="B61" location="'Project Setting'!D65" display="='Project Setting'!D65" xr:uid="{9C4BCA36-FE94-4BC3-B0F5-DFB65691F5FE}"/>
    <hyperlink ref="B64" location="'Project Setting'!D70" display="='Project Setting'!D70" xr:uid="{E4D1FA3C-FCF4-4711-B9EC-6279F2C078D3}"/>
    <hyperlink ref="B66" location="'Project Setting'!D72" display="='Project Setting'!D72" xr:uid="{19835093-CED1-4405-949F-9FAB8BBDF69C}"/>
    <hyperlink ref="B67" location="'Project Setting'!D73" display="='Project Setting'!D73" xr:uid="{5ADD3D0B-D5F2-4801-BC7E-F2E10063E7EE}"/>
    <hyperlink ref="B69" location="'Project Setting'!D75" display="='Project Setting'!D75" xr:uid="{8F2D770F-EAC9-4C4B-A40C-162EBEF4E487}"/>
    <hyperlink ref="B70" location="'Project Setting'!D76" display="='Project Setting'!D76" xr:uid="{E01158C9-D4C8-46D2-A088-CB55A72805D2}"/>
    <hyperlink ref="B71" location="'Project Setting'!D77" display="='Project Setting'!D77" xr:uid="{1F6F855A-38FA-4576-8F7E-2A3656618F7D}"/>
    <hyperlink ref="B73" location="'Project Setting'!D79" display="='Project Setting'!D79" xr:uid="{6AD64DD6-B078-420F-9616-CDA9A9E2BD63}"/>
    <hyperlink ref="B74" location="'Project Setting'!D80" display="='Project Setting'!D80" xr:uid="{0D4649CA-50FA-46D7-B076-45382B12606F}"/>
    <hyperlink ref="B75" location="'Project Setting'!D81" display="='Project Setting'!D81" xr:uid="{8073ABA6-3CF6-4404-8276-694C82D75C0F}"/>
    <hyperlink ref="B77" location="'Project Setting'!D83" display="='Project Setting'!D83" xr:uid="{B7A6788F-B20D-49C7-A0AE-11320181C508}"/>
    <hyperlink ref="B78" location="'Project Setting'!D84" display="='Project Setting'!D84" xr:uid="{37D5E3B6-CF3D-4136-A469-8AFF4FCE5906}"/>
    <hyperlink ref="B79" location="'Project Setting'!D87" display="='Project Setting'!D87" xr:uid="{76D8A97C-BF20-4236-8FF5-3F9199A5AF77}"/>
    <hyperlink ref="B80" location="'Project Setting'!D88" display="='Project Setting'!D88" xr:uid="{5C951415-FFFE-4B71-980C-E60017D9CB97}"/>
    <hyperlink ref="B81" location="'Project Setting'!D89" display="='Project Setting'!D89" xr:uid="{FD78E47A-3E32-418F-A6AD-304FE3EEA6DF}"/>
    <hyperlink ref="B84" location="'Project Setting'!D92" display="='Project Setting'!D92" xr:uid="{310DFCBE-3E70-4E3E-A5C1-5692BEBEBC10}"/>
    <hyperlink ref="B85" location="'Project Setting'!D93" display="='Project Setting'!D93" xr:uid="{AE87DEAF-C45C-4AA9-9CE3-DE04CB37E279}"/>
    <hyperlink ref="B86" location="'Project Setting'!D94" display="='Project Setting'!D94" xr:uid="{46EE527E-BAA5-4E79-ADDF-F930AD0A45C5}"/>
    <hyperlink ref="B87" location="'Project Setting'!D95" display="='Project Setting'!D95" xr:uid="{5E4846FE-00DB-4BEC-95A7-84B6B86EEBA3}"/>
    <hyperlink ref="B88" location="'Project Setting'!D96" display="='Project Setting'!D96" xr:uid="{9097C07E-FCAD-4E69-B5B4-F8269F51F510}"/>
    <hyperlink ref="B90" location="'Project Setting'!D98" display="='Project Setting'!D98" xr:uid="{A994EC3F-5961-4AF7-9230-6A2B202A0F37}"/>
    <hyperlink ref="B91" location="'Project Setting'!D100" display="='Project Setting'!D100" xr:uid="{30E1F68E-C3DD-4308-8AFD-23742522DED2}"/>
    <hyperlink ref="B92" location="'Project Setting'!D101" display="='Project Setting'!D101" xr:uid="{327E0D76-2EE4-4C9D-BC19-CD7E92886D5C}"/>
    <hyperlink ref="B95" location="'Project Setting'!D105" display="='Project Setting'!D105" xr:uid="{7D68E883-05F2-4A31-B8F0-43A6A7B4A4B2}"/>
    <hyperlink ref="B96" location="'Project Setting'!D106" display="='Project Setting'!D106" xr:uid="{71404787-34E0-4677-A3AB-B64303A4BEA6}"/>
    <hyperlink ref="B97" location="'Project Setting'!D107" display="='Project Setting'!D107" xr:uid="{F400A04E-1360-41B3-891A-54F2BDD91497}"/>
    <hyperlink ref="B98" location="'Project Setting'!D108" display="='Project Setting'!D108" xr:uid="{AC2D966B-D0AF-4A2E-B62A-6E7369167844}"/>
    <hyperlink ref="B99" location="'Project Setting'!D109" display="='Project Setting'!D109" xr:uid="{C678F396-C7F7-4F6D-AE89-96100E2E5958}"/>
    <hyperlink ref="B100" location="'Project Setting'!D110" display="='Project Setting'!D110" xr:uid="{5FC14EEE-6CC3-4A08-A600-4FBE2DE9F29B}"/>
    <hyperlink ref="B101" location="'Project Setting'!D111" display="='Project Setting'!D111" xr:uid="{60C0C5D1-843C-4E69-85FC-FFA9F3B2FEFF}"/>
    <hyperlink ref="B102" location="'Project Setting'!D112" display="='Project Setting'!D112" xr:uid="{5D2AA9BC-D603-4C77-92A4-0D3CA59FFBA5}"/>
    <hyperlink ref="B104" location="'Project Setting'!D114" display="='Project Setting'!D114" xr:uid="{4AF471C3-74D4-46C3-AE23-8E3D0E659767}"/>
    <hyperlink ref="B107" location="'Project Setting'!D117" display="='Project Setting'!D117" xr:uid="{7DB6B604-9FB2-4D47-82EC-35AE6AD4B5BF}"/>
    <hyperlink ref="B110" location="'Project Setting'!D120" display="='Project Setting'!D120" xr:uid="{2016D9D7-BD12-474E-9F24-F3CEE9BE0669}"/>
    <hyperlink ref="B111" location="'Project Setting'!D121" display="='Project Setting'!D121" xr:uid="{1394B09C-B371-4B0A-9042-B2A107D0B61E}"/>
    <hyperlink ref="B112" location="'Project Setting'!D122" display="='Project Setting'!D122" xr:uid="{6533EEEC-2FB7-4D0E-92AD-293E837E6B6D}"/>
    <hyperlink ref="B113" location="'Project Setting'!D123" display="='Project Setting'!D123" xr:uid="{9FC3DB31-1CB6-4B99-AE66-E6F6247C984C}"/>
    <hyperlink ref="B114" location="'Project Setting'!D124" display="='Project Setting'!D124" xr:uid="{D758A99D-9102-4811-8DE6-066B055D5699}"/>
    <hyperlink ref="B116" location="'Project Setting'!D126" display="='Project Setting'!D126" xr:uid="{6CA9D10B-878E-40D5-9864-3A2F9E5159DD}"/>
    <hyperlink ref="B117" location="'Project Setting'!D128" display="='Project Setting'!D128" xr:uid="{2B3FAD7F-A649-41CF-8A09-3FFA536A3C29}"/>
    <hyperlink ref="B118" location="'Project Setting'!D129" display="='Project Setting'!D129" xr:uid="{249EF05E-C711-4980-B0EF-B9154429C5A4}"/>
    <hyperlink ref="B120" location="'Project Setting'!D132" display="='Project Setting'!D132" xr:uid="{D3BCE57A-5F32-434D-AF74-1C596FC7DB8D}"/>
    <hyperlink ref="B39" location="'Project Setting'!D39" display="='Project Setting'!D39" xr:uid="{BC3E8C66-331B-4FC6-A8DF-35C15D2F60CE}"/>
    <hyperlink ref="B40" location="'Project Setting'!D41" display="='Project Setting'!D41" xr:uid="{A9DB90CA-C777-41A6-BDE9-008273E439EA}"/>
    <hyperlink ref="B62" location="'Project Setting'!D66" display="='Project Setting'!D66" xr:uid="{6F9ECC0D-1237-4122-BE15-366592678104}"/>
    <hyperlink ref="B63" location="'Project Setting'!D68" display="='Project Setting'!D68" xr:uid="{249AB769-EB9C-419F-B268-DA42071BB4DF}"/>
    <hyperlink ref="B133" location="'Definition of Typical Day'!C27" display="='Definition of Typical Day'!C27" xr:uid="{F260FC44-9E71-46BB-B4B0-D29DBB4B8B45}"/>
    <hyperlink ref="B135" location="'Definition of Typical Day'!C61" display="='Definition of Typical Day'!C61" xr:uid="{D98B3CBF-8481-4C77-9793-931B6666748B}"/>
    <hyperlink ref="B136" location="'Definition of Typical Day'!C89" display="='Definition of Typical Day'!C89" xr:uid="{AC853C09-8698-43D5-A927-C576B9D030BE}"/>
    <hyperlink ref="B137" location="'Definition of Typical Day'!C119" display="='Definition of Typical Day'!C119" xr:uid="{3FBD8B6C-E929-4830-B6BD-DD6D56F65125}"/>
    <hyperlink ref="B138" location="'Definition of Typical Day'!C148" display="='Definition of Typical Day'!C148" xr:uid="{71C2BEA9-C11E-493A-AB6A-A33578D20944}"/>
    <hyperlink ref="B139" location="'Definition of Typical Day'!C177" display="='Definition of Typical Day'!C177" xr:uid="{FEA38646-686D-49DB-AFBF-1FD4F32FAACF}"/>
    <hyperlink ref="B140" location="'Definition of Typical Day'!C206" display="='Definition of Typical Day'!C206" xr:uid="{2B0198CA-0433-4E7E-AAC9-169CC1361128}"/>
    <hyperlink ref="B141" location="'Definition of Typical Day'!C235" display="='Definition of Typical Day'!C235" xr:uid="{6460ACDD-E4B6-4921-A1FD-7F691400EF12}"/>
    <hyperlink ref="B142" location="'Definition of Typical Day'!C264" display="='Definition of Typical Day'!C264" xr:uid="{9ED16DFA-BF2C-4136-BEAE-FD3AD2EFA17E}"/>
    <hyperlink ref="B143" location="'Definition of Typical Day'!C293" display="='Definition of Typical Day'!C293" xr:uid="{216FEF87-DE0E-4838-90D1-76EAC1E1E1F3}"/>
    <hyperlink ref="B134" location="'Definition of Typical Day'!C33" display="='Definition of Typical Day'!C33" xr:uid="{90F55BC8-51DA-40D2-A957-80676CB37038}"/>
    <hyperlink ref="B130" location="'Definition of Typical Day'!C14" display="='Definition of Typical Day'!C14" xr:uid="{A7FFDB3D-FA02-46FF-85FA-93130301A2F0}"/>
    <hyperlink ref="B131" location="'Definition of Typical Day'!C15" display="='Definition of Typical Day'!C15" xr:uid="{CB8BE154-0F87-43AC-8E95-AB652FEACACC}"/>
    <hyperlink ref="B132" location="'Definition of Typical Day'!C16" display="='Definition of Typical Day'!C16" xr:uid="{FACF6209-C009-4EBC-B2BC-DF57AF431BAD}"/>
    <hyperlink ref="B146" location="'Calculation Break-Even'!B82" display="='Calculation Break-Even'!B82" xr:uid="{A1E5A0EA-C14A-425C-8F8A-1AF9524F3255}"/>
    <hyperlink ref="B147" location="'Calculation Break-Even'!B83" display="='Calculation Break-Even'!B83" xr:uid="{06462A28-60DE-4F43-A91F-31CCEFDFAA37}"/>
    <hyperlink ref="B148" location="'Calculation Break-Even'!B70" display="='Calculation Break-Even'!B70" xr:uid="{A6DBBD3F-DB2D-40E9-8481-C7E6242DEDF8}"/>
    <hyperlink ref="B149" location="'Calculation Break-Even'!B71" display="='Calculation Break-Even'!B71" xr:uid="{03E62E4E-4275-431A-A717-659AF3EED571}"/>
    <hyperlink ref="B150" location="'Calculation Break-Even'!B72" display="='Calculation Break-Even'!B72" xr:uid="{70B3A983-3C64-462F-87E7-28D7E45C82C0}"/>
    <hyperlink ref="B151" location="'Calculation Break-Even'!B73" display="='Calculation Break-Even'!B73" xr:uid="{A0B425A0-5534-457A-ACD3-6F57E49021DF}"/>
    <hyperlink ref="B48" location="'Project Setting'!D50" display="='Project Setting'!D50" xr:uid="{E8141CD6-6714-46DD-BAAD-BA5273D75B53}"/>
    <hyperlink ref="B49" location="'Project Setting'!D51" display="='Project Setting'!D51" xr:uid="{5611B2FF-0269-4CCA-83C6-8E7A23DB9738}"/>
    <hyperlink ref="B12" location="escription on how to add additional links is given in the VBA-Macro. Basically add a Excel to the Source cell (e.g. ='Project Setting'!D20)  in Column B in this sheet." display="Description on how to add additional links is given in the VBA-Macro. Basically add a Excel to the Source cell (e.g. ='Project Setting'!D20)  in Column B in this sheet." xr:uid="{0D61BB35-0E05-4BC8-832E-C2E5B9BA8077}"/>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BC3D7-5C0D-4313-BC01-6E4FE1C83FA1}">
  <sheetPr codeName="Tabelle12">
    <tabColor theme="9" tint="0.59999389629810485"/>
  </sheetPr>
  <dimension ref="A1:Q97"/>
  <sheetViews>
    <sheetView zoomScaleNormal="100" workbookViewId="0">
      <selection sqref="A1:E1"/>
    </sheetView>
  </sheetViews>
  <sheetFormatPr baseColWidth="10" defaultColWidth="11.140625" defaultRowHeight="11.25"/>
  <cols>
    <col min="1" max="1" width="11.140625" style="57"/>
    <col min="2" max="2" width="38.5703125" style="57" bestFit="1" customWidth="1"/>
    <col min="3" max="11" width="11.140625" style="57"/>
    <col min="12" max="12" width="13" style="57" customWidth="1"/>
    <col min="13" max="16384" width="11.140625" style="57"/>
  </cols>
  <sheetData>
    <row r="1" spans="1:17" ht="15" customHeight="1">
      <c r="A1" s="1219" t="s">
        <v>592</v>
      </c>
      <c r="B1" s="1219"/>
      <c r="C1" s="1219"/>
      <c r="D1" s="1219"/>
      <c r="E1" s="1219"/>
      <c r="F1" s="913"/>
    </row>
    <row r="2" spans="1:17" ht="15" customHeight="1">
      <c r="B2" s="874"/>
    </row>
    <row r="3" spans="1:17" ht="39">
      <c r="B3" s="874" t="s">
        <v>1069</v>
      </c>
      <c r="M3" s="1252" t="s">
        <v>1070</v>
      </c>
      <c r="N3" s="1253"/>
      <c r="O3" s="1253"/>
      <c r="P3" s="1253"/>
      <c r="Q3" s="1254"/>
    </row>
    <row r="4" spans="1:17">
      <c r="B4" s="912" t="s">
        <v>1071</v>
      </c>
      <c r="M4" s="1255"/>
      <c r="N4" s="1256"/>
      <c r="O4" s="1256"/>
      <c r="P4" s="1256"/>
      <c r="Q4" s="1257"/>
    </row>
    <row r="5" spans="1:17" ht="15">
      <c r="B5" s="875"/>
      <c r="M5" s="1255"/>
      <c r="N5" s="1256"/>
      <c r="O5" s="1256"/>
      <c r="P5" s="1256"/>
      <c r="Q5" s="1257"/>
    </row>
    <row r="6" spans="1:17">
      <c r="B6" s="168" t="s">
        <v>1072</v>
      </c>
      <c r="C6" s="168" t="s">
        <v>1073</v>
      </c>
      <c r="D6" s="168"/>
      <c r="E6" s="168"/>
      <c r="M6" s="1258"/>
      <c r="N6" s="1259"/>
      <c r="O6" s="1259"/>
      <c r="P6" s="1259"/>
      <c r="Q6" s="1260"/>
    </row>
    <row r="7" spans="1:17">
      <c r="B7" s="168" t="s">
        <v>1074</v>
      </c>
      <c r="C7" s="168">
        <v>2023</v>
      </c>
      <c r="D7" s="168"/>
      <c r="E7" s="168"/>
    </row>
    <row r="8" spans="1:17" ht="12.75">
      <c r="B8" s="876" t="s">
        <v>1075</v>
      </c>
      <c r="C8" s="877" t="s">
        <v>1076</v>
      </c>
      <c r="D8" s="876"/>
      <c r="E8" s="877"/>
      <c r="F8" s="876"/>
      <c r="G8" s="876"/>
      <c r="H8" s="876" t="s">
        <v>1077</v>
      </c>
      <c r="I8" s="876" t="s">
        <v>1078</v>
      </c>
      <c r="J8" s="876" t="s">
        <v>1079</v>
      </c>
      <c r="L8" s="57" t="s">
        <v>1080</v>
      </c>
      <c r="M8" s="878" t="s">
        <v>1081</v>
      </c>
    </row>
    <row r="9" spans="1:17" ht="12.75">
      <c r="B9" s="879" t="s">
        <v>1082</v>
      </c>
      <c r="C9" s="880" t="s">
        <v>1083</v>
      </c>
      <c r="D9" s="879">
        <v>0.3</v>
      </c>
      <c r="E9" s="881">
        <v>1.5</v>
      </c>
      <c r="F9" s="879">
        <v>5</v>
      </c>
      <c r="G9" s="879">
        <v>20</v>
      </c>
      <c r="H9" s="879"/>
      <c r="I9" s="879"/>
      <c r="J9" s="879" t="s">
        <v>1084</v>
      </c>
      <c r="L9" s="57" t="s">
        <v>1074</v>
      </c>
      <c r="M9" s="57">
        <v>2023</v>
      </c>
      <c r="N9" s="57">
        <v>2030</v>
      </c>
      <c r="O9" s="57">
        <v>2040</v>
      </c>
    </row>
    <row r="10" spans="1:17">
      <c r="B10" s="879" t="s">
        <v>1085</v>
      </c>
      <c r="C10" s="882"/>
      <c r="D10" s="883">
        <v>4.2</v>
      </c>
      <c r="E10" s="883">
        <v>4.2</v>
      </c>
      <c r="F10" s="883">
        <v>4.2</v>
      </c>
      <c r="G10" s="883">
        <v>4.2</v>
      </c>
      <c r="H10" s="884">
        <v>0.1</v>
      </c>
      <c r="I10" s="879" t="s">
        <v>1086</v>
      </c>
      <c r="J10" s="879" t="s">
        <v>1087</v>
      </c>
      <c r="L10" s="878" t="s">
        <v>1088</v>
      </c>
      <c r="M10" s="878">
        <v>1274.4000000000001</v>
      </c>
      <c r="N10" s="878">
        <v>1210.5999999999999</v>
      </c>
      <c r="O10" s="878">
        <v>1146.9000000000001</v>
      </c>
    </row>
    <row r="11" spans="1:17">
      <c r="B11" s="879" t="s">
        <v>1089</v>
      </c>
      <c r="C11" s="882" t="s">
        <v>1090</v>
      </c>
      <c r="D11" s="885">
        <v>25</v>
      </c>
      <c r="E11" s="885">
        <v>25</v>
      </c>
      <c r="F11" s="885">
        <v>25</v>
      </c>
      <c r="G11" s="885">
        <v>25</v>
      </c>
      <c r="H11" s="879"/>
      <c r="I11" s="879" t="s">
        <v>1091</v>
      </c>
      <c r="J11" s="879" t="s">
        <v>1092</v>
      </c>
      <c r="L11" s="878" t="s">
        <v>1093</v>
      </c>
      <c r="M11" s="878">
        <v>-0.28000000000000003</v>
      </c>
      <c r="N11" s="878">
        <v>-0.28000000000000003</v>
      </c>
      <c r="O11" s="878">
        <v>-0.28000000000000003</v>
      </c>
    </row>
    <row r="12" spans="1:17">
      <c r="B12" s="886" t="s">
        <v>1094</v>
      </c>
      <c r="C12" s="887" t="s">
        <v>1076</v>
      </c>
      <c r="D12" s="886"/>
      <c r="E12" s="886"/>
      <c r="F12" s="886"/>
      <c r="G12" s="886"/>
      <c r="H12" s="886"/>
      <c r="I12" s="886"/>
      <c r="J12" s="886"/>
    </row>
    <row r="13" spans="1:17" ht="12.75">
      <c r="B13" s="879" t="s">
        <v>1095</v>
      </c>
      <c r="C13" s="879" t="s">
        <v>1096</v>
      </c>
      <c r="D13" s="888">
        <v>1861</v>
      </c>
      <c r="E13" s="888">
        <v>1024</v>
      </c>
      <c r="F13" s="888">
        <v>872</v>
      </c>
      <c r="G13" s="888">
        <v>546</v>
      </c>
      <c r="H13" s="884">
        <v>0.25</v>
      </c>
      <c r="I13" s="879" t="s">
        <v>1097</v>
      </c>
      <c r="J13" s="879" t="s">
        <v>1098</v>
      </c>
      <c r="L13" s="57" t="s">
        <v>1099</v>
      </c>
      <c r="M13" s="878" t="s">
        <v>1100</v>
      </c>
    </row>
    <row r="14" spans="1:17">
      <c r="B14" s="889" t="s">
        <v>1101</v>
      </c>
      <c r="C14" s="879" t="s">
        <v>106</v>
      </c>
      <c r="D14" s="888">
        <v>75</v>
      </c>
      <c r="E14" s="890">
        <v>78</v>
      </c>
      <c r="F14" s="890">
        <v>80</v>
      </c>
      <c r="G14" s="888">
        <v>80</v>
      </c>
      <c r="H14" s="879"/>
      <c r="I14" s="879" t="s">
        <v>1102</v>
      </c>
      <c r="J14" s="879"/>
    </row>
    <row r="15" spans="1:17">
      <c r="B15" s="889" t="s">
        <v>1103</v>
      </c>
      <c r="C15" s="879" t="s">
        <v>106</v>
      </c>
      <c r="D15" s="888">
        <v>25</v>
      </c>
      <c r="E15" s="890">
        <v>23</v>
      </c>
      <c r="F15" s="890">
        <v>20</v>
      </c>
      <c r="G15" s="888">
        <v>20</v>
      </c>
      <c r="H15" s="879"/>
      <c r="I15" s="879" t="s">
        <v>1102</v>
      </c>
      <c r="J15" s="879"/>
      <c r="L15" s="57" t="s">
        <v>1079</v>
      </c>
    </row>
    <row r="16" spans="1:17">
      <c r="B16" s="880" t="s">
        <v>1104</v>
      </c>
      <c r="C16" s="879" t="s">
        <v>1105</v>
      </c>
      <c r="D16" s="888">
        <v>558</v>
      </c>
      <c r="E16" s="888">
        <v>1536</v>
      </c>
      <c r="F16" s="888">
        <v>4359</v>
      </c>
      <c r="G16" s="888">
        <v>10923</v>
      </c>
      <c r="H16" s="884">
        <v>0.25</v>
      </c>
      <c r="I16" s="879" t="s">
        <v>1097</v>
      </c>
      <c r="J16" s="879" t="s">
        <v>1106</v>
      </c>
      <c r="L16" s="878" t="s">
        <v>1107</v>
      </c>
      <c r="M16" s="878" t="s">
        <v>1108</v>
      </c>
    </row>
    <row r="17" spans="2:13" ht="12.75">
      <c r="B17" s="879" t="s">
        <v>1109</v>
      </c>
      <c r="C17" s="879" t="s">
        <v>1110</v>
      </c>
      <c r="D17" s="888">
        <v>47</v>
      </c>
      <c r="E17" s="888">
        <v>26</v>
      </c>
      <c r="F17" s="888">
        <v>22</v>
      </c>
      <c r="G17" s="888">
        <v>14</v>
      </c>
      <c r="H17" s="879"/>
      <c r="I17" s="879" t="s">
        <v>1111</v>
      </c>
      <c r="J17" s="879" t="s">
        <v>1112</v>
      </c>
      <c r="L17" s="878" t="s">
        <v>1113</v>
      </c>
      <c r="M17" s="878" t="s">
        <v>1114</v>
      </c>
    </row>
    <row r="18" spans="2:13">
      <c r="D18" s="891"/>
      <c r="L18" s="878" t="s">
        <v>1115</v>
      </c>
      <c r="M18" s="878" t="s">
        <v>1116</v>
      </c>
    </row>
    <row r="19" spans="2:13">
      <c r="B19" s="57" t="s">
        <v>1074</v>
      </c>
      <c r="C19" s="57">
        <v>2030</v>
      </c>
      <c r="L19" s="878" t="s">
        <v>1117</v>
      </c>
      <c r="M19" s="878" t="s">
        <v>1118</v>
      </c>
    </row>
    <row r="20" spans="2:13">
      <c r="B20" s="876" t="s">
        <v>1075</v>
      </c>
      <c r="C20" s="877" t="s">
        <v>1076</v>
      </c>
      <c r="D20" s="876"/>
      <c r="E20" s="877"/>
      <c r="F20" s="876"/>
      <c r="G20" s="876"/>
      <c r="H20" s="876" t="s">
        <v>1077</v>
      </c>
      <c r="I20" s="876" t="s">
        <v>1078</v>
      </c>
      <c r="J20" s="876" t="s">
        <v>1079</v>
      </c>
      <c r="L20" s="878" t="s">
        <v>1119</v>
      </c>
      <c r="M20" s="878" t="s">
        <v>1120</v>
      </c>
    </row>
    <row r="21" spans="2:13" ht="12.75">
      <c r="B21" s="879" t="s">
        <v>1082</v>
      </c>
      <c r="C21" s="880" t="s">
        <v>1083</v>
      </c>
      <c r="D21" s="879">
        <v>0.3</v>
      </c>
      <c r="E21" s="881">
        <v>1.5</v>
      </c>
      <c r="F21" s="879">
        <v>5</v>
      </c>
      <c r="G21" s="879">
        <v>20</v>
      </c>
      <c r="H21" s="879"/>
      <c r="I21" s="879"/>
      <c r="J21" s="879" t="s">
        <v>1084</v>
      </c>
      <c r="L21" s="878" t="s">
        <v>1112</v>
      </c>
      <c r="M21" s="878" t="s">
        <v>1121</v>
      </c>
    </row>
    <row r="22" spans="2:13">
      <c r="B22" s="879" t="s">
        <v>1085</v>
      </c>
      <c r="C22" s="882"/>
      <c r="D22" s="883">
        <v>4.4000000000000004</v>
      </c>
      <c r="E22" s="883">
        <v>4.4000000000000004</v>
      </c>
      <c r="F22" s="883">
        <v>4.4000000000000004</v>
      </c>
      <c r="G22" s="883">
        <v>4.4000000000000004</v>
      </c>
      <c r="H22" s="884">
        <v>0.1</v>
      </c>
      <c r="I22" s="879" t="s">
        <v>1086</v>
      </c>
      <c r="J22" s="879" t="s">
        <v>1087</v>
      </c>
      <c r="L22" s="878" t="s">
        <v>1092</v>
      </c>
      <c r="M22" s="878" t="s">
        <v>1122</v>
      </c>
    </row>
    <row r="23" spans="2:13">
      <c r="B23" s="879" t="s">
        <v>1089</v>
      </c>
      <c r="C23" s="882" t="s">
        <v>1090</v>
      </c>
      <c r="D23" s="885">
        <v>28</v>
      </c>
      <c r="E23" s="885">
        <v>28</v>
      </c>
      <c r="F23" s="885">
        <v>28</v>
      </c>
      <c r="G23" s="885">
        <v>28</v>
      </c>
      <c r="H23" s="879"/>
      <c r="I23" s="879" t="s">
        <v>1091</v>
      </c>
      <c r="J23" s="879" t="s">
        <v>1092</v>
      </c>
      <c r="L23" s="878" t="s">
        <v>1084</v>
      </c>
      <c r="M23" s="878" t="s">
        <v>1123</v>
      </c>
    </row>
    <row r="24" spans="2:13">
      <c r="B24" s="886" t="s">
        <v>1094</v>
      </c>
      <c r="C24" s="887" t="s">
        <v>1076</v>
      </c>
      <c r="D24" s="886"/>
      <c r="E24" s="886"/>
      <c r="F24" s="886"/>
      <c r="G24" s="886"/>
      <c r="H24" s="886"/>
      <c r="I24" s="886"/>
      <c r="J24" s="886"/>
      <c r="L24" s="878" t="s">
        <v>1124</v>
      </c>
      <c r="M24" s="878" t="s">
        <v>1125</v>
      </c>
    </row>
    <row r="25" spans="2:13" ht="12.75">
      <c r="B25" s="879" t="s">
        <v>1095</v>
      </c>
      <c r="C25" s="879" t="s">
        <v>1096</v>
      </c>
      <c r="D25" s="888">
        <v>1768</v>
      </c>
      <c r="E25" s="888">
        <v>973</v>
      </c>
      <c r="F25" s="888">
        <v>828</v>
      </c>
      <c r="G25" s="888">
        <v>519</v>
      </c>
      <c r="H25" s="884">
        <v>0.35</v>
      </c>
      <c r="I25" s="879" t="s">
        <v>1097</v>
      </c>
      <c r="J25" s="879" t="s">
        <v>1126</v>
      </c>
      <c r="L25" s="878" t="s">
        <v>1127</v>
      </c>
      <c r="M25" s="878" t="s">
        <v>1128</v>
      </c>
    </row>
    <row r="26" spans="2:13">
      <c r="B26" s="889" t="s">
        <v>1101</v>
      </c>
      <c r="C26" s="879" t="s">
        <v>106</v>
      </c>
      <c r="D26" s="888">
        <v>75</v>
      </c>
      <c r="E26" s="890">
        <v>78</v>
      </c>
      <c r="F26" s="890">
        <v>80</v>
      </c>
      <c r="G26" s="888">
        <v>80</v>
      </c>
      <c r="H26" s="879"/>
      <c r="I26" s="879" t="s">
        <v>1102</v>
      </c>
      <c r="J26" s="879"/>
      <c r="L26" s="878"/>
      <c r="M26" s="878"/>
    </row>
    <row r="27" spans="2:13">
      <c r="B27" s="889" t="s">
        <v>1103</v>
      </c>
      <c r="C27" s="879" t="s">
        <v>106</v>
      </c>
      <c r="D27" s="888">
        <v>25</v>
      </c>
      <c r="E27" s="890">
        <v>23</v>
      </c>
      <c r="F27" s="890">
        <v>20</v>
      </c>
      <c r="G27" s="888">
        <v>20</v>
      </c>
      <c r="H27" s="879"/>
      <c r="I27" s="879" t="s">
        <v>1102</v>
      </c>
      <c r="J27" s="879"/>
      <c r="L27" s="57" t="s">
        <v>1078</v>
      </c>
    </row>
    <row r="28" spans="2:13">
      <c r="B28" s="880" t="s">
        <v>1104</v>
      </c>
      <c r="C28" s="879" t="s">
        <v>1105</v>
      </c>
      <c r="D28" s="888">
        <v>530</v>
      </c>
      <c r="E28" s="888">
        <v>1459</v>
      </c>
      <c r="F28" s="888">
        <v>4141</v>
      </c>
      <c r="G28" s="888">
        <v>10377</v>
      </c>
      <c r="H28" s="884">
        <v>0.35</v>
      </c>
      <c r="I28" s="879" t="s">
        <v>1097</v>
      </c>
      <c r="J28" s="879" t="s">
        <v>1106</v>
      </c>
      <c r="L28" s="878" t="s">
        <v>1129</v>
      </c>
      <c r="M28" s="878" t="s">
        <v>1130</v>
      </c>
    </row>
    <row r="29" spans="2:13" ht="12.75">
      <c r="B29" s="879" t="s">
        <v>1109</v>
      </c>
      <c r="C29" s="879" t="s">
        <v>1110</v>
      </c>
      <c r="D29" s="888">
        <v>44</v>
      </c>
      <c r="E29" s="888">
        <v>24</v>
      </c>
      <c r="F29" s="888">
        <v>21</v>
      </c>
      <c r="G29" s="888">
        <v>13</v>
      </c>
      <c r="H29" s="879"/>
      <c r="I29" s="879" t="s">
        <v>1111</v>
      </c>
      <c r="J29" s="879" t="s">
        <v>1112</v>
      </c>
      <c r="L29" s="878" t="s">
        <v>1131</v>
      </c>
      <c r="M29" s="878" t="s">
        <v>1132</v>
      </c>
    </row>
    <row r="30" spans="2:13">
      <c r="L30" s="878" t="s">
        <v>1111</v>
      </c>
      <c r="M30" s="878" t="s">
        <v>1133</v>
      </c>
    </row>
    <row r="31" spans="2:13">
      <c r="L31" s="878" t="s">
        <v>1134</v>
      </c>
      <c r="M31" s="878" t="s">
        <v>1135</v>
      </c>
    </row>
    <row r="32" spans="2:13">
      <c r="B32" s="57" t="s">
        <v>1074</v>
      </c>
      <c r="C32" s="57">
        <v>2040</v>
      </c>
      <c r="L32" s="878" t="s">
        <v>1136</v>
      </c>
      <c r="M32" s="878" t="s">
        <v>1137</v>
      </c>
    </row>
    <row r="33" spans="2:13">
      <c r="B33" s="876" t="s">
        <v>1075</v>
      </c>
      <c r="C33" s="877" t="s">
        <v>1076</v>
      </c>
      <c r="D33" s="876"/>
      <c r="E33" s="877"/>
      <c r="F33" s="876"/>
      <c r="G33" s="876"/>
      <c r="H33" s="876" t="s">
        <v>1077</v>
      </c>
      <c r="I33" s="876" t="s">
        <v>1078</v>
      </c>
      <c r="J33" s="876" t="s">
        <v>1079</v>
      </c>
      <c r="L33" s="878" t="s">
        <v>1138</v>
      </c>
      <c r="M33" s="878" t="s">
        <v>1139</v>
      </c>
    </row>
    <row r="34" spans="2:13" ht="12.75">
      <c r="B34" s="879" t="s">
        <v>1082</v>
      </c>
      <c r="C34" s="880" t="s">
        <v>1083</v>
      </c>
      <c r="D34" s="879">
        <v>0.3</v>
      </c>
      <c r="E34" s="881">
        <v>1.5</v>
      </c>
      <c r="F34" s="879">
        <v>5</v>
      </c>
      <c r="G34" s="879">
        <v>20</v>
      </c>
      <c r="H34" s="879"/>
      <c r="I34" s="879"/>
      <c r="J34" s="879" t="s">
        <v>1084</v>
      </c>
      <c r="L34" s="878"/>
    </row>
    <row r="35" spans="2:13">
      <c r="B35" s="879" t="s">
        <v>1085</v>
      </c>
      <c r="C35" s="882"/>
      <c r="D35" s="883">
        <v>4.5999999999999996</v>
      </c>
      <c r="E35" s="883">
        <v>4.5999999999999996</v>
      </c>
      <c r="F35" s="883">
        <v>4.5999999999999996</v>
      </c>
      <c r="G35" s="883">
        <v>4.5999999999999996</v>
      </c>
      <c r="H35" s="884">
        <v>0.1</v>
      </c>
      <c r="I35" s="879" t="s">
        <v>1086</v>
      </c>
      <c r="J35" s="879" t="s">
        <v>1087</v>
      </c>
      <c r="L35" s="878"/>
    </row>
    <row r="36" spans="2:13">
      <c r="B36" s="879" t="s">
        <v>1089</v>
      </c>
      <c r="C36" s="882" t="s">
        <v>1090</v>
      </c>
      <c r="D36" s="885">
        <v>25</v>
      </c>
      <c r="E36" s="885">
        <v>25</v>
      </c>
      <c r="F36" s="885">
        <v>25</v>
      </c>
      <c r="G36" s="885">
        <v>25</v>
      </c>
      <c r="H36" s="879"/>
      <c r="I36" s="879" t="s">
        <v>1091</v>
      </c>
      <c r="J36" s="879" t="s">
        <v>1092</v>
      </c>
    </row>
    <row r="37" spans="2:13">
      <c r="B37" s="886" t="s">
        <v>1094</v>
      </c>
      <c r="C37" s="887" t="s">
        <v>1076</v>
      </c>
      <c r="D37" s="886"/>
      <c r="E37" s="886"/>
      <c r="F37" s="886"/>
      <c r="G37" s="886"/>
      <c r="H37" s="886"/>
      <c r="I37" s="886"/>
      <c r="J37" s="886"/>
    </row>
    <row r="38" spans="2:13" ht="12.75">
      <c r="B38" s="879" t="s">
        <v>1095</v>
      </c>
      <c r="C38" s="879" t="s">
        <v>1096</v>
      </c>
      <c r="D38" s="888">
        <v>1675</v>
      </c>
      <c r="E38" s="888">
        <v>921</v>
      </c>
      <c r="F38" s="888">
        <v>785</v>
      </c>
      <c r="G38" s="888">
        <v>492</v>
      </c>
      <c r="H38" s="884">
        <v>0.45</v>
      </c>
      <c r="I38" s="879" t="s">
        <v>1097</v>
      </c>
      <c r="J38" s="879" t="s">
        <v>1126</v>
      </c>
    </row>
    <row r="39" spans="2:13">
      <c r="B39" s="889" t="s">
        <v>1101</v>
      </c>
      <c r="C39" s="879" t="s">
        <v>106</v>
      </c>
      <c r="D39" s="888">
        <v>75</v>
      </c>
      <c r="E39" s="890">
        <v>78</v>
      </c>
      <c r="F39" s="890">
        <v>80</v>
      </c>
      <c r="G39" s="888">
        <v>80</v>
      </c>
      <c r="H39" s="879"/>
      <c r="I39" s="879" t="s">
        <v>1102</v>
      </c>
      <c r="J39" s="879"/>
    </row>
    <row r="40" spans="2:13">
      <c r="B40" s="889" t="s">
        <v>1103</v>
      </c>
      <c r="C40" s="879" t="s">
        <v>106</v>
      </c>
      <c r="D40" s="888">
        <v>25</v>
      </c>
      <c r="E40" s="890">
        <v>23</v>
      </c>
      <c r="F40" s="890">
        <v>20</v>
      </c>
      <c r="G40" s="888">
        <v>20</v>
      </c>
      <c r="H40" s="879"/>
      <c r="I40" s="879" t="s">
        <v>1102</v>
      </c>
      <c r="J40" s="879"/>
    </row>
    <row r="41" spans="2:13">
      <c r="B41" s="880" t="s">
        <v>1104</v>
      </c>
      <c r="C41" s="879" t="s">
        <v>1105</v>
      </c>
      <c r="D41" s="888">
        <v>503</v>
      </c>
      <c r="E41" s="888">
        <v>1382</v>
      </c>
      <c r="F41" s="888">
        <v>3923</v>
      </c>
      <c r="G41" s="888">
        <v>9831</v>
      </c>
      <c r="H41" s="884">
        <v>0.45</v>
      </c>
      <c r="I41" s="879" t="s">
        <v>1097</v>
      </c>
      <c r="J41" s="879" t="s">
        <v>1106</v>
      </c>
    </row>
    <row r="42" spans="2:13" ht="12.75">
      <c r="B42" s="879" t="s">
        <v>1109</v>
      </c>
      <c r="C42" s="879" t="s">
        <v>1110</v>
      </c>
      <c r="D42" s="888">
        <v>42</v>
      </c>
      <c r="E42" s="888">
        <v>23</v>
      </c>
      <c r="F42" s="888">
        <v>20</v>
      </c>
      <c r="G42" s="888">
        <v>12</v>
      </c>
      <c r="H42" s="879"/>
      <c r="I42" s="879" t="s">
        <v>1111</v>
      </c>
      <c r="J42" s="879" t="s">
        <v>1112</v>
      </c>
    </row>
    <row r="53" spans="2:16" ht="39">
      <c r="B53" s="874" t="s">
        <v>1140</v>
      </c>
    </row>
    <row r="56" spans="2:16" ht="15">
      <c r="B56" s="892" t="s">
        <v>1141</v>
      </c>
    </row>
    <row r="57" spans="2:16" ht="15">
      <c r="B57" s="893" t="s">
        <v>1142</v>
      </c>
    </row>
    <row r="58" spans="2:16" ht="15">
      <c r="B58" s="894" t="s">
        <v>1143</v>
      </c>
    </row>
    <row r="59" spans="2:16" ht="15">
      <c r="B59" s="894"/>
    </row>
    <row r="60" spans="2:16" ht="15">
      <c r="B60" s="892" t="s">
        <v>1144</v>
      </c>
    </row>
    <row r="61" spans="2:16" ht="15">
      <c r="B61" s="895" t="s">
        <v>1145</v>
      </c>
    </row>
    <row r="63" spans="2:16" ht="15">
      <c r="B63" s="57" t="s">
        <v>1072</v>
      </c>
      <c r="C63" s="57" t="s">
        <v>1146</v>
      </c>
      <c r="D63" s="143"/>
      <c r="E63" s="143"/>
      <c r="F63" s="143"/>
      <c r="G63" s="143"/>
      <c r="H63" s="143"/>
      <c r="I63" s="143"/>
      <c r="J63" s="143"/>
      <c r="K63" s="143"/>
      <c r="L63" s="143"/>
      <c r="M63" s="143"/>
      <c r="P63" s="893"/>
    </row>
    <row r="64" spans="2:16" ht="15">
      <c r="B64" s="57" t="s">
        <v>1074</v>
      </c>
      <c r="C64" s="57">
        <v>2025</v>
      </c>
      <c r="D64" s="143"/>
      <c r="E64" s="143"/>
      <c r="F64" s="143"/>
      <c r="G64" s="143"/>
      <c r="H64" s="143"/>
      <c r="I64" s="143"/>
      <c r="J64" s="143"/>
      <c r="K64" s="143"/>
      <c r="L64" s="143"/>
      <c r="M64" s="143"/>
      <c r="P64" s="896"/>
    </row>
    <row r="65" spans="2:16" ht="15">
      <c r="B65" s="876" t="s">
        <v>1147</v>
      </c>
      <c r="C65" s="877" t="s">
        <v>1076</v>
      </c>
      <c r="D65" s="897" t="s">
        <v>1148</v>
      </c>
      <c r="E65" s="897">
        <v>1</v>
      </c>
      <c r="F65" s="897">
        <v>2</v>
      </c>
      <c r="G65" s="897">
        <v>5</v>
      </c>
      <c r="H65" s="897">
        <v>10</v>
      </c>
      <c r="I65" s="897">
        <v>20</v>
      </c>
      <c r="J65" s="876" t="s">
        <v>1077</v>
      </c>
      <c r="K65" s="876" t="s">
        <v>1149</v>
      </c>
      <c r="L65" s="876" t="s">
        <v>1079</v>
      </c>
      <c r="M65" s="143"/>
      <c r="P65" s="896"/>
    </row>
    <row r="66" spans="2:16" ht="15">
      <c r="B66" s="879" t="s">
        <v>1150</v>
      </c>
      <c r="C66" s="880" t="s">
        <v>1151</v>
      </c>
      <c r="D66" s="898">
        <v>0.3</v>
      </c>
      <c r="E66" s="899">
        <v>1</v>
      </c>
      <c r="F66" s="899">
        <v>2</v>
      </c>
      <c r="G66" s="899">
        <v>5</v>
      </c>
      <c r="H66" s="899">
        <v>10</v>
      </c>
      <c r="I66" s="899">
        <v>20</v>
      </c>
      <c r="J66" s="900"/>
      <c r="K66" s="879"/>
      <c r="L66" s="879"/>
      <c r="M66" s="143"/>
    </row>
    <row r="67" spans="2:16" ht="15">
      <c r="B67" s="879" t="s">
        <v>1152</v>
      </c>
      <c r="C67" s="882" t="s">
        <v>101</v>
      </c>
      <c r="D67" s="879">
        <v>4.2</v>
      </c>
      <c r="E67" s="879">
        <v>4.2</v>
      </c>
      <c r="F67" s="879">
        <v>4.2</v>
      </c>
      <c r="G67" s="879">
        <v>4.2</v>
      </c>
      <c r="H67" s="879">
        <v>4.2</v>
      </c>
      <c r="I67" s="879">
        <v>4.2</v>
      </c>
      <c r="J67" s="900">
        <v>0.1</v>
      </c>
      <c r="K67" s="879" t="s">
        <v>1153</v>
      </c>
      <c r="L67" s="879" t="s">
        <v>1154</v>
      </c>
      <c r="M67" s="143"/>
    </row>
    <row r="68" spans="2:16" ht="15">
      <c r="B68" s="879" t="s">
        <v>1089</v>
      </c>
      <c r="C68" s="882" t="s">
        <v>1090</v>
      </c>
      <c r="D68" s="879">
        <v>25</v>
      </c>
      <c r="E68" s="879">
        <v>25</v>
      </c>
      <c r="F68" s="879">
        <v>25</v>
      </c>
      <c r="G68" s="879">
        <v>25</v>
      </c>
      <c r="H68" s="879">
        <v>25</v>
      </c>
      <c r="I68" s="879">
        <v>25</v>
      </c>
      <c r="J68" s="900">
        <v>0.5</v>
      </c>
      <c r="K68" s="879" t="s">
        <v>1155</v>
      </c>
      <c r="L68" s="879" t="s">
        <v>1156</v>
      </c>
      <c r="M68" s="143"/>
    </row>
    <row r="69" spans="2:16" ht="15">
      <c r="B69" s="901" t="s">
        <v>1157</v>
      </c>
      <c r="C69" s="887" t="s">
        <v>1076</v>
      </c>
      <c r="D69" s="886"/>
      <c r="E69" s="886"/>
      <c r="F69" s="886"/>
      <c r="G69" s="886"/>
      <c r="H69" s="886"/>
      <c r="I69" s="886"/>
      <c r="J69" s="886"/>
      <c r="K69" s="886"/>
      <c r="L69" s="886"/>
      <c r="M69" s="143"/>
    </row>
    <row r="70" spans="2:16" ht="15">
      <c r="B70" s="879" t="s">
        <v>994</v>
      </c>
      <c r="C70" s="879" t="s">
        <v>1158</v>
      </c>
      <c r="D70" s="899">
        <v>1770</v>
      </c>
      <c r="E70" s="899">
        <v>1300</v>
      </c>
      <c r="F70" s="899">
        <v>1080</v>
      </c>
      <c r="G70" s="899">
        <v>850</v>
      </c>
      <c r="H70" s="899">
        <v>710</v>
      </c>
      <c r="I70" s="899">
        <v>590</v>
      </c>
      <c r="J70" s="900">
        <v>0.3</v>
      </c>
      <c r="K70" s="879" t="s">
        <v>1153</v>
      </c>
      <c r="L70" s="879" t="s">
        <v>1159</v>
      </c>
      <c r="M70" s="143"/>
    </row>
    <row r="71" spans="2:16" ht="15">
      <c r="B71" s="889" t="s">
        <v>1101</v>
      </c>
      <c r="C71" s="879" t="s">
        <v>106</v>
      </c>
      <c r="D71" s="879">
        <v>75</v>
      </c>
      <c r="E71" s="879">
        <v>77</v>
      </c>
      <c r="F71" s="879">
        <v>78</v>
      </c>
      <c r="G71" s="879">
        <v>80</v>
      </c>
      <c r="H71" s="879">
        <v>80</v>
      </c>
      <c r="I71" s="879">
        <v>80</v>
      </c>
      <c r="J71" s="900">
        <v>0.05</v>
      </c>
      <c r="K71" s="879" t="s">
        <v>1153</v>
      </c>
      <c r="L71" s="879"/>
      <c r="M71" s="143"/>
    </row>
    <row r="72" spans="2:16" ht="15">
      <c r="B72" s="889" t="s">
        <v>1103</v>
      </c>
      <c r="C72" s="879" t="s">
        <v>106</v>
      </c>
      <c r="D72" s="879">
        <v>25</v>
      </c>
      <c r="E72" s="879">
        <v>23</v>
      </c>
      <c r="F72" s="879">
        <v>22</v>
      </c>
      <c r="G72" s="879">
        <v>20</v>
      </c>
      <c r="H72" s="879">
        <v>20</v>
      </c>
      <c r="I72" s="879">
        <v>20</v>
      </c>
      <c r="J72" s="900">
        <v>0.05</v>
      </c>
      <c r="K72" s="879" t="s">
        <v>1153</v>
      </c>
      <c r="L72" s="879"/>
      <c r="M72" s="143"/>
    </row>
    <row r="73" spans="2:16" ht="15">
      <c r="B73" s="902" t="s">
        <v>1104</v>
      </c>
      <c r="C73" s="902" t="s">
        <v>1160</v>
      </c>
      <c r="D73" s="902">
        <v>531000</v>
      </c>
      <c r="E73" s="902">
        <v>1300000</v>
      </c>
      <c r="F73" s="902">
        <v>2160000</v>
      </c>
      <c r="G73" s="902">
        <v>4250000</v>
      </c>
      <c r="H73" s="902">
        <v>7100000</v>
      </c>
      <c r="I73" s="902">
        <v>11800000</v>
      </c>
      <c r="J73" s="900">
        <v>0.3</v>
      </c>
      <c r="K73" s="879" t="s">
        <v>1153</v>
      </c>
      <c r="L73" s="879" t="s">
        <v>1159</v>
      </c>
      <c r="M73" s="143"/>
    </row>
    <row r="74" spans="2:16" ht="15">
      <c r="B74" s="889" t="s">
        <v>1161</v>
      </c>
      <c r="C74" s="879" t="s">
        <v>106</v>
      </c>
      <c r="D74" s="899">
        <v>-5</v>
      </c>
      <c r="E74" s="899">
        <v>-5</v>
      </c>
      <c r="F74" s="899">
        <v>-5</v>
      </c>
      <c r="G74" s="899">
        <v>-5</v>
      </c>
      <c r="H74" s="899">
        <v>-5</v>
      </c>
      <c r="I74" s="899">
        <v>-5</v>
      </c>
      <c r="J74" s="900"/>
      <c r="K74" s="879" t="s">
        <v>1155</v>
      </c>
      <c r="L74" s="879" t="s">
        <v>1162</v>
      </c>
      <c r="M74" s="143"/>
    </row>
    <row r="75" spans="2:16" ht="15">
      <c r="B75" s="889" t="s">
        <v>1163</v>
      </c>
      <c r="C75" s="879" t="s">
        <v>106</v>
      </c>
      <c r="D75" s="885">
        <v>-10</v>
      </c>
      <c r="E75" s="885">
        <v>-10</v>
      </c>
      <c r="F75" s="885">
        <v>-10</v>
      </c>
      <c r="G75" s="885">
        <v>-10</v>
      </c>
      <c r="H75" s="885">
        <v>-10</v>
      </c>
      <c r="I75" s="885">
        <v>-10</v>
      </c>
      <c r="J75" s="900"/>
      <c r="K75" s="879" t="s">
        <v>1155</v>
      </c>
      <c r="L75" s="879" t="s">
        <v>1162</v>
      </c>
      <c r="M75" s="143"/>
    </row>
    <row r="76" spans="2:16" ht="15">
      <c r="B76" s="903" t="s">
        <v>1164</v>
      </c>
      <c r="C76" s="904" t="s">
        <v>1165</v>
      </c>
      <c r="D76" s="902">
        <v>15000</v>
      </c>
      <c r="E76" s="902">
        <v>35700</v>
      </c>
      <c r="F76" s="902">
        <v>58900</v>
      </c>
      <c r="G76" s="902">
        <v>114200</v>
      </c>
      <c r="H76" s="902">
        <v>188500</v>
      </c>
      <c r="I76" s="902">
        <v>311000</v>
      </c>
      <c r="J76" s="900">
        <v>0.3</v>
      </c>
      <c r="K76" s="879" t="s">
        <v>1153</v>
      </c>
      <c r="L76" s="879" t="s">
        <v>1166</v>
      </c>
      <c r="M76" s="143"/>
    </row>
    <row r="77" spans="2:16" ht="15">
      <c r="B77" s="903" t="s">
        <v>1167</v>
      </c>
      <c r="C77" s="904" t="s">
        <v>1168</v>
      </c>
      <c r="D77" s="905">
        <v>1.8</v>
      </c>
      <c r="E77" s="905">
        <v>1.8</v>
      </c>
      <c r="F77" s="905">
        <v>1.8</v>
      </c>
      <c r="G77" s="905">
        <v>1.8</v>
      </c>
      <c r="H77" s="905">
        <v>1.8</v>
      </c>
      <c r="I77" s="905">
        <v>1.8</v>
      </c>
      <c r="J77" s="900">
        <v>0.5</v>
      </c>
      <c r="K77" s="879" t="s">
        <v>1169</v>
      </c>
      <c r="L77" s="879"/>
      <c r="M77" s="143"/>
    </row>
    <row r="78" spans="2:16" ht="15">
      <c r="B78" s="906"/>
      <c r="C78" s="907"/>
      <c r="D78" s="908"/>
      <c r="E78" s="908"/>
      <c r="F78" s="908"/>
      <c r="G78" s="908"/>
      <c r="H78" s="908"/>
      <c r="I78" s="908"/>
      <c r="J78" s="909"/>
      <c r="K78" s="908"/>
      <c r="L78" s="908"/>
      <c r="M78" s="143"/>
    </row>
    <row r="79" spans="2:16" ht="15">
      <c r="B79" s="143"/>
      <c r="C79" s="143"/>
      <c r="D79" s="143"/>
      <c r="E79" s="143"/>
      <c r="F79" s="143"/>
      <c r="G79" s="143"/>
      <c r="H79" s="143"/>
      <c r="I79" s="143"/>
      <c r="J79" s="143"/>
      <c r="K79" s="143"/>
      <c r="L79" s="143"/>
      <c r="M79" s="143"/>
    </row>
    <row r="80" spans="2:16" ht="15">
      <c r="B80" s="143"/>
      <c r="C80" s="143"/>
      <c r="D80" s="143"/>
      <c r="E80" s="143"/>
      <c r="F80" s="143"/>
      <c r="G80" s="143"/>
      <c r="H80" s="143"/>
      <c r="I80" s="143"/>
      <c r="J80" s="143"/>
      <c r="K80" s="143"/>
      <c r="L80" s="143"/>
      <c r="M80" s="143"/>
    </row>
    <row r="81" spans="2:13" ht="15">
      <c r="B81" s="57" t="s">
        <v>1080</v>
      </c>
      <c r="C81" s="878" t="s">
        <v>1170</v>
      </c>
      <c r="D81" s="143"/>
      <c r="E81" s="143"/>
      <c r="F81" s="143"/>
      <c r="G81" s="143"/>
      <c r="H81" s="143"/>
      <c r="I81" s="143"/>
      <c r="J81" s="143"/>
      <c r="K81" s="143"/>
      <c r="L81" s="143"/>
      <c r="M81" s="143"/>
    </row>
    <row r="82" spans="2:13" ht="15">
      <c r="B82" s="57" t="s">
        <v>1074</v>
      </c>
      <c r="C82" s="57">
        <v>2025</v>
      </c>
      <c r="D82" s="57">
        <v>2030</v>
      </c>
      <c r="E82" s="57">
        <v>2040</v>
      </c>
      <c r="F82" s="143"/>
      <c r="G82" s="143"/>
      <c r="H82" s="143"/>
      <c r="I82" s="143"/>
      <c r="J82" s="143"/>
      <c r="K82" s="143"/>
      <c r="L82" s="143"/>
      <c r="M82" s="143"/>
    </row>
    <row r="83" spans="2:13" ht="15">
      <c r="B83" s="878" t="s">
        <v>1088</v>
      </c>
      <c r="C83" s="910">
        <v>7898</v>
      </c>
      <c r="D83" s="910">
        <v>7503.1</v>
      </c>
      <c r="E83" s="910">
        <v>7108.2</v>
      </c>
      <c r="F83" s="143"/>
      <c r="G83" s="143"/>
      <c r="H83" s="143"/>
      <c r="I83" s="143"/>
      <c r="J83" s="143"/>
      <c r="K83" s="143"/>
      <c r="L83" s="143"/>
      <c r="M83" s="143"/>
    </row>
    <row r="84" spans="2:13" ht="15">
      <c r="B84" s="878" t="s">
        <v>1093</v>
      </c>
      <c r="C84" s="878">
        <v>0.74</v>
      </c>
      <c r="D84" s="878">
        <v>0.74</v>
      </c>
      <c r="E84" s="878">
        <v>0.74</v>
      </c>
      <c r="F84" s="143"/>
      <c r="G84" s="143"/>
      <c r="H84" s="143"/>
      <c r="I84" s="143"/>
      <c r="J84" s="143"/>
      <c r="K84" s="143"/>
      <c r="L84" s="143"/>
      <c r="M84" s="143"/>
    </row>
    <row r="85" spans="2:13" ht="15">
      <c r="B85" s="143"/>
      <c r="C85" s="143"/>
      <c r="D85" s="143"/>
      <c r="E85" s="143"/>
      <c r="F85" s="143"/>
      <c r="G85" s="143"/>
      <c r="H85" s="143"/>
      <c r="I85" s="143"/>
      <c r="J85" s="143"/>
      <c r="K85" s="143"/>
      <c r="L85" s="143"/>
      <c r="M85" s="143"/>
    </row>
    <row r="86" spans="2:13" ht="15">
      <c r="B86" s="57" t="s">
        <v>1079</v>
      </c>
      <c r="C86" s="143"/>
      <c r="D86" s="143"/>
      <c r="E86" s="908"/>
      <c r="F86" s="143"/>
      <c r="G86" s="143"/>
      <c r="H86" s="143"/>
      <c r="I86" s="143"/>
      <c r="J86" s="143"/>
      <c r="K86" s="143"/>
      <c r="L86" s="143"/>
      <c r="M86" s="143"/>
    </row>
    <row r="87" spans="2:13" ht="15">
      <c r="B87" s="878" t="s">
        <v>1171</v>
      </c>
      <c r="C87" s="911" t="s">
        <v>1172</v>
      </c>
      <c r="D87" s="878"/>
      <c r="E87" s="908"/>
      <c r="F87" s="143"/>
      <c r="G87" s="143"/>
      <c r="H87" s="143"/>
      <c r="I87" s="143"/>
      <c r="J87" s="143"/>
      <c r="K87" s="143"/>
      <c r="L87" s="143"/>
      <c r="M87" s="143"/>
    </row>
    <row r="88" spans="2:13" ht="15">
      <c r="B88" s="878" t="s">
        <v>1173</v>
      </c>
      <c r="C88" s="911" t="s">
        <v>1174</v>
      </c>
      <c r="D88" s="878"/>
      <c r="E88" s="908"/>
      <c r="F88" s="143"/>
      <c r="G88" s="143"/>
      <c r="H88" s="143"/>
      <c r="I88" s="143"/>
      <c r="J88" s="143"/>
      <c r="K88" s="143"/>
      <c r="L88" s="143"/>
      <c r="M88" s="143"/>
    </row>
    <row r="89" spans="2:13" ht="15">
      <c r="B89" s="878" t="s">
        <v>1156</v>
      </c>
      <c r="C89" s="911" t="s">
        <v>1175</v>
      </c>
      <c r="D89" s="878"/>
      <c r="E89" s="908"/>
      <c r="F89" s="143"/>
      <c r="G89" s="143"/>
      <c r="H89" s="143"/>
      <c r="I89" s="143"/>
      <c r="J89" s="143"/>
      <c r="K89" s="143"/>
      <c r="L89" s="143"/>
      <c r="M89" s="143"/>
    </row>
    <row r="90" spans="2:13" ht="15">
      <c r="B90" s="878" t="s">
        <v>1162</v>
      </c>
      <c r="C90" s="911" t="s">
        <v>1176</v>
      </c>
      <c r="D90" s="878"/>
      <c r="E90" s="908"/>
      <c r="F90" s="143"/>
      <c r="G90" s="143"/>
      <c r="H90" s="143"/>
      <c r="I90" s="143"/>
      <c r="J90" s="143"/>
      <c r="K90" s="143"/>
      <c r="L90" s="143"/>
      <c r="M90" s="143"/>
    </row>
    <row r="91" spans="2:13" ht="15">
      <c r="B91" s="878" t="s">
        <v>1177</v>
      </c>
      <c r="C91" s="911" t="s">
        <v>1178</v>
      </c>
      <c r="D91" s="878"/>
      <c r="E91" s="908"/>
      <c r="F91" s="143"/>
      <c r="G91" s="143"/>
      <c r="H91" s="143"/>
      <c r="I91" s="143"/>
      <c r="J91" s="143"/>
      <c r="K91" s="143"/>
      <c r="L91" s="143"/>
      <c r="M91" s="143"/>
    </row>
    <row r="92" spans="2:13" ht="15">
      <c r="B92" s="878" t="s">
        <v>1166</v>
      </c>
      <c r="C92" s="911" t="s">
        <v>1179</v>
      </c>
      <c r="D92" s="878"/>
      <c r="E92" s="908"/>
      <c r="F92" s="143"/>
      <c r="G92" s="143"/>
      <c r="H92" s="143"/>
      <c r="I92" s="143"/>
      <c r="J92" s="143"/>
      <c r="K92" s="143"/>
      <c r="L92" s="143"/>
      <c r="M92" s="143"/>
    </row>
    <row r="93" spans="2:13" ht="15">
      <c r="B93" s="878"/>
      <c r="C93" s="878"/>
      <c r="D93" s="143"/>
      <c r="E93" s="143"/>
      <c r="F93" s="143"/>
      <c r="G93" s="143"/>
      <c r="H93" s="143"/>
      <c r="I93" s="143"/>
      <c r="J93" s="143"/>
      <c r="K93" s="143"/>
      <c r="L93" s="143"/>
      <c r="M93" s="143"/>
    </row>
    <row r="94" spans="2:13" ht="15">
      <c r="B94" s="57" t="s">
        <v>1149</v>
      </c>
      <c r="C94" s="143"/>
      <c r="D94" s="143"/>
      <c r="E94" s="143"/>
      <c r="F94" s="143"/>
      <c r="G94" s="143"/>
      <c r="H94" s="143"/>
      <c r="I94" s="143"/>
      <c r="J94" s="143"/>
      <c r="K94" s="143"/>
      <c r="L94" s="143"/>
      <c r="M94" s="143"/>
    </row>
    <row r="95" spans="2:13" ht="15">
      <c r="B95" s="878" t="s">
        <v>1155</v>
      </c>
      <c r="C95" s="878" t="s">
        <v>1180</v>
      </c>
      <c r="D95" s="143"/>
      <c r="E95" s="143"/>
      <c r="F95" s="143"/>
      <c r="G95" s="143"/>
      <c r="H95" s="143"/>
      <c r="I95" s="143"/>
      <c r="J95" s="143"/>
      <c r="K95" s="143"/>
      <c r="L95" s="143"/>
      <c r="M95" s="143"/>
    </row>
    <row r="96" spans="2:13" ht="15">
      <c r="B96" s="878" t="s">
        <v>1169</v>
      </c>
      <c r="C96" s="878" t="s">
        <v>1181</v>
      </c>
      <c r="D96" s="143"/>
      <c r="E96" s="143"/>
      <c r="F96" s="143"/>
      <c r="G96" s="143"/>
      <c r="H96" s="143"/>
      <c r="I96" s="143"/>
      <c r="J96" s="143"/>
      <c r="K96" s="143"/>
      <c r="L96" s="143"/>
      <c r="M96" s="143"/>
    </row>
    <row r="97" spans="2:13" ht="15">
      <c r="B97" s="878" t="s">
        <v>1182</v>
      </c>
      <c r="C97" s="878" t="s">
        <v>1183</v>
      </c>
      <c r="D97" s="143"/>
      <c r="E97" s="143"/>
      <c r="F97" s="143"/>
      <c r="G97" s="143"/>
      <c r="H97" s="143"/>
      <c r="I97" s="143"/>
      <c r="J97" s="143"/>
      <c r="K97" s="143"/>
      <c r="L97" s="143"/>
      <c r="M97" s="143"/>
    </row>
  </sheetData>
  <mergeCells count="2">
    <mergeCell ref="M3:Q6"/>
    <mergeCell ref="A1:E1"/>
  </mergeCells>
  <conditionalFormatting sqref="H25 H13 H38 H10 H22 H35 H16:H17 H28:H29 H41:H42">
    <cfRule type="colorScale" priority="5">
      <colorScale>
        <cfvo type="num" val="0"/>
        <cfvo type="num" val="0.5"/>
        <color theme="0"/>
        <color theme="5"/>
      </colorScale>
    </cfRule>
  </conditionalFormatting>
  <conditionalFormatting sqref="J66:J68">
    <cfRule type="colorScale" priority="2">
      <colorScale>
        <cfvo type="num" val="0"/>
        <cfvo type="num" val="0.5"/>
        <color theme="0"/>
        <color theme="5"/>
      </colorScale>
    </cfRule>
  </conditionalFormatting>
  <conditionalFormatting sqref="J70:J77">
    <cfRule type="colorScale" priority="1">
      <colorScale>
        <cfvo type="num" val="0"/>
        <cfvo type="num" val="0.5"/>
        <color theme="0"/>
        <color theme="5"/>
      </colorScale>
    </cfRule>
  </conditionalFormatting>
  <conditionalFormatting sqref="J78">
    <cfRule type="colorScale" priority="3">
      <colorScale>
        <cfvo type="num" val="0"/>
        <cfvo type="num" val="0.5"/>
        <color theme="0"/>
        <color theme="5"/>
      </colorScale>
    </cfRule>
    <cfRule type="colorScale" priority="4">
      <colorScale>
        <cfvo type="num" val="0"/>
        <cfvo type="num" val="0.5"/>
        <color theme="0"/>
        <color theme="5"/>
      </colorScale>
    </cfRule>
  </conditionalFormatting>
  <hyperlinks>
    <hyperlink ref="A1" location="Inhalt!A1" display="zurück zum Inhalt" xr:uid="{A83C6AA8-5BDC-4EAF-B8E5-FB4C713F22A3}"/>
    <hyperlink ref="A1:F1" location="Content!A1" display="Go to Inhalt Sheet" xr:uid="{F807D789-7101-4AFC-96A4-49620119E980}"/>
    <hyperlink ref="A1:E1" location="Content!A1" display="Go to Content Sheet" xr:uid="{00D8448A-07B5-4971-8E48-C2F86A723811}"/>
    <hyperlink ref="B58" r:id="rId1" xr:uid="{22EEC341-B874-420B-8130-F245DAAEEDEC}"/>
  </hyperlinks>
  <pageMargins left="0.7" right="0.7" top="0.78740157499999996" bottom="0.78740157499999996" header="0.3" footer="0.3"/>
  <pageSetup paperSize="9" orientation="portrait" verticalDpi="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eaea00-6a0d-47c9-93b8-7666146ca3af">
      <Terms xmlns="http://schemas.microsoft.com/office/infopath/2007/PartnerControls"/>
    </lcf76f155ced4ddcb4097134ff3c332f>
    <TaxCatchAll xmlns="e61187ff-bd23-4441-9170-27312499c7e1" xsi:nil="true"/>
  </documentManagement>
</p:properties>
</file>

<file path=customXml/item3.xml><?xml version="1.0" encoding="utf-8"?>
<scriptIds xmlns="http://schemas.microsoft.com/office/extensibility/maker/v1.0" id="script-ids-node-id">
  <scriptId id="ms-officescript%3A%2F%2Fonedrive_business_itemlink%2F01Z5K2BTSECPY35EOHAFG2H75CTETCUFIY:ms-officescript%3A%2F%2Fonedrive_business_sharinglink%2Fu!aHR0cHM6Ly9ldGhpbmtlbmVyZ3ktbXkuc2hhcmVwb2ludC5jb20vOnU6L2cvcGVyc29uYWwvZnJhbmstc3RvY2tlcl9lLXRoaW5rX2FjX2F0L0lRQkVFX0cta2NjQlRhUF9vcGttS2hVWUFmTWt6d3A2Q192RWpCOXlaTTZMTGhj"/>
</scriptIds>
</file>

<file path=customXml/item4.xml><?xml version="1.0" encoding="utf-8"?>
<ct:contentTypeSchema xmlns:ct="http://schemas.microsoft.com/office/2006/metadata/contentType" xmlns:ma="http://schemas.microsoft.com/office/2006/metadata/properties/metaAttributes" ct:_="" ma:_="" ma:contentTypeName="Document" ma:contentTypeID="0x01010040E91BA39685FF4A963F35BA574555CF" ma:contentTypeVersion="19" ma:contentTypeDescription="Create a new document." ma:contentTypeScope="" ma:versionID="0d4967ef8e01d29452bd2637fa3cee50">
  <xsd:schema xmlns:xsd="http://www.w3.org/2001/XMLSchema" xmlns:xs="http://www.w3.org/2001/XMLSchema" xmlns:p="http://schemas.microsoft.com/office/2006/metadata/properties" xmlns:ns2="95eaea00-6a0d-47c9-93b8-7666146ca3af" xmlns:ns3="e61187ff-bd23-4441-9170-27312499c7e1" targetNamespace="http://schemas.microsoft.com/office/2006/metadata/properties" ma:root="true" ma:fieldsID="784f1d1bb96dd2aeab6a8379c137cd60" ns2:_="" ns3:_="">
    <xsd:import namespace="95eaea00-6a0d-47c9-93b8-7666146ca3af"/>
    <xsd:import namespace="e61187ff-bd23-4441-9170-27312499c7e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eaea00-6a0d-47c9-93b8-7666146ca3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aa6b1b-985f-42e5-81ad-477743eff0fd"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1187ff-bd23-4441-9170-27312499c7e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c977cb7-7842-4ac4-b4c4-ab586ecba2d9}" ma:internalName="TaxCatchAll" ma:showField="CatchAllData" ma:web="e61187ff-bd23-4441-9170-27312499c7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B71DC1-363F-447E-848C-BD25A7143FC2}">
  <ds:schemaRefs>
    <ds:schemaRef ds:uri="http://schemas.microsoft.com/sharepoint/v3/contenttype/forms"/>
  </ds:schemaRefs>
</ds:datastoreItem>
</file>

<file path=customXml/itemProps2.xml><?xml version="1.0" encoding="utf-8"?>
<ds:datastoreItem xmlns:ds="http://schemas.openxmlformats.org/officeDocument/2006/customXml" ds:itemID="{BFE405A0-316B-403E-876E-2ED5470054D5}">
  <ds:schemaRefs>
    <ds:schemaRef ds:uri="http://schemas.openxmlformats.org/package/2006/metadata/core-properties"/>
    <ds:schemaRef ds:uri="http://purl.org/dc/dcmitype/"/>
    <ds:schemaRef ds:uri="http://schemas.microsoft.com/office/2006/metadata/properties"/>
    <ds:schemaRef ds:uri="http://schemas.microsoft.com/office/2006/documentManagement/types"/>
    <ds:schemaRef ds:uri="http://www.w3.org/XML/1998/namespace"/>
    <ds:schemaRef ds:uri="ec630d97-b3ff-461b-b451-d7a64e1c40fe"/>
    <ds:schemaRef ds:uri="http://purl.org/dc/elements/1.1/"/>
    <ds:schemaRef ds:uri="http://schemas.microsoft.com/office/infopath/2007/PartnerControls"/>
    <ds:schemaRef ds:uri="05073d01-3abe-41f7-8cb1-851d140a92fa"/>
    <ds:schemaRef ds:uri="http://purl.org/dc/terms/"/>
  </ds:schemaRefs>
</ds:datastoreItem>
</file>

<file path=customXml/itemProps3.xml><?xml version="1.0" encoding="utf-8"?>
<ds:datastoreItem xmlns:ds="http://schemas.openxmlformats.org/officeDocument/2006/customXml" ds:itemID="{D7D62811-107E-4329-93D3-70B7C9D99886}">
  <ds:schemaRefs>
    <ds:schemaRef ds:uri="http://schemas.microsoft.com/office/extensibility/maker/v1.0"/>
  </ds:schemaRefs>
</ds:datastoreItem>
</file>

<file path=customXml/itemProps4.xml><?xml version="1.0" encoding="utf-8"?>
<ds:datastoreItem xmlns:ds="http://schemas.openxmlformats.org/officeDocument/2006/customXml" ds:itemID="{EF503674-FA54-42A0-B529-F539A1EA2AB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Info</vt:lpstr>
      <vt:lpstr>Content</vt:lpstr>
      <vt:lpstr>Project Setting</vt:lpstr>
      <vt:lpstr>Grid Costs</vt:lpstr>
      <vt:lpstr>Definition of Typical Day</vt:lpstr>
      <vt:lpstr>Definition of Typical Year</vt:lpstr>
      <vt:lpstr>Main Results - IRR DC Operator</vt:lpstr>
      <vt:lpstr>Main Results Extended</vt:lpstr>
      <vt:lpstr>Calculation Break-Even</vt:lpstr>
      <vt:lpstr>Operation at Typical Day</vt:lpstr>
      <vt:lpstr>Calculation of Typical Day</vt:lpstr>
      <vt:lpstr>Calculation of Typical Year</vt:lpstr>
      <vt:lpstr>Calculation IRR</vt:lpstr>
      <vt:lpstr>Additional Information</vt:lpstr>
      <vt:lpstr>TechKatalogGWPA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Fallahnejad, Mostafa</dc:creator>
  <cp:keywords/>
  <dc:description/>
  <cp:lastModifiedBy>Andreas Müller</cp:lastModifiedBy>
  <cp:revision/>
  <dcterms:created xsi:type="dcterms:W3CDTF">2024-09-17T12:00:57Z</dcterms:created>
  <dcterms:modified xsi:type="dcterms:W3CDTF">2026-10-20T09:50:15Z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0x01010040E91BA39685FF4A963F35BA574555CF</vt:lpwstr>
  </property>
  <property fmtid="{D5CDD505-2E9C-101B-9397-08002B2CF9AE}" pid="3" name="MSIP_Label_e229c018-abb7-47f9-98cc-ef8ddc67dc91_Enabled">
    <vt:lpwstr>true</vt:lpwstr>
  </property>
  <property fmtid="{D5CDD505-2E9C-101B-9397-08002B2CF9AE}" pid="4" name="MSIP_Label_e229c018-abb7-47f9-98cc-ef8ddc67dc91_SetDate">
    <vt:lpwstr>2025-01-16T10:13:59Z</vt:lpwstr>
  </property>
  <property fmtid="{D5CDD505-2E9C-101B-9397-08002B2CF9AE}" pid="5" name="MSIP_Label_e229c018-abb7-47f9-98cc-ef8ddc67dc91_Method">
    <vt:lpwstr>Privileged</vt:lpwstr>
  </property>
  <property fmtid="{D5CDD505-2E9C-101B-9397-08002B2CF9AE}" pid="6" name="MSIP_Label_e229c018-abb7-47f9-98cc-ef8ddc67dc91_Name">
    <vt:lpwstr>Mainova - Standard</vt:lpwstr>
  </property>
  <property fmtid="{D5CDD505-2E9C-101B-9397-08002B2CF9AE}" pid="7" name="MSIP_Label_e229c018-abb7-47f9-98cc-ef8ddc67dc91_SiteId">
    <vt:lpwstr>cbeb189b-9163-4dfa-8f74-83c79cb7c5d7</vt:lpwstr>
  </property>
  <property fmtid="{D5CDD505-2E9C-101B-9397-08002B2CF9AE}" pid="8" name="MSIP_Label_e229c018-abb7-47f9-98cc-ef8ddc67dc91_ActionId">
    <vt:lpwstr>00e6de13-8c1c-41d7-b96a-552693a5287d</vt:lpwstr>
  </property>
  <property fmtid="{D5CDD505-2E9C-101B-9397-08002B2CF9AE}" pid="9" name="MSIP_Label_e229c018-abb7-47f9-98cc-ef8ddc67dc91_ContentBits">
    <vt:lpwstr>0</vt:lpwstr>
  </property>
  <property fmtid="{D5CDD505-2E9C-101B-9397-08002B2CF9AE}" pid="10" name="MediaServiceImageTags">
    <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